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330" windowWidth="11790" windowHeight="5235" firstSheet="10" activeTab="13"/>
  </bookViews>
  <sheets>
    <sheet name="jangan di hapus 1" sheetId="115" r:id="rId1"/>
    <sheet name="jangan dihapus 2" sheetId="120" r:id="rId2"/>
    <sheet name="jangan dihapus 3" sheetId="121" r:id="rId3"/>
    <sheet name="BTL" sheetId="122" r:id="rId4"/>
    <sheet name="IKD dan anggaran" sheetId="119" r:id="rId5"/>
    <sheet name="matrik MISI 1" sheetId="83" r:id="rId6"/>
    <sheet name="matrik MISI 2" sheetId="86" r:id="rId7"/>
    <sheet name="matrik MISI 3" sheetId="118" r:id="rId8"/>
    <sheet name="matrik MISI 4" sheetId="88" r:id="rId9"/>
    <sheet name="matrik MISI 5" sheetId="89" r:id="rId10"/>
    <sheet name="matrik MISI 6" sheetId="90" r:id="rId11"/>
    <sheet name="matrik MISI GABUNG" sheetId="124" r:id="rId12"/>
    <sheet name="tabel BAB V" sheetId="91" r:id="rId13"/>
    <sheet name="tabel BAB VI" sheetId="92" r:id="rId14"/>
    <sheet name="tabel BAB VII" sheetId="99" r:id="rId15"/>
    <sheet name="tabel BAB VIII" sheetId="125" r:id="rId16"/>
    <sheet name="tabel BAB IX" sheetId="126" r:id="rId17"/>
    <sheet name="visi misi" sheetId="85" r:id="rId18"/>
    <sheet name="program" sheetId="81" r:id="rId19"/>
  </sheets>
  <externalReferences>
    <externalReference r:id="rId20"/>
    <externalReference r:id="rId21"/>
    <externalReference r:id="rId22"/>
    <externalReference r:id="rId23"/>
    <externalReference r:id="rId24"/>
  </externalReferences>
  <definedNames>
    <definedName name="_xlnm.Print_Area" localSheetId="3">BTL!$D$23:$L$23</definedName>
    <definedName name="_xlnm.Print_Area" localSheetId="0">'jangan di hapus 1'!$B$3:$X$1486</definedName>
    <definedName name="_xlnm.Print_Area" localSheetId="1">'jangan dihapus 2'!$B$3:$X$728</definedName>
    <definedName name="_xlnm.Print_Area" localSheetId="2">'jangan dihapus 3'!$D$161:$L$161</definedName>
    <definedName name="_xlnm.Print_Area" localSheetId="5">'matrik MISI 1'!$B$3:$Z$107</definedName>
    <definedName name="_xlnm.Print_Area" localSheetId="6">'matrik MISI 2'!$B$3:$Z$110</definedName>
    <definedName name="_xlnm.Print_Area" localSheetId="7">'matrik MISI 3'!$B$3:$Z$54</definedName>
    <definedName name="_xlnm.Print_Area" localSheetId="8">'matrik MISI 4'!$B$5:$Z$131</definedName>
    <definedName name="_xlnm.Print_Area" localSheetId="9">'matrik MISI 5'!$B$3:$Z$92</definedName>
    <definedName name="_xlnm.Print_Area" localSheetId="10">'matrik MISI 6'!$B$3:$Z$121</definedName>
    <definedName name="_xlnm.Print_Area" localSheetId="11">'matrik MISI GABUNG'!$B$3:$Z$108</definedName>
    <definedName name="_xlnm.Print_Area" localSheetId="12">'tabel BAB V'!$B$3:$R$472</definedName>
    <definedName name="_xlnm.Print_Area" localSheetId="13">'tabel BAB VI'!$E$1:$G$4</definedName>
    <definedName name="_xlnm.Print_Titles" localSheetId="5">'matrik MISI 1'!$3:$5</definedName>
    <definedName name="_xlnm.Print_Titles" localSheetId="6">'matrik MISI 2'!$3:$5</definedName>
    <definedName name="_xlnm.Print_Titles" localSheetId="7">'matrik MISI 3'!$A$3:$IO$5</definedName>
    <definedName name="_xlnm.Print_Titles" localSheetId="8">'matrik MISI 4'!$5:$7</definedName>
    <definedName name="_xlnm.Print_Titles" localSheetId="9">'matrik MISI 5'!$3:$5</definedName>
    <definedName name="_xlnm.Print_Titles" localSheetId="10">'matrik MISI 6'!$3:$5</definedName>
    <definedName name="_xlnm.Print_Titles" localSheetId="11">'matrik MISI GABUNG'!$3:$5</definedName>
    <definedName name="_xlnm.Print_Titles" localSheetId="12">'tabel BAB V'!$3:$4</definedName>
    <definedName name="_xlnm.Print_Titles" localSheetId="13">'tabel BAB VI'!$2:$2</definedName>
  </definedNames>
  <calcPr calcId="124519"/>
</workbook>
</file>

<file path=xl/calcChain.xml><?xml version="1.0" encoding="utf-8"?>
<calcChain xmlns="http://schemas.openxmlformats.org/spreadsheetml/2006/main">
  <c r="K1079" i="115"/>
  <c r="S288" i="120"/>
  <c r="Q288"/>
  <c r="O288"/>
  <c r="M288"/>
  <c r="W107" i="83"/>
  <c r="S107"/>
  <c r="T107" s="1"/>
  <c r="U107" s="1"/>
  <c r="V107" s="1"/>
  <c r="R107"/>
  <c r="G260" i="99"/>
  <c r="G259"/>
  <c r="G258"/>
  <c r="G257"/>
  <c r="G255"/>
  <c r="G252"/>
  <c r="G248"/>
  <c r="G247"/>
  <c r="G246"/>
  <c r="G244"/>
  <c r="G242"/>
  <c r="G236"/>
  <c r="G230"/>
  <c r="G229"/>
  <c r="G228"/>
  <c r="G219"/>
  <c r="G213"/>
  <c r="G206"/>
  <c r="G201"/>
  <c r="G199"/>
  <c r="G195"/>
  <c r="G179"/>
  <c r="G161"/>
  <c r="G158"/>
  <c r="G154"/>
  <c r="G146"/>
  <c r="G141"/>
  <c r="G136"/>
  <c r="G131"/>
  <c r="G126"/>
  <c r="G125"/>
  <c r="G122"/>
  <c r="G114"/>
  <c r="G112"/>
  <c r="G108"/>
  <c r="G102"/>
  <c r="G100"/>
  <c r="G99"/>
  <c r="G93"/>
  <c r="G90"/>
  <c r="G87"/>
  <c r="G83"/>
  <c r="G82"/>
  <c r="G78"/>
  <c r="G77"/>
  <c r="G74"/>
  <c r="G70"/>
  <c r="G68"/>
  <c r="G65"/>
  <c r="G64"/>
  <c r="G63"/>
  <c r="G61"/>
  <c r="G59"/>
  <c r="G60"/>
  <c r="G58"/>
  <c r="G57"/>
  <c r="G56"/>
  <c r="G53"/>
  <c r="G51"/>
  <c r="G50"/>
  <c r="G47"/>
  <c r="G45"/>
  <c r="G44"/>
  <c r="G42"/>
  <c r="G40"/>
  <c r="G39"/>
  <c r="G38"/>
  <c r="G36"/>
  <c r="G35"/>
  <c r="G34"/>
  <c r="G32"/>
  <c r="G27"/>
  <c r="G24"/>
  <c r="G23"/>
  <c r="G22"/>
  <c r="G20"/>
  <c r="G18"/>
  <c r="G15"/>
  <c r="G10"/>
  <c r="G7"/>
  <c r="G6"/>
  <c r="G5"/>
  <c r="W20" i="125"/>
  <c r="S289" i="120"/>
  <c r="Q289"/>
  <c r="O289"/>
  <c r="M289"/>
  <c r="K289"/>
  <c r="N686" i="125"/>
  <c r="O686"/>
  <c r="P686"/>
  <c r="Q686"/>
  <c r="R686"/>
  <c r="S686"/>
  <c r="T686"/>
  <c r="U686"/>
  <c r="N692"/>
  <c r="O692"/>
  <c r="P692"/>
  <c r="Q692"/>
  <c r="R692"/>
  <c r="S692"/>
  <c r="T692"/>
  <c r="U692"/>
  <c r="M692"/>
  <c r="M687"/>
  <c r="M686" s="1"/>
  <c r="V685"/>
  <c r="W17"/>
  <c r="V684"/>
  <c r="V63"/>
  <c r="U20"/>
  <c r="Q20"/>
  <c r="S20"/>
  <c r="O20"/>
  <c r="M20"/>
  <c r="W65"/>
  <c r="W66"/>
  <c r="W67"/>
  <c r="Q64"/>
  <c r="R64"/>
  <c r="R63" s="1"/>
  <c r="R18" s="1"/>
  <c r="R684" s="1"/>
  <c r="S64"/>
  <c r="T64"/>
  <c r="T63" s="1"/>
  <c r="T18" s="1"/>
  <c r="T684" s="1"/>
  <c r="U64"/>
  <c r="N64"/>
  <c r="N63" s="1"/>
  <c r="N18" s="1"/>
  <c r="N685" s="1"/>
  <c r="O64"/>
  <c r="P64"/>
  <c r="M64"/>
  <c r="W686" l="1"/>
  <c r="W692"/>
  <c r="R685"/>
  <c r="N684"/>
  <c r="T685"/>
  <c r="W64"/>
  <c r="P63"/>
  <c r="P18" s="1"/>
  <c r="P684" l="1"/>
  <c r="P685"/>
  <c r="J115" i="99" l="1"/>
  <c r="K115"/>
  <c r="L115"/>
  <c r="M115"/>
  <c r="N115"/>
  <c r="O115"/>
  <c r="E114"/>
  <c r="F114"/>
  <c r="H114"/>
  <c r="I114"/>
  <c r="J114"/>
  <c r="K114"/>
  <c r="L114"/>
  <c r="M114"/>
  <c r="N114"/>
  <c r="O114"/>
  <c r="J116"/>
  <c r="K116"/>
  <c r="L116"/>
  <c r="M116"/>
  <c r="N116"/>
  <c r="O116"/>
  <c r="J117"/>
  <c r="K117"/>
  <c r="L117"/>
  <c r="M117"/>
  <c r="N117"/>
  <c r="O117"/>
  <c r="T59" i="126"/>
  <c r="R59"/>
  <c r="P59"/>
  <c r="N59"/>
  <c r="L59"/>
  <c r="M59" s="1"/>
  <c r="K59"/>
  <c r="C91"/>
  <c r="C84"/>
  <c r="C79"/>
  <c r="C69"/>
  <c r="C63"/>
  <c r="Z659"/>
  <c r="Y659"/>
  <c r="X659"/>
  <c r="V659"/>
  <c r="T659"/>
  <c r="R659"/>
  <c r="P659"/>
  <c r="N659"/>
  <c r="L659"/>
  <c r="K659"/>
  <c r="J659"/>
  <c r="I659"/>
  <c r="H659"/>
  <c r="U658"/>
  <c r="S658"/>
  <c r="Q658"/>
  <c r="O658"/>
  <c r="M658"/>
  <c r="G658"/>
  <c r="F658"/>
  <c r="E658"/>
  <c r="D658"/>
  <c r="C658"/>
  <c r="Z657"/>
  <c r="Y657"/>
  <c r="X657"/>
  <c r="V657"/>
  <c r="T657"/>
  <c r="R657"/>
  <c r="P657"/>
  <c r="N657"/>
  <c r="L657"/>
  <c r="K657"/>
  <c r="J657"/>
  <c r="I657"/>
  <c r="H657"/>
  <c r="Z656"/>
  <c r="Y656"/>
  <c r="X656"/>
  <c r="V656"/>
  <c r="T656"/>
  <c r="R656"/>
  <c r="P656"/>
  <c r="N656"/>
  <c r="L656"/>
  <c r="K656"/>
  <c r="J656"/>
  <c r="I656"/>
  <c r="H656"/>
  <c r="U655"/>
  <c r="S655"/>
  <c r="Q655"/>
  <c r="O655"/>
  <c r="M655"/>
  <c r="G655"/>
  <c r="F655"/>
  <c r="E655"/>
  <c r="D655"/>
  <c r="C655"/>
  <c r="Z654"/>
  <c r="Y654"/>
  <c r="X654"/>
  <c r="V654"/>
  <c r="T654"/>
  <c r="R654"/>
  <c r="P654"/>
  <c r="N654"/>
  <c r="L654"/>
  <c r="K654"/>
  <c r="J654"/>
  <c r="I654"/>
  <c r="H654"/>
  <c r="Z653"/>
  <c r="Y653"/>
  <c r="X653"/>
  <c r="V653"/>
  <c r="T653"/>
  <c r="R653"/>
  <c r="P653"/>
  <c r="N653"/>
  <c r="L653"/>
  <c r="K653"/>
  <c r="J653"/>
  <c r="I653"/>
  <c r="H653"/>
  <c r="Z652"/>
  <c r="Y652"/>
  <c r="X652"/>
  <c r="V652"/>
  <c r="T652"/>
  <c r="R652"/>
  <c r="P652"/>
  <c r="N652"/>
  <c r="L652"/>
  <c r="K652"/>
  <c r="J652"/>
  <c r="I652"/>
  <c r="H652"/>
  <c r="Z651"/>
  <c r="Y651"/>
  <c r="X651"/>
  <c r="V651"/>
  <c r="T651"/>
  <c r="R651"/>
  <c r="P651"/>
  <c r="N651"/>
  <c r="L651"/>
  <c r="K651"/>
  <c r="J651"/>
  <c r="I651"/>
  <c r="H651"/>
  <c r="U650"/>
  <c r="S650"/>
  <c r="Q650"/>
  <c r="O650"/>
  <c r="M650"/>
  <c r="G650"/>
  <c r="F650"/>
  <c r="E650"/>
  <c r="D650"/>
  <c r="Z649"/>
  <c r="Y649"/>
  <c r="X649"/>
  <c r="V649"/>
  <c r="T649"/>
  <c r="R649"/>
  <c r="P649"/>
  <c r="N649"/>
  <c r="L649"/>
  <c r="K649"/>
  <c r="J649"/>
  <c r="I649"/>
  <c r="H649"/>
  <c r="U648"/>
  <c r="S648"/>
  <c r="Q648"/>
  <c r="O648"/>
  <c r="M648"/>
  <c r="G648"/>
  <c r="F648"/>
  <c r="E648"/>
  <c r="D648"/>
  <c r="Z647"/>
  <c r="Y647"/>
  <c r="X647"/>
  <c r="V647"/>
  <c r="T647"/>
  <c r="R647"/>
  <c r="P647"/>
  <c r="N647"/>
  <c r="L647"/>
  <c r="K647"/>
  <c r="J647"/>
  <c r="I647"/>
  <c r="H647"/>
  <c r="Z646"/>
  <c r="Y646"/>
  <c r="X646"/>
  <c r="V646"/>
  <c r="T646"/>
  <c r="R646"/>
  <c r="P646"/>
  <c r="N646"/>
  <c r="L646"/>
  <c r="K646"/>
  <c r="J646"/>
  <c r="I646"/>
  <c r="H646"/>
  <c r="U645"/>
  <c r="S645"/>
  <c r="Q645"/>
  <c r="O645"/>
  <c r="M645"/>
  <c r="G645"/>
  <c r="F645"/>
  <c r="E645"/>
  <c r="D645"/>
  <c r="Z644"/>
  <c r="Y644"/>
  <c r="X644"/>
  <c r="V644"/>
  <c r="T644"/>
  <c r="R644"/>
  <c r="P644"/>
  <c r="N644"/>
  <c r="L644"/>
  <c r="K644"/>
  <c r="J644"/>
  <c r="I644"/>
  <c r="H644"/>
  <c r="U643"/>
  <c r="S643"/>
  <c r="Q643"/>
  <c r="O643"/>
  <c r="M643"/>
  <c r="G643"/>
  <c r="F643"/>
  <c r="E643"/>
  <c r="D643"/>
  <c r="Z642"/>
  <c r="Y642"/>
  <c r="X642"/>
  <c r="V642"/>
  <c r="T642"/>
  <c r="R642"/>
  <c r="P642"/>
  <c r="N642"/>
  <c r="L642"/>
  <c r="K642"/>
  <c r="J642"/>
  <c r="I642"/>
  <c r="H642"/>
  <c r="U641"/>
  <c r="S641"/>
  <c r="Q641"/>
  <c r="O641"/>
  <c r="M641"/>
  <c r="G641"/>
  <c r="F641"/>
  <c r="E641"/>
  <c r="D641"/>
  <c r="C641"/>
  <c r="Z640"/>
  <c r="Y640"/>
  <c r="X640"/>
  <c r="V640"/>
  <c r="T640"/>
  <c r="R640"/>
  <c r="P640"/>
  <c r="N640"/>
  <c r="L640"/>
  <c r="K640"/>
  <c r="J640"/>
  <c r="I640"/>
  <c r="H640"/>
  <c r="U639"/>
  <c r="S639"/>
  <c r="Q639"/>
  <c r="O639"/>
  <c r="M639"/>
  <c r="G639"/>
  <c r="F639"/>
  <c r="E639"/>
  <c r="D639"/>
  <c r="Z638"/>
  <c r="Y638"/>
  <c r="X638"/>
  <c r="V638"/>
  <c r="T638"/>
  <c r="R638"/>
  <c r="P638"/>
  <c r="N638"/>
  <c r="L638"/>
  <c r="K638"/>
  <c r="J638"/>
  <c r="I638"/>
  <c r="H638"/>
  <c r="U637"/>
  <c r="S637"/>
  <c r="Q637"/>
  <c r="O637"/>
  <c r="M637"/>
  <c r="G637"/>
  <c r="F637"/>
  <c r="E637"/>
  <c r="D637"/>
  <c r="Z636"/>
  <c r="Y636"/>
  <c r="X636"/>
  <c r="V636"/>
  <c r="T636"/>
  <c r="R636"/>
  <c r="P636"/>
  <c r="N636"/>
  <c r="L636"/>
  <c r="K636"/>
  <c r="J636"/>
  <c r="I636"/>
  <c r="H636"/>
  <c r="Z635"/>
  <c r="Y635"/>
  <c r="X635"/>
  <c r="V635"/>
  <c r="T635"/>
  <c r="R635"/>
  <c r="P635"/>
  <c r="N635"/>
  <c r="L635"/>
  <c r="K635"/>
  <c r="J635"/>
  <c r="I635"/>
  <c r="H635"/>
  <c r="U634"/>
  <c r="S634"/>
  <c r="Q634"/>
  <c r="O634"/>
  <c r="M634"/>
  <c r="G634"/>
  <c r="F634"/>
  <c r="E634"/>
  <c r="D634"/>
  <c r="Z633"/>
  <c r="Y633"/>
  <c r="X633"/>
  <c r="V633"/>
  <c r="T633"/>
  <c r="R633"/>
  <c r="P633"/>
  <c r="N633"/>
  <c r="L633"/>
  <c r="K633"/>
  <c r="J633"/>
  <c r="I633"/>
  <c r="H633"/>
  <c r="Z632"/>
  <c r="Y632"/>
  <c r="X632"/>
  <c r="V632"/>
  <c r="T632"/>
  <c r="R632"/>
  <c r="P632"/>
  <c r="N632"/>
  <c r="L632"/>
  <c r="K632"/>
  <c r="J632"/>
  <c r="I632"/>
  <c r="H632"/>
  <c r="Z631"/>
  <c r="Y631"/>
  <c r="X631"/>
  <c r="V631"/>
  <c r="T631"/>
  <c r="R631"/>
  <c r="P631"/>
  <c r="N631"/>
  <c r="L631"/>
  <c r="K631"/>
  <c r="J631"/>
  <c r="I631"/>
  <c r="H631"/>
  <c r="Z630"/>
  <c r="Y630"/>
  <c r="X630"/>
  <c r="V630"/>
  <c r="T630"/>
  <c r="R630"/>
  <c r="P630"/>
  <c r="N630"/>
  <c r="L630"/>
  <c r="K630"/>
  <c r="J630"/>
  <c r="I630"/>
  <c r="H630"/>
  <c r="Z629"/>
  <c r="Y629"/>
  <c r="X629"/>
  <c r="V629"/>
  <c r="T629"/>
  <c r="R629"/>
  <c r="P629"/>
  <c r="N629"/>
  <c r="L629"/>
  <c r="K629"/>
  <c r="J629"/>
  <c r="I629"/>
  <c r="H629"/>
  <c r="Z628"/>
  <c r="Y628"/>
  <c r="X628"/>
  <c r="V628"/>
  <c r="T628"/>
  <c r="R628"/>
  <c r="P628"/>
  <c r="N628"/>
  <c r="L628"/>
  <c r="K628"/>
  <c r="J628"/>
  <c r="I628"/>
  <c r="H628"/>
  <c r="Z627"/>
  <c r="Y627"/>
  <c r="X627"/>
  <c r="V627"/>
  <c r="T627"/>
  <c r="R627"/>
  <c r="P627"/>
  <c r="N627"/>
  <c r="L627"/>
  <c r="K627"/>
  <c r="J627"/>
  <c r="I627"/>
  <c r="H627"/>
  <c r="U626"/>
  <c r="S626"/>
  <c r="Q626"/>
  <c r="O626"/>
  <c r="M626"/>
  <c r="G626"/>
  <c r="F626"/>
  <c r="E626"/>
  <c r="D626"/>
  <c r="C626"/>
  <c r="Z625"/>
  <c r="Y625"/>
  <c r="X625"/>
  <c r="V625"/>
  <c r="T625"/>
  <c r="R625"/>
  <c r="P625"/>
  <c r="N625"/>
  <c r="L625"/>
  <c r="K625"/>
  <c r="J625"/>
  <c r="I625"/>
  <c r="H625"/>
  <c r="U624"/>
  <c r="S624"/>
  <c r="Q624"/>
  <c r="O624"/>
  <c r="M624"/>
  <c r="G624"/>
  <c r="F624"/>
  <c r="E624"/>
  <c r="D624"/>
  <c r="Z623"/>
  <c r="Y623"/>
  <c r="X623"/>
  <c r="V623"/>
  <c r="T623"/>
  <c r="R623"/>
  <c r="P623"/>
  <c r="N623"/>
  <c r="L623"/>
  <c r="K623"/>
  <c r="J623"/>
  <c r="I623"/>
  <c r="H623"/>
  <c r="Z622"/>
  <c r="Y622"/>
  <c r="X622"/>
  <c r="V622"/>
  <c r="T622"/>
  <c r="R622"/>
  <c r="P622"/>
  <c r="N622"/>
  <c r="L622"/>
  <c r="K622"/>
  <c r="J622"/>
  <c r="I622"/>
  <c r="H622"/>
  <c r="U621"/>
  <c r="S621"/>
  <c r="Q621"/>
  <c r="O621"/>
  <c r="M621"/>
  <c r="G621"/>
  <c r="F621"/>
  <c r="E621"/>
  <c r="D621"/>
  <c r="Z620"/>
  <c r="Y620"/>
  <c r="X620"/>
  <c r="V620"/>
  <c r="T620"/>
  <c r="R620"/>
  <c r="P620"/>
  <c r="N620"/>
  <c r="L620"/>
  <c r="K620"/>
  <c r="J620"/>
  <c r="I620"/>
  <c r="H620"/>
  <c r="Z619"/>
  <c r="Y619"/>
  <c r="X619"/>
  <c r="V619"/>
  <c r="T619"/>
  <c r="R619"/>
  <c r="P619"/>
  <c r="N619"/>
  <c r="L619"/>
  <c r="K619"/>
  <c r="J619"/>
  <c r="I619"/>
  <c r="H619"/>
  <c r="Z618"/>
  <c r="Y618"/>
  <c r="X618"/>
  <c r="V618"/>
  <c r="T618"/>
  <c r="R618"/>
  <c r="P618"/>
  <c r="N618"/>
  <c r="L618"/>
  <c r="K618"/>
  <c r="J618"/>
  <c r="I618"/>
  <c r="H618"/>
  <c r="U617"/>
  <c r="S617"/>
  <c r="Q617"/>
  <c r="O617"/>
  <c r="M617"/>
  <c r="F617"/>
  <c r="E617"/>
  <c r="D617"/>
  <c r="C617"/>
  <c r="Z683"/>
  <c r="Y683"/>
  <c r="X683"/>
  <c r="V683"/>
  <c r="T683"/>
  <c r="R683"/>
  <c r="P683"/>
  <c r="N683"/>
  <c r="L683"/>
  <c r="K683"/>
  <c r="J683"/>
  <c r="I683"/>
  <c r="H683"/>
  <c r="G683"/>
  <c r="U682"/>
  <c r="S682"/>
  <c r="Q682"/>
  <c r="O682"/>
  <c r="M682"/>
  <c r="F682"/>
  <c r="E682"/>
  <c r="D682"/>
  <c r="C682"/>
  <c r="Z616"/>
  <c r="Y616"/>
  <c r="X616"/>
  <c r="L616"/>
  <c r="K616"/>
  <c r="J616"/>
  <c r="I616"/>
  <c r="H616"/>
  <c r="U615"/>
  <c r="S615"/>
  <c r="Q615"/>
  <c r="O615"/>
  <c r="M615"/>
  <c r="G615"/>
  <c r="F615"/>
  <c r="E615"/>
  <c r="D615"/>
  <c r="Z614"/>
  <c r="Y614"/>
  <c r="X614"/>
  <c r="V614"/>
  <c r="T614"/>
  <c r="R614"/>
  <c r="P614"/>
  <c r="N614"/>
  <c r="L614"/>
  <c r="K614"/>
  <c r="J614"/>
  <c r="I614"/>
  <c r="H614"/>
  <c r="U613"/>
  <c r="S613"/>
  <c r="Q613"/>
  <c r="O613"/>
  <c r="M613"/>
  <c r="G613"/>
  <c r="F613"/>
  <c r="E613"/>
  <c r="D613"/>
  <c r="Z612"/>
  <c r="Y612"/>
  <c r="X612"/>
  <c r="V612"/>
  <c r="T612"/>
  <c r="R612"/>
  <c r="P612"/>
  <c r="N612"/>
  <c r="L612"/>
  <c r="K612"/>
  <c r="J612"/>
  <c r="I612"/>
  <c r="H612"/>
  <c r="U611"/>
  <c r="S611"/>
  <c r="Q611"/>
  <c r="O611"/>
  <c r="M611"/>
  <c r="G611"/>
  <c r="F611"/>
  <c r="E611"/>
  <c r="D611"/>
  <c r="Z610"/>
  <c r="Y610"/>
  <c r="X610"/>
  <c r="V610"/>
  <c r="T610"/>
  <c r="R610"/>
  <c r="P610"/>
  <c r="N610"/>
  <c r="L610"/>
  <c r="K610"/>
  <c r="J610"/>
  <c r="I610"/>
  <c r="H610"/>
  <c r="U609"/>
  <c r="S609"/>
  <c r="Q609"/>
  <c r="O609"/>
  <c r="M609"/>
  <c r="G609"/>
  <c r="F609"/>
  <c r="E609"/>
  <c r="D609"/>
  <c r="C609"/>
  <c r="Z608"/>
  <c r="Y608"/>
  <c r="X608"/>
  <c r="V608"/>
  <c r="T608"/>
  <c r="R608"/>
  <c r="P608"/>
  <c r="N608"/>
  <c r="L608"/>
  <c r="K608"/>
  <c r="J608"/>
  <c r="I608"/>
  <c r="H608"/>
  <c r="U607"/>
  <c r="S607"/>
  <c r="Q607"/>
  <c r="O607"/>
  <c r="M607"/>
  <c r="G607"/>
  <c r="F607"/>
  <c r="E607"/>
  <c r="D607"/>
  <c r="Z606"/>
  <c r="Y606"/>
  <c r="X606"/>
  <c r="V606"/>
  <c r="T606"/>
  <c r="R606"/>
  <c r="P606"/>
  <c r="N606"/>
  <c r="L606"/>
  <c r="K606"/>
  <c r="J606"/>
  <c r="I606"/>
  <c r="H606"/>
  <c r="Z605"/>
  <c r="Y605"/>
  <c r="X605"/>
  <c r="V605"/>
  <c r="T605"/>
  <c r="R605"/>
  <c r="P605"/>
  <c r="N605"/>
  <c r="L605"/>
  <c r="K605"/>
  <c r="J605"/>
  <c r="I605"/>
  <c r="H605"/>
  <c r="Z604"/>
  <c r="Y604"/>
  <c r="X604"/>
  <c r="V604"/>
  <c r="T604"/>
  <c r="R604"/>
  <c r="P604"/>
  <c r="N604"/>
  <c r="L604"/>
  <c r="K604"/>
  <c r="J604"/>
  <c r="I604"/>
  <c r="H604"/>
  <c r="U603"/>
  <c r="S603"/>
  <c r="Q603"/>
  <c r="O603"/>
  <c r="M603"/>
  <c r="G603"/>
  <c r="F603"/>
  <c r="E603"/>
  <c r="D603"/>
  <c r="Z602"/>
  <c r="Y602"/>
  <c r="X602"/>
  <c r="V602"/>
  <c r="T602"/>
  <c r="R602"/>
  <c r="P602"/>
  <c r="N602"/>
  <c r="L602"/>
  <c r="K602"/>
  <c r="J602"/>
  <c r="I602"/>
  <c r="H602"/>
  <c r="Z601"/>
  <c r="Y601"/>
  <c r="X601"/>
  <c r="V601"/>
  <c r="T601"/>
  <c r="R601"/>
  <c r="P601"/>
  <c r="N601"/>
  <c r="L601"/>
  <c r="K601"/>
  <c r="J601"/>
  <c r="I601"/>
  <c r="H601"/>
  <c r="Z600"/>
  <c r="Y600"/>
  <c r="X600"/>
  <c r="V600"/>
  <c r="T600"/>
  <c r="R600"/>
  <c r="P600"/>
  <c r="N600"/>
  <c r="L600"/>
  <c r="K600"/>
  <c r="J600"/>
  <c r="I600"/>
  <c r="H600"/>
  <c r="Z599"/>
  <c r="Y599"/>
  <c r="X599"/>
  <c r="V599"/>
  <c r="T599"/>
  <c r="R599"/>
  <c r="P599"/>
  <c r="N599"/>
  <c r="L599"/>
  <c r="K599"/>
  <c r="J599"/>
  <c r="I599"/>
  <c r="H599"/>
  <c r="U598"/>
  <c r="S598"/>
  <c r="Q598"/>
  <c r="O598"/>
  <c r="M598"/>
  <c r="G598"/>
  <c r="F598"/>
  <c r="E598"/>
  <c r="D598"/>
  <c r="Z597"/>
  <c r="Y597"/>
  <c r="X597"/>
  <c r="V597"/>
  <c r="T597"/>
  <c r="R597"/>
  <c r="P597"/>
  <c r="N597"/>
  <c r="L597"/>
  <c r="K597"/>
  <c r="J597"/>
  <c r="I597"/>
  <c r="H597"/>
  <c r="Z596"/>
  <c r="Y596"/>
  <c r="X596"/>
  <c r="V596"/>
  <c r="T596"/>
  <c r="R596"/>
  <c r="P596"/>
  <c r="N596"/>
  <c r="L596"/>
  <c r="K596"/>
  <c r="J596"/>
  <c r="I596"/>
  <c r="H596"/>
  <c r="U595"/>
  <c r="S595"/>
  <c r="Q595"/>
  <c r="O595"/>
  <c r="M595"/>
  <c r="G595"/>
  <c r="F595"/>
  <c r="E595"/>
  <c r="D595"/>
  <c r="Z594"/>
  <c r="Y594"/>
  <c r="X594"/>
  <c r="V594"/>
  <c r="T594"/>
  <c r="R594"/>
  <c r="P594"/>
  <c r="N594"/>
  <c r="L594"/>
  <c r="K594"/>
  <c r="J594"/>
  <c r="I594"/>
  <c r="H594"/>
  <c r="Z593"/>
  <c r="Y593"/>
  <c r="X593"/>
  <c r="V593"/>
  <c r="T593"/>
  <c r="R593"/>
  <c r="P593"/>
  <c r="N593"/>
  <c r="L593"/>
  <c r="K593"/>
  <c r="J593"/>
  <c r="I593"/>
  <c r="H593"/>
  <c r="Z592"/>
  <c r="Y592"/>
  <c r="X592"/>
  <c r="V592"/>
  <c r="T592"/>
  <c r="R592"/>
  <c r="P592"/>
  <c r="N592"/>
  <c r="L592"/>
  <c r="K592"/>
  <c r="J592"/>
  <c r="I592"/>
  <c r="H592"/>
  <c r="Z591"/>
  <c r="Y591"/>
  <c r="X591"/>
  <c r="V591"/>
  <c r="T591"/>
  <c r="R591"/>
  <c r="P591"/>
  <c r="N591"/>
  <c r="L591"/>
  <c r="K591"/>
  <c r="J591"/>
  <c r="I591"/>
  <c r="H591"/>
  <c r="Z590"/>
  <c r="Y590"/>
  <c r="X590"/>
  <c r="V590"/>
  <c r="T590"/>
  <c r="R590"/>
  <c r="P590"/>
  <c r="N590"/>
  <c r="L590"/>
  <c r="K590"/>
  <c r="J590"/>
  <c r="I590"/>
  <c r="H590"/>
  <c r="Z589"/>
  <c r="Y589"/>
  <c r="X589"/>
  <c r="V589"/>
  <c r="T589"/>
  <c r="R589"/>
  <c r="P589"/>
  <c r="N589"/>
  <c r="L589"/>
  <c r="K589"/>
  <c r="J589"/>
  <c r="I589"/>
  <c r="H589"/>
  <c r="Z588"/>
  <c r="Y588"/>
  <c r="X588"/>
  <c r="V588"/>
  <c r="T588"/>
  <c r="R588"/>
  <c r="P588"/>
  <c r="N588"/>
  <c r="L588"/>
  <c r="K588"/>
  <c r="J588"/>
  <c r="I588"/>
  <c r="H588"/>
  <c r="Z587"/>
  <c r="Y587"/>
  <c r="X587"/>
  <c r="V587"/>
  <c r="T587"/>
  <c r="R587"/>
  <c r="P587"/>
  <c r="N587"/>
  <c r="L587"/>
  <c r="K587"/>
  <c r="J587"/>
  <c r="I587"/>
  <c r="H587"/>
  <c r="U586"/>
  <c r="S586"/>
  <c r="Q586"/>
  <c r="O586"/>
  <c r="M586"/>
  <c r="G586"/>
  <c r="F586"/>
  <c r="E586"/>
  <c r="D586"/>
  <c r="Z585"/>
  <c r="Y585"/>
  <c r="X585"/>
  <c r="V585"/>
  <c r="T585"/>
  <c r="R585"/>
  <c r="P585"/>
  <c r="N585"/>
  <c r="L585"/>
  <c r="K585"/>
  <c r="J585"/>
  <c r="I585"/>
  <c r="H585"/>
  <c r="Z584"/>
  <c r="Y584"/>
  <c r="X584"/>
  <c r="V584"/>
  <c r="T584"/>
  <c r="R584"/>
  <c r="P584"/>
  <c r="N584"/>
  <c r="L584"/>
  <c r="K584"/>
  <c r="J584"/>
  <c r="I584"/>
  <c r="H584"/>
  <c r="Z583"/>
  <c r="Y583"/>
  <c r="X583"/>
  <c r="V583"/>
  <c r="T583"/>
  <c r="R583"/>
  <c r="P583"/>
  <c r="N583"/>
  <c r="L583"/>
  <c r="K583"/>
  <c r="J583"/>
  <c r="I583"/>
  <c r="H583"/>
  <c r="Z582"/>
  <c r="Y582"/>
  <c r="X582"/>
  <c r="V582"/>
  <c r="T582"/>
  <c r="R582"/>
  <c r="P582"/>
  <c r="N582"/>
  <c r="L582"/>
  <c r="K582"/>
  <c r="J582"/>
  <c r="I582"/>
  <c r="H582"/>
  <c r="Z581"/>
  <c r="Y581"/>
  <c r="X581"/>
  <c r="V581"/>
  <c r="T581"/>
  <c r="R581"/>
  <c r="P581"/>
  <c r="N581"/>
  <c r="L581"/>
  <c r="K581"/>
  <c r="J581"/>
  <c r="I581"/>
  <c r="H581"/>
  <c r="Z580"/>
  <c r="Y580"/>
  <c r="X580"/>
  <c r="V580"/>
  <c r="T580"/>
  <c r="R580"/>
  <c r="P580"/>
  <c r="N580"/>
  <c r="L580"/>
  <c r="K580"/>
  <c r="J580"/>
  <c r="I580"/>
  <c r="H580"/>
  <c r="Z579"/>
  <c r="Y579"/>
  <c r="X579"/>
  <c r="V579"/>
  <c r="T579"/>
  <c r="R579"/>
  <c r="P579"/>
  <c r="N579"/>
  <c r="L579"/>
  <c r="K579"/>
  <c r="J579"/>
  <c r="I579"/>
  <c r="H579"/>
  <c r="Z578"/>
  <c r="Y578"/>
  <c r="X578"/>
  <c r="V578"/>
  <c r="T578"/>
  <c r="R578"/>
  <c r="P578"/>
  <c r="N578"/>
  <c r="L578"/>
  <c r="K578"/>
  <c r="J578"/>
  <c r="I578"/>
  <c r="H578"/>
  <c r="T577"/>
  <c r="R577"/>
  <c r="G577"/>
  <c r="F577"/>
  <c r="E577"/>
  <c r="D577"/>
  <c r="Z576"/>
  <c r="Y576"/>
  <c r="X576"/>
  <c r="V576"/>
  <c r="T576"/>
  <c r="R576"/>
  <c r="P576"/>
  <c r="N576"/>
  <c r="L576"/>
  <c r="K576"/>
  <c r="J576"/>
  <c r="I576"/>
  <c r="H576"/>
  <c r="Z575"/>
  <c r="Y575"/>
  <c r="X575"/>
  <c r="V575"/>
  <c r="T575"/>
  <c r="R575"/>
  <c r="P575"/>
  <c r="N575"/>
  <c r="L575"/>
  <c r="K575"/>
  <c r="J575"/>
  <c r="I575"/>
  <c r="H575"/>
  <c r="Z574"/>
  <c r="Y574"/>
  <c r="X574"/>
  <c r="V574"/>
  <c r="T574"/>
  <c r="R574"/>
  <c r="P574"/>
  <c r="N574"/>
  <c r="L574"/>
  <c r="K574"/>
  <c r="J574"/>
  <c r="I574"/>
  <c r="H574"/>
  <c r="U573"/>
  <c r="S573"/>
  <c r="Q573"/>
  <c r="O573"/>
  <c r="M573"/>
  <c r="G573"/>
  <c r="F573"/>
  <c r="E573"/>
  <c r="D573"/>
  <c r="Z572"/>
  <c r="Y572"/>
  <c r="X572"/>
  <c r="V572"/>
  <c r="T572"/>
  <c r="R572"/>
  <c r="P572"/>
  <c r="N572"/>
  <c r="L572"/>
  <c r="K572"/>
  <c r="J572"/>
  <c r="I572"/>
  <c r="H572"/>
  <c r="U571"/>
  <c r="S571"/>
  <c r="Q571"/>
  <c r="O571"/>
  <c r="M571"/>
  <c r="G571"/>
  <c r="F571"/>
  <c r="E571"/>
  <c r="D571"/>
  <c r="Z570"/>
  <c r="Y570"/>
  <c r="X570"/>
  <c r="V570"/>
  <c r="T570"/>
  <c r="R570"/>
  <c r="P570"/>
  <c r="N570"/>
  <c r="L570"/>
  <c r="K570"/>
  <c r="J570"/>
  <c r="I570"/>
  <c r="H570"/>
  <c r="U569"/>
  <c r="S569"/>
  <c r="Q569"/>
  <c r="O569"/>
  <c r="M569"/>
  <c r="G569"/>
  <c r="F569"/>
  <c r="E569"/>
  <c r="D569"/>
  <c r="Z568"/>
  <c r="Y568"/>
  <c r="X568"/>
  <c r="V568"/>
  <c r="T568"/>
  <c r="R568"/>
  <c r="P568"/>
  <c r="N568"/>
  <c r="L568"/>
  <c r="K568"/>
  <c r="J568"/>
  <c r="I568"/>
  <c r="H568"/>
  <c r="Z567"/>
  <c r="Y567"/>
  <c r="X567"/>
  <c r="V567"/>
  <c r="T567"/>
  <c r="R567"/>
  <c r="P567"/>
  <c r="N567"/>
  <c r="L567"/>
  <c r="K567"/>
  <c r="J567"/>
  <c r="I567"/>
  <c r="H567"/>
  <c r="Z566"/>
  <c r="Y566"/>
  <c r="X566"/>
  <c r="V566"/>
  <c r="T566"/>
  <c r="R566"/>
  <c r="P566"/>
  <c r="N566"/>
  <c r="L566"/>
  <c r="K566"/>
  <c r="J566"/>
  <c r="I566"/>
  <c r="H566"/>
  <c r="Z565"/>
  <c r="Y565"/>
  <c r="X565"/>
  <c r="V565"/>
  <c r="T565"/>
  <c r="R565"/>
  <c r="P565"/>
  <c r="N565"/>
  <c r="L565"/>
  <c r="K565"/>
  <c r="J565"/>
  <c r="I565"/>
  <c r="H565"/>
  <c r="Z564"/>
  <c r="Y564"/>
  <c r="X564"/>
  <c r="V564"/>
  <c r="T564"/>
  <c r="R564"/>
  <c r="P564"/>
  <c r="N564"/>
  <c r="L564"/>
  <c r="K564"/>
  <c r="J564"/>
  <c r="I564"/>
  <c r="H564"/>
  <c r="U563"/>
  <c r="S563"/>
  <c r="Q563"/>
  <c r="O563"/>
  <c r="M563"/>
  <c r="G563"/>
  <c r="F563"/>
  <c r="E563"/>
  <c r="D563"/>
  <c r="C563"/>
  <c r="Z561"/>
  <c r="Y561"/>
  <c r="X561"/>
  <c r="V561"/>
  <c r="T561"/>
  <c r="R561"/>
  <c r="P561"/>
  <c r="N561"/>
  <c r="L561"/>
  <c r="K561"/>
  <c r="J561"/>
  <c r="I561"/>
  <c r="H561"/>
  <c r="Z560"/>
  <c r="Y560"/>
  <c r="X560"/>
  <c r="V560"/>
  <c r="T560"/>
  <c r="R560"/>
  <c r="P560"/>
  <c r="N560"/>
  <c r="L560"/>
  <c r="K560"/>
  <c r="J560"/>
  <c r="I560"/>
  <c r="H560"/>
  <c r="U559"/>
  <c r="S559"/>
  <c r="Q559"/>
  <c r="O559"/>
  <c r="M559"/>
  <c r="G559"/>
  <c r="F559"/>
  <c r="E559"/>
  <c r="D559"/>
  <c r="C559"/>
  <c r="Z558"/>
  <c r="Y558"/>
  <c r="X558"/>
  <c r="V558"/>
  <c r="T558"/>
  <c r="R558"/>
  <c r="P558"/>
  <c r="N558"/>
  <c r="L558"/>
  <c r="K558"/>
  <c r="J558"/>
  <c r="I558"/>
  <c r="H558"/>
  <c r="U557"/>
  <c r="S557"/>
  <c r="Q557"/>
  <c r="O557"/>
  <c r="M557"/>
  <c r="G557"/>
  <c r="F557"/>
  <c r="E557"/>
  <c r="D557"/>
  <c r="Z556"/>
  <c r="Y556"/>
  <c r="X556"/>
  <c r="V556"/>
  <c r="T556"/>
  <c r="R556"/>
  <c r="P556"/>
  <c r="N556"/>
  <c r="L556"/>
  <c r="K556"/>
  <c r="J556"/>
  <c r="I556"/>
  <c r="H556"/>
  <c r="Z555"/>
  <c r="Y555"/>
  <c r="X555"/>
  <c r="V555"/>
  <c r="T555"/>
  <c r="R555"/>
  <c r="P555"/>
  <c r="N555"/>
  <c r="L555"/>
  <c r="K555"/>
  <c r="J555"/>
  <c r="I555"/>
  <c r="H555"/>
  <c r="Z554"/>
  <c r="Y554"/>
  <c r="X554"/>
  <c r="V554"/>
  <c r="T554"/>
  <c r="R554"/>
  <c r="P554"/>
  <c r="N554"/>
  <c r="L554"/>
  <c r="K554"/>
  <c r="J554"/>
  <c r="I554"/>
  <c r="H554"/>
  <c r="Z553"/>
  <c r="Y553"/>
  <c r="X553"/>
  <c r="V553"/>
  <c r="T553"/>
  <c r="R553"/>
  <c r="P553"/>
  <c r="N553"/>
  <c r="L553"/>
  <c r="K553"/>
  <c r="J553"/>
  <c r="I553"/>
  <c r="H553"/>
  <c r="Z552"/>
  <c r="Y552"/>
  <c r="X552"/>
  <c r="V552"/>
  <c r="T552"/>
  <c r="R552"/>
  <c r="P552"/>
  <c r="N552"/>
  <c r="L552"/>
  <c r="K552"/>
  <c r="J552"/>
  <c r="I552"/>
  <c r="H552"/>
  <c r="Z551"/>
  <c r="Y551"/>
  <c r="X551"/>
  <c r="V551"/>
  <c r="T551"/>
  <c r="R551"/>
  <c r="P551"/>
  <c r="N551"/>
  <c r="L551"/>
  <c r="K551"/>
  <c r="J551"/>
  <c r="I551"/>
  <c r="H551"/>
  <c r="U550"/>
  <c r="S550"/>
  <c r="Q550"/>
  <c r="O550"/>
  <c r="M550"/>
  <c r="G550"/>
  <c r="F550"/>
  <c r="E550"/>
  <c r="D550"/>
  <c r="Z549"/>
  <c r="Y549"/>
  <c r="X549"/>
  <c r="V549"/>
  <c r="T549"/>
  <c r="R549"/>
  <c r="P549"/>
  <c r="N549"/>
  <c r="L549"/>
  <c r="K549"/>
  <c r="J549"/>
  <c r="I549"/>
  <c r="H549"/>
  <c r="Z548"/>
  <c r="Y548"/>
  <c r="X548"/>
  <c r="V548"/>
  <c r="T548"/>
  <c r="R548"/>
  <c r="P548"/>
  <c r="N548"/>
  <c r="L548"/>
  <c r="K548"/>
  <c r="J548"/>
  <c r="I548"/>
  <c r="H548"/>
  <c r="Z547"/>
  <c r="Y547"/>
  <c r="X547"/>
  <c r="V547"/>
  <c r="T547"/>
  <c r="R547"/>
  <c r="P547"/>
  <c r="N547"/>
  <c r="L547"/>
  <c r="K547"/>
  <c r="J547"/>
  <c r="I547"/>
  <c r="H547"/>
  <c r="Z546"/>
  <c r="Y546"/>
  <c r="X546"/>
  <c r="V546"/>
  <c r="T546"/>
  <c r="R546"/>
  <c r="P546"/>
  <c r="N546"/>
  <c r="L546"/>
  <c r="K546"/>
  <c r="J546"/>
  <c r="I546"/>
  <c r="H546"/>
  <c r="Z685"/>
  <c r="Y685"/>
  <c r="X685"/>
  <c r="V685"/>
  <c r="T685"/>
  <c r="R685"/>
  <c r="P685"/>
  <c r="N685"/>
  <c r="L685"/>
  <c r="K685"/>
  <c r="J685"/>
  <c r="I685"/>
  <c r="H685"/>
  <c r="U545"/>
  <c r="T545"/>
  <c r="S545"/>
  <c r="R545"/>
  <c r="Q545"/>
  <c r="P545"/>
  <c r="O545"/>
  <c r="N545"/>
  <c r="M545"/>
  <c r="G545"/>
  <c r="F545"/>
  <c r="E545"/>
  <c r="D545"/>
  <c r="C545"/>
  <c r="C684" s="1"/>
  <c r="Z544"/>
  <c r="Y544"/>
  <c r="X544"/>
  <c r="V544"/>
  <c r="T544"/>
  <c r="R544"/>
  <c r="P544"/>
  <c r="N544"/>
  <c r="L544"/>
  <c r="K544"/>
  <c r="J544"/>
  <c r="I544"/>
  <c r="H544"/>
  <c r="U543"/>
  <c r="T543"/>
  <c r="S543"/>
  <c r="R543"/>
  <c r="Q543"/>
  <c r="P543"/>
  <c r="O543"/>
  <c r="N543"/>
  <c r="M543"/>
  <c r="G543"/>
  <c r="F543"/>
  <c r="E543"/>
  <c r="D543"/>
  <c r="U542"/>
  <c r="S542"/>
  <c r="Q542"/>
  <c r="O542"/>
  <c r="M542"/>
  <c r="G542"/>
  <c r="F542"/>
  <c r="E542"/>
  <c r="D542"/>
  <c r="U541"/>
  <c r="T541"/>
  <c r="S541"/>
  <c r="R541"/>
  <c r="Q541"/>
  <c r="P541"/>
  <c r="O541"/>
  <c r="N541"/>
  <c r="M541"/>
  <c r="G541"/>
  <c r="F541"/>
  <c r="E541"/>
  <c r="D541"/>
  <c r="C541"/>
  <c r="Z663"/>
  <c r="Y663"/>
  <c r="X663"/>
  <c r="V663"/>
  <c r="T663"/>
  <c r="R663"/>
  <c r="P663"/>
  <c r="N663"/>
  <c r="L663"/>
  <c r="K663"/>
  <c r="J663"/>
  <c r="I663"/>
  <c r="H663"/>
  <c r="T662"/>
  <c r="R662"/>
  <c r="P662"/>
  <c r="N662"/>
  <c r="M662"/>
  <c r="G662"/>
  <c r="F662"/>
  <c r="E662"/>
  <c r="D662"/>
  <c r="C662"/>
  <c r="Z540"/>
  <c r="Y540"/>
  <c r="X540"/>
  <c r="V540"/>
  <c r="T540"/>
  <c r="R540"/>
  <c r="P540"/>
  <c r="N540"/>
  <c r="L540"/>
  <c r="K540"/>
  <c r="J540"/>
  <c r="I540"/>
  <c r="H540"/>
  <c r="U539"/>
  <c r="S539"/>
  <c r="Q539"/>
  <c r="O539"/>
  <c r="M539"/>
  <c r="G539"/>
  <c r="F539"/>
  <c r="E539"/>
  <c r="D539"/>
  <c r="Z538"/>
  <c r="Y538"/>
  <c r="X538"/>
  <c r="V538"/>
  <c r="T538"/>
  <c r="R538"/>
  <c r="P538"/>
  <c r="N538"/>
  <c r="L538"/>
  <c r="K538"/>
  <c r="J538"/>
  <c r="I538"/>
  <c r="H538"/>
  <c r="Z537"/>
  <c r="Y537"/>
  <c r="X537"/>
  <c r="V537"/>
  <c r="T537"/>
  <c r="R537"/>
  <c r="P537"/>
  <c r="N537"/>
  <c r="L537"/>
  <c r="K537"/>
  <c r="J537"/>
  <c r="I537"/>
  <c r="H537"/>
  <c r="Z58"/>
  <c r="Y58"/>
  <c r="X58"/>
  <c r="V58"/>
  <c r="T58"/>
  <c r="R58"/>
  <c r="P58"/>
  <c r="N58"/>
  <c r="L58"/>
  <c r="K58"/>
  <c r="J58"/>
  <c r="I58"/>
  <c r="H58"/>
  <c r="U536"/>
  <c r="S536"/>
  <c r="Q536"/>
  <c r="O536"/>
  <c r="M536"/>
  <c r="G536"/>
  <c r="F536"/>
  <c r="E536"/>
  <c r="D536"/>
  <c r="Z535"/>
  <c r="Y535"/>
  <c r="X535"/>
  <c r="V535"/>
  <c r="T535"/>
  <c r="R535"/>
  <c r="P535"/>
  <c r="N535"/>
  <c r="L535"/>
  <c r="K535"/>
  <c r="J535"/>
  <c r="I535"/>
  <c r="H535"/>
  <c r="U534"/>
  <c r="S534"/>
  <c r="Q534"/>
  <c r="O534"/>
  <c r="M534"/>
  <c r="G534"/>
  <c r="F534"/>
  <c r="E534"/>
  <c r="D534"/>
  <c r="Z533"/>
  <c r="Y533"/>
  <c r="X533"/>
  <c r="V533"/>
  <c r="T533"/>
  <c r="R533"/>
  <c r="P533"/>
  <c r="N533"/>
  <c r="L533"/>
  <c r="K533"/>
  <c r="J533"/>
  <c r="I533"/>
  <c r="H533"/>
  <c r="Z532"/>
  <c r="Y532"/>
  <c r="X532"/>
  <c r="V532"/>
  <c r="T532"/>
  <c r="R532"/>
  <c r="P532"/>
  <c r="N532"/>
  <c r="L532"/>
  <c r="K532"/>
  <c r="J532"/>
  <c r="I532"/>
  <c r="H532"/>
  <c r="U531"/>
  <c r="S531"/>
  <c r="Q531"/>
  <c r="O531"/>
  <c r="M531"/>
  <c r="G531"/>
  <c r="F531"/>
  <c r="E531"/>
  <c r="D531"/>
  <c r="Z530"/>
  <c r="Y530"/>
  <c r="X530"/>
  <c r="V530"/>
  <c r="T530"/>
  <c r="R530"/>
  <c r="P530"/>
  <c r="N530"/>
  <c r="L530"/>
  <c r="K530"/>
  <c r="J530"/>
  <c r="I530"/>
  <c r="H530"/>
  <c r="U529"/>
  <c r="S529"/>
  <c r="Q529"/>
  <c r="O529"/>
  <c r="M529"/>
  <c r="G529"/>
  <c r="F529"/>
  <c r="E529"/>
  <c r="D529"/>
  <c r="C529"/>
  <c r="Z528"/>
  <c r="Y528"/>
  <c r="X528"/>
  <c r="V528"/>
  <c r="T528"/>
  <c r="R528"/>
  <c r="P528"/>
  <c r="N528"/>
  <c r="L528"/>
  <c r="K528"/>
  <c r="J528"/>
  <c r="I528"/>
  <c r="H528"/>
  <c r="Z527"/>
  <c r="Y527"/>
  <c r="X527"/>
  <c r="V527"/>
  <c r="T527"/>
  <c r="R527"/>
  <c r="P527"/>
  <c r="N527"/>
  <c r="L527"/>
  <c r="K527"/>
  <c r="J527"/>
  <c r="I527"/>
  <c r="H527"/>
  <c r="Z526"/>
  <c r="Y526"/>
  <c r="X526"/>
  <c r="V526"/>
  <c r="T526"/>
  <c r="R526"/>
  <c r="P526"/>
  <c r="N526"/>
  <c r="L526"/>
  <c r="K526"/>
  <c r="J526"/>
  <c r="I526"/>
  <c r="H526"/>
  <c r="Z525"/>
  <c r="Y525"/>
  <c r="X525"/>
  <c r="V525"/>
  <c r="T525"/>
  <c r="R525"/>
  <c r="P525"/>
  <c r="N525"/>
  <c r="L525"/>
  <c r="K525"/>
  <c r="J525"/>
  <c r="I525"/>
  <c r="H525"/>
  <c r="Z524"/>
  <c r="Y524"/>
  <c r="X524"/>
  <c r="V524"/>
  <c r="T524"/>
  <c r="R524"/>
  <c r="P524"/>
  <c r="N524"/>
  <c r="L524"/>
  <c r="K524"/>
  <c r="J524"/>
  <c r="I524"/>
  <c r="H524"/>
  <c r="Z523"/>
  <c r="Y523"/>
  <c r="X523"/>
  <c r="V523"/>
  <c r="T523"/>
  <c r="R523"/>
  <c r="P523"/>
  <c r="N523"/>
  <c r="L523"/>
  <c r="K523"/>
  <c r="J523"/>
  <c r="I523"/>
  <c r="H523"/>
  <c r="Z522"/>
  <c r="Y522"/>
  <c r="X522"/>
  <c r="V522"/>
  <c r="T522"/>
  <c r="R522"/>
  <c r="P522"/>
  <c r="N522"/>
  <c r="L522"/>
  <c r="K522"/>
  <c r="J522"/>
  <c r="I522"/>
  <c r="H522"/>
  <c r="Z521"/>
  <c r="Y521"/>
  <c r="X521"/>
  <c r="V521"/>
  <c r="T521"/>
  <c r="R521"/>
  <c r="P521"/>
  <c r="N521"/>
  <c r="L521"/>
  <c r="K521"/>
  <c r="J521"/>
  <c r="I521"/>
  <c r="H521"/>
  <c r="Z520"/>
  <c r="Y520"/>
  <c r="X520"/>
  <c r="V520"/>
  <c r="T520"/>
  <c r="R520"/>
  <c r="P520"/>
  <c r="N520"/>
  <c r="L520"/>
  <c r="K520"/>
  <c r="J520"/>
  <c r="I520"/>
  <c r="H520"/>
  <c r="Z519"/>
  <c r="Y519"/>
  <c r="X519"/>
  <c r="V519"/>
  <c r="T519"/>
  <c r="R519"/>
  <c r="P519"/>
  <c r="N519"/>
  <c r="L519"/>
  <c r="K519"/>
  <c r="J519"/>
  <c r="I519"/>
  <c r="H519"/>
  <c r="T518"/>
  <c r="R518"/>
  <c r="P518"/>
  <c r="N518"/>
  <c r="G518"/>
  <c r="F518"/>
  <c r="E518"/>
  <c r="D518"/>
  <c r="C518"/>
  <c r="Z517"/>
  <c r="Y517"/>
  <c r="X517"/>
  <c r="V517"/>
  <c r="T517"/>
  <c r="R517"/>
  <c r="P517"/>
  <c r="N517"/>
  <c r="L517"/>
  <c r="K517"/>
  <c r="J517"/>
  <c r="I517"/>
  <c r="H517"/>
  <c r="G516"/>
  <c r="F516"/>
  <c r="E516"/>
  <c r="D516"/>
  <c r="Z515"/>
  <c r="Y515"/>
  <c r="X515"/>
  <c r="V515"/>
  <c r="T515"/>
  <c r="R515"/>
  <c r="P515"/>
  <c r="N515"/>
  <c r="L515"/>
  <c r="K515"/>
  <c r="J515"/>
  <c r="I515"/>
  <c r="H515"/>
  <c r="Z514"/>
  <c r="Y514"/>
  <c r="X514"/>
  <c r="V514"/>
  <c r="T514"/>
  <c r="R514"/>
  <c r="P514"/>
  <c r="N514"/>
  <c r="L514"/>
  <c r="K514"/>
  <c r="J514"/>
  <c r="I514"/>
  <c r="H514"/>
  <c r="Z513"/>
  <c r="Y513"/>
  <c r="X513"/>
  <c r="V513"/>
  <c r="T513"/>
  <c r="R513"/>
  <c r="P513"/>
  <c r="N513"/>
  <c r="L513"/>
  <c r="K513"/>
  <c r="J513"/>
  <c r="I513"/>
  <c r="H513"/>
  <c r="G512"/>
  <c r="F512"/>
  <c r="E512"/>
  <c r="D512"/>
  <c r="Z511"/>
  <c r="Y511"/>
  <c r="X511"/>
  <c r="V511"/>
  <c r="T511"/>
  <c r="R511"/>
  <c r="P511"/>
  <c r="N511"/>
  <c r="L511"/>
  <c r="K511"/>
  <c r="J511"/>
  <c r="I511"/>
  <c r="H511"/>
  <c r="G510"/>
  <c r="F510"/>
  <c r="E510"/>
  <c r="D510"/>
  <c r="G509"/>
  <c r="F509"/>
  <c r="E509"/>
  <c r="D509"/>
  <c r="Z508"/>
  <c r="Y508"/>
  <c r="X508"/>
  <c r="V508"/>
  <c r="T508"/>
  <c r="R508"/>
  <c r="P508"/>
  <c r="N508"/>
  <c r="L508"/>
  <c r="K508"/>
  <c r="J508"/>
  <c r="I508"/>
  <c r="H508"/>
  <c r="G507"/>
  <c r="F507"/>
  <c r="E507"/>
  <c r="D507"/>
  <c r="Z506"/>
  <c r="Y506"/>
  <c r="X506"/>
  <c r="V506"/>
  <c r="T506"/>
  <c r="R506"/>
  <c r="P506"/>
  <c r="N506"/>
  <c r="L506"/>
  <c r="K506"/>
  <c r="J506"/>
  <c r="I506"/>
  <c r="H506"/>
  <c r="Z505"/>
  <c r="Y505"/>
  <c r="X505"/>
  <c r="V505"/>
  <c r="T505"/>
  <c r="R505"/>
  <c r="P505"/>
  <c r="N505"/>
  <c r="L505"/>
  <c r="K505"/>
  <c r="J505"/>
  <c r="I505"/>
  <c r="H505"/>
  <c r="Z676"/>
  <c r="Y676"/>
  <c r="X676"/>
  <c r="V676"/>
  <c r="T676"/>
  <c r="R676"/>
  <c r="P676"/>
  <c r="N676"/>
  <c r="L676"/>
  <c r="K676"/>
  <c r="J676"/>
  <c r="I676"/>
  <c r="H676"/>
  <c r="G676"/>
  <c r="F676"/>
  <c r="E676"/>
  <c r="D676"/>
  <c r="Z675"/>
  <c r="Y675"/>
  <c r="X675"/>
  <c r="V675"/>
  <c r="T675"/>
  <c r="R675"/>
  <c r="P675"/>
  <c r="N675"/>
  <c r="L675"/>
  <c r="K675"/>
  <c r="J675"/>
  <c r="I675"/>
  <c r="H675"/>
  <c r="F675"/>
  <c r="E675"/>
  <c r="D675"/>
  <c r="G504"/>
  <c r="Z503"/>
  <c r="Y503"/>
  <c r="X503"/>
  <c r="V503"/>
  <c r="T503"/>
  <c r="R503"/>
  <c r="P503"/>
  <c r="N503"/>
  <c r="L503"/>
  <c r="K503"/>
  <c r="J503"/>
  <c r="I503"/>
  <c r="H503"/>
  <c r="F503"/>
  <c r="E503"/>
  <c r="D503"/>
  <c r="G502"/>
  <c r="Z501"/>
  <c r="Y501"/>
  <c r="X501"/>
  <c r="V501"/>
  <c r="T501"/>
  <c r="R501"/>
  <c r="P501"/>
  <c r="N501"/>
  <c r="L501"/>
  <c r="K501"/>
  <c r="J501"/>
  <c r="I501"/>
  <c r="H501"/>
  <c r="Z499"/>
  <c r="Y499"/>
  <c r="X499"/>
  <c r="V499"/>
  <c r="T499"/>
  <c r="R499"/>
  <c r="P499"/>
  <c r="N499"/>
  <c r="L499"/>
  <c r="K499"/>
  <c r="J499"/>
  <c r="I499"/>
  <c r="H499"/>
  <c r="F499"/>
  <c r="E499"/>
  <c r="D499"/>
  <c r="G498"/>
  <c r="Z497"/>
  <c r="Y497"/>
  <c r="X497"/>
  <c r="V497"/>
  <c r="T497"/>
  <c r="R497"/>
  <c r="P497"/>
  <c r="N497"/>
  <c r="L497"/>
  <c r="K497"/>
  <c r="J497"/>
  <c r="I497"/>
  <c r="H497"/>
  <c r="F497"/>
  <c r="E497"/>
  <c r="D497"/>
  <c r="G496"/>
  <c r="Z495"/>
  <c r="Y495"/>
  <c r="X495"/>
  <c r="V495"/>
  <c r="T495"/>
  <c r="R495"/>
  <c r="P495"/>
  <c r="N495"/>
  <c r="L495"/>
  <c r="K495"/>
  <c r="J495"/>
  <c r="I495"/>
  <c r="H495"/>
  <c r="F495"/>
  <c r="E495"/>
  <c r="D495"/>
  <c r="G494"/>
  <c r="Z493"/>
  <c r="Y493"/>
  <c r="X493"/>
  <c r="V493"/>
  <c r="T493"/>
  <c r="R493"/>
  <c r="P493"/>
  <c r="N493"/>
  <c r="L493"/>
  <c r="K493"/>
  <c r="J493"/>
  <c r="I493"/>
  <c r="H493"/>
  <c r="F493"/>
  <c r="E493"/>
  <c r="D493"/>
  <c r="G492"/>
  <c r="Z491"/>
  <c r="Y491"/>
  <c r="X491"/>
  <c r="V491"/>
  <c r="T491"/>
  <c r="R491"/>
  <c r="P491"/>
  <c r="N491"/>
  <c r="L491"/>
  <c r="K491"/>
  <c r="J491"/>
  <c r="I491"/>
  <c r="H491"/>
  <c r="F491"/>
  <c r="E491"/>
  <c r="D491"/>
  <c r="G490"/>
  <c r="Z674"/>
  <c r="Y674"/>
  <c r="X674"/>
  <c r="V674"/>
  <c r="T674"/>
  <c r="R674"/>
  <c r="P674"/>
  <c r="N674"/>
  <c r="L674"/>
  <c r="K674"/>
  <c r="J674"/>
  <c r="I674"/>
  <c r="H674"/>
  <c r="Z489"/>
  <c r="Y489"/>
  <c r="X489"/>
  <c r="V489"/>
  <c r="T489"/>
  <c r="R489"/>
  <c r="P489"/>
  <c r="N489"/>
  <c r="L489"/>
  <c r="K489"/>
  <c r="J489"/>
  <c r="I489"/>
  <c r="H489"/>
  <c r="Z488"/>
  <c r="Y488"/>
  <c r="X488"/>
  <c r="V488"/>
  <c r="T488"/>
  <c r="R488"/>
  <c r="P488"/>
  <c r="N488"/>
  <c r="L488"/>
  <c r="K488"/>
  <c r="J488"/>
  <c r="I488"/>
  <c r="H488"/>
  <c r="Z487"/>
  <c r="Y487"/>
  <c r="G487"/>
  <c r="F487"/>
  <c r="E487"/>
  <c r="D487"/>
  <c r="Z486"/>
  <c r="Y486"/>
  <c r="X486"/>
  <c r="V486"/>
  <c r="T486"/>
  <c r="R486"/>
  <c r="P486"/>
  <c r="N486"/>
  <c r="L486"/>
  <c r="K486"/>
  <c r="J486"/>
  <c r="I486"/>
  <c r="H486"/>
  <c r="F486"/>
  <c r="E486"/>
  <c r="D486"/>
  <c r="G485"/>
  <c r="Z483"/>
  <c r="Y483"/>
  <c r="X483"/>
  <c r="V483"/>
  <c r="T483"/>
  <c r="R483"/>
  <c r="P483"/>
  <c r="N483"/>
  <c r="L483"/>
  <c r="K483"/>
  <c r="J483"/>
  <c r="I483"/>
  <c r="H483"/>
  <c r="Z482"/>
  <c r="Y482"/>
  <c r="X482"/>
  <c r="V482"/>
  <c r="T482"/>
  <c r="R482"/>
  <c r="P482"/>
  <c r="N482"/>
  <c r="L482"/>
  <c r="K482"/>
  <c r="J482"/>
  <c r="I482"/>
  <c r="H482"/>
  <c r="G481"/>
  <c r="F481"/>
  <c r="E481"/>
  <c r="D481"/>
  <c r="Z480"/>
  <c r="Y480"/>
  <c r="X480"/>
  <c r="V480"/>
  <c r="T480"/>
  <c r="R480"/>
  <c r="P480"/>
  <c r="N480"/>
  <c r="L480"/>
  <c r="K480"/>
  <c r="J480"/>
  <c r="I480"/>
  <c r="H480"/>
  <c r="Z479"/>
  <c r="Y479"/>
  <c r="X479"/>
  <c r="V479"/>
  <c r="T479"/>
  <c r="R479"/>
  <c r="P479"/>
  <c r="N479"/>
  <c r="L479"/>
  <c r="K479"/>
  <c r="J479"/>
  <c r="I479"/>
  <c r="H479"/>
  <c r="Z478"/>
  <c r="Y478"/>
  <c r="X478"/>
  <c r="V478"/>
  <c r="T478"/>
  <c r="R478"/>
  <c r="P478"/>
  <c r="N478"/>
  <c r="L478"/>
  <c r="K478"/>
  <c r="J478"/>
  <c r="I478"/>
  <c r="H478"/>
  <c r="G477"/>
  <c r="F477"/>
  <c r="E477"/>
  <c r="D477"/>
  <c r="Z476"/>
  <c r="Y476"/>
  <c r="X476"/>
  <c r="V476"/>
  <c r="T476"/>
  <c r="R476"/>
  <c r="P476"/>
  <c r="N476"/>
  <c r="L476"/>
  <c r="K476"/>
  <c r="J476"/>
  <c r="I476"/>
  <c r="H476"/>
  <c r="G475"/>
  <c r="F475"/>
  <c r="E475"/>
  <c r="D475"/>
  <c r="Z474"/>
  <c r="Y474"/>
  <c r="X474"/>
  <c r="V474"/>
  <c r="T474"/>
  <c r="R474"/>
  <c r="P474"/>
  <c r="N474"/>
  <c r="L474"/>
  <c r="K474"/>
  <c r="J474"/>
  <c r="I474"/>
  <c r="H474"/>
  <c r="Z473"/>
  <c r="Y473"/>
  <c r="X473"/>
  <c r="V473"/>
  <c r="T473"/>
  <c r="R473"/>
  <c r="P473"/>
  <c r="N473"/>
  <c r="L473"/>
  <c r="K473"/>
  <c r="J473"/>
  <c r="I473"/>
  <c r="H473"/>
  <c r="Z472"/>
  <c r="Y472"/>
  <c r="X472"/>
  <c r="V472"/>
  <c r="T472"/>
  <c r="R472"/>
  <c r="P472"/>
  <c r="N472"/>
  <c r="L472"/>
  <c r="K472"/>
  <c r="J472"/>
  <c r="I472"/>
  <c r="H472"/>
  <c r="Z471"/>
  <c r="Y471"/>
  <c r="X471"/>
  <c r="V471"/>
  <c r="T471"/>
  <c r="R471"/>
  <c r="P471"/>
  <c r="N471"/>
  <c r="L471"/>
  <c r="K471"/>
  <c r="J471"/>
  <c r="I471"/>
  <c r="H471"/>
  <c r="Z470"/>
  <c r="Y470"/>
  <c r="X470"/>
  <c r="V470"/>
  <c r="T470"/>
  <c r="R470"/>
  <c r="P470"/>
  <c r="N470"/>
  <c r="L470"/>
  <c r="K470"/>
  <c r="J470"/>
  <c r="I470"/>
  <c r="H470"/>
  <c r="G469"/>
  <c r="F469"/>
  <c r="E469"/>
  <c r="D469"/>
  <c r="Z468"/>
  <c r="Y468"/>
  <c r="X468"/>
  <c r="V468"/>
  <c r="T468"/>
  <c r="R468"/>
  <c r="P468"/>
  <c r="N468"/>
  <c r="L468"/>
  <c r="K468"/>
  <c r="J468"/>
  <c r="I468"/>
  <c r="H468"/>
  <c r="G467"/>
  <c r="F467"/>
  <c r="E467"/>
  <c r="D467"/>
  <c r="Z466"/>
  <c r="Y466"/>
  <c r="X466"/>
  <c r="V466"/>
  <c r="T466"/>
  <c r="R466"/>
  <c r="P466"/>
  <c r="N466"/>
  <c r="L466"/>
  <c r="K466"/>
  <c r="J466"/>
  <c r="I466"/>
  <c r="H466"/>
  <c r="Z465"/>
  <c r="Y465"/>
  <c r="X465"/>
  <c r="V465"/>
  <c r="T465"/>
  <c r="R465"/>
  <c r="P465"/>
  <c r="N465"/>
  <c r="L465"/>
  <c r="K465"/>
  <c r="J465"/>
  <c r="I465"/>
  <c r="H465"/>
  <c r="U464"/>
  <c r="T464"/>
  <c r="S464"/>
  <c r="R464"/>
  <c r="Q464"/>
  <c r="P464"/>
  <c r="O464"/>
  <c r="N464"/>
  <c r="G464"/>
  <c r="C464"/>
  <c r="C673" s="1"/>
  <c r="Z463"/>
  <c r="Y463"/>
  <c r="X463"/>
  <c r="V463"/>
  <c r="T463"/>
  <c r="R463"/>
  <c r="P463"/>
  <c r="N463"/>
  <c r="L463"/>
  <c r="K463"/>
  <c r="J463"/>
  <c r="I463"/>
  <c r="H463"/>
  <c r="U462"/>
  <c r="S462"/>
  <c r="Q462"/>
  <c r="O462"/>
  <c r="M462"/>
  <c r="G462"/>
  <c r="F462"/>
  <c r="E462"/>
  <c r="D462"/>
  <c r="Z461"/>
  <c r="Y461"/>
  <c r="X461"/>
  <c r="V461"/>
  <c r="T461"/>
  <c r="R461"/>
  <c r="P461"/>
  <c r="N461"/>
  <c r="L461"/>
  <c r="K461"/>
  <c r="J461"/>
  <c r="I461"/>
  <c r="H461"/>
  <c r="Z460"/>
  <c r="Y460"/>
  <c r="X460"/>
  <c r="V460"/>
  <c r="T460"/>
  <c r="R460"/>
  <c r="P460"/>
  <c r="N460"/>
  <c r="L460"/>
  <c r="K460"/>
  <c r="J460"/>
  <c r="I460"/>
  <c r="H460"/>
  <c r="Z459"/>
  <c r="Y459"/>
  <c r="X459"/>
  <c r="V459"/>
  <c r="T459"/>
  <c r="R459"/>
  <c r="P459"/>
  <c r="N459"/>
  <c r="L459"/>
  <c r="K459"/>
  <c r="J459"/>
  <c r="I459"/>
  <c r="H459"/>
  <c r="Z458"/>
  <c r="Y458"/>
  <c r="X458"/>
  <c r="V458"/>
  <c r="T458"/>
  <c r="R458"/>
  <c r="P458"/>
  <c r="N458"/>
  <c r="L458"/>
  <c r="K458"/>
  <c r="J458"/>
  <c r="I458"/>
  <c r="H458"/>
  <c r="Z457"/>
  <c r="Y457"/>
  <c r="X457"/>
  <c r="V457"/>
  <c r="T457"/>
  <c r="R457"/>
  <c r="P457"/>
  <c r="N457"/>
  <c r="L457"/>
  <c r="K457"/>
  <c r="J457"/>
  <c r="I457"/>
  <c r="H457"/>
  <c r="U456"/>
  <c r="S456"/>
  <c r="Q456"/>
  <c r="O456"/>
  <c r="M456"/>
  <c r="G456"/>
  <c r="F456"/>
  <c r="E456"/>
  <c r="D456"/>
  <c r="Z455"/>
  <c r="Y455"/>
  <c r="X455"/>
  <c r="V455"/>
  <c r="T455"/>
  <c r="R455"/>
  <c r="P455"/>
  <c r="N455"/>
  <c r="L455"/>
  <c r="K455"/>
  <c r="J455"/>
  <c r="I455"/>
  <c r="H455"/>
  <c r="U454"/>
  <c r="S454"/>
  <c r="Q454"/>
  <c r="O454"/>
  <c r="M454"/>
  <c r="G454"/>
  <c r="F454"/>
  <c r="E454"/>
  <c r="D454"/>
  <c r="Z453"/>
  <c r="Y453"/>
  <c r="X453"/>
  <c r="V453"/>
  <c r="T453"/>
  <c r="R453"/>
  <c r="P453"/>
  <c r="N453"/>
  <c r="L453"/>
  <c r="K453"/>
  <c r="J453"/>
  <c r="I453"/>
  <c r="H453"/>
  <c r="U452"/>
  <c r="T452"/>
  <c r="S452"/>
  <c r="R452"/>
  <c r="Q452"/>
  <c r="P452"/>
  <c r="O452"/>
  <c r="N452"/>
  <c r="M452"/>
  <c r="G452"/>
  <c r="F452"/>
  <c r="E452"/>
  <c r="D452"/>
  <c r="Z451"/>
  <c r="Y451"/>
  <c r="X451"/>
  <c r="V451"/>
  <c r="T451"/>
  <c r="R451"/>
  <c r="P451"/>
  <c r="N451"/>
  <c r="L451"/>
  <c r="K451"/>
  <c r="J451"/>
  <c r="I451"/>
  <c r="H451"/>
  <c r="Z450"/>
  <c r="Y450"/>
  <c r="X450"/>
  <c r="V450"/>
  <c r="T450"/>
  <c r="R450"/>
  <c r="P450"/>
  <c r="N450"/>
  <c r="L450"/>
  <c r="K450"/>
  <c r="J450"/>
  <c r="I450"/>
  <c r="H450"/>
  <c r="U449"/>
  <c r="S449"/>
  <c r="Q449"/>
  <c r="O449"/>
  <c r="M449"/>
  <c r="G449"/>
  <c r="F449"/>
  <c r="E449"/>
  <c r="D449"/>
  <c r="C449"/>
  <c r="Z93"/>
  <c r="Y93"/>
  <c r="X93"/>
  <c r="V93"/>
  <c r="T93"/>
  <c r="R93"/>
  <c r="P93"/>
  <c r="N93"/>
  <c r="L93"/>
  <c r="K93"/>
  <c r="J93"/>
  <c r="I93"/>
  <c r="H93"/>
  <c r="U448"/>
  <c r="S448"/>
  <c r="Q448"/>
  <c r="O448"/>
  <c r="M448"/>
  <c r="G448"/>
  <c r="F448"/>
  <c r="E448"/>
  <c r="D448"/>
  <c r="Z447"/>
  <c r="Y447"/>
  <c r="X447"/>
  <c r="V447"/>
  <c r="T447"/>
  <c r="R447"/>
  <c r="P447"/>
  <c r="N447"/>
  <c r="L447"/>
  <c r="K447"/>
  <c r="J447"/>
  <c r="I447"/>
  <c r="H447"/>
  <c r="Z446"/>
  <c r="Y446"/>
  <c r="X446"/>
  <c r="V446"/>
  <c r="T446"/>
  <c r="R446"/>
  <c r="P446"/>
  <c r="N446"/>
  <c r="L446"/>
  <c r="K446"/>
  <c r="J446"/>
  <c r="I446"/>
  <c r="H446"/>
  <c r="Z92"/>
  <c r="Y92"/>
  <c r="X92"/>
  <c r="V92"/>
  <c r="T92"/>
  <c r="R92"/>
  <c r="P92"/>
  <c r="N92"/>
  <c r="L92"/>
  <c r="K92"/>
  <c r="J92"/>
  <c r="I92"/>
  <c r="H92"/>
  <c r="Z445"/>
  <c r="Y445"/>
  <c r="X445"/>
  <c r="V445"/>
  <c r="T445"/>
  <c r="R445"/>
  <c r="P445"/>
  <c r="N445"/>
  <c r="L445"/>
  <c r="K445"/>
  <c r="J445"/>
  <c r="I445"/>
  <c r="H445"/>
  <c r="G444"/>
  <c r="F444"/>
  <c r="E444"/>
  <c r="D444"/>
  <c r="C444"/>
  <c r="Z90"/>
  <c r="Y90"/>
  <c r="X90"/>
  <c r="V90"/>
  <c r="T90"/>
  <c r="R90"/>
  <c r="P90"/>
  <c r="N90"/>
  <c r="L90"/>
  <c r="K90"/>
  <c r="J90"/>
  <c r="I90"/>
  <c r="H90"/>
  <c r="Z89"/>
  <c r="Y89"/>
  <c r="X89"/>
  <c r="V89"/>
  <c r="T89"/>
  <c r="R89"/>
  <c r="P89"/>
  <c r="N89"/>
  <c r="L89"/>
  <c r="K89"/>
  <c r="J89"/>
  <c r="I89"/>
  <c r="H89"/>
  <c r="Z88"/>
  <c r="Y88"/>
  <c r="X88"/>
  <c r="V88"/>
  <c r="T88"/>
  <c r="R88"/>
  <c r="P88"/>
  <c r="N88"/>
  <c r="L88"/>
  <c r="K88"/>
  <c r="J88"/>
  <c r="I88"/>
  <c r="H88"/>
  <c r="Z443"/>
  <c r="Y443"/>
  <c r="X443"/>
  <c r="V443"/>
  <c r="T443"/>
  <c r="R443"/>
  <c r="P443"/>
  <c r="N443"/>
  <c r="L443"/>
  <c r="K443"/>
  <c r="J443"/>
  <c r="I443"/>
  <c r="H443"/>
  <c r="Z87"/>
  <c r="Y87"/>
  <c r="X87"/>
  <c r="V87"/>
  <c r="T87"/>
  <c r="R87"/>
  <c r="P87"/>
  <c r="N87"/>
  <c r="L87"/>
  <c r="K87"/>
  <c r="J87"/>
  <c r="I87"/>
  <c r="H87"/>
  <c r="Z86"/>
  <c r="Y86"/>
  <c r="X86"/>
  <c r="V86"/>
  <c r="T86"/>
  <c r="R86"/>
  <c r="P86"/>
  <c r="N86"/>
  <c r="L86"/>
  <c r="K86"/>
  <c r="J86"/>
  <c r="I86"/>
  <c r="H86"/>
  <c r="Z442"/>
  <c r="Y442"/>
  <c r="X442"/>
  <c r="V442"/>
  <c r="T442"/>
  <c r="R442"/>
  <c r="P442"/>
  <c r="N442"/>
  <c r="L442"/>
  <c r="K442"/>
  <c r="J442"/>
  <c r="I442"/>
  <c r="H442"/>
  <c r="U441"/>
  <c r="S441"/>
  <c r="Q441"/>
  <c r="O441"/>
  <c r="M441"/>
  <c r="G441"/>
  <c r="F441"/>
  <c r="E441"/>
  <c r="D441"/>
  <c r="Z85"/>
  <c r="Y85"/>
  <c r="X85"/>
  <c r="V85"/>
  <c r="T85"/>
  <c r="R85"/>
  <c r="P85"/>
  <c r="N85"/>
  <c r="L85"/>
  <c r="K85"/>
  <c r="J85"/>
  <c r="I85"/>
  <c r="H85"/>
  <c r="Z440"/>
  <c r="Y440"/>
  <c r="X440"/>
  <c r="V440"/>
  <c r="T440"/>
  <c r="R440"/>
  <c r="P440"/>
  <c r="N440"/>
  <c r="L440"/>
  <c r="K440"/>
  <c r="J440"/>
  <c r="I440"/>
  <c r="H440"/>
  <c r="Z439"/>
  <c r="Y439"/>
  <c r="X439"/>
  <c r="V439"/>
  <c r="T439"/>
  <c r="R439"/>
  <c r="P439"/>
  <c r="N439"/>
  <c r="L439"/>
  <c r="K439"/>
  <c r="J439"/>
  <c r="I439"/>
  <c r="H439"/>
  <c r="Z438"/>
  <c r="Y438"/>
  <c r="X438"/>
  <c r="V438"/>
  <c r="T438"/>
  <c r="R438"/>
  <c r="P438"/>
  <c r="N438"/>
  <c r="L438"/>
  <c r="K438"/>
  <c r="J438"/>
  <c r="I438"/>
  <c r="H438"/>
  <c r="Z437"/>
  <c r="Y437"/>
  <c r="X437"/>
  <c r="V437"/>
  <c r="T437"/>
  <c r="R437"/>
  <c r="P437"/>
  <c r="N437"/>
  <c r="L437"/>
  <c r="K437"/>
  <c r="J437"/>
  <c r="I437"/>
  <c r="H437"/>
  <c r="U436"/>
  <c r="S436"/>
  <c r="Q436"/>
  <c r="O436"/>
  <c r="M436"/>
  <c r="G436"/>
  <c r="F436"/>
  <c r="E436"/>
  <c r="D436"/>
  <c r="Z435"/>
  <c r="Y435"/>
  <c r="X435"/>
  <c r="V435"/>
  <c r="T435"/>
  <c r="R435"/>
  <c r="P435"/>
  <c r="N435"/>
  <c r="L435"/>
  <c r="K435"/>
  <c r="J435"/>
  <c r="I435"/>
  <c r="H435"/>
  <c r="Z434"/>
  <c r="Y434"/>
  <c r="X434"/>
  <c r="V434"/>
  <c r="T434"/>
  <c r="R434"/>
  <c r="P434"/>
  <c r="N434"/>
  <c r="L434"/>
  <c r="K434"/>
  <c r="J434"/>
  <c r="I434"/>
  <c r="H434"/>
  <c r="Z433"/>
  <c r="Y433"/>
  <c r="X433"/>
  <c r="V433"/>
  <c r="T433"/>
  <c r="R433"/>
  <c r="P433"/>
  <c r="N433"/>
  <c r="L433"/>
  <c r="K433"/>
  <c r="J433"/>
  <c r="I433"/>
  <c r="H433"/>
  <c r="Z432"/>
  <c r="Y432"/>
  <c r="X432"/>
  <c r="V432"/>
  <c r="T432"/>
  <c r="R432"/>
  <c r="P432"/>
  <c r="N432"/>
  <c r="L432"/>
  <c r="K432"/>
  <c r="J432"/>
  <c r="I432"/>
  <c r="H432"/>
  <c r="U431"/>
  <c r="S431"/>
  <c r="Q431"/>
  <c r="O431"/>
  <c r="M431"/>
  <c r="G431"/>
  <c r="F431"/>
  <c r="E431"/>
  <c r="D431"/>
  <c r="C431"/>
  <c r="Z430"/>
  <c r="Y430"/>
  <c r="X430"/>
  <c r="V430"/>
  <c r="T430"/>
  <c r="R430"/>
  <c r="P430"/>
  <c r="N430"/>
  <c r="L430"/>
  <c r="K430"/>
  <c r="J430"/>
  <c r="I430"/>
  <c r="H430"/>
  <c r="Z429"/>
  <c r="Y429"/>
  <c r="X429"/>
  <c r="V429"/>
  <c r="T429"/>
  <c r="R429"/>
  <c r="P429"/>
  <c r="N429"/>
  <c r="L429"/>
  <c r="K429"/>
  <c r="J429"/>
  <c r="I429"/>
  <c r="H429"/>
  <c r="Z57"/>
  <c r="Y57"/>
  <c r="X57"/>
  <c r="V57"/>
  <c r="T57"/>
  <c r="R57"/>
  <c r="P57"/>
  <c r="N57"/>
  <c r="L57"/>
  <c r="K57"/>
  <c r="J57"/>
  <c r="I57"/>
  <c r="H57"/>
  <c r="Z56"/>
  <c r="Y56"/>
  <c r="X56"/>
  <c r="V56"/>
  <c r="T56"/>
  <c r="R56"/>
  <c r="P56"/>
  <c r="N56"/>
  <c r="L56"/>
  <c r="K56"/>
  <c r="J56"/>
  <c r="I56"/>
  <c r="H56"/>
  <c r="U428"/>
  <c r="S428"/>
  <c r="Q428"/>
  <c r="O428"/>
  <c r="M428"/>
  <c r="G428"/>
  <c r="F428"/>
  <c r="E428"/>
  <c r="D428"/>
  <c r="Z427"/>
  <c r="Y427"/>
  <c r="X427"/>
  <c r="V427"/>
  <c r="T427"/>
  <c r="R427"/>
  <c r="P427"/>
  <c r="N427"/>
  <c r="L427"/>
  <c r="K427"/>
  <c r="J427"/>
  <c r="I427"/>
  <c r="H427"/>
  <c r="Z426"/>
  <c r="Y426"/>
  <c r="X426"/>
  <c r="V426"/>
  <c r="T426"/>
  <c r="R426"/>
  <c r="P426"/>
  <c r="N426"/>
  <c r="L426"/>
  <c r="K426"/>
  <c r="J426"/>
  <c r="I426"/>
  <c r="H426"/>
  <c r="Z425"/>
  <c r="Y425"/>
  <c r="X425"/>
  <c r="V425"/>
  <c r="T425"/>
  <c r="R425"/>
  <c r="P425"/>
  <c r="N425"/>
  <c r="L425"/>
  <c r="K425"/>
  <c r="J425"/>
  <c r="I425"/>
  <c r="H425"/>
  <c r="Z424"/>
  <c r="Y424"/>
  <c r="X424"/>
  <c r="V424"/>
  <c r="T424"/>
  <c r="R424"/>
  <c r="P424"/>
  <c r="N424"/>
  <c r="L424"/>
  <c r="K424"/>
  <c r="J424"/>
  <c r="I424"/>
  <c r="H424"/>
  <c r="Z423"/>
  <c r="Y423"/>
  <c r="X423"/>
  <c r="V423"/>
  <c r="T423"/>
  <c r="R423"/>
  <c r="P423"/>
  <c r="N423"/>
  <c r="L423"/>
  <c r="K423"/>
  <c r="J423"/>
  <c r="I423"/>
  <c r="H423"/>
  <c r="Z422"/>
  <c r="Y422"/>
  <c r="X422"/>
  <c r="V422"/>
  <c r="T422"/>
  <c r="R422"/>
  <c r="P422"/>
  <c r="N422"/>
  <c r="L422"/>
  <c r="K422"/>
  <c r="J422"/>
  <c r="I422"/>
  <c r="H422"/>
  <c r="U421"/>
  <c r="S421"/>
  <c r="Q421"/>
  <c r="O421"/>
  <c r="M421"/>
  <c r="G421"/>
  <c r="F421"/>
  <c r="E421"/>
  <c r="D421"/>
  <c r="C421"/>
  <c r="Z420"/>
  <c r="Y420"/>
  <c r="X420"/>
  <c r="V420"/>
  <c r="T420"/>
  <c r="R420"/>
  <c r="P420"/>
  <c r="N420"/>
  <c r="L420"/>
  <c r="K420"/>
  <c r="J420"/>
  <c r="I420"/>
  <c r="H420"/>
  <c r="Z419"/>
  <c r="Y419"/>
  <c r="X419"/>
  <c r="V419"/>
  <c r="T419"/>
  <c r="R419"/>
  <c r="P419"/>
  <c r="N419"/>
  <c r="L419"/>
  <c r="K419"/>
  <c r="J419"/>
  <c r="I419"/>
  <c r="H419"/>
  <c r="Z418"/>
  <c r="Y418"/>
  <c r="X418"/>
  <c r="V418"/>
  <c r="T418"/>
  <c r="R418"/>
  <c r="P418"/>
  <c r="N418"/>
  <c r="L418"/>
  <c r="K418"/>
  <c r="J418"/>
  <c r="I418"/>
  <c r="H418"/>
  <c r="U417"/>
  <c r="S417"/>
  <c r="Q417"/>
  <c r="O417"/>
  <c r="M417"/>
  <c r="G417"/>
  <c r="F417"/>
  <c r="E417"/>
  <c r="D417"/>
  <c r="Z416"/>
  <c r="Y416"/>
  <c r="X416"/>
  <c r="V416"/>
  <c r="T416"/>
  <c r="R416"/>
  <c r="P416"/>
  <c r="N416"/>
  <c r="L416"/>
  <c r="K416"/>
  <c r="J416"/>
  <c r="I416"/>
  <c r="H416"/>
  <c r="Z415"/>
  <c r="Y415"/>
  <c r="X415"/>
  <c r="V415"/>
  <c r="T415"/>
  <c r="R415"/>
  <c r="P415"/>
  <c r="N415"/>
  <c r="L415"/>
  <c r="K415"/>
  <c r="J415"/>
  <c r="I415"/>
  <c r="H415"/>
  <c r="Z414"/>
  <c r="Y414"/>
  <c r="X414"/>
  <c r="V414"/>
  <c r="T414"/>
  <c r="R414"/>
  <c r="P414"/>
  <c r="N414"/>
  <c r="L414"/>
  <c r="K414"/>
  <c r="J414"/>
  <c r="I414"/>
  <c r="H414"/>
  <c r="U413"/>
  <c r="S413"/>
  <c r="Q413"/>
  <c r="O413"/>
  <c r="M413"/>
  <c r="G413"/>
  <c r="F413"/>
  <c r="E413"/>
  <c r="D413"/>
  <c r="C413"/>
  <c r="Z412"/>
  <c r="Y412"/>
  <c r="X412"/>
  <c r="V412"/>
  <c r="T412"/>
  <c r="R412"/>
  <c r="P412"/>
  <c r="N412"/>
  <c r="L412"/>
  <c r="K412"/>
  <c r="J412"/>
  <c r="I412"/>
  <c r="H412"/>
  <c r="Z411"/>
  <c r="Y411"/>
  <c r="X411"/>
  <c r="V411"/>
  <c r="T411"/>
  <c r="R411"/>
  <c r="P411"/>
  <c r="N411"/>
  <c r="L411"/>
  <c r="K411"/>
  <c r="J411"/>
  <c r="I411"/>
  <c r="H411"/>
  <c r="Z410"/>
  <c r="Y410"/>
  <c r="X410"/>
  <c r="V410"/>
  <c r="T410"/>
  <c r="R410"/>
  <c r="P410"/>
  <c r="N410"/>
  <c r="L410"/>
  <c r="K410"/>
  <c r="J410"/>
  <c r="I410"/>
  <c r="H410"/>
  <c r="Z409"/>
  <c r="Y409"/>
  <c r="X409"/>
  <c r="V409"/>
  <c r="T409"/>
  <c r="R409"/>
  <c r="P409"/>
  <c r="N409"/>
  <c r="L409"/>
  <c r="K409"/>
  <c r="J409"/>
  <c r="I409"/>
  <c r="H409"/>
  <c r="U408"/>
  <c r="S408"/>
  <c r="Q408"/>
  <c r="O408"/>
  <c r="M408"/>
  <c r="G408"/>
  <c r="F408"/>
  <c r="E408"/>
  <c r="D408"/>
  <c r="Z82"/>
  <c r="Y82"/>
  <c r="X82"/>
  <c r="V82"/>
  <c r="T82"/>
  <c r="R82"/>
  <c r="P82"/>
  <c r="N82"/>
  <c r="L82"/>
  <c r="K82"/>
  <c r="J82"/>
  <c r="I82"/>
  <c r="H82"/>
  <c r="Z81"/>
  <c r="Y81"/>
  <c r="X81"/>
  <c r="V81"/>
  <c r="T81"/>
  <c r="R81"/>
  <c r="P81"/>
  <c r="N81"/>
  <c r="L81"/>
  <c r="K81"/>
  <c r="J81"/>
  <c r="I81"/>
  <c r="H81"/>
  <c r="Z80"/>
  <c r="Y80"/>
  <c r="X80"/>
  <c r="V80"/>
  <c r="T80"/>
  <c r="R80"/>
  <c r="P80"/>
  <c r="N80"/>
  <c r="L80"/>
  <c r="K80"/>
  <c r="J80"/>
  <c r="I80"/>
  <c r="H80"/>
  <c r="Z407"/>
  <c r="Y407"/>
  <c r="X407"/>
  <c r="V407"/>
  <c r="T407"/>
  <c r="R407"/>
  <c r="P407"/>
  <c r="N407"/>
  <c r="L407"/>
  <c r="K407"/>
  <c r="J407"/>
  <c r="I407"/>
  <c r="H407"/>
  <c r="U406"/>
  <c r="S406"/>
  <c r="Q406"/>
  <c r="O406"/>
  <c r="M406"/>
  <c r="G406"/>
  <c r="F406"/>
  <c r="E406"/>
  <c r="D406"/>
  <c r="Z690"/>
  <c r="Y690"/>
  <c r="X690"/>
  <c r="V690"/>
  <c r="T690"/>
  <c r="R690"/>
  <c r="P690"/>
  <c r="N690"/>
  <c r="L690"/>
  <c r="K690"/>
  <c r="J690"/>
  <c r="I690"/>
  <c r="H690"/>
  <c r="Z689"/>
  <c r="Y689"/>
  <c r="X689"/>
  <c r="V689"/>
  <c r="T689"/>
  <c r="R689"/>
  <c r="P689"/>
  <c r="N689"/>
  <c r="L689"/>
  <c r="K689"/>
  <c r="J689"/>
  <c r="I689"/>
  <c r="H689"/>
  <c r="Z688"/>
  <c r="Y688"/>
  <c r="X688"/>
  <c r="V688"/>
  <c r="T688"/>
  <c r="R688"/>
  <c r="P688"/>
  <c r="N688"/>
  <c r="L688"/>
  <c r="K688"/>
  <c r="J688"/>
  <c r="I688"/>
  <c r="H688"/>
  <c r="U405"/>
  <c r="S405"/>
  <c r="Q405"/>
  <c r="O405"/>
  <c r="M405"/>
  <c r="G405"/>
  <c r="F405"/>
  <c r="E405"/>
  <c r="D405"/>
  <c r="C405"/>
  <c r="C687" s="1"/>
  <c r="Z404"/>
  <c r="Y404"/>
  <c r="X404"/>
  <c r="V404"/>
  <c r="T404"/>
  <c r="R404"/>
  <c r="P404"/>
  <c r="N404"/>
  <c r="L404"/>
  <c r="K404"/>
  <c r="J404"/>
  <c r="I404"/>
  <c r="H404"/>
  <c r="Z403"/>
  <c r="Y403"/>
  <c r="X403"/>
  <c r="V403"/>
  <c r="T403"/>
  <c r="R403"/>
  <c r="P403"/>
  <c r="N403"/>
  <c r="L403"/>
  <c r="K403"/>
  <c r="J403"/>
  <c r="I403"/>
  <c r="H403"/>
  <c r="U402"/>
  <c r="S402"/>
  <c r="Q402"/>
  <c r="O402"/>
  <c r="M402"/>
  <c r="G402"/>
  <c r="F402"/>
  <c r="E402"/>
  <c r="D402"/>
  <c r="Z401"/>
  <c r="Y401"/>
  <c r="X401"/>
  <c r="V401"/>
  <c r="T401"/>
  <c r="R401"/>
  <c r="P401"/>
  <c r="N401"/>
  <c r="L401"/>
  <c r="K401"/>
  <c r="J401"/>
  <c r="I401"/>
  <c r="H401"/>
  <c r="U400"/>
  <c r="S400"/>
  <c r="Q400"/>
  <c r="O400"/>
  <c r="M400"/>
  <c r="G400"/>
  <c r="F400"/>
  <c r="E400"/>
  <c r="D400"/>
  <c r="Z399"/>
  <c r="Y399"/>
  <c r="X399"/>
  <c r="V399"/>
  <c r="T399"/>
  <c r="R399"/>
  <c r="P399"/>
  <c r="N399"/>
  <c r="L399"/>
  <c r="K399"/>
  <c r="J399"/>
  <c r="I399"/>
  <c r="H399"/>
  <c r="U398"/>
  <c r="S398"/>
  <c r="Q398"/>
  <c r="O398"/>
  <c r="M398"/>
  <c r="G398"/>
  <c r="F398"/>
  <c r="E398"/>
  <c r="D398"/>
  <c r="Z397"/>
  <c r="Y397"/>
  <c r="X397"/>
  <c r="V397"/>
  <c r="T397"/>
  <c r="R397"/>
  <c r="P397"/>
  <c r="N397"/>
  <c r="L397"/>
  <c r="K397"/>
  <c r="J397"/>
  <c r="I397"/>
  <c r="H397"/>
  <c r="Z396"/>
  <c r="Y396"/>
  <c r="X396"/>
  <c r="V396"/>
  <c r="T396"/>
  <c r="R396"/>
  <c r="P396"/>
  <c r="N396"/>
  <c r="L396"/>
  <c r="K396"/>
  <c r="J396"/>
  <c r="I396"/>
  <c r="H396"/>
  <c r="Z395"/>
  <c r="Y395"/>
  <c r="X395"/>
  <c r="V395"/>
  <c r="T395"/>
  <c r="R395"/>
  <c r="P395"/>
  <c r="N395"/>
  <c r="L395"/>
  <c r="K395"/>
  <c r="J395"/>
  <c r="I395"/>
  <c r="H395"/>
  <c r="U394"/>
  <c r="S394"/>
  <c r="Q394"/>
  <c r="O394"/>
  <c r="M394"/>
  <c r="G394"/>
  <c r="F394"/>
  <c r="E394"/>
  <c r="D394"/>
  <c r="Z393"/>
  <c r="Y393"/>
  <c r="X393"/>
  <c r="V393"/>
  <c r="T393"/>
  <c r="R393"/>
  <c r="P393"/>
  <c r="N393"/>
  <c r="L393"/>
  <c r="K393"/>
  <c r="J393"/>
  <c r="I393"/>
  <c r="H393"/>
  <c r="U392"/>
  <c r="S392"/>
  <c r="Q392"/>
  <c r="O392"/>
  <c r="M392"/>
  <c r="G392"/>
  <c r="F392"/>
  <c r="E392"/>
  <c r="D392"/>
  <c r="U391"/>
  <c r="S391"/>
  <c r="Q391"/>
  <c r="O391"/>
  <c r="M391"/>
  <c r="G391"/>
  <c r="F391"/>
  <c r="E391"/>
  <c r="D391"/>
  <c r="Z390"/>
  <c r="Y390"/>
  <c r="X390"/>
  <c r="V390"/>
  <c r="T390"/>
  <c r="R390"/>
  <c r="P390"/>
  <c r="N390"/>
  <c r="L390"/>
  <c r="K390"/>
  <c r="J390"/>
  <c r="I390"/>
  <c r="H390"/>
  <c r="U389"/>
  <c r="S389"/>
  <c r="Q389"/>
  <c r="O389"/>
  <c r="M389"/>
  <c r="G389"/>
  <c r="F389"/>
  <c r="E389"/>
  <c r="D389"/>
  <c r="Z388"/>
  <c r="Y388"/>
  <c r="X388"/>
  <c r="V388"/>
  <c r="T388"/>
  <c r="R388"/>
  <c r="P388"/>
  <c r="N388"/>
  <c r="L388"/>
  <c r="K388"/>
  <c r="J388"/>
  <c r="I388"/>
  <c r="H388"/>
  <c r="U387"/>
  <c r="S387"/>
  <c r="Q387"/>
  <c r="O387"/>
  <c r="M387"/>
  <c r="G387"/>
  <c r="F387"/>
  <c r="E387"/>
  <c r="D387"/>
  <c r="Z386"/>
  <c r="Y386"/>
  <c r="X386"/>
  <c r="V386"/>
  <c r="T386"/>
  <c r="R386"/>
  <c r="P386"/>
  <c r="N386"/>
  <c r="L386"/>
  <c r="K386"/>
  <c r="J386"/>
  <c r="I386"/>
  <c r="H386"/>
  <c r="Z385"/>
  <c r="Y385"/>
  <c r="X385"/>
  <c r="V385"/>
  <c r="T385"/>
  <c r="R385"/>
  <c r="P385"/>
  <c r="N385"/>
  <c r="L385"/>
  <c r="K385"/>
  <c r="J385"/>
  <c r="I385"/>
  <c r="H385"/>
  <c r="Z384"/>
  <c r="Y384"/>
  <c r="X384"/>
  <c r="V384"/>
  <c r="T384"/>
  <c r="R384"/>
  <c r="P384"/>
  <c r="N384"/>
  <c r="L384"/>
  <c r="K384"/>
  <c r="J384"/>
  <c r="I384"/>
  <c r="H384"/>
  <c r="Z383"/>
  <c r="Y383"/>
  <c r="X383"/>
  <c r="V383"/>
  <c r="T383"/>
  <c r="R383"/>
  <c r="P383"/>
  <c r="N383"/>
  <c r="L383"/>
  <c r="K383"/>
  <c r="J383"/>
  <c r="I383"/>
  <c r="H383"/>
  <c r="Z382"/>
  <c r="Y382"/>
  <c r="X382"/>
  <c r="V382"/>
  <c r="T382"/>
  <c r="R382"/>
  <c r="P382"/>
  <c r="N382"/>
  <c r="L382"/>
  <c r="K382"/>
  <c r="J382"/>
  <c r="I382"/>
  <c r="H382"/>
  <c r="Z381"/>
  <c r="Y381"/>
  <c r="X381"/>
  <c r="V381"/>
  <c r="T381"/>
  <c r="R381"/>
  <c r="P381"/>
  <c r="N381"/>
  <c r="L381"/>
  <c r="K381"/>
  <c r="J381"/>
  <c r="I381"/>
  <c r="H381"/>
  <c r="U380"/>
  <c r="S380"/>
  <c r="Q380"/>
  <c r="O380"/>
  <c r="M380"/>
  <c r="G380"/>
  <c r="F380"/>
  <c r="E380"/>
  <c r="D380"/>
  <c r="C380"/>
  <c r="Z379"/>
  <c r="Y379"/>
  <c r="X379"/>
  <c r="V379"/>
  <c r="T379"/>
  <c r="R379"/>
  <c r="P379"/>
  <c r="N379"/>
  <c r="L379"/>
  <c r="K379"/>
  <c r="J379"/>
  <c r="I379"/>
  <c r="H379"/>
  <c r="Z378"/>
  <c r="Y378"/>
  <c r="X378"/>
  <c r="V378"/>
  <c r="T378"/>
  <c r="R378"/>
  <c r="P378"/>
  <c r="N378"/>
  <c r="L378"/>
  <c r="K378"/>
  <c r="J378"/>
  <c r="I378"/>
  <c r="H378"/>
  <c r="Z377"/>
  <c r="Y377"/>
  <c r="X377"/>
  <c r="V377"/>
  <c r="T377"/>
  <c r="R377"/>
  <c r="P377"/>
  <c r="N377"/>
  <c r="L377"/>
  <c r="K377"/>
  <c r="J377"/>
  <c r="I377"/>
  <c r="H377"/>
  <c r="Z376"/>
  <c r="Y376"/>
  <c r="X376"/>
  <c r="V376"/>
  <c r="T376"/>
  <c r="R376"/>
  <c r="P376"/>
  <c r="N376"/>
  <c r="L376"/>
  <c r="K376"/>
  <c r="J376"/>
  <c r="I376"/>
  <c r="H376"/>
  <c r="Z375"/>
  <c r="Y375"/>
  <c r="X375"/>
  <c r="V375"/>
  <c r="T375"/>
  <c r="R375"/>
  <c r="P375"/>
  <c r="N375"/>
  <c r="L375"/>
  <c r="K375"/>
  <c r="J375"/>
  <c r="I375"/>
  <c r="H375"/>
  <c r="Z374"/>
  <c r="Y374"/>
  <c r="X374"/>
  <c r="V374"/>
  <c r="T374"/>
  <c r="R374"/>
  <c r="P374"/>
  <c r="N374"/>
  <c r="L374"/>
  <c r="K374"/>
  <c r="J374"/>
  <c r="I374"/>
  <c r="H374"/>
  <c r="Z373"/>
  <c r="Y373"/>
  <c r="X373"/>
  <c r="V373"/>
  <c r="T373"/>
  <c r="R373"/>
  <c r="P373"/>
  <c r="N373"/>
  <c r="L373"/>
  <c r="K373"/>
  <c r="J373"/>
  <c r="I373"/>
  <c r="H373"/>
  <c r="Z372"/>
  <c r="Y372"/>
  <c r="X372"/>
  <c r="V372"/>
  <c r="T372"/>
  <c r="R372"/>
  <c r="P372"/>
  <c r="N372"/>
  <c r="L372"/>
  <c r="K372"/>
  <c r="J372"/>
  <c r="I372"/>
  <c r="H372"/>
  <c r="Z371"/>
  <c r="Y371"/>
  <c r="X371"/>
  <c r="V371"/>
  <c r="T371"/>
  <c r="R371"/>
  <c r="P371"/>
  <c r="N371"/>
  <c r="L371"/>
  <c r="K371"/>
  <c r="J371"/>
  <c r="I371"/>
  <c r="H371"/>
  <c r="Z370"/>
  <c r="Y370"/>
  <c r="X370"/>
  <c r="V370"/>
  <c r="T370"/>
  <c r="R370"/>
  <c r="P370"/>
  <c r="N370"/>
  <c r="L370"/>
  <c r="K370"/>
  <c r="J370"/>
  <c r="I370"/>
  <c r="H370"/>
  <c r="Z369"/>
  <c r="Y369"/>
  <c r="X369"/>
  <c r="V369"/>
  <c r="T369"/>
  <c r="R369"/>
  <c r="P369"/>
  <c r="N369"/>
  <c r="L369"/>
  <c r="K369"/>
  <c r="J369"/>
  <c r="I369"/>
  <c r="H369"/>
  <c r="U368"/>
  <c r="S368"/>
  <c r="Q368"/>
  <c r="O368"/>
  <c r="M368"/>
  <c r="G368"/>
  <c r="F368"/>
  <c r="E368"/>
  <c r="D368"/>
  <c r="Z367"/>
  <c r="Y367"/>
  <c r="X367"/>
  <c r="V367"/>
  <c r="T367"/>
  <c r="R367"/>
  <c r="P367"/>
  <c r="N367"/>
  <c r="L367"/>
  <c r="K367"/>
  <c r="J367"/>
  <c r="I367"/>
  <c r="H367"/>
  <c r="Z366"/>
  <c r="Y366"/>
  <c r="X366"/>
  <c r="V366"/>
  <c r="T366"/>
  <c r="R366"/>
  <c r="P366"/>
  <c r="N366"/>
  <c r="L366"/>
  <c r="K366"/>
  <c r="J366"/>
  <c r="I366"/>
  <c r="H366"/>
  <c r="Z365"/>
  <c r="Y365"/>
  <c r="X365"/>
  <c r="V365"/>
  <c r="T365"/>
  <c r="R365"/>
  <c r="P365"/>
  <c r="N365"/>
  <c r="L365"/>
  <c r="K365"/>
  <c r="J365"/>
  <c r="I365"/>
  <c r="H365"/>
  <c r="Z364"/>
  <c r="Y364"/>
  <c r="X364"/>
  <c r="V364"/>
  <c r="T364"/>
  <c r="R364"/>
  <c r="P364"/>
  <c r="N364"/>
  <c r="L364"/>
  <c r="K364"/>
  <c r="J364"/>
  <c r="I364"/>
  <c r="H364"/>
  <c r="Z363"/>
  <c r="Y363"/>
  <c r="X363"/>
  <c r="V363"/>
  <c r="T363"/>
  <c r="R363"/>
  <c r="P363"/>
  <c r="N363"/>
  <c r="L363"/>
  <c r="K363"/>
  <c r="J363"/>
  <c r="I363"/>
  <c r="H363"/>
  <c r="Z362"/>
  <c r="Y362"/>
  <c r="X362"/>
  <c r="V362"/>
  <c r="T362"/>
  <c r="R362"/>
  <c r="P362"/>
  <c r="N362"/>
  <c r="L362"/>
  <c r="K362"/>
  <c r="J362"/>
  <c r="I362"/>
  <c r="H362"/>
  <c r="H361"/>
  <c r="U360"/>
  <c r="S360"/>
  <c r="Q360"/>
  <c r="O360"/>
  <c r="M360"/>
  <c r="G360"/>
  <c r="F360"/>
  <c r="E360"/>
  <c r="D360"/>
  <c r="C360"/>
  <c r="Z359"/>
  <c r="Y359"/>
  <c r="X359"/>
  <c r="V359"/>
  <c r="T359"/>
  <c r="R359"/>
  <c r="P359"/>
  <c r="N359"/>
  <c r="L359"/>
  <c r="K359"/>
  <c r="J359"/>
  <c r="I359"/>
  <c r="H359"/>
  <c r="Z358"/>
  <c r="Y358"/>
  <c r="X358"/>
  <c r="V358"/>
  <c r="T358"/>
  <c r="R358"/>
  <c r="P358"/>
  <c r="N358"/>
  <c r="L358"/>
  <c r="K358"/>
  <c r="J358"/>
  <c r="I358"/>
  <c r="H358"/>
  <c r="Z357"/>
  <c r="Y357"/>
  <c r="X357"/>
  <c r="V357"/>
  <c r="T357"/>
  <c r="R357"/>
  <c r="P357"/>
  <c r="N357"/>
  <c r="L357"/>
  <c r="K357"/>
  <c r="J357"/>
  <c r="I357"/>
  <c r="H357"/>
  <c r="Z356"/>
  <c r="Y356"/>
  <c r="X356"/>
  <c r="V356"/>
  <c r="T356"/>
  <c r="R356"/>
  <c r="P356"/>
  <c r="N356"/>
  <c r="L356"/>
  <c r="K356"/>
  <c r="J356"/>
  <c r="I356"/>
  <c r="H356"/>
  <c r="Z355"/>
  <c r="Y355"/>
  <c r="X355"/>
  <c r="V355"/>
  <c r="T355"/>
  <c r="R355"/>
  <c r="P355"/>
  <c r="N355"/>
  <c r="L355"/>
  <c r="K355"/>
  <c r="J355"/>
  <c r="I355"/>
  <c r="H355"/>
  <c r="Z354"/>
  <c r="Y354"/>
  <c r="X354"/>
  <c r="V354"/>
  <c r="T354"/>
  <c r="R354"/>
  <c r="P354"/>
  <c r="N354"/>
  <c r="L354"/>
  <c r="K354"/>
  <c r="J354"/>
  <c r="I354"/>
  <c r="H354"/>
  <c r="U353"/>
  <c r="S353"/>
  <c r="Q353"/>
  <c r="O353"/>
  <c r="M353"/>
  <c r="G353"/>
  <c r="F353"/>
  <c r="E353"/>
  <c r="D353"/>
  <c r="Z352"/>
  <c r="Y352"/>
  <c r="X352"/>
  <c r="V352"/>
  <c r="T352"/>
  <c r="R352"/>
  <c r="P352"/>
  <c r="N352"/>
  <c r="L352"/>
  <c r="K352"/>
  <c r="J352"/>
  <c r="I352"/>
  <c r="H352"/>
  <c r="Z351"/>
  <c r="Y351"/>
  <c r="X351"/>
  <c r="V351"/>
  <c r="T351"/>
  <c r="R351"/>
  <c r="P351"/>
  <c r="N351"/>
  <c r="L351"/>
  <c r="K351"/>
  <c r="J351"/>
  <c r="I351"/>
  <c r="H351"/>
  <c r="Z350"/>
  <c r="Y350"/>
  <c r="X350"/>
  <c r="V350"/>
  <c r="T350"/>
  <c r="R350"/>
  <c r="P350"/>
  <c r="N350"/>
  <c r="L350"/>
  <c r="K350"/>
  <c r="J350"/>
  <c r="I350"/>
  <c r="H350"/>
  <c r="Z349"/>
  <c r="Y349"/>
  <c r="X349"/>
  <c r="V349"/>
  <c r="T349"/>
  <c r="R349"/>
  <c r="P349"/>
  <c r="N349"/>
  <c r="L349"/>
  <c r="K349"/>
  <c r="J349"/>
  <c r="I349"/>
  <c r="H349"/>
  <c r="Z348"/>
  <c r="Y348"/>
  <c r="X348"/>
  <c r="V348"/>
  <c r="T348"/>
  <c r="R348"/>
  <c r="P348"/>
  <c r="N348"/>
  <c r="L348"/>
  <c r="K348"/>
  <c r="J348"/>
  <c r="I348"/>
  <c r="H348"/>
  <c r="Z347"/>
  <c r="Y347"/>
  <c r="X347"/>
  <c r="V347"/>
  <c r="T347"/>
  <c r="R347"/>
  <c r="P347"/>
  <c r="N347"/>
  <c r="L347"/>
  <c r="K347"/>
  <c r="J347"/>
  <c r="I347"/>
  <c r="H347"/>
  <c r="Z346"/>
  <c r="Y346"/>
  <c r="X346"/>
  <c r="V346"/>
  <c r="T346"/>
  <c r="R346"/>
  <c r="P346"/>
  <c r="N346"/>
  <c r="L346"/>
  <c r="K346"/>
  <c r="J346"/>
  <c r="I346"/>
  <c r="H346"/>
  <c r="Z345"/>
  <c r="Y345"/>
  <c r="X345"/>
  <c r="V345"/>
  <c r="T345"/>
  <c r="R345"/>
  <c r="P345"/>
  <c r="N345"/>
  <c r="L345"/>
  <c r="K345"/>
  <c r="J345"/>
  <c r="I345"/>
  <c r="H345"/>
  <c r="Z344"/>
  <c r="Y344"/>
  <c r="X344"/>
  <c r="V344"/>
  <c r="T344"/>
  <c r="R344"/>
  <c r="P344"/>
  <c r="N344"/>
  <c r="L344"/>
  <c r="K344"/>
  <c r="J344"/>
  <c r="I344"/>
  <c r="H344"/>
  <c r="U343"/>
  <c r="S343"/>
  <c r="Q343"/>
  <c r="O343"/>
  <c r="M343"/>
  <c r="G343"/>
  <c r="F343"/>
  <c r="E343"/>
  <c r="D343"/>
  <c r="C343"/>
  <c r="Z342"/>
  <c r="Y342"/>
  <c r="X342"/>
  <c r="V342"/>
  <c r="T342"/>
  <c r="R342"/>
  <c r="P342"/>
  <c r="N342"/>
  <c r="L342"/>
  <c r="K342"/>
  <c r="J342"/>
  <c r="I342"/>
  <c r="H342"/>
  <c r="Z341"/>
  <c r="Y341"/>
  <c r="X341"/>
  <c r="V341"/>
  <c r="T341"/>
  <c r="R341"/>
  <c r="P341"/>
  <c r="N341"/>
  <c r="L341"/>
  <c r="K341"/>
  <c r="J341"/>
  <c r="I341"/>
  <c r="H341"/>
  <c r="Z340"/>
  <c r="Y340"/>
  <c r="X340"/>
  <c r="V340"/>
  <c r="T340"/>
  <c r="R340"/>
  <c r="P340"/>
  <c r="N340"/>
  <c r="L340"/>
  <c r="K340"/>
  <c r="J340"/>
  <c r="I340"/>
  <c r="H340"/>
  <c r="Z339"/>
  <c r="Y339"/>
  <c r="X339"/>
  <c r="V339"/>
  <c r="T339"/>
  <c r="R339"/>
  <c r="P339"/>
  <c r="N339"/>
  <c r="L339"/>
  <c r="K339"/>
  <c r="J339"/>
  <c r="I339"/>
  <c r="H339"/>
  <c r="Z338"/>
  <c r="Y338"/>
  <c r="X338"/>
  <c r="V338"/>
  <c r="T338"/>
  <c r="R338"/>
  <c r="P338"/>
  <c r="N338"/>
  <c r="L338"/>
  <c r="K338"/>
  <c r="J338"/>
  <c r="I338"/>
  <c r="H338"/>
  <c r="G337"/>
  <c r="F337"/>
  <c r="E337"/>
  <c r="D337"/>
  <c r="C337"/>
  <c r="X336"/>
  <c r="V336"/>
  <c r="T336"/>
  <c r="R336"/>
  <c r="P336"/>
  <c r="N336"/>
  <c r="L336"/>
  <c r="K336"/>
  <c r="J336"/>
  <c r="I336"/>
  <c r="H336"/>
  <c r="U335"/>
  <c r="S335"/>
  <c r="Q335"/>
  <c r="O335"/>
  <c r="M335"/>
  <c r="G335"/>
  <c r="F335"/>
  <c r="E335"/>
  <c r="D335"/>
  <c r="Z334"/>
  <c r="Y334"/>
  <c r="X334"/>
  <c r="V334"/>
  <c r="T334"/>
  <c r="R334"/>
  <c r="P334"/>
  <c r="N334"/>
  <c r="L334"/>
  <c r="K334"/>
  <c r="J334"/>
  <c r="I334"/>
  <c r="H334"/>
  <c r="U333"/>
  <c r="S333"/>
  <c r="Q333"/>
  <c r="O333"/>
  <c r="M333"/>
  <c r="G333"/>
  <c r="F333"/>
  <c r="E333"/>
  <c r="D333"/>
  <c r="C333"/>
  <c r="Z332"/>
  <c r="Y332"/>
  <c r="X332"/>
  <c r="V332"/>
  <c r="T332"/>
  <c r="R332"/>
  <c r="P332"/>
  <c r="N332"/>
  <c r="L332"/>
  <c r="K332"/>
  <c r="J332"/>
  <c r="I332"/>
  <c r="H332"/>
  <c r="Z331"/>
  <c r="Y331"/>
  <c r="X331"/>
  <c r="V331"/>
  <c r="T331"/>
  <c r="R331"/>
  <c r="P331"/>
  <c r="N331"/>
  <c r="L331"/>
  <c r="K331"/>
  <c r="J331"/>
  <c r="I331"/>
  <c r="H331"/>
  <c r="Z330"/>
  <c r="Y330"/>
  <c r="X330"/>
  <c r="V330"/>
  <c r="T330"/>
  <c r="R330"/>
  <c r="P330"/>
  <c r="N330"/>
  <c r="L330"/>
  <c r="K330"/>
  <c r="J330"/>
  <c r="I330"/>
  <c r="H330"/>
  <c r="Z329"/>
  <c r="Y329"/>
  <c r="X329"/>
  <c r="V329"/>
  <c r="T329"/>
  <c r="R329"/>
  <c r="P329"/>
  <c r="N329"/>
  <c r="L329"/>
  <c r="K329"/>
  <c r="J329"/>
  <c r="I329"/>
  <c r="H329"/>
  <c r="Z328"/>
  <c r="Y328"/>
  <c r="X328"/>
  <c r="V328"/>
  <c r="T328"/>
  <c r="R328"/>
  <c r="P328"/>
  <c r="N328"/>
  <c r="L328"/>
  <c r="K328"/>
  <c r="J328"/>
  <c r="I328"/>
  <c r="H328"/>
  <c r="U327"/>
  <c r="S327"/>
  <c r="Q327"/>
  <c r="O327"/>
  <c r="M327"/>
  <c r="G327"/>
  <c r="F327"/>
  <c r="E327"/>
  <c r="D327"/>
  <c r="Z326"/>
  <c r="Y326"/>
  <c r="X326"/>
  <c r="V326"/>
  <c r="T326"/>
  <c r="R326"/>
  <c r="P326"/>
  <c r="N326"/>
  <c r="L326"/>
  <c r="K326"/>
  <c r="J326"/>
  <c r="I326"/>
  <c r="H326"/>
  <c r="Z325"/>
  <c r="Y325"/>
  <c r="X325"/>
  <c r="V325"/>
  <c r="T325"/>
  <c r="R325"/>
  <c r="P325"/>
  <c r="N325"/>
  <c r="L325"/>
  <c r="K325"/>
  <c r="J325"/>
  <c r="I325"/>
  <c r="H325"/>
  <c r="Z324"/>
  <c r="Y324"/>
  <c r="X324"/>
  <c r="V324"/>
  <c r="T324"/>
  <c r="R324"/>
  <c r="P324"/>
  <c r="N324"/>
  <c r="L324"/>
  <c r="K324"/>
  <c r="J324"/>
  <c r="I324"/>
  <c r="H324"/>
  <c r="Z323"/>
  <c r="Y323"/>
  <c r="X323"/>
  <c r="V323"/>
  <c r="T323"/>
  <c r="R323"/>
  <c r="P323"/>
  <c r="N323"/>
  <c r="L323"/>
  <c r="K323"/>
  <c r="J323"/>
  <c r="I323"/>
  <c r="H323"/>
  <c r="U322"/>
  <c r="S322"/>
  <c r="Q322"/>
  <c r="O322"/>
  <c r="M322"/>
  <c r="G322"/>
  <c r="F322"/>
  <c r="E322"/>
  <c r="D322"/>
  <c r="C322"/>
  <c r="C677" s="1"/>
  <c r="Z669"/>
  <c r="Y669"/>
  <c r="X669"/>
  <c r="V669"/>
  <c r="T669"/>
  <c r="R669"/>
  <c r="P669"/>
  <c r="N669"/>
  <c r="L669"/>
  <c r="K669"/>
  <c r="J669"/>
  <c r="I669"/>
  <c r="H669"/>
  <c r="Z668"/>
  <c r="Y668"/>
  <c r="X668"/>
  <c r="V668"/>
  <c r="T668"/>
  <c r="R668"/>
  <c r="P668"/>
  <c r="N668"/>
  <c r="L668"/>
  <c r="K668"/>
  <c r="J668"/>
  <c r="I668"/>
  <c r="H668"/>
  <c r="Z667"/>
  <c r="Y667"/>
  <c r="X667"/>
  <c r="V667"/>
  <c r="T667"/>
  <c r="R667"/>
  <c r="P667"/>
  <c r="N667"/>
  <c r="L667"/>
  <c r="K667"/>
  <c r="J667"/>
  <c r="I667"/>
  <c r="H667"/>
  <c r="U321"/>
  <c r="T321"/>
  <c r="S321"/>
  <c r="R321"/>
  <c r="Q321"/>
  <c r="P321"/>
  <c r="O321"/>
  <c r="N321"/>
  <c r="M321"/>
  <c r="G321"/>
  <c r="F321"/>
  <c r="E321"/>
  <c r="D321"/>
  <c r="Z320"/>
  <c r="Y320"/>
  <c r="X320"/>
  <c r="V320"/>
  <c r="T320"/>
  <c r="R320"/>
  <c r="P320"/>
  <c r="N320"/>
  <c r="L320"/>
  <c r="K320"/>
  <c r="J320"/>
  <c r="I320"/>
  <c r="H320"/>
  <c r="U319"/>
  <c r="S319"/>
  <c r="Q319"/>
  <c r="O319"/>
  <c r="M319"/>
  <c r="G319"/>
  <c r="F319"/>
  <c r="E319"/>
  <c r="D319"/>
  <c r="Z318"/>
  <c r="Y318"/>
  <c r="X318"/>
  <c r="V318"/>
  <c r="T318"/>
  <c r="R318"/>
  <c r="P318"/>
  <c r="N318"/>
  <c r="L318"/>
  <c r="K318"/>
  <c r="J318"/>
  <c r="I318"/>
  <c r="H318"/>
  <c r="Z317"/>
  <c r="Y317"/>
  <c r="X317"/>
  <c r="V317"/>
  <c r="T317"/>
  <c r="R317"/>
  <c r="P317"/>
  <c r="N317"/>
  <c r="L317"/>
  <c r="K317"/>
  <c r="J317"/>
  <c r="I317"/>
  <c r="H317"/>
  <c r="Z666"/>
  <c r="Y666"/>
  <c r="X666"/>
  <c r="V666"/>
  <c r="T666"/>
  <c r="R666"/>
  <c r="P666"/>
  <c r="N666"/>
  <c r="L666"/>
  <c r="K666"/>
  <c r="J666"/>
  <c r="I666"/>
  <c r="H666"/>
  <c r="Z316"/>
  <c r="Y316"/>
  <c r="X316"/>
  <c r="V316"/>
  <c r="T316"/>
  <c r="R316"/>
  <c r="P316"/>
  <c r="N316"/>
  <c r="L316"/>
  <c r="K316"/>
  <c r="J316"/>
  <c r="I316"/>
  <c r="H316"/>
  <c r="U315"/>
  <c r="S315"/>
  <c r="Q315"/>
  <c r="O315"/>
  <c r="M315"/>
  <c r="G315"/>
  <c r="F315"/>
  <c r="E315"/>
  <c r="D315"/>
  <c r="C315"/>
  <c r="C665" s="1"/>
  <c r="Z314"/>
  <c r="Y314"/>
  <c r="X314"/>
  <c r="V314"/>
  <c r="T314"/>
  <c r="R314"/>
  <c r="P314"/>
  <c r="N314"/>
  <c r="L314"/>
  <c r="K314"/>
  <c r="J314"/>
  <c r="I314"/>
  <c r="H314"/>
  <c r="Z313"/>
  <c r="Y313"/>
  <c r="X313"/>
  <c r="V313"/>
  <c r="T313"/>
  <c r="R313"/>
  <c r="P313"/>
  <c r="N313"/>
  <c r="L313"/>
  <c r="K313"/>
  <c r="J313"/>
  <c r="I313"/>
  <c r="H313"/>
  <c r="Z312"/>
  <c r="Y312"/>
  <c r="X312"/>
  <c r="V312"/>
  <c r="T312"/>
  <c r="R312"/>
  <c r="P312"/>
  <c r="N312"/>
  <c r="L312"/>
  <c r="K312"/>
  <c r="J312"/>
  <c r="I312"/>
  <c r="H312"/>
  <c r="Z311"/>
  <c r="Y311"/>
  <c r="X311"/>
  <c r="V311"/>
  <c r="T311"/>
  <c r="R311"/>
  <c r="P311"/>
  <c r="N311"/>
  <c r="L311"/>
  <c r="K311"/>
  <c r="J311"/>
  <c r="I311"/>
  <c r="H311"/>
  <c r="Z310"/>
  <c r="Y310"/>
  <c r="X310"/>
  <c r="V310"/>
  <c r="T310"/>
  <c r="R310"/>
  <c r="P310"/>
  <c r="N310"/>
  <c r="L310"/>
  <c r="K310"/>
  <c r="J310"/>
  <c r="I310"/>
  <c r="H310"/>
  <c r="Z309"/>
  <c r="Y309"/>
  <c r="X309"/>
  <c r="V309"/>
  <c r="T309"/>
  <c r="R309"/>
  <c r="P309"/>
  <c r="N309"/>
  <c r="L309"/>
  <c r="K309"/>
  <c r="J309"/>
  <c r="I309"/>
  <c r="H309"/>
  <c r="Z308"/>
  <c r="Y308"/>
  <c r="X308"/>
  <c r="V308"/>
  <c r="T308"/>
  <c r="R308"/>
  <c r="P308"/>
  <c r="N308"/>
  <c r="L308"/>
  <c r="K308"/>
  <c r="J308"/>
  <c r="I308"/>
  <c r="H308"/>
  <c r="Z307"/>
  <c r="Y307"/>
  <c r="X307"/>
  <c r="V307"/>
  <c r="T307"/>
  <c r="R307"/>
  <c r="P307"/>
  <c r="N307"/>
  <c r="L307"/>
  <c r="K307"/>
  <c r="J307"/>
  <c r="I307"/>
  <c r="H307"/>
  <c r="Z306"/>
  <c r="Y306"/>
  <c r="X306"/>
  <c r="V306"/>
  <c r="T306"/>
  <c r="R306"/>
  <c r="P306"/>
  <c r="N306"/>
  <c r="L306"/>
  <c r="K306"/>
  <c r="J306"/>
  <c r="I306"/>
  <c r="H306"/>
  <c r="Z305"/>
  <c r="Y305"/>
  <c r="X305"/>
  <c r="V305"/>
  <c r="T305"/>
  <c r="R305"/>
  <c r="P305"/>
  <c r="N305"/>
  <c r="L305"/>
  <c r="K305"/>
  <c r="J305"/>
  <c r="I305"/>
  <c r="H305"/>
  <c r="G304"/>
  <c r="F304"/>
  <c r="E304"/>
  <c r="D304"/>
  <c r="C304"/>
  <c r="Z303"/>
  <c r="Y303"/>
  <c r="X303"/>
  <c r="V303"/>
  <c r="T303"/>
  <c r="R303"/>
  <c r="P303"/>
  <c r="N303"/>
  <c r="L303"/>
  <c r="K303"/>
  <c r="J303"/>
  <c r="I303"/>
  <c r="H303"/>
  <c r="U302"/>
  <c r="S302"/>
  <c r="Q302"/>
  <c r="O302"/>
  <c r="M302"/>
  <c r="G302"/>
  <c r="F302"/>
  <c r="E302"/>
  <c r="D302"/>
  <c r="Z301"/>
  <c r="Y301"/>
  <c r="X301"/>
  <c r="V301"/>
  <c r="T301"/>
  <c r="R301"/>
  <c r="P301"/>
  <c r="N301"/>
  <c r="L301"/>
  <c r="K301"/>
  <c r="J301"/>
  <c r="I301"/>
  <c r="H301"/>
  <c r="U300"/>
  <c r="S300"/>
  <c r="Q300"/>
  <c r="O300"/>
  <c r="M300"/>
  <c r="G300"/>
  <c r="F300"/>
  <c r="E300"/>
  <c r="D300"/>
  <c r="Z299"/>
  <c r="Y299"/>
  <c r="X299"/>
  <c r="V299"/>
  <c r="T299"/>
  <c r="R299"/>
  <c r="P299"/>
  <c r="N299"/>
  <c r="L299"/>
  <c r="K299"/>
  <c r="J299"/>
  <c r="I299"/>
  <c r="H299"/>
  <c r="U298"/>
  <c r="S298"/>
  <c r="Q298"/>
  <c r="O298"/>
  <c r="M298"/>
  <c r="G298"/>
  <c r="F298"/>
  <c r="E298"/>
  <c r="D298"/>
  <c r="Z672"/>
  <c r="Y672"/>
  <c r="X672"/>
  <c r="V672"/>
  <c r="T672"/>
  <c r="R672"/>
  <c r="P672"/>
  <c r="N672"/>
  <c r="L672"/>
  <c r="K672"/>
  <c r="J672"/>
  <c r="I672"/>
  <c r="H672"/>
  <c r="Z671"/>
  <c r="Y671"/>
  <c r="X671"/>
  <c r="V671"/>
  <c r="T671"/>
  <c r="R671"/>
  <c r="P671"/>
  <c r="N671"/>
  <c r="L671"/>
  <c r="K671"/>
  <c r="J671"/>
  <c r="I671"/>
  <c r="H671"/>
  <c r="U297"/>
  <c r="S297"/>
  <c r="Q297"/>
  <c r="O297"/>
  <c r="M297"/>
  <c r="G297"/>
  <c r="F297"/>
  <c r="E297"/>
  <c r="D297"/>
  <c r="Z296"/>
  <c r="Y296"/>
  <c r="X296"/>
  <c r="V296"/>
  <c r="T296"/>
  <c r="R296"/>
  <c r="P296"/>
  <c r="N296"/>
  <c r="L296"/>
  <c r="K296"/>
  <c r="J296"/>
  <c r="I296"/>
  <c r="H296"/>
  <c r="Z295"/>
  <c r="Y295"/>
  <c r="X295"/>
  <c r="V295"/>
  <c r="T295"/>
  <c r="R295"/>
  <c r="P295"/>
  <c r="N295"/>
  <c r="L295"/>
  <c r="K295"/>
  <c r="J295"/>
  <c r="I295"/>
  <c r="H295"/>
  <c r="Z294"/>
  <c r="Y294"/>
  <c r="X294"/>
  <c r="V294"/>
  <c r="T294"/>
  <c r="R294"/>
  <c r="P294"/>
  <c r="N294"/>
  <c r="L294"/>
  <c r="K294"/>
  <c r="J294"/>
  <c r="I294"/>
  <c r="H294"/>
  <c r="U293"/>
  <c r="U304" s="1"/>
  <c r="S293"/>
  <c r="S304" s="1"/>
  <c r="Q293"/>
  <c r="Q304" s="1"/>
  <c r="O293"/>
  <c r="M293"/>
  <c r="M304" s="1"/>
  <c r="G293"/>
  <c r="F293"/>
  <c r="E293"/>
  <c r="D293"/>
  <c r="C293"/>
  <c r="C670" s="1"/>
  <c r="Y292"/>
  <c r="X292"/>
  <c r="V292"/>
  <c r="T292"/>
  <c r="R292"/>
  <c r="P292"/>
  <c r="N292"/>
  <c r="L292"/>
  <c r="K292"/>
  <c r="J292"/>
  <c r="I292"/>
  <c r="H292"/>
  <c r="Y291"/>
  <c r="X291"/>
  <c r="V291"/>
  <c r="T291"/>
  <c r="R291"/>
  <c r="P291"/>
  <c r="N291"/>
  <c r="L291"/>
  <c r="K291"/>
  <c r="J291"/>
  <c r="I291"/>
  <c r="H291"/>
  <c r="Y290"/>
  <c r="X290"/>
  <c r="V290"/>
  <c r="T290"/>
  <c r="R290"/>
  <c r="P290"/>
  <c r="N290"/>
  <c r="L290"/>
  <c r="K290"/>
  <c r="J290"/>
  <c r="I290"/>
  <c r="H290"/>
  <c r="Y289"/>
  <c r="X289"/>
  <c r="V289"/>
  <c r="T289"/>
  <c r="R289"/>
  <c r="P289"/>
  <c r="N289"/>
  <c r="L289"/>
  <c r="K289"/>
  <c r="J289"/>
  <c r="I289"/>
  <c r="H289"/>
  <c r="U288"/>
  <c r="S288"/>
  <c r="Q288"/>
  <c r="O288"/>
  <c r="M288"/>
  <c r="G288"/>
  <c r="F288"/>
  <c r="E288"/>
  <c r="D288"/>
  <c r="Z681"/>
  <c r="Y681"/>
  <c r="X681"/>
  <c r="V681"/>
  <c r="T681"/>
  <c r="R681"/>
  <c r="P681"/>
  <c r="N681"/>
  <c r="L681"/>
  <c r="K681"/>
  <c r="J681"/>
  <c r="I681"/>
  <c r="H681"/>
  <c r="Z680"/>
  <c r="Y680"/>
  <c r="X680"/>
  <c r="V680"/>
  <c r="T680"/>
  <c r="R680"/>
  <c r="P680"/>
  <c r="N680"/>
  <c r="L680"/>
  <c r="K680"/>
  <c r="J680"/>
  <c r="I680"/>
  <c r="H680"/>
  <c r="Z679"/>
  <c r="Y679"/>
  <c r="X679"/>
  <c r="V679"/>
  <c r="T679"/>
  <c r="R679"/>
  <c r="P679"/>
  <c r="N679"/>
  <c r="L679"/>
  <c r="K679"/>
  <c r="J679"/>
  <c r="I679"/>
  <c r="H679"/>
  <c r="Z678"/>
  <c r="Y678"/>
  <c r="X678"/>
  <c r="V678"/>
  <c r="T678"/>
  <c r="R678"/>
  <c r="P678"/>
  <c r="N678"/>
  <c r="L678"/>
  <c r="K678"/>
  <c r="J678"/>
  <c r="I678"/>
  <c r="H678"/>
  <c r="Z287"/>
  <c r="Y287"/>
  <c r="X287"/>
  <c r="V287"/>
  <c r="T287"/>
  <c r="R287"/>
  <c r="P287"/>
  <c r="N287"/>
  <c r="L287"/>
  <c r="K287"/>
  <c r="J287"/>
  <c r="I287"/>
  <c r="H287"/>
  <c r="Z286"/>
  <c r="Y286"/>
  <c r="X286"/>
  <c r="V286"/>
  <c r="T286"/>
  <c r="R286"/>
  <c r="P286"/>
  <c r="N286"/>
  <c r="L286"/>
  <c r="K286"/>
  <c r="J286"/>
  <c r="I286"/>
  <c r="H286"/>
  <c r="U285"/>
  <c r="S285"/>
  <c r="Q285"/>
  <c r="O285"/>
  <c r="M285"/>
  <c r="G285"/>
  <c r="F285"/>
  <c r="E285"/>
  <c r="D285"/>
  <c r="C285"/>
  <c r="Z284"/>
  <c r="Y284"/>
  <c r="X284"/>
  <c r="V284"/>
  <c r="T284"/>
  <c r="R284"/>
  <c r="P284"/>
  <c r="N284"/>
  <c r="L284"/>
  <c r="K284"/>
  <c r="J284"/>
  <c r="I284"/>
  <c r="H284"/>
  <c r="U283"/>
  <c r="T283"/>
  <c r="S283"/>
  <c r="R283"/>
  <c r="Q283"/>
  <c r="P283"/>
  <c r="O283"/>
  <c r="N283"/>
  <c r="M283"/>
  <c r="G283"/>
  <c r="F283"/>
  <c r="E283"/>
  <c r="D283"/>
  <c r="Z282"/>
  <c r="Y282"/>
  <c r="X282"/>
  <c r="V282"/>
  <c r="T282"/>
  <c r="R282"/>
  <c r="P282"/>
  <c r="N282"/>
  <c r="L282"/>
  <c r="K282"/>
  <c r="J282"/>
  <c r="I282"/>
  <c r="H282"/>
  <c r="U281"/>
  <c r="T281"/>
  <c r="S281"/>
  <c r="R281"/>
  <c r="Q281"/>
  <c r="P281"/>
  <c r="O281"/>
  <c r="N281"/>
  <c r="M281"/>
  <c r="G281"/>
  <c r="F281"/>
  <c r="E281"/>
  <c r="D281"/>
  <c r="Z280"/>
  <c r="Y280"/>
  <c r="X280"/>
  <c r="V280"/>
  <c r="T280"/>
  <c r="R280"/>
  <c r="P280"/>
  <c r="N280"/>
  <c r="L280"/>
  <c r="K280"/>
  <c r="J280"/>
  <c r="I280"/>
  <c r="H280"/>
  <c r="Z279"/>
  <c r="Y279"/>
  <c r="X279"/>
  <c r="V279"/>
  <c r="T279"/>
  <c r="R279"/>
  <c r="P279"/>
  <c r="N279"/>
  <c r="L279"/>
  <c r="K279"/>
  <c r="J279"/>
  <c r="I279"/>
  <c r="H279"/>
  <c r="U278"/>
  <c r="T278"/>
  <c r="S278"/>
  <c r="R278"/>
  <c r="Q278"/>
  <c r="P278"/>
  <c r="O278"/>
  <c r="N278"/>
  <c r="M278"/>
  <c r="G278"/>
  <c r="F278"/>
  <c r="E278"/>
  <c r="D278"/>
  <c r="Z277"/>
  <c r="Y277"/>
  <c r="X277"/>
  <c r="V277"/>
  <c r="T277"/>
  <c r="R277"/>
  <c r="P277"/>
  <c r="N277"/>
  <c r="L277"/>
  <c r="K277"/>
  <c r="J277"/>
  <c r="I277"/>
  <c r="H277"/>
  <c r="U276"/>
  <c r="T276"/>
  <c r="S276"/>
  <c r="R276"/>
  <c r="Q276"/>
  <c r="P276"/>
  <c r="O276"/>
  <c r="N276"/>
  <c r="M276"/>
  <c r="G276"/>
  <c r="F276"/>
  <c r="E276"/>
  <c r="D276"/>
  <c r="Z275"/>
  <c r="Y275"/>
  <c r="X275"/>
  <c r="V275"/>
  <c r="T275"/>
  <c r="R275"/>
  <c r="P275"/>
  <c r="N275"/>
  <c r="L275"/>
  <c r="K275"/>
  <c r="J275"/>
  <c r="I275"/>
  <c r="H275"/>
  <c r="Z274"/>
  <c r="Y274"/>
  <c r="X274"/>
  <c r="V274"/>
  <c r="T274"/>
  <c r="R274"/>
  <c r="P274"/>
  <c r="N274"/>
  <c r="L274"/>
  <c r="K274"/>
  <c r="J274"/>
  <c r="I274"/>
  <c r="H274"/>
  <c r="U273"/>
  <c r="T273"/>
  <c r="S273"/>
  <c r="R273"/>
  <c r="Q273"/>
  <c r="AC274" s="1"/>
  <c r="P273"/>
  <c r="O273"/>
  <c r="AC273" s="1"/>
  <c r="N273"/>
  <c r="M273"/>
  <c r="G273"/>
  <c r="F273"/>
  <c r="E273"/>
  <c r="D273"/>
  <c r="Z272"/>
  <c r="Y272"/>
  <c r="X272"/>
  <c r="V272"/>
  <c r="T272"/>
  <c r="R272"/>
  <c r="P272"/>
  <c r="N272"/>
  <c r="L272"/>
  <c r="K272"/>
  <c r="J272"/>
  <c r="I272"/>
  <c r="H272"/>
  <c r="Z271"/>
  <c r="Y271"/>
  <c r="X271"/>
  <c r="V271"/>
  <c r="T271"/>
  <c r="R271"/>
  <c r="P271"/>
  <c r="N271"/>
  <c r="L271"/>
  <c r="K271"/>
  <c r="J271"/>
  <c r="I271"/>
  <c r="H271"/>
  <c r="Z270"/>
  <c r="Y270"/>
  <c r="X270"/>
  <c r="V270"/>
  <c r="T270"/>
  <c r="R270"/>
  <c r="P270"/>
  <c r="N270"/>
  <c r="L270"/>
  <c r="K270"/>
  <c r="J270"/>
  <c r="I270"/>
  <c r="H270"/>
  <c r="Z269"/>
  <c r="Y269"/>
  <c r="X269"/>
  <c r="V269"/>
  <c r="T269"/>
  <c r="R269"/>
  <c r="P269"/>
  <c r="N269"/>
  <c r="L269"/>
  <c r="K269"/>
  <c r="J269"/>
  <c r="I269"/>
  <c r="H269"/>
  <c r="T268"/>
  <c r="R268"/>
  <c r="P268"/>
  <c r="N268"/>
  <c r="G268"/>
  <c r="F268"/>
  <c r="E268"/>
  <c r="D268"/>
  <c r="C268"/>
  <c r="Z267"/>
  <c r="Y267"/>
  <c r="X267"/>
  <c r="V267"/>
  <c r="T267"/>
  <c r="R267"/>
  <c r="P267"/>
  <c r="N267"/>
  <c r="L267"/>
  <c r="K267"/>
  <c r="J267"/>
  <c r="I267"/>
  <c r="H267"/>
  <c r="Z266"/>
  <c r="Y266"/>
  <c r="X266"/>
  <c r="V266"/>
  <c r="T266"/>
  <c r="R266"/>
  <c r="P266"/>
  <c r="N266"/>
  <c r="L266"/>
  <c r="K266"/>
  <c r="J266"/>
  <c r="I266"/>
  <c r="H266"/>
  <c r="Z265"/>
  <c r="Y265"/>
  <c r="X265"/>
  <c r="V265"/>
  <c r="T265"/>
  <c r="R265"/>
  <c r="P265"/>
  <c r="N265"/>
  <c r="L265"/>
  <c r="K265"/>
  <c r="J265"/>
  <c r="I265"/>
  <c r="H265"/>
  <c r="U264"/>
  <c r="S264"/>
  <c r="Q264"/>
  <c r="O264"/>
  <c r="M264"/>
  <c r="G264"/>
  <c r="F264"/>
  <c r="E264"/>
  <c r="D264"/>
  <c r="Z263"/>
  <c r="Y263"/>
  <c r="X263"/>
  <c r="V263"/>
  <c r="T263"/>
  <c r="R263"/>
  <c r="P263"/>
  <c r="N263"/>
  <c r="L263"/>
  <c r="K263"/>
  <c r="J263"/>
  <c r="I263"/>
  <c r="H263"/>
  <c r="G262"/>
  <c r="F262"/>
  <c r="E262"/>
  <c r="D262"/>
  <c r="Z261"/>
  <c r="Y261"/>
  <c r="X261"/>
  <c r="V261"/>
  <c r="T261"/>
  <c r="R261"/>
  <c r="P261"/>
  <c r="N261"/>
  <c r="L261"/>
  <c r="K261"/>
  <c r="J261"/>
  <c r="I261"/>
  <c r="H261"/>
  <c r="Z260"/>
  <c r="Y260"/>
  <c r="X260"/>
  <c r="V260"/>
  <c r="T260"/>
  <c r="R260"/>
  <c r="P260"/>
  <c r="N260"/>
  <c r="L260"/>
  <c r="K260"/>
  <c r="J260"/>
  <c r="I260"/>
  <c r="H260"/>
  <c r="Z259"/>
  <c r="Y259"/>
  <c r="X259"/>
  <c r="V259"/>
  <c r="T259"/>
  <c r="R259"/>
  <c r="P259"/>
  <c r="N259"/>
  <c r="L259"/>
  <c r="K259"/>
  <c r="J259"/>
  <c r="I259"/>
  <c r="H259"/>
  <c r="Z258"/>
  <c r="Y258"/>
  <c r="X258"/>
  <c r="V258"/>
  <c r="T258"/>
  <c r="R258"/>
  <c r="P258"/>
  <c r="N258"/>
  <c r="L258"/>
  <c r="K258"/>
  <c r="J258"/>
  <c r="I258"/>
  <c r="H258"/>
  <c r="Z257"/>
  <c r="Y257"/>
  <c r="X257"/>
  <c r="V257"/>
  <c r="T257"/>
  <c r="R257"/>
  <c r="P257"/>
  <c r="N257"/>
  <c r="L257"/>
  <c r="K257"/>
  <c r="J257"/>
  <c r="I257"/>
  <c r="H257"/>
  <c r="U256"/>
  <c r="S256"/>
  <c r="Q256"/>
  <c r="O256"/>
  <c r="M256"/>
  <c r="G256"/>
  <c r="F256"/>
  <c r="E256"/>
  <c r="D256"/>
  <c r="Z255"/>
  <c r="Y255"/>
  <c r="X255"/>
  <c r="V255"/>
  <c r="T255"/>
  <c r="R255"/>
  <c r="P255"/>
  <c r="N255"/>
  <c r="L255"/>
  <c r="K255"/>
  <c r="J255"/>
  <c r="I255"/>
  <c r="H255"/>
  <c r="Z254"/>
  <c r="Y254"/>
  <c r="X254"/>
  <c r="V254"/>
  <c r="T254"/>
  <c r="R254"/>
  <c r="P254"/>
  <c r="N254"/>
  <c r="L254"/>
  <c r="K254"/>
  <c r="J254"/>
  <c r="I254"/>
  <c r="H254"/>
  <c r="Z253"/>
  <c r="Y253"/>
  <c r="X253"/>
  <c r="V253"/>
  <c r="T253"/>
  <c r="R253"/>
  <c r="P253"/>
  <c r="N253"/>
  <c r="L253"/>
  <c r="K253"/>
  <c r="J253"/>
  <c r="I253"/>
  <c r="H253"/>
  <c r="Z252"/>
  <c r="Y252"/>
  <c r="X252"/>
  <c r="V252"/>
  <c r="T252"/>
  <c r="R252"/>
  <c r="P252"/>
  <c r="N252"/>
  <c r="L252"/>
  <c r="K252"/>
  <c r="J252"/>
  <c r="I252"/>
  <c r="H252"/>
  <c r="Z251"/>
  <c r="Y251"/>
  <c r="X251"/>
  <c r="V251"/>
  <c r="T251"/>
  <c r="R251"/>
  <c r="P251"/>
  <c r="N251"/>
  <c r="L251"/>
  <c r="K251"/>
  <c r="J251"/>
  <c r="I251"/>
  <c r="H251"/>
  <c r="Z250"/>
  <c r="Y250"/>
  <c r="X250"/>
  <c r="V250"/>
  <c r="T250"/>
  <c r="R250"/>
  <c r="P250"/>
  <c r="N250"/>
  <c r="L250"/>
  <c r="K250"/>
  <c r="J250"/>
  <c r="I250"/>
  <c r="H250"/>
  <c r="Z249"/>
  <c r="Y249"/>
  <c r="X249"/>
  <c r="V249"/>
  <c r="T249"/>
  <c r="R249"/>
  <c r="P249"/>
  <c r="N249"/>
  <c r="L249"/>
  <c r="K249"/>
  <c r="J249"/>
  <c r="I249"/>
  <c r="H249"/>
  <c r="H248"/>
  <c r="U247"/>
  <c r="S247"/>
  <c r="Q247"/>
  <c r="O247"/>
  <c r="M247"/>
  <c r="G247"/>
  <c r="F247"/>
  <c r="E247"/>
  <c r="D247"/>
  <c r="Z246"/>
  <c r="Y246"/>
  <c r="X246"/>
  <c r="V246"/>
  <c r="T246"/>
  <c r="R246"/>
  <c r="P246"/>
  <c r="N246"/>
  <c r="L246"/>
  <c r="K246"/>
  <c r="J246"/>
  <c r="I246"/>
  <c r="H246"/>
  <c r="Z245"/>
  <c r="Y245"/>
  <c r="X245"/>
  <c r="V245"/>
  <c r="T245"/>
  <c r="R245"/>
  <c r="P245"/>
  <c r="N245"/>
  <c r="L245"/>
  <c r="K245"/>
  <c r="J245"/>
  <c r="I245"/>
  <c r="H245"/>
  <c r="U244"/>
  <c r="S244"/>
  <c r="Q244"/>
  <c r="O244"/>
  <c r="M244"/>
  <c r="G244"/>
  <c r="F244"/>
  <c r="E244"/>
  <c r="D244"/>
  <c r="Z243"/>
  <c r="Y243"/>
  <c r="X243"/>
  <c r="V243"/>
  <c r="T243"/>
  <c r="R243"/>
  <c r="P243"/>
  <c r="N243"/>
  <c r="L243"/>
  <c r="K243"/>
  <c r="J243"/>
  <c r="I243"/>
  <c r="H243"/>
  <c r="Z242"/>
  <c r="Y242"/>
  <c r="X242"/>
  <c r="V242"/>
  <c r="T242"/>
  <c r="R242"/>
  <c r="P242"/>
  <c r="N242"/>
  <c r="L242"/>
  <c r="K242"/>
  <c r="J242"/>
  <c r="I242"/>
  <c r="H242"/>
  <c r="U241"/>
  <c r="S241"/>
  <c r="Q241"/>
  <c r="O241"/>
  <c r="M241"/>
  <c r="G241"/>
  <c r="F241"/>
  <c r="E241"/>
  <c r="D241"/>
  <c r="Z240"/>
  <c r="Y240"/>
  <c r="X240"/>
  <c r="V240"/>
  <c r="T240"/>
  <c r="R240"/>
  <c r="P240"/>
  <c r="N240"/>
  <c r="L240"/>
  <c r="K240"/>
  <c r="J240"/>
  <c r="I240"/>
  <c r="H240"/>
  <c r="U239"/>
  <c r="S239"/>
  <c r="Q239"/>
  <c r="O239"/>
  <c r="M239"/>
  <c r="G239"/>
  <c r="F239"/>
  <c r="E239"/>
  <c r="D239"/>
  <c r="U238"/>
  <c r="S238"/>
  <c r="Q238"/>
  <c r="O238"/>
  <c r="M238"/>
  <c r="G238"/>
  <c r="F238"/>
  <c r="E238"/>
  <c r="D238"/>
  <c r="Z237"/>
  <c r="Y237"/>
  <c r="X237"/>
  <c r="V237"/>
  <c r="T237"/>
  <c r="R237"/>
  <c r="P237"/>
  <c r="N237"/>
  <c r="L237"/>
  <c r="K237"/>
  <c r="J237"/>
  <c r="I237"/>
  <c r="H237"/>
  <c r="Z78"/>
  <c r="Y78"/>
  <c r="X78"/>
  <c r="V78"/>
  <c r="T78"/>
  <c r="R78"/>
  <c r="P78"/>
  <c r="N78"/>
  <c r="L78"/>
  <c r="K78"/>
  <c r="J78"/>
  <c r="I78"/>
  <c r="H78"/>
  <c r="Z77"/>
  <c r="Y77"/>
  <c r="X77"/>
  <c r="V77"/>
  <c r="T77"/>
  <c r="R77"/>
  <c r="P77"/>
  <c r="N77"/>
  <c r="L77"/>
  <c r="K77"/>
  <c r="J77"/>
  <c r="I77"/>
  <c r="H77"/>
  <c r="Z76"/>
  <c r="Y76"/>
  <c r="X76"/>
  <c r="V76"/>
  <c r="T76"/>
  <c r="R76"/>
  <c r="P76"/>
  <c r="N76"/>
  <c r="L76"/>
  <c r="K76"/>
  <c r="J76"/>
  <c r="I76"/>
  <c r="H76"/>
  <c r="U236"/>
  <c r="S236"/>
  <c r="Q236"/>
  <c r="O236"/>
  <c r="M236"/>
  <c r="G236"/>
  <c r="F236"/>
  <c r="E236"/>
  <c r="D236"/>
  <c r="Z235"/>
  <c r="Y235"/>
  <c r="X235"/>
  <c r="V235"/>
  <c r="T235"/>
  <c r="R235"/>
  <c r="P235"/>
  <c r="N235"/>
  <c r="L235"/>
  <c r="K235"/>
  <c r="J235"/>
  <c r="I235"/>
  <c r="H235"/>
  <c r="Z234"/>
  <c r="Y234"/>
  <c r="X234"/>
  <c r="V234"/>
  <c r="T234"/>
  <c r="R234"/>
  <c r="P234"/>
  <c r="N234"/>
  <c r="L234"/>
  <c r="K234"/>
  <c r="J234"/>
  <c r="I234"/>
  <c r="H234"/>
  <c r="Z233"/>
  <c r="Y233"/>
  <c r="X233"/>
  <c r="V233"/>
  <c r="T233"/>
  <c r="R233"/>
  <c r="P233"/>
  <c r="N233"/>
  <c r="L233"/>
  <c r="K233"/>
  <c r="J233"/>
  <c r="I233"/>
  <c r="H233"/>
  <c r="Z232"/>
  <c r="Y232"/>
  <c r="X232"/>
  <c r="V232"/>
  <c r="T232"/>
  <c r="R232"/>
  <c r="P232"/>
  <c r="N232"/>
  <c r="L232"/>
  <c r="K232"/>
  <c r="J232"/>
  <c r="I232"/>
  <c r="H232"/>
  <c r="Z231"/>
  <c r="Y231"/>
  <c r="X231"/>
  <c r="V231"/>
  <c r="T231"/>
  <c r="R231"/>
  <c r="P231"/>
  <c r="N231"/>
  <c r="L231"/>
  <c r="K231"/>
  <c r="J231"/>
  <c r="I231"/>
  <c r="H231"/>
  <c r="Z230"/>
  <c r="Y230"/>
  <c r="X230"/>
  <c r="V230"/>
  <c r="T230"/>
  <c r="R230"/>
  <c r="P230"/>
  <c r="N230"/>
  <c r="L230"/>
  <c r="K230"/>
  <c r="J230"/>
  <c r="I230"/>
  <c r="H230"/>
  <c r="Z229"/>
  <c r="Y229"/>
  <c r="X229"/>
  <c r="V229"/>
  <c r="T229"/>
  <c r="R229"/>
  <c r="P229"/>
  <c r="N229"/>
  <c r="L229"/>
  <c r="K229"/>
  <c r="J229"/>
  <c r="I229"/>
  <c r="H229"/>
  <c r="Z228"/>
  <c r="Y228"/>
  <c r="X228"/>
  <c r="V228"/>
  <c r="T228"/>
  <c r="R228"/>
  <c r="P228"/>
  <c r="N228"/>
  <c r="L228"/>
  <c r="K228"/>
  <c r="J228"/>
  <c r="I228"/>
  <c r="H228"/>
  <c r="Z227"/>
  <c r="Y227"/>
  <c r="X227"/>
  <c r="V227"/>
  <c r="T227"/>
  <c r="R227"/>
  <c r="P227"/>
  <c r="N227"/>
  <c r="L227"/>
  <c r="K227"/>
  <c r="J227"/>
  <c r="I227"/>
  <c r="H227"/>
  <c r="Z226"/>
  <c r="Y226"/>
  <c r="X226"/>
  <c r="V226"/>
  <c r="T226"/>
  <c r="R226"/>
  <c r="P226"/>
  <c r="N226"/>
  <c r="L226"/>
  <c r="K226"/>
  <c r="J226"/>
  <c r="I226"/>
  <c r="H226"/>
  <c r="Z225"/>
  <c r="Y225"/>
  <c r="X225"/>
  <c r="V225"/>
  <c r="T225"/>
  <c r="R225"/>
  <c r="P225"/>
  <c r="N225"/>
  <c r="L225"/>
  <c r="K225"/>
  <c r="J225"/>
  <c r="I225"/>
  <c r="H225"/>
  <c r="Z224"/>
  <c r="Y224"/>
  <c r="X224"/>
  <c r="V224"/>
  <c r="T224"/>
  <c r="R224"/>
  <c r="P224"/>
  <c r="N224"/>
  <c r="L224"/>
  <c r="K224"/>
  <c r="J224"/>
  <c r="I224"/>
  <c r="H224"/>
  <c r="Z223"/>
  <c r="Y223"/>
  <c r="X223"/>
  <c r="V223"/>
  <c r="T223"/>
  <c r="R223"/>
  <c r="P223"/>
  <c r="N223"/>
  <c r="L223"/>
  <c r="K223"/>
  <c r="J223"/>
  <c r="I223"/>
  <c r="H223"/>
  <c r="Z222"/>
  <c r="Y222"/>
  <c r="X222"/>
  <c r="V222"/>
  <c r="T222"/>
  <c r="R222"/>
  <c r="P222"/>
  <c r="N222"/>
  <c r="L222"/>
  <c r="K222"/>
  <c r="J222"/>
  <c r="I222"/>
  <c r="H222"/>
  <c r="Z221"/>
  <c r="Y221"/>
  <c r="X221"/>
  <c r="V221"/>
  <c r="T221"/>
  <c r="R221"/>
  <c r="P221"/>
  <c r="N221"/>
  <c r="L221"/>
  <c r="K221"/>
  <c r="J221"/>
  <c r="I221"/>
  <c r="H221"/>
  <c r="Z220"/>
  <c r="Y220"/>
  <c r="X220"/>
  <c r="V220"/>
  <c r="T220"/>
  <c r="R220"/>
  <c r="P220"/>
  <c r="N220"/>
  <c r="L220"/>
  <c r="K220"/>
  <c r="J220"/>
  <c r="I220"/>
  <c r="H220"/>
  <c r="U219"/>
  <c r="S219"/>
  <c r="Q219"/>
  <c r="O219"/>
  <c r="M219"/>
  <c r="G219"/>
  <c r="F219"/>
  <c r="E219"/>
  <c r="D219"/>
  <c r="Z218"/>
  <c r="Y218"/>
  <c r="X218"/>
  <c r="V218"/>
  <c r="T218"/>
  <c r="R218"/>
  <c r="P218"/>
  <c r="N218"/>
  <c r="L218"/>
  <c r="K218"/>
  <c r="J218"/>
  <c r="I218"/>
  <c r="H218"/>
  <c r="Z217"/>
  <c r="Y217"/>
  <c r="X217"/>
  <c r="V217"/>
  <c r="T217"/>
  <c r="R217"/>
  <c r="P217"/>
  <c r="N217"/>
  <c r="L217"/>
  <c r="K217"/>
  <c r="J217"/>
  <c r="I217"/>
  <c r="H217"/>
  <c r="U216"/>
  <c r="T216"/>
  <c r="S216"/>
  <c r="R216"/>
  <c r="Q216"/>
  <c r="P216"/>
  <c r="O216"/>
  <c r="N216"/>
  <c r="M216"/>
  <c r="G216"/>
  <c r="F216"/>
  <c r="E216"/>
  <c r="D216"/>
  <c r="Z215"/>
  <c r="Y215"/>
  <c r="X215"/>
  <c r="V215"/>
  <c r="T215"/>
  <c r="R215"/>
  <c r="P215"/>
  <c r="N215"/>
  <c r="L215"/>
  <c r="K215"/>
  <c r="J215"/>
  <c r="I215"/>
  <c r="H215"/>
  <c r="Z75"/>
  <c r="Y75"/>
  <c r="X75"/>
  <c r="V75"/>
  <c r="T75"/>
  <c r="R75"/>
  <c r="P75"/>
  <c r="N75"/>
  <c r="L75"/>
  <c r="K75"/>
  <c r="J75"/>
  <c r="I75"/>
  <c r="H75"/>
  <c r="U214"/>
  <c r="S214"/>
  <c r="Q214"/>
  <c r="O214"/>
  <c r="M214"/>
  <c r="G214"/>
  <c r="F214"/>
  <c r="E214"/>
  <c r="D214"/>
  <c r="Z213"/>
  <c r="Y213"/>
  <c r="X213"/>
  <c r="V213"/>
  <c r="T213"/>
  <c r="R213"/>
  <c r="P213"/>
  <c r="N213"/>
  <c r="L213"/>
  <c r="K213"/>
  <c r="J213"/>
  <c r="I213"/>
  <c r="H213"/>
  <c r="Z74"/>
  <c r="Y74"/>
  <c r="X74"/>
  <c r="V74"/>
  <c r="T74"/>
  <c r="R74"/>
  <c r="P74"/>
  <c r="N74"/>
  <c r="L74"/>
  <c r="K74"/>
  <c r="J74"/>
  <c r="I74"/>
  <c r="H74"/>
  <c r="Z73"/>
  <c r="Y73"/>
  <c r="X73"/>
  <c r="V73"/>
  <c r="T73"/>
  <c r="R73"/>
  <c r="P73"/>
  <c r="N73"/>
  <c r="L73"/>
  <c r="K73"/>
  <c r="J73"/>
  <c r="I73"/>
  <c r="H73"/>
  <c r="Z72"/>
  <c r="Y72"/>
  <c r="X72"/>
  <c r="V72"/>
  <c r="T72"/>
  <c r="R72"/>
  <c r="P72"/>
  <c r="N72"/>
  <c r="L72"/>
  <c r="K72"/>
  <c r="J72"/>
  <c r="I72"/>
  <c r="H72"/>
  <c r="Z71"/>
  <c r="Y71"/>
  <c r="X71"/>
  <c r="V71"/>
  <c r="T71"/>
  <c r="R71"/>
  <c r="P71"/>
  <c r="N71"/>
  <c r="L71"/>
  <c r="K71"/>
  <c r="J71"/>
  <c r="I71"/>
  <c r="H71"/>
  <c r="Z212"/>
  <c r="Y212"/>
  <c r="X212"/>
  <c r="V212"/>
  <c r="T212"/>
  <c r="R212"/>
  <c r="P212"/>
  <c r="N212"/>
  <c r="L212"/>
  <c r="K212"/>
  <c r="J212"/>
  <c r="I212"/>
  <c r="H212"/>
  <c r="Z211"/>
  <c r="Y211"/>
  <c r="X211"/>
  <c r="V211"/>
  <c r="T211"/>
  <c r="R211"/>
  <c r="P211"/>
  <c r="N211"/>
  <c r="L211"/>
  <c r="K211"/>
  <c r="J211"/>
  <c r="I211"/>
  <c r="H211"/>
  <c r="Z210"/>
  <c r="Y210"/>
  <c r="X210"/>
  <c r="V210"/>
  <c r="T210"/>
  <c r="R210"/>
  <c r="P210"/>
  <c r="N210"/>
  <c r="L210"/>
  <c r="K210"/>
  <c r="J210"/>
  <c r="I210"/>
  <c r="H210"/>
  <c r="Z209"/>
  <c r="Y209"/>
  <c r="X209"/>
  <c r="V209"/>
  <c r="T209"/>
  <c r="R209"/>
  <c r="P209"/>
  <c r="N209"/>
  <c r="L209"/>
  <c r="K209"/>
  <c r="J209"/>
  <c r="I209"/>
  <c r="H209"/>
  <c r="Z70"/>
  <c r="Y70"/>
  <c r="X70"/>
  <c r="V70"/>
  <c r="T70"/>
  <c r="R70"/>
  <c r="P70"/>
  <c r="N70"/>
  <c r="L70"/>
  <c r="K70"/>
  <c r="J70"/>
  <c r="I70"/>
  <c r="H70"/>
  <c r="Z208"/>
  <c r="Y208"/>
  <c r="X208"/>
  <c r="V208"/>
  <c r="T208"/>
  <c r="R208"/>
  <c r="P208"/>
  <c r="N208"/>
  <c r="L208"/>
  <c r="K208"/>
  <c r="J208"/>
  <c r="I208"/>
  <c r="H208"/>
  <c r="Z207"/>
  <c r="Y207"/>
  <c r="X207"/>
  <c r="V207"/>
  <c r="T207"/>
  <c r="R207"/>
  <c r="P207"/>
  <c r="N207"/>
  <c r="L207"/>
  <c r="K207"/>
  <c r="J207"/>
  <c r="I207"/>
  <c r="H207"/>
  <c r="Z206"/>
  <c r="Y206"/>
  <c r="X206"/>
  <c r="V206"/>
  <c r="T206"/>
  <c r="R206"/>
  <c r="P206"/>
  <c r="N206"/>
  <c r="L206"/>
  <c r="K206"/>
  <c r="J206"/>
  <c r="I206"/>
  <c r="H206"/>
  <c r="Z205"/>
  <c r="Y205"/>
  <c r="X205"/>
  <c r="V205"/>
  <c r="T205"/>
  <c r="R205"/>
  <c r="P205"/>
  <c r="N205"/>
  <c r="L205"/>
  <c r="K205"/>
  <c r="J205"/>
  <c r="I205"/>
  <c r="H205"/>
  <c r="U204"/>
  <c r="S204"/>
  <c r="Q204"/>
  <c r="O204"/>
  <c r="M204"/>
  <c r="G204"/>
  <c r="F204"/>
  <c r="E204"/>
  <c r="D204"/>
  <c r="C204"/>
  <c r="Z203"/>
  <c r="Y203"/>
  <c r="X203"/>
  <c r="V203"/>
  <c r="T203"/>
  <c r="R203"/>
  <c r="P203"/>
  <c r="N203"/>
  <c r="L203"/>
  <c r="K203"/>
  <c r="J203"/>
  <c r="I203"/>
  <c r="H203"/>
  <c r="Z202"/>
  <c r="Y202"/>
  <c r="X202"/>
  <c r="V202"/>
  <c r="T202"/>
  <c r="R202"/>
  <c r="P202"/>
  <c r="N202"/>
  <c r="L202"/>
  <c r="K202"/>
  <c r="J202"/>
  <c r="I202"/>
  <c r="H202"/>
  <c r="Z201"/>
  <c r="Y201"/>
  <c r="X201"/>
  <c r="V201"/>
  <c r="T201"/>
  <c r="R201"/>
  <c r="P201"/>
  <c r="N201"/>
  <c r="L201"/>
  <c r="K201"/>
  <c r="J201"/>
  <c r="I201"/>
  <c r="H201"/>
  <c r="Z200"/>
  <c r="Y200"/>
  <c r="X200"/>
  <c r="V200"/>
  <c r="T200"/>
  <c r="R200"/>
  <c r="P200"/>
  <c r="N200"/>
  <c r="L200"/>
  <c r="K200"/>
  <c r="J200"/>
  <c r="I200"/>
  <c r="H200"/>
  <c r="Z199"/>
  <c r="Y199"/>
  <c r="X199"/>
  <c r="V199"/>
  <c r="T199"/>
  <c r="R199"/>
  <c r="P199"/>
  <c r="N199"/>
  <c r="L199"/>
  <c r="K199"/>
  <c r="J199"/>
  <c r="I199"/>
  <c r="H199"/>
  <c r="Z198"/>
  <c r="Y198"/>
  <c r="X198"/>
  <c r="V198"/>
  <c r="T198"/>
  <c r="R198"/>
  <c r="P198"/>
  <c r="N198"/>
  <c r="L198"/>
  <c r="K198"/>
  <c r="J198"/>
  <c r="I198"/>
  <c r="H198"/>
  <c r="Z197"/>
  <c r="Y197"/>
  <c r="X197"/>
  <c r="V197"/>
  <c r="T197"/>
  <c r="R197"/>
  <c r="P197"/>
  <c r="N197"/>
  <c r="L197"/>
  <c r="K197"/>
  <c r="J197"/>
  <c r="I197"/>
  <c r="H197"/>
  <c r="Z196"/>
  <c r="Y196"/>
  <c r="X196"/>
  <c r="V196"/>
  <c r="T196"/>
  <c r="R196"/>
  <c r="P196"/>
  <c r="N196"/>
  <c r="L196"/>
  <c r="K196"/>
  <c r="J196"/>
  <c r="I196"/>
  <c r="H196"/>
  <c r="Z195"/>
  <c r="Y195"/>
  <c r="X195"/>
  <c r="V195"/>
  <c r="T195"/>
  <c r="R195"/>
  <c r="P195"/>
  <c r="N195"/>
  <c r="L195"/>
  <c r="K195"/>
  <c r="J195"/>
  <c r="I195"/>
  <c r="H195"/>
  <c r="Z194"/>
  <c r="Y194"/>
  <c r="X194"/>
  <c r="V194"/>
  <c r="T194"/>
  <c r="R194"/>
  <c r="P194"/>
  <c r="N194"/>
  <c r="L194"/>
  <c r="K194"/>
  <c r="J194"/>
  <c r="I194"/>
  <c r="H194"/>
  <c r="Z193"/>
  <c r="Y193"/>
  <c r="X193"/>
  <c r="V193"/>
  <c r="T193"/>
  <c r="R193"/>
  <c r="P193"/>
  <c r="N193"/>
  <c r="L193"/>
  <c r="K193"/>
  <c r="J193"/>
  <c r="I193"/>
  <c r="H193"/>
  <c r="Z192"/>
  <c r="Y192"/>
  <c r="X192"/>
  <c r="V192"/>
  <c r="T192"/>
  <c r="R192"/>
  <c r="P192"/>
  <c r="N192"/>
  <c r="L192"/>
  <c r="K192"/>
  <c r="J192"/>
  <c r="I192"/>
  <c r="H192"/>
  <c r="Z191"/>
  <c r="Y191"/>
  <c r="X191"/>
  <c r="V191"/>
  <c r="T191"/>
  <c r="R191"/>
  <c r="P191"/>
  <c r="N191"/>
  <c r="L191"/>
  <c r="K191"/>
  <c r="J191"/>
  <c r="I191"/>
  <c r="H191"/>
  <c r="Z190"/>
  <c r="Y190"/>
  <c r="X190"/>
  <c r="V190"/>
  <c r="T190"/>
  <c r="R190"/>
  <c r="P190"/>
  <c r="N190"/>
  <c r="L190"/>
  <c r="K190"/>
  <c r="J190"/>
  <c r="I190"/>
  <c r="H190"/>
  <c r="Z189"/>
  <c r="Y189"/>
  <c r="X189"/>
  <c r="V189"/>
  <c r="T189"/>
  <c r="R189"/>
  <c r="P189"/>
  <c r="N189"/>
  <c r="L189"/>
  <c r="K189"/>
  <c r="J189"/>
  <c r="I189"/>
  <c r="H189"/>
  <c r="Z188"/>
  <c r="Y188"/>
  <c r="X188"/>
  <c r="V188"/>
  <c r="T188"/>
  <c r="R188"/>
  <c r="P188"/>
  <c r="N188"/>
  <c r="L188"/>
  <c r="K188"/>
  <c r="J188"/>
  <c r="I188"/>
  <c r="H188"/>
  <c r="Z187"/>
  <c r="Y187"/>
  <c r="X187"/>
  <c r="V187"/>
  <c r="T187"/>
  <c r="R187"/>
  <c r="P187"/>
  <c r="N187"/>
  <c r="L187"/>
  <c r="K187"/>
  <c r="J187"/>
  <c r="I187"/>
  <c r="H187"/>
  <c r="Z186"/>
  <c r="Y186"/>
  <c r="X186"/>
  <c r="V186"/>
  <c r="T186"/>
  <c r="R186"/>
  <c r="P186"/>
  <c r="N186"/>
  <c r="L186"/>
  <c r="K186"/>
  <c r="J186"/>
  <c r="I186"/>
  <c r="H186"/>
  <c r="Z185"/>
  <c r="Y185"/>
  <c r="X185"/>
  <c r="V185"/>
  <c r="T185"/>
  <c r="R185"/>
  <c r="P185"/>
  <c r="N185"/>
  <c r="L185"/>
  <c r="K185"/>
  <c r="J185"/>
  <c r="I185"/>
  <c r="H185"/>
  <c r="Z184"/>
  <c r="Y184"/>
  <c r="X184"/>
  <c r="V184"/>
  <c r="T184"/>
  <c r="R184"/>
  <c r="P184"/>
  <c r="N184"/>
  <c r="L184"/>
  <c r="K184"/>
  <c r="J184"/>
  <c r="I184"/>
  <c r="H184"/>
  <c r="Z183"/>
  <c r="Y183"/>
  <c r="X183"/>
  <c r="V183"/>
  <c r="T183"/>
  <c r="R183"/>
  <c r="P183"/>
  <c r="N183"/>
  <c r="L183"/>
  <c r="K183"/>
  <c r="J183"/>
  <c r="I183"/>
  <c r="H183"/>
  <c r="Z182"/>
  <c r="Y182"/>
  <c r="X182"/>
  <c r="V182"/>
  <c r="T182"/>
  <c r="R182"/>
  <c r="P182"/>
  <c r="N182"/>
  <c r="L182"/>
  <c r="K182"/>
  <c r="J182"/>
  <c r="I182"/>
  <c r="H182"/>
  <c r="Z181"/>
  <c r="Y181"/>
  <c r="X181"/>
  <c r="V181"/>
  <c r="T181"/>
  <c r="R181"/>
  <c r="P181"/>
  <c r="N181"/>
  <c r="L181"/>
  <c r="K181"/>
  <c r="J181"/>
  <c r="I181"/>
  <c r="H181"/>
  <c r="Z180"/>
  <c r="Y180"/>
  <c r="X180"/>
  <c r="V180"/>
  <c r="T180"/>
  <c r="R180"/>
  <c r="P180"/>
  <c r="N180"/>
  <c r="L180"/>
  <c r="K180"/>
  <c r="J180"/>
  <c r="I180"/>
  <c r="H180"/>
  <c r="Z179"/>
  <c r="Y179"/>
  <c r="X179"/>
  <c r="V179"/>
  <c r="T179"/>
  <c r="R179"/>
  <c r="P179"/>
  <c r="N179"/>
  <c r="L179"/>
  <c r="K179"/>
  <c r="J179"/>
  <c r="I179"/>
  <c r="H179"/>
  <c r="Z178"/>
  <c r="Y178"/>
  <c r="X178"/>
  <c r="V178"/>
  <c r="T178"/>
  <c r="R178"/>
  <c r="P178"/>
  <c r="N178"/>
  <c r="L178"/>
  <c r="K178"/>
  <c r="J178"/>
  <c r="I178"/>
  <c r="H178"/>
  <c r="Z177"/>
  <c r="Y177"/>
  <c r="X177"/>
  <c r="V177"/>
  <c r="T177"/>
  <c r="R177"/>
  <c r="P177"/>
  <c r="N177"/>
  <c r="L177"/>
  <c r="K177"/>
  <c r="J177"/>
  <c r="I177"/>
  <c r="H177"/>
  <c r="Z176"/>
  <c r="Y176"/>
  <c r="X176"/>
  <c r="V176"/>
  <c r="T176"/>
  <c r="R176"/>
  <c r="P176"/>
  <c r="N176"/>
  <c r="L176"/>
  <c r="K176"/>
  <c r="J176"/>
  <c r="I176"/>
  <c r="H176"/>
  <c r="U175"/>
  <c r="S175"/>
  <c r="Q175"/>
  <c r="O175"/>
  <c r="M175"/>
  <c r="G175"/>
  <c r="F175"/>
  <c r="E175"/>
  <c r="D175"/>
  <c r="Z174"/>
  <c r="Y174"/>
  <c r="X174"/>
  <c r="V174"/>
  <c r="T174"/>
  <c r="R174"/>
  <c r="P174"/>
  <c r="N174"/>
  <c r="L174"/>
  <c r="K174"/>
  <c r="J174"/>
  <c r="I174"/>
  <c r="H174"/>
  <c r="Z173"/>
  <c r="Y173"/>
  <c r="X173"/>
  <c r="V173"/>
  <c r="T173"/>
  <c r="R173"/>
  <c r="P173"/>
  <c r="N173"/>
  <c r="L173"/>
  <c r="K173"/>
  <c r="J173"/>
  <c r="I173"/>
  <c r="H173"/>
  <c r="Z172"/>
  <c r="Y172"/>
  <c r="X172"/>
  <c r="V172"/>
  <c r="T172"/>
  <c r="R172"/>
  <c r="P172"/>
  <c r="N172"/>
  <c r="L172"/>
  <c r="K172"/>
  <c r="J172"/>
  <c r="I172"/>
  <c r="H172"/>
  <c r="Z171"/>
  <c r="Y171"/>
  <c r="X171"/>
  <c r="V171"/>
  <c r="T171"/>
  <c r="R171"/>
  <c r="P171"/>
  <c r="N171"/>
  <c r="L171"/>
  <c r="K171"/>
  <c r="J171"/>
  <c r="I171"/>
  <c r="H171"/>
  <c r="Z170"/>
  <c r="Y170"/>
  <c r="X170"/>
  <c r="V170"/>
  <c r="T170"/>
  <c r="R170"/>
  <c r="P170"/>
  <c r="N170"/>
  <c r="L170"/>
  <c r="K170"/>
  <c r="J170"/>
  <c r="I170"/>
  <c r="H170"/>
  <c r="Z169"/>
  <c r="Y169"/>
  <c r="X169"/>
  <c r="V169"/>
  <c r="T169"/>
  <c r="R169"/>
  <c r="P169"/>
  <c r="N169"/>
  <c r="L169"/>
  <c r="K169"/>
  <c r="J169"/>
  <c r="I169"/>
  <c r="H169"/>
  <c r="Z168"/>
  <c r="Y168"/>
  <c r="X168"/>
  <c r="V168"/>
  <c r="T168"/>
  <c r="R168"/>
  <c r="P168"/>
  <c r="N168"/>
  <c r="L168"/>
  <c r="K168"/>
  <c r="J168"/>
  <c r="I168"/>
  <c r="H168"/>
  <c r="Z167"/>
  <c r="Y167"/>
  <c r="X167"/>
  <c r="V167"/>
  <c r="T167"/>
  <c r="R167"/>
  <c r="P167"/>
  <c r="N167"/>
  <c r="L167"/>
  <c r="K167"/>
  <c r="J167"/>
  <c r="I167"/>
  <c r="H167"/>
  <c r="Z166"/>
  <c r="Y166"/>
  <c r="X166"/>
  <c r="V166"/>
  <c r="T166"/>
  <c r="R166"/>
  <c r="P166"/>
  <c r="N166"/>
  <c r="L166"/>
  <c r="K166"/>
  <c r="J166"/>
  <c r="I166"/>
  <c r="H166"/>
  <c r="Z165"/>
  <c r="Y165"/>
  <c r="X165"/>
  <c r="V165"/>
  <c r="T165"/>
  <c r="R165"/>
  <c r="P165"/>
  <c r="N165"/>
  <c r="L165"/>
  <c r="K165"/>
  <c r="J165"/>
  <c r="I165"/>
  <c r="H165"/>
  <c r="Z164"/>
  <c r="Y164"/>
  <c r="X164"/>
  <c r="V164"/>
  <c r="T164"/>
  <c r="R164"/>
  <c r="P164"/>
  <c r="N164"/>
  <c r="L164"/>
  <c r="K164"/>
  <c r="J164"/>
  <c r="I164"/>
  <c r="H164"/>
  <c r="Z163"/>
  <c r="Y163"/>
  <c r="X163"/>
  <c r="V163"/>
  <c r="T163"/>
  <c r="R163"/>
  <c r="P163"/>
  <c r="N163"/>
  <c r="L163"/>
  <c r="K163"/>
  <c r="J163"/>
  <c r="I163"/>
  <c r="H163"/>
  <c r="Z162"/>
  <c r="Y162"/>
  <c r="X162"/>
  <c r="V162"/>
  <c r="T162"/>
  <c r="R162"/>
  <c r="P162"/>
  <c r="N162"/>
  <c r="L162"/>
  <c r="K162"/>
  <c r="J162"/>
  <c r="I162"/>
  <c r="H162"/>
  <c r="Z161"/>
  <c r="Y161"/>
  <c r="X161"/>
  <c r="V161"/>
  <c r="T161"/>
  <c r="R161"/>
  <c r="P161"/>
  <c r="N161"/>
  <c r="L161"/>
  <c r="K161"/>
  <c r="J161"/>
  <c r="I161"/>
  <c r="H161"/>
  <c r="Z160"/>
  <c r="Y160"/>
  <c r="X160"/>
  <c r="V160"/>
  <c r="T160"/>
  <c r="R160"/>
  <c r="P160"/>
  <c r="N160"/>
  <c r="L160"/>
  <c r="K160"/>
  <c r="J160"/>
  <c r="I160"/>
  <c r="H160"/>
  <c r="Z159"/>
  <c r="Y159"/>
  <c r="X159"/>
  <c r="V159"/>
  <c r="T159"/>
  <c r="R159"/>
  <c r="P159"/>
  <c r="N159"/>
  <c r="L159"/>
  <c r="K159"/>
  <c r="J159"/>
  <c r="I159"/>
  <c r="H159"/>
  <c r="Z158"/>
  <c r="Y158"/>
  <c r="X158"/>
  <c r="V158"/>
  <c r="T158"/>
  <c r="R158"/>
  <c r="P158"/>
  <c r="N158"/>
  <c r="L158"/>
  <c r="K158"/>
  <c r="J158"/>
  <c r="I158"/>
  <c r="H158"/>
  <c r="Z157"/>
  <c r="Y157"/>
  <c r="X157"/>
  <c r="V157"/>
  <c r="T157"/>
  <c r="R157"/>
  <c r="P157"/>
  <c r="N157"/>
  <c r="L157"/>
  <c r="K157"/>
  <c r="J157"/>
  <c r="I157"/>
  <c r="H157"/>
  <c r="Z156"/>
  <c r="Y156"/>
  <c r="X156"/>
  <c r="V156"/>
  <c r="T156"/>
  <c r="R156"/>
  <c r="P156"/>
  <c r="N156"/>
  <c r="L156"/>
  <c r="K156"/>
  <c r="J156"/>
  <c r="I156"/>
  <c r="H156"/>
  <c r="Z155"/>
  <c r="Y155"/>
  <c r="X155"/>
  <c r="V155"/>
  <c r="T155"/>
  <c r="R155"/>
  <c r="P155"/>
  <c r="N155"/>
  <c r="L155"/>
  <c r="K155"/>
  <c r="J155"/>
  <c r="I155"/>
  <c r="H155"/>
  <c r="Z154"/>
  <c r="Y154"/>
  <c r="X154"/>
  <c r="V154"/>
  <c r="T154"/>
  <c r="R154"/>
  <c r="P154"/>
  <c r="N154"/>
  <c r="L154"/>
  <c r="K154"/>
  <c r="J154"/>
  <c r="I154"/>
  <c r="H154"/>
  <c r="Z153"/>
  <c r="Y153"/>
  <c r="X153"/>
  <c r="V153"/>
  <c r="T153"/>
  <c r="R153"/>
  <c r="P153"/>
  <c r="N153"/>
  <c r="L153"/>
  <c r="K153"/>
  <c r="J153"/>
  <c r="I153"/>
  <c r="H153"/>
  <c r="Z152"/>
  <c r="Y152"/>
  <c r="X152"/>
  <c r="V152"/>
  <c r="T152"/>
  <c r="R152"/>
  <c r="P152"/>
  <c r="N152"/>
  <c r="L152"/>
  <c r="K152"/>
  <c r="J152"/>
  <c r="I152"/>
  <c r="H152"/>
  <c r="Z151"/>
  <c r="Y151"/>
  <c r="X151"/>
  <c r="V151"/>
  <c r="T151"/>
  <c r="R151"/>
  <c r="P151"/>
  <c r="N151"/>
  <c r="L151"/>
  <c r="K151"/>
  <c r="J151"/>
  <c r="I151"/>
  <c r="H151"/>
  <c r="U150"/>
  <c r="S150"/>
  <c r="Q150"/>
  <c r="O150"/>
  <c r="M150"/>
  <c r="G150"/>
  <c r="F150"/>
  <c r="E150"/>
  <c r="D150"/>
  <c r="Z149"/>
  <c r="Y149"/>
  <c r="X149"/>
  <c r="V149"/>
  <c r="T149"/>
  <c r="R149"/>
  <c r="P149"/>
  <c r="N149"/>
  <c r="L149"/>
  <c r="K149"/>
  <c r="J149"/>
  <c r="I149"/>
  <c r="H149"/>
  <c r="Z148"/>
  <c r="Y148"/>
  <c r="X148"/>
  <c r="V148"/>
  <c r="T148"/>
  <c r="R148"/>
  <c r="P148"/>
  <c r="N148"/>
  <c r="L148"/>
  <c r="K148"/>
  <c r="J148"/>
  <c r="I148"/>
  <c r="H148"/>
  <c r="Z147"/>
  <c r="Y147"/>
  <c r="X147"/>
  <c r="V147"/>
  <c r="T147"/>
  <c r="R147"/>
  <c r="P147"/>
  <c r="N147"/>
  <c r="L147"/>
  <c r="K147"/>
  <c r="J147"/>
  <c r="I147"/>
  <c r="H147"/>
  <c r="Z146"/>
  <c r="Y146"/>
  <c r="X146"/>
  <c r="V146"/>
  <c r="T146"/>
  <c r="R146"/>
  <c r="P146"/>
  <c r="N146"/>
  <c r="L146"/>
  <c r="K146"/>
  <c r="J146"/>
  <c r="I146"/>
  <c r="H146"/>
  <c r="Z145"/>
  <c r="Y145"/>
  <c r="X145"/>
  <c r="V145"/>
  <c r="T145"/>
  <c r="R145"/>
  <c r="P145"/>
  <c r="N145"/>
  <c r="L145"/>
  <c r="K145"/>
  <c r="J145"/>
  <c r="I145"/>
  <c r="H145"/>
  <c r="Z144"/>
  <c r="Y144"/>
  <c r="X144"/>
  <c r="V144"/>
  <c r="T144"/>
  <c r="R144"/>
  <c r="P144"/>
  <c r="N144"/>
  <c r="L144"/>
  <c r="K144"/>
  <c r="J144"/>
  <c r="I144"/>
  <c r="H144"/>
  <c r="G143"/>
  <c r="F143"/>
  <c r="E143"/>
  <c r="D143"/>
  <c r="Z142"/>
  <c r="Y142"/>
  <c r="X142"/>
  <c r="V142"/>
  <c r="T142"/>
  <c r="R142"/>
  <c r="P142"/>
  <c r="N142"/>
  <c r="L142"/>
  <c r="K142"/>
  <c r="J142"/>
  <c r="I142"/>
  <c r="H142"/>
  <c r="Z141"/>
  <c r="Y141"/>
  <c r="X141"/>
  <c r="V141"/>
  <c r="T141"/>
  <c r="R141"/>
  <c r="P141"/>
  <c r="N141"/>
  <c r="L141"/>
  <c r="K141"/>
  <c r="J141"/>
  <c r="I141"/>
  <c r="H141"/>
  <c r="Z140"/>
  <c r="Y140"/>
  <c r="X140"/>
  <c r="V140"/>
  <c r="T140"/>
  <c r="R140"/>
  <c r="P140"/>
  <c r="N140"/>
  <c r="L140"/>
  <c r="K140"/>
  <c r="J140"/>
  <c r="I140"/>
  <c r="H140"/>
  <c r="Z139"/>
  <c r="Y139"/>
  <c r="X139"/>
  <c r="V139"/>
  <c r="T139"/>
  <c r="R139"/>
  <c r="P139"/>
  <c r="N139"/>
  <c r="L139"/>
  <c r="K139"/>
  <c r="J139"/>
  <c r="I139"/>
  <c r="H139"/>
  <c r="Z138"/>
  <c r="Y138"/>
  <c r="X138"/>
  <c r="V138"/>
  <c r="T138"/>
  <c r="R138"/>
  <c r="P138"/>
  <c r="N138"/>
  <c r="L138"/>
  <c r="K138"/>
  <c r="J138"/>
  <c r="I138"/>
  <c r="H138"/>
  <c r="Z137"/>
  <c r="Y137"/>
  <c r="X137"/>
  <c r="V137"/>
  <c r="T137"/>
  <c r="R137"/>
  <c r="P137"/>
  <c r="N137"/>
  <c r="L137"/>
  <c r="K137"/>
  <c r="J137"/>
  <c r="I137"/>
  <c r="H137"/>
  <c r="Z136"/>
  <c r="Y136"/>
  <c r="X136"/>
  <c r="V136"/>
  <c r="T136"/>
  <c r="R136"/>
  <c r="P136"/>
  <c r="N136"/>
  <c r="L136"/>
  <c r="K136"/>
  <c r="J136"/>
  <c r="I136"/>
  <c r="H136"/>
  <c r="Z135"/>
  <c r="Y135"/>
  <c r="X135"/>
  <c r="V135"/>
  <c r="T135"/>
  <c r="R135"/>
  <c r="P135"/>
  <c r="N135"/>
  <c r="L135"/>
  <c r="K135"/>
  <c r="J135"/>
  <c r="I135"/>
  <c r="H135"/>
  <c r="Z134"/>
  <c r="Y134"/>
  <c r="X134"/>
  <c r="V134"/>
  <c r="T134"/>
  <c r="R134"/>
  <c r="P134"/>
  <c r="N134"/>
  <c r="L134"/>
  <c r="K134"/>
  <c r="J134"/>
  <c r="I134"/>
  <c r="H134"/>
  <c r="Z133"/>
  <c r="Y133"/>
  <c r="X133"/>
  <c r="V133"/>
  <c r="T133"/>
  <c r="R133"/>
  <c r="P133"/>
  <c r="N133"/>
  <c r="L133"/>
  <c r="K133"/>
  <c r="J133"/>
  <c r="I133"/>
  <c r="H133"/>
  <c r="Z132"/>
  <c r="Y132"/>
  <c r="X132"/>
  <c r="V132"/>
  <c r="T132"/>
  <c r="R132"/>
  <c r="P132"/>
  <c r="N132"/>
  <c r="L132"/>
  <c r="K132"/>
  <c r="J132"/>
  <c r="I132"/>
  <c r="H132"/>
  <c r="Z131"/>
  <c r="Y131"/>
  <c r="X131"/>
  <c r="V131"/>
  <c r="T131"/>
  <c r="R131"/>
  <c r="P131"/>
  <c r="N131"/>
  <c r="L131"/>
  <c r="K131"/>
  <c r="J131"/>
  <c r="I131"/>
  <c r="H131"/>
  <c r="Z130"/>
  <c r="Y130"/>
  <c r="X130"/>
  <c r="V130"/>
  <c r="T130"/>
  <c r="R130"/>
  <c r="P130"/>
  <c r="N130"/>
  <c r="L130"/>
  <c r="K130"/>
  <c r="J130"/>
  <c r="I130"/>
  <c r="H130"/>
  <c r="Z129"/>
  <c r="Y129"/>
  <c r="X129"/>
  <c r="V129"/>
  <c r="T129"/>
  <c r="R129"/>
  <c r="P129"/>
  <c r="N129"/>
  <c r="L129"/>
  <c r="K129"/>
  <c r="J129"/>
  <c r="I129"/>
  <c r="H129"/>
  <c r="Z128"/>
  <c r="Y128"/>
  <c r="X128"/>
  <c r="V128"/>
  <c r="T128"/>
  <c r="R128"/>
  <c r="P128"/>
  <c r="N128"/>
  <c r="L128"/>
  <c r="K128"/>
  <c r="J128"/>
  <c r="I128"/>
  <c r="H128"/>
  <c r="U127"/>
  <c r="S127"/>
  <c r="Q127"/>
  <c r="O127"/>
  <c r="M127"/>
  <c r="G127"/>
  <c r="F127"/>
  <c r="E127"/>
  <c r="D127"/>
  <c r="Z126"/>
  <c r="Y126"/>
  <c r="X126"/>
  <c r="V126"/>
  <c r="T126"/>
  <c r="R126"/>
  <c r="P126"/>
  <c r="N126"/>
  <c r="L126"/>
  <c r="K126"/>
  <c r="J126"/>
  <c r="I126"/>
  <c r="H126"/>
  <c r="Z125"/>
  <c r="Y125"/>
  <c r="X125"/>
  <c r="V125"/>
  <c r="T125"/>
  <c r="R125"/>
  <c r="P125"/>
  <c r="N125"/>
  <c r="L125"/>
  <c r="K125"/>
  <c r="J125"/>
  <c r="I125"/>
  <c r="H125"/>
  <c r="Z124"/>
  <c r="Y124"/>
  <c r="X124"/>
  <c r="V124"/>
  <c r="T124"/>
  <c r="R124"/>
  <c r="P124"/>
  <c r="N124"/>
  <c r="L124"/>
  <c r="K124"/>
  <c r="J124"/>
  <c r="I124"/>
  <c r="H124"/>
  <c r="Z123"/>
  <c r="Y123"/>
  <c r="X123"/>
  <c r="V123"/>
  <c r="T123"/>
  <c r="R123"/>
  <c r="P123"/>
  <c r="N123"/>
  <c r="L123"/>
  <c r="K123"/>
  <c r="J123"/>
  <c r="I123"/>
  <c r="H123"/>
  <c r="Z122"/>
  <c r="Y122"/>
  <c r="X122"/>
  <c r="V122"/>
  <c r="T122"/>
  <c r="R122"/>
  <c r="P122"/>
  <c r="N122"/>
  <c r="L122"/>
  <c r="K122"/>
  <c r="J122"/>
  <c r="I122"/>
  <c r="H122"/>
  <c r="Z121"/>
  <c r="Y121"/>
  <c r="X121"/>
  <c r="V121"/>
  <c r="T121"/>
  <c r="R121"/>
  <c r="P121"/>
  <c r="N121"/>
  <c r="L121"/>
  <c r="K121"/>
  <c r="J121"/>
  <c r="I121"/>
  <c r="H121"/>
  <c r="Z120"/>
  <c r="Y120"/>
  <c r="X120"/>
  <c r="V120"/>
  <c r="T120"/>
  <c r="R120"/>
  <c r="P120"/>
  <c r="N120"/>
  <c r="L120"/>
  <c r="K120"/>
  <c r="J120"/>
  <c r="I120"/>
  <c r="H120"/>
  <c r="Z119"/>
  <c r="Y119"/>
  <c r="X119"/>
  <c r="V119"/>
  <c r="T119"/>
  <c r="R119"/>
  <c r="P119"/>
  <c r="N119"/>
  <c r="L119"/>
  <c r="K119"/>
  <c r="J119"/>
  <c r="I119"/>
  <c r="H119"/>
  <c r="Z118"/>
  <c r="Y118"/>
  <c r="X118"/>
  <c r="V118"/>
  <c r="T118"/>
  <c r="R118"/>
  <c r="P118"/>
  <c r="N118"/>
  <c r="L118"/>
  <c r="K118"/>
  <c r="J118"/>
  <c r="I118"/>
  <c r="H118"/>
  <c r="Z117"/>
  <c r="Y117"/>
  <c r="X117"/>
  <c r="V117"/>
  <c r="T117"/>
  <c r="R117"/>
  <c r="P117"/>
  <c r="N117"/>
  <c r="L117"/>
  <c r="K117"/>
  <c r="J117"/>
  <c r="I117"/>
  <c r="H117"/>
  <c r="Z116"/>
  <c r="Y116"/>
  <c r="X116"/>
  <c r="V116"/>
  <c r="T116"/>
  <c r="R116"/>
  <c r="P116"/>
  <c r="N116"/>
  <c r="L116"/>
  <c r="K116"/>
  <c r="J116"/>
  <c r="I116"/>
  <c r="H116"/>
  <c r="Z115"/>
  <c r="Y115"/>
  <c r="X115"/>
  <c r="V115"/>
  <c r="T115"/>
  <c r="R115"/>
  <c r="P115"/>
  <c r="N115"/>
  <c r="L115"/>
  <c r="K115"/>
  <c r="J115"/>
  <c r="I115"/>
  <c r="H115"/>
  <c r="Z114"/>
  <c r="Y114"/>
  <c r="X114"/>
  <c r="V114"/>
  <c r="T114"/>
  <c r="R114"/>
  <c r="P114"/>
  <c r="N114"/>
  <c r="L114"/>
  <c r="K114"/>
  <c r="J114"/>
  <c r="I114"/>
  <c r="H114"/>
  <c r="Z113"/>
  <c r="Y113"/>
  <c r="X113"/>
  <c r="V113"/>
  <c r="T113"/>
  <c r="R113"/>
  <c r="P113"/>
  <c r="N113"/>
  <c r="L113"/>
  <c r="K113"/>
  <c r="J113"/>
  <c r="I113"/>
  <c r="H113"/>
  <c r="Z112"/>
  <c r="Y112"/>
  <c r="X112"/>
  <c r="V112"/>
  <c r="T112"/>
  <c r="R112"/>
  <c r="P112"/>
  <c r="N112"/>
  <c r="L112"/>
  <c r="K112"/>
  <c r="J112"/>
  <c r="I112"/>
  <c r="H112"/>
  <c r="Z111"/>
  <c r="Y111"/>
  <c r="X111"/>
  <c r="V111"/>
  <c r="T111"/>
  <c r="R111"/>
  <c r="P111"/>
  <c r="N111"/>
  <c r="L111"/>
  <c r="K111"/>
  <c r="J111"/>
  <c r="I111"/>
  <c r="H111"/>
  <c r="Z110"/>
  <c r="Y110"/>
  <c r="X110"/>
  <c r="V110"/>
  <c r="T110"/>
  <c r="R110"/>
  <c r="P110"/>
  <c r="N110"/>
  <c r="L110"/>
  <c r="K110"/>
  <c r="J110"/>
  <c r="I110"/>
  <c r="H110"/>
  <c r="Z68"/>
  <c r="Y68"/>
  <c r="X68"/>
  <c r="V68"/>
  <c r="T68"/>
  <c r="R68"/>
  <c r="P68"/>
  <c r="N68"/>
  <c r="L68"/>
  <c r="K68"/>
  <c r="J68"/>
  <c r="I68"/>
  <c r="H68"/>
  <c r="Z67"/>
  <c r="Y67"/>
  <c r="X67"/>
  <c r="V67"/>
  <c r="T67"/>
  <c r="R67"/>
  <c r="P67"/>
  <c r="N67"/>
  <c r="L67"/>
  <c r="K67"/>
  <c r="J67"/>
  <c r="I67"/>
  <c r="H67"/>
  <c r="Z66"/>
  <c r="Y66"/>
  <c r="X66"/>
  <c r="V66"/>
  <c r="T66"/>
  <c r="R66"/>
  <c r="P66"/>
  <c r="N66"/>
  <c r="L66"/>
  <c r="K66"/>
  <c r="J66"/>
  <c r="I66"/>
  <c r="H66"/>
  <c r="Z65"/>
  <c r="Y65"/>
  <c r="X65"/>
  <c r="V65"/>
  <c r="T65"/>
  <c r="R65"/>
  <c r="P65"/>
  <c r="N65"/>
  <c r="L65"/>
  <c r="K65"/>
  <c r="J65"/>
  <c r="I65"/>
  <c r="H65"/>
  <c r="Z64"/>
  <c r="Y64"/>
  <c r="X64"/>
  <c r="V64"/>
  <c r="T64"/>
  <c r="R64"/>
  <c r="P64"/>
  <c r="N64"/>
  <c r="L64"/>
  <c r="K64"/>
  <c r="J64"/>
  <c r="I64"/>
  <c r="H64"/>
  <c r="U109"/>
  <c r="S109"/>
  <c r="Q109"/>
  <c r="O109"/>
  <c r="M109"/>
  <c r="G109"/>
  <c r="F109"/>
  <c r="E109"/>
  <c r="D109"/>
  <c r="Z108"/>
  <c r="Y108"/>
  <c r="X108"/>
  <c r="V108"/>
  <c r="T108"/>
  <c r="R108"/>
  <c r="P108"/>
  <c r="N108"/>
  <c r="L108"/>
  <c r="K108"/>
  <c r="J108"/>
  <c r="I108"/>
  <c r="H108"/>
  <c r="Z107"/>
  <c r="Y107"/>
  <c r="X107"/>
  <c r="V107"/>
  <c r="T107"/>
  <c r="R107"/>
  <c r="P107"/>
  <c r="N107"/>
  <c r="L107"/>
  <c r="K107"/>
  <c r="J107"/>
  <c r="I107"/>
  <c r="H107"/>
  <c r="Z106"/>
  <c r="Y106"/>
  <c r="X106"/>
  <c r="V106"/>
  <c r="T106"/>
  <c r="R106"/>
  <c r="P106"/>
  <c r="N106"/>
  <c r="L106"/>
  <c r="K106"/>
  <c r="J106"/>
  <c r="I106"/>
  <c r="H106"/>
  <c r="Z105"/>
  <c r="Y105"/>
  <c r="X105"/>
  <c r="V105"/>
  <c r="T105"/>
  <c r="R105"/>
  <c r="P105"/>
  <c r="N105"/>
  <c r="L105"/>
  <c r="K105"/>
  <c r="J105"/>
  <c r="I105"/>
  <c r="H105"/>
  <c r="Z104"/>
  <c r="Y104"/>
  <c r="X104"/>
  <c r="V104"/>
  <c r="T104"/>
  <c r="R104"/>
  <c r="P104"/>
  <c r="N104"/>
  <c r="L104"/>
  <c r="K104"/>
  <c r="J104"/>
  <c r="I104"/>
  <c r="H104"/>
  <c r="Z103"/>
  <c r="Y103"/>
  <c r="X103"/>
  <c r="V103"/>
  <c r="T103"/>
  <c r="R103"/>
  <c r="P103"/>
  <c r="N103"/>
  <c r="L103"/>
  <c r="K103"/>
  <c r="J103"/>
  <c r="I103"/>
  <c r="H103"/>
  <c r="Z102"/>
  <c r="Y102"/>
  <c r="X102"/>
  <c r="V102"/>
  <c r="T102"/>
  <c r="R102"/>
  <c r="P102"/>
  <c r="N102"/>
  <c r="L102"/>
  <c r="K102"/>
  <c r="J102"/>
  <c r="I102"/>
  <c r="H102"/>
  <c r="Z101"/>
  <c r="Y101"/>
  <c r="X101"/>
  <c r="V101"/>
  <c r="T101"/>
  <c r="R101"/>
  <c r="P101"/>
  <c r="N101"/>
  <c r="L101"/>
  <c r="K101"/>
  <c r="J101"/>
  <c r="I101"/>
  <c r="H101"/>
  <c r="Z100"/>
  <c r="Y100"/>
  <c r="X100"/>
  <c r="V100"/>
  <c r="T100"/>
  <c r="R100"/>
  <c r="P100"/>
  <c r="N100"/>
  <c r="L100"/>
  <c r="K100"/>
  <c r="J100"/>
  <c r="I100"/>
  <c r="H100"/>
  <c r="Z99"/>
  <c r="Y99"/>
  <c r="X99"/>
  <c r="V99"/>
  <c r="T99"/>
  <c r="R99"/>
  <c r="P99"/>
  <c r="N99"/>
  <c r="L99"/>
  <c r="K99"/>
  <c r="J99"/>
  <c r="I99"/>
  <c r="H99"/>
  <c r="Z98"/>
  <c r="Y98"/>
  <c r="X98"/>
  <c r="V98"/>
  <c r="T98"/>
  <c r="R98"/>
  <c r="P98"/>
  <c r="N98"/>
  <c r="L98"/>
  <c r="K98"/>
  <c r="J98"/>
  <c r="I98"/>
  <c r="H98"/>
  <c r="Z97"/>
  <c r="X97"/>
  <c r="V97"/>
  <c r="T97"/>
  <c r="R97"/>
  <c r="P97"/>
  <c r="N97"/>
  <c r="L97"/>
  <c r="K97"/>
  <c r="J97"/>
  <c r="I97"/>
  <c r="H97"/>
  <c r="U96"/>
  <c r="S96"/>
  <c r="Q96"/>
  <c r="O96"/>
  <c r="M96"/>
  <c r="G96"/>
  <c r="F96"/>
  <c r="E96"/>
  <c r="D96"/>
  <c r="C96"/>
  <c r="X53"/>
  <c r="V53"/>
  <c r="T53"/>
  <c r="R53"/>
  <c r="P53"/>
  <c r="N53"/>
  <c r="U51"/>
  <c r="T51"/>
  <c r="S51"/>
  <c r="R51"/>
  <c r="Q51"/>
  <c r="P51"/>
  <c r="O51"/>
  <c r="N51"/>
  <c r="M51"/>
  <c r="C51"/>
  <c r="U50"/>
  <c r="T50"/>
  <c r="S50"/>
  <c r="R50"/>
  <c r="Q50"/>
  <c r="P50"/>
  <c r="O50"/>
  <c r="N50"/>
  <c r="M50"/>
  <c r="C50"/>
  <c r="U48"/>
  <c r="T48"/>
  <c r="S48"/>
  <c r="R48"/>
  <c r="Q48"/>
  <c r="P48"/>
  <c r="O48"/>
  <c r="N48"/>
  <c r="M48"/>
  <c r="C48"/>
  <c r="U47"/>
  <c r="T47"/>
  <c r="S47"/>
  <c r="R47"/>
  <c r="Q47"/>
  <c r="P47"/>
  <c r="O47"/>
  <c r="N47"/>
  <c r="M47"/>
  <c r="C47"/>
  <c r="U46"/>
  <c r="T46"/>
  <c r="S46"/>
  <c r="R46"/>
  <c r="Q46"/>
  <c r="P46"/>
  <c r="O46"/>
  <c r="N46"/>
  <c r="M46"/>
  <c r="C46"/>
  <c r="U44"/>
  <c r="T44"/>
  <c r="S44"/>
  <c r="R44"/>
  <c r="Q44"/>
  <c r="P44"/>
  <c r="O44"/>
  <c r="N44"/>
  <c r="M44"/>
  <c r="C44"/>
  <c r="U43"/>
  <c r="T43"/>
  <c r="S43"/>
  <c r="R43"/>
  <c r="Q43"/>
  <c r="P43"/>
  <c r="O43"/>
  <c r="N43"/>
  <c r="M43"/>
  <c r="C43"/>
  <c r="U42"/>
  <c r="T42"/>
  <c r="S42"/>
  <c r="R42"/>
  <c r="Q42"/>
  <c r="P42"/>
  <c r="O42"/>
  <c r="N42"/>
  <c r="M42"/>
  <c r="C42"/>
  <c r="U41"/>
  <c r="T41"/>
  <c r="S41"/>
  <c r="R41"/>
  <c r="Q41"/>
  <c r="P41"/>
  <c r="O41"/>
  <c r="N41"/>
  <c r="M41"/>
  <c r="C41"/>
  <c r="U40"/>
  <c r="T40"/>
  <c r="S40"/>
  <c r="R40"/>
  <c r="Q40"/>
  <c r="P40"/>
  <c r="O40"/>
  <c r="N40"/>
  <c r="M40"/>
  <c r="C40"/>
  <c r="U39"/>
  <c r="T39"/>
  <c r="S39"/>
  <c r="R39"/>
  <c r="Q39"/>
  <c r="P39"/>
  <c r="O39"/>
  <c r="N39"/>
  <c r="M39"/>
  <c r="C39"/>
  <c r="U38"/>
  <c r="T38"/>
  <c r="S38"/>
  <c r="R38"/>
  <c r="Q38"/>
  <c r="P38"/>
  <c r="O38"/>
  <c r="N38"/>
  <c r="M38"/>
  <c r="C38"/>
  <c r="U37"/>
  <c r="T37"/>
  <c r="S37"/>
  <c r="R37"/>
  <c r="Q37"/>
  <c r="P37"/>
  <c r="O37"/>
  <c r="N37"/>
  <c r="M37"/>
  <c r="C37"/>
  <c r="U36"/>
  <c r="T36"/>
  <c r="S36"/>
  <c r="R36"/>
  <c r="Q36"/>
  <c r="P36"/>
  <c r="O36"/>
  <c r="N36"/>
  <c r="M36"/>
  <c r="C36"/>
  <c r="U34"/>
  <c r="T34"/>
  <c r="S34"/>
  <c r="R34"/>
  <c r="Q34"/>
  <c r="P34"/>
  <c r="O34"/>
  <c r="N34"/>
  <c r="M34"/>
  <c r="C34"/>
  <c r="U33"/>
  <c r="T33"/>
  <c r="S33"/>
  <c r="R33"/>
  <c r="Q33"/>
  <c r="P33"/>
  <c r="O33"/>
  <c r="N33"/>
  <c r="M33"/>
  <c r="C33"/>
  <c r="U32"/>
  <c r="T32"/>
  <c r="S32"/>
  <c r="R32"/>
  <c r="Q32"/>
  <c r="P32"/>
  <c r="O32"/>
  <c r="N32"/>
  <c r="M32"/>
  <c r="C32"/>
  <c r="U31"/>
  <c r="T31"/>
  <c r="S31"/>
  <c r="R31"/>
  <c r="Q31"/>
  <c r="P31"/>
  <c r="O31"/>
  <c r="N31"/>
  <c r="M31"/>
  <c r="C31"/>
  <c r="U30"/>
  <c r="T30"/>
  <c r="S30"/>
  <c r="R30"/>
  <c r="Q30"/>
  <c r="P30"/>
  <c r="O30"/>
  <c r="N30"/>
  <c r="M30"/>
  <c r="C30"/>
  <c r="U29"/>
  <c r="T29"/>
  <c r="S29"/>
  <c r="R29"/>
  <c r="Q29"/>
  <c r="P29"/>
  <c r="O29"/>
  <c r="N29"/>
  <c r="M29"/>
  <c r="C29"/>
  <c r="U28"/>
  <c r="T28"/>
  <c r="S28"/>
  <c r="R28"/>
  <c r="Q28"/>
  <c r="P28"/>
  <c r="O28"/>
  <c r="N28"/>
  <c r="M28"/>
  <c r="C28"/>
  <c r="U27"/>
  <c r="T27"/>
  <c r="S27"/>
  <c r="R27"/>
  <c r="Q27"/>
  <c r="P27"/>
  <c r="O27"/>
  <c r="N27"/>
  <c r="M27"/>
  <c r="C27"/>
  <c r="U26"/>
  <c r="T26"/>
  <c r="S26"/>
  <c r="R26"/>
  <c r="Q26"/>
  <c r="P26"/>
  <c r="O26"/>
  <c r="N26"/>
  <c r="M26"/>
  <c r="C26"/>
  <c r="U25"/>
  <c r="T25"/>
  <c r="S25"/>
  <c r="R25"/>
  <c r="Q25"/>
  <c r="P25"/>
  <c r="O25"/>
  <c r="N25"/>
  <c r="M25"/>
  <c r="C25"/>
  <c r="U24"/>
  <c r="T24"/>
  <c r="S24"/>
  <c r="R24"/>
  <c r="Q24"/>
  <c r="P24"/>
  <c r="O24"/>
  <c r="N24"/>
  <c r="M24"/>
  <c r="C24"/>
  <c r="U23"/>
  <c r="T23"/>
  <c r="S23"/>
  <c r="R23"/>
  <c r="Q23"/>
  <c r="P23"/>
  <c r="O23"/>
  <c r="N23"/>
  <c r="M23"/>
  <c r="C23"/>
  <c r="U22"/>
  <c r="T22"/>
  <c r="S22"/>
  <c r="R22"/>
  <c r="Q22"/>
  <c r="P22"/>
  <c r="O22"/>
  <c r="N22"/>
  <c r="M22"/>
  <c r="C22"/>
  <c r="U21"/>
  <c r="T21"/>
  <c r="S21"/>
  <c r="R21"/>
  <c r="Q21"/>
  <c r="P21"/>
  <c r="O21"/>
  <c r="N21"/>
  <c r="M21"/>
  <c r="C21"/>
  <c r="U20"/>
  <c r="T20"/>
  <c r="S20"/>
  <c r="R20"/>
  <c r="Q20"/>
  <c r="P20"/>
  <c r="O20"/>
  <c r="N20"/>
  <c r="M20"/>
  <c r="C20"/>
  <c r="U19"/>
  <c r="T19"/>
  <c r="S19"/>
  <c r="R19"/>
  <c r="Q19"/>
  <c r="P19"/>
  <c r="O19"/>
  <c r="N19"/>
  <c r="M19"/>
  <c r="C19"/>
  <c r="U18"/>
  <c r="T18"/>
  <c r="S18"/>
  <c r="R18"/>
  <c r="Q18"/>
  <c r="P18"/>
  <c r="O18"/>
  <c r="N18"/>
  <c r="M18"/>
  <c r="C18"/>
  <c r="X17"/>
  <c r="W17"/>
  <c r="V17"/>
  <c r="U17"/>
  <c r="T17"/>
  <c r="S17"/>
  <c r="R17"/>
  <c r="Q17"/>
  <c r="P17"/>
  <c r="O17"/>
  <c r="N17"/>
  <c r="M17"/>
  <c r="X16"/>
  <c r="V16"/>
  <c r="U16"/>
  <c r="T16"/>
  <c r="S16"/>
  <c r="R16"/>
  <c r="Q16"/>
  <c r="P16"/>
  <c r="O16"/>
  <c r="N16"/>
  <c r="M16"/>
  <c r="M15"/>
  <c r="U8"/>
  <c r="S8"/>
  <c r="Q8"/>
  <c r="O8"/>
  <c r="M8"/>
  <c r="W7"/>
  <c r="W16" s="1"/>
  <c r="V4"/>
  <c r="X3"/>
  <c r="X63" i="125"/>
  <c r="X18"/>
  <c r="V20"/>
  <c r="X20"/>
  <c r="Z682"/>
  <c r="Y682"/>
  <c r="X682"/>
  <c r="V682"/>
  <c r="T682"/>
  <c r="R682"/>
  <c r="P682"/>
  <c r="N682"/>
  <c r="L682"/>
  <c r="K682"/>
  <c r="J682"/>
  <c r="I682"/>
  <c r="H682"/>
  <c r="U681"/>
  <c r="S681"/>
  <c r="Q681"/>
  <c r="O681"/>
  <c r="M681"/>
  <c r="G681"/>
  <c r="F681"/>
  <c r="E681"/>
  <c r="D681"/>
  <c r="C681"/>
  <c r="Z680"/>
  <c r="Y680"/>
  <c r="X680"/>
  <c r="V680"/>
  <c r="T680"/>
  <c r="R680"/>
  <c r="P680"/>
  <c r="N680"/>
  <c r="L680"/>
  <c r="K680"/>
  <c r="J680"/>
  <c r="I680"/>
  <c r="H680"/>
  <c r="Z679"/>
  <c r="Y679"/>
  <c r="X679"/>
  <c r="V679"/>
  <c r="T679"/>
  <c r="R679"/>
  <c r="P679"/>
  <c r="N679"/>
  <c r="L679"/>
  <c r="K679"/>
  <c r="J679"/>
  <c r="I679"/>
  <c r="H679"/>
  <c r="U678"/>
  <c r="S678"/>
  <c r="Q678"/>
  <c r="O678"/>
  <c r="M678"/>
  <c r="G678"/>
  <c r="F678"/>
  <c r="E678"/>
  <c r="D678"/>
  <c r="C678"/>
  <c r="Z677"/>
  <c r="Y677"/>
  <c r="X677"/>
  <c r="V677"/>
  <c r="T677"/>
  <c r="R677"/>
  <c r="P677"/>
  <c r="N677"/>
  <c r="L677"/>
  <c r="K677"/>
  <c r="J677"/>
  <c r="I677"/>
  <c r="H677"/>
  <c r="Z676"/>
  <c r="Y676"/>
  <c r="X676"/>
  <c r="V676"/>
  <c r="T676"/>
  <c r="R676"/>
  <c r="P676"/>
  <c r="N676"/>
  <c r="L676"/>
  <c r="K676"/>
  <c r="J676"/>
  <c r="I676"/>
  <c r="H676"/>
  <c r="Z675"/>
  <c r="Y675"/>
  <c r="X675"/>
  <c r="V675"/>
  <c r="T675"/>
  <c r="R675"/>
  <c r="P675"/>
  <c r="N675"/>
  <c r="L675"/>
  <c r="K675"/>
  <c r="J675"/>
  <c r="I675"/>
  <c r="H675"/>
  <c r="Z674"/>
  <c r="Y674"/>
  <c r="X674"/>
  <c r="V674"/>
  <c r="T674"/>
  <c r="R674"/>
  <c r="P674"/>
  <c r="N674"/>
  <c r="L674"/>
  <c r="K674"/>
  <c r="J674"/>
  <c r="I674"/>
  <c r="H674"/>
  <c r="U673"/>
  <c r="S673"/>
  <c r="Q673"/>
  <c r="O673"/>
  <c r="M673"/>
  <c r="G673"/>
  <c r="F673"/>
  <c r="E673"/>
  <c r="D673"/>
  <c r="Z672"/>
  <c r="Y672"/>
  <c r="X672"/>
  <c r="V672"/>
  <c r="T672"/>
  <c r="R672"/>
  <c r="P672"/>
  <c r="N672"/>
  <c r="L672"/>
  <c r="K672"/>
  <c r="J672"/>
  <c r="I672"/>
  <c r="H672"/>
  <c r="U671"/>
  <c r="S671"/>
  <c r="Q671"/>
  <c r="O671"/>
  <c r="M671"/>
  <c r="G671"/>
  <c r="F671"/>
  <c r="E671"/>
  <c r="D671"/>
  <c r="Z670"/>
  <c r="Y670"/>
  <c r="X670"/>
  <c r="V670"/>
  <c r="T670"/>
  <c r="R670"/>
  <c r="P670"/>
  <c r="N670"/>
  <c r="L670"/>
  <c r="K670"/>
  <c r="J670"/>
  <c r="I670"/>
  <c r="H670"/>
  <c r="Z669"/>
  <c r="Y669"/>
  <c r="X669"/>
  <c r="V669"/>
  <c r="T669"/>
  <c r="R669"/>
  <c r="P669"/>
  <c r="N669"/>
  <c r="L669"/>
  <c r="K669"/>
  <c r="J669"/>
  <c r="I669"/>
  <c r="H669"/>
  <c r="U668"/>
  <c r="S668"/>
  <c r="Q668"/>
  <c r="O668"/>
  <c r="M668"/>
  <c r="G668"/>
  <c r="F668"/>
  <c r="E668"/>
  <c r="D668"/>
  <c r="Z667"/>
  <c r="Y667"/>
  <c r="X667"/>
  <c r="V667"/>
  <c r="T667"/>
  <c r="R667"/>
  <c r="P667"/>
  <c r="N667"/>
  <c r="L667"/>
  <c r="K667"/>
  <c r="J667"/>
  <c r="I667"/>
  <c r="H667"/>
  <c r="U666"/>
  <c r="S666"/>
  <c r="Q666"/>
  <c r="O666"/>
  <c r="M666"/>
  <c r="G666"/>
  <c r="F666"/>
  <c r="E666"/>
  <c r="D666"/>
  <c r="Z665"/>
  <c r="Y665"/>
  <c r="X665"/>
  <c r="V665"/>
  <c r="T665"/>
  <c r="R665"/>
  <c r="P665"/>
  <c r="N665"/>
  <c r="L665"/>
  <c r="K665"/>
  <c r="J665"/>
  <c r="I665"/>
  <c r="H665"/>
  <c r="U664"/>
  <c r="S664"/>
  <c r="Q664"/>
  <c r="O664"/>
  <c r="M664"/>
  <c r="G664"/>
  <c r="F664"/>
  <c r="E664"/>
  <c r="D664"/>
  <c r="C664"/>
  <c r="Z663"/>
  <c r="Y663"/>
  <c r="X663"/>
  <c r="V663"/>
  <c r="T663"/>
  <c r="R663"/>
  <c r="P663"/>
  <c r="N663"/>
  <c r="L663"/>
  <c r="K663"/>
  <c r="J663"/>
  <c r="I663"/>
  <c r="H663"/>
  <c r="U662"/>
  <c r="S662"/>
  <c r="Q662"/>
  <c r="O662"/>
  <c r="M662"/>
  <c r="G662"/>
  <c r="F662"/>
  <c r="E662"/>
  <c r="D662"/>
  <c r="Z661"/>
  <c r="Y661"/>
  <c r="X661"/>
  <c r="V661"/>
  <c r="T661"/>
  <c r="R661"/>
  <c r="P661"/>
  <c r="N661"/>
  <c r="L661"/>
  <c r="K661"/>
  <c r="J661"/>
  <c r="I661"/>
  <c r="H661"/>
  <c r="U660"/>
  <c r="S660"/>
  <c r="Q660"/>
  <c r="O660"/>
  <c r="M660"/>
  <c r="G660"/>
  <c r="F660"/>
  <c r="E660"/>
  <c r="D660"/>
  <c r="Z659"/>
  <c r="Y659"/>
  <c r="X659"/>
  <c r="V659"/>
  <c r="T659"/>
  <c r="R659"/>
  <c r="P659"/>
  <c r="N659"/>
  <c r="L659"/>
  <c r="K659"/>
  <c r="J659"/>
  <c r="I659"/>
  <c r="H659"/>
  <c r="Z658"/>
  <c r="Y658"/>
  <c r="X658"/>
  <c r="V658"/>
  <c r="T658"/>
  <c r="R658"/>
  <c r="P658"/>
  <c r="N658"/>
  <c r="L658"/>
  <c r="K658"/>
  <c r="J658"/>
  <c r="I658"/>
  <c r="H658"/>
  <c r="U657"/>
  <c r="S657"/>
  <c r="Q657"/>
  <c r="O657"/>
  <c r="M657"/>
  <c r="G657"/>
  <c r="F657"/>
  <c r="E657"/>
  <c r="D657"/>
  <c r="Z656"/>
  <c r="Y656"/>
  <c r="X656"/>
  <c r="V656"/>
  <c r="T656"/>
  <c r="R656"/>
  <c r="P656"/>
  <c r="N656"/>
  <c r="L656"/>
  <c r="K656"/>
  <c r="J656"/>
  <c r="I656"/>
  <c r="H656"/>
  <c r="Z655"/>
  <c r="Y655"/>
  <c r="X655"/>
  <c r="V655"/>
  <c r="T655"/>
  <c r="R655"/>
  <c r="P655"/>
  <c r="N655"/>
  <c r="L655"/>
  <c r="K655"/>
  <c r="J655"/>
  <c r="I655"/>
  <c r="H655"/>
  <c r="Z654"/>
  <c r="Y654"/>
  <c r="X654"/>
  <c r="V654"/>
  <c r="T654"/>
  <c r="R654"/>
  <c r="P654"/>
  <c r="N654"/>
  <c r="L654"/>
  <c r="K654"/>
  <c r="J654"/>
  <c r="I654"/>
  <c r="H654"/>
  <c r="Z653"/>
  <c r="Y653"/>
  <c r="X653"/>
  <c r="V653"/>
  <c r="T653"/>
  <c r="R653"/>
  <c r="P653"/>
  <c r="N653"/>
  <c r="L653"/>
  <c r="K653"/>
  <c r="J653"/>
  <c r="I653"/>
  <c r="H653"/>
  <c r="Z652"/>
  <c r="Y652"/>
  <c r="X652"/>
  <c r="V652"/>
  <c r="T652"/>
  <c r="R652"/>
  <c r="P652"/>
  <c r="N652"/>
  <c r="L652"/>
  <c r="K652"/>
  <c r="J652"/>
  <c r="I652"/>
  <c r="H652"/>
  <c r="Z651"/>
  <c r="Y651"/>
  <c r="X651"/>
  <c r="V651"/>
  <c r="T651"/>
  <c r="R651"/>
  <c r="P651"/>
  <c r="N651"/>
  <c r="L651"/>
  <c r="K651"/>
  <c r="J651"/>
  <c r="I651"/>
  <c r="H651"/>
  <c r="Z650"/>
  <c r="Y650"/>
  <c r="X650"/>
  <c r="V650"/>
  <c r="T650"/>
  <c r="R650"/>
  <c r="P650"/>
  <c r="N650"/>
  <c r="L650"/>
  <c r="K650"/>
  <c r="J650"/>
  <c r="I650"/>
  <c r="H650"/>
  <c r="U649"/>
  <c r="S649"/>
  <c r="Q649"/>
  <c r="O649"/>
  <c r="M649"/>
  <c r="G649"/>
  <c r="F649"/>
  <c r="E649"/>
  <c r="D649"/>
  <c r="C649"/>
  <c r="Z648"/>
  <c r="Y648"/>
  <c r="X648"/>
  <c r="V648"/>
  <c r="T648"/>
  <c r="R648"/>
  <c r="P648"/>
  <c r="N648"/>
  <c r="L648"/>
  <c r="K648"/>
  <c r="J648"/>
  <c r="I648"/>
  <c r="H648"/>
  <c r="U647"/>
  <c r="S647"/>
  <c r="Q647"/>
  <c r="O647"/>
  <c r="M647"/>
  <c r="G647"/>
  <c r="F647"/>
  <c r="E647"/>
  <c r="D647"/>
  <c r="Z646"/>
  <c r="Y646"/>
  <c r="X646"/>
  <c r="V646"/>
  <c r="T646"/>
  <c r="R646"/>
  <c r="P646"/>
  <c r="N646"/>
  <c r="L646"/>
  <c r="K646"/>
  <c r="J646"/>
  <c r="I646"/>
  <c r="H646"/>
  <c r="Z645"/>
  <c r="Y645"/>
  <c r="X645"/>
  <c r="V645"/>
  <c r="T645"/>
  <c r="R645"/>
  <c r="P645"/>
  <c r="N645"/>
  <c r="L645"/>
  <c r="K645"/>
  <c r="J645"/>
  <c r="I645"/>
  <c r="H645"/>
  <c r="U644"/>
  <c r="S644"/>
  <c r="Q644"/>
  <c r="O644"/>
  <c r="M644"/>
  <c r="G644"/>
  <c r="F644"/>
  <c r="E644"/>
  <c r="D644"/>
  <c r="Z643"/>
  <c r="Y643"/>
  <c r="X643"/>
  <c r="V643"/>
  <c r="T643"/>
  <c r="R643"/>
  <c r="P643"/>
  <c r="N643"/>
  <c r="L643"/>
  <c r="K643"/>
  <c r="J643"/>
  <c r="I643"/>
  <c r="H643"/>
  <c r="Z642"/>
  <c r="Y642"/>
  <c r="X642"/>
  <c r="V642"/>
  <c r="T642"/>
  <c r="R642"/>
  <c r="P642"/>
  <c r="N642"/>
  <c r="L642"/>
  <c r="K642"/>
  <c r="J642"/>
  <c r="I642"/>
  <c r="H642"/>
  <c r="Z641"/>
  <c r="Y641"/>
  <c r="X641"/>
  <c r="V641"/>
  <c r="T641"/>
  <c r="R641"/>
  <c r="P641"/>
  <c r="N641"/>
  <c r="L641"/>
  <c r="K641"/>
  <c r="J641"/>
  <c r="I641"/>
  <c r="H641"/>
  <c r="U640"/>
  <c r="S640"/>
  <c r="Q640"/>
  <c r="O640"/>
  <c r="M640"/>
  <c r="F640"/>
  <c r="E640"/>
  <c r="D640"/>
  <c r="C640"/>
  <c r="Z639"/>
  <c r="Y639"/>
  <c r="X639"/>
  <c r="V639"/>
  <c r="T639"/>
  <c r="R639"/>
  <c r="P639"/>
  <c r="N639"/>
  <c r="L639"/>
  <c r="K639"/>
  <c r="J639"/>
  <c r="I639"/>
  <c r="H639"/>
  <c r="G639"/>
  <c r="U638"/>
  <c r="S638"/>
  <c r="Q638"/>
  <c r="O638"/>
  <c r="M638"/>
  <c r="F638"/>
  <c r="E638"/>
  <c r="D638"/>
  <c r="C638"/>
  <c r="Z637"/>
  <c r="Y637"/>
  <c r="X637"/>
  <c r="L637"/>
  <c r="K637"/>
  <c r="J637"/>
  <c r="I637"/>
  <c r="H637"/>
  <c r="U636"/>
  <c r="S636"/>
  <c r="Q636"/>
  <c r="O636"/>
  <c r="M636"/>
  <c r="G636"/>
  <c r="F636"/>
  <c r="E636"/>
  <c r="D636"/>
  <c r="Z635"/>
  <c r="Y635"/>
  <c r="X635"/>
  <c r="V635"/>
  <c r="T635"/>
  <c r="R635"/>
  <c r="P635"/>
  <c r="N635"/>
  <c r="L635"/>
  <c r="K635"/>
  <c r="J635"/>
  <c r="I635"/>
  <c r="H635"/>
  <c r="U634"/>
  <c r="S634"/>
  <c r="Q634"/>
  <c r="O634"/>
  <c r="M634"/>
  <c r="G634"/>
  <c r="F634"/>
  <c r="E634"/>
  <c r="D634"/>
  <c r="Z633"/>
  <c r="Y633"/>
  <c r="X633"/>
  <c r="V633"/>
  <c r="T633"/>
  <c r="R633"/>
  <c r="P633"/>
  <c r="N633"/>
  <c r="L633"/>
  <c r="K633"/>
  <c r="J633"/>
  <c r="I633"/>
  <c r="H633"/>
  <c r="U632"/>
  <c r="S632"/>
  <c r="Q632"/>
  <c r="O632"/>
  <c r="M632"/>
  <c r="G632"/>
  <c r="F632"/>
  <c r="E632"/>
  <c r="D632"/>
  <c r="Z631"/>
  <c r="Y631"/>
  <c r="X631"/>
  <c r="V631"/>
  <c r="T631"/>
  <c r="R631"/>
  <c r="P631"/>
  <c r="N631"/>
  <c r="L631"/>
  <c r="K631"/>
  <c r="J631"/>
  <c r="I631"/>
  <c r="H631"/>
  <c r="U630"/>
  <c r="S630"/>
  <c r="Q630"/>
  <c r="O630"/>
  <c r="M630"/>
  <c r="G630"/>
  <c r="F630"/>
  <c r="E630"/>
  <c r="D630"/>
  <c r="C630"/>
  <c r="Z629"/>
  <c r="Y629"/>
  <c r="X629"/>
  <c r="V629"/>
  <c r="T629"/>
  <c r="R629"/>
  <c r="P629"/>
  <c r="N629"/>
  <c r="L629"/>
  <c r="K629"/>
  <c r="J629"/>
  <c r="I629"/>
  <c r="H629"/>
  <c r="U628"/>
  <c r="S628"/>
  <c r="Q628"/>
  <c r="O628"/>
  <c r="M628"/>
  <c r="G628"/>
  <c r="F628"/>
  <c r="E628"/>
  <c r="D628"/>
  <c r="Z627"/>
  <c r="Y627"/>
  <c r="X627"/>
  <c r="V627"/>
  <c r="T627"/>
  <c r="R627"/>
  <c r="P627"/>
  <c r="N627"/>
  <c r="L627"/>
  <c r="K627"/>
  <c r="J627"/>
  <c r="I627"/>
  <c r="H627"/>
  <c r="Z626"/>
  <c r="Y626"/>
  <c r="X626"/>
  <c r="V626"/>
  <c r="T626"/>
  <c r="R626"/>
  <c r="P626"/>
  <c r="N626"/>
  <c r="L626"/>
  <c r="K626"/>
  <c r="J626"/>
  <c r="I626"/>
  <c r="H626"/>
  <c r="Z625"/>
  <c r="Y625"/>
  <c r="X625"/>
  <c r="V625"/>
  <c r="T625"/>
  <c r="R625"/>
  <c r="P625"/>
  <c r="N625"/>
  <c r="L625"/>
  <c r="K625"/>
  <c r="J625"/>
  <c r="I625"/>
  <c r="H625"/>
  <c r="U624"/>
  <c r="S624"/>
  <c r="Q624"/>
  <c r="O624"/>
  <c r="M624"/>
  <c r="G624"/>
  <c r="F624"/>
  <c r="E624"/>
  <c r="D624"/>
  <c r="Z623"/>
  <c r="Y623"/>
  <c r="X623"/>
  <c r="V623"/>
  <c r="T623"/>
  <c r="R623"/>
  <c r="P623"/>
  <c r="N623"/>
  <c r="L623"/>
  <c r="K623"/>
  <c r="J623"/>
  <c r="I623"/>
  <c r="H623"/>
  <c r="Z622"/>
  <c r="Y622"/>
  <c r="X622"/>
  <c r="V622"/>
  <c r="T622"/>
  <c r="R622"/>
  <c r="P622"/>
  <c r="N622"/>
  <c r="L622"/>
  <c r="K622"/>
  <c r="J622"/>
  <c r="I622"/>
  <c r="H622"/>
  <c r="Z621"/>
  <c r="Y621"/>
  <c r="X621"/>
  <c r="V621"/>
  <c r="T621"/>
  <c r="R621"/>
  <c r="P621"/>
  <c r="N621"/>
  <c r="L621"/>
  <c r="K621"/>
  <c r="J621"/>
  <c r="I621"/>
  <c r="H621"/>
  <c r="Z620"/>
  <c r="Y620"/>
  <c r="X620"/>
  <c r="V620"/>
  <c r="T620"/>
  <c r="R620"/>
  <c r="P620"/>
  <c r="N620"/>
  <c r="L620"/>
  <c r="K620"/>
  <c r="J620"/>
  <c r="I620"/>
  <c r="H620"/>
  <c r="U619"/>
  <c r="S619"/>
  <c r="Q619"/>
  <c r="O619"/>
  <c r="M619"/>
  <c r="G619"/>
  <c r="F619"/>
  <c r="E619"/>
  <c r="D619"/>
  <c r="Z618"/>
  <c r="Y618"/>
  <c r="X618"/>
  <c r="V618"/>
  <c r="T618"/>
  <c r="R618"/>
  <c r="P618"/>
  <c r="N618"/>
  <c r="L618"/>
  <c r="K618"/>
  <c r="J618"/>
  <c r="I618"/>
  <c r="H618"/>
  <c r="Z617"/>
  <c r="Y617"/>
  <c r="X617"/>
  <c r="V617"/>
  <c r="T617"/>
  <c r="R617"/>
  <c r="P617"/>
  <c r="N617"/>
  <c r="L617"/>
  <c r="K617"/>
  <c r="J617"/>
  <c r="I617"/>
  <c r="H617"/>
  <c r="U616"/>
  <c r="S616"/>
  <c r="Q616"/>
  <c r="O616"/>
  <c r="M616"/>
  <c r="G616"/>
  <c r="F616"/>
  <c r="E616"/>
  <c r="D616"/>
  <c r="Z615"/>
  <c r="Y615"/>
  <c r="X615"/>
  <c r="V615"/>
  <c r="T615"/>
  <c r="R615"/>
  <c r="P615"/>
  <c r="N615"/>
  <c r="L615"/>
  <c r="K615"/>
  <c r="J615"/>
  <c r="I615"/>
  <c r="H615"/>
  <c r="Z614"/>
  <c r="Y614"/>
  <c r="X614"/>
  <c r="V614"/>
  <c r="T614"/>
  <c r="R614"/>
  <c r="P614"/>
  <c r="N614"/>
  <c r="L614"/>
  <c r="K614"/>
  <c r="J614"/>
  <c r="I614"/>
  <c r="H614"/>
  <c r="Z613"/>
  <c r="Y613"/>
  <c r="X613"/>
  <c r="V613"/>
  <c r="T613"/>
  <c r="R613"/>
  <c r="P613"/>
  <c r="N613"/>
  <c r="L613"/>
  <c r="K613"/>
  <c r="J613"/>
  <c r="I613"/>
  <c r="H613"/>
  <c r="Z612"/>
  <c r="Y612"/>
  <c r="X612"/>
  <c r="V612"/>
  <c r="T612"/>
  <c r="R612"/>
  <c r="P612"/>
  <c r="N612"/>
  <c r="L612"/>
  <c r="K612"/>
  <c r="J612"/>
  <c r="I612"/>
  <c r="H612"/>
  <c r="Z611"/>
  <c r="Y611"/>
  <c r="X611"/>
  <c r="V611"/>
  <c r="T611"/>
  <c r="R611"/>
  <c r="P611"/>
  <c r="N611"/>
  <c r="L611"/>
  <c r="K611"/>
  <c r="J611"/>
  <c r="I611"/>
  <c r="H611"/>
  <c r="Z610"/>
  <c r="Y610"/>
  <c r="X610"/>
  <c r="V610"/>
  <c r="T610"/>
  <c r="R610"/>
  <c r="P610"/>
  <c r="N610"/>
  <c r="L610"/>
  <c r="K610"/>
  <c r="J610"/>
  <c r="I610"/>
  <c r="H610"/>
  <c r="Z609"/>
  <c r="Y609"/>
  <c r="X609"/>
  <c r="V609"/>
  <c r="T609"/>
  <c r="R609"/>
  <c r="P609"/>
  <c r="N609"/>
  <c r="L609"/>
  <c r="K609"/>
  <c r="J609"/>
  <c r="I609"/>
  <c r="H609"/>
  <c r="Z608"/>
  <c r="Y608"/>
  <c r="X608"/>
  <c r="V608"/>
  <c r="T608"/>
  <c r="R608"/>
  <c r="P608"/>
  <c r="N608"/>
  <c r="L608"/>
  <c r="K608"/>
  <c r="J608"/>
  <c r="I608"/>
  <c r="H608"/>
  <c r="U607"/>
  <c r="S607"/>
  <c r="Q607"/>
  <c r="O607"/>
  <c r="M607"/>
  <c r="G607"/>
  <c r="F607"/>
  <c r="E607"/>
  <c r="D607"/>
  <c r="Z606"/>
  <c r="Y606"/>
  <c r="X606"/>
  <c r="V606"/>
  <c r="T606"/>
  <c r="R606"/>
  <c r="P606"/>
  <c r="N606"/>
  <c r="L606"/>
  <c r="K606"/>
  <c r="J606"/>
  <c r="I606"/>
  <c r="H606"/>
  <c r="Z605"/>
  <c r="Y605"/>
  <c r="X605"/>
  <c r="V605"/>
  <c r="T605"/>
  <c r="R605"/>
  <c r="P605"/>
  <c r="N605"/>
  <c r="L605"/>
  <c r="K605"/>
  <c r="J605"/>
  <c r="I605"/>
  <c r="H605"/>
  <c r="Z604"/>
  <c r="Y604"/>
  <c r="X604"/>
  <c r="V604"/>
  <c r="T604"/>
  <c r="R604"/>
  <c r="P604"/>
  <c r="N604"/>
  <c r="L604"/>
  <c r="K604"/>
  <c r="J604"/>
  <c r="I604"/>
  <c r="H604"/>
  <c r="Z603"/>
  <c r="Y603"/>
  <c r="X603"/>
  <c r="V603"/>
  <c r="T603"/>
  <c r="R603"/>
  <c r="P603"/>
  <c r="N603"/>
  <c r="L603"/>
  <c r="K603"/>
  <c r="J603"/>
  <c r="I603"/>
  <c r="H603"/>
  <c r="Z602"/>
  <c r="Y602"/>
  <c r="X602"/>
  <c r="V602"/>
  <c r="T602"/>
  <c r="R602"/>
  <c r="P602"/>
  <c r="N602"/>
  <c r="L602"/>
  <c r="K602"/>
  <c r="J602"/>
  <c r="I602"/>
  <c r="H602"/>
  <c r="Z601"/>
  <c r="Y601"/>
  <c r="X601"/>
  <c r="V601"/>
  <c r="T601"/>
  <c r="R601"/>
  <c r="P601"/>
  <c r="N601"/>
  <c r="L601"/>
  <c r="K601"/>
  <c r="J601"/>
  <c r="I601"/>
  <c r="H601"/>
  <c r="Z600"/>
  <c r="Y600"/>
  <c r="X600"/>
  <c r="V600"/>
  <c r="T600"/>
  <c r="R600"/>
  <c r="P600"/>
  <c r="N600"/>
  <c r="L600"/>
  <c r="K600"/>
  <c r="J600"/>
  <c r="I600"/>
  <c r="H600"/>
  <c r="Z599"/>
  <c r="Y599"/>
  <c r="X599"/>
  <c r="V599"/>
  <c r="T599"/>
  <c r="R599"/>
  <c r="P599"/>
  <c r="N599"/>
  <c r="L599"/>
  <c r="K599"/>
  <c r="J599"/>
  <c r="I599"/>
  <c r="H599"/>
  <c r="T598"/>
  <c r="R598"/>
  <c r="G598"/>
  <c r="F598"/>
  <c r="E598"/>
  <c r="D598"/>
  <c r="Z597"/>
  <c r="Y597"/>
  <c r="X597"/>
  <c r="V597"/>
  <c r="T597"/>
  <c r="R597"/>
  <c r="P597"/>
  <c r="N597"/>
  <c r="L597"/>
  <c r="K597"/>
  <c r="J597"/>
  <c r="I597"/>
  <c r="H597"/>
  <c r="Z596"/>
  <c r="Y596"/>
  <c r="X596"/>
  <c r="V596"/>
  <c r="T596"/>
  <c r="R596"/>
  <c r="P596"/>
  <c r="N596"/>
  <c r="L596"/>
  <c r="K596"/>
  <c r="J596"/>
  <c r="I596"/>
  <c r="H596"/>
  <c r="Z595"/>
  <c r="Y595"/>
  <c r="X595"/>
  <c r="V595"/>
  <c r="T595"/>
  <c r="R595"/>
  <c r="P595"/>
  <c r="N595"/>
  <c r="L595"/>
  <c r="K595"/>
  <c r="J595"/>
  <c r="I595"/>
  <c r="H595"/>
  <c r="U594"/>
  <c r="S594"/>
  <c r="Q594"/>
  <c r="O594"/>
  <c r="M594"/>
  <c r="G594"/>
  <c r="F594"/>
  <c r="E594"/>
  <c r="D594"/>
  <c r="Z593"/>
  <c r="Y593"/>
  <c r="X593"/>
  <c r="V593"/>
  <c r="T593"/>
  <c r="R593"/>
  <c r="P593"/>
  <c r="N593"/>
  <c r="L593"/>
  <c r="K593"/>
  <c r="J593"/>
  <c r="I593"/>
  <c r="H593"/>
  <c r="U592"/>
  <c r="S592"/>
  <c r="Q592"/>
  <c r="O592"/>
  <c r="M592"/>
  <c r="G592"/>
  <c r="F592"/>
  <c r="E592"/>
  <c r="D592"/>
  <c r="Z591"/>
  <c r="Y591"/>
  <c r="X591"/>
  <c r="V591"/>
  <c r="T591"/>
  <c r="R591"/>
  <c r="P591"/>
  <c r="N591"/>
  <c r="L591"/>
  <c r="K591"/>
  <c r="J591"/>
  <c r="I591"/>
  <c r="H591"/>
  <c r="U590"/>
  <c r="S590"/>
  <c r="Q590"/>
  <c r="O590"/>
  <c r="M590"/>
  <c r="G590"/>
  <c r="F590"/>
  <c r="E590"/>
  <c r="D590"/>
  <c r="Z589"/>
  <c r="Y589"/>
  <c r="X589"/>
  <c r="V589"/>
  <c r="T589"/>
  <c r="R589"/>
  <c r="P589"/>
  <c r="N589"/>
  <c r="L589"/>
  <c r="K589"/>
  <c r="J589"/>
  <c r="I589"/>
  <c r="H589"/>
  <c r="Z588"/>
  <c r="Y588"/>
  <c r="X588"/>
  <c r="V588"/>
  <c r="T588"/>
  <c r="R588"/>
  <c r="P588"/>
  <c r="N588"/>
  <c r="L588"/>
  <c r="K588"/>
  <c r="J588"/>
  <c r="I588"/>
  <c r="H588"/>
  <c r="Z587"/>
  <c r="Y587"/>
  <c r="X587"/>
  <c r="V587"/>
  <c r="T587"/>
  <c r="R587"/>
  <c r="P587"/>
  <c r="N587"/>
  <c r="L587"/>
  <c r="K587"/>
  <c r="J587"/>
  <c r="I587"/>
  <c r="H587"/>
  <c r="Z586"/>
  <c r="Y586"/>
  <c r="X586"/>
  <c r="V586"/>
  <c r="T586"/>
  <c r="R586"/>
  <c r="P586"/>
  <c r="N586"/>
  <c r="L586"/>
  <c r="K586"/>
  <c r="J586"/>
  <c r="I586"/>
  <c r="H586"/>
  <c r="Z585"/>
  <c r="Y585"/>
  <c r="X585"/>
  <c r="V585"/>
  <c r="T585"/>
  <c r="R585"/>
  <c r="P585"/>
  <c r="N585"/>
  <c r="L585"/>
  <c r="K585"/>
  <c r="J585"/>
  <c r="I585"/>
  <c r="H585"/>
  <c r="U584"/>
  <c r="S584"/>
  <c r="Q584"/>
  <c r="O584"/>
  <c r="M584"/>
  <c r="G584"/>
  <c r="F584"/>
  <c r="E584"/>
  <c r="D584"/>
  <c r="C584"/>
  <c r="Z582"/>
  <c r="Y582"/>
  <c r="X582"/>
  <c r="V582"/>
  <c r="T582"/>
  <c r="R582"/>
  <c r="P582"/>
  <c r="N582"/>
  <c r="L582"/>
  <c r="K582"/>
  <c r="J582"/>
  <c r="I582"/>
  <c r="H582"/>
  <c r="Z581"/>
  <c r="Y581"/>
  <c r="X581"/>
  <c r="V581"/>
  <c r="T581"/>
  <c r="R581"/>
  <c r="P581"/>
  <c r="N581"/>
  <c r="L581"/>
  <c r="K581"/>
  <c r="J581"/>
  <c r="I581"/>
  <c r="H581"/>
  <c r="U580"/>
  <c r="S580"/>
  <c r="Q580"/>
  <c r="O580"/>
  <c r="M580"/>
  <c r="G580"/>
  <c r="F580"/>
  <c r="E580"/>
  <c r="D580"/>
  <c r="C580"/>
  <c r="Z579"/>
  <c r="Y579"/>
  <c r="X579"/>
  <c r="V579"/>
  <c r="T579"/>
  <c r="R579"/>
  <c r="P579"/>
  <c r="N579"/>
  <c r="L579"/>
  <c r="K579"/>
  <c r="J579"/>
  <c r="I579"/>
  <c r="H579"/>
  <c r="U578"/>
  <c r="S578"/>
  <c r="Q578"/>
  <c r="O578"/>
  <c r="M578"/>
  <c r="G578"/>
  <c r="F578"/>
  <c r="E578"/>
  <c r="D578"/>
  <c r="Z577"/>
  <c r="Y577"/>
  <c r="X577"/>
  <c r="V577"/>
  <c r="T577"/>
  <c r="R577"/>
  <c r="P577"/>
  <c r="N577"/>
  <c r="L577"/>
  <c r="K577"/>
  <c r="J577"/>
  <c r="I577"/>
  <c r="H577"/>
  <c r="Z576"/>
  <c r="Y576"/>
  <c r="X576"/>
  <c r="V576"/>
  <c r="T576"/>
  <c r="R576"/>
  <c r="P576"/>
  <c r="N576"/>
  <c r="L576"/>
  <c r="K576"/>
  <c r="J576"/>
  <c r="I576"/>
  <c r="H576"/>
  <c r="Z575"/>
  <c r="Y575"/>
  <c r="X575"/>
  <c r="V575"/>
  <c r="T575"/>
  <c r="R575"/>
  <c r="P575"/>
  <c r="N575"/>
  <c r="L575"/>
  <c r="K575"/>
  <c r="J575"/>
  <c r="I575"/>
  <c r="H575"/>
  <c r="Z574"/>
  <c r="Y574"/>
  <c r="X574"/>
  <c r="V574"/>
  <c r="T574"/>
  <c r="R574"/>
  <c r="P574"/>
  <c r="N574"/>
  <c r="L574"/>
  <c r="K574"/>
  <c r="J574"/>
  <c r="I574"/>
  <c r="H574"/>
  <c r="Z573"/>
  <c r="Y573"/>
  <c r="X573"/>
  <c r="V573"/>
  <c r="T573"/>
  <c r="R573"/>
  <c r="P573"/>
  <c r="N573"/>
  <c r="L573"/>
  <c r="K573"/>
  <c r="J573"/>
  <c r="I573"/>
  <c r="H573"/>
  <c r="Z572"/>
  <c r="Y572"/>
  <c r="X572"/>
  <c r="V572"/>
  <c r="T572"/>
  <c r="R572"/>
  <c r="P572"/>
  <c r="N572"/>
  <c r="L572"/>
  <c r="K572"/>
  <c r="J572"/>
  <c r="I572"/>
  <c r="H572"/>
  <c r="U571"/>
  <c r="S571"/>
  <c r="Q571"/>
  <c r="O571"/>
  <c r="M571"/>
  <c r="G571"/>
  <c r="F571"/>
  <c r="E571"/>
  <c r="D571"/>
  <c r="Z570"/>
  <c r="Y570"/>
  <c r="X570"/>
  <c r="V570"/>
  <c r="T570"/>
  <c r="R570"/>
  <c r="P570"/>
  <c r="N570"/>
  <c r="L570"/>
  <c r="K570"/>
  <c r="J570"/>
  <c r="I570"/>
  <c r="H570"/>
  <c r="Z569"/>
  <c r="Y569"/>
  <c r="X569"/>
  <c r="V569"/>
  <c r="T569"/>
  <c r="R569"/>
  <c r="P569"/>
  <c r="N569"/>
  <c r="L569"/>
  <c r="K569"/>
  <c r="J569"/>
  <c r="I569"/>
  <c r="H569"/>
  <c r="Z568"/>
  <c r="Y568"/>
  <c r="X568"/>
  <c r="V568"/>
  <c r="T568"/>
  <c r="R568"/>
  <c r="P568"/>
  <c r="N568"/>
  <c r="L568"/>
  <c r="K568"/>
  <c r="J568"/>
  <c r="I568"/>
  <c r="H568"/>
  <c r="Z567"/>
  <c r="Y567"/>
  <c r="X567"/>
  <c r="V567"/>
  <c r="T567"/>
  <c r="R567"/>
  <c r="P567"/>
  <c r="N567"/>
  <c r="L567"/>
  <c r="K567"/>
  <c r="J567"/>
  <c r="I567"/>
  <c r="H567"/>
  <c r="Z566"/>
  <c r="Y566"/>
  <c r="X566"/>
  <c r="V566"/>
  <c r="T566"/>
  <c r="R566"/>
  <c r="P566"/>
  <c r="N566"/>
  <c r="L566"/>
  <c r="K566"/>
  <c r="J566"/>
  <c r="I566"/>
  <c r="H566"/>
  <c r="U565"/>
  <c r="T565"/>
  <c r="S565"/>
  <c r="R565"/>
  <c r="Q565"/>
  <c r="P565"/>
  <c r="O565"/>
  <c r="N565"/>
  <c r="M565"/>
  <c r="G565"/>
  <c r="F565"/>
  <c r="E565"/>
  <c r="D565"/>
  <c r="C565"/>
  <c r="Z564"/>
  <c r="Y564"/>
  <c r="X564"/>
  <c r="V564"/>
  <c r="T564"/>
  <c r="R564"/>
  <c r="P564"/>
  <c r="N564"/>
  <c r="L564"/>
  <c r="K564"/>
  <c r="J564"/>
  <c r="I564"/>
  <c r="H564"/>
  <c r="U563"/>
  <c r="T563"/>
  <c r="S563"/>
  <c r="R563"/>
  <c r="Q563"/>
  <c r="P563"/>
  <c r="O563"/>
  <c r="N563"/>
  <c r="M563"/>
  <c r="G563"/>
  <c r="F563"/>
  <c r="E563"/>
  <c r="D563"/>
  <c r="U562"/>
  <c r="S562"/>
  <c r="Q562"/>
  <c r="O562"/>
  <c r="M562"/>
  <c r="G562"/>
  <c r="F562"/>
  <c r="E562"/>
  <c r="D562"/>
  <c r="U561"/>
  <c r="T561"/>
  <c r="S561"/>
  <c r="R561"/>
  <c r="Q561"/>
  <c r="P561"/>
  <c r="O561"/>
  <c r="N561"/>
  <c r="M561"/>
  <c r="G561"/>
  <c r="F561"/>
  <c r="E561"/>
  <c r="D561"/>
  <c r="C561"/>
  <c r="Z560"/>
  <c r="Y560"/>
  <c r="X560"/>
  <c r="V560"/>
  <c r="T560"/>
  <c r="R560"/>
  <c r="P560"/>
  <c r="N560"/>
  <c r="L560"/>
  <c r="K560"/>
  <c r="J560"/>
  <c r="I560"/>
  <c r="H560"/>
  <c r="T559"/>
  <c r="R559"/>
  <c r="P559"/>
  <c r="N559"/>
  <c r="M559"/>
  <c r="G559"/>
  <c r="F559"/>
  <c r="E559"/>
  <c r="D559"/>
  <c r="C559"/>
  <c r="Z558"/>
  <c r="Y558"/>
  <c r="X558"/>
  <c r="V558"/>
  <c r="T558"/>
  <c r="R558"/>
  <c r="P558"/>
  <c r="N558"/>
  <c r="L558"/>
  <c r="K558"/>
  <c r="J558"/>
  <c r="I558"/>
  <c r="H558"/>
  <c r="U557"/>
  <c r="S557"/>
  <c r="Q557"/>
  <c r="O557"/>
  <c r="M557"/>
  <c r="G557"/>
  <c r="F557"/>
  <c r="E557"/>
  <c r="D557"/>
  <c r="Z556"/>
  <c r="Y556"/>
  <c r="X556"/>
  <c r="V556"/>
  <c r="T556"/>
  <c r="R556"/>
  <c r="P556"/>
  <c r="N556"/>
  <c r="L556"/>
  <c r="K556"/>
  <c r="J556"/>
  <c r="I556"/>
  <c r="H556"/>
  <c r="Z555"/>
  <c r="Y555"/>
  <c r="X555"/>
  <c r="V555"/>
  <c r="T555"/>
  <c r="R555"/>
  <c r="P555"/>
  <c r="N555"/>
  <c r="L555"/>
  <c r="K555"/>
  <c r="J555"/>
  <c r="I555"/>
  <c r="H555"/>
  <c r="Z554"/>
  <c r="Y554"/>
  <c r="X554"/>
  <c r="V554"/>
  <c r="T554"/>
  <c r="R554"/>
  <c r="P554"/>
  <c r="N554"/>
  <c r="L554"/>
  <c r="K554"/>
  <c r="J554"/>
  <c r="I554"/>
  <c r="H554"/>
  <c r="U553"/>
  <c r="S553"/>
  <c r="Q553"/>
  <c r="O553"/>
  <c r="M553"/>
  <c r="G553"/>
  <c r="F553"/>
  <c r="E553"/>
  <c r="D553"/>
  <c r="Z552"/>
  <c r="Y552"/>
  <c r="X552"/>
  <c r="V552"/>
  <c r="T552"/>
  <c r="R552"/>
  <c r="P552"/>
  <c r="N552"/>
  <c r="L552"/>
  <c r="K552"/>
  <c r="J552"/>
  <c r="I552"/>
  <c r="H552"/>
  <c r="U551"/>
  <c r="S551"/>
  <c r="Q551"/>
  <c r="O551"/>
  <c r="M551"/>
  <c r="G551"/>
  <c r="F551"/>
  <c r="E551"/>
  <c r="D551"/>
  <c r="Z550"/>
  <c r="Y550"/>
  <c r="X550"/>
  <c r="V550"/>
  <c r="T550"/>
  <c r="R550"/>
  <c r="P550"/>
  <c r="N550"/>
  <c r="L550"/>
  <c r="K550"/>
  <c r="J550"/>
  <c r="I550"/>
  <c r="H550"/>
  <c r="Z549"/>
  <c r="Y549"/>
  <c r="X549"/>
  <c r="V549"/>
  <c r="T549"/>
  <c r="R549"/>
  <c r="P549"/>
  <c r="N549"/>
  <c r="L549"/>
  <c r="K549"/>
  <c r="J549"/>
  <c r="I549"/>
  <c r="H549"/>
  <c r="U548"/>
  <c r="S548"/>
  <c r="Q548"/>
  <c r="O548"/>
  <c r="M548"/>
  <c r="G548"/>
  <c r="F548"/>
  <c r="E548"/>
  <c r="D548"/>
  <c r="Z547"/>
  <c r="Y547"/>
  <c r="X547"/>
  <c r="V547"/>
  <c r="T547"/>
  <c r="R547"/>
  <c r="P547"/>
  <c r="N547"/>
  <c r="L547"/>
  <c r="K547"/>
  <c r="J547"/>
  <c r="I547"/>
  <c r="H547"/>
  <c r="U546"/>
  <c r="S546"/>
  <c r="Q546"/>
  <c r="O546"/>
  <c r="M546"/>
  <c r="G546"/>
  <c r="F546"/>
  <c r="E546"/>
  <c r="D546"/>
  <c r="C546"/>
  <c r="Z545"/>
  <c r="Y545"/>
  <c r="X545"/>
  <c r="V545"/>
  <c r="T545"/>
  <c r="R545"/>
  <c r="P545"/>
  <c r="N545"/>
  <c r="L545"/>
  <c r="K545"/>
  <c r="J545"/>
  <c r="I545"/>
  <c r="H545"/>
  <c r="Z544"/>
  <c r="Y544"/>
  <c r="X544"/>
  <c r="V544"/>
  <c r="T544"/>
  <c r="R544"/>
  <c r="P544"/>
  <c r="N544"/>
  <c r="L544"/>
  <c r="K544"/>
  <c r="J544"/>
  <c r="I544"/>
  <c r="H544"/>
  <c r="Z543"/>
  <c r="Y543"/>
  <c r="X543"/>
  <c r="V543"/>
  <c r="T543"/>
  <c r="R543"/>
  <c r="P543"/>
  <c r="N543"/>
  <c r="L543"/>
  <c r="K543"/>
  <c r="J543"/>
  <c r="I543"/>
  <c r="H543"/>
  <c r="Z542"/>
  <c r="Y542"/>
  <c r="X542"/>
  <c r="V542"/>
  <c r="T542"/>
  <c r="R542"/>
  <c r="P542"/>
  <c r="N542"/>
  <c r="L542"/>
  <c r="K542"/>
  <c r="J542"/>
  <c r="I542"/>
  <c r="H542"/>
  <c r="Z541"/>
  <c r="Y541"/>
  <c r="X541"/>
  <c r="V541"/>
  <c r="T541"/>
  <c r="R541"/>
  <c r="P541"/>
  <c r="N541"/>
  <c r="L541"/>
  <c r="K541"/>
  <c r="J541"/>
  <c r="I541"/>
  <c r="H541"/>
  <c r="Z540"/>
  <c r="Y540"/>
  <c r="X540"/>
  <c r="V540"/>
  <c r="T540"/>
  <c r="R540"/>
  <c r="P540"/>
  <c r="N540"/>
  <c r="L540"/>
  <c r="K540"/>
  <c r="J540"/>
  <c r="I540"/>
  <c r="H540"/>
  <c r="Z539"/>
  <c r="Y539"/>
  <c r="X539"/>
  <c r="V539"/>
  <c r="T539"/>
  <c r="R539"/>
  <c r="P539"/>
  <c r="N539"/>
  <c r="L539"/>
  <c r="K539"/>
  <c r="J539"/>
  <c r="I539"/>
  <c r="H539"/>
  <c r="Z538"/>
  <c r="Y538"/>
  <c r="X538"/>
  <c r="V538"/>
  <c r="T538"/>
  <c r="R538"/>
  <c r="P538"/>
  <c r="N538"/>
  <c r="L538"/>
  <c r="K538"/>
  <c r="J538"/>
  <c r="I538"/>
  <c r="H538"/>
  <c r="Z537"/>
  <c r="Y537"/>
  <c r="X537"/>
  <c r="V537"/>
  <c r="T537"/>
  <c r="R537"/>
  <c r="P537"/>
  <c r="N537"/>
  <c r="L537"/>
  <c r="K537"/>
  <c r="J537"/>
  <c r="I537"/>
  <c r="H537"/>
  <c r="Z536"/>
  <c r="Y536"/>
  <c r="X536"/>
  <c r="V536"/>
  <c r="T536"/>
  <c r="R536"/>
  <c r="P536"/>
  <c r="N536"/>
  <c r="L536"/>
  <c r="K536"/>
  <c r="J536"/>
  <c r="I536"/>
  <c r="H536"/>
  <c r="T535"/>
  <c r="R535"/>
  <c r="P535"/>
  <c r="N535"/>
  <c r="G535"/>
  <c r="F535"/>
  <c r="E535"/>
  <c r="D535"/>
  <c r="C535"/>
  <c r="Z534"/>
  <c r="Y534"/>
  <c r="X534"/>
  <c r="V534"/>
  <c r="T534"/>
  <c r="R534"/>
  <c r="P534"/>
  <c r="N534"/>
  <c r="L534"/>
  <c r="K534"/>
  <c r="J534"/>
  <c r="I534"/>
  <c r="H534"/>
  <c r="G533"/>
  <c r="F533"/>
  <c r="E533"/>
  <c r="D533"/>
  <c r="Z532"/>
  <c r="Y532"/>
  <c r="X532"/>
  <c r="V532"/>
  <c r="T532"/>
  <c r="R532"/>
  <c r="P532"/>
  <c r="N532"/>
  <c r="L532"/>
  <c r="K532"/>
  <c r="J532"/>
  <c r="I532"/>
  <c r="H532"/>
  <c r="Z531"/>
  <c r="Y531"/>
  <c r="X531"/>
  <c r="V531"/>
  <c r="T531"/>
  <c r="R531"/>
  <c r="P531"/>
  <c r="N531"/>
  <c r="L531"/>
  <c r="K531"/>
  <c r="J531"/>
  <c r="I531"/>
  <c r="H531"/>
  <c r="Z530"/>
  <c r="Y530"/>
  <c r="X530"/>
  <c r="V530"/>
  <c r="T530"/>
  <c r="R530"/>
  <c r="P530"/>
  <c r="N530"/>
  <c r="L530"/>
  <c r="K530"/>
  <c r="J530"/>
  <c r="I530"/>
  <c r="H530"/>
  <c r="G529"/>
  <c r="F529"/>
  <c r="E529"/>
  <c r="D529"/>
  <c r="Z528"/>
  <c r="Y528"/>
  <c r="X528"/>
  <c r="V528"/>
  <c r="T528"/>
  <c r="R528"/>
  <c r="P528"/>
  <c r="N528"/>
  <c r="L528"/>
  <c r="K528"/>
  <c r="J528"/>
  <c r="I528"/>
  <c r="H528"/>
  <c r="G527"/>
  <c r="F527"/>
  <c r="E527"/>
  <c r="D527"/>
  <c r="G526"/>
  <c r="F526"/>
  <c r="E526"/>
  <c r="D526"/>
  <c r="Z525"/>
  <c r="Y525"/>
  <c r="X525"/>
  <c r="V525"/>
  <c r="T525"/>
  <c r="R525"/>
  <c r="P525"/>
  <c r="N525"/>
  <c r="L525"/>
  <c r="K525"/>
  <c r="J525"/>
  <c r="I525"/>
  <c r="H525"/>
  <c r="G524"/>
  <c r="F524"/>
  <c r="E524"/>
  <c r="D524"/>
  <c r="Z523"/>
  <c r="Y523"/>
  <c r="X523"/>
  <c r="V523"/>
  <c r="T523"/>
  <c r="R523"/>
  <c r="P523"/>
  <c r="N523"/>
  <c r="L523"/>
  <c r="K523"/>
  <c r="J523"/>
  <c r="I523"/>
  <c r="H523"/>
  <c r="Z522"/>
  <c r="Y522"/>
  <c r="X522"/>
  <c r="V522"/>
  <c r="T522"/>
  <c r="R522"/>
  <c r="P522"/>
  <c r="N522"/>
  <c r="L522"/>
  <c r="K522"/>
  <c r="J522"/>
  <c r="I522"/>
  <c r="H522"/>
  <c r="Z521"/>
  <c r="Y521"/>
  <c r="X521"/>
  <c r="V521"/>
  <c r="T521"/>
  <c r="R521"/>
  <c r="P521"/>
  <c r="N521"/>
  <c r="L521"/>
  <c r="K521"/>
  <c r="J521"/>
  <c r="I521"/>
  <c r="H521"/>
  <c r="G521"/>
  <c r="F521"/>
  <c r="E521"/>
  <c r="D521"/>
  <c r="Z520"/>
  <c r="Y520"/>
  <c r="X520"/>
  <c r="V520"/>
  <c r="T520"/>
  <c r="R520"/>
  <c r="P520"/>
  <c r="N520"/>
  <c r="L520"/>
  <c r="K520"/>
  <c r="J520"/>
  <c r="I520"/>
  <c r="H520"/>
  <c r="G519"/>
  <c r="F520"/>
  <c r="E520"/>
  <c r="D520"/>
  <c r="Z518"/>
  <c r="Y518"/>
  <c r="X518"/>
  <c r="V518"/>
  <c r="T518"/>
  <c r="R518"/>
  <c r="P518"/>
  <c r="N518"/>
  <c r="L518"/>
  <c r="K518"/>
  <c r="J518"/>
  <c r="I518"/>
  <c r="H518"/>
  <c r="G517"/>
  <c r="F518"/>
  <c r="E518"/>
  <c r="D518"/>
  <c r="Z516"/>
  <c r="Y516"/>
  <c r="X516"/>
  <c r="V516"/>
  <c r="T516"/>
  <c r="R516"/>
  <c r="P516"/>
  <c r="N516"/>
  <c r="L516"/>
  <c r="K516"/>
  <c r="J516"/>
  <c r="I516"/>
  <c r="H516"/>
  <c r="Z514"/>
  <c r="Y514"/>
  <c r="X514"/>
  <c r="V514"/>
  <c r="T514"/>
  <c r="R514"/>
  <c r="P514"/>
  <c r="N514"/>
  <c r="L514"/>
  <c r="K514"/>
  <c r="J514"/>
  <c r="I514"/>
  <c r="H514"/>
  <c r="G513"/>
  <c r="F514"/>
  <c r="E514"/>
  <c r="D514"/>
  <c r="Z512"/>
  <c r="Y512"/>
  <c r="X512"/>
  <c r="V512"/>
  <c r="T512"/>
  <c r="R512"/>
  <c r="P512"/>
  <c r="N512"/>
  <c r="L512"/>
  <c r="K512"/>
  <c r="J512"/>
  <c r="I512"/>
  <c r="H512"/>
  <c r="G511"/>
  <c r="F512"/>
  <c r="E512"/>
  <c r="D512"/>
  <c r="Z510"/>
  <c r="Y510"/>
  <c r="X510"/>
  <c r="V510"/>
  <c r="T510"/>
  <c r="R510"/>
  <c r="P510"/>
  <c r="N510"/>
  <c r="L510"/>
  <c r="K510"/>
  <c r="J510"/>
  <c r="I510"/>
  <c r="H510"/>
  <c r="G509"/>
  <c r="F510"/>
  <c r="E510"/>
  <c r="D510"/>
  <c r="Z508"/>
  <c r="Y508"/>
  <c r="X508"/>
  <c r="V508"/>
  <c r="T508"/>
  <c r="R508"/>
  <c r="P508"/>
  <c r="N508"/>
  <c r="L508"/>
  <c r="K508"/>
  <c r="J508"/>
  <c r="I508"/>
  <c r="H508"/>
  <c r="G507"/>
  <c r="F508"/>
  <c r="E508"/>
  <c r="D508"/>
  <c r="Z506"/>
  <c r="Y506"/>
  <c r="X506"/>
  <c r="V506"/>
  <c r="T506"/>
  <c r="R506"/>
  <c r="P506"/>
  <c r="N506"/>
  <c r="L506"/>
  <c r="K506"/>
  <c r="J506"/>
  <c r="I506"/>
  <c r="H506"/>
  <c r="G505"/>
  <c r="F506"/>
  <c r="E506"/>
  <c r="D506"/>
  <c r="Z504"/>
  <c r="Y504"/>
  <c r="X504"/>
  <c r="V504"/>
  <c r="T504"/>
  <c r="R504"/>
  <c r="P504"/>
  <c r="N504"/>
  <c r="L504"/>
  <c r="K504"/>
  <c r="J504"/>
  <c r="I504"/>
  <c r="H504"/>
  <c r="Z503"/>
  <c r="Y503"/>
  <c r="X503"/>
  <c r="V503"/>
  <c r="T503"/>
  <c r="R503"/>
  <c r="P503"/>
  <c r="N503"/>
  <c r="L503"/>
  <c r="K503"/>
  <c r="J503"/>
  <c r="I503"/>
  <c r="H503"/>
  <c r="Z502"/>
  <c r="Y502"/>
  <c r="X502"/>
  <c r="V502"/>
  <c r="T502"/>
  <c r="R502"/>
  <c r="P502"/>
  <c r="N502"/>
  <c r="L502"/>
  <c r="K502"/>
  <c r="J502"/>
  <c r="I502"/>
  <c r="H502"/>
  <c r="Z501"/>
  <c r="Y501"/>
  <c r="G501"/>
  <c r="F501"/>
  <c r="E501"/>
  <c r="D501"/>
  <c r="Z500"/>
  <c r="Y500"/>
  <c r="X500"/>
  <c r="V500"/>
  <c r="T500"/>
  <c r="R500"/>
  <c r="P500"/>
  <c r="N500"/>
  <c r="L500"/>
  <c r="K500"/>
  <c r="J500"/>
  <c r="I500"/>
  <c r="H500"/>
  <c r="G499"/>
  <c r="F500"/>
  <c r="E500"/>
  <c r="D500"/>
  <c r="Z497"/>
  <c r="Y497"/>
  <c r="X497"/>
  <c r="V497"/>
  <c r="T497"/>
  <c r="R497"/>
  <c r="P497"/>
  <c r="N497"/>
  <c r="L497"/>
  <c r="K497"/>
  <c r="J497"/>
  <c r="I497"/>
  <c r="H497"/>
  <c r="Z496"/>
  <c r="Y496"/>
  <c r="X496"/>
  <c r="V496"/>
  <c r="T496"/>
  <c r="R496"/>
  <c r="P496"/>
  <c r="N496"/>
  <c r="L496"/>
  <c r="K496"/>
  <c r="J496"/>
  <c r="I496"/>
  <c r="H496"/>
  <c r="G495"/>
  <c r="F495"/>
  <c r="E495"/>
  <c r="D495"/>
  <c r="Z494"/>
  <c r="Y494"/>
  <c r="X494"/>
  <c r="V494"/>
  <c r="T494"/>
  <c r="R494"/>
  <c r="P494"/>
  <c r="N494"/>
  <c r="L494"/>
  <c r="K494"/>
  <c r="J494"/>
  <c r="I494"/>
  <c r="H494"/>
  <c r="Z493"/>
  <c r="Y493"/>
  <c r="X493"/>
  <c r="V493"/>
  <c r="T493"/>
  <c r="R493"/>
  <c r="P493"/>
  <c r="N493"/>
  <c r="L493"/>
  <c r="K493"/>
  <c r="J493"/>
  <c r="I493"/>
  <c r="H493"/>
  <c r="Z492"/>
  <c r="Y492"/>
  <c r="X492"/>
  <c r="V492"/>
  <c r="T492"/>
  <c r="R492"/>
  <c r="P492"/>
  <c r="N492"/>
  <c r="L492"/>
  <c r="K492"/>
  <c r="J492"/>
  <c r="I492"/>
  <c r="H492"/>
  <c r="G491"/>
  <c r="F491"/>
  <c r="E491"/>
  <c r="D491"/>
  <c r="Z490"/>
  <c r="Y490"/>
  <c r="X490"/>
  <c r="V490"/>
  <c r="T490"/>
  <c r="R490"/>
  <c r="P490"/>
  <c r="N490"/>
  <c r="L490"/>
  <c r="K490"/>
  <c r="J490"/>
  <c r="I490"/>
  <c r="H490"/>
  <c r="G489"/>
  <c r="F489"/>
  <c r="E489"/>
  <c r="D489"/>
  <c r="Z488"/>
  <c r="Y488"/>
  <c r="X488"/>
  <c r="V488"/>
  <c r="T488"/>
  <c r="R488"/>
  <c r="P488"/>
  <c r="N488"/>
  <c r="L488"/>
  <c r="K488"/>
  <c r="J488"/>
  <c r="I488"/>
  <c r="H488"/>
  <c r="Z487"/>
  <c r="Y487"/>
  <c r="X487"/>
  <c r="V487"/>
  <c r="T487"/>
  <c r="R487"/>
  <c r="P487"/>
  <c r="N487"/>
  <c r="L487"/>
  <c r="K487"/>
  <c r="J487"/>
  <c r="I487"/>
  <c r="H487"/>
  <c r="Z486"/>
  <c r="Y486"/>
  <c r="X486"/>
  <c r="V486"/>
  <c r="T486"/>
  <c r="R486"/>
  <c r="P486"/>
  <c r="N486"/>
  <c r="L486"/>
  <c r="K486"/>
  <c r="J486"/>
  <c r="I486"/>
  <c r="H486"/>
  <c r="Z485"/>
  <c r="Y485"/>
  <c r="X485"/>
  <c r="V485"/>
  <c r="T485"/>
  <c r="R485"/>
  <c r="P485"/>
  <c r="N485"/>
  <c r="L485"/>
  <c r="K485"/>
  <c r="J485"/>
  <c r="I485"/>
  <c r="H485"/>
  <c r="Z484"/>
  <c r="Y484"/>
  <c r="X484"/>
  <c r="V484"/>
  <c r="T484"/>
  <c r="R484"/>
  <c r="P484"/>
  <c r="N484"/>
  <c r="L484"/>
  <c r="K484"/>
  <c r="J484"/>
  <c r="I484"/>
  <c r="H484"/>
  <c r="G483"/>
  <c r="F483"/>
  <c r="E483"/>
  <c r="D483"/>
  <c r="Z482"/>
  <c r="Y482"/>
  <c r="X482"/>
  <c r="V482"/>
  <c r="T482"/>
  <c r="R482"/>
  <c r="P482"/>
  <c r="N482"/>
  <c r="L482"/>
  <c r="K482"/>
  <c r="J482"/>
  <c r="I482"/>
  <c r="H482"/>
  <c r="G481"/>
  <c r="F481"/>
  <c r="E481"/>
  <c r="D481"/>
  <c r="Z480"/>
  <c r="Y480"/>
  <c r="X480"/>
  <c r="V480"/>
  <c r="T480"/>
  <c r="R480"/>
  <c r="P480"/>
  <c r="N480"/>
  <c r="L480"/>
  <c r="K480"/>
  <c r="J480"/>
  <c r="I480"/>
  <c r="H480"/>
  <c r="Z479"/>
  <c r="Y479"/>
  <c r="X479"/>
  <c r="V479"/>
  <c r="T479"/>
  <c r="R479"/>
  <c r="P479"/>
  <c r="N479"/>
  <c r="L479"/>
  <c r="K479"/>
  <c r="J479"/>
  <c r="I479"/>
  <c r="H479"/>
  <c r="G478"/>
  <c r="U478"/>
  <c r="T478"/>
  <c r="S478"/>
  <c r="R478"/>
  <c r="Q478"/>
  <c r="P478"/>
  <c r="O478"/>
  <c r="N478"/>
  <c r="C478"/>
  <c r="Z477"/>
  <c r="Y477"/>
  <c r="X477"/>
  <c r="V477"/>
  <c r="T477"/>
  <c r="R477"/>
  <c r="P477"/>
  <c r="N477"/>
  <c r="L477"/>
  <c r="K477"/>
  <c r="J477"/>
  <c r="I477"/>
  <c r="H477"/>
  <c r="U476"/>
  <c r="S476"/>
  <c r="Q476"/>
  <c r="O476"/>
  <c r="M476"/>
  <c r="G476"/>
  <c r="F476"/>
  <c r="E476"/>
  <c r="D476"/>
  <c r="Z475"/>
  <c r="Y475"/>
  <c r="X475"/>
  <c r="V475"/>
  <c r="T475"/>
  <c r="R475"/>
  <c r="P475"/>
  <c r="N475"/>
  <c r="L475"/>
  <c r="K475"/>
  <c r="J475"/>
  <c r="I475"/>
  <c r="H475"/>
  <c r="Z474"/>
  <c r="Y474"/>
  <c r="X474"/>
  <c r="V474"/>
  <c r="T474"/>
  <c r="R474"/>
  <c r="P474"/>
  <c r="N474"/>
  <c r="L474"/>
  <c r="K474"/>
  <c r="J474"/>
  <c r="I474"/>
  <c r="H474"/>
  <c r="Z473"/>
  <c r="Y473"/>
  <c r="X473"/>
  <c r="V473"/>
  <c r="T473"/>
  <c r="R473"/>
  <c r="P473"/>
  <c r="N473"/>
  <c r="L473"/>
  <c r="K473"/>
  <c r="J473"/>
  <c r="I473"/>
  <c r="H473"/>
  <c r="Z472"/>
  <c r="Y472"/>
  <c r="X472"/>
  <c r="V472"/>
  <c r="T472"/>
  <c r="R472"/>
  <c r="P472"/>
  <c r="N472"/>
  <c r="L472"/>
  <c r="K472"/>
  <c r="J472"/>
  <c r="I472"/>
  <c r="H472"/>
  <c r="Z471"/>
  <c r="Y471"/>
  <c r="X471"/>
  <c r="V471"/>
  <c r="T471"/>
  <c r="R471"/>
  <c r="P471"/>
  <c r="N471"/>
  <c r="L471"/>
  <c r="K471"/>
  <c r="J471"/>
  <c r="I471"/>
  <c r="H471"/>
  <c r="U470"/>
  <c r="S470"/>
  <c r="Q470"/>
  <c r="O470"/>
  <c r="M470"/>
  <c r="G470"/>
  <c r="F470"/>
  <c r="E470"/>
  <c r="D470"/>
  <c r="Z469"/>
  <c r="Y469"/>
  <c r="X469"/>
  <c r="V469"/>
  <c r="T469"/>
  <c r="R469"/>
  <c r="P469"/>
  <c r="N469"/>
  <c r="L469"/>
  <c r="K469"/>
  <c r="J469"/>
  <c r="I469"/>
  <c r="H469"/>
  <c r="U468"/>
  <c r="S468"/>
  <c r="Q468"/>
  <c r="O468"/>
  <c r="M468"/>
  <c r="G468"/>
  <c r="F468"/>
  <c r="E468"/>
  <c r="D468"/>
  <c r="Z467"/>
  <c r="Y467"/>
  <c r="X467"/>
  <c r="V467"/>
  <c r="T467"/>
  <c r="R467"/>
  <c r="P467"/>
  <c r="N467"/>
  <c r="L467"/>
  <c r="K467"/>
  <c r="J467"/>
  <c r="I467"/>
  <c r="H467"/>
  <c r="U466"/>
  <c r="T466"/>
  <c r="S466"/>
  <c r="R466"/>
  <c r="Q466"/>
  <c r="P466"/>
  <c r="O466"/>
  <c r="N466"/>
  <c r="M466"/>
  <c r="G466"/>
  <c r="F466"/>
  <c r="E466"/>
  <c r="D466"/>
  <c r="Z465"/>
  <c r="Y465"/>
  <c r="X465"/>
  <c r="V465"/>
  <c r="T465"/>
  <c r="R465"/>
  <c r="P465"/>
  <c r="N465"/>
  <c r="L465"/>
  <c r="K465"/>
  <c r="J465"/>
  <c r="I465"/>
  <c r="H465"/>
  <c r="Z464"/>
  <c r="Y464"/>
  <c r="X464"/>
  <c r="V464"/>
  <c r="T464"/>
  <c r="R464"/>
  <c r="P464"/>
  <c r="N464"/>
  <c r="L464"/>
  <c r="K464"/>
  <c r="J464"/>
  <c r="I464"/>
  <c r="H464"/>
  <c r="U463"/>
  <c r="S463"/>
  <c r="Q463"/>
  <c r="O463"/>
  <c r="M463"/>
  <c r="G463"/>
  <c r="F463"/>
  <c r="E463"/>
  <c r="D463"/>
  <c r="C463"/>
  <c r="Z462"/>
  <c r="Y462"/>
  <c r="X462"/>
  <c r="V462"/>
  <c r="T462"/>
  <c r="R462"/>
  <c r="P462"/>
  <c r="N462"/>
  <c r="L462"/>
  <c r="K462"/>
  <c r="J462"/>
  <c r="I462"/>
  <c r="H462"/>
  <c r="U461"/>
  <c r="S461"/>
  <c r="Q461"/>
  <c r="O461"/>
  <c r="M461"/>
  <c r="G461"/>
  <c r="F461"/>
  <c r="E461"/>
  <c r="D461"/>
  <c r="Z460"/>
  <c r="Y460"/>
  <c r="X460"/>
  <c r="V460"/>
  <c r="T460"/>
  <c r="R460"/>
  <c r="P460"/>
  <c r="N460"/>
  <c r="L460"/>
  <c r="K460"/>
  <c r="J460"/>
  <c r="I460"/>
  <c r="H460"/>
  <c r="Z459"/>
  <c r="Y459"/>
  <c r="X459"/>
  <c r="V459"/>
  <c r="T459"/>
  <c r="R459"/>
  <c r="P459"/>
  <c r="N459"/>
  <c r="L459"/>
  <c r="K459"/>
  <c r="J459"/>
  <c r="I459"/>
  <c r="H459"/>
  <c r="Z458"/>
  <c r="Y458"/>
  <c r="X458"/>
  <c r="V458"/>
  <c r="T458"/>
  <c r="R458"/>
  <c r="P458"/>
  <c r="N458"/>
  <c r="L458"/>
  <c r="K458"/>
  <c r="J458"/>
  <c r="I458"/>
  <c r="H458"/>
  <c r="Z457"/>
  <c r="Y457"/>
  <c r="X457"/>
  <c r="V457"/>
  <c r="T457"/>
  <c r="R457"/>
  <c r="P457"/>
  <c r="N457"/>
  <c r="L457"/>
  <c r="K457"/>
  <c r="J457"/>
  <c r="I457"/>
  <c r="H457"/>
  <c r="G456"/>
  <c r="F456"/>
  <c r="E456"/>
  <c r="D456"/>
  <c r="C456"/>
  <c r="Z455"/>
  <c r="Y455"/>
  <c r="X455"/>
  <c r="V455"/>
  <c r="T455"/>
  <c r="R455"/>
  <c r="P455"/>
  <c r="N455"/>
  <c r="L455"/>
  <c r="K455"/>
  <c r="J455"/>
  <c r="I455"/>
  <c r="H455"/>
  <c r="Z454"/>
  <c r="Y454"/>
  <c r="X454"/>
  <c r="V454"/>
  <c r="T454"/>
  <c r="R454"/>
  <c r="P454"/>
  <c r="N454"/>
  <c r="L454"/>
  <c r="K454"/>
  <c r="J454"/>
  <c r="I454"/>
  <c r="H454"/>
  <c r="Z453"/>
  <c r="Y453"/>
  <c r="X453"/>
  <c r="V453"/>
  <c r="T453"/>
  <c r="R453"/>
  <c r="P453"/>
  <c r="N453"/>
  <c r="L453"/>
  <c r="K453"/>
  <c r="J453"/>
  <c r="I453"/>
  <c r="H453"/>
  <c r="Z452"/>
  <c r="Y452"/>
  <c r="X452"/>
  <c r="V452"/>
  <c r="T452"/>
  <c r="R452"/>
  <c r="P452"/>
  <c r="N452"/>
  <c r="L452"/>
  <c r="K452"/>
  <c r="J452"/>
  <c r="I452"/>
  <c r="H452"/>
  <c r="Z451"/>
  <c r="Y451"/>
  <c r="X451"/>
  <c r="V451"/>
  <c r="T451"/>
  <c r="R451"/>
  <c r="P451"/>
  <c r="N451"/>
  <c r="L451"/>
  <c r="K451"/>
  <c r="J451"/>
  <c r="I451"/>
  <c r="H451"/>
  <c r="Z450"/>
  <c r="Y450"/>
  <c r="X450"/>
  <c r="V450"/>
  <c r="T450"/>
  <c r="R450"/>
  <c r="P450"/>
  <c r="N450"/>
  <c r="L450"/>
  <c r="K450"/>
  <c r="J450"/>
  <c r="I450"/>
  <c r="H450"/>
  <c r="Z449"/>
  <c r="Y449"/>
  <c r="X449"/>
  <c r="V449"/>
  <c r="T449"/>
  <c r="R449"/>
  <c r="P449"/>
  <c r="N449"/>
  <c r="L449"/>
  <c r="K449"/>
  <c r="J449"/>
  <c r="I449"/>
  <c r="H449"/>
  <c r="U448"/>
  <c r="S448"/>
  <c r="Q448"/>
  <c r="O448"/>
  <c r="M448"/>
  <c r="G448"/>
  <c r="F448"/>
  <c r="E448"/>
  <c r="D448"/>
  <c r="Z447"/>
  <c r="Y447"/>
  <c r="X447"/>
  <c r="V447"/>
  <c r="T447"/>
  <c r="R447"/>
  <c r="P447"/>
  <c r="N447"/>
  <c r="L447"/>
  <c r="K447"/>
  <c r="J447"/>
  <c r="I447"/>
  <c r="H447"/>
  <c r="Z446"/>
  <c r="Y446"/>
  <c r="X446"/>
  <c r="V446"/>
  <c r="T446"/>
  <c r="R446"/>
  <c r="P446"/>
  <c r="N446"/>
  <c r="L446"/>
  <c r="K446"/>
  <c r="J446"/>
  <c r="I446"/>
  <c r="H446"/>
  <c r="Z445"/>
  <c r="Y445"/>
  <c r="X445"/>
  <c r="V445"/>
  <c r="T445"/>
  <c r="R445"/>
  <c r="P445"/>
  <c r="N445"/>
  <c r="L445"/>
  <c r="K445"/>
  <c r="J445"/>
  <c r="I445"/>
  <c r="H445"/>
  <c r="Z444"/>
  <c r="Y444"/>
  <c r="X444"/>
  <c r="V444"/>
  <c r="T444"/>
  <c r="R444"/>
  <c r="P444"/>
  <c r="N444"/>
  <c r="L444"/>
  <c r="K444"/>
  <c r="J444"/>
  <c r="I444"/>
  <c r="H444"/>
  <c r="Z443"/>
  <c r="Y443"/>
  <c r="X443"/>
  <c r="V443"/>
  <c r="T443"/>
  <c r="R443"/>
  <c r="P443"/>
  <c r="N443"/>
  <c r="L443"/>
  <c r="K443"/>
  <c r="J443"/>
  <c r="I443"/>
  <c r="H443"/>
  <c r="U442"/>
  <c r="S442"/>
  <c r="Q442"/>
  <c r="O442"/>
  <c r="M442"/>
  <c r="G442"/>
  <c r="F442"/>
  <c r="E442"/>
  <c r="D442"/>
  <c r="Z441"/>
  <c r="Y441"/>
  <c r="X441"/>
  <c r="V441"/>
  <c r="T441"/>
  <c r="R441"/>
  <c r="P441"/>
  <c r="N441"/>
  <c r="L441"/>
  <c r="K441"/>
  <c r="J441"/>
  <c r="I441"/>
  <c r="H441"/>
  <c r="Z440"/>
  <c r="Y440"/>
  <c r="X440"/>
  <c r="V440"/>
  <c r="T440"/>
  <c r="R440"/>
  <c r="P440"/>
  <c r="N440"/>
  <c r="L440"/>
  <c r="K440"/>
  <c r="J440"/>
  <c r="I440"/>
  <c r="H440"/>
  <c r="Z439"/>
  <c r="Y439"/>
  <c r="X439"/>
  <c r="V439"/>
  <c r="T439"/>
  <c r="R439"/>
  <c r="P439"/>
  <c r="N439"/>
  <c r="L439"/>
  <c r="K439"/>
  <c r="J439"/>
  <c r="I439"/>
  <c r="H439"/>
  <c r="Z438"/>
  <c r="Y438"/>
  <c r="X438"/>
  <c r="V438"/>
  <c r="T438"/>
  <c r="R438"/>
  <c r="P438"/>
  <c r="N438"/>
  <c r="L438"/>
  <c r="K438"/>
  <c r="J438"/>
  <c r="I438"/>
  <c r="H438"/>
  <c r="U437"/>
  <c r="S437"/>
  <c r="Q437"/>
  <c r="O437"/>
  <c r="M437"/>
  <c r="G437"/>
  <c r="F437"/>
  <c r="E437"/>
  <c r="D437"/>
  <c r="C437"/>
  <c r="Z436"/>
  <c r="Y436"/>
  <c r="X436"/>
  <c r="V436"/>
  <c r="T436"/>
  <c r="R436"/>
  <c r="P436"/>
  <c r="N436"/>
  <c r="L436"/>
  <c r="K436"/>
  <c r="J436"/>
  <c r="I436"/>
  <c r="H436"/>
  <c r="Z435"/>
  <c r="Y435"/>
  <c r="X435"/>
  <c r="V435"/>
  <c r="T435"/>
  <c r="R435"/>
  <c r="P435"/>
  <c r="N435"/>
  <c r="L435"/>
  <c r="K435"/>
  <c r="J435"/>
  <c r="I435"/>
  <c r="H435"/>
  <c r="Z434"/>
  <c r="Y434"/>
  <c r="X434"/>
  <c r="V434"/>
  <c r="T434"/>
  <c r="R434"/>
  <c r="P434"/>
  <c r="N434"/>
  <c r="L434"/>
  <c r="K434"/>
  <c r="J434"/>
  <c r="I434"/>
  <c r="H434"/>
  <c r="Z433"/>
  <c r="Y433"/>
  <c r="X433"/>
  <c r="V433"/>
  <c r="T433"/>
  <c r="R433"/>
  <c r="P433"/>
  <c r="N433"/>
  <c r="L433"/>
  <c r="K433"/>
  <c r="J433"/>
  <c r="I433"/>
  <c r="H433"/>
  <c r="U432"/>
  <c r="S432"/>
  <c r="Q432"/>
  <c r="O432"/>
  <c r="M432"/>
  <c r="G432"/>
  <c r="F432"/>
  <c r="E432"/>
  <c r="D432"/>
  <c r="Z431"/>
  <c r="Y431"/>
  <c r="X431"/>
  <c r="V431"/>
  <c r="T431"/>
  <c r="R431"/>
  <c r="P431"/>
  <c r="N431"/>
  <c r="L431"/>
  <c r="K431"/>
  <c r="J431"/>
  <c r="I431"/>
  <c r="H431"/>
  <c r="Z430"/>
  <c r="Y430"/>
  <c r="X430"/>
  <c r="V430"/>
  <c r="T430"/>
  <c r="R430"/>
  <c r="P430"/>
  <c r="N430"/>
  <c r="L430"/>
  <c r="K430"/>
  <c r="J430"/>
  <c r="I430"/>
  <c r="H430"/>
  <c r="Z429"/>
  <c r="Y429"/>
  <c r="X429"/>
  <c r="V429"/>
  <c r="T429"/>
  <c r="R429"/>
  <c r="P429"/>
  <c r="N429"/>
  <c r="L429"/>
  <c r="K429"/>
  <c r="J429"/>
  <c r="I429"/>
  <c r="H429"/>
  <c r="Z428"/>
  <c r="Y428"/>
  <c r="X428"/>
  <c r="V428"/>
  <c r="T428"/>
  <c r="R428"/>
  <c r="P428"/>
  <c r="N428"/>
  <c r="L428"/>
  <c r="K428"/>
  <c r="J428"/>
  <c r="I428"/>
  <c r="H428"/>
  <c r="Z427"/>
  <c r="Y427"/>
  <c r="X427"/>
  <c r="V427"/>
  <c r="T427"/>
  <c r="R427"/>
  <c r="P427"/>
  <c r="N427"/>
  <c r="L427"/>
  <c r="K427"/>
  <c r="J427"/>
  <c r="I427"/>
  <c r="H427"/>
  <c r="Z426"/>
  <c r="Y426"/>
  <c r="X426"/>
  <c r="V426"/>
  <c r="T426"/>
  <c r="R426"/>
  <c r="P426"/>
  <c r="N426"/>
  <c r="L426"/>
  <c r="K426"/>
  <c r="J426"/>
  <c r="I426"/>
  <c r="H426"/>
  <c r="U425"/>
  <c r="S425"/>
  <c r="Q425"/>
  <c r="O425"/>
  <c r="M425"/>
  <c r="G425"/>
  <c r="F425"/>
  <c r="E425"/>
  <c r="D425"/>
  <c r="C425"/>
  <c r="Z424"/>
  <c r="Y424"/>
  <c r="X424"/>
  <c r="V424"/>
  <c r="T424"/>
  <c r="R424"/>
  <c r="P424"/>
  <c r="N424"/>
  <c r="L424"/>
  <c r="K424"/>
  <c r="J424"/>
  <c r="I424"/>
  <c r="H424"/>
  <c r="Z423"/>
  <c r="Y423"/>
  <c r="X423"/>
  <c r="V423"/>
  <c r="T423"/>
  <c r="R423"/>
  <c r="P423"/>
  <c r="N423"/>
  <c r="L423"/>
  <c r="K423"/>
  <c r="J423"/>
  <c r="I423"/>
  <c r="H423"/>
  <c r="Z422"/>
  <c r="Y422"/>
  <c r="X422"/>
  <c r="V422"/>
  <c r="T422"/>
  <c r="R422"/>
  <c r="P422"/>
  <c r="N422"/>
  <c r="L422"/>
  <c r="K422"/>
  <c r="J422"/>
  <c r="I422"/>
  <c r="H422"/>
  <c r="U421"/>
  <c r="S421"/>
  <c r="Q421"/>
  <c r="O421"/>
  <c r="M421"/>
  <c r="G421"/>
  <c r="F421"/>
  <c r="E421"/>
  <c r="D421"/>
  <c r="Z420"/>
  <c r="Y420"/>
  <c r="X420"/>
  <c r="V420"/>
  <c r="T420"/>
  <c r="R420"/>
  <c r="P420"/>
  <c r="N420"/>
  <c r="L420"/>
  <c r="K420"/>
  <c r="J420"/>
  <c r="I420"/>
  <c r="H420"/>
  <c r="Z419"/>
  <c r="Y419"/>
  <c r="X419"/>
  <c r="V419"/>
  <c r="T419"/>
  <c r="R419"/>
  <c r="P419"/>
  <c r="N419"/>
  <c r="L419"/>
  <c r="K419"/>
  <c r="J419"/>
  <c r="I419"/>
  <c r="H419"/>
  <c r="Z418"/>
  <c r="Y418"/>
  <c r="X418"/>
  <c r="V418"/>
  <c r="T418"/>
  <c r="R418"/>
  <c r="P418"/>
  <c r="N418"/>
  <c r="L418"/>
  <c r="K418"/>
  <c r="J418"/>
  <c r="I418"/>
  <c r="H418"/>
  <c r="U417"/>
  <c r="S417"/>
  <c r="Q417"/>
  <c r="O417"/>
  <c r="M417"/>
  <c r="G417"/>
  <c r="F417"/>
  <c r="E417"/>
  <c r="D417"/>
  <c r="C417"/>
  <c r="Z416"/>
  <c r="Y416"/>
  <c r="X416"/>
  <c r="V416"/>
  <c r="T416"/>
  <c r="R416"/>
  <c r="P416"/>
  <c r="N416"/>
  <c r="L416"/>
  <c r="K416"/>
  <c r="J416"/>
  <c r="I416"/>
  <c r="H416"/>
  <c r="Z415"/>
  <c r="Y415"/>
  <c r="X415"/>
  <c r="V415"/>
  <c r="T415"/>
  <c r="R415"/>
  <c r="P415"/>
  <c r="N415"/>
  <c r="L415"/>
  <c r="K415"/>
  <c r="J415"/>
  <c r="I415"/>
  <c r="H415"/>
  <c r="Z414"/>
  <c r="Y414"/>
  <c r="X414"/>
  <c r="V414"/>
  <c r="T414"/>
  <c r="R414"/>
  <c r="P414"/>
  <c r="N414"/>
  <c r="L414"/>
  <c r="K414"/>
  <c r="J414"/>
  <c r="I414"/>
  <c r="H414"/>
  <c r="Z413"/>
  <c r="Y413"/>
  <c r="X413"/>
  <c r="V413"/>
  <c r="T413"/>
  <c r="R413"/>
  <c r="P413"/>
  <c r="N413"/>
  <c r="L413"/>
  <c r="K413"/>
  <c r="J413"/>
  <c r="I413"/>
  <c r="H413"/>
  <c r="U412"/>
  <c r="S412"/>
  <c r="Q412"/>
  <c r="O412"/>
  <c r="M412"/>
  <c r="G412"/>
  <c r="F412"/>
  <c r="E412"/>
  <c r="D412"/>
  <c r="Z411"/>
  <c r="Y411"/>
  <c r="X411"/>
  <c r="V411"/>
  <c r="T411"/>
  <c r="R411"/>
  <c r="P411"/>
  <c r="N411"/>
  <c r="L411"/>
  <c r="K411"/>
  <c r="J411"/>
  <c r="I411"/>
  <c r="H411"/>
  <c r="Z410"/>
  <c r="Y410"/>
  <c r="X410"/>
  <c r="V410"/>
  <c r="T410"/>
  <c r="R410"/>
  <c r="P410"/>
  <c r="N410"/>
  <c r="L410"/>
  <c r="K410"/>
  <c r="J410"/>
  <c r="I410"/>
  <c r="H410"/>
  <c r="Z409"/>
  <c r="Y409"/>
  <c r="X409"/>
  <c r="V409"/>
  <c r="T409"/>
  <c r="R409"/>
  <c r="P409"/>
  <c r="N409"/>
  <c r="L409"/>
  <c r="K409"/>
  <c r="J409"/>
  <c r="I409"/>
  <c r="H409"/>
  <c r="Z408"/>
  <c r="Y408"/>
  <c r="X408"/>
  <c r="V408"/>
  <c r="T408"/>
  <c r="R408"/>
  <c r="P408"/>
  <c r="N408"/>
  <c r="L408"/>
  <c r="K408"/>
  <c r="J408"/>
  <c r="I408"/>
  <c r="H408"/>
  <c r="U407"/>
  <c r="S407"/>
  <c r="Q407"/>
  <c r="O407"/>
  <c r="M407"/>
  <c r="G407"/>
  <c r="F407"/>
  <c r="E407"/>
  <c r="D407"/>
  <c r="Z406"/>
  <c r="Y406"/>
  <c r="X406"/>
  <c r="V406"/>
  <c r="T406"/>
  <c r="R406"/>
  <c r="P406"/>
  <c r="N406"/>
  <c r="L406"/>
  <c r="K406"/>
  <c r="J406"/>
  <c r="I406"/>
  <c r="H406"/>
  <c r="Z405"/>
  <c r="Y405"/>
  <c r="X405"/>
  <c r="V405"/>
  <c r="T405"/>
  <c r="R405"/>
  <c r="P405"/>
  <c r="N405"/>
  <c r="L405"/>
  <c r="K405"/>
  <c r="J405"/>
  <c r="I405"/>
  <c r="H405"/>
  <c r="Z404"/>
  <c r="Y404"/>
  <c r="X404"/>
  <c r="V404"/>
  <c r="T404"/>
  <c r="R404"/>
  <c r="P404"/>
  <c r="N404"/>
  <c r="L404"/>
  <c r="K404"/>
  <c r="J404"/>
  <c r="I404"/>
  <c r="H404"/>
  <c r="U403"/>
  <c r="S403"/>
  <c r="Q403"/>
  <c r="O403"/>
  <c r="M403"/>
  <c r="G403"/>
  <c r="F403"/>
  <c r="E403"/>
  <c r="D403"/>
  <c r="C403"/>
  <c r="Z402"/>
  <c r="Y402"/>
  <c r="X402"/>
  <c r="V402"/>
  <c r="T402"/>
  <c r="R402"/>
  <c r="P402"/>
  <c r="N402"/>
  <c r="L402"/>
  <c r="K402"/>
  <c r="J402"/>
  <c r="I402"/>
  <c r="H402"/>
  <c r="Z401"/>
  <c r="Y401"/>
  <c r="X401"/>
  <c r="V401"/>
  <c r="T401"/>
  <c r="R401"/>
  <c r="P401"/>
  <c r="N401"/>
  <c r="L401"/>
  <c r="K401"/>
  <c r="J401"/>
  <c r="I401"/>
  <c r="H401"/>
  <c r="U400"/>
  <c r="S400"/>
  <c r="Q400"/>
  <c r="O400"/>
  <c r="M400"/>
  <c r="G400"/>
  <c r="F400"/>
  <c r="E400"/>
  <c r="D400"/>
  <c r="Z399"/>
  <c r="Y399"/>
  <c r="X399"/>
  <c r="V399"/>
  <c r="T399"/>
  <c r="R399"/>
  <c r="P399"/>
  <c r="N399"/>
  <c r="L399"/>
  <c r="K399"/>
  <c r="J399"/>
  <c r="I399"/>
  <c r="H399"/>
  <c r="U398"/>
  <c r="S398"/>
  <c r="Q398"/>
  <c r="O398"/>
  <c r="M398"/>
  <c r="G398"/>
  <c r="F398"/>
  <c r="E398"/>
  <c r="D398"/>
  <c r="Z397"/>
  <c r="Y397"/>
  <c r="X397"/>
  <c r="V397"/>
  <c r="T397"/>
  <c r="R397"/>
  <c r="P397"/>
  <c r="N397"/>
  <c r="L397"/>
  <c r="K397"/>
  <c r="J397"/>
  <c r="I397"/>
  <c r="H397"/>
  <c r="U396"/>
  <c r="S396"/>
  <c r="Q396"/>
  <c r="O396"/>
  <c r="M396"/>
  <c r="G396"/>
  <c r="F396"/>
  <c r="E396"/>
  <c r="D396"/>
  <c r="Z395"/>
  <c r="Y395"/>
  <c r="X395"/>
  <c r="V395"/>
  <c r="T395"/>
  <c r="R395"/>
  <c r="P395"/>
  <c r="N395"/>
  <c r="L395"/>
  <c r="K395"/>
  <c r="J395"/>
  <c r="I395"/>
  <c r="H395"/>
  <c r="Z394"/>
  <c r="Y394"/>
  <c r="X394"/>
  <c r="V394"/>
  <c r="T394"/>
  <c r="R394"/>
  <c r="P394"/>
  <c r="N394"/>
  <c r="L394"/>
  <c r="K394"/>
  <c r="J394"/>
  <c r="I394"/>
  <c r="H394"/>
  <c r="Z393"/>
  <c r="Y393"/>
  <c r="X393"/>
  <c r="V393"/>
  <c r="T393"/>
  <c r="R393"/>
  <c r="P393"/>
  <c r="N393"/>
  <c r="L393"/>
  <c r="K393"/>
  <c r="J393"/>
  <c r="I393"/>
  <c r="H393"/>
  <c r="U392"/>
  <c r="S392"/>
  <c r="Q392"/>
  <c r="O392"/>
  <c r="M392"/>
  <c r="G392"/>
  <c r="F392"/>
  <c r="E392"/>
  <c r="D392"/>
  <c r="Z391"/>
  <c r="Y391"/>
  <c r="X391"/>
  <c r="V391"/>
  <c r="T391"/>
  <c r="R391"/>
  <c r="P391"/>
  <c r="N391"/>
  <c r="L391"/>
  <c r="K391"/>
  <c r="J391"/>
  <c r="I391"/>
  <c r="H391"/>
  <c r="U390"/>
  <c r="S390"/>
  <c r="Q390"/>
  <c r="O390"/>
  <c r="M390"/>
  <c r="G390"/>
  <c r="F390"/>
  <c r="E390"/>
  <c r="D390"/>
  <c r="U389"/>
  <c r="S389"/>
  <c r="Q389"/>
  <c r="O389"/>
  <c r="M389"/>
  <c r="G389"/>
  <c r="F389"/>
  <c r="E389"/>
  <c r="D389"/>
  <c r="Z388"/>
  <c r="Y388"/>
  <c r="X388"/>
  <c r="V388"/>
  <c r="T388"/>
  <c r="R388"/>
  <c r="P388"/>
  <c r="N388"/>
  <c r="L388"/>
  <c r="K388"/>
  <c r="J388"/>
  <c r="I388"/>
  <c r="H388"/>
  <c r="U387"/>
  <c r="S387"/>
  <c r="Q387"/>
  <c r="O387"/>
  <c r="M387"/>
  <c r="G387"/>
  <c r="F387"/>
  <c r="E387"/>
  <c r="D387"/>
  <c r="Z386"/>
  <c r="Y386"/>
  <c r="X386"/>
  <c r="V386"/>
  <c r="T386"/>
  <c r="R386"/>
  <c r="P386"/>
  <c r="N386"/>
  <c r="L386"/>
  <c r="K386"/>
  <c r="J386"/>
  <c r="I386"/>
  <c r="H386"/>
  <c r="U385"/>
  <c r="S385"/>
  <c r="Q385"/>
  <c r="O385"/>
  <c r="M385"/>
  <c r="G385"/>
  <c r="F385"/>
  <c r="E385"/>
  <c r="D385"/>
  <c r="Z384"/>
  <c r="Y384"/>
  <c r="X384"/>
  <c r="V384"/>
  <c r="T384"/>
  <c r="R384"/>
  <c r="P384"/>
  <c r="N384"/>
  <c r="L384"/>
  <c r="K384"/>
  <c r="J384"/>
  <c r="I384"/>
  <c r="H384"/>
  <c r="Z383"/>
  <c r="Y383"/>
  <c r="X383"/>
  <c r="V383"/>
  <c r="T383"/>
  <c r="R383"/>
  <c r="P383"/>
  <c r="N383"/>
  <c r="L383"/>
  <c r="K383"/>
  <c r="J383"/>
  <c r="I383"/>
  <c r="H383"/>
  <c r="Z382"/>
  <c r="Y382"/>
  <c r="X382"/>
  <c r="V382"/>
  <c r="T382"/>
  <c r="R382"/>
  <c r="P382"/>
  <c r="N382"/>
  <c r="L382"/>
  <c r="K382"/>
  <c r="J382"/>
  <c r="I382"/>
  <c r="H382"/>
  <c r="Z381"/>
  <c r="Y381"/>
  <c r="X381"/>
  <c r="V381"/>
  <c r="T381"/>
  <c r="R381"/>
  <c r="P381"/>
  <c r="N381"/>
  <c r="L381"/>
  <c r="K381"/>
  <c r="J381"/>
  <c r="I381"/>
  <c r="H381"/>
  <c r="Z380"/>
  <c r="Y380"/>
  <c r="X380"/>
  <c r="V380"/>
  <c r="T380"/>
  <c r="R380"/>
  <c r="P380"/>
  <c r="N380"/>
  <c r="L380"/>
  <c r="K380"/>
  <c r="J380"/>
  <c r="I380"/>
  <c r="H380"/>
  <c r="Z379"/>
  <c r="Y379"/>
  <c r="X379"/>
  <c r="V379"/>
  <c r="T379"/>
  <c r="R379"/>
  <c r="P379"/>
  <c r="N379"/>
  <c r="L379"/>
  <c r="K379"/>
  <c r="J379"/>
  <c r="I379"/>
  <c r="H379"/>
  <c r="U378"/>
  <c r="S378"/>
  <c r="Q378"/>
  <c r="O378"/>
  <c r="M378"/>
  <c r="G378"/>
  <c r="F378"/>
  <c r="E378"/>
  <c r="D378"/>
  <c r="C378"/>
  <c r="Z377"/>
  <c r="Y377"/>
  <c r="X377"/>
  <c r="V377"/>
  <c r="T377"/>
  <c r="R377"/>
  <c r="P377"/>
  <c r="N377"/>
  <c r="L377"/>
  <c r="K377"/>
  <c r="J377"/>
  <c r="I377"/>
  <c r="H377"/>
  <c r="Z376"/>
  <c r="Y376"/>
  <c r="X376"/>
  <c r="V376"/>
  <c r="T376"/>
  <c r="R376"/>
  <c r="P376"/>
  <c r="N376"/>
  <c r="L376"/>
  <c r="K376"/>
  <c r="J376"/>
  <c r="I376"/>
  <c r="H376"/>
  <c r="Z375"/>
  <c r="Y375"/>
  <c r="X375"/>
  <c r="V375"/>
  <c r="T375"/>
  <c r="R375"/>
  <c r="P375"/>
  <c r="N375"/>
  <c r="L375"/>
  <c r="K375"/>
  <c r="J375"/>
  <c r="I375"/>
  <c r="H375"/>
  <c r="Z374"/>
  <c r="Y374"/>
  <c r="X374"/>
  <c r="V374"/>
  <c r="T374"/>
  <c r="R374"/>
  <c r="P374"/>
  <c r="N374"/>
  <c r="L374"/>
  <c r="K374"/>
  <c r="J374"/>
  <c r="I374"/>
  <c r="H374"/>
  <c r="Z373"/>
  <c r="Y373"/>
  <c r="X373"/>
  <c r="V373"/>
  <c r="T373"/>
  <c r="R373"/>
  <c r="P373"/>
  <c r="N373"/>
  <c r="L373"/>
  <c r="K373"/>
  <c r="J373"/>
  <c r="I373"/>
  <c r="H373"/>
  <c r="Z372"/>
  <c r="Y372"/>
  <c r="X372"/>
  <c r="V372"/>
  <c r="T372"/>
  <c r="R372"/>
  <c r="P372"/>
  <c r="N372"/>
  <c r="L372"/>
  <c r="K372"/>
  <c r="J372"/>
  <c r="I372"/>
  <c r="H372"/>
  <c r="Z371"/>
  <c r="Y371"/>
  <c r="X371"/>
  <c r="V371"/>
  <c r="T371"/>
  <c r="R371"/>
  <c r="P371"/>
  <c r="N371"/>
  <c r="L371"/>
  <c r="K371"/>
  <c r="J371"/>
  <c r="I371"/>
  <c r="H371"/>
  <c r="Z370"/>
  <c r="Y370"/>
  <c r="X370"/>
  <c r="V370"/>
  <c r="T370"/>
  <c r="R370"/>
  <c r="P370"/>
  <c r="N370"/>
  <c r="L370"/>
  <c r="K370"/>
  <c r="J370"/>
  <c r="I370"/>
  <c r="H370"/>
  <c r="Z369"/>
  <c r="Y369"/>
  <c r="X369"/>
  <c r="V369"/>
  <c r="T369"/>
  <c r="R369"/>
  <c r="P369"/>
  <c r="N369"/>
  <c r="L369"/>
  <c r="K369"/>
  <c r="J369"/>
  <c r="I369"/>
  <c r="H369"/>
  <c r="Z368"/>
  <c r="Y368"/>
  <c r="X368"/>
  <c r="V368"/>
  <c r="T368"/>
  <c r="R368"/>
  <c r="P368"/>
  <c r="N368"/>
  <c r="L368"/>
  <c r="K368"/>
  <c r="J368"/>
  <c r="I368"/>
  <c r="H368"/>
  <c r="Z367"/>
  <c r="Y367"/>
  <c r="X367"/>
  <c r="V367"/>
  <c r="T367"/>
  <c r="R367"/>
  <c r="P367"/>
  <c r="N367"/>
  <c r="L367"/>
  <c r="K367"/>
  <c r="J367"/>
  <c r="I367"/>
  <c r="H367"/>
  <c r="U366"/>
  <c r="S366"/>
  <c r="Q366"/>
  <c r="O366"/>
  <c r="M366"/>
  <c r="G366"/>
  <c r="F366"/>
  <c r="E366"/>
  <c r="D366"/>
  <c r="Z365"/>
  <c r="Y365"/>
  <c r="X365"/>
  <c r="V365"/>
  <c r="T365"/>
  <c r="R365"/>
  <c r="P365"/>
  <c r="N365"/>
  <c r="L365"/>
  <c r="K365"/>
  <c r="J365"/>
  <c r="I365"/>
  <c r="H365"/>
  <c r="Z364"/>
  <c r="Y364"/>
  <c r="X364"/>
  <c r="V364"/>
  <c r="T364"/>
  <c r="R364"/>
  <c r="P364"/>
  <c r="N364"/>
  <c r="L364"/>
  <c r="K364"/>
  <c r="J364"/>
  <c r="I364"/>
  <c r="H364"/>
  <c r="Z363"/>
  <c r="Y363"/>
  <c r="X363"/>
  <c r="V363"/>
  <c r="T363"/>
  <c r="R363"/>
  <c r="P363"/>
  <c r="N363"/>
  <c r="L363"/>
  <c r="K363"/>
  <c r="J363"/>
  <c r="I363"/>
  <c r="H363"/>
  <c r="Z362"/>
  <c r="Y362"/>
  <c r="X362"/>
  <c r="V362"/>
  <c r="T362"/>
  <c r="R362"/>
  <c r="P362"/>
  <c r="N362"/>
  <c r="L362"/>
  <c r="K362"/>
  <c r="J362"/>
  <c r="I362"/>
  <c r="H362"/>
  <c r="Z361"/>
  <c r="Y361"/>
  <c r="X361"/>
  <c r="V361"/>
  <c r="T361"/>
  <c r="R361"/>
  <c r="P361"/>
  <c r="N361"/>
  <c r="L361"/>
  <c r="K361"/>
  <c r="J361"/>
  <c r="I361"/>
  <c r="H361"/>
  <c r="Z360"/>
  <c r="Y360"/>
  <c r="X360"/>
  <c r="V360"/>
  <c r="T360"/>
  <c r="R360"/>
  <c r="P360"/>
  <c r="N360"/>
  <c r="L360"/>
  <c r="K360"/>
  <c r="J360"/>
  <c r="I360"/>
  <c r="H360"/>
  <c r="H359"/>
  <c r="U358"/>
  <c r="S358"/>
  <c r="Q358"/>
  <c r="O358"/>
  <c r="M358"/>
  <c r="G358"/>
  <c r="F358"/>
  <c r="E358"/>
  <c r="D358"/>
  <c r="C358"/>
  <c r="Z357"/>
  <c r="Y357"/>
  <c r="X357"/>
  <c r="V357"/>
  <c r="T357"/>
  <c r="R357"/>
  <c r="P357"/>
  <c r="N357"/>
  <c r="L357"/>
  <c r="K357"/>
  <c r="J357"/>
  <c r="I357"/>
  <c r="H357"/>
  <c r="Z356"/>
  <c r="Y356"/>
  <c r="X356"/>
  <c r="V356"/>
  <c r="T356"/>
  <c r="R356"/>
  <c r="P356"/>
  <c r="N356"/>
  <c r="L356"/>
  <c r="K356"/>
  <c r="J356"/>
  <c r="I356"/>
  <c r="H356"/>
  <c r="Z355"/>
  <c r="Y355"/>
  <c r="X355"/>
  <c r="V355"/>
  <c r="T355"/>
  <c r="R355"/>
  <c r="P355"/>
  <c r="N355"/>
  <c r="L355"/>
  <c r="K355"/>
  <c r="J355"/>
  <c r="I355"/>
  <c r="H355"/>
  <c r="Z354"/>
  <c r="Y354"/>
  <c r="X354"/>
  <c r="V354"/>
  <c r="T354"/>
  <c r="R354"/>
  <c r="P354"/>
  <c r="N354"/>
  <c r="L354"/>
  <c r="K354"/>
  <c r="J354"/>
  <c r="I354"/>
  <c r="H354"/>
  <c r="Z353"/>
  <c r="Y353"/>
  <c r="X353"/>
  <c r="V353"/>
  <c r="T353"/>
  <c r="R353"/>
  <c r="P353"/>
  <c r="N353"/>
  <c r="L353"/>
  <c r="K353"/>
  <c r="J353"/>
  <c r="I353"/>
  <c r="H353"/>
  <c r="Z352"/>
  <c r="Y352"/>
  <c r="X352"/>
  <c r="V352"/>
  <c r="T352"/>
  <c r="R352"/>
  <c r="P352"/>
  <c r="N352"/>
  <c r="L352"/>
  <c r="K352"/>
  <c r="J352"/>
  <c r="I352"/>
  <c r="H352"/>
  <c r="U351"/>
  <c r="S351"/>
  <c r="Q351"/>
  <c r="O351"/>
  <c r="M351"/>
  <c r="G351"/>
  <c r="F351"/>
  <c r="E351"/>
  <c r="D351"/>
  <c r="Z350"/>
  <c r="Y350"/>
  <c r="X350"/>
  <c r="V350"/>
  <c r="T350"/>
  <c r="R350"/>
  <c r="P350"/>
  <c r="N350"/>
  <c r="L350"/>
  <c r="K350"/>
  <c r="J350"/>
  <c r="I350"/>
  <c r="H350"/>
  <c r="Z349"/>
  <c r="Y349"/>
  <c r="X349"/>
  <c r="V349"/>
  <c r="T349"/>
  <c r="R349"/>
  <c r="P349"/>
  <c r="N349"/>
  <c r="L349"/>
  <c r="K349"/>
  <c r="J349"/>
  <c r="I349"/>
  <c r="H349"/>
  <c r="Z348"/>
  <c r="Y348"/>
  <c r="X348"/>
  <c r="V348"/>
  <c r="T348"/>
  <c r="R348"/>
  <c r="P348"/>
  <c r="N348"/>
  <c r="L348"/>
  <c r="K348"/>
  <c r="J348"/>
  <c r="I348"/>
  <c r="H348"/>
  <c r="Z347"/>
  <c r="Y347"/>
  <c r="X347"/>
  <c r="V347"/>
  <c r="T347"/>
  <c r="R347"/>
  <c r="P347"/>
  <c r="N347"/>
  <c r="L347"/>
  <c r="K347"/>
  <c r="J347"/>
  <c r="I347"/>
  <c r="H347"/>
  <c r="Z346"/>
  <c r="Y346"/>
  <c r="X346"/>
  <c r="V346"/>
  <c r="T346"/>
  <c r="R346"/>
  <c r="P346"/>
  <c r="N346"/>
  <c r="L346"/>
  <c r="K346"/>
  <c r="J346"/>
  <c r="I346"/>
  <c r="H346"/>
  <c r="Z345"/>
  <c r="Y345"/>
  <c r="X345"/>
  <c r="V345"/>
  <c r="T345"/>
  <c r="R345"/>
  <c r="P345"/>
  <c r="N345"/>
  <c r="L345"/>
  <c r="K345"/>
  <c r="J345"/>
  <c r="I345"/>
  <c r="H345"/>
  <c r="Z344"/>
  <c r="Y344"/>
  <c r="X344"/>
  <c r="V344"/>
  <c r="T344"/>
  <c r="R344"/>
  <c r="P344"/>
  <c r="N344"/>
  <c r="L344"/>
  <c r="K344"/>
  <c r="J344"/>
  <c r="I344"/>
  <c r="H344"/>
  <c r="Z343"/>
  <c r="Y343"/>
  <c r="X343"/>
  <c r="V343"/>
  <c r="T343"/>
  <c r="R343"/>
  <c r="P343"/>
  <c r="N343"/>
  <c r="L343"/>
  <c r="K343"/>
  <c r="J343"/>
  <c r="I343"/>
  <c r="H343"/>
  <c r="Z342"/>
  <c r="Y342"/>
  <c r="X342"/>
  <c r="V342"/>
  <c r="T342"/>
  <c r="R342"/>
  <c r="P342"/>
  <c r="N342"/>
  <c r="L342"/>
  <c r="K342"/>
  <c r="J342"/>
  <c r="I342"/>
  <c r="H342"/>
  <c r="U341"/>
  <c r="S341"/>
  <c r="Q341"/>
  <c r="O341"/>
  <c r="M341"/>
  <c r="G341"/>
  <c r="F341"/>
  <c r="E341"/>
  <c r="D341"/>
  <c r="C341"/>
  <c r="Z340"/>
  <c r="Y340"/>
  <c r="X340"/>
  <c r="V340"/>
  <c r="T340"/>
  <c r="R340"/>
  <c r="P340"/>
  <c r="N340"/>
  <c r="L340"/>
  <c r="K340"/>
  <c r="J340"/>
  <c r="I340"/>
  <c r="H340"/>
  <c r="Z339"/>
  <c r="Y339"/>
  <c r="X339"/>
  <c r="V339"/>
  <c r="T339"/>
  <c r="R339"/>
  <c r="P339"/>
  <c r="N339"/>
  <c r="L339"/>
  <c r="K339"/>
  <c r="J339"/>
  <c r="I339"/>
  <c r="H339"/>
  <c r="Z338"/>
  <c r="Y338"/>
  <c r="X338"/>
  <c r="V338"/>
  <c r="T338"/>
  <c r="R338"/>
  <c r="P338"/>
  <c r="N338"/>
  <c r="L338"/>
  <c r="K338"/>
  <c r="J338"/>
  <c r="I338"/>
  <c r="H338"/>
  <c r="Z337"/>
  <c r="Y337"/>
  <c r="X337"/>
  <c r="V337"/>
  <c r="T337"/>
  <c r="R337"/>
  <c r="P337"/>
  <c r="N337"/>
  <c r="L337"/>
  <c r="K337"/>
  <c r="J337"/>
  <c r="I337"/>
  <c r="H337"/>
  <c r="Z336"/>
  <c r="Y336"/>
  <c r="X336"/>
  <c r="V336"/>
  <c r="T336"/>
  <c r="R336"/>
  <c r="P336"/>
  <c r="N336"/>
  <c r="L336"/>
  <c r="K336"/>
  <c r="J336"/>
  <c r="I336"/>
  <c r="H336"/>
  <c r="G335"/>
  <c r="F335"/>
  <c r="E335"/>
  <c r="D335"/>
  <c r="C335"/>
  <c r="X334"/>
  <c r="V334"/>
  <c r="T334"/>
  <c r="R334"/>
  <c r="P334"/>
  <c r="N334"/>
  <c r="L334"/>
  <c r="K334"/>
  <c r="J334"/>
  <c r="I334"/>
  <c r="H334"/>
  <c r="U333"/>
  <c r="S333"/>
  <c r="Q333"/>
  <c r="O333"/>
  <c r="M333"/>
  <c r="G333"/>
  <c r="F333"/>
  <c r="E333"/>
  <c r="D333"/>
  <c r="Z332"/>
  <c r="Y332"/>
  <c r="X332"/>
  <c r="V332"/>
  <c r="T332"/>
  <c r="R332"/>
  <c r="P332"/>
  <c r="N332"/>
  <c r="L332"/>
  <c r="K332"/>
  <c r="J332"/>
  <c r="I332"/>
  <c r="H332"/>
  <c r="U331"/>
  <c r="S331"/>
  <c r="Q331"/>
  <c r="O331"/>
  <c r="M331"/>
  <c r="G331"/>
  <c r="F331"/>
  <c r="E331"/>
  <c r="D331"/>
  <c r="C331"/>
  <c r="Z330"/>
  <c r="Y330"/>
  <c r="X330"/>
  <c r="V330"/>
  <c r="T330"/>
  <c r="R330"/>
  <c r="P330"/>
  <c r="N330"/>
  <c r="L330"/>
  <c r="K330"/>
  <c r="J330"/>
  <c r="I330"/>
  <c r="H330"/>
  <c r="Z329"/>
  <c r="Y329"/>
  <c r="X329"/>
  <c r="V329"/>
  <c r="T329"/>
  <c r="R329"/>
  <c r="P329"/>
  <c r="N329"/>
  <c r="L329"/>
  <c r="K329"/>
  <c r="J329"/>
  <c r="I329"/>
  <c r="H329"/>
  <c r="Z328"/>
  <c r="Y328"/>
  <c r="X328"/>
  <c r="V328"/>
  <c r="T328"/>
  <c r="R328"/>
  <c r="P328"/>
  <c r="N328"/>
  <c r="L328"/>
  <c r="K328"/>
  <c r="J328"/>
  <c r="I328"/>
  <c r="H328"/>
  <c r="Z327"/>
  <c r="Y327"/>
  <c r="X327"/>
  <c r="V327"/>
  <c r="T327"/>
  <c r="R327"/>
  <c r="P327"/>
  <c r="N327"/>
  <c r="L327"/>
  <c r="K327"/>
  <c r="J327"/>
  <c r="I327"/>
  <c r="H327"/>
  <c r="Z326"/>
  <c r="Y326"/>
  <c r="X326"/>
  <c r="V326"/>
  <c r="T326"/>
  <c r="R326"/>
  <c r="P326"/>
  <c r="N326"/>
  <c r="L326"/>
  <c r="K326"/>
  <c r="J326"/>
  <c r="I326"/>
  <c r="H326"/>
  <c r="U325"/>
  <c r="S325"/>
  <c r="Q325"/>
  <c r="O325"/>
  <c r="M325"/>
  <c r="G325"/>
  <c r="F325"/>
  <c r="E325"/>
  <c r="D325"/>
  <c r="Z324"/>
  <c r="Y324"/>
  <c r="X324"/>
  <c r="V324"/>
  <c r="T324"/>
  <c r="R324"/>
  <c r="P324"/>
  <c r="N324"/>
  <c r="L324"/>
  <c r="K324"/>
  <c r="J324"/>
  <c r="I324"/>
  <c r="H324"/>
  <c r="Z323"/>
  <c r="Y323"/>
  <c r="X323"/>
  <c r="V323"/>
  <c r="T323"/>
  <c r="R323"/>
  <c r="P323"/>
  <c r="N323"/>
  <c r="L323"/>
  <c r="K323"/>
  <c r="J323"/>
  <c r="I323"/>
  <c r="H323"/>
  <c r="Z322"/>
  <c r="Y322"/>
  <c r="X322"/>
  <c r="V322"/>
  <c r="T322"/>
  <c r="R322"/>
  <c r="P322"/>
  <c r="N322"/>
  <c r="L322"/>
  <c r="K322"/>
  <c r="J322"/>
  <c r="I322"/>
  <c r="H322"/>
  <c r="Z321"/>
  <c r="Y321"/>
  <c r="X321"/>
  <c r="V321"/>
  <c r="T321"/>
  <c r="R321"/>
  <c r="P321"/>
  <c r="N321"/>
  <c r="L321"/>
  <c r="K321"/>
  <c r="J321"/>
  <c r="I321"/>
  <c r="H321"/>
  <c r="U320"/>
  <c r="S320"/>
  <c r="Q320"/>
  <c r="O320"/>
  <c r="M320"/>
  <c r="G320"/>
  <c r="F320"/>
  <c r="E320"/>
  <c r="D320"/>
  <c r="C320"/>
  <c r="Z319"/>
  <c r="Y319"/>
  <c r="X319"/>
  <c r="V319"/>
  <c r="T319"/>
  <c r="R319"/>
  <c r="P319"/>
  <c r="N319"/>
  <c r="L319"/>
  <c r="K319"/>
  <c r="J319"/>
  <c r="I319"/>
  <c r="H319"/>
  <c r="Z318"/>
  <c r="Y318"/>
  <c r="X318"/>
  <c r="V318"/>
  <c r="T318"/>
  <c r="R318"/>
  <c r="P318"/>
  <c r="N318"/>
  <c r="L318"/>
  <c r="K318"/>
  <c r="J318"/>
  <c r="I318"/>
  <c r="H318"/>
  <c r="Z317"/>
  <c r="Y317"/>
  <c r="X317"/>
  <c r="V317"/>
  <c r="T317"/>
  <c r="R317"/>
  <c r="P317"/>
  <c r="N317"/>
  <c r="L317"/>
  <c r="K317"/>
  <c r="J317"/>
  <c r="I317"/>
  <c r="H317"/>
  <c r="U316"/>
  <c r="T316"/>
  <c r="S316"/>
  <c r="R316"/>
  <c r="Q316"/>
  <c r="P316"/>
  <c r="O316"/>
  <c r="N316"/>
  <c r="M316"/>
  <c r="G316"/>
  <c r="F316"/>
  <c r="E316"/>
  <c r="D316"/>
  <c r="Z315"/>
  <c r="Y315"/>
  <c r="X315"/>
  <c r="V315"/>
  <c r="T315"/>
  <c r="R315"/>
  <c r="P315"/>
  <c r="N315"/>
  <c r="L315"/>
  <c r="K315"/>
  <c r="J315"/>
  <c r="I315"/>
  <c r="H315"/>
  <c r="U314"/>
  <c r="S314"/>
  <c r="Q314"/>
  <c r="O314"/>
  <c r="M314"/>
  <c r="G314"/>
  <c r="F314"/>
  <c r="E314"/>
  <c r="D314"/>
  <c r="Z313"/>
  <c r="Y313"/>
  <c r="X313"/>
  <c r="V313"/>
  <c r="T313"/>
  <c r="R313"/>
  <c r="P313"/>
  <c r="N313"/>
  <c r="L313"/>
  <c r="K313"/>
  <c r="J313"/>
  <c r="I313"/>
  <c r="H313"/>
  <c r="Z312"/>
  <c r="Y312"/>
  <c r="X312"/>
  <c r="V312"/>
  <c r="T312"/>
  <c r="R312"/>
  <c r="P312"/>
  <c r="N312"/>
  <c r="L312"/>
  <c r="K312"/>
  <c r="J312"/>
  <c r="I312"/>
  <c r="H312"/>
  <c r="Z311"/>
  <c r="Y311"/>
  <c r="X311"/>
  <c r="V311"/>
  <c r="T311"/>
  <c r="R311"/>
  <c r="P311"/>
  <c r="N311"/>
  <c r="L311"/>
  <c r="K311"/>
  <c r="J311"/>
  <c r="I311"/>
  <c r="H311"/>
  <c r="Z310"/>
  <c r="Y310"/>
  <c r="X310"/>
  <c r="V310"/>
  <c r="T310"/>
  <c r="R310"/>
  <c r="P310"/>
  <c r="N310"/>
  <c r="L310"/>
  <c r="K310"/>
  <c r="J310"/>
  <c r="I310"/>
  <c r="H310"/>
  <c r="U309"/>
  <c r="S309"/>
  <c r="Q309"/>
  <c r="O309"/>
  <c r="M309"/>
  <c r="G309"/>
  <c r="F309"/>
  <c r="E309"/>
  <c r="D309"/>
  <c r="C309"/>
  <c r="Z308"/>
  <c r="Y308"/>
  <c r="X308"/>
  <c r="V308"/>
  <c r="T308"/>
  <c r="R308"/>
  <c r="P308"/>
  <c r="N308"/>
  <c r="L308"/>
  <c r="K308"/>
  <c r="J308"/>
  <c r="I308"/>
  <c r="H308"/>
  <c r="Z307"/>
  <c r="Y307"/>
  <c r="X307"/>
  <c r="V307"/>
  <c r="T307"/>
  <c r="R307"/>
  <c r="P307"/>
  <c r="N307"/>
  <c r="L307"/>
  <c r="K307"/>
  <c r="J307"/>
  <c r="I307"/>
  <c r="H307"/>
  <c r="Z306"/>
  <c r="Y306"/>
  <c r="X306"/>
  <c r="V306"/>
  <c r="T306"/>
  <c r="R306"/>
  <c r="P306"/>
  <c r="N306"/>
  <c r="L306"/>
  <c r="K306"/>
  <c r="J306"/>
  <c r="I306"/>
  <c r="H306"/>
  <c r="Z305"/>
  <c r="Y305"/>
  <c r="X305"/>
  <c r="V305"/>
  <c r="T305"/>
  <c r="R305"/>
  <c r="P305"/>
  <c r="N305"/>
  <c r="L305"/>
  <c r="K305"/>
  <c r="J305"/>
  <c r="I305"/>
  <c r="H305"/>
  <c r="Z304"/>
  <c r="Y304"/>
  <c r="X304"/>
  <c r="V304"/>
  <c r="T304"/>
  <c r="R304"/>
  <c r="P304"/>
  <c r="N304"/>
  <c r="L304"/>
  <c r="K304"/>
  <c r="J304"/>
  <c r="I304"/>
  <c r="H304"/>
  <c r="Z303"/>
  <c r="Y303"/>
  <c r="X303"/>
  <c r="V303"/>
  <c r="T303"/>
  <c r="R303"/>
  <c r="P303"/>
  <c r="N303"/>
  <c r="L303"/>
  <c r="K303"/>
  <c r="J303"/>
  <c r="I303"/>
  <c r="H303"/>
  <c r="Z302"/>
  <c r="Y302"/>
  <c r="X302"/>
  <c r="V302"/>
  <c r="T302"/>
  <c r="R302"/>
  <c r="P302"/>
  <c r="N302"/>
  <c r="L302"/>
  <c r="K302"/>
  <c r="J302"/>
  <c r="I302"/>
  <c r="H302"/>
  <c r="Z301"/>
  <c r="Y301"/>
  <c r="X301"/>
  <c r="V301"/>
  <c r="T301"/>
  <c r="R301"/>
  <c r="P301"/>
  <c r="N301"/>
  <c r="L301"/>
  <c r="K301"/>
  <c r="J301"/>
  <c r="I301"/>
  <c r="H301"/>
  <c r="Z300"/>
  <c r="Y300"/>
  <c r="X300"/>
  <c r="V300"/>
  <c r="T300"/>
  <c r="R300"/>
  <c r="P300"/>
  <c r="N300"/>
  <c r="L300"/>
  <c r="K300"/>
  <c r="J300"/>
  <c r="I300"/>
  <c r="H300"/>
  <c r="Z299"/>
  <c r="Y299"/>
  <c r="X299"/>
  <c r="V299"/>
  <c r="T299"/>
  <c r="R299"/>
  <c r="P299"/>
  <c r="N299"/>
  <c r="L299"/>
  <c r="K299"/>
  <c r="J299"/>
  <c r="I299"/>
  <c r="H299"/>
  <c r="G298"/>
  <c r="F298"/>
  <c r="E298"/>
  <c r="D298"/>
  <c r="C298"/>
  <c r="Z297"/>
  <c r="Y297"/>
  <c r="X297"/>
  <c r="V297"/>
  <c r="T297"/>
  <c r="R297"/>
  <c r="P297"/>
  <c r="N297"/>
  <c r="L297"/>
  <c r="K297"/>
  <c r="J297"/>
  <c r="I297"/>
  <c r="H297"/>
  <c r="U296"/>
  <c r="S296"/>
  <c r="Q296"/>
  <c r="O296"/>
  <c r="M296"/>
  <c r="G296"/>
  <c r="F296"/>
  <c r="E296"/>
  <c r="D296"/>
  <c r="Z295"/>
  <c r="Y295"/>
  <c r="X295"/>
  <c r="V295"/>
  <c r="T295"/>
  <c r="R295"/>
  <c r="P295"/>
  <c r="N295"/>
  <c r="L295"/>
  <c r="K295"/>
  <c r="J295"/>
  <c r="I295"/>
  <c r="H295"/>
  <c r="U294"/>
  <c r="S294"/>
  <c r="Q294"/>
  <c r="O294"/>
  <c r="M294"/>
  <c r="G294"/>
  <c r="F294"/>
  <c r="E294"/>
  <c r="D294"/>
  <c r="Z293"/>
  <c r="Y293"/>
  <c r="X293"/>
  <c r="V293"/>
  <c r="T293"/>
  <c r="R293"/>
  <c r="P293"/>
  <c r="N293"/>
  <c r="L293"/>
  <c r="K293"/>
  <c r="J293"/>
  <c r="I293"/>
  <c r="H293"/>
  <c r="U292"/>
  <c r="S292"/>
  <c r="Q292"/>
  <c r="O292"/>
  <c r="M292"/>
  <c r="G292"/>
  <c r="F292"/>
  <c r="E292"/>
  <c r="D292"/>
  <c r="Z291"/>
  <c r="Y291"/>
  <c r="X291"/>
  <c r="V291"/>
  <c r="T291"/>
  <c r="R291"/>
  <c r="P291"/>
  <c r="N291"/>
  <c r="L291"/>
  <c r="K291"/>
  <c r="J291"/>
  <c r="I291"/>
  <c r="H291"/>
  <c r="Z290"/>
  <c r="Y290"/>
  <c r="X290"/>
  <c r="V290"/>
  <c r="T290"/>
  <c r="R290"/>
  <c r="P290"/>
  <c r="N290"/>
  <c r="L290"/>
  <c r="K290"/>
  <c r="J290"/>
  <c r="I290"/>
  <c r="H290"/>
  <c r="U289"/>
  <c r="S289"/>
  <c r="Q289"/>
  <c r="O289"/>
  <c r="M289"/>
  <c r="G289"/>
  <c r="F289"/>
  <c r="E289"/>
  <c r="D289"/>
  <c r="Z288"/>
  <c r="Y288"/>
  <c r="X288"/>
  <c r="V288"/>
  <c r="T288"/>
  <c r="R288"/>
  <c r="P288"/>
  <c r="N288"/>
  <c r="L288"/>
  <c r="K288"/>
  <c r="J288"/>
  <c r="I288"/>
  <c r="H288"/>
  <c r="Z287"/>
  <c r="Y287"/>
  <c r="X287"/>
  <c r="V287"/>
  <c r="T287"/>
  <c r="R287"/>
  <c r="P287"/>
  <c r="N287"/>
  <c r="L287"/>
  <c r="K287"/>
  <c r="J287"/>
  <c r="I287"/>
  <c r="H287"/>
  <c r="Z286"/>
  <c r="Y286"/>
  <c r="X286"/>
  <c r="V286"/>
  <c r="T286"/>
  <c r="R286"/>
  <c r="P286"/>
  <c r="N286"/>
  <c r="L286"/>
  <c r="K286"/>
  <c r="J286"/>
  <c r="I286"/>
  <c r="H286"/>
  <c r="U285"/>
  <c r="U298" s="1"/>
  <c r="S285"/>
  <c r="S298" s="1"/>
  <c r="Q285"/>
  <c r="Q298" s="1"/>
  <c r="O285"/>
  <c r="O298" s="1"/>
  <c r="M285"/>
  <c r="M298" s="1"/>
  <c r="G285"/>
  <c r="F285"/>
  <c r="E285"/>
  <c r="D285"/>
  <c r="C285"/>
  <c r="Y284"/>
  <c r="X284"/>
  <c r="V284"/>
  <c r="T284"/>
  <c r="R284"/>
  <c r="P284"/>
  <c r="N284"/>
  <c r="L284"/>
  <c r="K284"/>
  <c r="J284"/>
  <c r="I284"/>
  <c r="H284"/>
  <c r="Y283"/>
  <c r="X283"/>
  <c r="V283"/>
  <c r="T283"/>
  <c r="R283"/>
  <c r="P283"/>
  <c r="N283"/>
  <c r="L283"/>
  <c r="K283"/>
  <c r="J283"/>
  <c r="I283"/>
  <c r="H283"/>
  <c r="Y282"/>
  <c r="X282"/>
  <c r="V282"/>
  <c r="T282"/>
  <c r="R282"/>
  <c r="P282"/>
  <c r="N282"/>
  <c r="L282"/>
  <c r="K282"/>
  <c r="J282"/>
  <c r="I282"/>
  <c r="H282"/>
  <c r="Y281"/>
  <c r="X281"/>
  <c r="V281"/>
  <c r="T281"/>
  <c r="R281"/>
  <c r="P281"/>
  <c r="N281"/>
  <c r="L281"/>
  <c r="K281"/>
  <c r="J281"/>
  <c r="I281"/>
  <c r="H281"/>
  <c r="U280"/>
  <c r="S280"/>
  <c r="Q280"/>
  <c r="O280"/>
  <c r="M280"/>
  <c r="G280"/>
  <c r="F280"/>
  <c r="E280"/>
  <c r="D280"/>
  <c r="Z279"/>
  <c r="Y279"/>
  <c r="X279"/>
  <c r="V279"/>
  <c r="T279"/>
  <c r="R279"/>
  <c r="P279"/>
  <c r="N279"/>
  <c r="L279"/>
  <c r="K279"/>
  <c r="J279"/>
  <c r="I279"/>
  <c r="H279"/>
  <c r="Z278"/>
  <c r="Y278"/>
  <c r="X278"/>
  <c r="V278"/>
  <c r="T278"/>
  <c r="R278"/>
  <c r="P278"/>
  <c r="N278"/>
  <c r="L278"/>
  <c r="K278"/>
  <c r="J278"/>
  <c r="I278"/>
  <c r="H278"/>
  <c r="Z277"/>
  <c r="Y277"/>
  <c r="X277"/>
  <c r="V277"/>
  <c r="T277"/>
  <c r="R277"/>
  <c r="P277"/>
  <c r="N277"/>
  <c r="L277"/>
  <c r="K277"/>
  <c r="J277"/>
  <c r="I277"/>
  <c r="H277"/>
  <c r="Z276"/>
  <c r="Y276"/>
  <c r="X276"/>
  <c r="V276"/>
  <c r="T276"/>
  <c r="R276"/>
  <c r="P276"/>
  <c r="N276"/>
  <c r="L276"/>
  <c r="K276"/>
  <c r="J276"/>
  <c r="I276"/>
  <c r="H276"/>
  <c r="Z275"/>
  <c r="Y275"/>
  <c r="X275"/>
  <c r="V275"/>
  <c r="T275"/>
  <c r="R275"/>
  <c r="P275"/>
  <c r="N275"/>
  <c r="L275"/>
  <c r="K275"/>
  <c r="J275"/>
  <c r="I275"/>
  <c r="H275"/>
  <c r="Z274"/>
  <c r="Y274"/>
  <c r="X274"/>
  <c r="V274"/>
  <c r="T274"/>
  <c r="R274"/>
  <c r="P274"/>
  <c r="N274"/>
  <c r="L274"/>
  <c r="K274"/>
  <c r="J274"/>
  <c r="I274"/>
  <c r="H274"/>
  <c r="U273"/>
  <c r="S273"/>
  <c r="Q273"/>
  <c r="O273"/>
  <c r="M273"/>
  <c r="G273"/>
  <c r="F273"/>
  <c r="E273"/>
  <c r="D273"/>
  <c r="C273"/>
  <c r="Z272"/>
  <c r="Y272"/>
  <c r="X272"/>
  <c r="V272"/>
  <c r="T272"/>
  <c r="R272"/>
  <c r="P272"/>
  <c r="N272"/>
  <c r="L272"/>
  <c r="K272"/>
  <c r="J272"/>
  <c r="I272"/>
  <c r="H272"/>
  <c r="U271"/>
  <c r="T271"/>
  <c r="S271"/>
  <c r="R271"/>
  <c r="Q271"/>
  <c r="P271"/>
  <c r="O271"/>
  <c r="N271"/>
  <c r="M271"/>
  <c r="G271"/>
  <c r="F271"/>
  <c r="E271"/>
  <c r="D271"/>
  <c r="Z270"/>
  <c r="Y270"/>
  <c r="X270"/>
  <c r="V270"/>
  <c r="T270"/>
  <c r="R270"/>
  <c r="P270"/>
  <c r="N270"/>
  <c r="L270"/>
  <c r="K270"/>
  <c r="J270"/>
  <c r="I270"/>
  <c r="H270"/>
  <c r="U269"/>
  <c r="T269"/>
  <c r="S269"/>
  <c r="R269"/>
  <c r="Q269"/>
  <c r="P269"/>
  <c r="O269"/>
  <c r="N269"/>
  <c r="M269"/>
  <c r="G269"/>
  <c r="F269"/>
  <c r="E269"/>
  <c r="D269"/>
  <c r="Z268"/>
  <c r="Y268"/>
  <c r="X268"/>
  <c r="V268"/>
  <c r="T268"/>
  <c r="R268"/>
  <c r="P268"/>
  <c r="N268"/>
  <c r="L268"/>
  <c r="K268"/>
  <c r="J268"/>
  <c r="I268"/>
  <c r="H268"/>
  <c r="Z267"/>
  <c r="Y267"/>
  <c r="X267"/>
  <c r="V267"/>
  <c r="T267"/>
  <c r="R267"/>
  <c r="P267"/>
  <c r="N267"/>
  <c r="L267"/>
  <c r="K267"/>
  <c r="J267"/>
  <c r="I267"/>
  <c r="H267"/>
  <c r="U266"/>
  <c r="T266"/>
  <c r="S266"/>
  <c r="R266"/>
  <c r="Q266"/>
  <c r="P266"/>
  <c r="O266"/>
  <c r="N266"/>
  <c r="M266"/>
  <c r="G266"/>
  <c r="F266"/>
  <c r="E266"/>
  <c r="D266"/>
  <c r="Z265"/>
  <c r="Y265"/>
  <c r="X265"/>
  <c r="V265"/>
  <c r="T265"/>
  <c r="R265"/>
  <c r="P265"/>
  <c r="N265"/>
  <c r="L265"/>
  <c r="K265"/>
  <c r="J265"/>
  <c r="I265"/>
  <c r="H265"/>
  <c r="U264"/>
  <c r="T264"/>
  <c r="S264"/>
  <c r="R264"/>
  <c r="Q264"/>
  <c r="P264"/>
  <c r="O264"/>
  <c r="N264"/>
  <c r="M264"/>
  <c r="G264"/>
  <c r="F264"/>
  <c r="E264"/>
  <c r="D264"/>
  <c r="Z263"/>
  <c r="Y263"/>
  <c r="X263"/>
  <c r="V263"/>
  <c r="T263"/>
  <c r="R263"/>
  <c r="P263"/>
  <c r="N263"/>
  <c r="L263"/>
  <c r="K263"/>
  <c r="J263"/>
  <c r="I263"/>
  <c r="H263"/>
  <c r="Z262"/>
  <c r="Y262"/>
  <c r="X262"/>
  <c r="V262"/>
  <c r="T262"/>
  <c r="R262"/>
  <c r="P262"/>
  <c r="N262"/>
  <c r="L262"/>
  <c r="K262"/>
  <c r="J262"/>
  <c r="I262"/>
  <c r="H262"/>
  <c r="U261"/>
  <c r="T261"/>
  <c r="S261"/>
  <c r="R261"/>
  <c r="Q261"/>
  <c r="AC262" s="1"/>
  <c r="P261"/>
  <c r="O261"/>
  <c r="AC261" s="1"/>
  <c r="N261"/>
  <c r="M261"/>
  <c r="G261"/>
  <c r="F261"/>
  <c r="E261"/>
  <c r="D261"/>
  <c r="Z260"/>
  <c r="Y260"/>
  <c r="X260"/>
  <c r="V260"/>
  <c r="T260"/>
  <c r="R260"/>
  <c r="P260"/>
  <c r="N260"/>
  <c r="L260"/>
  <c r="K260"/>
  <c r="J260"/>
  <c r="I260"/>
  <c r="H260"/>
  <c r="Z259"/>
  <c r="Y259"/>
  <c r="X259"/>
  <c r="V259"/>
  <c r="T259"/>
  <c r="R259"/>
  <c r="P259"/>
  <c r="N259"/>
  <c r="L259"/>
  <c r="K259"/>
  <c r="J259"/>
  <c r="I259"/>
  <c r="H259"/>
  <c r="Z258"/>
  <c r="Y258"/>
  <c r="X258"/>
  <c r="V258"/>
  <c r="T258"/>
  <c r="R258"/>
  <c r="P258"/>
  <c r="N258"/>
  <c r="L258"/>
  <c r="K258"/>
  <c r="J258"/>
  <c r="I258"/>
  <c r="H258"/>
  <c r="Z257"/>
  <c r="Y257"/>
  <c r="X257"/>
  <c r="V257"/>
  <c r="T257"/>
  <c r="R257"/>
  <c r="P257"/>
  <c r="N257"/>
  <c r="L257"/>
  <c r="K257"/>
  <c r="J257"/>
  <c r="I257"/>
  <c r="H257"/>
  <c r="T256"/>
  <c r="R256"/>
  <c r="P256"/>
  <c r="N256"/>
  <c r="G256"/>
  <c r="F256"/>
  <c r="E256"/>
  <c r="D256"/>
  <c r="C256"/>
  <c r="Z255"/>
  <c r="Y255"/>
  <c r="X255"/>
  <c r="V255"/>
  <c r="T255"/>
  <c r="R255"/>
  <c r="P255"/>
  <c r="N255"/>
  <c r="L255"/>
  <c r="K255"/>
  <c r="J255"/>
  <c r="I255"/>
  <c r="H255"/>
  <c r="Z254"/>
  <c r="Y254"/>
  <c r="X254"/>
  <c r="V254"/>
  <c r="T254"/>
  <c r="R254"/>
  <c r="P254"/>
  <c r="N254"/>
  <c r="L254"/>
  <c r="K254"/>
  <c r="J254"/>
  <c r="I254"/>
  <c r="H254"/>
  <c r="Z253"/>
  <c r="Y253"/>
  <c r="X253"/>
  <c r="V253"/>
  <c r="T253"/>
  <c r="R253"/>
  <c r="P253"/>
  <c r="N253"/>
  <c r="L253"/>
  <c r="K253"/>
  <c r="J253"/>
  <c r="I253"/>
  <c r="H253"/>
  <c r="U252"/>
  <c r="S252"/>
  <c r="Q252"/>
  <c r="O252"/>
  <c r="M252"/>
  <c r="G252"/>
  <c r="F252"/>
  <c r="E252"/>
  <c r="D252"/>
  <c r="Z251"/>
  <c r="Y251"/>
  <c r="X251"/>
  <c r="V251"/>
  <c r="T251"/>
  <c r="R251"/>
  <c r="P251"/>
  <c r="N251"/>
  <c r="L251"/>
  <c r="K251"/>
  <c r="J251"/>
  <c r="I251"/>
  <c r="H251"/>
  <c r="G250"/>
  <c r="F250"/>
  <c r="E250"/>
  <c r="D250"/>
  <c r="Z249"/>
  <c r="Y249"/>
  <c r="X249"/>
  <c r="V249"/>
  <c r="T249"/>
  <c r="R249"/>
  <c r="P249"/>
  <c r="N249"/>
  <c r="L249"/>
  <c r="K249"/>
  <c r="J249"/>
  <c r="I249"/>
  <c r="H249"/>
  <c r="Z248"/>
  <c r="Y248"/>
  <c r="X248"/>
  <c r="V248"/>
  <c r="T248"/>
  <c r="R248"/>
  <c r="P248"/>
  <c r="N248"/>
  <c r="L248"/>
  <c r="K248"/>
  <c r="J248"/>
  <c r="I248"/>
  <c r="H248"/>
  <c r="Z247"/>
  <c r="Y247"/>
  <c r="X247"/>
  <c r="V247"/>
  <c r="T247"/>
  <c r="R247"/>
  <c r="P247"/>
  <c r="N247"/>
  <c r="L247"/>
  <c r="K247"/>
  <c r="J247"/>
  <c r="I247"/>
  <c r="H247"/>
  <c r="Z246"/>
  <c r="Y246"/>
  <c r="X246"/>
  <c r="V246"/>
  <c r="T246"/>
  <c r="R246"/>
  <c r="P246"/>
  <c r="N246"/>
  <c r="L246"/>
  <c r="K246"/>
  <c r="J246"/>
  <c r="I246"/>
  <c r="H246"/>
  <c r="Z245"/>
  <c r="Y245"/>
  <c r="X245"/>
  <c r="V245"/>
  <c r="T245"/>
  <c r="R245"/>
  <c r="P245"/>
  <c r="N245"/>
  <c r="L245"/>
  <c r="K245"/>
  <c r="J245"/>
  <c r="I245"/>
  <c r="H245"/>
  <c r="U244"/>
  <c r="S244"/>
  <c r="Q244"/>
  <c r="O244"/>
  <c r="M244"/>
  <c r="G244"/>
  <c r="F244"/>
  <c r="E244"/>
  <c r="D244"/>
  <c r="Z243"/>
  <c r="Y243"/>
  <c r="X243"/>
  <c r="V243"/>
  <c r="T243"/>
  <c r="R243"/>
  <c r="P243"/>
  <c r="N243"/>
  <c r="L243"/>
  <c r="K243"/>
  <c r="J243"/>
  <c r="I243"/>
  <c r="H243"/>
  <c r="Z242"/>
  <c r="Y242"/>
  <c r="X242"/>
  <c r="V242"/>
  <c r="T242"/>
  <c r="R242"/>
  <c r="P242"/>
  <c r="N242"/>
  <c r="L242"/>
  <c r="K242"/>
  <c r="J242"/>
  <c r="I242"/>
  <c r="H242"/>
  <c r="Z241"/>
  <c r="Y241"/>
  <c r="X241"/>
  <c r="V241"/>
  <c r="T241"/>
  <c r="R241"/>
  <c r="P241"/>
  <c r="N241"/>
  <c r="L241"/>
  <c r="K241"/>
  <c r="J241"/>
  <c r="I241"/>
  <c r="H241"/>
  <c r="Z240"/>
  <c r="Y240"/>
  <c r="X240"/>
  <c r="V240"/>
  <c r="T240"/>
  <c r="R240"/>
  <c r="P240"/>
  <c r="N240"/>
  <c r="L240"/>
  <c r="K240"/>
  <c r="J240"/>
  <c r="I240"/>
  <c r="H240"/>
  <c r="Z239"/>
  <c r="Y239"/>
  <c r="X239"/>
  <c r="V239"/>
  <c r="T239"/>
  <c r="R239"/>
  <c r="P239"/>
  <c r="N239"/>
  <c r="L239"/>
  <c r="K239"/>
  <c r="J239"/>
  <c r="I239"/>
  <c r="H239"/>
  <c r="Z238"/>
  <c r="Y238"/>
  <c r="X238"/>
  <c r="V238"/>
  <c r="T238"/>
  <c r="R238"/>
  <c r="P238"/>
  <c r="N238"/>
  <c r="L238"/>
  <c r="K238"/>
  <c r="J238"/>
  <c r="I238"/>
  <c r="H238"/>
  <c r="Z237"/>
  <c r="Y237"/>
  <c r="X237"/>
  <c r="V237"/>
  <c r="T237"/>
  <c r="R237"/>
  <c r="P237"/>
  <c r="N237"/>
  <c r="L237"/>
  <c r="K237"/>
  <c r="J237"/>
  <c r="I237"/>
  <c r="H237"/>
  <c r="H236"/>
  <c r="U235"/>
  <c r="S235"/>
  <c r="Q235"/>
  <c r="O235"/>
  <c r="M235"/>
  <c r="G235"/>
  <c r="F235"/>
  <c r="E235"/>
  <c r="D235"/>
  <c r="Z234"/>
  <c r="Y234"/>
  <c r="X234"/>
  <c r="V234"/>
  <c r="T234"/>
  <c r="R234"/>
  <c r="P234"/>
  <c r="N234"/>
  <c r="L234"/>
  <c r="K234"/>
  <c r="J234"/>
  <c r="I234"/>
  <c r="H234"/>
  <c r="Z233"/>
  <c r="Y233"/>
  <c r="X233"/>
  <c r="V233"/>
  <c r="T233"/>
  <c r="R233"/>
  <c r="P233"/>
  <c r="N233"/>
  <c r="L233"/>
  <c r="K233"/>
  <c r="J233"/>
  <c r="I233"/>
  <c r="H233"/>
  <c r="U232"/>
  <c r="S232"/>
  <c r="Q232"/>
  <c r="O232"/>
  <c r="M232"/>
  <c r="G232"/>
  <c r="F232"/>
  <c r="E232"/>
  <c r="D232"/>
  <c r="Z231"/>
  <c r="Y231"/>
  <c r="X231"/>
  <c r="V231"/>
  <c r="T231"/>
  <c r="R231"/>
  <c r="P231"/>
  <c r="N231"/>
  <c r="L231"/>
  <c r="K231"/>
  <c r="J231"/>
  <c r="I231"/>
  <c r="H231"/>
  <c r="Z230"/>
  <c r="Y230"/>
  <c r="X230"/>
  <c r="V230"/>
  <c r="T230"/>
  <c r="R230"/>
  <c r="P230"/>
  <c r="N230"/>
  <c r="L230"/>
  <c r="K230"/>
  <c r="J230"/>
  <c r="I230"/>
  <c r="H230"/>
  <c r="U229"/>
  <c r="S229"/>
  <c r="Q229"/>
  <c r="O229"/>
  <c r="M229"/>
  <c r="G229"/>
  <c r="F229"/>
  <c r="E229"/>
  <c r="D229"/>
  <c r="Z228"/>
  <c r="Y228"/>
  <c r="X228"/>
  <c r="V228"/>
  <c r="T228"/>
  <c r="R228"/>
  <c r="P228"/>
  <c r="N228"/>
  <c r="L228"/>
  <c r="K228"/>
  <c r="J228"/>
  <c r="I228"/>
  <c r="H228"/>
  <c r="U227"/>
  <c r="S227"/>
  <c r="Q227"/>
  <c r="O227"/>
  <c r="M227"/>
  <c r="G227"/>
  <c r="F227"/>
  <c r="E227"/>
  <c r="D227"/>
  <c r="U226"/>
  <c r="S226"/>
  <c r="Q226"/>
  <c r="O226"/>
  <c r="M226"/>
  <c r="G226"/>
  <c r="F226"/>
  <c r="E226"/>
  <c r="D226"/>
  <c r="Z225"/>
  <c r="Y225"/>
  <c r="X225"/>
  <c r="V225"/>
  <c r="T225"/>
  <c r="R225"/>
  <c r="P225"/>
  <c r="N225"/>
  <c r="L225"/>
  <c r="K225"/>
  <c r="J225"/>
  <c r="I225"/>
  <c r="H225"/>
  <c r="Z224"/>
  <c r="Y224"/>
  <c r="X224"/>
  <c r="V224"/>
  <c r="T224"/>
  <c r="R224"/>
  <c r="P224"/>
  <c r="N224"/>
  <c r="L224"/>
  <c r="K224"/>
  <c r="J224"/>
  <c r="I224"/>
  <c r="H224"/>
  <c r="Z223"/>
  <c r="Y223"/>
  <c r="X223"/>
  <c r="V223"/>
  <c r="T223"/>
  <c r="R223"/>
  <c r="P223"/>
  <c r="N223"/>
  <c r="L223"/>
  <c r="K223"/>
  <c r="J223"/>
  <c r="I223"/>
  <c r="H223"/>
  <c r="Z222"/>
  <c r="Y222"/>
  <c r="X222"/>
  <c r="V222"/>
  <c r="T222"/>
  <c r="R222"/>
  <c r="P222"/>
  <c r="N222"/>
  <c r="L222"/>
  <c r="K222"/>
  <c r="J222"/>
  <c r="I222"/>
  <c r="H222"/>
  <c r="U221"/>
  <c r="S221"/>
  <c r="Q221"/>
  <c r="O221"/>
  <c r="M221"/>
  <c r="G221"/>
  <c r="F221"/>
  <c r="E221"/>
  <c r="D221"/>
  <c r="Z220"/>
  <c r="Y220"/>
  <c r="X220"/>
  <c r="V220"/>
  <c r="T220"/>
  <c r="R220"/>
  <c r="P220"/>
  <c r="N220"/>
  <c r="L220"/>
  <c r="K220"/>
  <c r="J220"/>
  <c r="I220"/>
  <c r="H220"/>
  <c r="Z219"/>
  <c r="Y219"/>
  <c r="X219"/>
  <c r="V219"/>
  <c r="T219"/>
  <c r="R219"/>
  <c r="P219"/>
  <c r="N219"/>
  <c r="L219"/>
  <c r="K219"/>
  <c r="J219"/>
  <c r="I219"/>
  <c r="H219"/>
  <c r="Z218"/>
  <c r="Y218"/>
  <c r="X218"/>
  <c r="V218"/>
  <c r="T218"/>
  <c r="R218"/>
  <c r="P218"/>
  <c r="N218"/>
  <c r="L218"/>
  <c r="K218"/>
  <c r="J218"/>
  <c r="I218"/>
  <c r="H218"/>
  <c r="Z217"/>
  <c r="Y217"/>
  <c r="X217"/>
  <c r="V217"/>
  <c r="T217"/>
  <c r="R217"/>
  <c r="P217"/>
  <c r="N217"/>
  <c r="L217"/>
  <c r="K217"/>
  <c r="J217"/>
  <c r="I217"/>
  <c r="H217"/>
  <c r="Z216"/>
  <c r="Y216"/>
  <c r="X216"/>
  <c r="V216"/>
  <c r="T216"/>
  <c r="R216"/>
  <c r="P216"/>
  <c r="N216"/>
  <c r="L216"/>
  <c r="K216"/>
  <c r="J216"/>
  <c r="I216"/>
  <c r="H216"/>
  <c r="Z215"/>
  <c r="Y215"/>
  <c r="X215"/>
  <c r="V215"/>
  <c r="T215"/>
  <c r="R215"/>
  <c r="P215"/>
  <c r="N215"/>
  <c r="L215"/>
  <c r="K215"/>
  <c r="J215"/>
  <c r="I215"/>
  <c r="H215"/>
  <c r="Z214"/>
  <c r="Y214"/>
  <c r="X214"/>
  <c r="V214"/>
  <c r="T214"/>
  <c r="R214"/>
  <c r="P214"/>
  <c r="N214"/>
  <c r="L214"/>
  <c r="K214"/>
  <c r="J214"/>
  <c r="I214"/>
  <c r="H214"/>
  <c r="Z213"/>
  <c r="Y213"/>
  <c r="X213"/>
  <c r="V213"/>
  <c r="T213"/>
  <c r="R213"/>
  <c r="P213"/>
  <c r="N213"/>
  <c r="L213"/>
  <c r="K213"/>
  <c r="J213"/>
  <c r="I213"/>
  <c r="H213"/>
  <c r="Z212"/>
  <c r="Y212"/>
  <c r="X212"/>
  <c r="V212"/>
  <c r="T212"/>
  <c r="R212"/>
  <c r="P212"/>
  <c r="N212"/>
  <c r="L212"/>
  <c r="K212"/>
  <c r="J212"/>
  <c r="I212"/>
  <c r="H212"/>
  <c r="Z211"/>
  <c r="Y211"/>
  <c r="X211"/>
  <c r="V211"/>
  <c r="T211"/>
  <c r="R211"/>
  <c r="P211"/>
  <c r="N211"/>
  <c r="L211"/>
  <c r="K211"/>
  <c r="J211"/>
  <c r="I211"/>
  <c r="H211"/>
  <c r="Z210"/>
  <c r="Y210"/>
  <c r="X210"/>
  <c r="V210"/>
  <c r="T210"/>
  <c r="R210"/>
  <c r="P210"/>
  <c r="N210"/>
  <c r="L210"/>
  <c r="K210"/>
  <c r="J210"/>
  <c r="I210"/>
  <c r="H210"/>
  <c r="Z209"/>
  <c r="Y209"/>
  <c r="X209"/>
  <c r="V209"/>
  <c r="T209"/>
  <c r="R209"/>
  <c r="P209"/>
  <c r="N209"/>
  <c r="L209"/>
  <c r="K209"/>
  <c r="J209"/>
  <c r="I209"/>
  <c r="H209"/>
  <c r="Z208"/>
  <c r="Y208"/>
  <c r="X208"/>
  <c r="V208"/>
  <c r="T208"/>
  <c r="R208"/>
  <c r="P208"/>
  <c r="N208"/>
  <c r="L208"/>
  <c r="K208"/>
  <c r="J208"/>
  <c r="I208"/>
  <c r="H208"/>
  <c r="Z207"/>
  <c r="Y207"/>
  <c r="X207"/>
  <c r="V207"/>
  <c r="T207"/>
  <c r="R207"/>
  <c r="P207"/>
  <c r="N207"/>
  <c r="L207"/>
  <c r="K207"/>
  <c r="J207"/>
  <c r="I207"/>
  <c r="H207"/>
  <c r="Z206"/>
  <c r="Y206"/>
  <c r="X206"/>
  <c r="V206"/>
  <c r="T206"/>
  <c r="R206"/>
  <c r="P206"/>
  <c r="N206"/>
  <c r="L206"/>
  <c r="K206"/>
  <c r="J206"/>
  <c r="I206"/>
  <c r="H206"/>
  <c r="Z205"/>
  <c r="Y205"/>
  <c r="X205"/>
  <c r="V205"/>
  <c r="T205"/>
  <c r="R205"/>
  <c r="P205"/>
  <c r="N205"/>
  <c r="L205"/>
  <c r="K205"/>
  <c r="J205"/>
  <c r="I205"/>
  <c r="H205"/>
  <c r="U204"/>
  <c r="S204"/>
  <c r="Q204"/>
  <c r="O204"/>
  <c r="M204"/>
  <c r="G204"/>
  <c r="F204"/>
  <c r="E204"/>
  <c r="D204"/>
  <c r="Z203"/>
  <c r="Y203"/>
  <c r="X203"/>
  <c r="V203"/>
  <c r="T203"/>
  <c r="R203"/>
  <c r="P203"/>
  <c r="N203"/>
  <c r="L203"/>
  <c r="K203"/>
  <c r="J203"/>
  <c r="I203"/>
  <c r="H203"/>
  <c r="Z202"/>
  <c r="Y202"/>
  <c r="X202"/>
  <c r="V202"/>
  <c r="T202"/>
  <c r="R202"/>
  <c r="P202"/>
  <c r="N202"/>
  <c r="L202"/>
  <c r="K202"/>
  <c r="J202"/>
  <c r="I202"/>
  <c r="H202"/>
  <c r="U201"/>
  <c r="T201"/>
  <c r="S201"/>
  <c r="R201"/>
  <c r="Q201"/>
  <c r="P201"/>
  <c r="O201"/>
  <c r="N201"/>
  <c r="M201"/>
  <c r="G201"/>
  <c r="F201"/>
  <c r="E201"/>
  <c r="D201"/>
  <c r="Z200"/>
  <c r="Y200"/>
  <c r="X200"/>
  <c r="V200"/>
  <c r="T200"/>
  <c r="R200"/>
  <c r="P200"/>
  <c r="N200"/>
  <c r="L200"/>
  <c r="K200"/>
  <c r="J200"/>
  <c r="I200"/>
  <c r="H200"/>
  <c r="Z199"/>
  <c r="Y199"/>
  <c r="X199"/>
  <c r="V199"/>
  <c r="T199"/>
  <c r="R199"/>
  <c r="P199"/>
  <c r="N199"/>
  <c r="L199"/>
  <c r="K199"/>
  <c r="J199"/>
  <c r="I199"/>
  <c r="H199"/>
  <c r="U198"/>
  <c r="S198"/>
  <c r="Q198"/>
  <c r="O198"/>
  <c r="M198"/>
  <c r="G198"/>
  <c r="F198"/>
  <c r="E198"/>
  <c r="D198"/>
  <c r="Z197"/>
  <c r="Y197"/>
  <c r="X197"/>
  <c r="V197"/>
  <c r="T197"/>
  <c r="R197"/>
  <c r="P197"/>
  <c r="N197"/>
  <c r="L197"/>
  <c r="K197"/>
  <c r="J197"/>
  <c r="I197"/>
  <c r="H197"/>
  <c r="Z196"/>
  <c r="Y196"/>
  <c r="X196"/>
  <c r="V196"/>
  <c r="T196"/>
  <c r="R196"/>
  <c r="P196"/>
  <c r="N196"/>
  <c r="L196"/>
  <c r="K196"/>
  <c r="J196"/>
  <c r="I196"/>
  <c r="H196"/>
  <c r="Z195"/>
  <c r="Y195"/>
  <c r="X195"/>
  <c r="V195"/>
  <c r="T195"/>
  <c r="R195"/>
  <c r="P195"/>
  <c r="N195"/>
  <c r="L195"/>
  <c r="K195"/>
  <c r="J195"/>
  <c r="I195"/>
  <c r="H195"/>
  <c r="Z194"/>
  <c r="Y194"/>
  <c r="X194"/>
  <c r="V194"/>
  <c r="T194"/>
  <c r="R194"/>
  <c r="P194"/>
  <c r="N194"/>
  <c r="L194"/>
  <c r="K194"/>
  <c r="J194"/>
  <c r="I194"/>
  <c r="H194"/>
  <c r="Z193"/>
  <c r="Y193"/>
  <c r="X193"/>
  <c r="V193"/>
  <c r="T193"/>
  <c r="R193"/>
  <c r="P193"/>
  <c r="N193"/>
  <c r="L193"/>
  <c r="K193"/>
  <c r="J193"/>
  <c r="I193"/>
  <c r="H193"/>
  <c r="Z192"/>
  <c r="Y192"/>
  <c r="X192"/>
  <c r="V192"/>
  <c r="T192"/>
  <c r="R192"/>
  <c r="P192"/>
  <c r="N192"/>
  <c r="L192"/>
  <c r="K192"/>
  <c r="J192"/>
  <c r="I192"/>
  <c r="H192"/>
  <c r="Z191"/>
  <c r="Y191"/>
  <c r="X191"/>
  <c r="V191"/>
  <c r="T191"/>
  <c r="R191"/>
  <c r="P191"/>
  <c r="N191"/>
  <c r="L191"/>
  <c r="K191"/>
  <c r="J191"/>
  <c r="I191"/>
  <c r="H191"/>
  <c r="Z190"/>
  <c r="Y190"/>
  <c r="X190"/>
  <c r="V190"/>
  <c r="T190"/>
  <c r="R190"/>
  <c r="P190"/>
  <c r="N190"/>
  <c r="L190"/>
  <c r="K190"/>
  <c r="J190"/>
  <c r="I190"/>
  <c r="H190"/>
  <c r="Z189"/>
  <c r="Y189"/>
  <c r="X189"/>
  <c r="V189"/>
  <c r="T189"/>
  <c r="R189"/>
  <c r="P189"/>
  <c r="N189"/>
  <c r="L189"/>
  <c r="K189"/>
  <c r="J189"/>
  <c r="I189"/>
  <c r="H189"/>
  <c r="Z188"/>
  <c r="Y188"/>
  <c r="X188"/>
  <c r="V188"/>
  <c r="T188"/>
  <c r="R188"/>
  <c r="P188"/>
  <c r="N188"/>
  <c r="L188"/>
  <c r="K188"/>
  <c r="J188"/>
  <c r="I188"/>
  <c r="H188"/>
  <c r="Z187"/>
  <c r="Y187"/>
  <c r="X187"/>
  <c r="V187"/>
  <c r="T187"/>
  <c r="R187"/>
  <c r="P187"/>
  <c r="N187"/>
  <c r="L187"/>
  <c r="K187"/>
  <c r="J187"/>
  <c r="I187"/>
  <c r="H187"/>
  <c r="Z186"/>
  <c r="Y186"/>
  <c r="X186"/>
  <c r="V186"/>
  <c r="T186"/>
  <c r="R186"/>
  <c r="P186"/>
  <c r="N186"/>
  <c r="L186"/>
  <c r="K186"/>
  <c r="J186"/>
  <c r="I186"/>
  <c r="H186"/>
  <c r="Z185"/>
  <c r="Y185"/>
  <c r="X185"/>
  <c r="V185"/>
  <c r="T185"/>
  <c r="R185"/>
  <c r="P185"/>
  <c r="N185"/>
  <c r="L185"/>
  <c r="K185"/>
  <c r="J185"/>
  <c r="I185"/>
  <c r="H185"/>
  <c r="Z184"/>
  <c r="Y184"/>
  <c r="X184"/>
  <c r="V184"/>
  <c r="T184"/>
  <c r="R184"/>
  <c r="P184"/>
  <c r="N184"/>
  <c r="L184"/>
  <c r="K184"/>
  <c r="J184"/>
  <c r="I184"/>
  <c r="H184"/>
  <c r="U183"/>
  <c r="S183"/>
  <c r="Q183"/>
  <c r="O183"/>
  <c r="M183"/>
  <c r="G183"/>
  <c r="F183"/>
  <c r="E183"/>
  <c r="D183"/>
  <c r="C183"/>
  <c r="Z182"/>
  <c r="Y182"/>
  <c r="X182"/>
  <c r="V182"/>
  <c r="T182"/>
  <c r="R182"/>
  <c r="P182"/>
  <c r="N182"/>
  <c r="L182"/>
  <c r="K182"/>
  <c r="J182"/>
  <c r="I182"/>
  <c r="H182"/>
  <c r="Z181"/>
  <c r="Y181"/>
  <c r="X181"/>
  <c r="V181"/>
  <c r="T181"/>
  <c r="R181"/>
  <c r="P181"/>
  <c r="N181"/>
  <c r="L181"/>
  <c r="K181"/>
  <c r="J181"/>
  <c r="I181"/>
  <c r="H181"/>
  <c r="Z180"/>
  <c r="Y180"/>
  <c r="X180"/>
  <c r="V180"/>
  <c r="T180"/>
  <c r="R180"/>
  <c r="P180"/>
  <c r="N180"/>
  <c r="L180"/>
  <c r="K180"/>
  <c r="J180"/>
  <c r="I180"/>
  <c r="H180"/>
  <c r="Z179"/>
  <c r="Y179"/>
  <c r="X179"/>
  <c r="V179"/>
  <c r="T179"/>
  <c r="R179"/>
  <c r="P179"/>
  <c r="N179"/>
  <c r="L179"/>
  <c r="K179"/>
  <c r="J179"/>
  <c r="I179"/>
  <c r="H179"/>
  <c r="Z178"/>
  <c r="Y178"/>
  <c r="X178"/>
  <c r="V178"/>
  <c r="T178"/>
  <c r="R178"/>
  <c r="P178"/>
  <c r="N178"/>
  <c r="L178"/>
  <c r="K178"/>
  <c r="J178"/>
  <c r="I178"/>
  <c r="H178"/>
  <c r="Z177"/>
  <c r="Y177"/>
  <c r="X177"/>
  <c r="V177"/>
  <c r="T177"/>
  <c r="R177"/>
  <c r="P177"/>
  <c r="N177"/>
  <c r="L177"/>
  <c r="K177"/>
  <c r="J177"/>
  <c r="I177"/>
  <c r="H177"/>
  <c r="Z176"/>
  <c r="Y176"/>
  <c r="X176"/>
  <c r="V176"/>
  <c r="T176"/>
  <c r="R176"/>
  <c r="P176"/>
  <c r="N176"/>
  <c r="L176"/>
  <c r="K176"/>
  <c r="J176"/>
  <c r="I176"/>
  <c r="H176"/>
  <c r="Z175"/>
  <c r="Y175"/>
  <c r="X175"/>
  <c r="V175"/>
  <c r="T175"/>
  <c r="R175"/>
  <c r="P175"/>
  <c r="N175"/>
  <c r="L175"/>
  <c r="K175"/>
  <c r="J175"/>
  <c r="I175"/>
  <c r="H175"/>
  <c r="Z174"/>
  <c r="Y174"/>
  <c r="X174"/>
  <c r="V174"/>
  <c r="T174"/>
  <c r="R174"/>
  <c r="P174"/>
  <c r="N174"/>
  <c r="L174"/>
  <c r="K174"/>
  <c r="J174"/>
  <c r="I174"/>
  <c r="H174"/>
  <c r="Z173"/>
  <c r="Y173"/>
  <c r="X173"/>
  <c r="V173"/>
  <c r="T173"/>
  <c r="R173"/>
  <c r="P173"/>
  <c r="N173"/>
  <c r="L173"/>
  <c r="K173"/>
  <c r="J173"/>
  <c r="I173"/>
  <c r="H173"/>
  <c r="Z172"/>
  <c r="Y172"/>
  <c r="X172"/>
  <c r="V172"/>
  <c r="T172"/>
  <c r="R172"/>
  <c r="P172"/>
  <c r="N172"/>
  <c r="L172"/>
  <c r="K172"/>
  <c r="J172"/>
  <c r="I172"/>
  <c r="H172"/>
  <c r="Z171"/>
  <c r="Y171"/>
  <c r="X171"/>
  <c r="V171"/>
  <c r="T171"/>
  <c r="R171"/>
  <c r="P171"/>
  <c r="N171"/>
  <c r="L171"/>
  <c r="K171"/>
  <c r="J171"/>
  <c r="I171"/>
  <c r="H171"/>
  <c r="Z170"/>
  <c r="Y170"/>
  <c r="X170"/>
  <c r="V170"/>
  <c r="T170"/>
  <c r="R170"/>
  <c r="P170"/>
  <c r="N170"/>
  <c r="L170"/>
  <c r="K170"/>
  <c r="J170"/>
  <c r="I170"/>
  <c r="H170"/>
  <c r="Z169"/>
  <c r="Y169"/>
  <c r="X169"/>
  <c r="V169"/>
  <c r="T169"/>
  <c r="R169"/>
  <c r="P169"/>
  <c r="N169"/>
  <c r="L169"/>
  <c r="K169"/>
  <c r="J169"/>
  <c r="I169"/>
  <c r="H169"/>
  <c r="Z168"/>
  <c r="Y168"/>
  <c r="X168"/>
  <c r="V168"/>
  <c r="T168"/>
  <c r="R168"/>
  <c r="P168"/>
  <c r="N168"/>
  <c r="L168"/>
  <c r="K168"/>
  <c r="J168"/>
  <c r="I168"/>
  <c r="H168"/>
  <c r="Z167"/>
  <c r="Y167"/>
  <c r="X167"/>
  <c r="V167"/>
  <c r="T167"/>
  <c r="R167"/>
  <c r="P167"/>
  <c r="N167"/>
  <c r="L167"/>
  <c r="K167"/>
  <c r="J167"/>
  <c r="I167"/>
  <c r="H167"/>
  <c r="Z166"/>
  <c r="Y166"/>
  <c r="X166"/>
  <c r="V166"/>
  <c r="T166"/>
  <c r="R166"/>
  <c r="P166"/>
  <c r="N166"/>
  <c r="L166"/>
  <c r="K166"/>
  <c r="J166"/>
  <c r="I166"/>
  <c r="H166"/>
  <c r="Z165"/>
  <c r="Y165"/>
  <c r="X165"/>
  <c r="V165"/>
  <c r="T165"/>
  <c r="R165"/>
  <c r="P165"/>
  <c r="N165"/>
  <c r="L165"/>
  <c r="K165"/>
  <c r="J165"/>
  <c r="I165"/>
  <c r="H165"/>
  <c r="Z164"/>
  <c r="Y164"/>
  <c r="X164"/>
  <c r="V164"/>
  <c r="T164"/>
  <c r="R164"/>
  <c r="P164"/>
  <c r="N164"/>
  <c r="L164"/>
  <c r="K164"/>
  <c r="J164"/>
  <c r="I164"/>
  <c r="H164"/>
  <c r="Z163"/>
  <c r="Y163"/>
  <c r="X163"/>
  <c r="V163"/>
  <c r="T163"/>
  <c r="R163"/>
  <c r="P163"/>
  <c r="N163"/>
  <c r="L163"/>
  <c r="K163"/>
  <c r="J163"/>
  <c r="I163"/>
  <c r="H163"/>
  <c r="Z162"/>
  <c r="Y162"/>
  <c r="X162"/>
  <c r="V162"/>
  <c r="T162"/>
  <c r="R162"/>
  <c r="P162"/>
  <c r="N162"/>
  <c r="L162"/>
  <c r="K162"/>
  <c r="J162"/>
  <c r="I162"/>
  <c r="H162"/>
  <c r="Z161"/>
  <c r="Y161"/>
  <c r="X161"/>
  <c r="V161"/>
  <c r="T161"/>
  <c r="R161"/>
  <c r="P161"/>
  <c r="N161"/>
  <c r="L161"/>
  <c r="K161"/>
  <c r="J161"/>
  <c r="I161"/>
  <c r="H161"/>
  <c r="Z160"/>
  <c r="Y160"/>
  <c r="X160"/>
  <c r="V160"/>
  <c r="T160"/>
  <c r="R160"/>
  <c r="P160"/>
  <c r="N160"/>
  <c r="L160"/>
  <c r="K160"/>
  <c r="J160"/>
  <c r="I160"/>
  <c r="H160"/>
  <c r="Z159"/>
  <c r="Y159"/>
  <c r="X159"/>
  <c r="V159"/>
  <c r="T159"/>
  <c r="R159"/>
  <c r="P159"/>
  <c r="N159"/>
  <c r="L159"/>
  <c r="K159"/>
  <c r="J159"/>
  <c r="I159"/>
  <c r="H159"/>
  <c r="Z158"/>
  <c r="Y158"/>
  <c r="X158"/>
  <c r="V158"/>
  <c r="T158"/>
  <c r="R158"/>
  <c r="P158"/>
  <c r="N158"/>
  <c r="L158"/>
  <c r="K158"/>
  <c r="J158"/>
  <c r="I158"/>
  <c r="H158"/>
  <c r="Z157"/>
  <c r="Y157"/>
  <c r="X157"/>
  <c r="V157"/>
  <c r="T157"/>
  <c r="R157"/>
  <c r="P157"/>
  <c r="N157"/>
  <c r="L157"/>
  <c r="K157"/>
  <c r="J157"/>
  <c r="I157"/>
  <c r="H157"/>
  <c r="Z156"/>
  <c r="Y156"/>
  <c r="X156"/>
  <c r="V156"/>
  <c r="T156"/>
  <c r="R156"/>
  <c r="P156"/>
  <c r="N156"/>
  <c r="L156"/>
  <c r="K156"/>
  <c r="J156"/>
  <c r="I156"/>
  <c r="H156"/>
  <c r="Z155"/>
  <c r="Y155"/>
  <c r="X155"/>
  <c r="V155"/>
  <c r="T155"/>
  <c r="R155"/>
  <c r="P155"/>
  <c r="N155"/>
  <c r="L155"/>
  <c r="K155"/>
  <c r="J155"/>
  <c r="I155"/>
  <c r="H155"/>
  <c r="U154"/>
  <c r="S154"/>
  <c r="Q154"/>
  <c r="O154"/>
  <c r="M154"/>
  <c r="G154"/>
  <c r="F154"/>
  <c r="E154"/>
  <c r="D154"/>
  <c r="Z153"/>
  <c r="Y153"/>
  <c r="X153"/>
  <c r="V153"/>
  <c r="T153"/>
  <c r="R153"/>
  <c r="P153"/>
  <c r="N153"/>
  <c r="L153"/>
  <c r="K153"/>
  <c r="J153"/>
  <c r="I153"/>
  <c r="H153"/>
  <c r="Z152"/>
  <c r="Y152"/>
  <c r="X152"/>
  <c r="V152"/>
  <c r="T152"/>
  <c r="R152"/>
  <c r="P152"/>
  <c r="N152"/>
  <c r="L152"/>
  <c r="K152"/>
  <c r="J152"/>
  <c r="I152"/>
  <c r="H152"/>
  <c r="Z151"/>
  <c r="Y151"/>
  <c r="X151"/>
  <c r="V151"/>
  <c r="T151"/>
  <c r="R151"/>
  <c r="P151"/>
  <c r="N151"/>
  <c r="L151"/>
  <c r="K151"/>
  <c r="J151"/>
  <c r="I151"/>
  <c r="H151"/>
  <c r="Z150"/>
  <c r="Y150"/>
  <c r="X150"/>
  <c r="V150"/>
  <c r="T150"/>
  <c r="R150"/>
  <c r="P150"/>
  <c r="N150"/>
  <c r="L150"/>
  <c r="K150"/>
  <c r="J150"/>
  <c r="I150"/>
  <c r="H150"/>
  <c r="Z149"/>
  <c r="Y149"/>
  <c r="X149"/>
  <c r="V149"/>
  <c r="T149"/>
  <c r="R149"/>
  <c r="P149"/>
  <c r="N149"/>
  <c r="L149"/>
  <c r="K149"/>
  <c r="J149"/>
  <c r="I149"/>
  <c r="H149"/>
  <c r="Z148"/>
  <c r="Y148"/>
  <c r="X148"/>
  <c r="V148"/>
  <c r="T148"/>
  <c r="R148"/>
  <c r="P148"/>
  <c r="N148"/>
  <c r="L148"/>
  <c r="K148"/>
  <c r="J148"/>
  <c r="I148"/>
  <c r="H148"/>
  <c r="Z147"/>
  <c r="Y147"/>
  <c r="X147"/>
  <c r="V147"/>
  <c r="T147"/>
  <c r="R147"/>
  <c r="P147"/>
  <c r="N147"/>
  <c r="L147"/>
  <c r="K147"/>
  <c r="J147"/>
  <c r="I147"/>
  <c r="H147"/>
  <c r="Z146"/>
  <c r="Y146"/>
  <c r="X146"/>
  <c r="V146"/>
  <c r="T146"/>
  <c r="R146"/>
  <c r="P146"/>
  <c r="N146"/>
  <c r="L146"/>
  <c r="K146"/>
  <c r="J146"/>
  <c r="I146"/>
  <c r="H146"/>
  <c r="Z145"/>
  <c r="Y145"/>
  <c r="X145"/>
  <c r="V145"/>
  <c r="T145"/>
  <c r="R145"/>
  <c r="P145"/>
  <c r="N145"/>
  <c r="L145"/>
  <c r="K145"/>
  <c r="J145"/>
  <c r="I145"/>
  <c r="H145"/>
  <c r="Z144"/>
  <c r="Y144"/>
  <c r="X144"/>
  <c r="V144"/>
  <c r="T144"/>
  <c r="R144"/>
  <c r="P144"/>
  <c r="N144"/>
  <c r="L144"/>
  <c r="K144"/>
  <c r="J144"/>
  <c r="I144"/>
  <c r="H144"/>
  <c r="Z143"/>
  <c r="Y143"/>
  <c r="X143"/>
  <c r="V143"/>
  <c r="T143"/>
  <c r="R143"/>
  <c r="P143"/>
  <c r="N143"/>
  <c r="L143"/>
  <c r="K143"/>
  <c r="J143"/>
  <c r="I143"/>
  <c r="H143"/>
  <c r="Z142"/>
  <c r="Y142"/>
  <c r="X142"/>
  <c r="V142"/>
  <c r="T142"/>
  <c r="R142"/>
  <c r="P142"/>
  <c r="N142"/>
  <c r="L142"/>
  <c r="K142"/>
  <c r="J142"/>
  <c r="I142"/>
  <c r="H142"/>
  <c r="Z141"/>
  <c r="Y141"/>
  <c r="X141"/>
  <c r="V141"/>
  <c r="T141"/>
  <c r="R141"/>
  <c r="P141"/>
  <c r="N141"/>
  <c r="L141"/>
  <c r="K141"/>
  <c r="J141"/>
  <c r="I141"/>
  <c r="H141"/>
  <c r="Z140"/>
  <c r="Y140"/>
  <c r="X140"/>
  <c r="V140"/>
  <c r="T140"/>
  <c r="R140"/>
  <c r="P140"/>
  <c r="N140"/>
  <c r="L140"/>
  <c r="K140"/>
  <c r="J140"/>
  <c r="I140"/>
  <c r="H140"/>
  <c r="Z139"/>
  <c r="Y139"/>
  <c r="X139"/>
  <c r="V139"/>
  <c r="T139"/>
  <c r="R139"/>
  <c r="P139"/>
  <c r="N139"/>
  <c r="L139"/>
  <c r="K139"/>
  <c r="J139"/>
  <c r="I139"/>
  <c r="H139"/>
  <c r="Z138"/>
  <c r="Y138"/>
  <c r="X138"/>
  <c r="V138"/>
  <c r="T138"/>
  <c r="R138"/>
  <c r="P138"/>
  <c r="N138"/>
  <c r="L138"/>
  <c r="K138"/>
  <c r="J138"/>
  <c r="I138"/>
  <c r="H138"/>
  <c r="Z137"/>
  <c r="Y137"/>
  <c r="X137"/>
  <c r="V137"/>
  <c r="T137"/>
  <c r="R137"/>
  <c r="P137"/>
  <c r="N137"/>
  <c r="L137"/>
  <c r="K137"/>
  <c r="J137"/>
  <c r="I137"/>
  <c r="H137"/>
  <c r="Z136"/>
  <c r="Y136"/>
  <c r="X136"/>
  <c r="V136"/>
  <c r="T136"/>
  <c r="R136"/>
  <c r="P136"/>
  <c r="N136"/>
  <c r="L136"/>
  <c r="K136"/>
  <c r="J136"/>
  <c r="I136"/>
  <c r="H136"/>
  <c r="Z135"/>
  <c r="Y135"/>
  <c r="X135"/>
  <c r="V135"/>
  <c r="T135"/>
  <c r="R135"/>
  <c r="P135"/>
  <c r="N135"/>
  <c r="L135"/>
  <c r="K135"/>
  <c r="J135"/>
  <c r="I135"/>
  <c r="H135"/>
  <c r="Z134"/>
  <c r="Y134"/>
  <c r="X134"/>
  <c r="V134"/>
  <c r="T134"/>
  <c r="R134"/>
  <c r="P134"/>
  <c r="N134"/>
  <c r="L134"/>
  <c r="K134"/>
  <c r="J134"/>
  <c r="I134"/>
  <c r="H134"/>
  <c r="Z133"/>
  <c r="Y133"/>
  <c r="X133"/>
  <c r="V133"/>
  <c r="T133"/>
  <c r="R133"/>
  <c r="P133"/>
  <c r="N133"/>
  <c r="L133"/>
  <c r="K133"/>
  <c r="J133"/>
  <c r="I133"/>
  <c r="H133"/>
  <c r="Z132"/>
  <c r="Y132"/>
  <c r="X132"/>
  <c r="V132"/>
  <c r="T132"/>
  <c r="R132"/>
  <c r="P132"/>
  <c r="N132"/>
  <c r="L132"/>
  <c r="K132"/>
  <c r="J132"/>
  <c r="I132"/>
  <c r="H132"/>
  <c r="Z131"/>
  <c r="Y131"/>
  <c r="X131"/>
  <c r="V131"/>
  <c r="T131"/>
  <c r="R131"/>
  <c r="P131"/>
  <c r="N131"/>
  <c r="L131"/>
  <c r="K131"/>
  <c r="J131"/>
  <c r="I131"/>
  <c r="H131"/>
  <c r="Z130"/>
  <c r="Y130"/>
  <c r="X130"/>
  <c r="V130"/>
  <c r="T130"/>
  <c r="R130"/>
  <c r="P130"/>
  <c r="N130"/>
  <c r="L130"/>
  <c r="K130"/>
  <c r="J130"/>
  <c r="I130"/>
  <c r="H130"/>
  <c r="U129"/>
  <c r="S129"/>
  <c r="Q129"/>
  <c r="O129"/>
  <c r="M129"/>
  <c r="G129"/>
  <c r="F129"/>
  <c r="E129"/>
  <c r="D129"/>
  <c r="Z128"/>
  <c r="Y128"/>
  <c r="X128"/>
  <c r="V128"/>
  <c r="T128"/>
  <c r="R128"/>
  <c r="P128"/>
  <c r="N128"/>
  <c r="L128"/>
  <c r="K128"/>
  <c r="J128"/>
  <c r="I128"/>
  <c r="H128"/>
  <c r="Z127"/>
  <c r="Y127"/>
  <c r="X127"/>
  <c r="V127"/>
  <c r="T127"/>
  <c r="R127"/>
  <c r="P127"/>
  <c r="N127"/>
  <c r="L127"/>
  <c r="K127"/>
  <c r="J127"/>
  <c r="I127"/>
  <c r="H127"/>
  <c r="Z126"/>
  <c r="Y126"/>
  <c r="X126"/>
  <c r="V126"/>
  <c r="T126"/>
  <c r="R126"/>
  <c r="P126"/>
  <c r="N126"/>
  <c r="L126"/>
  <c r="K126"/>
  <c r="J126"/>
  <c r="I126"/>
  <c r="H126"/>
  <c r="Z125"/>
  <c r="Y125"/>
  <c r="X125"/>
  <c r="V125"/>
  <c r="T125"/>
  <c r="R125"/>
  <c r="P125"/>
  <c r="N125"/>
  <c r="L125"/>
  <c r="K125"/>
  <c r="J125"/>
  <c r="I125"/>
  <c r="H125"/>
  <c r="Z124"/>
  <c r="Y124"/>
  <c r="X124"/>
  <c r="V124"/>
  <c r="T124"/>
  <c r="R124"/>
  <c r="P124"/>
  <c r="N124"/>
  <c r="L124"/>
  <c r="K124"/>
  <c r="J124"/>
  <c r="I124"/>
  <c r="H124"/>
  <c r="Z123"/>
  <c r="Y123"/>
  <c r="X123"/>
  <c r="V123"/>
  <c r="T123"/>
  <c r="R123"/>
  <c r="P123"/>
  <c r="N123"/>
  <c r="L123"/>
  <c r="K123"/>
  <c r="J123"/>
  <c r="I123"/>
  <c r="H123"/>
  <c r="G122"/>
  <c r="F122"/>
  <c r="E122"/>
  <c r="D122"/>
  <c r="Z121"/>
  <c r="Y121"/>
  <c r="X121"/>
  <c r="V121"/>
  <c r="T121"/>
  <c r="R121"/>
  <c r="P121"/>
  <c r="N121"/>
  <c r="L121"/>
  <c r="K121"/>
  <c r="J121"/>
  <c r="I121"/>
  <c r="H121"/>
  <c r="Z120"/>
  <c r="Y120"/>
  <c r="X120"/>
  <c r="V120"/>
  <c r="T120"/>
  <c r="R120"/>
  <c r="P120"/>
  <c r="N120"/>
  <c r="L120"/>
  <c r="K120"/>
  <c r="J120"/>
  <c r="I120"/>
  <c r="H120"/>
  <c r="Z119"/>
  <c r="Y119"/>
  <c r="X119"/>
  <c r="V119"/>
  <c r="T119"/>
  <c r="R119"/>
  <c r="P119"/>
  <c r="N119"/>
  <c r="L119"/>
  <c r="K119"/>
  <c r="J119"/>
  <c r="I119"/>
  <c r="H119"/>
  <c r="Z118"/>
  <c r="Y118"/>
  <c r="X118"/>
  <c r="V118"/>
  <c r="T118"/>
  <c r="R118"/>
  <c r="P118"/>
  <c r="N118"/>
  <c r="L118"/>
  <c r="K118"/>
  <c r="J118"/>
  <c r="I118"/>
  <c r="H118"/>
  <c r="Z117"/>
  <c r="Y117"/>
  <c r="X117"/>
  <c r="V117"/>
  <c r="T117"/>
  <c r="R117"/>
  <c r="P117"/>
  <c r="N117"/>
  <c r="L117"/>
  <c r="K117"/>
  <c r="J117"/>
  <c r="I117"/>
  <c r="H117"/>
  <c r="Z116"/>
  <c r="Y116"/>
  <c r="X116"/>
  <c r="V116"/>
  <c r="T116"/>
  <c r="R116"/>
  <c r="P116"/>
  <c r="N116"/>
  <c r="L116"/>
  <c r="K116"/>
  <c r="J116"/>
  <c r="I116"/>
  <c r="H116"/>
  <c r="Z115"/>
  <c r="Y115"/>
  <c r="X115"/>
  <c r="V115"/>
  <c r="T115"/>
  <c r="R115"/>
  <c r="P115"/>
  <c r="N115"/>
  <c r="L115"/>
  <c r="K115"/>
  <c r="J115"/>
  <c r="I115"/>
  <c r="H115"/>
  <c r="Z114"/>
  <c r="Y114"/>
  <c r="X114"/>
  <c r="V114"/>
  <c r="T114"/>
  <c r="R114"/>
  <c r="P114"/>
  <c r="N114"/>
  <c r="L114"/>
  <c r="K114"/>
  <c r="J114"/>
  <c r="I114"/>
  <c r="H114"/>
  <c r="Z113"/>
  <c r="Y113"/>
  <c r="X113"/>
  <c r="V113"/>
  <c r="T113"/>
  <c r="R113"/>
  <c r="P113"/>
  <c r="N113"/>
  <c r="L113"/>
  <c r="K113"/>
  <c r="J113"/>
  <c r="I113"/>
  <c r="H113"/>
  <c r="Z112"/>
  <c r="Y112"/>
  <c r="X112"/>
  <c r="V112"/>
  <c r="T112"/>
  <c r="R112"/>
  <c r="P112"/>
  <c r="N112"/>
  <c r="L112"/>
  <c r="K112"/>
  <c r="J112"/>
  <c r="I112"/>
  <c r="H112"/>
  <c r="Z111"/>
  <c r="Y111"/>
  <c r="X111"/>
  <c r="V111"/>
  <c r="T111"/>
  <c r="R111"/>
  <c r="P111"/>
  <c r="N111"/>
  <c r="L111"/>
  <c r="K111"/>
  <c r="J111"/>
  <c r="I111"/>
  <c r="H111"/>
  <c r="Z110"/>
  <c r="Y110"/>
  <c r="X110"/>
  <c r="V110"/>
  <c r="T110"/>
  <c r="R110"/>
  <c r="P110"/>
  <c r="N110"/>
  <c r="L110"/>
  <c r="K110"/>
  <c r="J110"/>
  <c r="I110"/>
  <c r="H110"/>
  <c r="Z109"/>
  <c r="Y109"/>
  <c r="X109"/>
  <c r="V109"/>
  <c r="T109"/>
  <c r="R109"/>
  <c r="P109"/>
  <c r="N109"/>
  <c r="L109"/>
  <c r="K109"/>
  <c r="J109"/>
  <c r="I109"/>
  <c r="H109"/>
  <c r="Z108"/>
  <c r="Y108"/>
  <c r="X108"/>
  <c r="V108"/>
  <c r="T108"/>
  <c r="R108"/>
  <c r="P108"/>
  <c r="N108"/>
  <c r="L108"/>
  <c r="K108"/>
  <c r="J108"/>
  <c r="I108"/>
  <c r="H108"/>
  <c r="Z107"/>
  <c r="Y107"/>
  <c r="X107"/>
  <c r="V107"/>
  <c r="T107"/>
  <c r="R107"/>
  <c r="P107"/>
  <c r="N107"/>
  <c r="L107"/>
  <c r="K107"/>
  <c r="J107"/>
  <c r="I107"/>
  <c r="H107"/>
  <c r="U106"/>
  <c r="S106"/>
  <c r="Q106"/>
  <c r="O106"/>
  <c r="M106"/>
  <c r="G106"/>
  <c r="F106"/>
  <c r="E106"/>
  <c r="D106"/>
  <c r="Z105"/>
  <c r="Y105"/>
  <c r="X105"/>
  <c r="V105"/>
  <c r="T105"/>
  <c r="R105"/>
  <c r="P105"/>
  <c r="N105"/>
  <c r="L105"/>
  <c r="K105"/>
  <c r="J105"/>
  <c r="I105"/>
  <c r="H105"/>
  <c r="Z104"/>
  <c r="Y104"/>
  <c r="X104"/>
  <c r="V104"/>
  <c r="T104"/>
  <c r="R104"/>
  <c r="P104"/>
  <c r="N104"/>
  <c r="L104"/>
  <c r="K104"/>
  <c r="J104"/>
  <c r="I104"/>
  <c r="H104"/>
  <c r="Z103"/>
  <c r="Y103"/>
  <c r="X103"/>
  <c r="V103"/>
  <c r="T103"/>
  <c r="R103"/>
  <c r="P103"/>
  <c r="N103"/>
  <c r="L103"/>
  <c r="K103"/>
  <c r="J103"/>
  <c r="I103"/>
  <c r="H103"/>
  <c r="Z102"/>
  <c r="Y102"/>
  <c r="X102"/>
  <c r="V102"/>
  <c r="T102"/>
  <c r="R102"/>
  <c r="P102"/>
  <c r="N102"/>
  <c r="L102"/>
  <c r="K102"/>
  <c r="J102"/>
  <c r="I102"/>
  <c r="H102"/>
  <c r="Z101"/>
  <c r="Y101"/>
  <c r="X101"/>
  <c r="V101"/>
  <c r="T101"/>
  <c r="R101"/>
  <c r="P101"/>
  <c r="N101"/>
  <c r="L101"/>
  <c r="K101"/>
  <c r="J101"/>
  <c r="I101"/>
  <c r="H101"/>
  <c r="Z100"/>
  <c r="Y100"/>
  <c r="X100"/>
  <c r="V100"/>
  <c r="T100"/>
  <c r="R100"/>
  <c r="P100"/>
  <c r="N100"/>
  <c r="L100"/>
  <c r="K100"/>
  <c r="J100"/>
  <c r="I100"/>
  <c r="H100"/>
  <c r="Z99"/>
  <c r="Y99"/>
  <c r="X99"/>
  <c r="V99"/>
  <c r="T99"/>
  <c r="R99"/>
  <c r="P99"/>
  <c r="N99"/>
  <c r="L99"/>
  <c r="K99"/>
  <c r="J99"/>
  <c r="I99"/>
  <c r="H99"/>
  <c r="Z98"/>
  <c r="Y98"/>
  <c r="X98"/>
  <c r="V98"/>
  <c r="T98"/>
  <c r="R98"/>
  <c r="P98"/>
  <c r="N98"/>
  <c r="L98"/>
  <c r="K98"/>
  <c r="J98"/>
  <c r="I98"/>
  <c r="H98"/>
  <c r="Z97"/>
  <c r="Y97"/>
  <c r="X97"/>
  <c r="V97"/>
  <c r="T97"/>
  <c r="R97"/>
  <c r="P97"/>
  <c r="N97"/>
  <c r="L97"/>
  <c r="K97"/>
  <c r="J97"/>
  <c r="I97"/>
  <c r="H97"/>
  <c r="Z96"/>
  <c r="Y96"/>
  <c r="X96"/>
  <c r="V96"/>
  <c r="T96"/>
  <c r="R96"/>
  <c r="P96"/>
  <c r="N96"/>
  <c r="L96"/>
  <c r="K96"/>
  <c r="J96"/>
  <c r="I96"/>
  <c r="H96"/>
  <c r="Z95"/>
  <c r="Y95"/>
  <c r="X95"/>
  <c r="V95"/>
  <c r="T95"/>
  <c r="R95"/>
  <c r="P95"/>
  <c r="N95"/>
  <c r="L95"/>
  <c r="K95"/>
  <c r="J95"/>
  <c r="I95"/>
  <c r="H95"/>
  <c r="Z94"/>
  <c r="Y94"/>
  <c r="X94"/>
  <c r="V94"/>
  <c r="T94"/>
  <c r="R94"/>
  <c r="P94"/>
  <c r="N94"/>
  <c r="L94"/>
  <c r="K94"/>
  <c r="J94"/>
  <c r="I94"/>
  <c r="H94"/>
  <c r="Z93"/>
  <c r="Y93"/>
  <c r="X93"/>
  <c r="V93"/>
  <c r="T93"/>
  <c r="R93"/>
  <c r="P93"/>
  <c r="N93"/>
  <c r="L93"/>
  <c r="K93"/>
  <c r="J93"/>
  <c r="I93"/>
  <c r="H93"/>
  <c r="Z92"/>
  <c r="Y92"/>
  <c r="X92"/>
  <c r="V92"/>
  <c r="T92"/>
  <c r="R92"/>
  <c r="P92"/>
  <c r="N92"/>
  <c r="L92"/>
  <c r="K92"/>
  <c r="J92"/>
  <c r="I92"/>
  <c r="H92"/>
  <c r="Z91"/>
  <c r="Y91"/>
  <c r="X91"/>
  <c r="V91"/>
  <c r="T91"/>
  <c r="R91"/>
  <c r="P91"/>
  <c r="N91"/>
  <c r="L91"/>
  <c r="K91"/>
  <c r="J91"/>
  <c r="I91"/>
  <c r="H91"/>
  <c r="Z90"/>
  <c r="Y90"/>
  <c r="X90"/>
  <c r="V90"/>
  <c r="T90"/>
  <c r="R90"/>
  <c r="P90"/>
  <c r="N90"/>
  <c r="L90"/>
  <c r="K90"/>
  <c r="J90"/>
  <c r="I90"/>
  <c r="H90"/>
  <c r="Z89"/>
  <c r="Y89"/>
  <c r="X89"/>
  <c r="V89"/>
  <c r="T89"/>
  <c r="R89"/>
  <c r="P89"/>
  <c r="N89"/>
  <c r="L89"/>
  <c r="K89"/>
  <c r="J89"/>
  <c r="I89"/>
  <c r="H89"/>
  <c r="Z88"/>
  <c r="Y88"/>
  <c r="X88"/>
  <c r="V88"/>
  <c r="T88"/>
  <c r="R88"/>
  <c r="P88"/>
  <c r="N88"/>
  <c r="L88"/>
  <c r="K88"/>
  <c r="J88"/>
  <c r="I88"/>
  <c r="H88"/>
  <c r="Z87"/>
  <c r="Y87"/>
  <c r="X87"/>
  <c r="V87"/>
  <c r="T87"/>
  <c r="R87"/>
  <c r="P87"/>
  <c r="N87"/>
  <c r="L87"/>
  <c r="K87"/>
  <c r="J87"/>
  <c r="I87"/>
  <c r="H87"/>
  <c r="Z86"/>
  <c r="Y86"/>
  <c r="X86"/>
  <c r="V86"/>
  <c r="T86"/>
  <c r="R86"/>
  <c r="P86"/>
  <c r="N86"/>
  <c r="L86"/>
  <c r="K86"/>
  <c r="J86"/>
  <c r="I86"/>
  <c r="H86"/>
  <c r="Z85"/>
  <c r="Y85"/>
  <c r="X85"/>
  <c r="V85"/>
  <c r="T85"/>
  <c r="R85"/>
  <c r="P85"/>
  <c r="N85"/>
  <c r="L85"/>
  <c r="K85"/>
  <c r="J85"/>
  <c r="I85"/>
  <c r="H85"/>
  <c r="Z84"/>
  <c r="Y84"/>
  <c r="X84"/>
  <c r="V84"/>
  <c r="T84"/>
  <c r="R84"/>
  <c r="P84"/>
  <c r="N84"/>
  <c r="L84"/>
  <c r="K84"/>
  <c r="J84"/>
  <c r="I84"/>
  <c r="H84"/>
  <c r="U83"/>
  <c r="S83"/>
  <c r="Q83"/>
  <c r="O83"/>
  <c r="M83"/>
  <c r="G83"/>
  <c r="F83"/>
  <c r="E83"/>
  <c r="D83"/>
  <c r="Z82"/>
  <c r="Y82"/>
  <c r="X82"/>
  <c r="V82"/>
  <c r="T82"/>
  <c r="R82"/>
  <c r="P82"/>
  <c r="N82"/>
  <c r="L82"/>
  <c r="K82"/>
  <c r="J82"/>
  <c r="I82"/>
  <c r="H82"/>
  <c r="Z81"/>
  <c r="Y81"/>
  <c r="X81"/>
  <c r="V81"/>
  <c r="T81"/>
  <c r="R81"/>
  <c r="P81"/>
  <c r="N81"/>
  <c r="L81"/>
  <c r="K81"/>
  <c r="J81"/>
  <c r="I81"/>
  <c r="H81"/>
  <c r="Z80"/>
  <c r="Y80"/>
  <c r="X80"/>
  <c r="V80"/>
  <c r="T80"/>
  <c r="R80"/>
  <c r="P80"/>
  <c r="N80"/>
  <c r="L80"/>
  <c r="K80"/>
  <c r="J80"/>
  <c r="I80"/>
  <c r="H80"/>
  <c r="Z79"/>
  <c r="Y79"/>
  <c r="X79"/>
  <c r="V79"/>
  <c r="T79"/>
  <c r="R79"/>
  <c r="P79"/>
  <c r="N79"/>
  <c r="L79"/>
  <c r="K79"/>
  <c r="J79"/>
  <c r="I79"/>
  <c r="H79"/>
  <c r="Z78"/>
  <c r="Y78"/>
  <c r="X78"/>
  <c r="V78"/>
  <c r="T78"/>
  <c r="R78"/>
  <c r="P78"/>
  <c r="N78"/>
  <c r="L78"/>
  <c r="K78"/>
  <c r="J78"/>
  <c r="I78"/>
  <c r="H78"/>
  <c r="Z77"/>
  <c r="Y77"/>
  <c r="X77"/>
  <c r="V77"/>
  <c r="T77"/>
  <c r="R77"/>
  <c r="P77"/>
  <c r="N77"/>
  <c r="L77"/>
  <c r="K77"/>
  <c r="J77"/>
  <c r="I77"/>
  <c r="H77"/>
  <c r="Z76"/>
  <c r="Y76"/>
  <c r="X76"/>
  <c r="V76"/>
  <c r="T76"/>
  <c r="R76"/>
  <c r="P76"/>
  <c r="N76"/>
  <c r="L76"/>
  <c r="K76"/>
  <c r="J76"/>
  <c r="I76"/>
  <c r="H76"/>
  <c r="Z75"/>
  <c r="Y75"/>
  <c r="X75"/>
  <c r="V75"/>
  <c r="T75"/>
  <c r="R75"/>
  <c r="P75"/>
  <c r="N75"/>
  <c r="L75"/>
  <c r="K75"/>
  <c r="J75"/>
  <c r="I75"/>
  <c r="H75"/>
  <c r="Z74"/>
  <c r="Y74"/>
  <c r="X74"/>
  <c r="V74"/>
  <c r="T74"/>
  <c r="R74"/>
  <c r="P74"/>
  <c r="N74"/>
  <c r="L74"/>
  <c r="K74"/>
  <c r="J74"/>
  <c r="I74"/>
  <c r="H74"/>
  <c r="Z73"/>
  <c r="Y73"/>
  <c r="X73"/>
  <c r="V73"/>
  <c r="T73"/>
  <c r="R73"/>
  <c r="P73"/>
  <c r="N73"/>
  <c r="L73"/>
  <c r="K73"/>
  <c r="J73"/>
  <c r="I73"/>
  <c r="H73"/>
  <c r="Z72"/>
  <c r="Y72"/>
  <c r="X72"/>
  <c r="V72"/>
  <c r="T72"/>
  <c r="R72"/>
  <c r="P72"/>
  <c r="N72"/>
  <c r="L72"/>
  <c r="K72"/>
  <c r="J72"/>
  <c r="I72"/>
  <c r="H72"/>
  <c r="Z71"/>
  <c r="X71"/>
  <c r="V71"/>
  <c r="T71"/>
  <c r="R71"/>
  <c r="P71"/>
  <c r="N71"/>
  <c r="L71"/>
  <c r="K71"/>
  <c r="J71"/>
  <c r="I71"/>
  <c r="H71"/>
  <c r="U70"/>
  <c r="S70"/>
  <c r="Q70"/>
  <c r="O70"/>
  <c r="M70"/>
  <c r="G70"/>
  <c r="F70"/>
  <c r="E70"/>
  <c r="D70"/>
  <c r="C70"/>
  <c r="U61"/>
  <c r="T61"/>
  <c r="S61"/>
  <c r="R61"/>
  <c r="Q61"/>
  <c r="P61"/>
  <c r="O61"/>
  <c r="N61"/>
  <c r="M61"/>
  <c r="C61"/>
  <c r="U60"/>
  <c r="T60"/>
  <c r="S60"/>
  <c r="R60"/>
  <c r="Q60"/>
  <c r="P60"/>
  <c r="O60"/>
  <c r="N60"/>
  <c r="M60"/>
  <c r="C60"/>
  <c r="U58"/>
  <c r="T58"/>
  <c r="S58"/>
  <c r="R58"/>
  <c r="Q58"/>
  <c r="P58"/>
  <c r="O58"/>
  <c r="N58"/>
  <c r="M58"/>
  <c r="C58"/>
  <c r="U57"/>
  <c r="T57"/>
  <c r="S57"/>
  <c r="R57"/>
  <c r="Q57"/>
  <c r="P57"/>
  <c r="O57"/>
  <c r="N57"/>
  <c r="M57"/>
  <c r="C57"/>
  <c r="U56"/>
  <c r="T56"/>
  <c r="S56"/>
  <c r="R56"/>
  <c r="Q56"/>
  <c r="P56"/>
  <c r="O56"/>
  <c r="N56"/>
  <c r="M56"/>
  <c r="C56"/>
  <c r="U54"/>
  <c r="T54"/>
  <c r="S54"/>
  <c r="R54"/>
  <c r="Q54"/>
  <c r="P54"/>
  <c r="O54"/>
  <c r="N54"/>
  <c r="M54"/>
  <c r="C54"/>
  <c r="U53"/>
  <c r="T53"/>
  <c r="S53"/>
  <c r="R53"/>
  <c r="Q53"/>
  <c r="P53"/>
  <c r="O53"/>
  <c r="N53"/>
  <c r="M53"/>
  <c r="C53"/>
  <c r="U52"/>
  <c r="T52"/>
  <c r="S52"/>
  <c r="R52"/>
  <c r="Q52"/>
  <c r="P52"/>
  <c r="O52"/>
  <c r="N52"/>
  <c r="M52"/>
  <c r="C52"/>
  <c r="U51"/>
  <c r="T51"/>
  <c r="S51"/>
  <c r="R51"/>
  <c r="Q51"/>
  <c r="P51"/>
  <c r="O51"/>
  <c r="N51"/>
  <c r="M51"/>
  <c r="C51"/>
  <c r="U50"/>
  <c r="T50"/>
  <c r="S50"/>
  <c r="R50"/>
  <c r="Q50"/>
  <c r="P50"/>
  <c r="O50"/>
  <c r="N50"/>
  <c r="M50"/>
  <c r="C50"/>
  <c r="U49"/>
  <c r="T49"/>
  <c r="S49"/>
  <c r="R49"/>
  <c r="Q49"/>
  <c r="P49"/>
  <c r="O49"/>
  <c r="N49"/>
  <c r="M49"/>
  <c r="C49"/>
  <c r="U48"/>
  <c r="T48"/>
  <c r="S48"/>
  <c r="R48"/>
  <c r="Q48"/>
  <c r="P48"/>
  <c r="O48"/>
  <c r="N48"/>
  <c r="M48"/>
  <c r="C48"/>
  <c r="U47"/>
  <c r="T47"/>
  <c r="S47"/>
  <c r="R47"/>
  <c r="Q47"/>
  <c r="P47"/>
  <c r="O47"/>
  <c r="N47"/>
  <c r="M47"/>
  <c r="C47"/>
  <c r="U46"/>
  <c r="T46"/>
  <c r="S46"/>
  <c r="R46"/>
  <c r="Q46"/>
  <c r="P46"/>
  <c r="O46"/>
  <c r="N46"/>
  <c r="M46"/>
  <c r="C46"/>
  <c r="U44"/>
  <c r="T44"/>
  <c r="S44"/>
  <c r="R44"/>
  <c r="Q44"/>
  <c r="P44"/>
  <c r="O44"/>
  <c r="N44"/>
  <c r="M44"/>
  <c r="C44"/>
  <c r="U43"/>
  <c r="T43"/>
  <c r="S43"/>
  <c r="R43"/>
  <c r="Q43"/>
  <c r="P43"/>
  <c r="O43"/>
  <c r="N43"/>
  <c r="M43"/>
  <c r="C43"/>
  <c r="U42"/>
  <c r="T42"/>
  <c r="S42"/>
  <c r="R42"/>
  <c r="Q42"/>
  <c r="P42"/>
  <c r="O42"/>
  <c r="N42"/>
  <c r="M42"/>
  <c r="C42"/>
  <c r="U41"/>
  <c r="T41"/>
  <c r="S41"/>
  <c r="R41"/>
  <c r="Q41"/>
  <c r="P41"/>
  <c r="O41"/>
  <c r="N41"/>
  <c r="M41"/>
  <c r="C41"/>
  <c r="U40"/>
  <c r="T40"/>
  <c r="S40"/>
  <c r="R40"/>
  <c r="Q40"/>
  <c r="P40"/>
  <c r="O40"/>
  <c r="N40"/>
  <c r="M40"/>
  <c r="C40"/>
  <c r="U39"/>
  <c r="T39"/>
  <c r="S39"/>
  <c r="R39"/>
  <c r="Q39"/>
  <c r="P39"/>
  <c r="O39"/>
  <c r="N39"/>
  <c r="M39"/>
  <c r="C39"/>
  <c r="U38"/>
  <c r="T38"/>
  <c r="S38"/>
  <c r="R38"/>
  <c r="Q38"/>
  <c r="P38"/>
  <c r="O38"/>
  <c r="N38"/>
  <c r="M38"/>
  <c r="C38"/>
  <c r="U37"/>
  <c r="T37"/>
  <c r="S37"/>
  <c r="R37"/>
  <c r="Q37"/>
  <c r="P37"/>
  <c r="O37"/>
  <c r="N37"/>
  <c r="M37"/>
  <c r="C37"/>
  <c r="U36"/>
  <c r="T36"/>
  <c r="S36"/>
  <c r="R36"/>
  <c r="Q36"/>
  <c r="P36"/>
  <c r="O36"/>
  <c r="N36"/>
  <c r="M36"/>
  <c r="C36"/>
  <c r="U35"/>
  <c r="T35"/>
  <c r="S35"/>
  <c r="R35"/>
  <c r="Q35"/>
  <c r="P35"/>
  <c r="O35"/>
  <c r="N35"/>
  <c r="M35"/>
  <c r="C35"/>
  <c r="U34"/>
  <c r="T34"/>
  <c r="S34"/>
  <c r="R34"/>
  <c r="Q34"/>
  <c r="P34"/>
  <c r="O34"/>
  <c r="N34"/>
  <c r="M34"/>
  <c r="C34"/>
  <c r="U33"/>
  <c r="T33"/>
  <c r="S33"/>
  <c r="R33"/>
  <c r="Q33"/>
  <c r="P33"/>
  <c r="O33"/>
  <c r="N33"/>
  <c r="M33"/>
  <c r="C33"/>
  <c r="U32"/>
  <c r="T32"/>
  <c r="S32"/>
  <c r="R32"/>
  <c r="Q32"/>
  <c r="P32"/>
  <c r="O32"/>
  <c r="N32"/>
  <c r="M32"/>
  <c r="C32"/>
  <c r="U31"/>
  <c r="T31"/>
  <c r="S31"/>
  <c r="R31"/>
  <c r="Q31"/>
  <c r="P31"/>
  <c r="O31"/>
  <c r="N31"/>
  <c r="M31"/>
  <c r="C31"/>
  <c r="U30"/>
  <c r="T30"/>
  <c r="S30"/>
  <c r="R30"/>
  <c r="Q30"/>
  <c r="P30"/>
  <c r="O30"/>
  <c r="N30"/>
  <c r="M30"/>
  <c r="C30"/>
  <c r="U29"/>
  <c r="T29"/>
  <c r="S29"/>
  <c r="R29"/>
  <c r="Q29"/>
  <c r="P29"/>
  <c r="O29"/>
  <c r="N29"/>
  <c r="M29"/>
  <c r="C29"/>
  <c r="U28"/>
  <c r="T28"/>
  <c r="S28"/>
  <c r="R28"/>
  <c r="Q28"/>
  <c r="P28"/>
  <c r="O28"/>
  <c r="N28"/>
  <c r="M28"/>
  <c r="C28"/>
  <c r="M15"/>
  <c r="U8"/>
  <c r="S8"/>
  <c r="Q8"/>
  <c r="O8"/>
  <c r="M8"/>
  <c r="W7"/>
  <c r="V4"/>
  <c r="X3"/>
  <c r="C228" i="99"/>
  <c r="C161"/>
  <c r="C99"/>
  <c r="C70"/>
  <c r="C42"/>
  <c r="E6"/>
  <c r="F6"/>
  <c r="H6"/>
  <c r="J6"/>
  <c r="K6"/>
  <c r="L6"/>
  <c r="M6"/>
  <c r="N6"/>
  <c r="O6"/>
  <c r="I6"/>
  <c r="E7"/>
  <c r="F7"/>
  <c r="H7"/>
  <c r="I7"/>
  <c r="J7"/>
  <c r="K7"/>
  <c r="L7"/>
  <c r="M7"/>
  <c r="N7"/>
  <c r="O7"/>
  <c r="J8"/>
  <c r="K8"/>
  <c r="L8"/>
  <c r="M8"/>
  <c r="N8"/>
  <c r="O8"/>
  <c r="J9"/>
  <c r="K9"/>
  <c r="L9"/>
  <c r="M9"/>
  <c r="N9"/>
  <c r="O9"/>
  <c r="E10"/>
  <c r="F10"/>
  <c r="H10"/>
  <c r="I10"/>
  <c r="J10"/>
  <c r="K10"/>
  <c r="L10"/>
  <c r="M10"/>
  <c r="N10"/>
  <c r="O10"/>
  <c r="J11"/>
  <c r="K11"/>
  <c r="L11"/>
  <c r="M11"/>
  <c r="N11"/>
  <c r="O11"/>
  <c r="J12"/>
  <c r="K12"/>
  <c r="L12"/>
  <c r="M12"/>
  <c r="N12"/>
  <c r="O12"/>
  <c r="J13"/>
  <c r="K13"/>
  <c r="L13"/>
  <c r="M13"/>
  <c r="N13"/>
  <c r="O13"/>
  <c r="J14"/>
  <c r="K14"/>
  <c r="L14"/>
  <c r="M14"/>
  <c r="N14"/>
  <c r="O14"/>
  <c r="I15"/>
  <c r="J15"/>
  <c r="K15"/>
  <c r="L15"/>
  <c r="M15"/>
  <c r="N15"/>
  <c r="O15"/>
  <c r="E15"/>
  <c r="F15"/>
  <c r="H15"/>
  <c r="J16"/>
  <c r="K16"/>
  <c r="L16"/>
  <c r="M16"/>
  <c r="N16"/>
  <c r="O16"/>
  <c r="J17"/>
  <c r="K17"/>
  <c r="L17"/>
  <c r="M17"/>
  <c r="N17"/>
  <c r="O17"/>
  <c r="E18"/>
  <c r="F18"/>
  <c r="H18"/>
  <c r="I18"/>
  <c r="J18"/>
  <c r="K18"/>
  <c r="L18"/>
  <c r="M18"/>
  <c r="N18"/>
  <c r="O18"/>
  <c r="J19"/>
  <c r="K19"/>
  <c r="L19"/>
  <c r="M19"/>
  <c r="N19"/>
  <c r="O19"/>
  <c r="E20"/>
  <c r="F20"/>
  <c r="H20"/>
  <c r="I20"/>
  <c r="J20"/>
  <c r="K20"/>
  <c r="L20"/>
  <c r="M20"/>
  <c r="N20"/>
  <c r="O20"/>
  <c r="J21"/>
  <c r="K21"/>
  <c r="L21"/>
  <c r="M21"/>
  <c r="N21"/>
  <c r="O21"/>
  <c r="E22"/>
  <c r="F22"/>
  <c r="H22"/>
  <c r="I22"/>
  <c r="J22"/>
  <c r="K22"/>
  <c r="L22"/>
  <c r="M22"/>
  <c r="N22"/>
  <c r="O22"/>
  <c r="D23"/>
  <c r="E23"/>
  <c r="F23"/>
  <c r="H23"/>
  <c r="I23"/>
  <c r="J23"/>
  <c r="K23"/>
  <c r="L23"/>
  <c r="M23"/>
  <c r="N23"/>
  <c r="O23"/>
  <c r="E24"/>
  <c r="F24"/>
  <c r="H24"/>
  <c r="J24"/>
  <c r="K24"/>
  <c r="L24"/>
  <c r="M24"/>
  <c r="N24"/>
  <c r="O24"/>
  <c r="J25"/>
  <c r="K25"/>
  <c r="L25"/>
  <c r="M25"/>
  <c r="N25"/>
  <c r="O25"/>
  <c r="I24"/>
  <c r="I25"/>
  <c r="J26"/>
  <c r="K26"/>
  <c r="L26"/>
  <c r="M26"/>
  <c r="N26"/>
  <c r="O26"/>
  <c r="D27"/>
  <c r="E27"/>
  <c r="F27"/>
  <c r="H27"/>
  <c r="I27"/>
  <c r="J27"/>
  <c r="K27"/>
  <c r="L27"/>
  <c r="M27"/>
  <c r="N27"/>
  <c r="O27"/>
  <c r="J28"/>
  <c r="K28"/>
  <c r="L28"/>
  <c r="M28"/>
  <c r="N28"/>
  <c r="O28"/>
  <c r="J29"/>
  <c r="K29"/>
  <c r="L29"/>
  <c r="M29"/>
  <c r="N29"/>
  <c r="O29"/>
  <c r="J30"/>
  <c r="K30"/>
  <c r="L30"/>
  <c r="M30"/>
  <c r="N30"/>
  <c r="O30"/>
  <c r="J31"/>
  <c r="K31"/>
  <c r="L31"/>
  <c r="M31"/>
  <c r="N31"/>
  <c r="O31"/>
  <c r="D32"/>
  <c r="E32"/>
  <c r="F32"/>
  <c r="H32"/>
  <c r="J32"/>
  <c r="K32"/>
  <c r="L32"/>
  <c r="M32"/>
  <c r="N32"/>
  <c r="O32"/>
  <c r="I32"/>
  <c r="H33"/>
  <c r="J33"/>
  <c r="K33"/>
  <c r="L33"/>
  <c r="M33"/>
  <c r="N33"/>
  <c r="O33"/>
  <c r="I33"/>
  <c r="D34"/>
  <c r="E34"/>
  <c r="F34"/>
  <c r="H34"/>
  <c r="I34"/>
  <c r="J34"/>
  <c r="K34"/>
  <c r="L34"/>
  <c r="M34"/>
  <c r="N34"/>
  <c r="O34"/>
  <c r="D35"/>
  <c r="E35"/>
  <c r="F35"/>
  <c r="H35"/>
  <c r="I35"/>
  <c r="J35"/>
  <c r="K35"/>
  <c r="L35"/>
  <c r="M35"/>
  <c r="N35"/>
  <c r="O35"/>
  <c r="E36"/>
  <c r="F36"/>
  <c r="H36"/>
  <c r="I36"/>
  <c r="J36"/>
  <c r="K36"/>
  <c r="L36"/>
  <c r="M36"/>
  <c r="N36"/>
  <c r="O36"/>
  <c r="J37"/>
  <c r="K37"/>
  <c r="L37"/>
  <c r="M37"/>
  <c r="N37"/>
  <c r="O37"/>
  <c r="D38"/>
  <c r="E38"/>
  <c r="F38"/>
  <c r="H38"/>
  <c r="I38"/>
  <c r="J38"/>
  <c r="K38"/>
  <c r="L38"/>
  <c r="M38"/>
  <c r="N38"/>
  <c r="O38"/>
  <c r="E39"/>
  <c r="F39"/>
  <c r="H39"/>
  <c r="I39"/>
  <c r="J39"/>
  <c r="K39"/>
  <c r="L39"/>
  <c r="M39"/>
  <c r="N39"/>
  <c r="O39"/>
  <c r="D40"/>
  <c r="E40"/>
  <c r="F40"/>
  <c r="H40"/>
  <c r="I40"/>
  <c r="J40"/>
  <c r="K40"/>
  <c r="L40"/>
  <c r="M40"/>
  <c r="N40"/>
  <c r="O40"/>
  <c r="D42"/>
  <c r="E42"/>
  <c r="F42"/>
  <c r="H42"/>
  <c r="I42"/>
  <c r="J42"/>
  <c r="K42"/>
  <c r="L42"/>
  <c r="M42"/>
  <c r="N42"/>
  <c r="O42"/>
  <c r="I43"/>
  <c r="J43"/>
  <c r="K43"/>
  <c r="L43"/>
  <c r="M43"/>
  <c r="N43"/>
  <c r="O43"/>
  <c r="E44"/>
  <c r="F44"/>
  <c r="H44"/>
  <c r="I44"/>
  <c r="J44"/>
  <c r="K44"/>
  <c r="L44"/>
  <c r="M44"/>
  <c r="N44"/>
  <c r="O44"/>
  <c r="E45"/>
  <c r="F45"/>
  <c r="H45"/>
  <c r="I45"/>
  <c r="I46"/>
  <c r="J45"/>
  <c r="K46"/>
  <c r="L46"/>
  <c r="M46"/>
  <c r="N46"/>
  <c r="O46"/>
  <c r="D47"/>
  <c r="E47"/>
  <c r="F47"/>
  <c r="H47"/>
  <c r="I47"/>
  <c r="J47"/>
  <c r="K47"/>
  <c r="L47"/>
  <c r="M47"/>
  <c r="N47"/>
  <c r="O47"/>
  <c r="I48"/>
  <c r="J48"/>
  <c r="K48"/>
  <c r="L48"/>
  <c r="M48"/>
  <c r="N48"/>
  <c r="O48"/>
  <c r="I49"/>
  <c r="J49"/>
  <c r="K49"/>
  <c r="L49"/>
  <c r="M49"/>
  <c r="N49"/>
  <c r="O49"/>
  <c r="E50"/>
  <c r="F50"/>
  <c r="H50"/>
  <c r="I50"/>
  <c r="J50"/>
  <c r="K50"/>
  <c r="L50"/>
  <c r="M50"/>
  <c r="N50"/>
  <c r="O50"/>
  <c r="E51"/>
  <c r="F51"/>
  <c r="H51"/>
  <c r="I51"/>
  <c r="J51"/>
  <c r="K51"/>
  <c r="L51"/>
  <c r="M51"/>
  <c r="N51"/>
  <c r="O51"/>
  <c r="I52"/>
  <c r="J52"/>
  <c r="K52"/>
  <c r="L52"/>
  <c r="M52"/>
  <c r="N52"/>
  <c r="O52"/>
  <c r="D53"/>
  <c r="E53"/>
  <c r="F53"/>
  <c r="H53"/>
  <c r="I53"/>
  <c r="J53"/>
  <c r="K53"/>
  <c r="L53"/>
  <c r="M53"/>
  <c r="N53"/>
  <c r="O53"/>
  <c r="I54"/>
  <c r="J54"/>
  <c r="K54"/>
  <c r="L54"/>
  <c r="M54"/>
  <c r="N54"/>
  <c r="O54"/>
  <c r="I55"/>
  <c r="J55"/>
  <c r="K55"/>
  <c r="L55"/>
  <c r="M55"/>
  <c r="N55"/>
  <c r="O55"/>
  <c r="D56"/>
  <c r="E56"/>
  <c r="F56"/>
  <c r="H56"/>
  <c r="I56"/>
  <c r="J56"/>
  <c r="K56"/>
  <c r="L56"/>
  <c r="M56"/>
  <c r="N56"/>
  <c r="O56"/>
  <c r="D57"/>
  <c r="E57"/>
  <c r="F57"/>
  <c r="H57"/>
  <c r="I57"/>
  <c r="J57"/>
  <c r="K57"/>
  <c r="L57"/>
  <c r="M57"/>
  <c r="N57"/>
  <c r="O57"/>
  <c r="D58"/>
  <c r="E58"/>
  <c r="F58"/>
  <c r="H58"/>
  <c r="I58"/>
  <c r="J58"/>
  <c r="K58"/>
  <c r="L58"/>
  <c r="M58"/>
  <c r="N58"/>
  <c r="O58"/>
  <c r="E59"/>
  <c r="F59"/>
  <c r="H59"/>
  <c r="I59"/>
  <c r="J59"/>
  <c r="K59"/>
  <c r="L59"/>
  <c r="M59"/>
  <c r="N59"/>
  <c r="O59"/>
  <c r="D60"/>
  <c r="E60"/>
  <c r="F60"/>
  <c r="H60"/>
  <c r="I60"/>
  <c r="J60"/>
  <c r="K60"/>
  <c r="L60"/>
  <c r="M60"/>
  <c r="N60"/>
  <c r="O60"/>
  <c r="E61"/>
  <c r="F61"/>
  <c r="H61"/>
  <c r="I61"/>
  <c r="J61"/>
  <c r="K61"/>
  <c r="K62" s="1"/>
  <c r="L61"/>
  <c r="M61"/>
  <c r="N61"/>
  <c r="O61"/>
  <c r="J62"/>
  <c r="L62"/>
  <c r="M62"/>
  <c r="N62"/>
  <c r="O62"/>
  <c r="E63"/>
  <c r="F63"/>
  <c r="H63"/>
  <c r="I63"/>
  <c r="J63"/>
  <c r="K63"/>
  <c r="L63"/>
  <c r="M63"/>
  <c r="N63"/>
  <c r="O63"/>
  <c r="E64"/>
  <c r="F64"/>
  <c r="H64"/>
  <c r="I64"/>
  <c r="J64"/>
  <c r="K64"/>
  <c r="L64"/>
  <c r="M64"/>
  <c r="N64"/>
  <c r="O64"/>
  <c r="D65"/>
  <c r="E65"/>
  <c r="F65"/>
  <c r="H65"/>
  <c r="I65"/>
  <c r="J65"/>
  <c r="K65"/>
  <c r="L65"/>
  <c r="M65"/>
  <c r="N65"/>
  <c r="O65"/>
  <c r="I66"/>
  <c r="J66"/>
  <c r="K66"/>
  <c r="L66"/>
  <c r="M66"/>
  <c r="N66"/>
  <c r="O66"/>
  <c r="I67"/>
  <c r="J67"/>
  <c r="K67"/>
  <c r="L67"/>
  <c r="M67"/>
  <c r="N67"/>
  <c r="O67"/>
  <c r="E68"/>
  <c r="F68"/>
  <c r="H68"/>
  <c r="I68"/>
  <c r="J68"/>
  <c r="K68"/>
  <c r="L68"/>
  <c r="M68"/>
  <c r="N68"/>
  <c r="O68"/>
  <c r="D70"/>
  <c r="E70"/>
  <c r="F70"/>
  <c r="H70"/>
  <c r="I70"/>
  <c r="J70"/>
  <c r="K70"/>
  <c r="L70"/>
  <c r="M70"/>
  <c r="N70"/>
  <c r="O70"/>
  <c r="I71"/>
  <c r="J71"/>
  <c r="K71"/>
  <c r="L71"/>
  <c r="M71"/>
  <c r="N71"/>
  <c r="O71"/>
  <c r="J72"/>
  <c r="K72"/>
  <c r="L72"/>
  <c r="M72"/>
  <c r="N72"/>
  <c r="O72"/>
  <c r="I73"/>
  <c r="J73"/>
  <c r="K73"/>
  <c r="L73"/>
  <c r="M73"/>
  <c r="N73"/>
  <c r="O73"/>
  <c r="I74"/>
  <c r="J74"/>
  <c r="K74"/>
  <c r="L74"/>
  <c r="M74"/>
  <c r="N74"/>
  <c r="O74"/>
  <c r="E74"/>
  <c r="F74"/>
  <c r="H74"/>
  <c r="J75"/>
  <c r="K75"/>
  <c r="L75"/>
  <c r="M75"/>
  <c r="N75"/>
  <c r="O75"/>
  <c r="I76"/>
  <c r="J76"/>
  <c r="K76"/>
  <c r="L76"/>
  <c r="M76"/>
  <c r="N76"/>
  <c r="O76"/>
  <c r="I77"/>
  <c r="J77"/>
  <c r="K77"/>
  <c r="L77"/>
  <c r="M77"/>
  <c r="N77"/>
  <c r="O77"/>
  <c r="E77"/>
  <c r="F77"/>
  <c r="H77"/>
  <c r="I78"/>
  <c r="J78"/>
  <c r="K78"/>
  <c r="L78"/>
  <c r="M78"/>
  <c r="N78"/>
  <c r="O78"/>
  <c r="D78"/>
  <c r="E78"/>
  <c r="F78"/>
  <c r="H78"/>
  <c r="J79"/>
  <c r="K79"/>
  <c r="L79"/>
  <c r="M79"/>
  <c r="N79"/>
  <c r="O79"/>
  <c r="J80"/>
  <c r="K80"/>
  <c r="L80"/>
  <c r="M80"/>
  <c r="N80"/>
  <c r="O80"/>
  <c r="J81"/>
  <c r="K81"/>
  <c r="L81"/>
  <c r="M81"/>
  <c r="N81"/>
  <c r="O81"/>
  <c r="I82"/>
  <c r="J82"/>
  <c r="K82"/>
  <c r="L82"/>
  <c r="M82"/>
  <c r="N82"/>
  <c r="O82"/>
  <c r="E82"/>
  <c r="F82"/>
  <c r="H82"/>
  <c r="D83"/>
  <c r="E83"/>
  <c r="F83"/>
  <c r="H83"/>
  <c r="I83"/>
  <c r="J83"/>
  <c r="K83"/>
  <c r="L83"/>
  <c r="M83"/>
  <c r="N83"/>
  <c r="O83"/>
  <c r="J84"/>
  <c r="K84"/>
  <c r="L84"/>
  <c r="M84"/>
  <c r="N84"/>
  <c r="O84"/>
  <c r="I85"/>
  <c r="J85"/>
  <c r="K85"/>
  <c r="L85"/>
  <c r="M85"/>
  <c r="N85"/>
  <c r="O85"/>
  <c r="I86"/>
  <c r="J86"/>
  <c r="K86"/>
  <c r="L86"/>
  <c r="M86"/>
  <c r="N86"/>
  <c r="O86"/>
  <c r="I87"/>
  <c r="J87"/>
  <c r="K87"/>
  <c r="L87"/>
  <c r="M87"/>
  <c r="N87"/>
  <c r="O87"/>
  <c r="D87"/>
  <c r="E87"/>
  <c r="F87"/>
  <c r="H87"/>
  <c r="I88"/>
  <c r="J88"/>
  <c r="K88"/>
  <c r="L88"/>
  <c r="M88"/>
  <c r="N88"/>
  <c r="O88"/>
  <c r="J89"/>
  <c r="K89"/>
  <c r="L89"/>
  <c r="M89"/>
  <c r="N89"/>
  <c r="O89"/>
  <c r="I90"/>
  <c r="J90"/>
  <c r="K90"/>
  <c r="L90"/>
  <c r="M90"/>
  <c r="N90"/>
  <c r="O90"/>
  <c r="E90"/>
  <c r="F90"/>
  <c r="H90"/>
  <c r="J91"/>
  <c r="K91"/>
  <c r="L91"/>
  <c r="M91"/>
  <c r="N91"/>
  <c r="O91"/>
  <c r="J92"/>
  <c r="K92"/>
  <c r="L92"/>
  <c r="M92"/>
  <c r="N92"/>
  <c r="O92"/>
  <c r="I93"/>
  <c r="J93"/>
  <c r="K93"/>
  <c r="L93"/>
  <c r="M93"/>
  <c r="N93"/>
  <c r="O93"/>
  <c r="D93"/>
  <c r="E93"/>
  <c r="F93"/>
  <c r="H93"/>
  <c r="I94"/>
  <c r="J94"/>
  <c r="K94"/>
  <c r="L94"/>
  <c r="M94"/>
  <c r="N94"/>
  <c r="O94"/>
  <c r="I95"/>
  <c r="J95"/>
  <c r="K95"/>
  <c r="L95"/>
  <c r="M95"/>
  <c r="N95"/>
  <c r="O95"/>
  <c r="J96"/>
  <c r="K96"/>
  <c r="L96"/>
  <c r="M96"/>
  <c r="N96"/>
  <c r="O96"/>
  <c r="J97"/>
  <c r="K97"/>
  <c r="L97"/>
  <c r="M97"/>
  <c r="N97"/>
  <c r="O97"/>
  <c r="D99"/>
  <c r="E99"/>
  <c r="F99"/>
  <c r="H99"/>
  <c r="I99"/>
  <c r="J99"/>
  <c r="K99"/>
  <c r="L99"/>
  <c r="M99"/>
  <c r="N99"/>
  <c r="O99"/>
  <c r="E100"/>
  <c r="F100"/>
  <c r="H100"/>
  <c r="I100"/>
  <c r="J100"/>
  <c r="K100"/>
  <c r="L100"/>
  <c r="M100"/>
  <c r="N100"/>
  <c r="O100"/>
  <c r="J101"/>
  <c r="K101"/>
  <c r="L101"/>
  <c r="M101"/>
  <c r="N101"/>
  <c r="O101"/>
  <c r="E102"/>
  <c r="F102"/>
  <c r="H102"/>
  <c r="I102"/>
  <c r="J102"/>
  <c r="K102"/>
  <c r="L102"/>
  <c r="M102"/>
  <c r="N102"/>
  <c r="O102"/>
  <c r="J103"/>
  <c r="K103"/>
  <c r="L103"/>
  <c r="M103"/>
  <c r="N103"/>
  <c r="O103"/>
  <c r="J104"/>
  <c r="K104"/>
  <c r="L104"/>
  <c r="M104"/>
  <c r="N104"/>
  <c r="O104"/>
  <c r="J105"/>
  <c r="K105"/>
  <c r="L105"/>
  <c r="M105"/>
  <c r="N105"/>
  <c r="O105"/>
  <c r="J106"/>
  <c r="K106"/>
  <c r="L106"/>
  <c r="M106"/>
  <c r="N106"/>
  <c r="O106"/>
  <c r="J107"/>
  <c r="K107"/>
  <c r="L107"/>
  <c r="M107"/>
  <c r="N107"/>
  <c r="O107"/>
  <c r="E108"/>
  <c r="F108"/>
  <c r="H108"/>
  <c r="I108"/>
  <c r="J108"/>
  <c r="K108"/>
  <c r="L108"/>
  <c r="M108"/>
  <c r="N108"/>
  <c r="O108"/>
  <c r="J109"/>
  <c r="K109"/>
  <c r="L109"/>
  <c r="M109"/>
  <c r="N109"/>
  <c r="O109"/>
  <c r="J110"/>
  <c r="K110"/>
  <c r="L110"/>
  <c r="M110"/>
  <c r="N110"/>
  <c r="O110"/>
  <c r="J111"/>
  <c r="K111"/>
  <c r="L111"/>
  <c r="M111"/>
  <c r="N111"/>
  <c r="O111"/>
  <c r="E112"/>
  <c r="F112"/>
  <c r="H112"/>
  <c r="I112"/>
  <c r="J112"/>
  <c r="K112"/>
  <c r="L112"/>
  <c r="M112"/>
  <c r="N112"/>
  <c r="O112"/>
  <c r="J113"/>
  <c r="K113"/>
  <c r="L113"/>
  <c r="M113"/>
  <c r="N113"/>
  <c r="O113"/>
  <c r="I118"/>
  <c r="J118"/>
  <c r="K118"/>
  <c r="L118"/>
  <c r="M118"/>
  <c r="N118"/>
  <c r="O118"/>
  <c r="J119"/>
  <c r="K119"/>
  <c r="L119"/>
  <c r="M119"/>
  <c r="N119"/>
  <c r="O119"/>
  <c r="J120"/>
  <c r="K120"/>
  <c r="L120"/>
  <c r="M120"/>
  <c r="N120"/>
  <c r="O120"/>
  <c r="I121"/>
  <c r="J121"/>
  <c r="K121"/>
  <c r="L121"/>
  <c r="M121"/>
  <c r="N121"/>
  <c r="O121"/>
  <c r="E122"/>
  <c r="F122"/>
  <c r="H122"/>
  <c r="I122"/>
  <c r="J122"/>
  <c r="K122"/>
  <c r="L122"/>
  <c r="M122"/>
  <c r="N122"/>
  <c r="O122"/>
  <c r="J123"/>
  <c r="K123"/>
  <c r="L123"/>
  <c r="M123"/>
  <c r="N123"/>
  <c r="O123"/>
  <c r="J124"/>
  <c r="K124"/>
  <c r="L124"/>
  <c r="M124"/>
  <c r="N124"/>
  <c r="O124"/>
  <c r="E125"/>
  <c r="F125"/>
  <c r="H125"/>
  <c r="I125"/>
  <c r="J125"/>
  <c r="K125"/>
  <c r="L125"/>
  <c r="M125"/>
  <c r="N125"/>
  <c r="O125"/>
  <c r="E126"/>
  <c r="F126"/>
  <c r="H126"/>
  <c r="I126"/>
  <c r="J126"/>
  <c r="K126"/>
  <c r="L126"/>
  <c r="M126"/>
  <c r="N126"/>
  <c r="O126"/>
  <c r="J127"/>
  <c r="K127"/>
  <c r="L127"/>
  <c r="M127"/>
  <c r="N127"/>
  <c r="O127"/>
  <c r="J128"/>
  <c r="K128"/>
  <c r="L128"/>
  <c r="M128"/>
  <c r="N128"/>
  <c r="O128"/>
  <c r="J129"/>
  <c r="K129"/>
  <c r="L129"/>
  <c r="M129"/>
  <c r="N129"/>
  <c r="O129"/>
  <c r="J130"/>
  <c r="K130"/>
  <c r="L130"/>
  <c r="M130"/>
  <c r="N130"/>
  <c r="O130"/>
  <c r="E131"/>
  <c r="F131"/>
  <c r="H131"/>
  <c r="I131"/>
  <c r="J131"/>
  <c r="K131"/>
  <c r="L131"/>
  <c r="M131"/>
  <c r="N131"/>
  <c r="O131"/>
  <c r="J132"/>
  <c r="K132"/>
  <c r="L132"/>
  <c r="M132"/>
  <c r="N132"/>
  <c r="O132"/>
  <c r="J133"/>
  <c r="K133"/>
  <c r="L133"/>
  <c r="M133"/>
  <c r="N133"/>
  <c r="O133"/>
  <c r="J134"/>
  <c r="K134"/>
  <c r="L134"/>
  <c r="M134"/>
  <c r="N134"/>
  <c r="O134"/>
  <c r="J135"/>
  <c r="K135"/>
  <c r="L135"/>
  <c r="M135"/>
  <c r="N135"/>
  <c r="O135"/>
  <c r="E136"/>
  <c r="F136"/>
  <c r="H136"/>
  <c r="I136"/>
  <c r="J136"/>
  <c r="K136"/>
  <c r="L136"/>
  <c r="M136"/>
  <c r="N136"/>
  <c r="O136"/>
  <c r="J137"/>
  <c r="K137"/>
  <c r="L137"/>
  <c r="M137"/>
  <c r="N137"/>
  <c r="O137"/>
  <c r="J138"/>
  <c r="K138"/>
  <c r="L138"/>
  <c r="M138"/>
  <c r="N138"/>
  <c r="O138"/>
  <c r="J139"/>
  <c r="K139"/>
  <c r="L139"/>
  <c r="M139"/>
  <c r="N139"/>
  <c r="O139"/>
  <c r="J140"/>
  <c r="K140"/>
  <c r="L140"/>
  <c r="M140"/>
  <c r="N140"/>
  <c r="O140"/>
  <c r="E141"/>
  <c r="F141"/>
  <c r="H141"/>
  <c r="I141"/>
  <c r="J141"/>
  <c r="K141"/>
  <c r="L141"/>
  <c r="M141"/>
  <c r="N141"/>
  <c r="O141"/>
  <c r="J142"/>
  <c r="K142"/>
  <c r="L142"/>
  <c r="M142"/>
  <c r="N142"/>
  <c r="O142"/>
  <c r="J143"/>
  <c r="K143"/>
  <c r="L143"/>
  <c r="M143"/>
  <c r="N143"/>
  <c r="O143"/>
  <c r="J144"/>
  <c r="K144"/>
  <c r="L144"/>
  <c r="M144"/>
  <c r="N144"/>
  <c r="O144"/>
  <c r="J145"/>
  <c r="K145"/>
  <c r="L145"/>
  <c r="M145"/>
  <c r="N145"/>
  <c r="O145"/>
  <c r="E146"/>
  <c r="F146"/>
  <c r="H146"/>
  <c r="I146"/>
  <c r="J146"/>
  <c r="K146"/>
  <c r="L146"/>
  <c r="M146"/>
  <c r="N146"/>
  <c r="O146"/>
  <c r="J147"/>
  <c r="K147"/>
  <c r="L147"/>
  <c r="M147"/>
  <c r="N147"/>
  <c r="O147"/>
  <c r="J148"/>
  <c r="K148"/>
  <c r="L148"/>
  <c r="M148"/>
  <c r="N148"/>
  <c r="O148"/>
  <c r="J149"/>
  <c r="K149"/>
  <c r="L149"/>
  <c r="M149"/>
  <c r="N149"/>
  <c r="O149"/>
  <c r="J150"/>
  <c r="K150"/>
  <c r="L150"/>
  <c r="M150"/>
  <c r="N150"/>
  <c r="O150"/>
  <c r="J151"/>
  <c r="K151"/>
  <c r="L151"/>
  <c r="M151"/>
  <c r="N151"/>
  <c r="O151"/>
  <c r="I152"/>
  <c r="J152"/>
  <c r="K152"/>
  <c r="L152"/>
  <c r="M152"/>
  <c r="N152"/>
  <c r="O152"/>
  <c r="I153"/>
  <c r="J153"/>
  <c r="K153"/>
  <c r="L153"/>
  <c r="M153"/>
  <c r="N153"/>
  <c r="O153"/>
  <c r="E154"/>
  <c r="F154"/>
  <c r="H154"/>
  <c r="I154"/>
  <c r="J154"/>
  <c r="K154"/>
  <c r="L154"/>
  <c r="M154"/>
  <c r="N154"/>
  <c r="O154"/>
  <c r="J155"/>
  <c r="K155"/>
  <c r="L155"/>
  <c r="M155"/>
  <c r="N155"/>
  <c r="O155"/>
  <c r="J156"/>
  <c r="K156"/>
  <c r="L156"/>
  <c r="M156"/>
  <c r="N156"/>
  <c r="O156"/>
  <c r="J157"/>
  <c r="K157"/>
  <c r="L157"/>
  <c r="M157"/>
  <c r="N157"/>
  <c r="O157"/>
  <c r="E158"/>
  <c r="F158"/>
  <c r="H158"/>
  <c r="I158"/>
  <c r="J158"/>
  <c r="K158"/>
  <c r="L158"/>
  <c r="M158"/>
  <c r="N158"/>
  <c r="O158"/>
  <c r="J159"/>
  <c r="K159"/>
  <c r="L159"/>
  <c r="M159"/>
  <c r="N159"/>
  <c r="O159"/>
  <c r="D161"/>
  <c r="E161"/>
  <c r="F161"/>
  <c r="H161"/>
  <c r="I161"/>
  <c r="J161"/>
  <c r="K161"/>
  <c r="L161"/>
  <c r="M161"/>
  <c r="N161"/>
  <c r="O161"/>
  <c r="J162"/>
  <c r="K162"/>
  <c r="L162"/>
  <c r="M162"/>
  <c r="N162"/>
  <c r="O162"/>
  <c r="J163"/>
  <c r="K163"/>
  <c r="L163"/>
  <c r="M163"/>
  <c r="N163"/>
  <c r="O163"/>
  <c r="J164"/>
  <c r="K164"/>
  <c r="L164"/>
  <c r="M164"/>
  <c r="N164"/>
  <c r="O164"/>
  <c r="J165"/>
  <c r="K165"/>
  <c r="L165"/>
  <c r="M165"/>
  <c r="N165"/>
  <c r="O165"/>
  <c r="J166"/>
  <c r="K166"/>
  <c r="L166"/>
  <c r="M166"/>
  <c r="N166"/>
  <c r="O166"/>
  <c r="J167"/>
  <c r="K167"/>
  <c r="L167"/>
  <c r="M167"/>
  <c r="N167"/>
  <c r="O167"/>
  <c r="J168"/>
  <c r="K168"/>
  <c r="L168"/>
  <c r="M168"/>
  <c r="N168"/>
  <c r="O168"/>
  <c r="J169"/>
  <c r="K169"/>
  <c r="L169"/>
  <c r="M169"/>
  <c r="N169"/>
  <c r="O169"/>
  <c r="J170"/>
  <c r="K170"/>
  <c r="L170"/>
  <c r="M170"/>
  <c r="N170"/>
  <c r="O170"/>
  <c r="J171"/>
  <c r="K171"/>
  <c r="L171"/>
  <c r="M171"/>
  <c r="N171"/>
  <c r="O171"/>
  <c r="J172"/>
  <c r="K172"/>
  <c r="L172"/>
  <c r="M172"/>
  <c r="N172"/>
  <c r="O172"/>
  <c r="J173"/>
  <c r="K173"/>
  <c r="L173"/>
  <c r="M173"/>
  <c r="N173"/>
  <c r="O173"/>
  <c r="J174"/>
  <c r="K174"/>
  <c r="L174"/>
  <c r="M174"/>
  <c r="N174"/>
  <c r="O174"/>
  <c r="I175"/>
  <c r="J175"/>
  <c r="K175"/>
  <c r="L175"/>
  <c r="M175"/>
  <c r="N175"/>
  <c r="O175"/>
  <c r="J176"/>
  <c r="K176"/>
  <c r="L176"/>
  <c r="M176"/>
  <c r="N176"/>
  <c r="O176"/>
  <c r="I177"/>
  <c r="J177"/>
  <c r="K177"/>
  <c r="L177"/>
  <c r="M177"/>
  <c r="N177"/>
  <c r="O177"/>
  <c r="J178"/>
  <c r="K178"/>
  <c r="L178"/>
  <c r="M178"/>
  <c r="N178"/>
  <c r="O178"/>
  <c r="E179"/>
  <c r="F179"/>
  <c r="H179"/>
  <c r="I179"/>
  <c r="J179"/>
  <c r="K179"/>
  <c r="L179"/>
  <c r="M179"/>
  <c r="N179"/>
  <c r="O179"/>
  <c r="J180"/>
  <c r="K180"/>
  <c r="L180"/>
  <c r="M180"/>
  <c r="N180"/>
  <c r="O180"/>
  <c r="J181"/>
  <c r="K181"/>
  <c r="L181"/>
  <c r="M181"/>
  <c r="N181"/>
  <c r="O181"/>
  <c r="J182"/>
  <c r="K182"/>
  <c r="L182"/>
  <c r="M182"/>
  <c r="N182"/>
  <c r="O182"/>
  <c r="J183"/>
  <c r="K183"/>
  <c r="L183"/>
  <c r="M183"/>
  <c r="N183"/>
  <c r="O183"/>
  <c r="J184"/>
  <c r="K184"/>
  <c r="L184"/>
  <c r="M184"/>
  <c r="N184"/>
  <c r="O184"/>
  <c r="J185"/>
  <c r="K185"/>
  <c r="L185"/>
  <c r="M185"/>
  <c r="N185"/>
  <c r="O185"/>
  <c r="J186"/>
  <c r="K186"/>
  <c r="L186"/>
  <c r="M186"/>
  <c r="N186"/>
  <c r="O186"/>
  <c r="J187"/>
  <c r="K187"/>
  <c r="L187"/>
  <c r="M187"/>
  <c r="N187"/>
  <c r="O187"/>
  <c r="J188"/>
  <c r="K188"/>
  <c r="L188"/>
  <c r="M188"/>
  <c r="N188"/>
  <c r="O188"/>
  <c r="J189"/>
  <c r="K189"/>
  <c r="L189"/>
  <c r="M189"/>
  <c r="N189"/>
  <c r="O189"/>
  <c r="J190"/>
  <c r="K190"/>
  <c r="L190"/>
  <c r="M190"/>
  <c r="N190"/>
  <c r="O190"/>
  <c r="J191"/>
  <c r="K191"/>
  <c r="L191"/>
  <c r="M191"/>
  <c r="N191"/>
  <c r="O191"/>
  <c r="J192"/>
  <c r="K192"/>
  <c r="L192"/>
  <c r="M192"/>
  <c r="N192"/>
  <c r="O192"/>
  <c r="J193"/>
  <c r="K193"/>
  <c r="L193"/>
  <c r="M193"/>
  <c r="N193"/>
  <c r="O193"/>
  <c r="J194"/>
  <c r="K194"/>
  <c r="L194"/>
  <c r="M194"/>
  <c r="N194"/>
  <c r="O194"/>
  <c r="E195"/>
  <c r="F195"/>
  <c r="H195"/>
  <c r="I195"/>
  <c r="J195"/>
  <c r="K195"/>
  <c r="L195"/>
  <c r="M195"/>
  <c r="N195"/>
  <c r="O195"/>
  <c r="J196"/>
  <c r="K196"/>
  <c r="L196"/>
  <c r="M196"/>
  <c r="N196"/>
  <c r="O196"/>
  <c r="J197"/>
  <c r="K197"/>
  <c r="L197"/>
  <c r="M197"/>
  <c r="N197"/>
  <c r="O197"/>
  <c r="J198"/>
  <c r="K198"/>
  <c r="L198"/>
  <c r="M198"/>
  <c r="N198"/>
  <c r="O198"/>
  <c r="E199"/>
  <c r="F199"/>
  <c r="H199"/>
  <c r="I199"/>
  <c r="J199"/>
  <c r="K199"/>
  <c r="L199"/>
  <c r="M199"/>
  <c r="N199"/>
  <c r="O199"/>
  <c r="I200"/>
  <c r="E201"/>
  <c r="F201"/>
  <c r="H201"/>
  <c r="I201"/>
  <c r="J201"/>
  <c r="K201"/>
  <c r="L201"/>
  <c r="M201"/>
  <c r="N201"/>
  <c r="O201"/>
  <c r="J202"/>
  <c r="K202"/>
  <c r="L202"/>
  <c r="M202"/>
  <c r="N202"/>
  <c r="O202"/>
  <c r="I203"/>
  <c r="J203"/>
  <c r="K203"/>
  <c r="L203"/>
  <c r="M203"/>
  <c r="N203"/>
  <c r="O203"/>
  <c r="J204"/>
  <c r="K204"/>
  <c r="L204"/>
  <c r="M204"/>
  <c r="N204"/>
  <c r="O204"/>
  <c r="J205"/>
  <c r="K205"/>
  <c r="L205"/>
  <c r="M205"/>
  <c r="N205"/>
  <c r="O205"/>
  <c r="E206"/>
  <c r="F206"/>
  <c r="H206"/>
  <c r="I206"/>
  <c r="J206"/>
  <c r="K206"/>
  <c r="L206"/>
  <c r="M206"/>
  <c r="N206"/>
  <c r="O206"/>
  <c r="J207"/>
  <c r="K207"/>
  <c r="L207"/>
  <c r="M207"/>
  <c r="N207"/>
  <c r="O207"/>
  <c r="J208"/>
  <c r="K208"/>
  <c r="L208"/>
  <c r="M208"/>
  <c r="N208"/>
  <c r="O208"/>
  <c r="J209"/>
  <c r="K209"/>
  <c r="L209"/>
  <c r="M209"/>
  <c r="N209"/>
  <c r="O209"/>
  <c r="J210"/>
  <c r="K210"/>
  <c r="L210"/>
  <c r="M210"/>
  <c r="N210"/>
  <c r="O210"/>
  <c r="I211"/>
  <c r="J211"/>
  <c r="K211"/>
  <c r="L211"/>
  <c r="M211"/>
  <c r="N211"/>
  <c r="O211"/>
  <c r="J212"/>
  <c r="K212"/>
  <c r="L212"/>
  <c r="M212"/>
  <c r="N212"/>
  <c r="O212"/>
  <c r="D213"/>
  <c r="E213"/>
  <c r="F213"/>
  <c r="H213"/>
  <c r="I213"/>
  <c r="J213"/>
  <c r="K213"/>
  <c r="L213"/>
  <c r="M213"/>
  <c r="N213"/>
  <c r="O213"/>
  <c r="J214"/>
  <c r="K214"/>
  <c r="L214"/>
  <c r="M214"/>
  <c r="N214"/>
  <c r="O214"/>
  <c r="J215"/>
  <c r="K215"/>
  <c r="L215"/>
  <c r="M215"/>
  <c r="N215"/>
  <c r="O215"/>
  <c r="J216"/>
  <c r="K216"/>
  <c r="L216"/>
  <c r="M216"/>
  <c r="N216"/>
  <c r="O216"/>
  <c r="J217"/>
  <c r="K217"/>
  <c r="L217"/>
  <c r="M217"/>
  <c r="N217"/>
  <c r="O217"/>
  <c r="J218"/>
  <c r="K218"/>
  <c r="L218"/>
  <c r="M218"/>
  <c r="N218"/>
  <c r="O218"/>
  <c r="E219"/>
  <c r="F219"/>
  <c r="H219"/>
  <c r="I219"/>
  <c r="J219"/>
  <c r="K219"/>
  <c r="L219"/>
  <c r="M219"/>
  <c r="N219"/>
  <c r="O219"/>
  <c r="J220"/>
  <c r="K220"/>
  <c r="L220"/>
  <c r="M220"/>
  <c r="N220"/>
  <c r="O220"/>
  <c r="J221"/>
  <c r="K221"/>
  <c r="L221"/>
  <c r="M221"/>
  <c r="N221"/>
  <c r="O221"/>
  <c r="I222"/>
  <c r="J222"/>
  <c r="K222"/>
  <c r="L222"/>
  <c r="M222"/>
  <c r="N222"/>
  <c r="O222"/>
  <c r="I223"/>
  <c r="J223"/>
  <c r="K223"/>
  <c r="L223"/>
  <c r="M223"/>
  <c r="N223"/>
  <c r="O223"/>
  <c r="J224"/>
  <c r="K224"/>
  <c r="L224"/>
  <c r="M224"/>
  <c r="N224"/>
  <c r="O224"/>
  <c r="J225"/>
  <c r="K225"/>
  <c r="L225"/>
  <c r="M225"/>
  <c r="N225"/>
  <c r="O225"/>
  <c r="I226"/>
  <c r="J226"/>
  <c r="K226"/>
  <c r="L226"/>
  <c r="M226"/>
  <c r="N226"/>
  <c r="O226"/>
  <c r="D228"/>
  <c r="E228"/>
  <c r="F228"/>
  <c r="H228"/>
  <c r="I228"/>
  <c r="J228"/>
  <c r="K228"/>
  <c r="L228"/>
  <c r="M228"/>
  <c r="N228"/>
  <c r="O228"/>
  <c r="D229"/>
  <c r="E229"/>
  <c r="F229"/>
  <c r="H229"/>
  <c r="I229"/>
  <c r="J229"/>
  <c r="K229"/>
  <c r="L229"/>
  <c r="M229"/>
  <c r="N229"/>
  <c r="O229"/>
  <c r="D230"/>
  <c r="E230"/>
  <c r="F230"/>
  <c r="H230"/>
  <c r="I230"/>
  <c r="J230"/>
  <c r="K230"/>
  <c r="L230"/>
  <c r="M230"/>
  <c r="N230"/>
  <c r="O230"/>
  <c r="J231"/>
  <c r="K231"/>
  <c r="L231"/>
  <c r="M231"/>
  <c r="N231"/>
  <c r="O231"/>
  <c r="I232"/>
  <c r="J232"/>
  <c r="K232"/>
  <c r="L232"/>
  <c r="M232"/>
  <c r="N232"/>
  <c r="O232"/>
  <c r="I233"/>
  <c r="J233"/>
  <c r="K233"/>
  <c r="L233"/>
  <c r="M233"/>
  <c r="N233"/>
  <c r="O233"/>
  <c r="J234"/>
  <c r="K234"/>
  <c r="L234"/>
  <c r="M234"/>
  <c r="N234"/>
  <c r="O234"/>
  <c r="I235"/>
  <c r="J235"/>
  <c r="K235"/>
  <c r="L235"/>
  <c r="M235"/>
  <c r="N235"/>
  <c r="O235"/>
  <c r="E236"/>
  <c r="F236"/>
  <c r="H236"/>
  <c r="I236"/>
  <c r="J236"/>
  <c r="K236"/>
  <c r="L236"/>
  <c r="M236"/>
  <c r="N236"/>
  <c r="O236"/>
  <c r="I237"/>
  <c r="J237"/>
  <c r="K237"/>
  <c r="L237"/>
  <c r="M237"/>
  <c r="N237"/>
  <c r="O237"/>
  <c r="I238"/>
  <c r="J238"/>
  <c r="K238"/>
  <c r="L238"/>
  <c r="M238"/>
  <c r="N238"/>
  <c r="O238"/>
  <c r="J239"/>
  <c r="K239"/>
  <c r="L239"/>
  <c r="M239"/>
  <c r="N239"/>
  <c r="O239"/>
  <c r="I240"/>
  <c r="J240"/>
  <c r="K240"/>
  <c r="L240"/>
  <c r="M240"/>
  <c r="N240"/>
  <c r="O240"/>
  <c r="I241"/>
  <c r="J241"/>
  <c r="K241"/>
  <c r="L241"/>
  <c r="M241"/>
  <c r="N241"/>
  <c r="O241"/>
  <c r="E242"/>
  <c r="F242"/>
  <c r="H242"/>
  <c r="I242"/>
  <c r="J242"/>
  <c r="K242"/>
  <c r="L242"/>
  <c r="M242"/>
  <c r="N242"/>
  <c r="O242"/>
  <c r="I243"/>
  <c r="J243"/>
  <c r="K243"/>
  <c r="L243"/>
  <c r="M243"/>
  <c r="N243"/>
  <c r="O243"/>
  <c r="E244"/>
  <c r="F244"/>
  <c r="H244"/>
  <c r="I244"/>
  <c r="J244"/>
  <c r="K244"/>
  <c r="L244"/>
  <c r="M244"/>
  <c r="N244"/>
  <c r="O244"/>
  <c r="I245"/>
  <c r="J245"/>
  <c r="K245"/>
  <c r="L245"/>
  <c r="M245"/>
  <c r="N245"/>
  <c r="O245"/>
  <c r="E246"/>
  <c r="F246"/>
  <c r="H246"/>
  <c r="I246"/>
  <c r="J246"/>
  <c r="K246"/>
  <c r="L246"/>
  <c r="M246"/>
  <c r="N246"/>
  <c r="O246"/>
  <c r="D247"/>
  <c r="E247"/>
  <c r="F247"/>
  <c r="H247"/>
  <c r="I247"/>
  <c r="J247"/>
  <c r="K247"/>
  <c r="L247"/>
  <c r="M247"/>
  <c r="N247"/>
  <c r="O247"/>
  <c r="D248"/>
  <c r="E248"/>
  <c r="F248"/>
  <c r="H248"/>
  <c r="I248"/>
  <c r="J248"/>
  <c r="K248"/>
  <c r="L248"/>
  <c r="M248"/>
  <c r="N248"/>
  <c r="O248"/>
  <c r="J249"/>
  <c r="K249"/>
  <c r="L249"/>
  <c r="M249"/>
  <c r="N249"/>
  <c r="O249"/>
  <c r="J250"/>
  <c r="K250"/>
  <c r="L250"/>
  <c r="M250"/>
  <c r="N250"/>
  <c r="O250"/>
  <c r="J251"/>
  <c r="K251"/>
  <c r="L251"/>
  <c r="M251"/>
  <c r="N251"/>
  <c r="O251"/>
  <c r="D252"/>
  <c r="E252"/>
  <c r="F252"/>
  <c r="H252"/>
  <c r="I252"/>
  <c r="J252"/>
  <c r="K252"/>
  <c r="L252"/>
  <c r="M252"/>
  <c r="N252"/>
  <c r="O252"/>
  <c r="J253"/>
  <c r="K253"/>
  <c r="L253"/>
  <c r="M253"/>
  <c r="N253"/>
  <c r="O253"/>
  <c r="J254"/>
  <c r="K254"/>
  <c r="L254"/>
  <c r="M254"/>
  <c r="N254"/>
  <c r="O254"/>
  <c r="E255"/>
  <c r="F255"/>
  <c r="H255"/>
  <c r="I255"/>
  <c r="J255"/>
  <c r="K255"/>
  <c r="L255"/>
  <c r="M255"/>
  <c r="N255"/>
  <c r="O255"/>
  <c r="I256"/>
  <c r="J256"/>
  <c r="K256"/>
  <c r="L256"/>
  <c r="M256"/>
  <c r="N256"/>
  <c r="O256"/>
  <c r="D257"/>
  <c r="E257"/>
  <c r="F257"/>
  <c r="H257"/>
  <c r="I257"/>
  <c r="J257"/>
  <c r="K257"/>
  <c r="L257"/>
  <c r="M257"/>
  <c r="N257"/>
  <c r="O257"/>
  <c r="D258"/>
  <c r="E258"/>
  <c r="F258"/>
  <c r="H258"/>
  <c r="I258"/>
  <c r="J258"/>
  <c r="K258"/>
  <c r="L258"/>
  <c r="M258"/>
  <c r="N258"/>
  <c r="O258"/>
  <c r="D259"/>
  <c r="E259"/>
  <c r="F259"/>
  <c r="H259"/>
  <c r="I259"/>
  <c r="J259"/>
  <c r="K259"/>
  <c r="L259"/>
  <c r="M259"/>
  <c r="N259"/>
  <c r="O259"/>
  <c r="E260"/>
  <c r="F260"/>
  <c r="H260"/>
  <c r="I260"/>
  <c r="J260"/>
  <c r="K260"/>
  <c r="L260"/>
  <c r="M260"/>
  <c r="N260"/>
  <c r="O260"/>
  <c r="I261"/>
  <c r="J261"/>
  <c r="K261"/>
  <c r="L261"/>
  <c r="M261"/>
  <c r="N261"/>
  <c r="O261"/>
  <c r="C5"/>
  <c r="O5"/>
  <c r="N5"/>
  <c r="M5"/>
  <c r="L5"/>
  <c r="K5"/>
  <c r="J5"/>
  <c r="I5"/>
  <c r="H5"/>
  <c r="F5"/>
  <c r="E5"/>
  <c r="D5"/>
  <c r="Q567" i="124"/>
  <c r="R567" s="1"/>
  <c r="S567" s="1"/>
  <c r="T567" s="1"/>
  <c r="U567" s="1"/>
  <c r="V567" s="1"/>
  <c r="W567" s="1"/>
  <c r="Q558"/>
  <c r="T553"/>
  <c r="U553" s="1"/>
  <c r="V553" s="1"/>
  <c r="S553"/>
  <c r="Q552"/>
  <c r="W520"/>
  <c r="W515"/>
  <c r="V513"/>
  <c r="W513" s="1"/>
  <c r="Q513"/>
  <c r="P513"/>
  <c r="V512"/>
  <c r="Q512"/>
  <c r="P512"/>
  <c r="Q498"/>
  <c r="P498"/>
  <c r="Q496"/>
  <c r="P496"/>
  <c r="Q484"/>
  <c r="P484"/>
  <c r="Q483"/>
  <c r="P483"/>
  <c r="W414"/>
  <c r="P343"/>
  <c r="Q332"/>
  <c r="P332"/>
  <c r="Q331"/>
  <c r="P331"/>
  <c r="Q318"/>
  <c r="P318"/>
  <c r="Q317"/>
  <c r="T295"/>
  <c r="U295" s="1"/>
  <c r="V295" s="1"/>
  <c r="W295" s="1"/>
  <c r="S295"/>
  <c r="R295"/>
  <c r="Q295"/>
  <c r="U294"/>
  <c r="S294"/>
  <c r="Q294"/>
  <c r="P293"/>
  <c r="P283"/>
  <c r="P275"/>
  <c r="P274"/>
  <c r="Q242"/>
  <c r="P242"/>
  <c r="W230"/>
  <c r="S228"/>
  <c r="T228" s="1"/>
  <c r="U228" s="1"/>
  <c r="V228" s="1"/>
  <c r="W228" s="1"/>
  <c r="W225"/>
  <c r="V225"/>
  <c r="U225"/>
  <c r="T225"/>
  <c r="S225"/>
  <c r="R225"/>
  <c r="Q225"/>
  <c r="P225"/>
  <c r="U224"/>
  <c r="T224"/>
  <c r="W223"/>
  <c r="W222"/>
  <c r="T221"/>
  <c r="U221" s="1"/>
  <c r="V221" s="1"/>
  <c r="W221" s="1"/>
  <c r="S221"/>
  <c r="R221"/>
  <c r="W220"/>
  <c r="W219"/>
  <c r="W218"/>
  <c r="W217"/>
  <c r="W178"/>
  <c r="V178"/>
  <c r="U178"/>
  <c r="T178"/>
  <c r="S178"/>
  <c r="R178"/>
  <c r="Q178"/>
  <c r="P178"/>
  <c r="W146"/>
  <c r="W143"/>
  <c r="W140"/>
  <c r="W139"/>
  <c r="W116"/>
  <c r="S108"/>
  <c r="T108" s="1"/>
  <c r="U108" s="1"/>
  <c r="V108" s="1"/>
  <c r="W108" s="1"/>
  <c r="R108"/>
  <c r="V106"/>
  <c r="W106" s="1"/>
  <c r="R106"/>
  <c r="T104"/>
  <c r="U104" s="1"/>
  <c r="V104" s="1"/>
  <c r="W104" s="1"/>
  <c r="S104"/>
  <c r="R104"/>
  <c r="W102"/>
  <c r="X101"/>
  <c r="X102" s="1"/>
  <c r="R101"/>
  <c r="S101" s="1"/>
  <c r="T101" s="1"/>
  <c r="U101" s="1"/>
  <c r="V101" s="1"/>
  <c r="W101" s="1"/>
  <c r="W98"/>
  <c r="V98"/>
  <c r="U98"/>
  <c r="T98"/>
  <c r="S98"/>
  <c r="R98"/>
  <c r="Q98"/>
  <c r="P98"/>
  <c r="W96"/>
  <c r="V96"/>
  <c r="U96"/>
  <c r="T96"/>
  <c r="S96"/>
  <c r="R96"/>
  <c r="Q96"/>
  <c r="P96"/>
  <c r="W92"/>
  <c r="W86"/>
  <c r="V81"/>
  <c r="W81" s="1"/>
  <c r="U81"/>
  <c r="T81"/>
  <c r="S81"/>
  <c r="R81"/>
  <c r="Q81"/>
  <c r="P81"/>
  <c r="V79"/>
  <c r="W79" s="1"/>
  <c r="U79"/>
  <c r="T79"/>
  <c r="S79"/>
  <c r="R79"/>
  <c r="Q79"/>
  <c r="P79"/>
  <c r="W67"/>
  <c r="W52"/>
  <c r="W45"/>
  <c r="W44"/>
  <c r="V39"/>
  <c r="U39"/>
  <c r="T39"/>
  <c r="S39"/>
  <c r="W38"/>
  <c r="V38"/>
  <c r="U38"/>
  <c r="T38"/>
  <c r="S38"/>
  <c r="R38"/>
  <c r="Q38"/>
  <c r="P38"/>
  <c r="W34"/>
  <c r="W30"/>
  <c r="H142" i="92"/>
  <c r="H143"/>
  <c r="H144"/>
  <c r="H145"/>
  <c r="H146"/>
  <c r="H147"/>
  <c r="H148"/>
  <c r="H149"/>
  <c r="H150"/>
  <c r="H151"/>
  <c r="H152"/>
  <c r="H153"/>
  <c r="H154"/>
  <c r="H155"/>
  <c r="H156"/>
  <c r="H157"/>
  <c r="H158"/>
  <c r="H159"/>
  <c r="H160"/>
  <c r="H161"/>
  <c r="H162"/>
  <c r="H163"/>
  <c r="H164"/>
  <c r="E134"/>
  <c r="G134"/>
  <c r="H134"/>
  <c r="H135"/>
  <c r="E136"/>
  <c r="G136"/>
  <c r="H136"/>
  <c r="H137"/>
  <c r="H138"/>
  <c r="H139"/>
  <c r="H140"/>
  <c r="E141"/>
  <c r="G141"/>
  <c r="H141"/>
  <c r="E164"/>
  <c r="G164"/>
  <c r="H165"/>
  <c r="H166"/>
  <c r="H167"/>
  <c r="E168"/>
  <c r="G168"/>
  <c r="H168"/>
  <c r="H169"/>
  <c r="E170"/>
  <c r="G170"/>
  <c r="H170"/>
  <c r="E171"/>
  <c r="G171"/>
  <c r="H171"/>
  <c r="H172"/>
  <c r="E173"/>
  <c r="G173"/>
  <c r="H173"/>
  <c r="E174"/>
  <c r="G174"/>
  <c r="H174"/>
  <c r="E175"/>
  <c r="G175"/>
  <c r="H175"/>
  <c r="H176"/>
  <c r="E177"/>
  <c r="G177"/>
  <c r="H177"/>
  <c r="E178"/>
  <c r="G178"/>
  <c r="H178"/>
  <c r="E179"/>
  <c r="G179"/>
  <c r="H179"/>
  <c r="E180"/>
  <c r="G180"/>
  <c r="H180"/>
  <c r="H133"/>
  <c r="G133"/>
  <c r="E133"/>
  <c r="C133"/>
  <c r="H113"/>
  <c r="H114"/>
  <c r="E115"/>
  <c r="G115"/>
  <c r="H115"/>
  <c r="E116"/>
  <c r="G116"/>
  <c r="H116"/>
  <c r="E117"/>
  <c r="G117"/>
  <c r="H117"/>
  <c r="H118"/>
  <c r="E119"/>
  <c r="G119"/>
  <c r="H119"/>
  <c r="H120"/>
  <c r="H121"/>
  <c r="E122"/>
  <c r="G122"/>
  <c r="H122"/>
  <c r="H123"/>
  <c r="H124"/>
  <c r="E125"/>
  <c r="G125"/>
  <c r="H125"/>
  <c r="H126"/>
  <c r="E127"/>
  <c r="G127"/>
  <c r="H127"/>
  <c r="H128"/>
  <c r="H129"/>
  <c r="H130"/>
  <c r="H131"/>
  <c r="H132"/>
  <c r="H112"/>
  <c r="G112"/>
  <c r="E112"/>
  <c r="C112"/>
  <c r="H91"/>
  <c r="H92"/>
  <c r="E93"/>
  <c r="G93"/>
  <c r="H93"/>
  <c r="E94"/>
  <c r="G94"/>
  <c r="H94"/>
  <c r="E95"/>
  <c r="G95"/>
  <c r="H95"/>
  <c r="E96"/>
  <c r="G96"/>
  <c r="H96"/>
  <c r="E97"/>
  <c r="G97"/>
  <c r="H97"/>
  <c r="E98"/>
  <c r="G98"/>
  <c r="H98"/>
  <c r="H99"/>
  <c r="H100"/>
  <c r="E101"/>
  <c r="G101"/>
  <c r="H101"/>
  <c r="H102"/>
  <c r="E103"/>
  <c r="G103"/>
  <c r="H103"/>
  <c r="E104"/>
  <c r="G104"/>
  <c r="H104"/>
  <c r="E105"/>
  <c r="G105"/>
  <c r="H105"/>
  <c r="E106"/>
  <c r="G106"/>
  <c r="H106"/>
  <c r="E107"/>
  <c r="G107"/>
  <c r="H107"/>
  <c r="E108"/>
  <c r="G108"/>
  <c r="H108"/>
  <c r="E109"/>
  <c r="G109"/>
  <c r="H109"/>
  <c r="E110"/>
  <c r="G110"/>
  <c r="H110"/>
  <c r="E111"/>
  <c r="G111"/>
  <c r="H111"/>
  <c r="H90"/>
  <c r="G90"/>
  <c r="E90"/>
  <c r="C90"/>
  <c r="H73"/>
  <c r="G73"/>
  <c r="H74"/>
  <c r="H75"/>
  <c r="E75"/>
  <c r="G75"/>
  <c r="H76"/>
  <c r="H77"/>
  <c r="E77"/>
  <c r="G77"/>
  <c r="H78"/>
  <c r="E78"/>
  <c r="G78"/>
  <c r="H79"/>
  <c r="E79"/>
  <c r="G79"/>
  <c r="E80"/>
  <c r="G80"/>
  <c r="H80"/>
  <c r="H81"/>
  <c r="H82"/>
  <c r="H83"/>
  <c r="E84"/>
  <c r="G84"/>
  <c r="H84"/>
  <c r="H85"/>
  <c r="E85"/>
  <c r="G85"/>
  <c r="H86"/>
  <c r="E86"/>
  <c r="G86"/>
  <c r="H87"/>
  <c r="E87"/>
  <c r="G87"/>
  <c r="H88"/>
  <c r="H89"/>
  <c r="H72"/>
  <c r="G72"/>
  <c r="E72"/>
  <c r="C72"/>
  <c r="H36"/>
  <c r="H37"/>
  <c r="H38"/>
  <c r="H39"/>
  <c r="E38"/>
  <c r="G38"/>
  <c r="H40"/>
  <c r="E41"/>
  <c r="G41"/>
  <c r="H41"/>
  <c r="H42"/>
  <c r="E43"/>
  <c r="G43"/>
  <c r="H43"/>
  <c r="H44"/>
  <c r="H45"/>
  <c r="E46"/>
  <c r="G46"/>
  <c r="H46"/>
  <c r="H47"/>
  <c r="E48"/>
  <c r="G48"/>
  <c r="H48"/>
  <c r="H49"/>
  <c r="E50"/>
  <c r="G50"/>
  <c r="H50"/>
  <c r="E51"/>
  <c r="G51"/>
  <c r="H51"/>
  <c r="H52"/>
  <c r="H53"/>
  <c r="H54"/>
  <c r="H55"/>
  <c r="E56"/>
  <c r="G56"/>
  <c r="H56"/>
  <c r="E57"/>
  <c r="G57"/>
  <c r="H57"/>
  <c r="H58"/>
  <c r="E58"/>
  <c r="G58"/>
  <c r="E59"/>
  <c r="G59"/>
  <c r="E60"/>
  <c r="G60"/>
  <c r="H60"/>
  <c r="E61"/>
  <c r="G61"/>
  <c r="H61"/>
  <c r="E62"/>
  <c r="G62"/>
  <c r="H62"/>
  <c r="E63"/>
  <c r="G63"/>
  <c r="H63"/>
  <c r="E64"/>
  <c r="G64"/>
  <c r="H64"/>
  <c r="E65"/>
  <c r="G65"/>
  <c r="H65"/>
  <c r="E66"/>
  <c r="G66"/>
  <c r="H66"/>
  <c r="E67"/>
  <c r="G67"/>
  <c r="H67"/>
  <c r="H68"/>
  <c r="H69"/>
  <c r="H70"/>
  <c r="E70"/>
  <c r="G70"/>
  <c r="H71"/>
  <c r="E35"/>
  <c r="G35"/>
  <c r="H35"/>
  <c r="C35"/>
  <c r="E6"/>
  <c r="G6"/>
  <c r="H6"/>
  <c r="E7"/>
  <c r="G7"/>
  <c r="H7"/>
  <c r="E8"/>
  <c r="G8"/>
  <c r="H8"/>
  <c r="E9"/>
  <c r="G9"/>
  <c r="H9"/>
  <c r="H10"/>
  <c r="E10"/>
  <c r="G10"/>
  <c r="E11"/>
  <c r="G11"/>
  <c r="H11"/>
  <c r="H12"/>
  <c r="E13"/>
  <c r="G13"/>
  <c r="H13"/>
  <c r="E14"/>
  <c r="G14"/>
  <c r="H14"/>
  <c r="E15"/>
  <c r="G15"/>
  <c r="H15"/>
  <c r="E16"/>
  <c r="G16"/>
  <c r="H16"/>
  <c r="H17"/>
  <c r="H18"/>
  <c r="E19"/>
  <c r="G19"/>
  <c r="H19"/>
  <c r="E20"/>
  <c r="G20"/>
  <c r="H20"/>
  <c r="G21"/>
  <c r="E22"/>
  <c r="G22"/>
  <c r="H22"/>
  <c r="E23"/>
  <c r="G23"/>
  <c r="E24"/>
  <c r="G24"/>
  <c r="H24"/>
  <c r="H25"/>
  <c r="E26"/>
  <c r="G26"/>
  <c r="H26"/>
  <c r="H27"/>
  <c r="E28"/>
  <c r="G28"/>
  <c r="H28"/>
  <c r="E29"/>
  <c r="G29"/>
  <c r="H29"/>
  <c r="E30"/>
  <c r="G30"/>
  <c r="H30"/>
  <c r="E31"/>
  <c r="G31"/>
  <c r="H31"/>
  <c r="E32"/>
  <c r="G32"/>
  <c r="H32"/>
  <c r="H33"/>
  <c r="H34"/>
  <c r="H5"/>
  <c r="G5"/>
  <c r="E5"/>
  <c r="C5"/>
  <c r="U12" i="91"/>
  <c r="T12"/>
  <c r="E80"/>
  <c r="I395"/>
  <c r="J395"/>
  <c r="K395"/>
  <c r="L395"/>
  <c r="M395"/>
  <c r="N395"/>
  <c r="O395"/>
  <c r="P395"/>
  <c r="Q395"/>
  <c r="R395"/>
  <c r="I396"/>
  <c r="J396"/>
  <c r="K396"/>
  <c r="L396"/>
  <c r="M396"/>
  <c r="N396"/>
  <c r="O396"/>
  <c r="P396"/>
  <c r="Q396"/>
  <c r="R396"/>
  <c r="I397"/>
  <c r="J397"/>
  <c r="K397"/>
  <c r="L397"/>
  <c r="M397"/>
  <c r="N397"/>
  <c r="O397"/>
  <c r="P397"/>
  <c r="Q397"/>
  <c r="R397"/>
  <c r="I398"/>
  <c r="J398"/>
  <c r="K398"/>
  <c r="L398"/>
  <c r="M398"/>
  <c r="N398"/>
  <c r="O398"/>
  <c r="P398"/>
  <c r="Q398"/>
  <c r="R398"/>
  <c r="I399"/>
  <c r="J399"/>
  <c r="K399"/>
  <c r="L399"/>
  <c r="M399"/>
  <c r="N399"/>
  <c r="O399"/>
  <c r="P399"/>
  <c r="Q399"/>
  <c r="R399"/>
  <c r="I400"/>
  <c r="J400"/>
  <c r="K400"/>
  <c r="L400"/>
  <c r="M400"/>
  <c r="N400"/>
  <c r="O400"/>
  <c r="P400"/>
  <c r="Q400"/>
  <c r="R400"/>
  <c r="I401"/>
  <c r="J401"/>
  <c r="K401"/>
  <c r="L401"/>
  <c r="M401"/>
  <c r="N401"/>
  <c r="O401"/>
  <c r="P401"/>
  <c r="Q401"/>
  <c r="R401"/>
  <c r="I402"/>
  <c r="J402"/>
  <c r="K402"/>
  <c r="L402"/>
  <c r="M402"/>
  <c r="N402"/>
  <c r="O402"/>
  <c r="P402"/>
  <c r="Q402"/>
  <c r="R402"/>
  <c r="I403"/>
  <c r="J403"/>
  <c r="K403"/>
  <c r="L403"/>
  <c r="M403"/>
  <c r="N403"/>
  <c r="O403"/>
  <c r="P403"/>
  <c r="Q403"/>
  <c r="R403"/>
  <c r="E404"/>
  <c r="F404"/>
  <c r="G404"/>
  <c r="H404"/>
  <c r="I404"/>
  <c r="J404"/>
  <c r="K404"/>
  <c r="L404"/>
  <c r="M404"/>
  <c r="N404"/>
  <c r="O404"/>
  <c r="P404"/>
  <c r="Q404"/>
  <c r="R404"/>
  <c r="I405"/>
  <c r="J405"/>
  <c r="K405"/>
  <c r="L405"/>
  <c r="M405"/>
  <c r="N405"/>
  <c r="O405"/>
  <c r="P405"/>
  <c r="Q405"/>
  <c r="R405"/>
  <c r="E406"/>
  <c r="F406"/>
  <c r="G406"/>
  <c r="H406"/>
  <c r="I406"/>
  <c r="J406"/>
  <c r="K406"/>
  <c r="L406"/>
  <c r="M406"/>
  <c r="N406"/>
  <c r="O406"/>
  <c r="P406"/>
  <c r="Q406"/>
  <c r="R406"/>
  <c r="I407"/>
  <c r="J407"/>
  <c r="K407"/>
  <c r="L407"/>
  <c r="M407"/>
  <c r="N407"/>
  <c r="O407"/>
  <c r="P407"/>
  <c r="Q407"/>
  <c r="R407"/>
  <c r="I408"/>
  <c r="J408"/>
  <c r="K408"/>
  <c r="L408"/>
  <c r="M408"/>
  <c r="N408"/>
  <c r="O408"/>
  <c r="P408"/>
  <c r="Q408"/>
  <c r="R408"/>
  <c r="I409"/>
  <c r="J409"/>
  <c r="K409"/>
  <c r="L409"/>
  <c r="M409"/>
  <c r="N409"/>
  <c r="O409"/>
  <c r="P409"/>
  <c r="Q409"/>
  <c r="R409"/>
  <c r="I410"/>
  <c r="J410"/>
  <c r="K410"/>
  <c r="L410"/>
  <c r="M410"/>
  <c r="N410"/>
  <c r="O410"/>
  <c r="P410"/>
  <c r="Q410"/>
  <c r="R410"/>
  <c r="I411"/>
  <c r="J411"/>
  <c r="K411"/>
  <c r="L411"/>
  <c r="M411"/>
  <c r="N411"/>
  <c r="O411"/>
  <c r="P411"/>
  <c r="Q411"/>
  <c r="R411"/>
  <c r="I412"/>
  <c r="J412"/>
  <c r="K412"/>
  <c r="L412"/>
  <c r="M412"/>
  <c r="N412"/>
  <c r="O412"/>
  <c r="P412"/>
  <c r="Q412"/>
  <c r="R412"/>
  <c r="I413"/>
  <c r="J413"/>
  <c r="K413"/>
  <c r="L413"/>
  <c r="M413"/>
  <c r="N413"/>
  <c r="O413"/>
  <c r="P413"/>
  <c r="Q413"/>
  <c r="R413"/>
  <c r="I414"/>
  <c r="J414"/>
  <c r="K414"/>
  <c r="L414"/>
  <c r="M414"/>
  <c r="N414"/>
  <c r="O414"/>
  <c r="P414"/>
  <c r="Q414"/>
  <c r="R414"/>
  <c r="I415"/>
  <c r="J415"/>
  <c r="K415"/>
  <c r="L415"/>
  <c r="M415"/>
  <c r="N415"/>
  <c r="O415"/>
  <c r="P415"/>
  <c r="Q415"/>
  <c r="R415"/>
  <c r="I416"/>
  <c r="J416"/>
  <c r="K416"/>
  <c r="L416"/>
  <c r="M416"/>
  <c r="N416"/>
  <c r="O416"/>
  <c r="P416"/>
  <c r="Q416"/>
  <c r="R416"/>
  <c r="I417"/>
  <c r="J417"/>
  <c r="K417"/>
  <c r="L417"/>
  <c r="M417"/>
  <c r="N417"/>
  <c r="O417"/>
  <c r="P417"/>
  <c r="Q417"/>
  <c r="R417"/>
  <c r="E418"/>
  <c r="F418"/>
  <c r="G418"/>
  <c r="H418"/>
  <c r="I418"/>
  <c r="J418"/>
  <c r="K418"/>
  <c r="L418"/>
  <c r="M418"/>
  <c r="N418"/>
  <c r="O418"/>
  <c r="P418"/>
  <c r="Q418"/>
  <c r="R418"/>
  <c r="I419"/>
  <c r="J419"/>
  <c r="K419"/>
  <c r="L419"/>
  <c r="M419"/>
  <c r="N419"/>
  <c r="O419"/>
  <c r="P419"/>
  <c r="Q419"/>
  <c r="R419"/>
  <c r="I420"/>
  <c r="J420"/>
  <c r="K420"/>
  <c r="L420"/>
  <c r="M420"/>
  <c r="N420"/>
  <c r="O420"/>
  <c r="P420"/>
  <c r="Q420"/>
  <c r="R420"/>
  <c r="I421"/>
  <c r="J421"/>
  <c r="K421"/>
  <c r="L421"/>
  <c r="M421"/>
  <c r="N421"/>
  <c r="O421"/>
  <c r="P421"/>
  <c r="Q421"/>
  <c r="R421"/>
  <c r="I422"/>
  <c r="J422"/>
  <c r="K422"/>
  <c r="L422"/>
  <c r="M422"/>
  <c r="N422"/>
  <c r="O422"/>
  <c r="P422"/>
  <c r="Q422"/>
  <c r="R422"/>
  <c r="I423"/>
  <c r="J423"/>
  <c r="K423"/>
  <c r="L423"/>
  <c r="M423"/>
  <c r="N423"/>
  <c r="O423"/>
  <c r="P423"/>
  <c r="Q423"/>
  <c r="R423"/>
  <c r="I424"/>
  <c r="J424"/>
  <c r="K424"/>
  <c r="L424"/>
  <c r="M424"/>
  <c r="N424"/>
  <c r="O424"/>
  <c r="P424"/>
  <c r="Q424"/>
  <c r="R424"/>
  <c r="I425"/>
  <c r="J425"/>
  <c r="K425"/>
  <c r="L425"/>
  <c r="M425"/>
  <c r="N425"/>
  <c r="O425"/>
  <c r="P425"/>
  <c r="Q425"/>
  <c r="R425"/>
  <c r="I426"/>
  <c r="J426"/>
  <c r="K426"/>
  <c r="L426"/>
  <c r="M426"/>
  <c r="N426"/>
  <c r="O426"/>
  <c r="P426"/>
  <c r="Q426"/>
  <c r="R426"/>
  <c r="I427"/>
  <c r="J427"/>
  <c r="K427"/>
  <c r="L427"/>
  <c r="M427"/>
  <c r="N427"/>
  <c r="O427"/>
  <c r="P427"/>
  <c r="Q427"/>
  <c r="R427"/>
  <c r="I428"/>
  <c r="J428"/>
  <c r="K428"/>
  <c r="L428"/>
  <c r="M428"/>
  <c r="N428"/>
  <c r="O428"/>
  <c r="P428"/>
  <c r="Q428"/>
  <c r="R428"/>
  <c r="I429"/>
  <c r="J429"/>
  <c r="K429"/>
  <c r="L429"/>
  <c r="M429"/>
  <c r="N429"/>
  <c r="O429"/>
  <c r="P429"/>
  <c r="Q429"/>
  <c r="R429"/>
  <c r="I430"/>
  <c r="J430"/>
  <c r="K430"/>
  <c r="L430"/>
  <c r="M430"/>
  <c r="N430"/>
  <c r="O430"/>
  <c r="P430"/>
  <c r="Q430"/>
  <c r="R430"/>
  <c r="I431"/>
  <c r="J431"/>
  <c r="K431"/>
  <c r="L431"/>
  <c r="M431"/>
  <c r="N431"/>
  <c r="O431"/>
  <c r="P431"/>
  <c r="Q431"/>
  <c r="R431"/>
  <c r="I432"/>
  <c r="J432"/>
  <c r="K432"/>
  <c r="L432"/>
  <c r="M432"/>
  <c r="N432"/>
  <c r="O432"/>
  <c r="P432"/>
  <c r="Q432"/>
  <c r="R432"/>
  <c r="I433"/>
  <c r="J433"/>
  <c r="K433"/>
  <c r="L433"/>
  <c r="M433"/>
  <c r="N433"/>
  <c r="O433"/>
  <c r="P433"/>
  <c r="Q433"/>
  <c r="R433"/>
  <c r="I434"/>
  <c r="J434"/>
  <c r="K434"/>
  <c r="L434"/>
  <c r="M434"/>
  <c r="N434"/>
  <c r="O434"/>
  <c r="P434"/>
  <c r="Q434"/>
  <c r="R434"/>
  <c r="G435"/>
  <c r="H435"/>
  <c r="I435"/>
  <c r="J435"/>
  <c r="K435"/>
  <c r="L435"/>
  <c r="M435"/>
  <c r="N435"/>
  <c r="O435"/>
  <c r="P435"/>
  <c r="Q435"/>
  <c r="R435"/>
  <c r="I436"/>
  <c r="J436"/>
  <c r="K436"/>
  <c r="L436"/>
  <c r="M436"/>
  <c r="N436"/>
  <c r="O436"/>
  <c r="P436"/>
  <c r="Q436"/>
  <c r="R436"/>
  <c r="I437"/>
  <c r="J437"/>
  <c r="K437"/>
  <c r="L437"/>
  <c r="M437"/>
  <c r="N437"/>
  <c r="O437"/>
  <c r="P437"/>
  <c r="Q437"/>
  <c r="R437"/>
  <c r="E438"/>
  <c r="F438"/>
  <c r="G438"/>
  <c r="H438"/>
  <c r="I438"/>
  <c r="J438"/>
  <c r="K438"/>
  <c r="L438"/>
  <c r="M438"/>
  <c r="N438"/>
  <c r="O438"/>
  <c r="P438"/>
  <c r="Q438"/>
  <c r="R438"/>
  <c r="I439"/>
  <c r="J439"/>
  <c r="K439"/>
  <c r="L439"/>
  <c r="M439"/>
  <c r="N439"/>
  <c r="O439"/>
  <c r="P439"/>
  <c r="Q439"/>
  <c r="R439"/>
  <c r="I440"/>
  <c r="J440"/>
  <c r="K440"/>
  <c r="L440"/>
  <c r="M440"/>
  <c r="N440"/>
  <c r="O440"/>
  <c r="P440"/>
  <c r="Q440"/>
  <c r="R440"/>
  <c r="G441"/>
  <c r="H441"/>
  <c r="I441"/>
  <c r="J441"/>
  <c r="K441"/>
  <c r="L441"/>
  <c r="M441"/>
  <c r="N441"/>
  <c r="O441"/>
  <c r="P441"/>
  <c r="Q441"/>
  <c r="R441"/>
  <c r="E442"/>
  <c r="F442"/>
  <c r="G442"/>
  <c r="H442"/>
  <c r="I442"/>
  <c r="J442"/>
  <c r="K442"/>
  <c r="L442"/>
  <c r="M442"/>
  <c r="N442"/>
  <c r="O442"/>
  <c r="P442"/>
  <c r="Q442"/>
  <c r="R442"/>
  <c r="E443"/>
  <c r="F443"/>
  <c r="G443"/>
  <c r="H443"/>
  <c r="I443"/>
  <c r="J443"/>
  <c r="K443"/>
  <c r="L443"/>
  <c r="M443"/>
  <c r="N443"/>
  <c r="O443"/>
  <c r="P443"/>
  <c r="Q443"/>
  <c r="R443"/>
  <c r="I444"/>
  <c r="J444"/>
  <c r="K444"/>
  <c r="L444"/>
  <c r="M444"/>
  <c r="N444"/>
  <c r="O444"/>
  <c r="P444"/>
  <c r="Q444"/>
  <c r="R444"/>
  <c r="I445"/>
  <c r="J445"/>
  <c r="K445"/>
  <c r="L445"/>
  <c r="M445"/>
  <c r="N445"/>
  <c r="O445"/>
  <c r="P445"/>
  <c r="Q445"/>
  <c r="R445"/>
  <c r="I446"/>
  <c r="J446"/>
  <c r="K446"/>
  <c r="L446"/>
  <c r="M446"/>
  <c r="N446"/>
  <c r="O446"/>
  <c r="P446"/>
  <c r="Q446"/>
  <c r="R446"/>
  <c r="I447"/>
  <c r="J447"/>
  <c r="K447"/>
  <c r="L447"/>
  <c r="M447"/>
  <c r="N447"/>
  <c r="O447"/>
  <c r="P447"/>
  <c r="Q447"/>
  <c r="R447"/>
  <c r="E448"/>
  <c r="F448"/>
  <c r="G448"/>
  <c r="H448"/>
  <c r="I448"/>
  <c r="J448"/>
  <c r="K448"/>
  <c r="L448"/>
  <c r="M448"/>
  <c r="N448"/>
  <c r="O448"/>
  <c r="P448"/>
  <c r="Q448"/>
  <c r="R448"/>
  <c r="I449"/>
  <c r="J449"/>
  <c r="K449"/>
  <c r="L449"/>
  <c r="M449"/>
  <c r="N449"/>
  <c r="O449"/>
  <c r="P449"/>
  <c r="Q449"/>
  <c r="R449"/>
  <c r="I450"/>
  <c r="J450"/>
  <c r="K450"/>
  <c r="L450"/>
  <c r="M450"/>
  <c r="N450"/>
  <c r="O450"/>
  <c r="P450"/>
  <c r="Q450"/>
  <c r="R450"/>
  <c r="I451"/>
  <c r="J451"/>
  <c r="K451"/>
  <c r="L451"/>
  <c r="M451"/>
  <c r="N451"/>
  <c r="O451"/>
  <c r="P451"/>
  <c r="Q451"/>
  <c r="R451"/>
  <c r="G452"/>
  <c r="H452"/>
  <c r="I452"/>
  <c r="J452"/>
  <c r="K452"/>
  <c r="L452"/>
  <c r="M452"/>
  <c r="N452"/>
  <c r="O452"/>
  <c r="P452"/>
  <c r="Q452"/>
  <c r="R452"/>
  <c r="I453"/>
  <c r="J453"/>
  <c r="K453"/>
  <c r="L453"/>
  <c r="M453"/>
  <c r="N453"/>
  <c r="O453"/>
  <c r="P453"/>
  <c r="Q453"/>
  <c r="R453"/>
  <c r="I454"/>
  <c r="J454"/>
  <c r="K454"/>
  <c r="L454"/>
  <c r="M454"/>
  <c r="N454"/>
  <c r="O454"/>
  <c r="P454"/>
  <c r="Q454"/>
  <c r="R454"/>
  <c r="I455"/>
  <c r="J455"/>
  <c r="K455"/>
  <c r="L455"/>
  <c r="M455"/>
  <c r="N455"/>
  <c r="O455"/>
  <c r="P455"/>
  <c r="Q455"/>
  <c r="R455"/>
  <c r="I456"/>
  <c r="J456"/>
  <c r="K456"/>
  <c r="L456"/>
  <c r="M456"/>
  <c r="N456"/>
  <c r="O456"/>
  <c r="P456"/>
  <c r="Q456"/>
  <c r="R456"/>
  <c r="I457"/>
  <c r="J457"/>
  <c r="K457"/>
  <c r="L457"/>
  <c r="M457"/>
  <c r="N457"/>
  <c r="O457"/>
  <c r="P457"/>
  <c r="Q457"/>
  <c r="R457"/>
  <c r="E458"/>
  <c r="F458"/>
  <c r="G458"/>
  <c r="H458"/>
  <c r="I458"/>
  <c r="J458"/>
  <c r="K458"/>
  <c r="L458"/>
  <c r="M458"/>
  <c r="N458"/>
  <c r="O458"/>
  <c r="P458"/>
  <c r="Q458"/>
  <c r="R458"/>
  <c r="I459"/>
  <c r="J459"/>
  <c r="K459"/>
  <c r="L459"/>
  <c r="M459"/>
  <c r="N459"/>
  <c r="O459"/>
  <c r="P459"/>
  <c r="Q459"/>
  <c r="R459"/>
  <c r="E460"/>
  <c r="F460"/>
  <c r="G460"/>
  <c r="H460"/>
  <c r="I460"/>
  <c r="J460"/>
  <c r="K460"/>
  <c r="L460"/>
  <c r="M460"/>
  <c r="N460"/>
  <c r="O460"/>
  <c r="P460"/>
  <c r="Q460"/>
  <c r="R460"/>
  <c r="E461"/>
  <c r="F461"/>
  <c r="G461"/>
  <c r="H461"/>
  <c r="I461"/>
  <c r="J461"/>
  <c r="K461"/>
  <c r="L461"/>
  <c r="M461"/>
  <c r="N461"/>
  <c r="O461"/>
  <c r="P461"/>
  <c r="Q461"/>
  <c r="R461"/>
  <c r="I462"/>
  <c r="J462"/>
  <c r="K462"/>
  <c r="L462"/>
  <c r="M462"/>
  <c r="N462"/>
  <c r="O462"/>
  <c r="P462"/>
  <c r="Q462"/>
  <c r="R462"/>
  <c r="I463"/>
  <c r="J463"/>
  <c r="K463"/>
  <c r="L463"/>
  <c r="M463"/>
  <c r="N463"/>
  <c r="O463"/>
  <c r="P463"/>
  <c r="Q463"/>
  <c r="R463"/>
  <c r="I464"/>
  <c r="J464"/>
  <c r="K464"/>
  <c r="L464"/>
  <c r="M464"/>
  <c r="N464"/>
  <c r="O464"/>
  <c r="P464"/>
  <c r="Q464"/>
  <c r="R464"/>
  <c r="I465"/>
  <c r="J465"/>
  <c r="K465"/>
  <c r="L465"/>
  <c r="M465"/>
  <c r="N465"/>
  <c r="O465"/>
  <c r="P465"/>
  <c r="Q465"/>
  <c r="R465"/>
  <c r="I466"/>
  <c r="J466"/>
  <c r="K466"/>
  <c r="L466"/>
  <c r="M466"/>
  <c r="N466"/>
  <c r="O466"/>
  <c r="P466"/>
  <c r="Q466"/>
  <c r="R466"/>
  <c r="I467"/>
  <c r="J467"/>
  <c r="K467"/>
  <c r="L467"/>
  <c r="M467"/>
  <c r="N467"/>
  <c r="O467"/>
  <c r="P467"/>
  <c r="Q467"/>
  <c r="R467"/>
  <c r="I468"/>
  <c r="J468"/>
  <c r="K468"/>
  <c r="L468"/>
  <c r="M468"/>
  <c r="N468"/>
  <c r="O468"/>
  <c r="P468"/>
  <c r="Q468"/>
  <c r="R468"/>
  <c r="I469"/>
  <c r="J469"/>
  <c r="K469"/>
  <c r="L469"/>
  <c r="M469"/>
  <c r="N469"/>
  <c r="O469"/>
  <c r="P469"/>
  <c r="Q469"/>
  <c r="R469"/>
  <c r="I470"/>
  <c r="J470"/>
  <c r="K470"/>
  <c r="L470"/>
  <c r="M470"/>
  <c r="N470"/>
  <c r="O470"/>
  <c r="P470"/>
  <c r="Q470"/>
  <c r="R470"/>
  <c r="E471"/>
  <c r="F471"/>
  <c r="G471"/>
  <c r="H471"/>
  <c r="I471"/>
  <c r="J471"/>
  <c r="K471"/>
  <c r="L471"/>
  <c r="M471"/>
  <c r="N471"/>
  <c r="O471"/>
  <c r="P471"/>
  <c r="Q471"/>
  <c r="R471"/>
  <c r="I472"/>
  <c r="J472"/>
  <c r="K472"/>
  <c r="L472"/>
  <c r="M472"/>
  <c r="N472"/>
  <c r="O472"/>
  <c r="P472"/>
  <c r="Q472"/>
  <c r="R472"/>
  <c r="J394"/>
  <c r="K394"/>
  <c r="L394"/>
  <c r="M394"/>
  <c r="N394"/>
  <c r="O394"/>
  <c r="P394"/>
  <c r="Q394"/>
  <c r="R394"/>
  <c r="I394"/>
  <c r="F394"/>
  <c r="G394"/>
  <c r="H394"/>
  <c r="E394"/>
  <c r="D394"/>
  <c r="I317"/>
  <c r="J317"/>
  <c r="K317"/>
  <c r="L317"/>
  <c r="M317"/>
  <c r="N317"/>
  <c r="O317"/>
  <c r="P317"/>
  <c r="Q317"/>
  <c r="R317"/>
  <c r="I318"/>
  <c r="J318"/>
  <c r="K318"/>
  <c r="L318"/>
  <c r="M318"/>
  <c r="N318"/>
  <c r="O318"/>
  <c r="P318"/>
  <c r="Q318"/>
  <c r="R318"/>
  <c r="I319"/>
  <c r="J319"/>
  <c r="K319"/>
  <c r="L319"/>
  <c r="M319"/>
  <c r="N319"/>
  <c r="O319"/>
  <c r="P319"/>
  <c r="Q319"/>
  <c r="R319"/>
  <c r="I320"/>
  <c r="J320"/>
  <c r="K320"/>
  <c r="L320"/>
  <c r="M320"/>
  <c r="N320"/>
  <c r="O320"/>
  <c r="P320"/>
  <c r="Q320"/>
  <c r="R320"/>
  <c r="I321"/>
  <c r="J321"/>
  <c r="K321"/>
  <c r="L321"/>
  <c r="M321"/>
  <c r="N321"/>
  <c r="O321"/>
  <c r="P321"/>
  <c r="Q321"/>
  <c r="R321"/>
  <c r="I322"/>
  <c r="J322"/>
  <c r="K322"/>
  <c r="L322"/>
  <c r="M322"/>
  <c r="N322"/>
  <c r="O322"/>
  <c r="P322"/>
  <c r="Q322"/>
  <c r="R322"/>
  <c r="I323"/>
  <c r="J323"/>
  <c r="K323"/>
  <c r="L323"/>
  <c r="M323"/>
  <c r="N323"/>
  <c r="O323"/>
  <c r="P323"/>
  <c r="Q323"/>
  <c r="R323"/>
  <c r="I324"/>
  <c r="J324"/>
  <c r="K324"/>
  <c r="L324"/>
  <c r="M324"/>
  <c r="N324"/>
  <c r="O324"/>
  <c r="P324"/>
  <c r="Q324"/>
  <c r="R324"/>
  <c r="I325"/>
  <c r="J325"/>
  <c r="K325"/>
  <c r="L325"/>
  <c r="M325"/>
  <c r="N325"/>
  <c r="O325"/>
  <c r="P325"/>
  <c r="Q325"/>
  <c r="R325"/>
  <c r="I326"/>
  <c r="J326"/>
  <c r="K326"/>
  <c r="L326"/>
  <c r="M326"/>
  <c r="N326"/>
  <c r="O326"/>
  <c r="P326"/>
  <c r="Q326"/>
  <c r="R326"/>
  <c r="I327"/>
  <c r="J327"/>
  <c r="K327"/>
  <c r="L327"/>
  <c r="M327"/>
  <c r="N327"/>
  <c r="O327"/>
  <c r="P327"/>
  <c r="Q327"/>
  <c r="R327"/>
  <c r="I328"/>
  <c r="J328"/>
  <c r="K328"/>
  <c r="L328"/>
  <c r="M328"/>
  <c r="N328"/>
  <c r="O328"/>
  <c r="P328"/>
  <c r="Q328"/>
  <c r="R328"/>
  <c r="I329"/>
  <c r="J329"/>
  <c r="K329"/>
  <c r="L329"/>
  <c r="M329"/>
  <c r="N329"/>
  <c r="O329"/>
  <c r="P329"/>
  <c r="Q329"/>
  <c r="R329"/>
  <c r="I330"/>
  <c r="J330"/>
  <c r="K330"/>
  <c r="L330"/>
  <c r="M330"/>
  <c r="N330"/>
  <c r="O330"/>
  <c r="P330"/>
  <c r="Q330"/>
  <c r="R330"/>
  <c r="I331"/>
  <c r="J331"/>
  <c r="K331"/>
  <c r="L331"/>
  <c r="M331"/>
  <c r="N331"/>
  <c r="O331"/>
  <c r="P331"/>
  <c r="Q331"/>
  <c r="R331"/>
  <c r="I332"/>
  <c r="J332"/>
  <c r="K332"/>
  <c r="L332"/>
  <c r="M332"/>
  <c r="N332"/>
  <c r="O332"/>
  <c r="P332"/>
  <c r="Q332"/>
  <c r="R332"/>
  <c r="I333"/>
  <c r="J333"/>
  <c r="K333"/>
  <c r="L333"/>
  <c r="M333"/>
  <c r="N333"/>
  <c r="O333"/>
  <c r="P333"/>
  <c r="Q333"/>
  <c r="R333"/>
  <c r="E334"/>
  <c r="F334"/>
  <c r="G334"/>
  <c r="H334"/>
  <c r="I334"/>
  <c r="J334"/>
  <c r="K334"/>
  <c r="L334"/>
  <c r="M334"/>
  <c r="N334"/>
  <c r="O334"/>
  <c r="P334"/>
  <c r="Q334"/>
  <c r="R334"/>
  <c r="I335"/>
  <c r="J335"/>
  <c r="K335"/>
  <c r="L335"/>
  <c r="M335"/>
  <c r="N335"/>
  <c r="O335"/>
  <c r="P335"/>
  <c r="Q335"/>
  <c r="R335"/>
  <c r="I336"/>
  <c r="J336"/>
  <c r="K336"/>
  <c r="L336"/>
  <c r="M336"/>
  <c r="N336"/>
  <c r="O336"/>
  <c r="P336"/>
  <c r="Q336"/>
  <c r="R336"/>
  <c r="I337"/>
  <c r="J337"/>
  <c r="K337"/>
  <c r="L337"/>
  <c r="M337"/>
  <c r="N337"/>
  <c r="O337"/>
  <c r="P337"/>
  <c r="Q337"/>
  <c r="R337"/>
  <c r="I338"/>
  <c r="J338"/>
  <c r="K338"/>
  <c r="L338"/>
  <c r="M338"/>
  <c r="N338"/>
  <c r="O338"/>
  <c r="P338"/>
  <c r="Q338"/>
  <c r="R338"/>
  <c r="I339"/>
  <c r="J339"/>
  <c r="K339"/>
  <c r="L339"/>
  <c r="M339"/>
  <c r="N339"/>
  <c r="O339"/>
  <c r="P339"/>
  <c r="Q339"/>
  <c r="R339"/>
  <c r="I340"/>
  <c r="J340"/>
  <c r="K340"/>
  <c r="L340"/>
  <c r="M340"/>
  <c r="N340"/>
  <c r="O340"/>
  <c r="P340"/>
  <c r="Q340"/>
  <c r="R340"/>
  <c r="I341"/>
  <c r="J341"/>
  <c r="K341"/>
  <c r="L341"/>
  <c r="M341"/>
  <c r="N341"/>
  <c r="O341"/>
  <c r="P341"/>
  <c r="Q341"/>
  <c r="R341"/>
  <c r="I342"/>
  <c r="J342"/>
  <c r="K342"/>
  <c r="L342"/>
  <c r="M342"/>
  <c r="N342"/>
  <c r="O342"/>
  <c r="P342"/>
  <c r="Q342"/>
  <c r="R342"/>
  <c r="I343"/>
  <c r="J343"/>
  <c r="K343"/>
  <c r="L343"/>
  <c r="M343"/>
  <c r="N343"/>
  <c r="O343"/>
  <c r="P343"/>
  <c r="Q343"/>
  <c r="R343"/>
  <c r="I344"/>
  <c r="J344"/>
  <c r="K344"/>
  <c r="L344"/>
  <c r="M344"/>
  <c r="N344"/>
  <c r="O344"/>
  <c r="P344"/>
  <c r="Q344"/>
  <c r="R344"/>
  <c r="I345"/>
  <c r="J345"/>
  <c r="K345"/>
  <c r="L345"/>
  <c r="M345"/>
  <c r="N345"/>
  <c r="O345"/>
  <c r="P345"/>
  <c r="Q345"/>
  <c r="R345"/>
  <c r="I346"/>
  <c r="J346"/>
  <c r="K346"/>
  <c r="L346"/>
  <c r="M346"/>
  <c r="N346"/>
  <c r="O346"/>
  <c r="P346"/>
  <c r="Q346"/>
  <c r="R346"/>
  <c r="I347"/>
  <c r="J347"/>
  <c r="K347"/>
  <c r="L347"/>
  <c r="M347"/>
  <c r="N347"/>
  <c r="O347"/>
  <c r="P347"/>
  <c r="Q347"/>
  <c r="R347"/>
  <c r="I348"/>
  <c r="J348"/>
  <c r="K348"/>
  <c r="L348"/>
  <c r="M348"/>
  <c r="N348"/>
  <c r="O348"/>
  <c r="P348"/>
  <c r="Q348"/>
  <c r="R348"/>
  <c r="I349"/>
  <c r="J349"/>
  <c r="K349"/>
  <c r="L349"/>
  <c r="M349"/>
  <c r="N349"/>
  <c r="O349"/>
  <c r="P349"/>
  <c r="Q349"/>
  <c r="R349"/>
  <c r="E350"/>
  <c r="F350"/>
  <c r="G350"/>
  <c r="H350"/>
  <c r="I350"/>
  <c r="J350"/>
  <c r="K350"/>
  <c r="L350"/>
  <c r="M350"/>
  <c r="N350"/>
  <c r="O350"/>
  <c r="P350"/>
  <c r="Q350"/>
  <c r="R350"/>
  <c r="I351"/>
  <c r="J351"/>
  <c r="K351"/>
  <c r="L351"/>
  <c r="M351"/>
  <c r="N351"/>
  <c r="O351"/>
  <c r="P351"/>
  <c r="Q351"/>
  <c r="R351"/>
  <c r="I352"/>
  <c r="J352"/>
  <c r="K352"/>
  <c r="L352"/>
  <c r="M352"/>
  <c r="N352"/>
  <c r="O352"/>
  <c r="P352"/>
  <c r="Q352"/>
  <c r="R352"/>
  <c r="I353"/>
  <c r="J353"/>
  <c r="K353"/>
  <c r="L353"/>
  <c r="M353"/>
  <c r="N353"/>
  <c r="O353"/>
  <c r="P353"/>
  <c r="Q353"/>
  <c r="R353"/>
  <c r="E354"/>
  <c r="F354"/>
  <c r="G354"/>
  <c r="H354"/>
  <c r="I354"/>
  <c r="J354"/>
  <c r="K354"/>
  <c r="L354"/>
  <c r="M354"/>
  <c r="N354"/>
  <c r="O354"/>
  <c r="P354"/>
  <c r="Q354"/>
  <c r="R354"/>
  <c r="E355"/>
  <c r="F355"/>
  <c r="G355"/>
  <c r="H355"/>
  <c r="I355"/>
  <c r="J355"/>
  <c r="K355"/>
  <c r="L355"/>
  <c r="M355"/>
  <c r="N355"/>
  <c r="O355"/>
  <c r="P355"/>
  <c r="Q355"/>
  <c r="R355"/>
  <c r="I356"/>
  <c r="J356"/>
  <c r="K356"/>
  <c r="L356"/>
  <c r="M356"/>
  <c r="N356"/>
  <c r="O356"/>
  <c r="P356"/>
  <c r="Q356"/>
  <c r="R356"/>
  <c r="I357"/>
  <c r="J357"/>
  <c r="K357"/>
  <c r="L357"/>
  <c r="M357"/>
  <c r="N357"/>
  <c r="O357"/>
  <c r="P357"/>
  <c r="Q357"/>
  <c r="R357"/>
  <c r="I358"/>
  <c r="J358"/>
  <c r="K358"/>
  <c r="L358"/>
  <c r="M358"/>
  <c r="N358"/>
  <c r="O358"/>
  <c r="P358"/>
  <c r="Q358"/>
  <c r="R358"/>
  <c r="I359"/>
  <c r="J359"/>
  <c r="K359"/>
  <c r="L359"/>
  <c r="M359"/>
  <c r="N359"/>
  <c r="O359"/>
  <c r="P359"/>
  <c r="Q359"/>
  <c r="R359"/>
  <c r="I360"/>
  <c r="J360"/>
  <c r="K360"/>
  <c r="L360"/>
  <c r="M360"/>
  <c r="N360"/>
  <c r="O360"/>
  <c r="P360"/>
  <c r="Q360"/>
  <c r="R360"/>
  <c r="I361"/>
  <c r="J361"/>
  <c r="K361"/>
  <c r="L361"/>
  <c r="M361"/>
  <c r="N361"/>
  <c r="O361"/>
  <c r="P361"/>
  <c r="Q361"/>
  <c r="R361"/>
  <c r="I362"/>
  <c r="J362"/>
  <c r="K362"/>
  <c r="L362"/>
  <c r="M362"/>
  <c r="N362"/>
  <c r="O362"/>
  <c r="P362"/>
  <c r="Q362"/>
  <c r="R362"/>
  <c r="I363"/>
  <c r="J363"/>
  <c r="K363"/>
  <c r="L363"/>
  <c r="M363"/>
  <c r="N363"/>
  <c r="O363"/>
  <c r="P363"/>
  <c r="Q363"/>
  <c r="R363"/>
  <c r="I364"/>
  <c r="J364"/>
  <c r="K364"/>
  <c r="L364"/>
  <c r="M364"/>
  <c r="N364"/>
  <c r="O364"/>
  <c r="P364"/>
  <c r="Q364"/>
  <c r="R364"/>
  <c r="I365"/>
  <c r="J365"/>
  <c r="K365"/>
  <c r="L365"/>
  <c r="M365"/>
  <c r="N365"/>
  <c r="O365"/>
  <c r="P365"/>
  <c r="Q365"/>
  <c r="R365"/>
  <c r="I366"/>
  <c r="J366"/>
  <c r="K366"/>
  <c r="L366"/>
  <c r="M366"/>
  <c r="N366"/>
  <c r="O366"/>
  <c r="P366"/>
  <c r="Q366"/>
  <c r="R366"/>
  <c r="E367"/>
  <c r="F367"/>
  <c r="G367"/>
  <c r="H367"/>
  <c r="I367"/>
  <c r="J367"/>
  <c r="K367"/>
  <c r="L367"/>
  <c r="M367"/>
  <c r="N367"/>
  <c r="O367"/>
  <c r="P367"/>
  <c r="Q367"/>
  <c r="R367"/>
  <c r="I368"/>
  <c r="J368"/>
  <c r="K368"/>
  <c r="L368"/>
  <c r="M368"/>
  <c r="N368"/>
  <c r="O368"/>
  <c r="P368"/>
  <c r="Q368"/>
  <c r="R368"/>
  <c r="I369"/>
  <c r="J369"/>
  <c r="K369"/>
  <c r="L369"/>
  <c r="M369"/>
  <c r="N369"/>
  <c r="O369"/>
  <c r="P369"/>
  <c r="Q369"/>
  <c r="R369"/>
  <c r="I370"/>
  <c r="J370"/>
  <c r="K370"/>
  <c r="L370"/>
  <c r="M370"/>
  <c r="N370"/>
  <c r="O370"/>
  <c r="P370"/>
  <c r="Q370"/>
  <c r="R370"/>
  <c r="I371"/>
  <c r="J371"/>
  <c r="K371"/>
  <c r="L371"/>
  <c r="M371"/>
  <c r="N371"/>
  <c r="O371"/>
  <c r="P371"/>
  <c r="Q371"/>
  <c r="R371"/>
  <c r="I372"/>
  <c r="J372"/>
  <c r="K372"/>
  <c r="L372"/>
  <c r="M372"/>
  <c r="N372"/>
  <c r="O372"/>
  <c r="P372"/>
  <c r="Q372"/>
  <c r="R372"/>
  <c r="I373"/>
  <c r="J373"/>
  <c r="K373"/>
  <c r="L373"/>
  <c r="M373"/>
  <c r="N373"/>
  <c r="O373"/>
  <c r="P373"/>
  <c r="Q373"/>
  <c r="R373"/>
  <c r="I374"/>
  <c r="J374"/>
  <c r="K374"/>
  <c r="L374"/>
  <c r="M374"/>
  <c r="N374"/>
  <c r="O374"/>
  <c r="P374"/>
  <c r="Q374"/>
  <c r="R374"/>
  <c r="I375"/>
  <c r="J375"/>
  <c r="K375"/>
  <c r="L375"/>
  <c r="M375"/>
  <c r="N375"/>
  <c r="O375"/>
  <c r="P375"/>
  <c r="Q375"/>
  <c r="R375"/>
  <c r="E376"/>
  <c r="F376"/>
  <c r="G376"/>
  <c r="H376"/>
  <c r="I376"/>
  <c r="J376"/>
  <c r="K376"/>
  <c r="L376"/>
  <c r="M376"/>
  <c r="N376"/>
  <c r="O376"/>
  <c r="P376"/>
  <c r="Q376"/>
  <c r="R376"/>
  <c r="I377"/>
  <c r="J377"/>
  <c r="K377"/>
  <c r="L377"/>
  <c r="M377"/>
  <c r="N377"/>
  <c r="O377"/>
  <c r="P377"/>
  <c r="Q377"/>
  <c r="R377"/>
  <c r="I378"/>
  <c r="J378"/>
  <c r="K378"/>
  <c r="L378"/>
  <c r="M378"/>
  <c r="N378"/>
  <c r="O378"/>
  <c r="P378"/>
  <c r="Q378"/>
  <c r="R378"/>
  <c r="I379"/>
  <c r="J379"/>
  <c r="K379"/>
  <c r="L379"/>
  <c r="M379"/>
  <c r="N379"/>
  <c r="O379"/>
  <c r="P379"/>
  <c r="Q379"/>
  <c r="R379"/>
  <c r="I380"/>
  <c r="J380"/>
  <c r="K380"/>
  <c r="L380"/>
  <c r="M380"/>
  <c r="N380"/>
  <c r="O380"/>
  <c r="P380"/>
  <c r="Q380"/>
  <c r="R380"/>
  <c r="I381"/>
  <c r="J381"/>
  <c r="K381"/>
  <c r="L381"/>
  <c r="M381"/>
  <c r="N381"/>
  <c r="O381"/>
  <c r="P381"/>
  <c r="Q381"/>
  <c r="R381"/>
  <c r="I382"/>
  <c r="J382"/>
  <c r="K382"/>
  <c r="L382"/>
  <c r="M382"/>
  <c r="N382"/>
  <c r="O382"/>
  <c r="P382"/>
  <c r="Q382"/>
  <c r="R382"/>
  <c r="G383"/>
  <c r="H383"/>
  <c r="I383"/>
  <c r="J383"/>
  <c r="K383"/>
  <c r="L383"/>
  <c r="M383"/>
  <c r="N383"/>
  <c r="O383"/>
  <c r="P383"/>
  <c r="Q383"/>
  <c r="R383"/>
  <c r="I384"/>
  <c r="J384"/>
  <c r="K384"/>
  <c r="L384"/>
  <c r="M384"/>
  <c r="N384"/>
  <c r="O384"/>
  <c r="P384"/>
  <c r="Q384"/>
  <c r="R384"/>
  <c r="I385"/>
  <c r="J385"/>
  <c r="K385"/>
  <c r="L385"/>
  <c r="M385"/>
  <c r="N385"/>
  <c r="O385"/>
  <c r="P385"/>
  <c r="Q385"/>
  <c r="R385"/>
  <c r="I386"/>
  <c r="J386"/>
  <c r="K386"/>
  <c r="L386"/>
  <c r="M386"/>
  <c r="N386"/>
  <c r="O386"/>
  <c r="P386"/>
  <c r="Q386"/>
  <c r="R386"/>
  <c r="I387"/>
  <c r="J387"/>
  <c r="K387"/>
  <c r="L387"/>
  <c r="M387"/>
  <c r="N387"/>
  <c r="O387"/>
  <c r="P387"/>
  <c r="Q387"/>
  <c r="R387"/>
  <c r="I388"/>
  <c r="J388"/>
  <c r="K388"/>
  <c r="L388"/>
  <c r="M388"/>
  <c r="N388"/>
  <c r="O388"/>
  <c r="P388"/>
  <c r="Q388"/>
  <c r="R388"/>
  <c r="I389"/>
  <c r="J389"/>
  <c r="K389"/>
  <c r="L389"/>
  <c r="M389"/>
  <c r="N389"/>
  <c r="O389"/>
  <c r="P389"/>
  <c r="Q389"/>
  <c r="R389"/>
  <c r="I390"/>
  <c r="J390"/>
  <c r="K390"/>
  <c r="L390"/>
  <c r="M390"/>
  <c r="N390"/>
  <c r="O390"/>
  <c r="P390"/>
  <c r="Q390"/>
  <c r="R390"/>
  <c r="I391"/>
  <c r="J391"/>
  <c r="K391"/>
  <c r="L391"/>
  <c r="M391"/>
  <c r="N391"/>
  <c r="O391"/>
  <c r="P391"/>
  <c r="Q391"/>
  <c r="R391"/>
  <c r="I392"/>
  <c r="J392"/>
  <c r="K392"/>
  <c r="L392"/>
  <c r="M392"/>
  <c r="N392"/>
  <c r="O392"/>
  <c r="P392"/>
  <c r="Q392"/>
  <c r="R392"/>
  <c r="I393"/>
  <c r="J393"/>
  <c r="K393"/>
  <c r="L393"/>
  <c r="M393"/>
  <c r="N393"/>
  <c r="O393"/>
  <c r="P393"/>
  <c r="Q393"/>
  <c r="R393"/>
  <c r="J316"/>
  <c r="K316"/>
  <c r="L316"/>
  <c r="M316"/>
  <c r="N316"/>
  <c r="O316"/>
  <c r="P316"/>
  <c r="Q316"/>
  <c r="R316"/>
  <c r="I316"/>
  <c r="F316"/>
  <c r="G316"/>
  <c r="H316"/>
  <c r="E316"/>
  <c r="D316"/>
  <c r="G310"/>
  <c r="H310"/>
  <c r="I310"/>
  <c r="J310"/>
  <c r="K310"/>
  <c r="L310"/>
  <c r="M310"/>
  <c r="N310"/>
  <c r="O310"/>
  <c r="P310"/>
  <c r="Q310"/>
  <c r="R310"/>
  <c r="I311"/>
  <c r="J311"/>
  <c r="K311"/>
  <c r="L311"/>
  <c r="M311"/>
  <c r="N311"/>
  <c r="O311"/>
  <c r="P311"/>
  <c r="Q311"/>
  <c r="R311"/>
  <c r="I312"/>
  <c r="J312"/>
  <c r="K312"/>
  <c r="L312"/>
  <c r="M312"/>
  <c r="N312"/>
  <c r="O312"/>
  <c r="P312"/>
  <c r="Q312"/>
  <c r="R312"/>
  <c r="I313"/>
  <c r="J313"/>
  <c r="K313"/>
  <c r="L313"/>
  <c r="M313"/>
  <c r="N313"/>
  <c r="O313"/>
  <c r="P313"/>
  <c r="Q313"/>
  <c r="R313"/>
  <c r="G314"/>
  <c r="H314"/>
  <c r="I314"/>
  <c r="J314"/>
  <c r="K314"/>
  <c r="L314"/>
  <c r="M314"/>
  <c r="N314"/>
  <c r="O314"/>
  <c r="P314"/>
  <c r="Q314"/>
  <c r="R314"/>
  <c r="I315"/>
  <c r="J315"/>
  <c r="K315"/>
  <c r="L315"/>
  <c r="M315"/>
  <c r="N315"/>
  <c r="O315"/>
  <c r="P315"/>
  <c r="Q315"/>
  <c r="R315"/>
  <c r="I306"/>
  <c r="J306"/>
  <c r="K306"/>
  <c r="L306"/>
  <c r="M306"/>
  <c r="N306"/>
  <c r="O306"/>
  <c r="P306"/>
  <c r="Q306"/>
  <c r="R306"/>
  <c r="I307"/>
  <c r="J307"/>
  <c r="K307"/>
  <c r="L307"/>
  <c r="M307"/>
  <c r="N307"/>
  <c r="O307"/>
  <c r="P307"/>
  <c r="Q307"/>
  <c r="R307"/>
  <c r="I308"/>
  <c r="J308"/>
  <c r="K308"/>
  <c r="L308"/>
  <c r="M308"/>
  <c r="N308"/>
  <c r="O308"/>
  <c r="P308"/>
  <c r="Q308"/>
  <c r="R308"/>
  <c r="I309"/>
  <c r="J309"/>
  <c r="K309"/>
  <c r="L309"/>
  <c r="M309"/>
  <c r="N309"/>
  <c r="O309"/>
  <c r="P309"/>
  <c r="Q309"/>
  <c r="R309"/>
  <c r="I210"/>
  <c r="J210"/>
  <c r="K210"/>
  <c r="L210"/>
  <c r="M210"/>
  <c r="N210"/>
  <c r="O210"/>
  <c r="P210"/>
  <c r="Q210"/>
  <c r="R210"/>
  <c r="I211"/>
  <c r="J211"/>
  <c r="K211"/>
  <c r="L211"/>
  <c r="M211"/>
  <c r="N211"/>
  <c r="O211"/>
  <c r="P211"/>
  <c r="Q211"/>
  <c r="R211"/>
  <c r="I212"/>
  <c r="J212"/>
  <c r="K212"/>
  <c r="L212"/>
  <c r="M212"/>
  <c r="N212"/>
  <c r="O212"/>
  <c r="P212"/>
  <c r="Q212"/>
  <c r="R212"/>
  <c r="E213"/>
  <c r="F213"/>
  <c r="G213"/>
  <c r="H213"/>
  <c r="I213"/>
  <c r="J213"/>
  <c r="K213"/>
  <c r="L213"/>
  <c r="M213"/>
  <c r="N213"/>
  <c r="O213"/>
  <c r="P213"/>
  <c r="Q213"/>
  <c r="R213"/>
  <c r="I214"/>
  <c r="J214"/>
  <c r="K214"/>
  <c r="L214"/>
  <c r="M214"/>
  <c r="N214"/>
  <c r="O214"/>
  <c r="P214"/>
  <c r="Q214"/>
  <c r="R214"/>
  <c r="I215"/>
  <c r="J215"/>
  <c r="K215"/>
  <c r="L215"/>
  <c r="M215"/>
  <c r="N215"/>
  <c r="O215"/>
  <c r="P215"/>
  <c r="Q215"/>
  <c r="R215"/>
  <c r="I216"/>
  <c r="J216"/>
  <c r="K216"/>
  <c r="L216"/>
  <c r="M216"/>
  <c r="N216"/>
  <c r="O216"/>
  <c r="P216"/>
  <c r="Q216"/>
  <c r="R216"/>
  <c r="I217"/>
  <c r="J217"/>
  <c r="K217"/>
  <c r="L217"/>
  <c r="M217"/>
  <c r="N217"/>
  <c r="O217"/>
  <c r="P217"/>
  <c r="Q217"/>
  <c r="R217"/>
  <c r="G218"/>
  <c r="H218"/>
  <c r="I218"/>
  <c r="J218"/>
  <c r="K218"/>
  <c r="L218"/>
  <c r="M218"/>
  <c r="N218"/>
  <c r="O218"/>
  <c r="P218"/>
  <c r="Q218"/>
  <c r="R218"/>
  <c r="I219"/>
  <c r="J219"/>
  <c r="K219"/>
  <c r="L219"/>
  <c r="M219"/>
  <c r="N219"/>
  <c r="O219"/>
  <c r="P219"/>
  <c r="Q219"/>
  <c r="R219"/>
  <c r="I220"/>
  <c r="J220"/>
  <c r="K220"/>
  <c r="L220"/>
  <c r="M220"/>
  <c r="N220"/>
  <c r="O220"/>
  <c r="P220"/>
  <c r="Q220"/>
  <c r="R220"/>
  <c r="I221"/>
  <c r="J221"/>
  <c r="K221"/>
  <c r="L221"/>
  <c r="M221"/>
  <c r="N221"/>
  <c r="O221"/>
  <c r="P221"/>
  <c r="Q221"/>
  <c r="R221"/>
  <c r="I222"/>
  <c r="J222"/>
  <c r="K222"/>
  <c r="L222"/>
  <c r="M222"/>
  <c r="N222"/>
  <c r="O222"/>
  <c r="P222"/>
  <c r="Q222"/>
  <c r="R222"/>
  <c r="I223"/>
  <c r="J223"/>
  <c r="K223"/>
  <c r="L223"/>
  <c r="M223"/>
  <c r="N223"/>
  <c r="O223"/>
  <c r="P223"/>
  <c r="Q223"/>
  <c r="R223"/>
  <c r="I224"/>
  <c r="J224"/>
  <c r="K224"/>
  <c r="L224"/>
  <c r="M224"/>
  <c r="N224"/>
  <c r="O224"/>
  <c r="P224"/>
  <c r="Q224"/>
  <c r="R224"/>
  <c r="I225"/>
  <c r="J225"/>
  <c r="K225"/>
  <c r="L225"/>
  <c r="M225"/>
  <c r="N225"/>
  <c r="O225"/>
  <c r="P225"/>
  <c r="Q225"/>
  <c r="R225"/>
  <c r="I226"/>
  <c r="J226"/>
  <c r="K226"/>
  <c r="L226"/>
  <c r="M226"/>
  <c r="N226"/>
  <c r="O226"/>
  <c r="P226"/>
  <c r="Q226"/>
  <c r="R226"/>
  <c r="I227"/>
  <c r="J227"/>
  <c r="K227"/>
  <c r="L227"/>
  <c r="M227"/>
  <c r="N227"/>
  <c r="O227"/>
  <c r="P227"/>
  <c r="Q227"/>
  <c r="R227"/>
  <c r="I228"/>
  <c r="J228"/>
  <c r="K228"/>
  <c r="L228"/>
  <c r="M228"/>
  <c r="N228"/>
  <c r="O228"/>
  <c r="P228"/>
  <c r="Q228"/>
  <c r="R228"/>
  <c r="G229"/>
  <c r="H229"/>
  <c r="I229"/>
  <c r="J229"/>
  <c r="K229"/>
  <c r="L229"/>
  <c r="M229"/>
  <c r="N229"/>
  <c r="O229"/>
  <c r="P229"/>
  <c r="Q229"/>
  <c r="R229"/>
  <c r="I230"/>
  <c r="J230"/>
  <c r="K230"/>
  <c r="L230"/>
  <c r="M230"/>
  <c r="N230"/>
  <c r="O230"/>
  <c r="P230"/>
  <c r="Q230"/>
  <c r="R230"/>
  <c r="I231"/>
  <c r="J231"/>
  <c r="K231"/>
  <c r="L231"/>
  <c r="M231"/>
  <c r="N231"/>
  <c r="O231"/>
  <c r="P231"/>
  <c r="Q231"/>
  <c r="R231"/>
  <c r="I232"/>
  <c r="J232"/>
  <c r="K232"/>
  <c r="L232"/>
  <c r="M232"/>
  <c r="N232"/>
  <c r="O232"/>
  <c r="P232"/>
  <c r="Q232"/>
  <c r="R232"/>
  <c r="I233"/>
  <c r="J233"/>
  <c r="K233"/>
  <c r="L233"/>
  <c r="M233"/>
  <c r="N233"/>
  <c r="O233"/>
  <c r="P233"/>
  <c r="Q233"/>
  <c r="R233"/>
  <c r="I234"/>
  <c r="J234"/>
  <c r="K234"/>
  <c r="L234"/>
  <c r="M234"/>
  <c r="N234"/>
  <c r="O234"/>
  <c r="P234"/>
  <c r="Q234"/>
  <c r="R234"/>
  <c r="I235"/>
  <c r="J235"/>
  <c r="K235"/>
  <c r="L235"/>
  <c r="M235"/>
  <c r="N235"/>
  <c r="O235"/>
  <c r="P235"/>
  <c r="Q235"/>
  <c r="R235"/>
  <c r="I236"/>
  <c r="J236"/>
  <c r="K236"/>
  <c r="L236"/>
  <c r="M236"/>
  <c r="N236"/>
  <c r="O236"/>
  <c r="P236"/>
  <c r="Q236"/>
  <c r="R236"/>
  <c r="I237"/>
  <c r="J237"/>
  <c r="K237"/>
  <c r="L237"/>
  <c r="M237"/>
  <c r="N237"/>
  <c r="O237"/>
  <c r="P237"/>
  <c r="Q237"/>
  <c r="R237"/>
  <c r="I238"/>
  <c r="J238"/>
  <c r="K238"/>
  <c r="L238"/>
  <c r="M238"/>
  <c r="N238"/>
  <c r="O238"/>
  <c r="P238"/>
  <c r="Q238"/>
  <c r="R238"/>
  <c r="G239"/>
  <c r="H239"/>
  <c r="I239"/>
  <c r="J239"/>
  <c r="K239"/>
  <c r="L239"/>
  <c r="M239"/>
  <c r="N239"/>
  <c r="O239"/>
  <c r="P239"/>
  <c r="Q239"/>
  <c r="R239"/>
  <c r="I240"/>
  <c r="J240"/>
  <c r="K240"/>
  <c r="L240"/>
  <c r="M240"/>
  <c r="N240"/>
  <c r="O240"/>
  <c r="P240"/>
  <c r="Q240"/>
  <c r="R240"/>
  <c r="I241"/>
  <c r="J241"/>
  <c r="K241"/>
  <c r="L241"/>
  <c r="M241"/>
  <c r="N241"/>
  <c r="O241"/>
  <c r="P241"/>
  <c r="Q241"/>
  <c r="R241"/>
  <c r="E242"/>
  <c r="F242"/>
  <c r="G242"/>
  <c r="H242"/>
  <c r="I242"/>
  <c r="J242"/>
  <c r="K242"/>
  <c r="L242"/>
  <c r="M242"/>
  <c r="N242"/>
  <c r="O242"/>
  <c r="P242"/>
  <c r="Q242"/>
  <c r="R242"/>
  <c r="I243"/>
  <c r="J243"/>
  <c r="K243"/>
  <c r="L243"/>
  <c r="M243"/>
  <c r="N243"/>
  <c r="O243"/>
  <c r="P243"/>
  <c r="Q243"/>
  <c r="R243"/>
  <c r="I244"/>
  <c r="J244"/>
  <c r="K244"/>
  <c r="L244"/>
  <c r="M244"/>
  <c r="N244"/>
  <c r="O244"/>
  <c r="P244"/>
  <c r="Q244"/>
  <c r="R244"/>
  <c r="G245"/>
  <c r="H245"/>
  <c r="I245"/>
  <c r="J245"/>
  <c r="K245"/>
  <c r="L245"/>
  <c r="M245"/>
  <c r="N245"/>
  <c r="O245"/>
  <c r="P245"/>
  <c r="Q245"/>
  <c r="R245"/>
  <c r="I246"/>
  <c r="J246"/>
  <c r="K246"/>
  <c r="L246"/>
  <c r="M246"/>
  <c r="N246"/>
  <c r="O246"/>
  <c r="P246"/>
  <c r="Q246"/>
  <c r="R246"/>
  <c r="I247"/>
  <c r="J247"/>
  <c r="K247"/>
  <c r="L247"/>
  <c r="M247"/>
  <c r="N247"/>
  <c r="O247"/>
  <c r="P247"/>
  <c r="Q247"/>
  <c r="R247"/>
  <c r="I248"/>
  <c r="J248"/>
  <c r="K248"/>
  <c r="L248"/>
  <c r="M248"/>
  <c r="N248"/>
  <c r="O248"/>
  <c r="P248"/>
  <c r="Q248"/>
  <c r="R248"/>
  <c r="I249"/>
  <c r="J249"/>
  <c r="K249"/>
  <c r="L249"/>
  <c r="M249"/>
  <c r="N249"/>
  <c r="O249"/>
  <c r="P249"/>
  <c r="Q249"/>
  <c r="R249"/>
  <c r="I250"/>
  <c r="J250"/>
  <c r="K250"/>
  <c r="L250"/>
  <c r="M250"/>
  <c r="N250"/>
  <c r="O250"/>
  <c r="P250"/>
  <c r="Q250"/>
  <c r="R250"/>
  <c r="I251"/>
  <c r="J251"/>
  <c r="K251"/>
  <c r="L251"/>
  <c r="M251"/>
  <c r="N251"/>
  <c r="O251"/>
  <c r="P251"/>
  <c r="Q251"/>
  <c r="R251"/>
  <c r="I252"/>
  <c r="J252"/>
  <c r="K252"/>
  <c r="L252"/>
  <c r="M252"/>
  <c r="N252"/>
  <c r="O252"/>
  <c r="P252"/>
  <c r="Q252"/>
  <c r="R252"/>
  <c r="I253"/>
  <c r="J253"/>
  <c r="K253"/>
  <c r="L253"/>
  <c r="M253"/>
  <c r="N253"/>
  <c r="O253"/>
  <c r="P253"/>
  <c r="Q253"/>
  <c r="R253"/>
  <c r="I254"/>
  <c r="J254"/>
  <c r="K254"/>
  <c r="L254"/>
  <c r="M254"/>
  <c r="N254"/>
  <c r="O254"/>
  <c r="P254"/>
  <c r="Q254"/>
  <c r="R254"/>
  <c r="I255"/>
  <c r="J255"/>
  <c r="K255"/>
  <c r="L255"/>
  <c r="M255"/>
  <c r="N255"/>
  <c r="O255"/>
  <c r="P255"/>
  <c r="Q255"/>
  <c r="R255"/>
  <c r="I256"/>
  <c r="J256"/>
  <c r="K256"/>
  <c r="L256"/>
  <c r="M256"/>
  <c r="N256"/>
  <c r="O256"/>
  <c r="P256"/>
  <c r="Q256"/>
  <c r="R256"/>
  <c r="I257"/>
  <c r="J257"/>
  <c r="K257"/>
  <c r="L257"/>
  <c r="M257"/>
  <c r="N257"/>
  <c r="O257"/>
  <c r="P257"/>
  <c r="Q257"/>
  <c r="R257"/>
  <c r="I258"/>
  <c r="J258"/>
  <c r="K258"/>
  <c r="L258"/>
  <c r="M258"/>
  <c r="N258"/>
  <c r="O258"/>
  <c r="P258"/>
  <c r="Q258"/>
  <c r="R258"/>
  <c r="I259"/>
  <c r="J259"/>
  <c r="K259"/>
  <c r="L259"/>
  <c r="M259"/>
  <c r="N259"/>
  <c r="O259"/>
  <c r="P259"/>
  <c r="Q259"/>
  <c r="R259"/>
  <c r="G260"/>
  <c r="H260"/>
  <c r="I260"/>
  <c r="J260"/>
  <c r="K260"/>
  <c r="L260"/>
  <c r="M260"/>
  <c r="N260"/>
  <c r="O260"/>
  <c r="P260"/>
  <c r="Q260"/>
  <c r="R260"/>
  <c r="I261"/>
  <c r="J261"/>
  <c r="K261"/>
  <c r="L261"/>
  <c r="M261"/>
  <c r="N261"/>
  <c r="O261"/>
  <c r="P261"/>
  <c r="Q261"/>
  <c r="R261"/>
  <c r="I262"/>
  <c r="J262"/>
  <c r="K262"/>
  <c r="L262"/>
  <c r="M262"/>
  <c r="N262"/>
  <c r="O262"/>
  <c r="P262"/>
  <c r="Q262"/>
  <c r="R262"/>
  <c r="I263"/>
  <c r="J263"/>
  <c r="K263"/>
  <c r="L263"/>
  <c r="M263"/>
  <c r="N263"/>
  <c r="O263"/>
  <c r="P263"/>
  <c r="Q263"/>
  <c r="R263"/>
  <c r="I264"/>
  <c r="J264"/>
  <c r="K264"/>
  <c r="L264"/>
  <c r="M264"/>
  <c r="N264"/>
  <c r="O264"/>
  <c r="P264"/>
  <c r="Q264"/>
  <c r="R264"/>
  <c r="I265"/>
  <c r="J265"/>
  <c r="K265"/>
  <c r="L265"/>
  <c r="M265"/>
  <c r="N265"/>
  <c r="O265"/>
  <c r="P265"/>
  <c r="Q265"/>
  <c r="R265"/>
  <c r="I266"/>
  <c r="J266"/>
  <c r="K266"/>
  <c r="L266"/>
  <c r="M266"/>
  <c r="N266"/>
  <c r="O266"/>
  <c r="P266"/>
  <c r="Q266"/>
  <c r="R266"/>
  <c r="I267"/>
  <c r="J267"/>
  <c r="K267"/>
  <c r="L267"/>
  <c r="M267"/>
  <c r="N267"/>
  <c r="O267"/>
  <c r="P267"/>
  <c r="Q267"/>
  <c r="R267"/>
  <c r="I268"/>
  <c r="J268"/>
  <c r="K268"/>
  <c r="L268"/>
  <c r="M268"/>
  <c r="N268"/>
  <c r="O268"/>
  <c r="P268"/>
  <c r="Q268"/>
  <c r="R268"/>
  <c r="G269"/>
  <c r="H269"/>
  <c r="I269"/>
  <c r="J269"/>
  <c r="K269"/>
  <c r="L269"/>
  <c r="M269"/>
  <c r="N269"/>
  <c r="O269"/>
  <c r="P269"/>
  <c r="Q269"/>
  <c r="R269"/>
  <c r="E270"/>
  <c r="F270"/>
  <c r="G270"/>
  <c r="H270"/>
  <c r="I270"/>
  <c r="J270"/>
  <c r="K270"/>
  <c r="L270"/>
  <c r="M270"/>
  <c r="N270"/>
  <c r="O270"/>
  <c r="P270"/>
  <c r="Q270"/>
  <c r="R270"/>
  <c r="I271"/>
  <c r="J271"/>
  <c r="K271"/>
  <c r="L271"/>
  <c r="M271"/>
  <c r="N271"/>
  <c r="O271"/>
  <c r="P271"/>
  <c r="Q271"/>
  <c r="R271"/>
  <c r="I272"/>
  <c r="J272"/>
  <c r="K272"/>
  <c r="L272"/>
  <c r="M272"/>
  <c r="N272"/>
  <c r="O272"/>
  <c r="P272"/>
  <c r="Q272"/>
  <c r="R272"/>
  <c r="I273"/>
  <c r="J273"/>
  <c r="K273"/>
  <c r="L273"/>
  <c r="M273"/>
  <c r="N273"/>
  <c r="O273"/>
  <c r="P273"/>
  <c r="Q273"/>
  <c r="R273"/>
  <c r="I274"/>
  <c r="J274"/>
  <c r="K274"/>
  <c r="L274"/>
  <c r="M274"/>
  <c r="N274"/>
  <c r="O274"/>
  <c r="P274"/>
  <c r="Q274"/>
  <c r="R274"/>
  <c r="G275"/>
  <c r="H275"/>
  <c r="I275"/>
  <c r="J275"/>
  <c r="K275"/>
  <c r="L275"/>
  <c r="M275"/>
  <c r="N275"/>
  <c r="O275"/>
  <c r="P275"/>
  <c r="Q275"/>
  <c r="R275"/>
  <c r="I276"/>
  <c r="J276"/>
  <c r="K276"/>
  <c r="L276"/>
  <c r="M276"/>
  <c r="N276"/>
  <c r="O276"/>
  <c r="P276"/>
  <c r="Q276"/>
  <c r="R276"/>
  <c r="I277"/>
  <c r="J277"/>
  <c r="K277"/>
  <c r="L277"/>
  <c r="M277"/>
  <c r="N277"/>
  <c r="O277"/>
  <c r="P277"/>
  <c r="Q277"/>
  <c r="R277"/>
  <c r="I278"/>
  <c r="J278"/>
  <c r="K278"/>
  <c r="L278"/>
  <c r="M278"/>
  <c r="N278"/>
  <c r="O278"/>
  <c r="P278"/>
  <c r="Q278"/>
  <c r="R278"/>
  <c r="I279"/>
  <c r="J279"/>
  <c r="K279"/>
  <c r="L279"/>
  <c r="M279"/>
  <c r="N279"/>
  <c r="O279"/>
  <c r="P279"/>
  <c r="Q279"/>
  <c r="R279"/>
  <c r="I280"/>
  <c r="J280"/>
  <c r="K280"/>
  <c r="L280"/>
  <c r="M280"/>
  <c r="N280"/>
  <c r="O280"/>
  <c r="P280"/>
  <c r="Q280"/>
  <c r="R280"/>
  <c r="I281"/>
  <c r="J281"/>
  <c r="K281"/>
  <c r="L281"/>
  <c r="M281"/>
  <c r="N281"/>
  <c r="O281"/>
  <c r="P281"/>
  <c r="Q281"/>
  <c r="R281"/>
  <c r="I282"/>
  <c r="J282"/>
  <c r="K282"/>
  <c r="L282"/>
  <c r="M282"/>
  <c r="N282"/>
  <c r="O282"/>
  <c r="P282"/>
  <c r="Q282"/>
  <c r="R282"/>
  <c r="I283"/>
  <c r="J283"/>
  <c r="K283"/>
  <c r="L283"/>
  <c r="M283"/>
  <c r="N283"/>
  <c r="O283"/>
  <c r="P283"/>
  <c r="Q283"/>
  <c r="R283"/>
  <c r="I284"/>
  <c r="J284"/>
  <c r="K284"/>
  <c r="L284"/>
  <c r="M284"/>
  <c r="N284"/>
  <c r="O284"/>
  <c r="P284"/>
  <c r="Q284"/>
  <c r="R284"/>
  <c r="I285"/>
  <c r="J285"/>
  <c r="K285"/>
  <c r="L285"/>
  <c r="M285"/>
  <c r="N285"/>
  <c r="O285"/>
  <c r="P285"/>
  <c r="Q285"/>
  <c r="R285"/>
  <c r="I286"/>
  <c r="J286"/>
  <c r="K286"/>
  <c r="L286"/>
  <c r="M286"/>
  <c r="N286"/>
  <c r="O286"/>
  <c r="P286"/>
  <c r="Q286"/>
  <c r="R286"/>
  <c r="I287"/>
  <c r="J287"/>
  <c r="K287"/>
  <c r="L287"/>
  <c r="M287"/>
  <c r="N287"/>
  <c r="O287"/>
  <c r="P287"/>
  <c r="Q287"/>
  <c r="R287"/>
  <c r="G288"/>
  <c r="H288"/>
  <c r="I288"/>
  <c r="J288"/>
  <c r="K288"/>
  <c r="L288"/>
  <c r="M288"/>
  <c r="N288"/>
  <c r="O288"/>
  <c r="P288"/>
  <c r="Q288"/>
  <c r="R288"/>
  <c r="I289"/>
  <c r="J289"/>
  <c r="K289"/>
  <c r="L289"/>
  <c r="M289"/>
  <c r="N289"/>
  <c r="O289"/>
  <c r="P289"/>
  <c r="Q289"/>
  <c r="R289"/>
  <c r="I290"/>
  <c r="J290"/>
  <c r="K290"/>
  <c r="L290"/>
  <c r="M290"/>
  <c r="N290"/>
  <c r="O290"/>
  <c r="P290"/>
  <c r="Q290"/>
  <c r="R290"/>
  <c r="I291"/>
  <c r="J291"/>
  <c r="K291"/>
  <c r="L291"/>
  <c r="M291"/>
  <c r="N291"/>
  <c r="O291"/>
  <c r="P291"/>
  <c r="Q291"/>
  <c r="R291"/>
  <c r="I292"/>
  <c r="J292"/>
  <c r="K292"/>
  <c r="L292"/>
  <c r="M292"/>
  <c r="N292"/>
  <c r="O292"/>
  <c r="P292"/>
  <c r="Q292"/>
  <c r="R292"/>
  <c r="G293"/>
  <c r="H293"/>
  <c r="I293"/>
  <c r="J293"/>
  <c r="K293"/>
  <c r="L293"/>
  <c r="M293"/>
  <c r="N293"/>
  <c r="O293"/>
  <c r="P293"/>
  <c r="Q293"/>
  <c r="R293"/>
  <c r="I294"/>
  <c r="J294"/>
  <c r="K294"/>
  <c r="L294"/>
  <c r="M294"/>
  <c r="N294"/>
  <c r="O294"/>
  <c r="P294"/>
  <c r="Q294"/>
  <c r="R294"/>
  <c r="I295"/>
  <c r="J295"/>
  <c r="K295"/>
  <c r="L295"/>
  <c r="M295"/>
  <c r="N295"/>
  <c r="O295"/>
  <c r="P295"/>
  <c r="Q295"/>
  <c r="R295"/>
  <c r="I296"/>
  <c r="J296"/>
  <c r="K296"/>
  <c r="L296"/>
  <c r="M296"/>
  <c r="N296"/>
  <c r="O296"/>
  <c r="P296"/>
  <c r="Q296"/>
  <c r="R296"/>
  <c r="E297"/>
  <c r="F297"/>
  <c r="G297"/>
  <c r="H297"/>
  <c r="I297"/>
  <c r="J297"/>
  <c r="K297"/>
  <c r="L297"/>
  <c r="M297"/>
  <c r="N297"/>
  <c r="O297"/>
  <c r="P297"/>
  <c r="Q297"/>
  <c r="R297"/>
  <c r="I298"/>
  <c r="J298"/>
  <c r="K298"/>
  <c r="L298"/>
  <c r="M298"/>
  <c r="N298"/>
  <c r="O298"/>
  <c r="P298"/>
  <c r="Q298"/>
  <c r="R298"/>
  <c r="I299"/>
  <c r="J299"/>
  <c r="K299"/>
  <c r="L299"/>
  <c r="M299"/>
  <c r="N299"/>
  <c r="O299"/>
  <c r="P299"/>
  <c r="Q299"/>
  <c r="R299"/>
  <c r="I300"/>
  <c r="J300"/>
  <c r="K300"/>
  <c r="L300"/>
  <c r="M300"/>
  <c r="N300"/>
  <c r="O300"/>
  <c r="P300"/>
  <c r="Q300"/>
  <c r="R300"/>
  <c r="I301"/>
  <c r="J301"/>
  <c r="K301"/>
  <c r="L301"/>
  <c r="M301"/>
  <c r="N301"/>
  <c r="O301"/>
  <c r="P301"/>
  <c r="Q301"/>
  <c r="R301"/>
  <c r="G302"/>
  <c r="H302"/>
  <c r="I302"/>
  <c r="J302"/>
  <c r="K302"/>
  <c r="L302"/>
  <c r="M302"/>
  <c r="N302"/>
  <c r="O302"/>
  <c r="P302"/>
  <c r="Q302"/>
  <c r="R302"/>
  <c r="I303"/>
  <c r="J303"/>
  <c r="K303"/>
  <c r="L303"/>
  <c r="M303"/>
  <c r="N303"/>
  <c r="O303"/>
  <c r="P303"/>
  <c r="Q303"/>
  <c r="R303"/>
  <c r="I304"/>
  <c r="J304"/>
  <c r="K304"/>
  <c r="L304"/>
  <c r="M304"/>
  <c r="N304"/>
  <c r="O304"/>
  <c r="P304"/>
  <c r="Q304"/>
  <c r="R304"/>
  <c r="I305"/>
  <c r="J305"/>
  <c r="K305"/>
  <c r="L305"/>
  <c r="M305"/>
  <c r="N305"/>
  <c r="O305"/>
  <c r="P305"/>
  <c r="Q305"/>
  <c r="R305"/>
  <c r="J209"/>
  <c r="K209"/>
  <c r="L209"/>
  <c r="M209"/>
  <c r="N209"/>
  <c r="O209"/>
  <c r="P209"/>
  <c r="Q209"/>
  <c r="R209"/>
  <c r="I209"/>
  <c r="F209"/>
  <c r="G209"/>
  <c r="H209"/>
  <c r="E209"/>
  <c r="D209"/>
  <c r="E170"/>
  <c r="F170"/>
  <c r="G170"/>
  <c r="H170"/>
  <c r="I170"/>
  <c r="J170"/>
  <c r="K170"/>
  <c r="L170"/>
  <c r="M170"/>
  <c r="N170"/>
  <c r="O170"/>
  <c r="P170"/>
  <c r="Q170"/>
  <c r="R170"/>
  <c r="I171"/>
  <c r="J171"/>
  <c r="K171"/>
  <c r="L171"/>
  <c r="M171"/>
  <c r="N171"/>
  <c r="O171"/>
  <c r="P171"/>
  <c r="Q171"/>
  <c r="R171"/>
  <c r="I172"/>
  <c r="J172"/>
  <c r="K172"/>
  <c r="L172"/>
  <c r="M172"/>
  <c r="N172"/>
  <c r="O172"/>
  <c r="P172"/>
  <c r="Q172"/>
  <c r="R172"/>
  <c r="E173"/>
  <c r="F173"/>
  <c r="H173"/>
  <c r="I173"/>
  <c r="J173"/>
  <c r="K173"/>
  <c r="L173"/>
  <c r="M173"/>
  <c r="N173"/>
  <c r="O173"/>
  <c r="P173"/>
  <c r="Q173"/>
  <c r="R173"/>
  <c r="F174"/>
  <c r="G174"/>
  <c r="H174"/>
  <c r="I174"/>
  <c r="J174"/>
  <c r="K174"/>
  <c r="L174"/>
  <c r="M174"/>
  <c r="N174"/>
  <c r="O174"/>
  <c r="P174"/>
  <c r="Q174"/>
  <c r="R174"/>
  <c r="I175"/>
  <c r="J175"/>
  <c r="K175"/>
  <c r="L175"/>
  <c r="M175"/>
  <c r="N175"/>
  <c r="O175"/>
  <c r="P175"/>
  <c r="Q175"/>
  <c r="R175"/>
  <c r="I176"/>
  <c r="J176"/>
  <c r="K176"/>
  <c r="L176"/>
  <c r="M176"/>
  <c r="N176"/>
  <c r="O176"/>
  <c r="P176"/>
  <c r="Q176"/>
  <c r="R176"/>
  <c r="I177"/>
  <c r="J177"/>
  <c r="K177"/>
  <c r="L177"/>
  <c r="M177"/>
  <c r="N177"/>
  <c r="O177"/>
  <c r="P177"/>
  <c r="Q177"/>
  <c r="R177"/>
  <c r="I178"/>
  <c r="J178"/>
  <c r="K178"/>
  <c r="L178"/>
  <c r="M178"/>
  <c r="N178"/>
  <c r="O178"/>
  <c r="P178"/>
  <c r="Q178"/>
  <c r="R178"/>
  <c r="I179"/>
  <c r="J179"/>
  <c r="K179"/>
  <c r="L179"/>
  <c r="M179"/>
  <c r="N179"/>
  <c r="O179"/>
  <c r="P179"/>
  <c r="Q179"/>
  <c r="R179"/>
  <c r="F180"/>
  <c r="G180"/>
  <c r="H180"/>
  <c r="I180"/>
  <c r="J180"/>
  <c r="K180"/>
  <c r="L180"/>
  <c r="M180"/>
  <c r="N180"/>
  <c r="O180"/>
  <c r="P180"/>
  <c r="Q180"/>
  <c r="R180"/>
  <c r="I181"/>
  <c r="J181"/>
  <c r="K181"/>
  <c r="L181"/>
  <c r="M181"/>
  <c r="N181"/>
  <c r="O181"/>
  <c r="P181"/>
  <c r="Q181"/>
  <c r="R181"/>
  <c r="I182"/>
  <c r="J182"/>
  <c r="K182"/>
  <c r="L182"/>
  <c r="M182"/>
  <c r="N182"/>
  <c r="O182"/>
  <c r="P182"/>
  <c r="Q182"/>
  <c r="R182"/>
  <c r="F183"/>
  <c r="G183"/>
  <c r="H183"/>
  <c r="I183"/>
  <c r="J183"/>
  <c r="K183"/>
  <c r="L183"/>
  <c r="M183"/>
  <c r="N183"/>
  <c r="O183"/>
  <c r="P183"/>
  <c r="Q183"/>
  <c r="R183"/>
  <c r="I184"/>
  <c r="J184"/>
  <c r="K184"/>
  <c r="L184"/>
  <c r="M184"/>
  <c r="N184"/>
  <c r="O184"/>
  <c r="P184"/>
  <c r="Q184"/>
  <c r="R184"/>
  <c r="I185"/>
  <c r="J185"/>
  <c r="K185"/>
  <c r="L185"/>
  <c r="M185"/>
  <c r="N185"/>
  <c r="O185"/>
  <c r="P185"/>
  <c r="Q185"/>
  <c r="R185"/>
  <c r="I186"/>
  <c r="J186"/>
  <c r="K186"/>
  <c r="L186"/>
  <c r="M186"/>
  <c r="N186"/>
  <c r="O186"/>
  <c r="P186"/>
  <c r="Q186"/>
  <c r="R186"/>
  <c r="I187"/>
  <c r="J187"/>
  <c r="K187"/>
  <c r="L187"/>
  <c r="M187"/>
  <c r="N187"/>
  <c r="O187"/>
  <c r="P187"/>
  <c r="Q187"/>
  <c r="R187"/>
  <c r="I188"/>
  <c r="J188"/>
  <c r="K188"/>
  <c r="L188"/>
  <c r="M188"/>
  <c r="N188"/>
  <c r="O188"/>
  <c r="P188"/>
  <c r="Q188"/>
  <c r="R188"/>
  <c r="I189"/>
  <c r="J189"/>
  <c r="K189"/>
  <c r="L189"/>
  <c r="M189"/>
  <c r="N189"/>
  <c r="O189"/>
  <c r="P189"/>
  <c r="Q189"/>
  <c r="R189"/>
  <c r="I190"/>
  <c r="J190"/>
  <c r="K190"/>
  <c r="L190"/>
  <c r="M190"/>
  <c r="N190"/>
  <c r="O190"/>
  <c r="P190"/>
  <c r="Q190"/>
  <c r="R190"/>
  <c r="E191"/>
  <c r="F191"/>
  <c r="G191"/>
  <c r="H191"/>
  <c r="I191"/>
  <c r="J191"/>
  <c r="K191"/>
  <c r="L191"/>
  <c r="M191"/>
  <c r="N191"/>
  <c r="O191"/>
  <c r="P191"/>
  <c r="Q191"/>
  <c r="R191"/>
  <c r="I192"/>
  <c r="J192"/>
  <c r="K192"/>
  <c r="L192"/>
  <c r="M192"/>
  <c r="N192"/>
  <c r="O192"/>
  <c r="P192"/>
  <c r="Q192"/>
  <c r="R192"/>
  <c r="I193"/>
  <c r="J193"/>
  <c r="K193"/>
  <c r="L193"/>
  <c r="M193"/>
  <c r="N193"/>
  <c r="O193"/>
  <c r="P193"/>
  <c r="Q193"/>
  <c r="R193"/>
  <c r="I194"/>
  <c r="J194"/>
  <c r="K194"/>
  <c r="L194"/>
  <c r="M194"/>
  <c r="N194"/>
  <c r="O194"/>
  <c r="P194"/>
  <c r="Q194"/>
  <c r="R194"/>
  <c r="I195"/>
  <c r="J195"/>
  <c r="K195"/>
  <c r="L195"/>
  <c r="M195"/>
  <c r="N195"/>
  <c r="O195"/>
  <c r="P195"/>
  <c r="Q195"/>
  <c r="R195"/>
  <c r="G196"/>
  <c r="H196"/>
  <c r="I196"/>
  <c r="J196"/>
  <c r="K196"/>
  <c r="L196"/>
  <c r="M196"/>
  <c r="N196"/>
  <c r="O196"/>
  <c r="P196"/>
  <c r="Q196"/>
  <c r="R196"/>
  <c r="I197"/>
  <c r="J197"/>
  <c r="K197"/>
  <c r="L197"/>
  <c r="M197"/>
  <c r="N197"/>
  <c r="O197"/>
  <c r="P197"/>
  <c r="Q197"/>
  <c r="R197"/>
  <c r="I198"/>
  <c r="J198"/>
  <c r="K198"/>
  <c r="L198"/>
  <c r="M198"/>
  <c r="N198"/>
  <c r="O198"/>
  <c r="P198"/>
  <c r="Q198"/>
  <c r="R198"/>
  <c r="I199"/>
  <c r="J199"/>
  <c r="K199"/>
  <c r="L199"/>
  <c r="M199"/>
  <c r="N199"/>
  <c r="O199"/>
  <c r="P199"/>
  <c r="Q199"/>
  <c r="R199"/>
  <c r="I200"/>
  <c r="J200"/>
  <c r="K200"/>
  <c r="L200"/>
  <c r="M200"/>
  <c r="N200"/>
  <c r="O200"/>
  <c r="P200"/>
  <c r="Q200"/>
  <c r="R200"/>
  <c r="F201"/>
  <c r="G201"/>
  <c r="H201"/>
  <c r="I201"/>
  <c r="J201"/>
  <c r="K201"/>
  <c r="L201"/>
  <c r="M201"/>
  <c r="N201"/>
  <c r="O201"/>
  <c r="P201"/>
  <c r="Q201"/>
  <c r="R201"/>
  <c r="F202"/>
  <c r="G202"/>
  <c r="H202"/>
  <c r="I202"/>
  <c r="J202"/>
  <c r="K202"/>
  <c r="L202"/>
  <c r="M202"/>
  <c r="N202"/>
  <c r="O202"/>
  <c r="P202"/>
  <c r="Q202"/>
  <c r="R202"/>
  <c r="I203"/>
  <c r="J203"/>
  <c r="K203"/>
  <c r="L203"/>
  <c r="M203"/>
  <c r="N203"/>
  <c r="O203"/>
  <c r="P203"/>
  <c r="Q203"/>
  <c r="R203"/>
  <c r="I204"/>
  <c r="J204"/>
  <c r="K204"/>
  <c r="L204"/>
  <c r="M204"/>
  <c r="N204"/>
  <c r="O204"/>
  <c r="P204"/>
  <c r="Q204"/>
  <c r="R204"/>
  <c r="I205"/>
  <c r="J205"/>
  <c r="K205"/>
  <c r="L205"/>
  <c r="M205"/>
  <c r="N205"/>
  <c r="O205"/>
  <c r="P205"/>
  <c r="Q205"/>
  <c r="R205"/>
  <c r="I206"/>
  <c r="J206"/>
  <c r="K206"/>
  <c r="L206"/>
  <c r="M206"/>
  <c r="N206"/>
  <c r="O206"/>
  <c r="P206"/>
  <c r="Q206"/>
  <c r="R206"/>
  <c r="I207"/>
  <c r="J207"/>
  <c r="K207"/>
  <c r="L207"/>
  <c r="M207"/>
  <c r="N207"/>
  <c r="O207"/>
  <c r="P207"/>
  <c r="Q207"/>
  <c r="R207"/>
  <c r="I208"/>
  <c r="J208"/>
  <c r="K208"/>
  <c r="L208"/>
  <c r="M208"/>
  <c r="N208"/>
  <c r="O208"/>
  <c r="P208"/>
  <c r="Q208"/>
  <c r="R208"/>
  <c r="J169"/>
  <c r="K169"/>
  <c r="L169"/>
  <c r="M169"/>
  <c r="N169"/>
  <c r="O169"/>
  <c r="P169"/>
  <c r="Q169"/>
  <c r="R169"/>
  <c r="I169"/>
  <c r="F169"/>
  <c r="G169"/>
  <c r="H169"/>
  <c r="E169"/>
  <c r="D169"/>
  <c r="I85"/>
  <c r="J85"/>
  <c r="K85"/>
  <c r="L85"/>
  <c r="M85"/>
  <c r="N85"/>
  <c r="O85"/>
  <c r="P85"/>
  <c r="Q85"/>
  <c r="R85"/>
  <c r="I86"/>
  <c r="J86"/>
  <c r="K86"/>
  <c r="L86"/>
  <c r="M86"/>
  <c r="N86"/>
  <c r="O86"/>
  <c r="P86"/>
  <c r="Q86"/>
  <c r="R86"/>
  <c r="I87"/>
  <c r="J87"/>
  <c r="K87"/>
  <c r="L87"/>
  <c r="M87"/>
  <c r="N87"/>
  <c r="O87"/>
  <c r="P87"/>
  <c r="Q87"/>
  <c r="R87"/>
  <c r="I88"/>
  <c r="J88"/>
  <c r="K88"/>
  <c r="L88"/>
  <c r="M88"/>
  <c r="N88"/>
  <c r="O88"/>
  <c r="P88"/>
  <c r="Q88"/>
  <c r="R88"/>
  <c r="I89"/>
  <c r="J89"/>
  <c r="K89"/>
  <c r="L89"/>
  <c r="M89"/>
  <c r="N89"/>
  <c r="O89"/>
  <c r="P89"/>
  <c r="Q89"/>
  <c r="R89"/>
  <c r="I90"/>
  <c r="J90"/>
  <c r="K90"/>
  <c r="L90"/>
  <c r="M90"/>
  <c r="N90"/>
  <c r="O90"/>
  <c r="P90"/>
  <c r="Q90"/>
  <c r="R90"/>
  <c r="I91"/>
  <c r="J91"/>
  <c r="K91"/>
  <c r="L91"/>
  <c r="M91"/>
  <c r="N91"/>
  <c r="O91"/>
  <c r="P91"/>
  <c r="Q91"/>
  <c r="R91"/>
  <c r="G92"/>
  <c r="H92"/>
  <c r="I92"/>
  <c r="J92"/>
  <c r="K92"/>
  <c r="L92"/>
  <c r="M92"/>
  <c r="N92"/>
  <c r="O92"/>
  <c r="P92"/>
  <c r="Q92"/>
  <c r="R92"/>
  <c r="I93"/>
  <c r="J93"/>
  <c r="K93"/>
  <c r="L93"/>
  <c r="M93"/>
  <c r="N93"/>
  <c r="O93"/>
  <c r="P93"/>
  <c r="Q93"/>
  <c r="R93"/>
  <c r="I94"/>
  <c r="J94"/>
  <c r="K94"/>
  <c r="L94"/>
  <c r="M94"/>
  <c r="N94"/>
  <c r="O94"/>
  <c r="P94"/>
  <c r="Q94"/>
  <c r="R94"/>
  <c r="I95"/>
  <c r="J95"/>
  <c r="K95"/>
  <c r="L95"/>
  <c r="M95"/>
  <c r="N95"/>
  <c r="O95"/>
  <c r="P95"/>
  <c r="Q95"/>
  <c r="R95"/>
  <c r="E96"/>
  <c r="F96"/>
  <c r="G96"/>
  <c r="H96"/>
  <c r="I96"/>
  <c r="J96"/>
  <c r="K96"/>
  <c r="L96"/>
  <c r="M96"/>
  <c r="N96"/>
  <c r="O96"/>
  <c r="P96"/>
  <c r="Q96"/>
  <c r="R96"/>
  <c r="E97"/>
  <c r="F97"/>
  <c r="G97"/>
  <c r="H97"/>
  <c r="I98"/>
  <c r="J98"/>
  <c r="K98"/>
  <c r="L98"/>
  <c r="M98"/>
  <c r="N98"/>
  <c r="O98"/>
  <c r="P98"/>
  <c r="Q98"/>
  <c r="R98"/>
  <c r="I99"/>
  <c r="J99"/>
  <c r="K99"/>
  <c r="L99"/>
  <c r="M99"/>
  <c r="N99"/>
  <c r="O99"/>
  <c r="P99"/>
  <c r="Q99"/>
  <c r="R99"/>
  <c r="I100"/>
  <c r="J100"/>
  <c r="K100"/>
  <c r="L100"/>
  <c r="M100"/>
  <c r="N100"/>
  <c r="O100"/>
  <c r="P100"/>
  <c r="Q100"/>
  <c r="R100"/>
  <c r="I101"/>
  <c r="J101"/>
  <c r="K101"/>
  <c r="L101"/>
  <c r="M101"/>
  <c r="N101"/>
  <c r="O101"/>
  <c r="P101"/>
  <c r="Q101"/>
  <c r="R101"/>
  <c r="E102"/>
  <c r="F102"/>
  <c r="G102"/>
  <c r="H102"/>
  <c r="I102"/>
  <c r="J102"/>
  <c r="K102"/>
  <c r="L102"/>
  <c r="M102"/>
  <c r="N102"/>
  <c r="O102"/>
  <c r="P102"/>
  <c r="Q102"/>
  <c r="R102"/>
  <c r="I103"/>
  <c r="J103"/>
  <c r="K103"/>
  <c r="L103"/>
  <c r="M103"/>
  <c r="N103"/>
  <c r="O103"/>
  <c r="P103"/>
  <c r="Q103"/>
  <c r="R103"/>
  <c r="I104"/>
  <c r="J104"/>
  <c r="K104"/>
  <c r="L104"/>
  <c r="M104"/>
  <c r="N104"/>
  <c r="O104"/>
  <c r="P104"/>
  <c r="Q104"/>
  <c r="R104"/>
  <c r="G105"/>
  <c r="H105"/>
  <c r="I105"/>
  <c r="J105"/>
  <c r="K105"/>
  <c r="L105"/>
  <c r="M105"/>
  <c r="N105"/>
  <c r="O105"/>
  <c r="P105"/>
  <c r="Q105"/>
  <c r="R105"/>
  <c r="I106"/>
  <c r="J106"/>
  <c r="K106"/>
  <c r="L106"/>
  <c r="M106"/>
  <c r="N106"/>
  <c r="O106"/>
  <c r="P106"/>
  <c r="Q106"/>
  <c r="R106"/>
  <c r="I107"/>
  <c r="J107"/>
  <c r="K107"/>
  <c r="L107"/>
  <c r="M107"/>
  <c r="N107"/>
  <c r="O107"/>
  <c r="P107"/>
  <c r="Q107"/>
  <c r="R107"/>
  <c r="I108"/>
  <c r="J108"/>
  <c r="K108"/>
  <c r="L108"/>
  <c r="M108"/>
  <c r="N108"/>
  <c r="O108"/>
  <c r="P108"/>
  <c r="Q108"/>
  <c r="R108"/>
  <c r="G109"/>
  <c r="H109"/>
  <c r="I109"/>
  <c r="J109"/>
  <c r="K109"/>
  <c r="L109"/>
  <c r="M109"/>
  <c r="N109"/>
  <c r="O109"/>
  <c r="P109"/>
  <c r="Q109"/>
  <c r="R109"/>
  <c r="I110"/>
  <c r="J110"/>
  <c r="K110"/>
  <c r="L110"/>
  <c r="M110"/>
  <c r="N110"/>
  <c r="O110"/>
  <c r="P110"/>
  <c r="Q110"/>
  <c r="R110"/>
  <c r="I111"/>
  <c r="J111"/>
  <c r="K111"/>
  <c r="L111"/>
  <c r="M111"/>
  <c r="N111"/>
  <c r="O111"/>
  <c r="P111"/>
  <c r="Q111"/>
  <c r="R111"/>
  <c r="I112"/>
  <c r="J112"/>
  <c r="K112"/>
  <c r="L112"/>
  <c r="M112"/>
  <c r="N112"/>
  <c r="O112"/>
  <c r="P112"/>
  <c r="Q112"/>
  <c r="R112"/>
  <c r="E113"/>
  <c r="F113"/>
  <c r="G113"/>
  <c r="H113"/>
  <c r="I113"/>
  <c r="J113"/>
  <c r="K113"/>
  <c r="L113"/>
  <c r="M113"/>
  <c r="N113"/>
  <c r="O113"/>
  <c r="P113"/>
  <c r="Q113"/>
  <c r="R113"/>
  <c r="I114"/>
  <c r="J114"/>
  <c r="K114"/>
  <c r="L114"/>
  <c r="M114"/>
  <c r="N114"/>
  <c r="O114"/>
  <c r="P114"/>
  <c r="Q114"/>
  <c r="R114"/>
  <c r="I115"/>
  <c r="J115"/>
  <c r="K115"/>
  <c r="L115"/>
  <c r="M115"/>
  <c r="N115"/>
  <c r="O115"/>
  <c r="P115"/>
  <c r="Q115"/>
  <c r="R115"/>
  <c r="I116"/>
  <c r="J116"/>
  <c r="K116"/>
  <c r="L116"/>
  <c r="M116"/>
  <c r="N116"/>
  <c r="O116"/>
  <c r="P116"/>
  <c r="Q116"/>
  <c r="R116"/>
  <c r="I117"/>
  <c r="J117"/>
  <c r="K117"/>
  <c r="L117"/>
  <c r="M117"/>
  <c r="N117"/>
  <c r="O117"/>
  <c r="P117"/>
  <c r="Q117"/>
  <c r="R117"/>
  <c r="I118"/>
  <c r="J118"/>
  <c r="K118"/>
  <c r="L118"/>
  <c r="M118"/>
  <c r="N118"/>
  <c r="O118"/>
  <c r="P118"/>
  <c r="Q118"/>
  <c r="R118"/>
  <c r="I119"/>
  <c r="J119"/>
  <c r="K119"/>
  <c r="L119"/>
  <c r="M119"/>
  <c r="N119"/>
  <c r="O119"/>
  <c r="P119"/>
  <c r="Q119"/>
  <c r="R119"/>
  <c r="I120"/>
  <c r="J120"/>
  <c r="K120"/>
  <c r="L120"/>
  <c r="M120"/>
  <c r="N120"/>
  <c r="O120"/>
  <c r="P120"/>
  <c r="Q120"/>
  <c r="R120"/>
  <c r="E121"/>
  <c r="F121"/>
  <c r="G121"/>
  <c r="H121"/>
  <c r="I121"/>
  <c r="J121"/>
  <c r="K121"/>
  <c r="L121"/>
  <c r="M121"/>
  <c r="N121"/>
  <c r="O121"/>
  <c r="P121"/>
  <c r="Q121"/>
  <c r="R121"/>
  <c r="E122"/>
  <c r="F122"/>
  <c r="G122"/>
  <c r="H122"/>
  <c r="I122"/>
  <c r="J122"/>
  <c r="K122"/>
  <c r="L122"/>
  <c r="M122"/>
  <c r="N122"/>
  <c r="O122"/>
  <c r="P122"/>
  <c r="Q122"/>
  <c r="R122"/>
  <c r="I123"/>
  <c r="J123"/>
  <c r="K123"/>
  <c r="L123"/>
  <c r="M123"/>
  <c r="N123"/>
  <c r="O123"/>
  <c r="P123"/>
  <c r="Q123"/>
  <c r="R123"/>
  <c r="I124"/>
  <c r="J124"/>
  <c r="K124"/>
  <c r="L124"/>
  <c r="M124"/>
  <c r="N124"/>
  <c r="O124"/>
  <c r="P124"/>
  <c r="Q124"/>
  <c r="R124"/>
  <c r="I125"/>
  <c r="J125"/>
  <c r="K125"/>
  <c r="L125"/>
  <c r="M125"/>
  <c r="N125"/>
  <c r="O125"/>
  <c r="P125"/>
  <c r="Q125"/>
  <c r="R125"/>
  <c r="I126"/>
  <c r="J126"/>
  <c r="K126"/>
  <c r="L126"/>
  <c r="M126"/>
  <c r="N126"/>
  <c r="O126"/>
  <c r="P126"/>
  <c r="Q126"/>
  <c r="R126"/>
  <c r="I127"/>
  <c r="J127"/>
  <c r="K127"/>
  <c r="L127"/>
  <c r="M127"/>
  <c r="N127"/>
  <c r="O127"/>
  <c r="P127"/>
  <c r="Q127"/>
  <c r="R127"/>
  <c r="I128"/>
  <c r="J128"/>
  <c r="K128"/>
  <c r="L128"/>
  <c r="M128"/>
  <c r="N128"/>
  <c r="O128"/>
  <c r="P128"/>
  <c r="Q128"/>
  <c r="R128"/>
  <c r="I129"/>
  <c r="J129"/>
  <c r="K129"/>
  <c r="L129"/>
  <c r="M129"/>
  <c r="N129"/>
  <c r="O129"/>
  <c r="P129"/>
  <c r="Q129"/>
  <c r="R129"/>
  <c r="I130"/>
  <c r="J130"/>
  <c r="K130"/>
  <c r="L130"/>
  <c r="M130"/>
  <c r="N130"/>
  <c r="O130"/>
  <c r="P130"/>
  <c r="Q130"/>
  <c r="R130"/>
  <c r="I131"/>
  <c r="J131"/>
  <c r="K131"/>
  <c r="L131"/>
  <c r="M131"/>
  <c r="N131"/>
  <c r="O131"/>
  <c r="P131"/>
  <c r="Q131"/>
  <c r="R131"/>
  <c r="E132"/>
  <c r="F132"/>
  <c r="G132"/>
  <c r="H132"/>
  <c r="G133"/>
  <c r="H133"/>
  <c r="I132"/>
  <c r="J132"/>
  <c r="K132"/>
  <c r="L132"/>
  <c r="M132"/>
  <c r="N132"/>
  <c r="O132"/>
  <c r="P132"/>
  <c r="Q132"/>
  <c r="R132"/>
  <c r="I134"/>
  <c r="J134"/>
  <c r="K134"/>
  <c r="L134"/>
  <c r="M134"/>
  <c r="N134"/>
  <c r="O134"/>
  <c r="P134"/>
  <c r="Q134"/>
  <c r="R134"/>
  <c r="I135"/>
  <c r="J135"/>
  <c r="K135"/>
  <c r="L135"/>
  <c r="M135"/>
  <c r="N135"/>
  <c r="O135"/>
  <c r="P135"/>
  <c r="Q135"/>
  <c r="R135"/>
  <c r="I136"/>
  <c r="J136"/>
  <c r="K136"/>
  <c r="L136"/>
  <c r="M136"/>
  <c r="N136"/>
  <c r="O136"/>
  <c r="P136"/>
  <c r="Q136"/>
  <c r="R136"/>
  <c r="I137"/>
  <c r="J137"/>
  <c r="K137"/>
  <c r="L137"/>
  <c r="M137"/>
  <c r="N137"/>
  <c r="O137"/>
  <c r="P137"/>
  <c r="Q137"/>
  <c r="R137"/>
  <c r="E138"/>
  <c r="F138"/>
  <c r="G138"/>
  <c r="H138"/>
  <c r="I138"/>
  <c r="J138"/>
  <c r="K138"/>
  <c r="L138"/>
  <c r="M138"/>
  <c r="N138"/>
  <c r="O138"/>
  <c r="P138"/>
  <c r="Q138"/>
  <c r="R138"/>
  <c r="G139"/>
  <c r="H139"/>
  <c r="I139"/>
  <c r="J139"/>
  <c r="K139"/>
  <c r="L139"/>
  <c r="M139"/>
  <c r="N139"/>
  <c r="O139"/>
  <c r="P139"/>
  <c r="Q139"/>
  <c r="R139"/>
  <c r="G140"/>
  <c r="H140"/>
  <c r="I140"/>
  <c r="J140"/>
  <c r="K140"/>
  <c r="L140"/>
  <c r="M140"/>
  <c r="N140"/>
  <c r="O140"/>
  <c r="P140"/>
  <c r="Q140"/>
  <c r="R140"/>
  <c r="I141"/>
  <c r="J141"/>
  <c r="K141"/>
  <c r="L141"/>
  <c r="M141"/>
  <c r="N141"/>
  <c r="O141"/>
  <c r="P141"/>
  <c r="Q141"/>
  <c r="R141"/>
  <c r="I142"/>
  <c r="J142"/>
  <c r="K142"/>
  <c r="L142"/>
  <c r="M142"/>
  <c r="N142"/>
  <c r="O142"/>
  <c r="P142"/>
  <c r="Q142"/>
  <c r="R142"/>
  <c r="F143"/>
  <c r="H143"/>
  <c r="I143"/>
  <c r="J143"/>
  <c r="K143"/>
  <c r="L143"/>
  <c r="M143"/>
  <c r="N143"/>
  <c r="O143"/>
  <c r="P143"/>
  <c r="Q143"/>
  <c r="R143"/>
  <c r="I144"/>
  <c r="J144"/>
  <c r="K144"/>
  <c r="L144"/>
  <c r="M144"/>
  <c r="N144"/>
  <c r="O144"/>
  <c r="P144"/>
  <c r="Q144"/>
  <c r="R144"/>
  <c r="I145"/>
  <c r="J145"/>
  <c r="K145"/>
  <c r="L145"/>
  <c r="M145"/>
  <c r="N145"/>
  <c r="O145"/>
  <c r="P145"/>
  <c r="Q145"/>
  <c r="R145"/>
  <c r="I146"/>
  <c r="J146"/>
  <c r="K146"/>
  <c r="L146"/>
  <c r="M146"/>
  <c r="N146"/>
  <c r="O146"/>
  <c r="P146"/>
  <c r="Q146"/>
  <c r="R146"/>
  <c r="F147"/>
  <c r="H147"/>
  <c r="I147"/>
  <c r="J147"/>
  <c r="K147"/>
  <c r="L147"/>
  <c r="M147"/>
  <c r="N147"/>
  <c r="O147"/>
  <c r="P147"/>
  <c r="Q147"/>
  <c r="R147"/>
  <c r="I148"/>
  <c r="J148"/>
  <c r="K148"/>
  <c r="L148"/>
  <c r="M148"/>
  <c r="N148"/>
  <c r="O148"/>
  <c r="P148"/>
  <c r="Q148"/>
  <c r="R148"/>
  <c r="H149"/>
  <c r="I149"/>
  <c r="J149"/>
  <c r="K149"/>
  <c r="L149"/>
  <c r="M149"/>
  <c r="N149"/>
  <c r="O149"/>
  <c r="P149"/>
  <c r="Q149"/>
  <c r="R149"/>
  <c r="I150"/>
  <c r="J150"/>
  <c r="K150"/>
  <c r="L150"/>
  <c r="M150"/>
  <c r="N150"/>
  <c r="O150"/>
  <c r="P150"/>
  <c r="Q150"/>
  <c r="R150"/>
  <c r="I151"/>
  <c r="J151"/>
  <c r="K151"/>
  <c r="L151"/>
  <c r="M151"/>
  <c r="N151"/>
  <c r="O151"/>
  <c r="P151"/>
  <c r="Q151"/>
  <c r="R151"/>
  <c r="I152"/>
  <c r="J152"/>
  <c r="K152"/>
  <c r="L152"/>
  <c r="M152"/>
  <c r="N152"/>
  <c r="O152"/>
  <c r="P152"/>
  <c r="Q152"/>
  <c r="R152"/>
  <c r="I153"/>
  <c r="J153"/>
  <c r="K153"/>
  <c r="L153"/>
  <c r="M153"/>
  <c r="N153"/>
  <c r="O153"/>
  <c r="P153"/>
  <c r="Q153"/>
  <c r="R153"/>
  <c r="I154"/>
  <c r="J154"/>
  <c r="K154"/>
  <c r="L154"/>
  <c r="M154"/>
  <c r="N154"/>
  <c r="O154"/>
  <c r="P154"/>
  <c r="Q154"/>
  <c r="R154"/>
  <c r="I155"/>
  <c r="J155"/>
  <c r="K155"/>
  <c r="L155"/>
  <c r="M155"/>
  <c r="N155"/>
  <c r="O155"/>
  <c r="P155"/>
  <c r="Q155"/>
  <c r="R155"/>
  <c r="F156"/>
  <c r="H156"/>
  <c r="I156"/>
  <c r="J156"/>
  <c r="K156"/>
  <c r="L156"/>
  <c r="M156"/>
  <c r="N156"/>
  <c r="O156"/>
  <c r="P156"/>
  <c r="Q156"/>
  <c r="R156"/>
  <c r="I157"/>
  <c r="J157"/>
  <c r="K157"/>
  <c r="L157"/>
  <c r="M157"/>
  <c r="N157"/>
  <c r="O157"/>
  <c r="P157"/>
  <c r="Q157"/>
  <c r="R157"/>
  <c r="I158"/>
  <c r="J158"/>
  <c r="K158"/>
  <c r="L158"/>
  <c r="M158"/>
  <c r="N158"/>
  <c r="O158"/>
  <c r="P158"/>
  <c r="Q158"/>
  <c r="R158"/>
  <c r="F159"/>
  <c r="H159"/>
  <c r="I159"/>
  <c r="J159"/>
  <c r="K159"/>
  <c r="L159"/>
  <c r="M159"/>
  <c r="N159"/>
  <c r="O159"/>
  <c r="P159"/>
  <c r="Q159"/>
  <c r="R159"/>
  <c r="I160"/>
  <c r="J160"/>
  <c r="K160"/>
  <c r="L160"/>
  <c r="M160"/>
  <c r="N160"/>
  <c r="O160"/>
  <c r="P160"/>
  <c r="Q160"/>
  <c r="R160"/>
  <c r="I161"/>
  <c r="J161"/>
  <c r="K161"/>
  <c r="L161"/>
  <c r="M161"/>
  <c r="N161"/>
  <c r="O161"/>
  <c r="P161"/>
  <c r="Q161"/>
  <c r="R161"/>
  <c r="I162"/>
  <c r="J162"/>
  <c r="K162"/>
  <c r="L162"/>
  <c r="M162"/>
  <c r="N162"/>
  <c r="O162"/>
  <c r="P162"/>
  <c r="Q162"/>
  <c r="R162"/>
  <c r="I163"/>
  <c r="J163"/>
  <c r="K163"/>
  <c r="L163"/>
  <c r="M163"/>
  <c r="N163"/>
  <c r="O163"/>
  <c r="P163"/>
  <c r="Q163"/>
  <c r="R163"/>
  <c r="H164"/>
  <c r="I164"/>
  <c r="J164"/>
  <c r="K164"/>
  <c r="L164"/>
  <c r="M164"/>
  <c r="N164"/>
  <c r="O164"/>
  <c r="P164"/>
  <c r="Q164"/>
  <c r="R164"/>
  <c r="I165"/>
  <c r="J165"/>
  <c r="K165"/>
  <c r="L165"/>
  <c r="M165"/>
  <c r="N165"/>
  <c r="O165"/>
  <c r="P165"/>
  <c r="Q165"/>
  <c r="R165"/>
  <c r="I166"/>
  <c r="J166"/>
  <c r="K166"/>
  <c r="L166"/>
  <c r="M166"/>
  <c r="N166"/>
  <c r="O166"/>
  <c r="P166"/>
  <c r="Q166"/>
  <c r="R166"/>
  <c r="I167"/>
  <c r="J167"/>
  <c r="K167"/>
  <c r="L167"/>
  <c r="M167"/>
  <c r="N167"/>
  <c r="O167"/>
  <c r="P167"/>
  <c r="Q167"/>
  <c r="R167"/>
  <c r="I168"/>
  <c r="J168"/>
  <c r="K168"/>
  <c r="L168"/>
  <c r="M168"/>
  <c r="N168"/>
  <c r="O168"/>
  <c r="P168"/>
  <c r="Q168"/>
  <c r="R168"/>
  <c r="J84"/>
  <c r="K84"/>
  <c r="L84"/>
  <c r="M84"/>
  <c r="N84"/>
  <c r="O84"/>
  <c r="P84"/>
  <c r="Q84"/>
  <c r="R84"/>
  <c r="I84"/>
  <c r="F84"/>
  <c r="G84"/>
  <c r="H84"/>
  <c r="E84"/>
  <c r="D84"/>
  <c r="I7"/>
  <c r="J7"/>
  <c r="K7"/>
  <c r="L7"/>
  <c r="M7"/>
  <c r="N7"/>
  <c r="O7"/>
  <c r="P7"/>
  <c r="Q7"/>
  <c r="R7"/>
  <c r="I8"/>
  <c r="J8"/>
  <c r="K8"/>
  <c r="L8"/>
  <c r="M8"/>
  <c r="N8"/>
  <c r="O8"/>
  <c r="P8"/>
  <c r="Q8"/>
  <c r="R8"/>
  <c r="I9"/>
  <c r="J9"/>
  <c r="K9"/>
  <c r="L9"/>
  <c r="M9"/>
  <c r="N9"/>
  <c r="O9"/>
  <c r="P9"/>
  <c r="Q9"/>
  <c r="R9"/>
  <c r="G9"/>
  <c r="H9"/>
  <c r="I10"/>
  <c r="J10"/>
  <c r="K10"/>
  <c r="L10"/>
  <c r="M10"/>
  <c r="N10"/>
  <c r="O10"/>
  <c r="P10"/>
  <c r="Q10"/>
  <c r="R10"/>
  <c r="I11"/>
  <c r="J11"/>
  <c r="K11"/>
  <c r="L11"/>
  <c r="M11"/>
  <c r="N11"/>
  <c r="O11"/>
  <c r="P11"/>
  <c r="Q11"/>
  <c r="R11"/>
  <c r="G10"/>
  <c r="H10"/>
  <c r="I12"/>
  <c r="J12"/>
  <c r="K12"/>
  <c r="L12"/>
  <c r="M12"/>
  <c r="N12"/>
  <c r="O12"/>
  <c r="P12"/>
  <c r="Q12"/>
  <c r="R12"/>
  <c r="G13"/>
  <c r="H13"/>
  <c r="I13"/>
  <c r="J13"/>
  <c r="K13"/>
  <c r="L13"/>
  <c r="M13"/>
  <c r="N13"/>
  <c r="O13"/>
  <c r="P13"/>
  <c r="Q13"/>
  <c r="R13"/>
  <c r="I14"/>
  <c r="J14"/>
  <c r="K14"/>
  <c r="L14"/>
  <c r="M14"/>
  <c r="N14"/>
  <c r="O14"/>
  <c r="P14"/>
  <c r="Q14"/>
  <c r="R14"/>
  <c r="I15"/>
  <c r="J15"/>
  <c r="K15"/>
  <c r="L15"/>
  <c r="M15"/>
  <c r="N15"/>
  <c r="O15"/>
  <c r="P15"/>
  <c r="Q15"/>
  <c r="R15"/>
  <c r="E16"/>
  <c r="F16"/>
  <c r="G16"/>
  <c r="H16"/>
  <c r="I16"/>
  <c r="J16"/>
  <c r="K16"/>
  <c r="L16"/>
  <c r="M16"/>
  <c r="N16"/>
  <c r="O16"/>
  <c r="P16"/>
  <c r="Q16"/>
  <c r="R16"/>
  <c r="I17"/>
  <c r="J17"/>
  <c r="K17"/>
  <c r="L17"/>
  <c r="M17"/>
  <c r="N17"/>
  <c r="O17"/>
  <c r="P17"/>
  <c r="Q17"/>
  <c r="R17"/>
  <c r="I18"/>
  <c r="J18"/>
  <c r="K18"/>
  <c r="L18"/>
  <c r="M18"/>
  <c r="N18"/>
  <c r="O18"/>
  <c r="P18"/>
  <c r="Q18"/>
  <c r="R18"/>
  <c r="I19"/>
  <c r="J19"/>
  <c r="K19"/>
  <c r="L19"/>
  <c r="M19"/>
  <c r="N19"/>
  <c r="O19"/>
  <c r="P19"/>
  <c r="Q19"/>
  <c r="R19"/>
  <c r="I20"/>
  <c r="J20"/>
  <c r="K20"/>
  <c r="L20"/>
  <c r="M20"/>
  <c r="N20"/>
  <c r="O20"/>
  <c r="P20"/>
  <c r="Q20"/>
  <c r="R20"/>
  <c r="I21"/>
  <c r="J21"/>
  <c r="K21"/>
  <c r="L21"/>
  <c r="M21"/>
  <c r="N21"/>
  <c r="O21"/>
  <c r="P21"/>
  <c r="Q21"/>
  <c r="R21"/>
  <c r="I22"/>
  <c r="J22"/>
  <c r="K22"/>
  <c r="L22"/>
  <c r="M22"/>
  <c r="N22"/>
  <c r="O22"/>
  <c r="P22"/>
  <c r="Q22"/>
  <c r="R22"/>
  <c r="I23"/>
  <c r="J23"/>
  <c r="K23"/>
  <c r="L23"/>
  <c r="M23"/>
  <c r="N23"/>
  <c r="O23"/>
  <c r="P23"/>
  <c r="Q23"/>
  <c r="R23"/>
  <c r="I24"/>
  <c r="J24"/>
  <c r="K24"/>
  <c r="L24"/>
  <c r="M24"/>
  <c r="N24"/>
  <c r="O24"/>
  <c r="P24"/>
  <c r="Q24"/>
  <c r="R24"/>
  <c r="G24"/>
  <c r="H24"/>
  <c r="I25"/>
  <c r="J25"/>
  <c r="K25"/>
  <c r="L25"/>
  <c r="M25"/>
  <c r="N25"/>
  <c r="O25"/>
  <c r="P25"/>
  <c r="Q25"/>
  <c r="R25"/>
  <c r="I26"/>
  <c r="J26"/>
  <c r="K26"/>
  <c r="L26"/>
  <c r="M26"/>
  <c r="N26"/>
  <c r="O26"/>
  <c r="P26"/>
  <c r="Q26"/>
  <c r="R26"/>
  <c r="I27"/>
  <c r="J27"/>
  <c r="K27"/>
  <c r="L27"/>
  <c r="M27"/>
  <c r="N27"/>
  <c r="O27"/>
  <c r="P27"/>
  <c r="Q27"/>
  <c r="R27"/>
  <c r="I28"/>
  <c r="J28"/>
  <c r="K28"/>
  <c r="L28"/>
  <c r="M28"/>
  <c r="N28"/>
  <c r="O28"/>
  <c r="P28"/>
  <c r="Q28"/>
  <c r="R28"/>
  <c r="I29"/>
  <c r="J29"/>
  <c r="K29"/>
  <c r="L29"/>
  <c r="M29"/>
  <c r="N29"/>
  <c r="O29"/>
  <c r="P29"/>
  <c r="Q29"/>
  <c r="R29"/>
  <c r="I30"/>
  <c r="J30"/>
  <c r="K30"/>
  <c r="L30"/>
  <c r="M30"/>
  <c r="N30"/>
  <c r="O30"/>
  <c r="P30"/>
  <c r="Q30"/>
  <c r="R30"/>
  <c r="I31"/>
  <c r="J31"/>
  <c r="K31"/>
  <c r="L31"/>
  <c r="M31"/>
  <c r="N31"/>
  <c r="O31"/>
  <c r="P31"/>
  <c r="Q31"/>
  <c r="R31"/>
  <c r="G32"/>
  <c r="H32"/>
  <c r="I32"/>
  <c r="J32"/>
  <c r="K32"/>
  <c r="L32"/>
  <c r="M32"/>
  <c r="N32"/>
  <c r="O32"/>
  <c r="P32"/>
  <c r="Q32"/>
  <c r="R32"/>
  <c r="I33"/>
  <c r="J33"/>
  <c r="K33"/>
  <c r="L33"/>
  <c r="M33"/>
  <c r="N33"/>
  <c r="O33"/>
  <c r="P33"/>
  <c r="Q33"/>
  <c r="R33"/>
  <c r="I34"/>
  <c r="J34"/>
  <c r="K34"/>
  <c r="L34"/>
  <c r="M34"/>
  <c r="N34"/>
  <c r="O34"/>
  <c r="P34"/>
  <c r="Q34"/>
  <c r="R34"/>
  <c r="I35"/>
  <c r="J35"/>
  <c r="K35"/>
  <c r="L35"/>
  <c r="M35"/>
  <c r="N35"/>
  <c r="O35"/>
  <c r="P35"/>
  <c r="Q35"/>
  <c r="R35"/>
  <c r="I36"/>
  <c r="J36"/>
  <c r="K36"/>
  <c r="L36"/>
  <c r="M36"/>
  <c r="N36"/>
  <c r="O36"/>
  <c r="P36"/>
  <c r="Q36"/>
  <c r="R36"/>
  <c r="I37"/>
  <c r="J37"/>
  <c r="K37"/>
  <c r="L37"/>
  <c r="M37"/>
  <c r="N37"/>
  <c r="O37"/>
  <c r="P37"/>
  <c r="Q37"/>
  <c r="R37"/>
  <c r="E38"/>
  <c r="F38"/>
  <c r="G38"/>
  <c r="H38"/>
  <c r="I38"/>
  <c r="J38"/>
  <c r="K38"/>
  <c r="L38"/>
  <c r="M38"/>
  <c r="N38"/>
  <c r="O38"/>
  <c r="P38"/>
  <c r="Q38"/>
  <c r="R38"/>
  <c r="I39"/>
  <c r="J39"/>
  <c r="K39"/>
  <c r="L39"/>
  <c r="M39"/>
  <c r="N39"/>
  <c r="O39"/>
  <c r="P39"/>
  <c r="Q39"/>
  <c r="R39"/>
  <c r="I40"/>
  <c r="J40"/>
  <c r="K40"/>
  <c r="L40"/>
  <c r="M40"/>
  <c r="N40"/>
  <c r="O40"/>
  <c r="P40"/>
  <c r="Q40"/>
  <c r="R40"/>
  <c r="E41"/>
  <c r="F41"/>
  <c r="G41"/>
  <c r="H41"/>
  <c r="I41"/>
  <c r="J41"/>
  <c r="K41"/>
  <c r="L41"/>
  <c r="M41"/>
  <c r="N41"/>
  <c r="O41"/>
  <c r="P41"/>
  <c r="Q41"/>
  <c r="R41"/>
  <c r="E42"/>
  <c r="F42"/>
  <c r="G42"/>
  <c r="H42"/>
  <c r="I42"/>
  <c r="J42"/>
  <c r="K42"/>
  <c r="L42"/>
  <c r="M42"/>
  <c r="N42"/>
  <c r="O42"/>
  <c r="P42"/>
  <c r="Q42"/>
  <c r="R42"/>
  <c r="I43"/>
  <c r="J43"/>
  <c r="K43"/>
  <c r="L43"/>
  <c r="M43"/>
  <c r="N43"/>
  <c r="O43"/>
  <c r="P43"/>
  <c r="Q43"/>
  <c r="R43"/>
  <c r="G44"/>
  <c r="H44"/>
  <c r="I44"/>
  <c r="J44"/>
  <c r="K44"/>
  <c r="L44"/>
  <c r="M44"/>
  <c r="N44"/>
  <c r="O44"/>
  <c r="P44"/>
  <c r="Q44"/>
  <c r="R44"/>
  <c r="I45"/>
  <c r="J45"/>
  <c r="K45"/>
  <c r="L45"/>
  <c r="M45"/>
  <c r="N45"/>
  <c r="O45"/>
  <c r="P45"/>
  <c r="Q45"/>
  <c r="R45"/>
  <c r="I46"/>
  <c r="J46"/>
  <c r="K46"/>
  <c r="L46"/>
  <c r="M46"/>
  <c r="N46"/>
  <c r="O46"/>
  <c r="P46"/>
  <c r="Q46"/>
  <c r="R46"/>
  <c r="I47"/>
  <c r="J47"/>
  <c r="K47"/>
  <c r="L47"/>
  <c r="M47"/>
  <c r="N47"/>
  <c r="O47"/>
  <c r="P47"/>
  <c r="Q47"/>
  <c r="R47"/>
  <c r="I48"/>
  <c r="J48"/>
  <c r="K48"/>
  <c r="L48"/>
  <c r="M48"/>
  <c r="N48"/>
  <c r="O48"/>
  <c r="P48"/>
  <c r="Q48"/>
  <c r="R48"/>
  <c r="I49"/>
  <c r="J49"/>
  <c r="K49"/>
  <c r="L49"/>
  <c r="M49"/>
  <c r="N49"/>
  <c r="O49"/>
  <c r="P49"/>
  <c r="Q49"/>
  <c r="R49"/>
  <c r="I50"/>
  <c r="J50"/>
  <c r="K50"/>
  <c r="L50"/>
  <c r="M50"/>
  <c r="N50"/>
  <c r="O50"/>
  <c r="P50"/>
  <c r="Q50"/>
  <c r="R50"/>
  <c r="I51"/>
  <c r="J51"/>
  <c r="K51"/>
  <c r="L51"/>
  <c r="M51"/>
  <c r="N51"/>
  <c r="O51"/>
  <c r="P51"/>
  <c r="Q51"/>
  <c r="R51"/>
  <c r="I52"/>
  <c r="J52"/>
  <c r="K52"/>
  <c r="L52"/>
  <c r="M52"/>
  <c r="N52"/>
  <c r="O52"/>
  <c r="P52"/>
  <c r="Q52"/>
  <c r="R52"/>
  <c r="E53"/>
  <c r="F53"/>
  <c r="G53"/>
  <c r="H53"/>
  <c r="I53"/>
  <c r="J53"/>
  <c r="K53"/>
  <c r="L53"/>
  <c r="M53"/>
  <c r="N53"/>
  <c r="O53"/>
  <c r="P53"/>
  <c r="Q53"/>
  <c r="R53"/>
  <c r="I54"/>
  <c r="J54"/>
  <c r="K54"/>
  <c r="L54"/>
  <c r="M54"/>
  <c r="N54"/>
  <c r="O54"/>
  <c r="P54"/>
  <c r="Q54"/>
  <c r="R54"/>
  <c r="I55"/>
  <c r="J55"/>
  <c r="K55"/>
  <c r="L55"/>
  <c r="M55"/>
  <c r="N55"/>
  <c r="O55"/>
  <c r="P55"/>
  <c r="Q55"/>
  <c r="R55"/>
  <c r="I56"/>
  <c r="J56"/>
  <c r="K56"/>
  <c r="L56"/>
  <c r="M56"/>
  <c r="N56"/>
  <c r="O56"/>
  <c r="P56"/>
  <c r="Q56"/>
  <c r="R56"/>
  <c r="I57"/>
  <c r="J57"/>
  <c r="K57"/>
  <c r="L57"/>
  <c r="M57"/>
  <c r="N57"/>
  <c r="O57"/>
  <c r="P57"/>
  <c r="Q57"/>
  <c r="R57"/>
  <c r="I58"/>
  <c r="J58"/>
  <c r="K58"/>
  <c r="L58"/>
  <c r="M58"/>
  <c r="N58"/>
  <c r="O58"/>
  <c r="P58"/>
  <c r="Q58"/>
  <c r="R58"/>
  <c r="I59"/>
  <c r="J59"/>
  <c r="K59"/>
  <c r="L59"/>
  <c r="M59"/>
  <c r="N59"/>
  <c r="O59"/>
  <c r="P59"/>
  <c r="Q59"/>
  <c r="R59"/>
  <c r="I60"/>
  <c r="J60"/>
  <c r="K60"/>
  <c r="L60"/>
  <c r="M60"/>
  <c r="N60"/>
  <c r="O60"/>
  <c r="P60"/>
  <c r="Q60"/>
  <c r="R60"/>
  <c r="I61"/>
  <c r="J61"/>
  <c r="K61"/>
  <c r="L61"/>
  <c r="M61"/>
  <c r="N61"/>
  <c r="O61"/>
  <c r="P61"/>
  <c r="Q61"/>
  <c r="R61"/>
  <c r="I62"/>
  <c r="J62"/>
  <c r="K62"/>
  <c r="L62"/>
  <c r="M62"/>
  <c r="N62"/>
  <c r="O62"/>
  <c r="P62"/>
  <c r="Q62"/>
  <c r="R62"/>
  <c r="E63"/>
  <c r="F63"/>
  <c r="G63"/>
  <c r="H63"/>
  <c r="I63"/>
  <c r="J63"/>
  <c r="K63"/>
  <c r="L63"/>
  <c r="M63"/>
  <c r="N63"/>
  <c r="O63"/>
  <c r="P63"/>
  <c r="Q63"/>
  <c r="R63"/>
  <c r="G64"/>
  <c r="H64"/>
  <c r="I64"/>
  <c r="J64"/>
  <c r="K64"/>
  <c r="L64"/>
  <c r="M64"/>
  <c r="N64"/>
  <c r="O64"/>
  <c r="P64"/>
  <c r="Q64"/>
  <c r="R64"/>
  <c r="E65"/>
  <c r="F65"/>
  <c r="G65"/>
  <c r="H65"/>
  <c r="I65"/>
  <c r="J65"/>
  <c r="K65"/>
  <c r="L65"/>
  <c r="M65"/>
  <c r="N65"/>
  <c r="O65"/>
  <c r="P65"/>
  <c r="Q65"/>
  <c r="R65"/>
  <c r="I66"/>
  <c r="J66"/>
  <c r="K66"/>
  <c r="L66"/>
  <c r="M66"/>
  <c r="N66"/>
  <c r="O66"/>
  <c r="P66"/>
  <c r="Q66"/>
  <c r="R66"/>
  <c r="G67"/>
  <c r="H67"/>
  <c r="I67"/>
  <c r="J67"/>
  <c r="K67"/>
  <c r="L67"/>
  <c r="M67"/>
  <c r="N67"/>
  <c r="O67"/>
  <c r="P67"/>
  <c r="Q67"/>
  <c r="R67"/>
  <c r="I68"/>
  <c r="J68"/>
  <c r="K68"/>
  <c r="L68"/>
  <c r="M68"/>
  <c r="N68"/>
  <c r="O68"/>
  <c r="P68"/>
  <c r="Q68"/>
  <c r="R68"/>
  <c r="I69"/>
  <c r="J69"/>
  <c r="K69"/>
  <c r="L69"/>
  <c r="M69"/>
  <c r="N69"/>
  <c r="O69"/>
  <c r="P69"/>
  <c r="Q69"/>
  <c r="R69"/>
  <c r="G70"/>
  <c r="H70"/>
  <c r="I70"/>
  <c r="J70"/>
  <c r="K70"/>
  <c r="L70"/>
  <c r="M70"/>
  <c r="N70"/>
  <c r="O70"/>
  <c r="P70"/>
  <c r="Q70"/>
  <c r="R70"/>
  <c r="I71"/>
  <c r="J71"/>
  <c r="K71"/>
  <c r="L71"/>
  <c r="M71"/>
  <c r="N71"/>
  <c r="O71"/>
  <c r="P71"/>
  <c r="Q71"/>
  <c r="R71"/>
  <c r="I72"/>
  <c r="J72"/>
  <c r="K72"/>
  <c r="L72"/>
  <c r="M72"/>
  <c r="N72"/>
  <c r="O72"/>
  <c r="P72"/>
  <c r="Q72"/>
  <c r="R72"/>
  <c r="I73"/>
  <c r="J73"/>
  <c r="K73"/>
  <c r="L73"/>
  <c r="M73"/>
  <c r="N73"/>
  <c r="O73"/>
  <c r="P73"/>
  <c r="Q73"/>
  <c r="R73"/>
  <c r="E74"/>
  <c r="F74"/>
  <c r="G74"/>
  <c r="H74"/>
  <c r="I74"/>
  <c r="J74"/>
  <c r="K74"/>
  <c r="L74"/>
  <c r="M74"/>
  <c r="N74"/>
  <c r="O74"/>
  <c r="P74"/>
  <c r="Q74"/>
  <c r="R74"/>
  <c r="I75"/>
  <c r="J75"/>
  <c r="K75"/>
  <c r="L75"/>
  <c r="M75"/>
  <c r="N75"/>
  <c r="O75"/>
  <c r="P75"/>
  <c r="Q75"/>
  <c r="R75"/>
  <c r="I76"/>
  <c r="J76"/>
  <c r="K76"/>
  <c r="L76"/>
  <c r="M76"/>
  <c r="N76"/>
  <c r="O76"/>
  <c r="P76"/>
  <c r="Q76"/>
  <c r="R76"/>
  <c r="G77"/>
  <c r="H77"/>
  <c r="I77"/>
  <c r="J77"/>
  <c r="K77"/>
  <c r="L77"/>
  <c r="M77"/>
  <c r="N77"/>
  <c r="O77"/>
  <c r="P77"/>
  <c r="Q77"/>
  <c r="R77"/>
  <c r="I78"/>
  <c r="J78"/>
  <c r="K78"/>
  <c r="L78"/>
  <c r="M78"/>
  <c r="N78"/>
  <c r="O78"/>
  <c r="P78"/>
  <c r="Q78"/>
  <c r="R78"/>
  <c r="I79"/>
  <c r="J79"/>
  <c r="K79"/>
  <c r="L79"/>
  <c r="M79"/>
  <c r="N79"/>
  <c r="O79"/>
  <c r="P79"/>
  <c r="Q79"/>
  <c r="R79"/>
  <c r="F80"/>
  <c r="G80"/>
  <c r="H80"/>
  <c r="I80"/>
  <c r="J80"/>
  <c r="K80"/>
  <c r="L80"/>
  <c r="M80"/>
  <c r="N80"/>
  <c r="O80"/>
  <c r="P80"/>
  <c r="Q80"/>
  <c r="R80"/>
  <c r="G81"/>
  <c r="H81"/>
  <c r="I81"/>
  <c r="J81"/>
  <c r="K81"/>
  <c r="L81"/>
  <c r="M81"/>
  <c r="N81"/>
  <c r="O81"/>
  <c r="P81"/>
  <c r="Q81"/>
  <c r="R81"/>
  <c r="I82"/>
  <c r="J82"/>
  <c r="K82"/>
  <c r="L82"/>
  <c r="M82"/>
  <c r="N82"/>
  <c r="O82"/>
  <c r="P82"/>
  <c r="Q82"/>
  <c r="R82"/>
  <c r="I83"/>
  <c r="J83"/>
  <c r="K83"/>
  <c r="L83"/>
  <c r="M83"/>
  <c r="K6"/>
  <c r="L6"/>
  <c r="M6"/>
  <c r="N6"/>
  <c r="O6"/>
  <c r="P6"/>
  <c r="Q6"/>
  <c r="R6"/>
  <c r="J6"/>
  <c r="I6"/>
  <c r="H6"/>
  <c r="G6"/>
  <c r="E6"/>
  <c r="F6"/>
  <c r="D6"/>
  <c r="M15" i="119"/>
  <c r="M31"/>
  <c r="N31"/>
  <c r="O31"/>
  <c r="P31"/>
  <c r="Q31"/>
  <c r="R31"/>
  <c r="S31"/>
  <c r="T31"/>
  <c r="U31"/>
  <c r="M32"/>
  <c r="N32"/>
  <c r="O32"/>
  <c r="P32"/>
  <c r="Q32"/>
  <c r="R32"/>
  <c r="S32"/>
  <c r="T32"/>
  <c r="U32"/>
  <c r="M33"/>
  <c r="N33"/>
  <c r="O33"/>
  <c r="P33"/>
  <c r="Q33"/>
  <c r="R33"/>
  <c r="S33"/>
  <c r="T33"/>
  <c r="U33"/>
  <c r="M35"/>
  <c r="N35"/>
  <c r="O35"/>
  <c r="P35"/>
  <c r="Q35"/>
  <c r="R35"/>
  <c r="S35"/>
  <c r="T35"/>
  <c r="U35"/>
  <c r="M36"/>
  <c r="N36"/>
  <c r="O36"/>
  <c r="P36"/>
  <c r="Q36"/>
  <c r="R36"/>
  <c r="S36"/>
  <c r="T36"/>
  <c r="U36"/>
  <c r="M37"/>
  <c r="N37"/>
  <c r="O37"/>
  <c r="P37"/>
  <c r="Q37"/>
  <c r="R37"/>
  <c r="S37"/>
  <c r="T37"/>
  <c r="U37"/>
  <c r="M38"/>
  <c r="N38"/>
  <c r="O38"/>
  <c r="P38"/>
  <c r="Q38"/>
  <c r="R38"/>
  <c r="S38"/>
  <c r="T38"/>
  <c r="U38"/>
  <c r="M39"/>
  <c r="N39"/>
  <c r="O39"/>
  <c r="P39"/>
  <c r="Q39"/>
  <c r="R39"/>
  <c r="S39"/>
  <c r="T39"/>
  <c r="U39"/>
  <c r="M40"/>
  <c r="N40"/>
  <c r="O40"/>
  <c r="P40"/>
  <c r="Q40"/>
  <c r="R40"/>
  <c r="S40"/>
  <c r="T40"/>
  <c r="U40"/>
  <c r="M41"/>
  <c r="N41"/>
  <c r="O41"/>
  <c r="P41"/>
  <c r="Q41"/>
  <c r="R41"/>
  <c r="S41"/>
  <c r="T41"/>
  <c r="U41"/>
  <c r="M42"/>
  <c r="N42"/>
  <c r="O42"/>
  <c r="P42"/>
  <c r="Q42"/>
  <c r="R42"/>
  <c r="S42"/>
  <c r="T42"/>
  <c r="U42"/>
  <c r="M43"/>
  <c r="N43"/>
  <c r="O43"/>
  <c r="P43"/>
  <c r="Q43"/>
  <c r="R43"/>
  <c r="S43"/>
  <c r="T43"/>
  <c r="U43"/>
  <c r="M45"/>
  <c r="N45"/>
  <c r="O45"/>
  <c r="P45"/>
  <c r="Q45"/>
  <c r="R45"/>
  <c r="S45"/>
  <c r="T45"/>
  <c r="U45"/>
  <c r="M46"/>
  <c r="N46"/>
  <c r="O46"/>
  <c r="P46"/>
  <c r="Q46"/>
  <c r="R46"/>
  <c r="S46"/>
  <c r="T46"/>
  <c r="U46"/>
  <c r="M47"/>
  <c r="N47"/>
  <c r="O47"/>
  <c r="P47"/>
  <c r="Q47"/>
  <c r="R47"/>
  <c r="S47"/>
  <c r="T47"/>
  <c r="U47"/>
  <c r="M49"/>
  <c r="N49"/>
  <c r="O49"/>
  <c r="P49"/>
  <c r="Q49"/>
  <c r="R49"/>
  <c r="S49"/>
  <c r="T49"/>
  <c r="U49"/>
  <c r="M50"/>
  <c r="N50"/>
  <c r="O50"/>
  <c r="P50"/>
  <c r="Q50"/>
  <c r="R50"/>
  <c r="S50"/>
  <c r="T50"/>
  <c r="U50"/>
  <c r="M18"/>
  <c r="N18"/>
  <c r="O18"/>
  <c r="P18"/>
  <c r="Q18"/>
  <c r="R18"/>
  <c r="S18"/>
  <c r="T18"/>
  <c r="U18"/>
  <c r="M19"/>
  <c r="N19"/>
  <c r="O19"/>
  <c r="P19"/>
  <c r="Q19"/>
  <c r="R19"/>
  <c r="S19"/>
  <c r="T19"/>
  <c r="U19"/>
  <c r="M20"/>
  <c r="N20"/>
  <c r="O20"/>
  <c r="P20"/>
  <c r="Q20"/>
  <c r="R20"/>
  <c r="S20"/>
  <c r="T20"/>
  <c r="U20"/>
  <c r="M21"/>
  <c r="N21"/>
  <c r="O21"/>
  <c r="P21"/>
  <c r="Q21"/>
  <c r="R21"/>
  <c r="S21"/>
  <c r="T21"/>
  <c r="U21"/>
  <c r="M22"/>
  <c r="N22"/>
  <c r="O22"/>
  <c r="P22"/>
  <c r="Q22"/>
  <c r="R22"/>
  <c r="S22"/>
  <c r="T22"/>
  <c r="U22"/>
  <c r="M23"/>
  <c r="N23"/>
  <c r="O23"/>
  <c r="P23"/>
  <c r="Q23"/>
  <c r="R23"/>
  <c r="S23"/>
  <c r="T23"/>
  <c r="U23"/>
  <c r="M24"/>
  <c r="N24"/>
  <c r="O24"/>
  <c r="P24"/>
  <c r="Q24"/>
  <c r="R24"/>
  <c r="S24"/>
  <c r="T24"/>
  <c r="U24"/>
  <c r="M25"/>
  <c r="N25"/>
  <c r="O25"/>
  <c r="P25"/>
  <c r="Q25"/>
  <c r="R25"/>
  <c r="S25"/>
  <c r="T25"/>
  <c r="U25"/>
  <c r="M26"/>
  <c r="N26"/>
  <c r="O26"/>
  <c r="P26"/>
  <c r="Q26"/>
  <c r="R26"/>
  <c r="S26"/>
  <c r="T26"/>
  <c r="U26"/>
  <c r="M27"/>
  <c r="N27"/>
  <c r="O27"/>
  <c r="P27"/>
  <c r="Q27"/>
  <c r="R27"/>
  <c r="S27"/>
  <c r="T27"/>
  <c r="U27"/>
  <c r="M28"/>
  <c r="N28"/>
  <c r="O28"/>
  <c r="P28"/>
  <c r="Q28"/>
  <c r="R28"/>
  <c r="S28"/>
  <c r="T28"/>
  <c r="U28"/>
  <c r="M29"/>
  <c r="N29"/>
  <c r="O29"/>
  <c r="P29"/>
  <c r="Q29"/>
  <c r="R29"/>
  <c r="S29"/>
  <c r="T29"/>
  <c r="U29"/>
  <c r="M30"/>
  <c r="N30"/>
  <c r="O30"/>
  <c r="P30"/>
  <c r="Q30"/>
  <c r="R30"/>
  <c r="S30"/>
  <c r="T30"/>
  <c r="U30"/>
  <c r="N17"/>
  <c r="O17"/>
  <c r="P17"/>
  <c r="Q17"/>
  <c r="R17"/>
  <c r="S17"/>
  <c r="T17"/>
  <c r="U17"/>
  <c r="M17"/>
  <c r="C45"/>
  <c r="C46"/>
  <c r="C47"/>
  <c r="C49"/>
  <c r="C50"/>
  <c r="C35"/>
  <c r="C36"/>
  <c r="C37"/>
  <c r="C38"/>
  <c r="C39"/>
  <c r="C40"/>
  <c r="C41"/>
  <c r="C42"/>
  <c r="C43"/>
  <c r="C28"/>
  <c r="C29"/>
  <c r="C30"/>
  <c r="C31"/>
  <c r="C32"/>
  <c r="C33"/>
  <c r="C18"/>
  <c r="C19"/>
  <c r="C20"/>
  <c r="C21"/>
  <c r="C22"/>
  <c r="C23"/>
  <c r="C24"/>
  <c r="C25"/>
  <c r="C26"/>
  <c r="C27"/>
  <c r="C17"/>
  <c r="E34" i="122"/>
  <c r="F34"/>
  <c r="G34"/>
  <c r="H34"/>
  <c r="I34"/>
  <c r="J34"/>
  <c r="K34"/>
  <c r="L34"/>
  <c r="D34"/>
  <c r="E245" i="121"/>
  <c r="F245"/>
  <c r="G245"/>
  <c r="H245"/>
  <c r="I245"/>
  <c r="J245"/>
  <c r="K245"/>
  <c r="L245"/>
  <c r="D245"/>
  <c r="E32" i="122"/>
  <c r="F32"/>
  <c r="G32"/>
  <c r="H32"/>
  <c r="I32"/>
  <c r="J32"/>
  <c r="K32"/>
  <c r="L32"/>
  <c r="D32"/>
  <c r="E241" i="121"/>
  <c r="F241"/>
  <c r="G241"/>
  <c r="H241"/>
  <c r="I241"/>
  <c r="J241"/>
  <c r="K241"/>
  <c r="L241"/>
  <c r="D241"/>
  <c r="E255"/>
  <c r="E35" i="122" s="1"/>
  <c r="F255" i="121"/>
  <c r="F35" i="122" s="1"/>
  <c r="G255" i="121"/>
  <c r="H255"/>
  <c r="I255"/>
  <c r="I35" i="122" s="1"/>
  <c r="J255" i="121"/>
  <c r="J35" i="122" s="1"/>
  <c r="K255" i="121"/>
  <c r="L255"/>
  <c r="D255"/>
  <c r="E208"/>
  <c r="E29" i="122" s="1"/>
  <c r="F208" i="121"/>
  <c r="G208"/>
  <c r="G29" i="122" s="1"/>
  <c r="H208" i="121"/>
  <c r="I208"/>
  <c r="I29" i="122" s="1"/>
  <c r="J208" i="121"/>
  <c r="K208"/>
  <c r="K29" i="122" s="1"/>
  <c r="L208" i="121"/>
  <c r="D208"/>
  <c r="E178"/>
  <c r="E25" i="122" s="1"/>
  <c r="F178" i="121"/>
  <c r="F25" i="122" s="1"/>
  <c r="G178" i="121"/>
  <c r="H178"/>
  <c r="H25" i="122" s="1"/>
  <c r="I178" i="121"/>
  <c r="I25" i="122" s="1"/>
  <c r="J178" i="121"/>
  <c r="J25" i="122" s="1"/>
  <c r="K178" i="121"/>
  <c r="L178"/>
  <c r="L25" i="122" s="1"/>
  <c r="D178" i="121"/>
  <c r="D25" i="122" s="1"/>
  <c r="D165" i="121"/>
  <c r="L12"/>
  <c r="J12"/>
  <c r="J2" i="122" s="1"/>
  <c r="E2"/>
  <c r="F2"/>
  <c r="G2"/>
  <c r="H2"/>
  <c r="I2"/>
  <c r="K2"/>
  <c r="L2"/>
  <c r="D2"/>
  <c r="E12" i="121"/>
  <c r="F12"/>
  <c r="G12"/>
  <c r="H12"/>
  <c r="I12"/>
  <c r="K12"/>
  <c r="D12"/>
  <c r="E16" i="122"/>
  <c r="F129" i="121"/>
  <c r="F16" i="122" s="1"/>
  <c r="H129" i="121"/>
  <c r="I16" i="122"/>
  <c r="J129" i="121"/>
  <c r="J16" i="122" s="1"/>
  <c r="L129" i="121"/>
  <c r="D129"/>
  <c r="D16" i="122" s="1"/>
  <c r="E80" i="121"/>
  <c r="E14" i="122" s="1"/>
  <c r="F80" i="121"/>
  <c r="G80"/>
  <c r="H80"/>
  <c r="H14" i="122" s="1"/>
  <c r="I80" i="121"/>
  <c r="I14" i="122" s="1"/>
  <c r="J80" i="121"/>
  <c r="K80"/>
  <c r="L80"/>
  <c r="L14" i="122" s="1"/>
  <c r="D80" i="121"/>
  <c r="D14" i="122" s="1"/>
  <c r="E70" i="121"/>
  <c r="E13" i="122" s="1"/>
  <c r="F70" i="121"/>
  <c r="F13" i="122" s="1"/>
  <c r="G70" i="121"/>
  <c r="H70"/>
  <c r="H13" i="122" s="1"/>
  <c r="I70" i="121"/>
  <c r="I13" i="122" s="1"/>
  <c r="J70" i="121"/>
  <c r="J13" i="122" s="1"/>
  <c r="K70" i="121"/>
  <c r="L70"/>
  <c r="L13" i="122" s="1"/>
  <c r="D70" i="121"/>
  <c r="E6" i="122"/>
  <c r="F24" i="121"/>
  <c r="H24"/>
  <c r="H6" i="122" s="1"/>
  <c r="J24" i="121"/>
  <c r="L24"/>
  <c r="D24"/>
  <c r="B37" i="122"/>
  <c r="C37"/>
  <c r="D37"/>
  <c r="E37"/>
  <c r="F37"/>
  <c r="G37"/>
  <c r="H37"/>
  <c r="I37"/>
  <c r="J37"/>
  <c r="K37"/>
  <c r="L37"/>
  <c r="B38"/>
  <c r="C38"/>
  <c r="D38"/>
  <c r="E38"/>
  <c r="F38"/>
  <c r="G38"/>
  <c r="H38"/>
  <c r="I38"/>
  <c r="K38"/>
  <c r="L38"/>
  <c r="B40"/>
  <c r="C40"/>
  <c r="D40"/>
  <c r="E40"/>
  <c r="F40"/>
  <c r="G40"/>
  <c r="H40"/>
  <c r="I40"/>
  <c r="J40"/>
  <c r="K40"/>
  <c r="L40"/>
  <c r="B4"/>
  <c r="C4"/>
  <c r="D4"/>
  <c r="E4"/>
  <c r="F4"/>
  <c r="G4"/>
  <c r="H4"/>
  <c r="I4"/>
  <c r="J4"/>
  <c r="K4"/>
  <c r="L4"/>
  <c r="B5"/>
  <c r="C5"/>
  <c r="D5"/>
  <c r="E5"/>
  <c r="F5"/>
  <c r="G5"/>
  <c r="H5"/>
  <c r="I5"/>
  <c r="J5"/>
  <c r="K5"/>
  <c r="L5"/>
  <c r="B6"/>
  <c r="C6"/>
  <c r="G6"/>
  <c r="I6"/>
  <c r="K6"/>
  <c r="B7"/>
  <c r="C7"/>
  <c r="D7"/>
  <c r="E7"/>
  <c r="F7"/>
  <c r="G7"/>
  <c r="H7"/>
  <c r="I7"/>
  <c r="J7"/>
  <c r="K7"/>
  <c r="L7"/>
  <c r="B8"/>
  <c r="C8"/>
  <c r="E8"/>
  <c r="G8"/>
  <c r="I8"/>
  <c r="K8"/>
  <c r="B9"/>
  <c r="C9"/>
  <c r="D9"/>
  <c r="E9"/>
  <c r="F9"/>
  <c r="G9"/>
  <c r="H9"/>
  <c r="I9"/>
  <c r="J9"/>
  <c r="K9"/>
  <c r="B10"/>
  <c r="C10"/>
  <c r="E10"/>
  <c r="F10"/>
  <c r="G10"/>
  <c r="H10"/>
  <c r="I10"/>
  <c r="J10"/>
  <c r="K10"/>
  <c r="L10"/>
  <c r="B11"/>
  <c r="C11"/>
  <c r="E11"/>
  <c r="F11"/>
  <c r="G11"/>
  <c r="I11"/>
  <c r="J11"/>
  <c r="K11"/>
  <c r="B12"/>
  <c r="C12"/>
  <c r="E12"/>
  <c r="F12"/>
  <c r="G12"/>
  <c r="I12"/>
  <c r="K12"/>
  <c r="B13"/>
  <c r="C13"/>
  <c r="D13"/>
  <c r="G13"/>
  <c r="K13"/>
  <c r="B14"/>
  <c r="C14"/>
  <c r="F14"/>
  <c r="G14"/>
  <c r="J14"/>
  <c r="K14"/>
  <c r="B15"/>
  <c r="C15"/>
  <c r="E15"/>
  <c r="G15"/>
  <c r="I15"/>
  <c r="K15"/>
  <c r="B16"/>
  <c r="C16"/>
  <c r="G16"/>
  <c r="H16"/>
  <c r="K16"/>
  <c r="L16"/>
  <c r="B17"/>
  <c r="C17"/>
  <c r="E17"/>
  <c r="G17"/>
  <c r="I17"/>
  <c r="K17"/>
  <c r="B18"/>
  <c r="C18"/>
  <c r="E18"/>
  <c r="G18"/>
  <c r="I18"/>
  <c r="K18"/>
  <c r="B19"/>
  <c r="C19"/>
  <c r="E19"/>
  <c r="G19"/>
  <c r="I19"/>
  <c r="K19"/>
  <c r="B22"/>
  <c r="C21"/>
  <c r="E21"/>
  <c r="G21"/>
  <c r="I21"/>
  <c r="K21"/>
  <c r="B23"/>
  <c r="C23"/>
  <c r="E23"/>
  <c r="G23"/>
  <c r="I23"/>
  <c r="J23"/>
  <c r="K23"/>
  <c r="B24"/>
  <c r="C24"/>
  <c r="E24"/>
  <c r="G24"/>
  <c r="I24"/>
  <c r="K24"/>
  <c r="B25"/>
  <c r="C25"/>
  <c r="G25"/>
  <c r="K25"/>
  <c r="B26"/>
  <c r="C26"/>
  <c r="E26"/>
  <c r="G26"/>
  <c r="I26"/>
  <c r="K26"/>
  <c r="B27"/>
  <c r="C27"/>
  <c r="E27"/>
  <c r="G27"/>
  <c r="I27"/>
  <c r="K27"/>
  <c r="B28"/>
  <c r="C28"/>
  <c r="E28"/>
  <c r="G28"/>
  <c r="I28"/>
  <c r="K28"/>
  <c r="B29"/>
  <c r="C29"/>
  <c r="D29"/>
  <c r="F29"/>
  <c r="H29"/>
  <c r="J29"/>
  <c r="L29"/>
  <c r="B30"/>
  <c r="C30"/>
  <c r="E30"/>
  <c r="G30"/>
  <c r="I30"/>
  <c r="K30"/>
  <c r="B33"/>
  <c r="C32"/>
  <c r="B34"/>
  <c r="C34"/>
  <c r="J33"/>
  <c r="B35"/>
  <c r="C35"/>
  <c r="D35"/>
  <c r="G35"/>
  <c r="H35"/>
  <c r="K35"/>
  <c r="L35"/>
  <c r="B3"/>
  <c r="B263" i="121"/>
  <c r="L262"/>
  <c r="L261" s="1"/>
  <c r="J262"/>
  <c r="J261" s="1"/>
  <c r="J38" i="122" s="1"/>
  <c r="H262" i="121"/>
  <c r="F262"/>
  <c r="D262"/>
  <c r="B257"/>
  <c r="F256"/>
  <c r="H256" s="1"/>
  <c r="J256" s="1"/>
  <c r="L256" s="1"/>
  <c r="D256"/>
  <c r="F252"/>
  <c r="H252" s="1"/>
  <c r="D252"/>
  <c r="L246"/>
  <c r="J246"/>
  <c r="H246"/>
  <c r="F246"/>
  <c r="D246"/>
  <c r="B237"/>
  <c r="B233"/>
  <c r="H226"/>
  <c r="H225"/>
  <c r="J225" s="1"/>
  <c r="L225" s="1"/>
  <c r="F225"/>
  <c r="F224"/>
  <c r="H224" s="1"/>
  <c r="F223"/>
  <c r="F30" i="122" s="1"/>
  <c r="D223" i="121"/>
  <c r="D30" i="122" s="1"/>
  <c r="F220" i="121"/>
  <c r="H220" s="1"/>
  <c r="D219"/>
  <c r="F218"/>
  <c r="H218" s="1"/>
  <c r="F217"/>
  <c r="D217"/>
  <c r="F216"/>
  <c r="H216" s="1"/>
  <c r="J216" s="1"/>
  <c r="L216" s="1"/>
  <c r="F215"/>
  <c r="H215" s="1"/>
  <c r="J215" s="1"/>
  <c r="L215" s="1"/>
  <c r="F214"/>
  <c r="H214" s="1"/>
  <c r="D213"/>
  <c r="F212"/>
  <c r="F211" s="1"/>
  <c r="D211"/>
  <c r="H210"/>
  <c r="J210" s="1"/>
  <c r="F210"/>
  <c r="F209" s="1"/>
  <c r="D209"/>
  <c r="F205"/>
  <c r="H205" s="1"/>
  <c r="F204"/>
  <c r="F28" i="122" s="1"/>
  <c r="D204" i="121"/>
  <c r="D28" i="122" s="1"/>
  <c r="F201" i="121"/>
  <c r="H201" s="1"/>
  <c r="J201" s="1"/>
  <c r="L201" s="1"/>
  <c r="F200"/>
  <c r="H200" s="1"/>
  <c r="J200" s="1"/>
  <c r="L200" s="1"/>
  <c r="F199"/>
  <c r="H199" s="1"/>
  <c r="J199" s="1"/>
  <c r="L199" s="1"/>
  <c r="P198"/>
  <c r="F198"/>
  <c r="J197"/>
  <c r="L197" s="1"/>
  <c r="H197"/>
  <c r="O197" s="1"/>
  <c r="D197"/>
  <c r="F196"/>
  <c r="H196" s="1"/>
  <c r="J196" s="1"/>
  <c r="L196" s="1"/>
  <c r="F195"/>
  <c r="H195" s="1"/>
  <c r="J195" s="1"/>
  <c r="L195" s="1"/>
  <c r="F194"/>
  <c r="H194" s="1"/>
  <c r="J194" s="1"/>
  <c r="L194" s="1"/>
  <c r="F193"/>
  <c r="H193" s="1"/>
  <c r="J193" s="1"/>
  <c r="L193" s="1"/>
  <c r="F192"/>
  <c r="H192" s="1"/>
  <c r="J192" s="1"/>
  <c r="L192" s="1"/>
  <c r="D191"/>
  <c r="D27" i="122" s="1"/>
  <c r="F188" i="121"/>
  <c r="H188" s="1"/>
  <c r="D188"/>
  <c r="D187" s="1"/>
  <c r="D26" i="122" s="1"/>
  <c r="H183" i="121"/>
  <c r="H182" s="1"/>
  <c r="D183"/>
  <c r="D182" s="1"/>
  <c r="F182"/>
  <c r="L181"/>
  <c r="J181"/>
  <c r="H181"/>
  <c r="D181"/>
  <c r="L180"/>
  <c r="J180"/>
  <c r="H180"/>
  <c r="F180"/>
  <c r="D180"/>
  <c r="F176"/>
  <c r="H176" s="1"/>
  <c r="D175"/>
  <c r="D24" i="122" s="1"/>
  <c r="D172" i="121"/>
  <c r="F172" s="1"/>
  <c r="L171"/>
  <c r="L23" i="122" s="1"/>
  <c r="J171" i="121"/>
  <c r="F159"/>
  <c r="F158"/>
  <c r="F157" s="1"/>
  <c r="D157"/>
  <c r="D19" i="122" s="1"/>
  <c r="F154" i="121"/>
  <c r="H154" s="1"/>
  <c r="D153"/>
  <c r="D18" i="122" s="1"/>
  <c r="H150" i="121"/>
  <c r="J150" s="1"/>
  <c r="L150" s="1"/>
  <c r="F150"/>
  <c r="F149"/>
  <c r="H149" s="1"/>
  <c r="D148"/>
  <c r="D17" i="122" s="1"/>
  <c r="H144" i="121"/>
  <c r="J144" s="1"/>
  <c r="L144" s="1"/>
  <c r="F144"/>
  <c r="F143"/>
  <c r="H143" s="1"/>
  <c r="H142"/>
  <c r="J142" s="1"/>
  <c r="L142" s="1"/>
  <c r="F142"/>
  <c r="F141" s="1"/>
  <c r="D141"/>
  <c r="F139"/>
  <c r="F138" s="1"/>
  <c r="D138"/>
  <c r="H136"/>
  <c r="J136" s="1"/>
  <c r="L136" s="1"/>
  <c r="F136"/>
  <c r="F135"/>
  <c r="H135" s="1"/>
  <c r="F134"/>
  <c r="H134" s="1"/>
  <c r="J134" s="1"/>
  <c r="L134" s="1"/>
  <c r="J133"/>
  <c r="H133"/>
  <c r="F132"/>
  <c r="H132" s="1"/>
  <c r="D131"/>
  <c r="F127"/>
  <c r="H127" s="1"/>
  <c r="H126"/>
  <c r="J126" s="1"/>
  <c r="L126" s="1"/>
  <c r="F126"/>
  <c r="F125"/>
  <c r="H125" s="1"/>
  <c r="H124"/>
  <c r="J124" s="1"/>
  <c r="L124" s="1"/>
  <c r="F124"/>
  <c r="F123"/>
  <c r="H123" s="1"/>
  <c r="H122"/>
  <c r="J122" s="1"/>
  <c r="L122" s="1"/>
  <c r="F122"/>
  <c r="F121"/>
  <c r="H121" s="1"/>
  <c r="H120"/>
  <c r="J120" s="1"/>
  <c r="L120" s="1"/>
  <c r="F120"/>
  <c r="F119"/>
  <c r="H119" s="1"/>
  <c r="H118"/>
  <c r="J118" s="1"/>
  <c r="L118" s="1"/>
  <c r="F118"/>
  <c r="F117" s="1"/>
  <c r="D117"/>
  <c r="D15" i="122" s="1"/>
  <c r="L112" i="121"/>
  <c r="J112"/>
  <c r="F110"/>
  <c r="F109"/>
  <c r="D108"/>
  <c r="F106"/>
  <c r="F105"/>
  <c r="F104"/>
  <c r="F103"/>
  <c r="F102"/>
  <c r="F101"/>
  <c r="F100"/>
  <c r="F99"/>
  <c r="F98"/>
  <c r="F97"/>
  <c r="F96"/>
  <c r="F95"/>
  <c r="F94"/>
  <c r="F93"/>
  <c r="F92"/>
  <c r="F90" s="1"/>
  <c r="H90" s="1"/>
  <c r="J90" s="1"/>
  <c r="L90" s="1"/>
  <c r="F91"/>
  <c r="D90"/>
  <c r="F88"/>
  <c r="F87"/>
  <c r="F85" s="1"/>
  <c r="H85" s="1"/>
  <c r="J85" s="1"/>
  <c r="L85" s="1"/>
  <c r="F86"/>
  <c r="D85"/>
  <c r="M83"/>
  <c r="H82"/>
  <c r="J82" s="1"/>
  <c r="L82" s="1"/>
  <c r="F82"/>
  <c r="D82"/>
  <c r="H77"/>
  <c r="J77" s="1"/>
  <c r="F77"/>
  <c r="F76"/>
  <c r="H76" s="1"/>
  <c r="D75"/>
  <c r="L73"/>
  <c r="L72"/>
  <c r="L71" s="1"/>
  <c r="J71"/>
  <c r="H71"/>
  <c r="F71"/>
  <c r="D71"/>
  <c r="J66"/>
  <c r="L66" s="1"/>
  <c r="L12" i="122" s="1"/>
  <c r="H66" i="121"/>
  <c r="H12" i="122" s="1"/>
  <c r="F66" i="121"/>
  <c r="D66"/>
  <c r="D12" i="122" s="1"/>
  <c r="L57" i="121"/>
  <c r="L11" i="122" s="1"/>
  <c r="J57" i="121"/>
  <c r="H57"/>
  <c r="H11" i="122" s="1"/>
  <c r="F57" i="121"/>
  <c r="D57"/>
  <c r="D11" i="122" s="1"/>
  <c r="D52" i="121"/>
  <c r="D10" i="122" s="1"/>
  <c r="J45" i="121"/>
  <c r="L45" s="1"/>
  <c r="L9" i="122" s="1"/>
  <c r="D38" i="121"/>
  <c r="F38" s="1"/>
  <c r="H38" s="1"/>
  <c r="H8" i="122" s="1"/>
  <c r="H29" i="121"/>
  <c r="D29"/>
  <c r="F6" i="122"/>
  <c r="D14" i="121"/>
  <c r="S598" i="125" l="1"/>
  <c r="O59" i="126"/>
  <c r="Q59" s="1"/>
  <c r="S59" s="1"/>
  <c r="U59" s="1"/>
  <c r="W204"/>
  <c r="S13"/>
  <c r="S577"/>
  <c r="W353"/>
  <c r="W360"/>
  <c r="W387"/>
  <c r="W394"/>
  <c r="W405"/>
  <c r="W529"/>
  <c r="W655"/>
  <c r="W406"/>
  <c r="W417"/>
  <c r="W421"/>
  <c r="W441"/>
  <c r="W452"/>
  <c r="O13"/>
  <c r="M13"/>
  <c r="Q13"/>
  <c r="U13"/>
  <c r="W214"/>
  <c r="W238"/>
  <c r="W239"/>
  <c r="W247"/>
  <c r="W278"/>
  <c r="W285"/>
  <c r="W298"/>
  <c r="W335"/>
  <c r="W534"/>
  <c r="W541"/>
  <c r="W542"/>
  <c r="W559"/>
  <c r="W571"/>
  <c r="W315"/>
  <c r="W319"/>
  <c r="W322"/>
  <c r="W327"/>
  <c r="W615"/>
  <c r="W626"/>
  <c r="W641"/>
  <c r="W650"/>
  <c r="W216"/>
  <c r="W273"/>
  <c r="W276"/>
  <c r="W281"/>
  <c r="W288"/>
  <c r="W300"/>
  <c r="W333"/>
  <c r="W389"/>
  <c r="W398"/>
  <c r="W413"/>
  <c r="W428"/>
  <c r="W436"/>
  <c r="W454"/>
  <c r="W573"/>
  <c r="W595"/>
  <c r="W598"/>
  <c r="W611"/>
  <c r="W634"/>
  <c r="W643"/>
  <c r="W645"/>
  <c r="W658"/>
  <c r="W96"/>
  <c r="W109"/>
  <c r="W219"/>
  <c r="W236"/>
  <c r="W241"/>
  <c r="W256"/>
  <c r="W293"/>
  <c r="W321"/>
  <c r="W343"/>
  <c r="W400"/>
  <c r="W408"/>
  <c r="W431"/>
  <c r="W448"/>
  <c r="W462"/>
  <c r="W539"/>
  <c r="W543"/>
  <c r="W550"/>
  <c r="W569"/>
  <c r="Q577"/>
  <c r="W603"/>
  <c r="U577"/>
  <c r="W607"/>
  <c r="W613"/>
  <c r="W617"/>
  <c r="W621"/>
  <c r="W637"/>
  <c r="W648"/>
  <c r="W127"/>
  <c r="W150"/>
  <c r="W175"/>
  <c r="W244"/>
  <c r="W264"/>
  <c r="W283"/>
  <c r="W297"/>
  <c r="W302"/>
  <c r="W368"/>
  <c r="W380"/>
  <c r="W391"/>
  <c r="W392"/>
  <c r="W402"/>
  <c r="W449"/>
  <c r="W456"/>
  <c r="W531"/>
  <c r="W536"/>
  <c r="W545"/>
  <c r="W557"/>
  <c r="W563"/>
  <c r="O577"/>
  <c r="W586"/>
  <c r="W609"/>
  <c r="W682"/>
  <c r="W624"/>
  <c r="W639"/>
  <c r="M577"/>
  <c r="O304"/>
  <c r="W8"/>
  <c r="O13" i="125"/>
  <c r="S13"/>
  <c r="M13"/>
  <c r="Q13"/>
  <c r="U13"/>
  <c r="W309"/>
  <c r="W316"/>
  <c r="W358"/>
  <c r="W396"/>
  <c r="W400"/>
  <c r="W407"/>
  <c r="W425"/>
  <c r="W437"/>
  <c r="W448"/>
  <c r="W466"/>
  <c r="W470"/>
  <c r="W546"/>
  <c r="W551"/>
  <c r="W561"/>
  <c r="W571"/>
  <c r="W590"/>
  <c r="W594"/>
  <c r="W632"/>
  <c r="W657"/>
  <c r="W671"/>
  <c r="W678"/>
  <c r="Q598"/>
  <c r="W628"/>
  <c r="W636"/>
  <c r="W8"/>
  <c r="W183"/>
  <c r="W227"/>
  <c r="W261"/>
  <c r="W266"/>
  <c r="W280"/>
  <c r="W83"/>
  <c r="W198"/>
  <c r="W226"/>
  <c r="W392"/>
  <c r="W403"/>
  <c r="W421"/>
  <c r="W432"/>
  <c r="W553"/>
  <c r="W578"/>
  <c r="W616"/>
  <c r="W624"/>
  <c r="W630"/>
  <c r="W634"/>
  <c r="W638"/>
  <c r="W644"/>
  <c r="W660"/>
  <c r="W681"/>
  <c r="W106"/>
  <c r="W129"/>
  <c r="W201"/>
  <c r="W221"/>
  <c r="W232"/>
  <c r="W244"/>
  <c r="W252"/>
  <c r="W271"/>
  <c r="W289"/>
  <c r="W294"/>
  <c r="W325"/>
  <c r="W333"/>
  <c r="W341"/>
  <c r="W378"/>
  <c r="W387"/>
  <c r="W390"/>
  <c r="W417"/>
  <c r="W461"/>
  <c r="W557"/>
  <c r="W563"/>
  <c r="W580"/>
  <c r="O598"/>
  <c r="W607"/>
  <c r="W619"/>
  <c r="W640"/>
  <c r="W647"/>
  <c r="W662"/>
  <c r="W666"/>
  <c r="W154"/>
  <c r="W229"/>
  <c r="W264"/>
  <c r="W269"/>
  <c r="W204"/>
  <c r="W235"/>
  <c r="W273"/>
  <c r="W292"/>
  <c r="W296"/>
  <c r="W314"/>
  <c r="W320"/>
  <c r="W331"/>
  <c r="W351"/>
  <c r="W366"/>
  <c r="W385"/>
  <c r="W389"/>
  <c r="W398"/>
  <c r="W412"/>
  <c r="W442"/>
  <c r="W463"/>
  <c r="W468"/>
  <c r="W476"/>
  <c r="W548"/>
  <c r="W562"/>
  <c r="W565"/>
  <c r="W584"/>
  <c r="M598"/>
  <c r="U598"/>
  <c r="W649"/>
  <c r="W664"/>
  <c r="W668"/>
  <c r="W673"/>
  <c r="W298"/>
  <c r="W70"/>
  <c r="W285"/>
  <c r="W592"/>
  <c r="Q13" i="119"/>
  <c r="S13"/>
  <c r="O13"/>
  <c r="U13"/>
  <c r="M13"/>
  <c r="F33" i="122"/>
  <c r="I33"/>
  <c r="I41" s="1"/>
  <c r="E33"/>
  <c r="H33"/>
  <c r="L33"/>
  <c r="D33"/>
  <c r="K33"/>
  <c r="G33"/>
  <c r="I22"/>
  <c r="K22"/>
  <c r="E22"/>
  <c r="G22"/>
  <c r="I3"/>
  <c r="E3"/>
  <c r="K3"/>
  <c r="G3"/>
  <c r="D6"/>
  <c r="J121" i="121"/>
  <c r="J220"/>
  <c r="H219"/>
  <c r="L77"/>
  <c r="F15" i="122"/>
  <c r="H117" i="121"/>
  <c r="J123"/>
  <c r="J135"/>
  <c r="H138"/>
  <c r="J143"/>
  <c r="J149"/>
  <c r="J154"/>
  <c r="H153"/>
  <c r="J224"/>
  <c r="J252"/>
  <c r="J125"/>
  <c r="P199"/>
  <c r="H204"/>
  <c r="H28" i="122" s="1"/>
  <c r="J205" i="121"/>
  <c r="H217"/>
  <c r="J218"/>
  <c r="J76"/>
  <c r="J119"/>
  <c r="J127"/>
  <c r="H141"/>
  <c r="H157"/>
  <c r="F19" i="122"/>
  <c r="L210" i="121"/>
  <c r="J29"/>
  <c r="F148"/>
  <c r="F153"/>
  <c r="F18" i="122" s="1"/>
  <c r="F175" i="121"/>
  <c r="F24" i="122" s="1"/>
  <c r="H209" i="121"/>
  <c r="J226"/>
  <c r="D8" i="122"/>
  <c r="J12"/>
  <c r="F8"/>
  <c r="F75" i="121"/>
  <c r="F213"/>
  <c r="F108"/>
  <c r="J183"/>
  <c r="H212"/>
  <c r="F219"/>
  <c r="H223"/>
  <c r="H30" i="122" s="1"/>
  <c r="F191" i="121"/>
  <c r="F27" i="122" s="1"/>
  <c r="H198" i="121"/>
  <c r="H175"/>
  <c r="H24" i="122" s="1"/>
  <c r="J176" i="121"/>
  <c r="J188"/>
  <c r="H187"/>
  <c r="H26" i="122" s="1"/>
  <c r="J38" i="121"/>
  <c r="J8" i="122" s="1"/>
  <c r="H131" i="121"/>
  <c r="J132"/>
  <c r="H213"/>
  <c r="J214"/>
  <c r="J223"/>
  <c r="J30" i="122" s="1"/>
  <c r="L224" i="121"/>
  <c r="F171"/>
  <c r="H172"/>
  <c r="F187"/>
  <c r="F26" i="122" s="1"/>
  <c r="F131" i="121"/>
  <c r="J209"/>
  <c r="D171"/>
  <c r="W577" i="126" l="1"/>
  <c r="W304"/>
  <c r="W598" i="125"/>
  <c r="G41" i="122"/>
  <c r="F41"/>
  <c r="K41"/>
  <c r="E41"/>
  <c r="D3"/>
  <c r="J198" i="121"/>
  <c r="L29"/>
  <c r="J6" i="122"/>
  <c r="J157" i="121"/>
  <c r="H19" i="122"/>
  <c r="L127" i="121"/>
  <c r="L205"/>
  <c r="J204"/>
  <c r="J28" i="122" s="1"/>
  <c r="L252" i="121"/>
  <c r="J153"/>
  <c r="H18" i="122"/>
  <c r="J117" i="121"/>
  <c r="H15" i="122"/>
  <c r="L121" i="121"/>
  <c r="H108"/>
  <c r="L226"/>
  <c r="H148"/>
  <c r="F17" i="122"/>
  <c r="F3" s="1"/>
  <c r="L76" i="121"/>
  <c r="L149"/>
  <c r="L123"/>
  <c r="D23" i="122"/>
  <c r="D22" s="1"/>
  <c r="D41" s="1"/>
  <c r="F165" i="121"/>
  <c r="F21" i="122" s="1"/>
  <c r="F23"/>
  <c r="F22" s="1"/>
  <c r="L183" i="121"/>
  <c r="J182"/>
  <c r="H75"/>
  <c r="L209"/>
  <c r="L119"/>
  <c r="L125"/>
  <c r="J138"/>
  <c r="H171"/>
  <c r="H23" i="122" s="1"/>
  <c r="J212" i="121"/>
  <c r="H211"/>
  <c r="J141"/>
  <c r="L218"/>
  <c r="J217"/>
  <c r="L154"/>
  <c r="L143"/>
  <c r="L135"/>
  <c r="L220"/>
  <c r="J219"/>
  <c r="H191"/>
  <c r="H27" i="122" s="1"/>
  <c r="J131" i="121"/>
  <c r="L132"/>
  <c r="J175"/>
  <c r="J24" i="122" s="1"/>
  <c r="L176" i="121"/>
  <c r="L38"/>
  <c r="L8" i="122" s="1"/>
  <c r="J187" i="121"/>
  <c r="J26" i="122" s="1"/>
  <c r="L188" i="121"/>
  <c r="J213"/>
  <c r="L214"/>
  <c r="H165"/>
  <c r="H22" i="122" l="1"/>
  <c r="H21"/>
  <c r="L131" i="121"/>
  <c r="L219"/>
  <c r="L117"/>
  <c r="L15" i="122" s="1"/>
  <c r="J15"/>
  <c r="L198" i="121"/>
  <c r="F265"/>
  <c r="L187"/>
  <c r="L26" i="122" s="1"/>
  <c r="L141" i="121"/>
  <c r="L138"/>
  <c r="J75"/>
  <c r="L204"/>
  <c r="L28" i="122" s="1"/>
  <c r="L157" i="121"/>
  <c r="L19" i="122" s="1"/>
  <c r="J19"/>
  <c r="L175" i="121"/>
  <c r="L24" i="122" s="1"/>
  <c r="L212" i="121"/>
  <c r="J211"/>
  <c r="L182"/>
  <c r="D21" i="122"/>
  <c r="D265" i="121"/>
  <c r="J148"/>
  <c r="H17" i="122"/>
  <c r="H3" s="1"/>
  <c r="J108" i="121"/>
  <c r="L153"/>
  <c r="L18" i="122" s="1"/>
  <c r="J18"/>
  <c r="L6"/>
  <c r="L223" i="121"/>
  <c r="L30" i="122" s="1"/>
  <c r="J191" i="121"/>
  <c r="J27" i="122" s="1"/>
  <c r="J22" s="1"/>
  <c r="L213" i="121"/>
  <c r="L217"/>
  <c r="H41" i="122" l="1"/>
  <c r="L108" i="121"/>
  <c r="L211"/>
  <c r="D271"/>
  <c r="L191"/>
  <c r="L27" i="122" s="1"/>
  <c r="L22" s="1"/>
  <c r="L41" s="1"/>
  <c r="L148" i="121"/>
  <c r="L17" i="122" s="1"/>
  <c r="L3" s="1"/>
  <c r="J17"/>
  <c r="J3" s="1"/>
  <c r="J41" s="1"/>
  <c r="L75" i="121"/>
  <c r="F271"/>
  <c r="J165"/>
  <c r="J21" i="122" s="1"/>
  <c r="L165" i="121"/>
  <c r="L21" i="122" s="1"/>
  <c r="H265" i="121"/>
  <c r="H271" l="1"/>
  <c r="J265"/>
  <c r="S529" i="115"/>
  <c r="O529"/>
  <c r="Q529"/>
  <c r="M529"/>
  <c r="S1015"/>
  <c r="Q302" i="120"/>
  <c r="Q294"/>
  <c r="Q291"/>
  <c r="O302"/>
  <c r="M302"/>
  <c r="O291"/>
  <c r="O292"/>
  <c r="K291"/>
  <c r="J271" i="121" l="1"/>
  <c r="L265"/>
  <c r="L271" l="1"/>
  <c r="S323" i="120"/>
  <c r="M323"/>
  <c r="S292"/>
  <c r="Q394" i="115"/>
  <c r="O294" i="120"/>
  <c r="Q292"/>
  <c r="S431" i="115"/>
  <c r="Q431"/>
  <c r="P2" i="120"/>
  <c r="R2"/>
  <c r="N2"/>
  <c r="M8" i="119"/>
  <c r="K24" i="120"/>
  <c r="O1079" i="115"/>
  <c r="S1080"/>
  <c r="Q1080"/>
  <c r="O1080"/>
  <c r="N481" i="119"/>
  <c r="P481"/>
  <c r="R481"/>
  <c r="T481"/>
  <c r="D510"/>
  <c r="E510"/>
  <c r="F510"/>
  <c r="G510"/>
  <c r="M1092" i="115"/>
  <c r="O1092"/>
  <c r="Q1092"/>
  <c r="S1092"/>
  <c r="K1092"/>
  <c r="O1083"/>
  <c r="M1083"/>
  <c r="Q1083"/>
  <c r="S1083"/>
  <c r="U1083"/>
  <c r="K1083"/>
  <c r="K1066"/>
  <c r="L864"/>
  <c r="M864"/>
  <c r="N864"/>
  <c r="O864"/>
  <c r="P864"/>
  <c r="Q864"/>
  <c r="R864"/>
  <c r="S864"/>
  <c r="K864"/>
  <c r="M1081"/>
  <c r="O1081"/>
  <c r="Q1081"/>
  <c r="S1081"/>
  <c r="U1081"/>
  <c r="K1081"/>
  <c r="U1066"/>
  <c r="M1051"/>
  <c r="O1051"/>
  <c r="Q1051"/>
  <c r="S1051"/>
  <c r="K1051"/>
  <c r="N1049"/>
  <c r="O1049"/>
  <c r="P1049"/>
  <c r="Q1049"/>
  <c r="R1049"/>
  <c r="S1049"/>
  <c r="T1049"/>
  <c r="U1049"/>
  <c r="M1049"/>
  <c r="M1041"/>
  <c r="O1041"/>
  <c r="L1035"/>
  <c r="M1035"/>
  <c r="N1035"/>
  <c r="O1035"/>
  <c r="P1035"/>
  <c r="R1035"/>
  <c r="T1035"/>
  <c r="K1035"/>
  <c r="M1023"/>
  <c r="S1023"/>
  <c r="U1023"/>
  <c r="V1023"/>
  <c r="W1023"/>
  <c r="K1023"/>
  <c r="L1018"/>
  <c r="N1018"/>
  <c r="P1018"/>
  <c r="R1018"/>
  <c r="T1018"/>
  <c r="K1018"/>
  <c r="M1006"/>
  <c r="O1006"/>
  <c r="Q1006"/>
  <c r="S1006"/>
  <c r="K1006"/>
  <c r="M990"/>
  <c r="O990"/>
  <c r="Q990"/>
  <c r="S990"/>
  <c r="U990"/>
  <c r="K990"/>
  <c r="M986"/>
  <c r="O986"/>
  <c r="Q986"/>
  <c r="S986"/>
  <c r="U986"/>
  <c r="K986"/>
  <c r="M975"/>
  <c r="S975"/>
  <c r="U975"/>
  <c r="K975"/>
  <c r="N592" i="119"/>
  <c r="P592"/>
  <c r="R592"/>
  <c r="T592"/>
  <c r="M1237" i="115"/>
  <c r="O592" i="119" s="1"/>
  <c r="O1237" i="115"/>
  <c r="Q592" i="119" s="1"/>
  <c r="Q1237" i="115"/>
  <c r="S592" i="119" s="1"/>
  <c r="S1237" i="115"/>
  <c r="U592" i="119" s="1"/>
  <c r="U1237" i="115"/>
  <c r="K1237"/>
  <c r="M592" i="119" s="1"/>
  <c r="M1223" i="115"/>
  <c r="O605" i="119" s="1"/>
  <c r="O1223" i="115"/>
  <c r="Q605" i="119" s="1"/>
  <c r="Q1223" i="115"/>
  <c r="S605" i="119" s="1"/>
  <c r="S1223" i="115"/>
  <c r="U605" i="119" s="1"/>
  <c r="U1223" i="115"/>
  <c r="K1223"/>
  <c r="M605" i="119" s="1"/>
  <c r="M1190" i="115"/>
  <c r="O598" i="119" s="1"/>
  <c r="O1190" i="115"/>
  <c r="Q598" i="119" s="1"/>
  <c r="Q1190" i="115"/>
  <c r="S598" i="119" s="1"/>
  <c r="S1190" i="115"/>
  <c r="U598" i="119" s="1"/>
  <c r="U1190" i="115"/>
  <c r="K1190"/>
  <c r="M598" i="119" s="1"/>
  <c r="Q1186" i="115"/>
  <c r="S589" i="119" s="1"/>
  <c r="R1186" i="115"/>
  <c r="T589" i="119" s="1"/>
  <c r="S1186" i="115"/>
  <c r="U589" i="119" s="1"/>
  <c r="T1186" i="115"/>
  <c r="U1186"/>
  <c r="L1186"/>
  <c r="N589" i="119" s="1"/>
  <c r="M1186" i="115"/>
  <c r="O589" i="119" s="1"/>
  <c r="N1186" i="115"/>
  <c r="P589" i="119" s="1"/>
  <c r="O1186" i="115"/>
  <c r="Q589" i="119" s="1"/>
  <c r="P1186" i="115"/>
  <c r="R589" i="119" s="1"/>
  <c r="K1186" i="115"/>
  <c r="M589" i="119" s="1"/>
  <c r="N587"/>
  <c r="P587"/>
  <c r="R587"/>
  <c r="T587"/>
  <c r="Q1182" i="115"/>
  <c r="S587" i="119" s="1"/>
  <c r="S1182" i="115"/>
  <c r="U587" i="119" s="1"/>
  <c r="U1182" i="115"/>
  <c r="M1182"/>
  <c r="O587" i="119" s="1"/>
  <c r="O1182" i="115"/>
  <c r="Q587" i="119" s="1"/>
  <c r="K1182" i="115"/>
  <c r="M587" i="119" s="1"/>
  <c r="O588"/>
  <c r="Q588"/>
  <c r="S588"/>
  <c r="U588"/>
  <c r="M588"/>
  <c r="N584"/>
  <c r="P584"/>
  <c r="R584"/>
  <c r="T584"/>
  <c r="K1175" i="115"/>
  <c r="M584" i="119" s="1"/>
  <c r="U1169" i="115"/>
  <c r="V1169"/>
  <c r="W1169"/>
  <c r="L1169"/>
  <c r="M1169"/>
  <c r="O570" i="119" s="1"/>
  <c r="N1169" i="115"/>
  <c r="O1169"/>
  <c r="Q570" i="119" s="1"/>
  <c r="P1169" i="115"/>
  <c r="Q1169"/>
  <c r="S570" i="119" s="1"/>
  <c r="R1169" i="115"/>
  <c r="S1169"/>
  <c r="U570" i="119" s="1"/>
  <c r="T1169" i="115"/>
  <c r="K1169"/>
  <c r="M570" i="119" s="1"/>
  <c r="L1165" i="115"/>
  <c r="M1165"/>
  <c r="O581" i="119" s="1"/>
  <c r="N1165" i="115"/>
  <c r="O1165"/>
  <c r="Q581" i="119" s="1"/>
  <c r="P1165" i="115"/>
  <c r="Q1165"/>
  <c r="S581" i="119" s="1"/>
  <c r="R1165" i="115"/>
  <c r="S1165"/>
  <c r="U581" i="119" s="1"/>
  <c r="T1165" i="115"/>
  <c r="U1165"/>
  <c r="K1165"/>
  <c r="M581" i="119" s="1"/>
  <c r="M1156" i="115"/>
  <c r="O572" i="119" s="1"/>
  <c r="O1156" i="115"/>
  <c r="Q572" i="119" s="1"/>
  <c r="Q1156" i="115"/>
  <c r="S572" i="119" s="1"/>
  <c r="S1156" i="115"/>
  <c r="U572" i="119" s="1"/>
  <c r="U1156" i="115"/>
  <c r="K1156"/>
  <c r="M572" i="119" s="1"/>
  <c r="M1153" i="115"/>
  <c r="O575" i="119" s="1"/>
  <c r="O1153" i="115"/>
  <c r="Q575" i="119" s="1"/>
  <c r="Q1153" i="115"/>
  <c r="S575" i="119" s="1"/>
  <c r="S1153" i="115"/>
  <c r="U575" i="119" s="1"/>
  <c r="U1153" i="115"/>
  <c r="K1153"/>
  <c r="M575" i="119" s="1"/>
  <c r="K1140" i="115"/>
  <c r="M577" i="119" s="1"/>
  <c r="N558"/>
  <c r="P558"/>
  <c r="R558"/>
  <c r="T558"/>
  <c r="G598"/>
  <c r="F598"/>
  <c r="E598"/>
  <c r="D598"/>
  <c r="S1244" i="115"/>
  <c r="U608" i="119" s="1"/>
  <c r="Q1244" i="115"/>
  <c r="S608" i="119" s="1"/>
  <c r="O1244" i="115"/>
  <c r="Q608" i="119" s="1"/>
  <c r="M1244" i="115"/>
  <c r="O608" i="119" s="1"/>
  <c r="K1244" i="115"/>
  <c r="M608" i="119" s="1"/>
  <c r="W598" l="1"/>
  <c r="W605"/>
  <c r="W592"/>
  <c r="W588"/>
  <c r="W587"/>
  <c r="W589"/>
  <c r="W575"/>
  <c r="W572"/>
  <c r="W570"/>
  <c r="W581"/>
  <c r="W608"/>
  <c r="U8" l="1"/>
  <c r="S8"/>
  <c r="Q8"/>
  <c r="O8"/>
  <c r="P710" i="120"/>
  <c r="Q710"/>
  <c r="R710"/>
  <c r="S710"/>
  <c r="N710"/>
  <c r="O710"/>
  <c r="M710"/>
  <c r="M723"/>
  <c r="W8" i="119" l="1"/>
  <c r="U718"/>
  <c r="S718"/>
  <c r="Q718"/>
  <c r="O718"/>
  <c r="M718"/>
  <c r="U713"/>
  <c r="S713"/>
  <c r="Q713"/>
  <c r="O713"/>
  <c r="M713"/>
  <c r="U707"/>
  <c r="S707"/>
  <c r="Q707"/>
  <c r="O707"/>
  <c r="M707"/>
  <c r="U705"/>
  <c r="S705"/>
  <c r="Q705"/>
  <c r="O705"/>
  <c r="M705"/>
  <c r="U702"/>
  <c r="S702"/>
  <c r="Q702"/>
  <c r="O702"/>
  <c r="M702"/>
  <c r="U700"/>
  <c r="S700"/>
  <c r="Q700"/>
  <c r="O700"/>
  <c r="M700"/>
  <c r="U698"/>
  <c r="S698"/>
  <c r="Q698"/>
  <c r="U695"/>
  <c r="S695"/>
  <c r="Q695"/>
  <c r="O695"/>
  <c r="M695"/>
  <c r="M693"/>
  <c r="M690"/>
  <c r="M682"/>
  <c r="U679"/>
  <c r="S679"/>
  <c r="Q679"/>
  <c r="O679"/>
  <c r="M679"/>
  <c r="U676"/>
  <c r="S676"/>
  <c r="Q676"/>
  <c r="M676"/>
  <c r="U672"/>
  <c r="S672"/>
  <c r="Q672"/>
  <c r="O672"/>
  <c r="M672"/>
  <c r="U669"/>
  <c r="S669"/>
  <c r="Q669"/>
  <c r="O669"/>
  <c r="M669"/>
  <c r="U664"/>
  <c r="S664"/>
  <c r="Q664"/>
  <c r="O664"/>
  <c r="M664"/>
  <c r="U662"/>
  <c r="S662"/>
  <c r="Q662"/>
  <c r="O662"/>
  <c r="M662"/>
  <c r="U666"/>
  <c r="S666"/>
  <c r="Q666"/>
  <c r="O666"/>
  <c r="M666"/>
  <c r="U660"/>
  <c r="S660"/>
  <c r="Q660"/>
  <c r="O660"/>
  <c r="M660"/>
  <c r="M657"/>
  <c r="U645"/>
  <c r="S645"/>
  <c r="Q645"/>
  <c r="O645"/>
  <c r="M645"/>
  <c r="U636"/>
  <c r="S636"/>
  <c r="Q636"/>
  <c r="O636"/>
  <c r="M636"/>
  <c r="U653"/>
  <c r="S653"/>
  <c r="Q653"/>
  <c r="O653"/>
  <c r="M653"/>
  <c r="T627"/>
  <c r="R627"/>
  <c r="U621"/>
  <c r="S621"/>
  <c r="Q621"/>
  <c r="O621"/>
  <c r="M621"/>
  <c r="U623"/>
  <c r="S623"/>
  <c r="Q623"/>
  <c r="O623"/>
  <c r="M623"/>
  <c r="Q619"/>
  <c r="U619"/>
  <c r="S619"/>
  <c r="O619"/>
  <c r="M619"/>
  <c r="M613"/>
  <c r="W718" l="1"/>
  <c r="W713"/>
  <c r="W700"/>
  <c r="W707"/>
  <c r="W702"/>
  <c r="W705"/>
  <c r="W695"/>
  <c r="W679"/>
  <c r="W672"/>
  <c r="W669"/>
  <c r="W664"/>
  <c r="W666"/>
  <c r="W662"/>
  <c r="W660"/>
  <c r="W645"/>
  <c r="Q627"/>
  <c r="W636"/>
  <c r="O627"/>
  <c r="W653"/>
  <c r="U627"/>
  <c r="S627"/>
  <c r="M627"/>
  <c r="W623"/>
  <c r="W621"/>
  <c r="W619"/>
  <c r="M431"/>
  <c r="O431"/>
  <c r="Q431"/>
  <c r="S431"/>
  <c r="U431"/>
  <c r="T864" i="115"/>
  <c r="U864"/>
  <c r="V864"/>
  <c r="W864"/>
  <c r="L857"/>
  <c r="M857"/>
  <c r="O424" i="119" s="1"/>
  <c r="N857" i="115"/>
  <c r="O857"/>
  <c r="Q424" i="119" s="1"/>
  <c r="P857" i="115"/>
  <c r="Q857"/>
  <c r="S424" i="119" s="1"/>
  <c r="R857" i="115"/>
  <c r="S857"/>
  <c r="U424" i="119" s="1"/>
  <c r="T857" i="115"/>
  <c r="U857"/>
  <c r="K857"/>
  <c r="M424" i="119" s="1"/>
  <c r="O316"/>
  <c r="Q316"/>
  <c r="S316"/>
  <c r="U316"/>
  <c r="M316"/>
  <c r="O311"/>
  <c r="Q311"/>
  <c r="S311"/>
  <c r="U311"/>
  <c r="M311"/>
  <c r="O304"/>
  <c r="Q304"/>
  <c r="S304"/>
  <c r="U304"/>
  <c r="M304"/>
  <c r="O299"/>
  <c r="Q299"/>
  <c r="S299"/>
  <c r="U299"/>
  <c r="M299"/>
  <c r="N306"/>
  <c r="O306"/>
  <c r="P306"/>
  <c r="Q306"/>
  <c r="R306"/>
  <c r="S306"/>
  <c r="T306"/>
  <c r="U306"/>
  <c r="M306"/>
  <c r="O284"/>
  <c r="Q284"/>
  <c r="S284"/>
  <c r="U284"/>
  <c r="M284"/>
  <c r="L328" i="120"/>
  <c r="M328"/>
  <c r="N328"/>
  <c r="O328"/>
  <c r="P328"/>
  <c r="Q328"/>
  <c r="R328"/>
  <c r="S328"/>
  <c r="K328"/>
  <c r="O282" i="119"/>
  <c r="Q282"/>
  <c r="S282"/>
  <c r="U282"/>
  <c r="M282"/>
  <c r="O280"/>
  <c r="Q280"/>
  <c r="S280"/>
  <c r="U280"/>
  <c r="M280"/>
  <c r="O277"/>
  <c r="Q277"/>
  <c r="S277"/>
  <c r="U277"/>
  <c r="M277"/>
  <c r="O273"/>
  <c r="O287" s="1"/>
  <c r="Q273"/>
  <c r="Q287" s="1"/>
  <c r="S273"/>
  <c r="S287" s="1"/>
  <c r="U273"/>
  <c r="U287" s="1"/>
  <c r="M273"/>
  <c r="O267"/>
  <c r="Q267"/>
  <c r="S267"/>
  <c r="U267"/>
  <c r="M267"/>
  <c r="H269"/>
  <c r="I269"/>
  <c r="J269"/>
  <c r="K269"/>
  <c r="L269"/>
  <c r="N269"/>
  <c r="P269"/>
  <c r="R269"/>
  <c r="T269"/>
  <c r="V269"/>
  <c r="X269"/>
  <c r="Y269"/>
  <c r="H270"/>
  <c r="I270"/>
  <c r="J270"/>
  <c r="K270"/>
  <c r="L270"/>
  <c r="N270"/>
  <c r="P270"/>
  <c r="R270"/>
  <c r="T270"/>
  <c r="V270"/>
  <c r="X270"/>
  <c r="Y270"/>
  <c r="H271"/>
  <c r="I271"/>
  <c r="J271"/>
  <c r="K271"/>
  <c r="L271"/>
  <c r="N271"/>
  <c r="P271"/>
  <c r="R271"/>
  <c r="T271"/>
  <c r="V271"/>
  <c r="X271"/>
  <c r="Y271"/>
  <c r="N268"/>
  <c r="P268"/>
  <c r="R268"/>
  <c r="T268"/>
  <c r="V268"/>
  <c r="X268"/>
  <c r="Y268"/>
  <c r="H268"/>
  <c r="I268"/>
  <c r="J268"/>
  <c r="K268"/>
  <c r="L268"/>
  <c r="E267"/>
  <c r="F267"/>
  <c r="G267"/>
  <c r="D267"/>
  <c r="W627" l="1"/>
  <c r="W431"/>
  <c r="W424"/>
  <c r="W316"/>
  <c r="W311"/>
  <c r="W306"/>
  <c r="W304"/>
  <c r="W299"/>
  <c r="W273"/>
  <c r="W282"/>
  <c r="W284"/>
  <c r="W277"/>
  <c r="W280"/>
  <c r="M287"/>
  <c r="W267"/>
  <c r="U260" l="1"/>
  <c r="M260"/>
  <c r="N257"/>
  <c r="O257"/>
  <c r="P257"/>
  <c r="Q257"/>
  <c r="R257"/>
  <c r="S257"/>
  <c r="T257"/>
  <c r="U257"/>
  <c r="N255"/>
  <c r="O255"/>
  <c r="P255"/>
  <c r="Q255"/>
  <c r="R255"/>
  <c r="S255"/>
  <c r="T255"/>
  <c r="U255"/>
  <c r="N252"/>
  <c r="P252"/>
  <c r="R252"/>
  <c r="T252"/>
  <c r="N250"/>
  <c r="O250"/>
  <c r="P250"/>
  <c r="Q250"/>
  <c r="R250"/>
  <c r="S250"/>
  <c r="T250"/>
  <c r="U250"/>
  <c r="N247"/>
  <c r="O247"/>
  <c r="AC247" s="1"/>
  <c r="P247"/>
  <c r="Q247"/>
  <c r="AC248" s="1"/>
  <c r="R247"/>
  <c r="S247"/>
  <c r="T247"/>
  <c r="U247"/>
  <c r="N242"/>
  <c r="P242"/>
  <c r="R242"/>
  <c r="T242"/>
  <c r="M257"/>
  <c r="M255"/>
  <c r="M252"/>
  <c r="M250"/>
  <c r="M247"/>
  <c r="O138"/>
  <c r="Q138"/>
  <c r="S138"/>
  <c r="U138"/>
  <c r="M138"/>
  <c r="O113"/>
  <c r="Q113"/>
  <c r="S113"/>
  <c r="U113"/>
  <c r="M113"/>
  <c r="Q106"/>
  <c r="O90"/>
  <c r="Q90"/>
  <c r="S90"/>
  <c r="U90"/>
  <c r="M90"/>
  <c r="O67"/>
  <c r="Q67"/>
  <c r="S67"/>
  <c r="U67"/>
  <c r="Q54"/>
  <c r="U54"/>
  <c r="U731" i="120"/>
  <c r="A729"/>
  <c r="R728"/>
  <c r="W727"/>
  <c r="V727"/>
  <c r="U727"/>
  <c r="S727"/>
  <c r="Q727"/>
  <c r="O727"/>
  <c r="M727"/>
  <c r="K727"/>
  <c r="X725"/>
  <c r="U725"/>
  <c r="T725"/>
  <c r="S725"/>
  <c r="R725"/>
  <c r="Q725"/>
  <c r="P725"/>
  <c r="O725"/>
  <c r="N725"/>
  <c r="M725"/>
  <c r="L725"/>
  <c r="K725"/>
  <c r="F725"/>
  <c r="E725"/>
  <c r="D725"/>
  <c r="C725"/>
  <c r="B724"/>
  <c r="W723"/>
  <c r="V723"/>
  <c r="U723"/>
  <c r="S723"/>
  <c r="Q723"/>
  <c r="O723"/>
  <c r="K721"/>
  <c r="K717"/>
  <c r="K712"/>
  <c r="K710" s="1"/>
  <c r="K711"/>
  <c r="K723" s="1"/>
  <c r="X710"/>
  <c r="U710"/>
  <c r="T710"/>
  <c r="L710"/>
  <c r="F710"/>
  <c r="E710"/>
  <c r="D710"/>
  <c r="C710"/>
  <c r="B709"/>
  <c r="W708"/>
  <c r="V708"/>
  <c r="Q708"/>
  <c r="O708"/>
  <c r="X700"/>
  <c r="U700"/>
  <c r="T700"/>
  <c r="S700"/>
  <c r="R700"/>
  <c r="Q700"/>
  <c r="P700"/>
  <c r="N700"/>
  <c r="M700"/>
  <c r="O698" i="119" s="1"/>
  <c r="L700" i="120"/>
  <c r="K700"/>
  <c r="M698" i="119" s="1"/>
  <c r="F700" i="120"/>
  <c r="E700"/>
  <c r="D700"/>
  <c r="C700"/>
  <c r="X691"/>
  <c r="U691"/>
  <c r="T691"/>
  <c r="S691"/>
  <c r="R691"/>
  <c r="Q691"/>
  <c r="P691"/>
  <c r="O691"/>
  <c r="N691"/>
  <c r="M691"/>
  <c r="L691"/>
  <c r="K691"/>
  <c r="F691"/>
  <c r="E691"/>
  <c r="D691"/>
  <c r="C691"/>
  <c r="X689"/>
  <c r="U689"/>
  <c r="T689"/>
  <c r="S689"/>
  <c r="R689"/>
  <c r="Q689"/>
  <c r="P689"/>
  <c r="O689"/>
  <c r="N689"/>
  <c r="M689"/>
  <c r="L689"/>
  <c r="K689"/>
  <c r="F689"/>
  <c r="E689"/>
  <c r="D689"/>
  <c r="C689"/>
  <c r="X685"/>
  <c r="U685"/>
  <c r="U708" s="1"/>
  <c r="T685"/>
  <c r="S685"/>
  <c r="S708" s="1"/>
  <c r="R685"/>
  <c r="Q685"/>
  <c r="P685"/>
  <c r="O685"/>
  <c r="N685"/>
  <c r="M685"/>
  <c r="M708" s="1"/>
  <c r="L685"/>
  <c r="K685"/>
  <c r="F685"/>
  <c r="E685"/>
  <c r="D685"/>
  <c r="C685"/>
  <c r="K677"/>
  <c r="K708" s="1"/>
  <c r="X675"/>
  <c r="U675"/>
  <c r="T675"/>
  <c r="S675"/>
  <c r="R675"/>
  <c r="Q675"/>
  <c r="P675"/>
  <c r="O675"/>
  <c r="N675"/>
  <c r="M675"/>
  <c r="L675"/>
  <c r="K675"/>
  <c r="F675"/>
  <c r="E675"/>
  <c r="D675"/>
  <c r="C675"/>
  <c r="B674"/>
  <c r="W673"/>
  <c r="V673"/>
  <c r="K673"/>
  <c r="K671"/>
  <c r="X666"/>
  <c r="U666"/>
  <c r="T666"/>
  <c r="S666"/>
  <c r="U693" i="119" s="1"/>
  <c r="R666" i="120"/>
  <c r="Q666"/>
  <c r="S693" i="119" s="1"/>
  <c r="P666" i="120"/>
  <c r="O666"/>
  <c r="Q693" i="119" s="1"/>
  <c r="N666" i="120"/>
  <c r="M666"/>
  <c r="O693" i="119" s="1"/>
  <c r="L666" i="120"/>
  <c r="K666"/>
  <c r="F666"/>
  <c r="E666"/>
  <c r="D666"/>
  <c r="C666"/>
  <c r="X661"/>
  <c r="U661"/>
  <c r="T661"/>
  <c r="S661"/>
  <c r="U690" i="119" s="1"/>
  <c r="R661" i="120"/>
  <c r="Q661"/>
  <c r="S690" i="119" s="1"/>
  <c r="P661" i="120"/>
  <c r="O661"/>
  <c r="Q690" i="119" s="1"/>
  <c r="N661" i="120"/>
  <c r="M661"/>
  <c r="O690" i="119" s="1"/>
  <c r="L661" i="120"/>
  <c r="K661"/>
  <c r="F661"/>
  <c r="E661"/>
  <c r="D661"/>
  <c r="C661"/>
  <c r="X659"/>
  <c r="U659"/>
  <c r="U673" s="1"/>
  <c r="T659"/>
  <c r="S659"/>
  <c r="R659"/>
  <c r="Q659"/>
  <c r="P659"/>
  <c r="O659"/>
  <c r="O673" s="1"/>
  <c r="N659"/>
  <c r="M659"/>
  <c r="L659"/>
  <c r="K659"/>
  <c r="F659"/>
  <c r="E659"/>
  <c r="D659"/>
  <c r="C659"/>
  <c r="K650"/>
  <c r="X649"/>
  <c r="U649"/>
  <c r="T649"/>
  <c r="S649"/>
  <c r="U682" i="119" s="1"/>
  <c r="R649" i="120"/>
  <c r="Q649"/>
  <c r="S682" i="119" s="1"/>
  <c r="P649" i="120"/>
  <c r="O649"/>
  <c r="Q682" i="119" s="1"/>
  <c r="N649" i="120"/>
  <c r="M649"/>
  <c r="O682" i="119" s="1"/>
  <c r="L649" i="120"/>
  <c r="K649"/>
  <c r="F649"/>
  <c r="E649"/>
  <c r="D649"/>
  <c r="C649"/>
  <c r="B648"/>
  <c r="W647"/>
  <c r="V647"/>
  <c r="Q647"/>
  <c r="X642"/>
  <c r="U642"/>
  <c r="T642"/>
  <c r="S642"/>
  <c r="R642"/>
  <c r="Q642"/>
  <c r="P642"/>
  <c r="O642"/>
  <c r="N642"/>
  <c r="M642"/>
  <c r="O676" i="119" s="1"/>
  <c r="W676" s="1"/>
  <c r="L642" i="120"/>
  <c r="K642"/>
  <c r="F642"/>
  <c r="E642"/>
  <c r="D642"/>
  <c r="C642"/>
  <c r="X637"/>
  <c r="U637"/>
  <c r="U647" s="1"/>
  <c r="T637"/>
  <c r="S637"/>
  <c r="S647" s="1"/>
  <c r="R637"/>
  <c r="Q637"/>
  <c r="P637"/>
  <c r="O637"/>
  <c r="O647" s="1"/>
  <c r="N637"/>
  <c r="M637"/>
  <c r="M647" s="1"/>
  <c r="L637"/>
  <c r="K637"/>
  <c r="K647" s="1"/>
  <c r="F637"/>
  <c r="E637"/>
  <c r="D637"/>
  <c r="C637"/>
  <c r="X628"/>
  <c r="U628"/>
  <c r="T628"/>
  <c r="S628"/>
  <c r="R628"/>
  <c r="Q628"/>
  <c r="P628"/>
  <c r="O628"/>
  <c r="N628"/>
  <c r="M628"/>
  <c r="L628"/>
  <c r="K628"/>
  <c r="F628"/>
  <c r="E628"/>
  <c r="D628"/>
  <c r="C628"/>
  <c r="B627"/>
  <c r="W626"/>
  <c r="V626"/>
  <c r="O626"/>
  <c r="M626"/>
  <c r="K626"/>
  <c r="S625"/>
  <c r="Q625"/>
  <c r="Q626" s="1"/>
  <c r="N625"/>
  <c r="L625"/>
  <c r="X622"/>
  <c r="Q622"/>
  <c r="O622"/>
  <c r="M622"/>
  <c r="L622"/>
  <c r="K622"/>
  <c r="F622"/>
  <c r="E622"/>
  <c r="D622"/>
  <c r="C622"/>
  <c r="B621"/>
  <c r="W620"/>
  <c r="V620"/>
  <c r="O620"/>
  <c r="X618"/>
  <c r="U618"/>
  <c r="T618"/>
  <c r="S618"/>
  <c r="R618"/>
  <c r="Q618"/>
  <c r="P618"/>
  <c r="O618"/>
  <c r="N618"/>
  <c r="M618"/>
  <c r="L618"/>
  <c r="K618"/>
  <c r="F618"/>
  <c r="E618"/>
  <c r="D618"/>
  <c r="C618"/>
  <c r="X615"/>
  <c r="U615"/>
  <c r="T615"/>
  <c r="S615"/>
  <c r="R615"/>
  <c r="Q615"/>
  <c r="P615"/>
  <c r="O615"/>
  <c r="N615"/>
  <c r="M615"/>
  <c r="M620" s="1"/>
  <c r="L615"/>
  <c r="K615"/>
  <c r="K620" s="1"/>
  <c r="F615"/>
  <c r="E615"/>
  <c r="D615"/>
  <c r="C615"/>
  <c r="S614"/>
  <c r="U614" s="1"/>
  <c r="Q614"/>
  <c r="Q612"/>
  <c r="S611"/>
  <c r="U611" s="1"/>
  <c r="Q611"/>
  <c r="O611"/>
  <c r="M611"/>
  <c r="U610"/>
  <c r="U620" s="1"/>
  <c r="S610"/>
  <c r="O610"/>
  <c r="X609"/>
  <c r="S609"/>
  <c r="R609"/>
  <c r="P609"/>
  <c r="O609"/>
  <c r="N609"/>
  <c r="M609"/>
  <c r="L609"/>
  <c r="K609"/>
  <c r="F609"/>
  <c r="E609"/>
  <c r="D609"/>
  <c r="C609"/>
  <c r="B608"/>
  <c r="W607"/>
  <c r="V607"/>
  <c r="X604"/>
  <c r="U604"/>
  <c r="T604"/>
  <c r="S604"/>
  <c r="U657" i="119" s="1"/>
  <c r="R604" i="120"/>
  <c r="Q604"/>
  <c r="S657" i="119" s="1"/>
  <c r="P604" i="120"/>
  <c r="O604"/>
  <c r="Q657" i="119" s="1"/>
  <c r="N604" i="120"/>
  <c r="M604"/>
  <c r="O657" i="119" s="1"/>
  <c r="L604" i="120"/>
  <c r="K604"/>
  <c r="F604"/>
  <c r="E604"/>
  <c r="D604"/>
  <c r="C604"/>
  <c r="U603"/>
  <c r="S603"/>
  <c r="Q603"/>
  <c r="O603"/>
  <c r="M603"/>
  <c r="K603"/>
  <c r="T602"/>
  <c r="T574" s="1"/>
  <c r="R602"/>
  <c r="P602"/>
  <c r="N602"/>
  <c r="L602"/>
  <c r="L574" s="1"/>
  <c r="J602"/>
  <c r="T600"/>
  <c r="R600"/>
  <c r="P600"/>
  <c r="N600"/>
  <c r="L600"/>
  <c r="J600"/>
  <c r="I600"/>
  <c r="H600"/>
  <c r="T599"/>
  <c r="R599"/>
  <c r="P599"/>
  <c r="P574" s="1"/>
  <c r="N599"/>
  <c r="L599"/>
  <c r="J599"/>
  <c r="I599"/>
  <c r="H599"/>
  <c r="H597"/>
  <c r="L596"/>
  <c r="U593"/>
  <c r="T593"/>
  <c r="R593"/>
  <c r="P593"/>
  <c r="N593"/>
  <c r="L593"/>
  <c r="I592"/>
  <c r="H592"/>
  <c r="J591"/>
  <c r="I591"/>
  <c r="H591"/>
  <c r="I590"/>
  <c r="H590"/>
  <c r="J588"/>
  <c r="I588"/>
  <c r="H588"/>
  <c r="O586"/>
  <c r="Q586" s="1"/>
  <c r="S586" s="1"/>
  <c r="U586" s="1"/>
  <c r="M586"/>
  <c r="Q585"/>
  <c r="S585" s="1"/>
  <c r="U585" s="1"/>
  <c r="O585"/>
  <c r="M585"/>
  <c r="S584"/>
  <c r="U584" s="1"/>
  <c r="Q584"/>
  <c r="O584"/>
  <c r="M584"/>
  <c r="M583"/>
  <c r="O583" s="1"/>
  <c r="Q583" s="1"/>
  <c r="S583" s="1"/>
  <c r="U583" s="1"/>
  <c r="U574" s="1"/>
  <c r="O582"/>
  <c r="Q582" s="1"/>
  <c r="S582" s="1"/>
  <c r="U582" s="1"/>
  <c r="M582"/>
  <c r="U581"/>
  <c r="S581"/>
  <c r="Q581"/>
  <c r="O581"/>
  <c r="M581"/>
  <c r="T580"/>
  <c r="R580"/>
  <c r="N580"/>
  <c r="L580"/>
  <c r="J580"/>
  <c r="I580"/>
  <c r="H580"/>
  <c r="U575"/>
  <c r="T575"/>
  <c r="S575"/>
  <c r="R575"/>
  <c r="R574" s="1"/>
  <c r="Q575"/>
  <c r="P575"/>
  <c r="O575"/>
  <c r="N575"/>
  <c r="N574" s="1"/>
  <c r="M575"/>
  <c r="L575"/>
  <c r="J575"/>
  <c r="I575"/>
  <c r="H575"/>
  <c r="X574"/>
  <c r="Q574"/>
  <c r="S648" i="119" s="1"/>
  <c r="K574" i="120"/>
  <c r="M648" i="119" s="1"/>
  <c r="F574" i="120"/>
  <c r="E574"/>
  <c r="D574"/>
  <c r="C574"/>
  <c r="X567"/>
  <c r="U567"/>
  <c r="T567"/>
  <c r="S567"/>
  <c r="R567"/>
  <c r="Q567"/>
  <c r="P567"/>
  <c r="O567"/>
  <c r="N567"/>
  <c r="M567"/>
  <c r="L567"/>
  <c r="K567"/>
  <c r="F567"/>
  <c r="E567"/>
  <c r="X561"/>
  <c r="U561"/>
  <c r="T561"/>
  <c r="S561"/>
  <c r="R561"/>
  <c r="Q561"/>
  <c r="P561"/>
  <c r="O561"/>
  <c r="N561"/>
  <c r="M561"/>
  <c r="L561"/>
  <c r="K561"/>
  <c r="F561"/>
  <c r="E561"/>
  <c r="D561"/>
  <c r="C561"/>
  <c r="U560"/>
  <c r="S560"/>
  <c r="Q560"/>
  <c r="O560"/>
  <c r="O557" s="1"/>
  <c r="M560"/>
  <c r="K560"/>
  <c r="U559"/>
  <c r="S559"/>
  <c r="S557" s="1"/>
  <c r="Q559"/>
  <c r="Q557" s="1"/>
  <c r="O559"/>
  <c r="M559"/>
  <c r="U558"/>
  <c r="U557" s="1"/>
  <c r="S558"/>
  <c r="Q558"/>
  <c r="O558"/>
  <c r="M558"/>
  <c r="M557" s="1"/>
  <c r="X557"/>
  <c r="T557"/>
  <c r="R557"/>
  <c r="P557"/>
  <c r="N557"/>
  <c r="L557"/>
  <c r="K557"/>
  <c r="F557"/>
  <c r="E557"/>
  <c r="D557"/>
  <c r="C557"/>
  <c r="U554"/>
  <c r="S554"/>
  <c r="M551"/>
  <c r="O551" s="1"/>
  <c r="Q547"/>
  <c r="O547"/>
  <c r="M547"/>
  <c r="Q546"/>
  <c r="U535"/>
  <c r="S535"/>
  <c r="Q529"/>
  <c r="O529"/>
  <c r="M529"/>
  <c r="S527"/>
  <c r="M527"/>
  <c r="M524" s="1"/>
  <c r="X524"/>
  <c r="T524"/>
  <c r="R524"/>
  <c r="P524"/>
  <c r="N524"/>
  <c r="L524"/>
  <c r="K524"/>
  <c r="F524"/>
  <c r="E524"/>
  <c r="D524"/>
  <c r="C524"/>
  <c r="X502"/>
  <c r="U502"/>
  <c r="T502"/>
  <c r="S502"/>
  <c r="U613" i="119" s="1"/>
  <c r="R502" i="120"/>
  <c r="Q502"/>
  <c r="S613" i="119" s="1"/>
  <c r="P502" i="120"/>
  <c r="O502"/>
  <c r="Q613" i="119" s="1"/>
  <c r="N502" i="120"/>
  <c r="M502"/>
  <c r="O613" i="119" s="1"/>
  <c r="L502" i="120"/>
  <c r="K502"/>
  <c r="F502"/>
  <c r="E502"/>
  <c r="D502"/>
  <c r="C502"/>
  <c r="Q500"/>
  <c r="O500"/>
  <c r="X498"/>
  <c r="T498"/>
  <c r="R498"/>
  <c r="P498"/>
  <c r="O498"/>
  <c r="N498"/>
  <c r="M498"/>
  <c r="L498"/>
  <c r="K498"/>
  <c r="F498"/>
  <c r="E498"/>
  <c r="D498"/>
  <c r="C498"/>
  <c r="B497"/>
  <c r="W495"/>
  <c r="V495"/>
  <c r="M495"/>
  <c r="R493"/>
  <c r="R490" s="1"/>
  <c r="T492"/>
  <c r="T493" s="1"/>
  <c r="R492"/>
  <c r="P492"/>
  <c r="N492"/>
  <c r="N490" s="1"/>
  <c r="X490"/>
  <c r="U490"/>
  <c r="S490"/>
  <c r="Q490"/>
  <c r="P490"/>
  <c r="O490"/>
  <c r="O495" s="1"/>
  <c r="M490"/>
  <c r="L490"/>
  <c r="K490"/>
  <c r="F490"/>
  <c r="E490"/>
  <c r="D490"/>
  <c r="C490"/>
  <c r="N489"/>
  <c r="J489"/>
  <c r="X488"/>
  <c r="U488"/>
  <c r="S488"/>
  <c r="Q488"/>
  <c r="O488"/>
  <c r="M488"/>
  <c r="L488"/>
  <c r="K488"/>
  <c r="F488"/>
  <c r="E488"/>
  <c r="D488"/>
  <c r="C488"/>
  <c r="X483"/>
  <c r="U483"/>
  <c r="T483"/>
  <c r="S483"/>
  <c r="R483"/>
  <c r="Q483"/>
  <c r="P483"/>
  <c r="O483"/>
  <c r="N483"/>
  <c r="M483"/>
  <c r="L483"/>
  <c r="K483"/>
  <c r="F483"/>
  <c r="E483"/>
  <c r="D483"/>
  <c r="C483"/>
  <c r="X480"/>
  <c r="U480"/>
  <c r="T480"/>
  <c r="S480"/>
  <c r="R480"/>
  <c r="Q480"/>
  <c r="P480"/>
  <c r="O480"/>
  <c r="N480"/>
  <c r="M480"/>
  <c r="L480"/>
  <c r="K480"/>
  <c r="F480"/>
  <c r="E480"/>
  <c r="D480"/>
  <c r="C480"/>
  <c r="X468"/>
  <c r="U468"/>
  <c r="T468"/>
  <c r="S468"/>
  <c r="R468"/>
  <c r="Q468"/>
  <c r="P468"/>
  <c r="O468"/>
  <c r="N468"/>
  <c r="M468"/>
  <c r="L468"/>
  <c r="K468"/>
  <c r="F468"/>
  <c r="E468"/>
  <c r="D468"/>
  <c r="C468"/>
  <c r="X452"/>
  <c r="U452"/>
  <c r="T452"/>
  <c r="S452"/>
  <c r="R452"/>
  <c r="Q452"/>
  <c r="Q495" s="1"/>
  <c r="P452"/>
  <c r="O452"/>
  <c r="N452"/>
  <c r="M452"/>
  <c r="L452"/>
  <c r="K452"/>
  <c r="K495" s="1"/>
  <c r="F452"/>
  <c r="E452"/>
  <c r="D452"/>
  <c r="C452"/>
  <c r="P448"/>
  <c r="R448" s="1"/>
  <c r="T448" s="1"/>
  <c r="T446"/>
  <c r="R446"/>
  <c r="P446"/>
  <c r="T445"/>
  <c r="R445"/>
  <c r="P445"/>
  <c r="N445"/>
  <c r="T443"/>
  <c r="R443"/>
  <c r="P443"/>
  <c r="N443"/>
  <c r="P442"/>
  <c r="P435" s="1"/>
  <c r="N442"/>
  <c r="N435" s="1"/>
  <c r="J442"/>
  <c r="R441"/>
  <c r="P441"/>
  <c r="N441"/>
  <c r="J441"/>
  <c r="U440"/>
  <c r="T440"/>
  <c r="S440"/>
  <c r="S495" s="1"/>
  <c r="R440"/>
  <c r="J439"/>
  <c r="T438"/>
  <c r="R438"/>
  <c r="P438"/>
  <c r="J438"/>
  <c r="L437"/>
  <c r="X435"/>
  <c r="S435"/>
  <c r="Q435"/>
  <c r="O435"/>
  <c r="M435"/>
  <c r="L435"/>
  <c r="K435"/>
  <c r="F435"/>
  <c r="E435"/>
  <c r="D435"/>
  <c r="C435"/>
  <c r="B434"/>
  <c r="W433"/>
  <c r="V433"/>
  <c r="U433"/>
  <c r="O433"/>
  <c r="M433"/>
  <c r="X412"/>
  <c r="X397"/>
  <c r="S397"/>
  <c r="R397"/>
  <c r="Q397"/>
  <c r="P397"/>
  <c r="O397"/>
  <c r="N397"/>
  <c r="M397"/>
  <c r="L397"/>
  <c r="K397"/>
  <c r="F397"/>
  <c r="E397"/>
  <c r="D397"/>
  <c r="C397"/>
  <c r="X393"/>
  <c r="U393"/>
  <c r="T393"/>
  <c r="S393"/>
  <c r="S433" s="1"/>
  <c r="R393"/>
  <c r="Q393"/>
  <c r="Q433" s="1"/>
  <c r="P393"/>
  <c r="O393"/>
  <c r="N393"/>
  <c r="M393"/>
  <c r="L393"/>
  <c r="K393"/>
  <c r="K433" s="1"/>
  <c r="F393"/>
  <c r="E393"/>
  <c r="D393"/>
  <c r="C393"/>
  <c r="X373"/>
  <c r="U373"/>
  <c r="T373"/>
  <c r="S373"/>
  <c r="R373"/>
  <c r="Q373"/>
  <c r="P373"/>
  <c r="O373"/>
  <c r="N373"/>
  <c r="M373"/>
  <c r="L373"/>
  <c r="K373"/>
  <c r="F373"/>
  <c r="E373"/>
  <c r="D373"/>
  <c r="C373"/>
  <c r="B372"/>
  <c r="S371"/>
  <c r="Q371"/>
  <c r="K371"/>
  <c r="L370"/>
  <c r="X368"/>
  <c r="U368"/>
  <c r="U371" s="1"/>
  <c r="T368"/>
  <c r="S368"/>
  <c r="R368"/>
  <c r="Q368"/>
  <c r="P368"/>
  <c r="O368"/>
  <c r="O371" s="1"/>
  <c r="N368"/>
  <c r="M368"/>
  <c r="M371" s="1"/>
  <c r="L368"/>
  <c r="K368"/>
  <c r="F368"/>
  <c r="E368"/>
  <c r="D368"/>
  <c r="C368"/>
  <c r="X367"/>
  <c r="F367"/>
  <c r="E367"/>
  <c r="D367"/>
  <c r="C367"/>
  <c r="X366"/>
  <c r="F366"/>
  <c r="E366"/>
  <c r="D366"/>
  <c r="C366"/>
  <c r="B365"/>
  <c r="U364"/>
  <c r="R359"/>
  <c r="P358"/>
  <c r="R358" s="1"/>
  <c r="T358" s="1"/>
  <c r="T359" s="1"/>
  <c r="L358"/>
  <c r="L359" s="1"/>
  <c r="N359" s="1"/>
  <c r="P359" s="1"/>
  <c r="I357"/>
  <c r="X356"/>
  <c r="U356"/>
  <c r="S356"/>
  <c r="Q356"/>
  <c r="O356"/>
  <c r="M356"/>
  <c r="K356"/>
  <c r="F356"/>
  <c r="E356"/>
  <c r="D356"/>
  <c r="C356"/>
  <c r="X351"/>
  <c r="U351"/>
  <c r="T351"/>
  <c r="S351"/>
  <c r="R351"/>
  <c r="Q351"/>
  <c r="P351"/>
  <c r="O351"/>
  <c r="N351"/>
  <c r="M351"/>
  <c r="L351"/>
  <c r="K351"/>
  <c r="F351"/>
  <c r="E351"/>
  <c r="D351"/>
  <c r="C351"/>
  <c r="X347"/>
  <c r="U347"/>
  <c r="T347"/>
  <c r="S347"/>
  <c r="S364" s="1"/>
  <c r="R347"/>
  <c r="Q347"/>
  <c r="Q364" s="1"/>
  <c r="P347"/>
  <c r="O347"/>
  <c r="O364" s="1"/>
  <c r="N347"/>
  <c r="M347"/>
  <c r="M364" s="1"/>
  <c r="L347"/>
  <c r="K347"/>
  <c r="K364" s="1"/>
  <c r="F347"/>
  <c r="E347"/>
  <c r="D347"/>
  <c r="C347"/>
  <c r="B346"/>
  <c r="T344"/>
  <c r="R344"/>
  <c r="X343"/>
  <c r="T343"/>
  <c r="S343"/>
  <c r="U343" s="1"/>
  <c r="Q343"/>
  <c r="P343"/>
  <c r="R343" s="1"/>
  <c r="J343"/>
  <c r="L339"/>
  <c r="O336"/>
  <c r="Q336" s="1"/>
  <c r="S336" s="1"/>
  <c r="U336" s="1"/>
  <c r="M336"/>
  <c r="L336"/>
  <c r="N336" s="1"/>
  <c r="P336" s="1"/>
  <c r="R336" s="1"/>
  <c r="T336" s="1"/>
  <c r="J336"/>
  <c r="I336"/>
  <c r="O335"/>
  <c r="Q335" s="1"/>
  <c r="S335" s="1"/>
  <c r="U335" s="1"/>
  <c r="J335"/>
  <c r="L335" s="1"/>
  <c r="I335"/>
  <c r="S334"/>
  <c r="U334" s="1"/>
  <c r="O334"/>
  <c r="Q334" s="1"/>
  <c r="N334"/>
  <c r="P334" s="1"/>
  <c r="R334" s="1"/>
  <c r="T334" s="1"/>
  <c r="J334"/>
  <c r="I334"/>
  <c r="Q333"/>
  <c r="P333"/>
  <c r="R333" s="1"/>
  <c r="O333"/>
  <c r="N333"/>
  <c r="J333"/>
  <c r="X328"/>
  <c r="F328"/>
  <c r="E328"/>
  <c r="D328"/>
  <c r="C328"/>
  <c r="R327"/>
  <c r="T327" s="1"/>
  <c r="T326" s="1"/>
  <c r="Q327"/>
  <c r="S327" s="1"/>
  <c r="O327"/>
  <c r="N327"/>
  <c r="P327" s="1"/>
  <c r="P326" s="1"/>
  <c r="R326"/>
  <c r="Q326"/>
  <c r="O326"/>
  <c r="N326"/>
  <c r="M326"/>
  <c r="L326"/>
  <c r="K326"/>
  <c r="F326"/>
  <c r="E326"/>
  <c r="D326"/>
  <c r="C326"/>
  <c r="U323"/>
  <c r="P323"/>
  <c r="R323" s="1"/>
  <c r="T323" s="1"/>
  <c r="N323"/>
  <c r="U322"/>
  <c r="Q322"/>
  <c r="S322" s="1"/>
  <c r="P322"/>
  <c r="R322" s="1"/>
  <c r="T322" s="1"/>
  <c r="O322"/>
  <c r="N322"/>
  <c r="J322"/>
  <c r="I322"/>
  <c r="R321"/>
  <c r="T321" s="1"/>
  <c r="Q321"/>
  <c r="S321" s="1"/>
  <c r="U321" s="1"/>
  <c r="P321"/>
  <c r="Q320"/>
  <c r="S320" s="1"/>
  <c r="U320" s="1"/>
  <c r="O320"/>
  <c r="J320"/>
  <c r="R319"/>
  <c r="T319" s="1"/>
  <c r="Q319"/>
  <c r="S319" s="1"/>
  <c r="U319" s="1"/>
  <c r="P319"/>
  <c r="O319"/>
  <c r="L319"/>
  <c r="J319"/>
  <c r="O318"/>
  <c r="Q318" s="1"/>
  <c r="S318" s="1"/>
  <c r="U318" s="1"/>
  <c r="I318"/>
  <c r="J318" s="1"/>
  <c r="L318" s="1"/>
  <c r="N318" s="1"/>
  <c r="P318" s="1"/>
  <c r="R318" s="1"/>
  <c r="T318" s="1"/>
  <c r="R317"/>
  <c r="T317" s="1"/>
  <c r="Q317"/>
  <c r="S317" s="1"/>
  <c r="U317" s="1"/>
  <c r="O317"/>
  <c r="N317"/>
  <c r="P317" s="1"/>
  <c r="I317"/>
  <c r="O316"/>
  <c r="Q316" s="1"/>
  <c r="S316" s="1"/>
  <c r="U316" s="1"/>
  <c r="I316"/>
  <c r="J316" s="1"/>
  <c r="L316" s="1"/>
  <c r="R315"/>
  <c r="T315" s="1"/>
  <c r="Q315"/>
  <c r="S315" s="1"/>
  <c r="U315" s="1"/>
  <c r="O315"/>
  <c r="N315"/>
  <c r="P315" s="1"/>
  <c r="J315"/>
  <c r="I315"/>
  <c r="P314"/>
  <c r="O314"/>
  <c r="Q314" s="1"/>
  <c r="N314"/>
  <c r="N320" s="1"/>
  <c r="P320" s="1"/>
  <c r="R320" s="1"/>
  <c r="T320" s="1"/>
  <c r="J314"/>
  <c r="J313"/>
  <c r="M312"/>
  <c r="O252" i="119" s="1"/>
  <c r="K312" i="120"/>
  <c r="F312"/>
  <c r="E312"/>
  <c r="D312"/>
  <c r="C312"/>
  <c r="O310"/>
  <c r="Q310" s="1"/>
  <c r="S310" s="1"/>
  <c r="U310" s="1"/>
  <c r="H310"/>
  <c r="O309"/>
  <c r="Q309" s="1"/>
  <c r="Q308" s="1"/>
  <c r="I309"/>
  <c r="J309" s="1"/>
  <c r="L309" s="1"/>
  <c r="X308"/>
  <c r="O308"/>
  <c r="M308"/>
  <c r="K308"/>
  <c r="F308"/>
  <c r="E308"/>
  <c r="D308"/>
  <c r="C308"/>
  <c r="Q307"/>
  <c r="S307" s="1"/>
  <c r="O307"/>
  <c r="N307"/>
  <c r="L307"/>
  <c r="J307"/>
  <c r="I307"/>
  <c r="P306"/>
  <c r="J306"/>
  <c r="X305"/>
  <c r="O305"/>
  <c r="M305"/>
  <c r="L305"/>
  <c r="K305"/>
  <c r="F305"/>
  <c r="E305"/>
  <c r="D305"/>
  <c r="C305"/>
  <c r="O304"/>
  <c r="I304"/>
  <c r="J304" s="1"/>
  <c r="L304" s="1"/>
  <c r="R303"/>
  <c r="T303" s="1"/>
  <c r="Q303"/>
  <c r="S303" s="1"/>
  <c r="P303"/>
  <c r="J303"/>
  <c r="X302"/>
  <c r="K302"/>
  <c r="F302"/>
  <c r="E302"/>
  <c r="D302"/>
  <c r="C302"/>
  <c r="J301"/>
  <c r="Q300"/>
  <c r="S300" s="1"/>
  <c r="O300"/>
  <c r="N300"/>
  <c r="J300"/>
  <c r="X299"/>
  <c r="O299"/>
  <c r="M299"/>
  <c r="L299"/>
  <c r="K299"/>
  <c r="F299"/>
  <c r="E299"/>
  <c r="D299"/>
  <c r="C299"/>
  <c r="S298"/>
  <c r="U298" s="1"/>
  <c r="O298"/>
  <c r="Q298" s="1"/>
  <c r="Q296" s="1"/>
  <c r="N298"/>
  <c r="P298" s="1"/>
  <c r="R298" s="1"/>
  <c r="T298" s="1"/>
  <c r="J298"/>
  <c r="R297"/>
  <c r="P297"/>
  <c r="N297"/>
  <c r="J297"/>
  <c r="S296"/>
  <c r="O296"/>
  <c r="N296"/>
  <c r="M296"/>
  <c r="L296"/>
  <c r="K296"/>
  <c r="P294"/>
  <c r="R293"/>
  <c r="T293" s="1"/>
  <c r="N293"/>
  <c r="K292"/>
  <c r="K345" s="1"/>
  <c r="J292"/>
  <c r="S291"/>
  <c r="P290"/>
  <c r="R290" s="1"/>
  <c r="N290"/>
  <c r="N288" s="1"/>
  <c r="X288"/>
  <c r="L288"/>
  <c r="K288"/>
  <c r="M242" i="119" s="1"/>
  <c r="F288" i="120"/>
  <c r="E288"/>
  <c r="D288"/>
  <c r="C288"/>
  <c r="B287"/>
  <c r="W286"/>
  <c r="V286"/>
  <c r="V728" s="1"/>
  <c r="R285"/>
  <c r="T285" s="1"/>
  <c r="L285"/>
  <c r="N285" s="1"/>
  <c r="P285" s="1"/>
  <c r="T284"/>
  <c r="L284"/>
  <c r="N284" s="1"/>
  <c r="P284" s="1"/>
  <c r="R284" s="1"/>
  <c r="N282"/>
  <c r="P282" s="1"/>
  <c r="R282" s="1"/>
  <c r="T282" s="1"/>
  <c r="L282"/>
  <c r="P281"/>
  <c r="R281" s="1"/>
  <c r="T281" s="1"/>
  <c r="N281"/>
  <c r="L281"/>
  <c r="L280"/>
  <c r="N280" s="1"/>
  <c r="P280" s="1"/>
  <c r="R280" s="1"/>
  <c r="T280" s="1"/>
  <c r="L279"/>
  <c r="N279" s="1"/>
  <c r="P279" s="1"/>
  <c r="R279" s="1"/>
  <c r="T279" s="1"/>
  <c r="N278"/>
  <c r="P278" s="1"/>
  <c r="R278" s="1"/>
  <c r="T278" s="1"/>
  <c r="L278"/>
  <c r="P277"/>
  <c r="R277" s="1"/>
  <c r="T277" s="1"/>
  <c r="N277"/>
  <c r="L277"/>
  <c r="R276"/>
  <c r="T276" s="1"/>
  <c r="L276"/>
  <c r="N276" s="1"/>
  <c r="P276" s="1"/>
  <c r="T274"/>
  <c r="L274"/>
  <c r="N274" s="1"/>
  <c r="P274" s="1"/>
  <c r="R274" s="1"/>
  <c r="N273"/>
  <c r="P273" s="1"/>
  <c r="R273" s="1"/>
  <c r="T273" s="1"/>
  <c r="L273"/>
  <c r="P270"/>
  <c r="R270" s="1"/>
  <c r="T270" s="1"/>
  <c r="N270"/>
  <c r="L270"/>
  <c r="L269"/>
  <c r="N269" s="1"/>
  <c r="P269" s="1"/>
  <c r="R269" s="1"/>
  <c r="T269" s="1"/>
  <c r="L268"/>
  <c r="N268" s="1"/>
  <c r="P268" s="1"/>
  <c r="R268" s="1"/>
  <c r="T268" s="1"/>
  <c r="N267"/>
  <c r="P267" s="1"/>
  <c r="R267" s="1"/>
  <c r="T267" s="1"/>
  <c r="L267"/>
  <c r="P266"/>
  <c r="R266" s="1"/>
  <c r="T266" s="1"/>
  <c r="N266"/>
  <c r="L266"/>
  <c r="L265"/>
  <c r="N265" s="1"/>
  <c r="X258"/>
  <c r="S258"/>
  <c r="Q258"/>
  <c r="O258"/>
  <c r="M258"/>
  <c r="K258"/>
  <c r="F258"/>
  <c r="E258"/>
  <c r="D258"/>
  <c r="C258"/>
  <c r="P242"/>
  <c r="R242" s="1"/>
  <c r="T242" s="1"/>
  <c r="J242"/>
  <c r="L242" s="1"/>
  <c r="N242" s="1"/>
  <c r="T241"/>
  <c r="L241"/>
  <c r="N241" s="1"/>
  <c r="P241" s="1"/>
  <c r="R241" s="1"/>
  <c r="J241"/>
  <c r="J240"/>
  <c r="L240" s="1"/>
  <c r="N240" s="1"/>
  <c r="P240" s="1"/>
  <c r="R240" s="1"/>
  <c r="T240" s="1"/>
  <c r="L239"/>
  <c r="N239" s="1"/>
  <c r="P239" s="1"/>
  <c r="R239" s="1"/>
  <c r="T239" s="1"/>
  <c r="J239"/>
  <c r="P238"/>
  <c r="R238" s="1"/>
  <c r="T238" s="1"/>
  <c r="J238"/>
  <c r="L238" s="1"/>
  <c r="N238" s="1"/>
  <c r="T218"/>
  <c r="L218"/>
  <c r="N218" s="1"/>
  <c r="P218" s="1"/>
  <c r="R218" s="1"/>
  <c r="N217"/>
  <c r="P217" s="1"/>
  <c r="R217" s="1"/>
  <c r="T217" s="1"/>
  <c r="L217"/>
  <c r="P216"/>
  <c r="R216" s="1"/>
  <c r="T216" s="1"/>
  <c r="N216"/>
  <c r="L216"/>
  <c r="L215"/>
  <c r="N215" s="1"/>
  <c r="P215" s="1"/>
  <c r="R215" s="1"/>
  <c r="T215" s="1"/>
  <c r="L214"/>
  <c r="N214" s="1"/>
  <c r="P214" s="1"/>
  <c r="R214" s="1"/>
  <c r="T214" s="1"/>
  <c r="N213"/>
  <c r="P213" s="1"/>
  <c r="R213" s="1"/>
  <c r="T213" s="1"/>
  <c r="L213"/>
  <c r="P212"/>
  <c r="R212" s="1"/>
  <c r="T212" s="1"/>
  <c r="N212"/>
  <c r="L212"/>
  <c r="R211"/>
  <c r="T211" s="1"/>
  <c r="J211"/>
  <c r="L211" s="1"/>
  <c r="N211" s="1"/>
  <c r="P211" s="1"/>
  <c r="N210"/>
  <c r="P210" s="1"/>
  <c r="R210" s="1"/>
  <c r="T210" s="1"/>
  <c r="L210"/>
  <c r="J210"/>
  <c r="J209"/>
  <c r="L209" s="1"/>
  <c r="N209" s="1"/>
  <c r="P209" s="1"/>
  <c r="R209" s="1"/>
  <c r="T209" s="1"/>
  <c r="N208"/>
  <c r="P208" s="1"/>
  <c r="R208" s="1"/>
  <c r="T208" s="1"/>
  <c r="L208"/>
  <c r="J208"/>
  <c r="J207"/>
  <c r="L207" s="1"/>
  <c r="X196"/>
  <c r="S196"/>
  <c r="Q196"/>
  <c r="O196"/>
  <c r="M196"/>
  <c r="K196"/>
  <c r="F196"/>
  <c r="E196"/>
  <c r="D196"/>
  <c r="C196"/>
  <c r="R181"/>
  <c r="T181" s="1"/>
  <c r="J181"/>
  <c r="L181" s="1"/>
  <c r="N181" s="1"/>
  <c r="P181" s="1"/>
  <c r="N180"/>
  <c r="P180" s="1"/>
  <c r="R180" s="1"/>
  <c r="T180" s="1"/>
  <c r="L180"/>
  <c r="J180"/>
  <c r="J179"/>
  <c r="L179" s="1"/>
  <c r="N179" s="1"/>
  <c r="P179" s="1"/>
  <c r="R179" s="1"/>
  <c r="T179" s="1"/>
  <c r="N178"/>
  <c r="P178" s="1"/>
  <c r="R178" s="1"/>
  <c r="T178" s="1"/>
  <c r="L178"/>
  <c r="J178"/>
  <c r="R177"/>
  <c r="T177" s="1"/>
  <c r="J177"/>
  <c r="L177" s="1"/>
  <c r="N177" s="1"/>
  <c r="P177" s="1"/>
  <c r="N175"/>
  <c r="P175" s="1"/>
  <c r="L175"/>
  <c r="X162"/>
  <c r="S162"/>
  <c r="U106" i="119" s="1"/>
  <c r="Q162" i="120"/>
  <c r="O162"/>
  <c r="M162"/>
  <c r="K162"/>
  <c r="F162"/>
  <c r="E162"/>
  <c r="D162"/>
  <c r="C162"/>
  <c r="U152"/>
  <c r="S152"/>
  <c r="Q152"/>
  <c r="O152"/>
  <c r="M152"/>
  <c r="M116" s="1"/>
  <c r="N148"/>
  <c r="P148" s="1"/>
  <c r="R148" s="1"/>
  <c r="T148" s="1"/>
  <c r="L148"/>
  <c r="J148"/>
  <c r="R147"/>
  <c r="T147" s="1"/>
  <c r="P147"/>
  <c r="N147"/>
  <c r="L147"/>
  <c r="L146"/>
  <c r="J146"/>
  <c r="P145"/>
  <c r="R145" s="1"/>
  <c r="T145" s="1"/>
  <c r="N145"/>
  <c r="L145"/>
  <c r="L136"/>
  <c r="O133"/>
  <c r="N128"/>
  <c r="P128" s="1"/>
  <c r="R128" s="1"/>
  <c r="T128" s="1"/>
  <c r="L128"/>
  <c r="P123"/>
  <c r="R123" s="1"/>
  <c r="T123" s="1"/>
  <c r="N123"/>
  <c r="L123"/>
  <c r="R122"/>
  <c r="T122" s="1"/>
  <c r="J122"/>
  <c r="L122" s="1"/>
  <c r="N122" s="1"/>
  <c r="P122" s="1"/>
  <c r="N121"/>
  <c r="P121" s="1"/>
  <c r="R121" s="1"/>
  <c r="T121" s="1"/>
  <c r="L121"/>
  <c r="J121"/>
  <c r="J120"/>
  <c r="L120" s="1"/>
  <c r="U119"/>
  <c r="S119"/>
  <c r="S116" s="1"/>
  <c r="Q119"/>
  <c r="O119"/>
  <c r="O118"/>
  <c r="X116"/>
  <c r="Q116"/>
  <c r="K116"/>
  <c r="F116"/>
  <c r="E116"/>
  <c r="D116"/>
  <c r="C116"/>
  <c r="U91"/>
  <c r="S91"/>
  <c r="Q91"/>
  <c r="O91"/>
  <c r="M91"/>
  <c r="M24" s="1"/>
  <c r="N86"/>
  <c r="P86" s="1"/>
  <c r="R86" s="1"/>
  <c r="T86" s="1"/>
  <c r="L86"/>
  <c r="J86"/>
  <c r="P85"/>
  <c r="R85" s="1"/>
  <c r="T85" s="1"/>
  <c r="J85"/>
  <c r="L85" s="1"/>
  <c r="N85" s="1"/>
  <c r="L84"/>
  <c r="N84" s="1"/>
  <c r="P84" s="1"/>
  <c r="R84" s="1"/>
  <c r="T84" s="1"/>
  <c r="J84"/>
  <c r="J82"/>
  <c r="L82" s="1"/>
  <c r="N82" s="1"/>
  <c r="P82" s="1"/>
  <c r="R82" s="1"/>
  <c r="T82" s="1"/>
  <c r="N81"/>
  <c r="P81" s="1"/>
  <c r="R81" s="1"/>
  <c r="T81" s="1"/>
  <c r="L81"/>
  <c r="J81"/>
  <c r="P80"/>
  <c r="R80" s="1"/>
  <c r="T80" s="1"/>
  <c r="J80"/>
  <c r="L80" s="1"/>
  <c r="N80" s="1"/>
  <c r="L79"/>
  <c r="N79" s="1"/>
  <c r="P79" s="1"/>
  <c r="R79" s="1"/>
  <c r="T79" s="1"/>
  <c r="J79"/>
  <c r="P75"/>
  <c r="O75"/>
  <c r="N75"/>
  <c r="U73"/>
  <c r="S73"/>
  <c r="Q73"/>
  <c r="O73"/>
  <c r="T71"/>
  <c r="R71"/>
  <c r="P71"/>
  <c r="N71"/>
  <c r="L71"/>
  <c r="L50"/>
  <c r="N50" s="1"/>
  <c r="P50" s="1"/>
  <c r="R50" s="1"/>
  <c r="T50" s="1"/>
  <c r="N49"/>
  <c r="P49" s="1"/>
  <c r="R49" s="1"/>
  <c r="T49" s="1"/>
  <c r="L49"/>
  <c r="J49"/>
  <c r="P48"/>
  <c r="R48" s="1"/>
  <c r="T48" s="1"/>
  <c r="J48"/>
  <c r="L48" s="1"/>
  <c r="N48" s="1"/>
  <c r="T43"/>
  <c r="R43"/>
  <c r="P43"/>
  <c r="N43"/>
  <c r="L43"/>
  <c r="T42"/>
  <c r="R42"/>
  <c r="P42"/>
  <c r="N42"/>
  <c r="L42"/>
  <c r="R41"/>
  <c r="T41" s="1"/>
  <c r="P41"/>
  <c r="N41"/>
  <c r="L41"/>
  <c r="L40"/>
  <c r="U30"/>
  <c r="S30"/>
  <c r="Q30"/>
  <c r="O30"/>
  <c r="U29"/>
  <c r="S29"/>
  <c r="Q29"/>
  <c r="O29"/>
  <c r="Q28"/>
  <c r="O28"/>
  <c r="U26"/>
  <c r="S26"/>
  <c r="Q26"/>
  <c r="O26"/>
  <c r="X24"/>
  <c r="O24"/>
  <c r="F24"/>
  <c r="E24"/>
  <c r="D24"/>
  <c r="C24"/>
  <c r="N18"/>
  <c r="P18" s="1"/>
  <c r="R18" s="1"/>
  <c r="T18" s="1"/>
  <c r="L18"/>
  <c r="P17"/>
  <c r="R17" s="1"/>
  <c r="T17" s="1"/>
  <c r="N17"/>
  <c r="L17"/>
  <c r="P16"/>
  <c r="R16" s="1"/>
  <c r="J16"/>
  <c r="L16" s="1"/>
  <c r="N16" s="1"/>
  <c r="U13"/>
  <c r="S13"/>
  <c r="Q13"/>
  <c r="O13"/>
  <c r="U12"/>
  <c r="S12"/>
  <c r="Q12"/>
  <c r="O12"/>
  <c r="O10" s="1"/>
  <c r="X10"/>
  <c r="S10"/>
  <c r="Q10"/>
  <c r="S54" i="119" s="1"/>
  <c r="M10" i="120"/>
  <c r="O54" i="119" s="1"/>
  <c r="L10" i="120"/>
  <c r="K10"/>
  <c r="M54" i="119" s="1"/>
  <c r="F10" i="120"/>
  <c r="E10"/>
  <c r="D10"/>
  <c r="C10"/>
  <c r="B9"/>
  <c r="V4"/>
  <c r="R4"/>
  <c r="P4"/>
  <c r="N4"/>
  <c r="L4"/>
  <c r="J4"/>
  <c r="I4"/>
  <c r="H4"/>
  <c r="C4"/>
  <c r="X3"/>
  <c r="V3"/>
  <c r="T3"/>
  <c r="J3"/>
  <c r="H3"/>
  <c r="C3"/>
  <c r="B3"/>
  <c r="U242" i="119" l="1"/>
  <c r="U268" i="126"/>
  <c r="U256" i="125"/>
  <c r="S242" i="119"/>
  <c r="S268" i="126"/>
  <c r="S256" i="125"/>
  <c r="Q242" i="119"/>
  <c r="Q256" i="125"/>
  <c r="Q268" i="126"/>
  <c r="O268"/>
  <c r="O256" i="125"/>
  <c r="O242" i="119"/>
  <c r="M256" i="125"/>
  <c r="M268" i="126"/>
  <c r="S143"/>
  <c r="S122" i="125"/>
  <c r="Q122"/>
  <c r="Q143" i="126"/>
  <c r="S106" i="119"/>
  <c r="U143" i="126"/>
  <c r="U122" i="125"/>
  <c r="O143" i="126"/>
  <c r="O122" i="125"/>
  <c r="O106" i="119"/>
  <c r="M143" i="126"/>
  <c r="M122" i="125"/>
  <c r="M106" i="119"/>
  <c r="W106" s="1"/>
  <c r="G617" i="126"/>
  <c r="G640" i="125"/>
  <c r="U291" i="120"/>
  <c r="U288" s="1"/>
  <c r="W690" i="119"/>
  <c r="Q673" i="120"/>
  <c r="M673"/>
  <c r="S673"/>
  <c r="W693" i="119"/>
  <c r="M345" i="120"/>
  <c r="W682" i="119"/>
  <c r="S260"/>
  <c r="Q260"/>
  <c r="O260"/>
  <c r="W657"/>
  <c r="W698"/>
  <c r="W613"/>
  <c r="W54"/>
  <c r="W247"/>
  <c r="W255"/>
  <c r="W257"/>
  <c r="W250"/>
  <c r="W138"/>
  <c r="W90"/>
  <c r="W113"/>
  <c r="T16" i="120"/>
  <c r="R10"/>
  <c r="M286"/>
  <c r="N40"/>
  <c r="L24"/>
  <c r="N120"/>
  <c r="L116"/>
  <c r="R175"/>
  <c r="P162"/>
  <c r="T297"/>
  <c r="R296"/>
  <c r="Q304"/>
  <c r="U307"/>
  <c r="U305" s="1"/>
  <c r="S305"/>
  <c r="S333"/>
  <c r="N335"/>
  <c r="P489"/>
  <c r="N488"/>
  <c r="N207"/>
  <c r="L196"/>
  <c r="P265"/>
  <c r="N258"/>
  <c r="U300"/>
  <c r="U299" s="1"/>
  <c r="S299"/>
  <c r="L302"/>
  <c r="N304"/>
  <c r="N309"/>
  <c r="R314"/>
  <c r="L312"/>
  <c r="N316"/>
  <c r="T333"/>
  <c r="U527"/>
  <c r="U524" s="1"/>
  <c r="P625"/>
  <c r="N622"/>
  <c r="L258"/>
  <c r="P10"/>
  <c r="N10"/>
  <c r="O116"/>
  <c r="L162"/>
  <c r="P296"/>
  <c r="I310"/>
  <c r="J310" s="1"/>
  <c r="L310" s="1"/>
  <c r="K607"/>
  <c r="O574"/>
  <c r="Q648" i="119" s="1"/>
  <c r="S574" i="120"/>
  <c r="U648" i="119" s="1"/>
  <c r="Q75" i="120"/>
  <c r="Q24" s="1"/>
  <c r="R75"/>
  <c r="T290"/>
  <c r="T288" s="1"/>
  <c r="R288"/>
  <c r="P307"/>
  <c r="N305"/>
  <c r="S314"/>
  <c r="Q312"/>
  <c r="S252" i="119" s="1"/>
  <c r="S500" i="120"/>
  <c r="Q498"/>
  <c r="S529"/>
  <c r="U529" s="1"/>
  <c r="Q524"/>
  <c r="Q607" s="1"/>
  <c r="P300"/>
  <c r="N299"/>
  <c r="U303"/>
  <c r="S326"/>
  <c r="U327"/>
  <c r="U326" s="1"/>
  <c r="J357"/>
  <c r="L357" s="1"/>
  <c r="I359"/>
  <c r="J359" s="1"/>
  <c r="U435"/>
  <c r="U495"/>
  <c r="T441"/>
  <c r="T435" s="1"/>
  <c r="R435"/>
  <c r="Q551"/>
  <c r="S551" s="1"/>
  <c r="U551" s="1"/>
  <c r="O524"/>
  <c r="S626"/>
  <c r="S622"/>
  <c r="U625"/>
  <c r="N162"/>
  <c r="O286"/>
  <c r="P288"/>
  <c r="S309"/>
  <c r="M574"/>
  <c r="S620"/>
  <c r="Q620"/>
  <c r="W728"/>
  <c r="Q609"/>
  <c r="Q299"/>
  <c r="Q305"/>
  <c r="O312"/>
  <c r="T490"/>
  <c r="W242" i="119" l="1"/>
  <c r="W256" i="125"/>
  <c r="W268" i="126"/>
  <c r="W143"/>
  <c r="W122" i="125"/>
  <c r="W260" i="119"/>
  <c r="O345" i="120"/>
  <c r="Q252" i="119"/>
  <c r="O607" i="120"/>
  <c r="M607"/>
  <c r="M728" s="1"/>
  <c r="O648" i="119"/>
  <c r="W648" s="1"/>
  <c r="Q286" i="120"/>
  <c r="N196"/>
  <c r="P207"/>
  <c r="T175"/>
  <c r="R162"/>
  <c r="P40"/>
  <c r="N24"/>
  <c r="U622"/>
  <c r="U626"/>
  <c r="P299"/>
  <c r="R300"/>
  <c r="S75"/>
  <c r="S24" s="1"/>
  <c r="T75"/>
  <c r="U75" s="1"/>
  <c r="P316"/>
  <c r="N312"/>
  <c r="P309"/>
  <c r="P335"/>
  <c r="M730"/>
  <c r="M733" s="1"/>
  <c r="S524"/>
  <c r="S607" s="1"/>
  <c r="U309"/>
  <c r="U308" s="1"/>
  <c r="S308"/>
  <c r="U500"/>
  <c r="S498"/>
  <c r="R307"/>
  <c r="P305"/>
  <c r="L311"/>
  <c r="N311" s="1"/>
  <c r="N310"/>
  <c r="P310" s="1"/>
  <c r="R310" s="1"/>
  <c r="T310" s="1"/>
  <c r="U314"/>
  <c r="U312" s="1"/>
  <c r="S312"/>
  <c r="U252" i="119" s="1"/>
  <c r="R625" i="120"/>
  <c r="P622"/>
  <c r="T314"/>
  <c r="P258"/>
  <c r="R265"/>
  <c r="R489"/>
  <c r="P488"/>
  <c r="U333"/>
  <c r="U328" s="1"/>
  <c r="P120"/>
  <c r="N116"/>
  <c r="L356"/>
  <c r="N357"/>
  <c r="P304"/>
  <c r="N302"/>
  <c r="S304"/>
  <c r="Q345"/>
  <c r="Q730" s="1"/>
  <c r="Q733" s="1"/>
  <c r="W252" i="119" l="1"/>
  <c r="O728" i="120"/>
  <c r="O730"/>
  <c r="O733" s="1"/>
  <c r="U498"/>
  <c r="U607"/>
  <c r="R316"/>
  <c r="P312"/>
  <c r="P24"/>
  <c r="R40"/>
  <c r="T625"/>
  <c r="T622" s="1"/>
  <c r="R622"/>
  <c r="R335"/>
  <c r="T300"/>
  <c r="T299" s="1"/>
  <c r="R299"/>
  <c r="P196"/>
  <c r="R207"/>
  <c r="Q728"/>
  <c r="U304"/>
  <c r="U302" s="1"/>
  <c r="U345" s="1"/>
  <c r="S302"/>
  <c r="S345" s="1"/>
  <c r="N356"/>
  <c r="P357"/>
  <c r="T265"/>
  <c r="R258"/>
  <c r="P308"/>
  <c r="R309"/>
  <c r="S286"/>
  <c r="P302"/>
  <c r="R304"/>
  <c r="P116"/>
  <c r="R120"/>
  <c r="R488"/>
  <c r="T489"/>
  <c r="T488" s="1"/>
  <c r="T307"/>
  <c r="T305" s="1"/>
  <c r="R305"/>
  <c r="U286"/>
  <c r="N308"/>
  <c r="L308"/>
  <c r="S728" l="1"/>
  <c r="U728" s="1"/>
  <c r="S730"/>
  <c r="S733" s="1"/>
  <c r="T335"/>
  <c r="T328" s="1"/>
  <c r="T120"/>
  <c r="R116"/>
  <c r="T316"/>
  <c r="T312" s="1"/>
  <c r="R312"/>
  <c r="U730"/>
  <c r="U733" s="1"/>
  <c r="T207"/>
  <c r="R196"/>
  <c r="T40"/>
  <c r="R24"/>
  <c r="T304"/>
  <c r="T302" s="1"/>
  <c r="R302"/>
  <c r="T309"/>
  <c r="T308" s="1"/>
  <c r="R308"/>
  <c r="R357"/>
  <c r="P356"/>
  <c r="T357" l="1"/>
  <c r="T356" s="1"/>
  <c r="R356"/>
  <c r="M950" i="115" l="1"/>
  <c r="O478" i="119" s="1"/>
  <c r="O950" i="115"/>
  <c r="Q478" i="119" s="1"/>
  <c r="Q950" i="115"/>
  <c r="S478" i="119" s="1"/>
  <c r="S950" i="115"/>
  <c r="U478" i="119" s="1"/>
  <c r="U950" i="115"/>
  <c r="K950"/>
  <c r="M478" i="119" s="1"/>
  <c r="M927" i="115"/>
  <c r="O472" i="119" s="1"/>
  <c r="O927" i="115"/>
  <c r="Q472" i="119" s="1"/>
  <c r="Q927" i="115"/>
  <c r="S472" i="119" s="1"/>
  <c r="S927" i="115"/>
  <c r="U472" i="119" s="1"/>
  <c r="K927" i="115"/>
  <c r="M472" i="119" s="1"/>
  <c r="M941" i="115"/>
  <c r="O470" i="119" s="1"/>
  <c r="O941" i="115"/>
  <c r="Q470" i="119" s="1"/>
  <c r="Q941" i="115"/>
  <c r="S470" i="119" s="1"/>
  <c r="S941" i="115"/>
  <c r="U470" i="119" s="1"/>
  <c r="U941" i="115"/>
  <c r="K941"/>
  <c r="M470" i="119" s="1"/>
  <c r="N468"/>
  <c r="P468"/>
  <c r="R468"/>
  <c r="T468"/>
  <c r="M959" i="115"/>
  <c r="O468" i="119" s="1"/>
  <c r="O959" i="115"/>
  <c r="Q468" i="119" s="1"/>
  <c r="Q959" i="115"/>
  <c r="S468" i="119" s="1"/>
  <c r="S959" i="115"/>
  <c r="U468" i="119" s="1"/>
  <c r="U959" i="115"/>
  <c r="K959"/>
  <c r="M468" i="119" s="1"/>
  <c r="L963" i="115"/>
  <c r="M963"/>
  <c r="O465" i="119" s="1"/>
  <c r="N963" i="115"/>
  <c r="O963"/>
  <c r="Q465" i="119" s="1"/>
  <c r="P963" i="115"/>
  <c r="Q963"/>
  <c r="S465" i="119" s="1"/>
  <c r="R963" i="115"/>
  <c r="S963"/>
  <c r="U465" i="119" s="1"/>
  <c r="T963" i="115"/>
  <c r="U963"/>
  <c r="V963"/>
  <c r="W963"/>
  <c r="K963"/>
  <c r="M465" i="119" s="1"/>
  <c r="M921" i="115"/>
  <c r="O462" i="119" s="1"/>
  <c r="O921" i="115"/>
  <c r="Q462" i="119" s="1"/>
  <c r="Q921" i="115"/>
  <c r="S462" i="119" s="1"/>
  <c r="S921" i="115"/>
  <c r="U462" i="119" s="1"/>
  <c r="U921" i="115"/>
  <c r="K921"/>
  <c r="M462" i="119" s="1"/>
  <c r="M908" i="115"/>
  <c r="O908"/>
  <c r="Q908"/>
  <c r="S908"/>
  <c r="U908"/>
  <c r="K908"/>
  <c r="M900"/>
  <c r="O437" i="119" s="1"/>
  <c r="O900" i="115"/>
  <c r="Q437" i="119" s="1"/>
  <c r="Q900" i="115"/>
  <c r="S437" i="119" s="1"/>
  <c r="S900" i="115"/>
  <c r="U437" i="119" s="1"/>
  <c r="U900" i="115"/>
  <c r="K900"/>
  <c r="M437" i="119" s="1"/>
  <c r="M888" i="115"/>
  <c r="O448" i="119" s="1"/>
  <c r="O888" i="115"/>
  <c r="Q448" i="119" s="1"/>
  <c r="Q888" i="115"/>
  <c r="S448" i="119" s="1"/>
  <c r="S888" i="115"/>
  <c r="U448" i="119" s="1"/>
  <c r="K888" i="115"/>
  <c r="M448" i="119" s="1"/>
  <c r="M879" i="115"/>
  <c r="O442" i="119" s="1"/>
  <c r="O879" i="115"/>
  <c r="Q442" i="119" s="1"/>
  <c r="Q879" i="115"/>
  <c r="S442" i="119" s="1"/>
  <c r="S879" i="115"/>
  <c r="U442" i="119" s="1"/>
  <c r="K879" i="115"/>
  <c r="M442" i="119" s="1"/>
  <c r="M844" i="115"/>
  <c r="O415" i="119" s="1"/>
  <c r="O844" i="115"/>
  <c r="Q415" i="119" s="1"/>
  <c r="Q844" i="115"/>
  <c r="S415" i="119" s="1"/>
  <c r="S844" i="115"/>
  <c r="U415" i="119" s="1"/>
  <c r="U844" i="115"/>
  <c r="K844"/>
  <c r="M415" i="119" s="1"/>
  <c r="M829" i="115"/>
  <c r="O419" i="119" s="1"/>
  <c r="O829" i="115"/>
  <c r="Q419" i="119" s="1"/>
  <c r="Q829" i="115"/>
  <c r="S419" i="119" s="1"/>
  <c r="S829" i="115"/>
  <c r="U419" i="119" s="1"/>
  <c r="U829" i="115"/>
  <c r="M819"/>
  <c r="O409" i="119" s="1"/>
  <c r="O819" i="115"/>
  <c r="Q409" i="119" s="1"/>
  <c r="Q819" i="115"/>
  <c r="S409" i="119" s="1"/>
  <c r="S819" i="115"/>
  <c r="U409" i="119" s="1"/>
  <c r="U819" i="115"/>
  <c r="K819"/>
  <c r="M409" i="119" s="1"/>
  <c r="M813" i="115"/>
  <c r="O404" i="119" s="1"/>
  <c r="O813" i="115"/>
  <c r="Q404" i="119" s="1"/>
  <c r="Q813" i="115"/>
  <c r="S404" i="119" s="1"/>
  <c r="S813" i="115"/>
  <c r="U404" i="119" s="1"/>
  <c r="K813" i="115"/>
  <c r="M404" i="119" s="1"/>
  <c r="M806" i="115"/>
  <c r="O400" i="119" s="1"/>
  <c r="O806" i="115"/>
  <c r="Q400" i="119" s="1"/>
  <c r="Q806" i="115"/>
  <c r="S400" i="119" s="1"/>
  <c r="S806" i="115"/>
  <c r="U400" i="119" s="1"/>
  <c r="U806" i="115"/>
  <c r="K806"/>
  <c r="M400" i="119" s="1"/>
  <c r="L798" i="115"/>
  <c r="M798"/>
  <c r="O396" i="119" s="1"/>
  <c r="N798" i="115"/>
  <c r="O798"/>
  <c r="Q396" i="119" s="1"/>
  <c r="P798" i="115"/>
  <c r="Q798"/>
  <c r="S396" i="119" s="1"/>
  <c r="R798" i="115"/>
  <c r="S798"/>
  <c r="U396" i="119" s="1"/>
  <c r="T798" i="115"/>
  <c r="U798"/>
  <c r="K798"/>
  <c r="M396" i="119" s="1"/>
  <c r="M793" i="115"/>
  <c r="O394" i="119" s="1"/>
  <c r="O793" i="115"/>
  <c r="Q394" i="119" s="1"/>
  <c r="Q793" i="115"/>
  <c r="S394" i="119" s="1"/>
  <c r="S793" i="115"/>
  <c r="U394" i="119" s="1"/>
  <c r="U793" i="115"/>
  <c r="V793"/>
  <c r="W793"/>
  <c r="K793"/>
  <c r="M394" i="119" s="1"/>
  <c r="M784" i="115"/>
  <c r="O392" i="119" s="1"/>
  <c r="O784" i="115"/>
  <c r="Q392" i="119" s="1"/>
  <c r="Q784" i="115"/>
  <c r="S392" i="119" s="1"/>
  <c r="S784" i="115"/>
  <c r="U392" i="119" s="1"/>
  <c r="U784" i="115"/>
  <c r="V784"/>
  <c r="W784"/>
  <c r="K784"/>
  <c r="M392" i="119" s="1"/>
  <c r="M781" i="115"/>
  <c r="O781"/>
  <c r="Q781"/>
  <c r="S781"/>
  <c r="U781"/>
  <c r="K781"/>
  <c r="M756"/>
  <c r="O388" i="119" s="1"/>
  <c r="R756" i="115"/>
  <c r="T756"/>
  <c r="K756"/>
  <c r="M388" i="119" s="1"/>
  <c r="M753" i="115"/>
  <c r="O385" i="119" s="1"/>
  <c r="O753" i="115"/>
  <c r="Q385" i="119" s="1"/>
  <c r="Q753" i="115"/>
  <c r="S385" i="119" s="1"/>
  <c r="S753" i="115"/>
  <c r="U385" i="119" s="1"/>
  <c r="U753" i="115"/>
  <c r="K753"/>
  <c r="M385" i="119" s="1"/>
  <c r="K746" i="115"/>
  <c r="M383" i="119" s="1"/>
  <c r="M739" i="115"/>
  <c r="O381" i="119" s="1"/>
  <c r="O739" i="115"/>
  <c r="Q381" i="119" s="1"/>
  <c r="Q739" i="115"/>
  <c r="S381" i="119" s="1"/>
  <c r="S739" i="115"/>
  <c r="U381" i="119" s="1"/>
  <c r="U739" i="115"/>
  <c r="K739"/>
  <c r="M381" i="119" s="1"/>
  <c r="K723" i="115"/>
  <c r="M374" i="119" s="1"/>
  <c r="M714" i="115"/>
  <c r="O386" i="119" s="1"/>
  <c r="O714" i="115"/>
  <c r="Q386" i="119" s="1"/>
  <c r="Q714" i="115"/>
  <c r="S386" i="119" s="1"/>
  <c r="S714" i="115"/>
  <c r="U386" i="119" s="1"/>
  <c r="U714" i="115"/>
  <c r="V714"/>
  <c r="W714"/>
  <c r="K714"/>
  <c r="M386" i="119" s="1"/>
  <c r="M709" i="115"/>
  <c r="O353" i="119" s="1"/>
  <c r="K709" i="115"/>
  <c r="M353" i="119" s="1"/>
  <c r="M688" i="115"/>
  <c r="O361" i="119" s="1"/>
  <c r="K688" i="115"/>
  <c r="M361" i="119" s="1"/>
  <c r="L679" i="115"/>
  <c r="M679"/>
  <c r="O345" i="119" s="1"/>
  <c r="N679" i="115"/>
  <c r="P679"/>
  <c r="R679"/>
  <c r="T679"/>
  <c r="K679"/>
  <c r="M345" i="119" s="1"/>
  <c r="M675" i="115"/>
  <c r="O335" i="119" s="1"/>
  <c r="K675" i="115"/>
  <c r="M335" i="119" s="1"/>
  <c r="M661" i="115"/>
  <c r="O325" i="119" s="1"/>
  <c r="O661" i="115"/>
  <c r="Q325" i="119" s="1"/>
  <c r="Q661" i="115"/>
  <c r="S325" i="119" s="1"/>
  <c r="S661" i="115"/>
  <c r="U325" i="119" s="1"/>
  <c r="U661" i="115"/>
  <c r="K661"/>
  <c r="M325" i="119" s="1"/>
  <c r="L656" i="115"/>
  <c r="M656"/>
  <c r="O323" i="119" s="1"/>
  <c r="N656" i="115"/>
  <c r="O656"/>
  <c r="Q323" i="119" s="1"/>
  <c r="P656" i="115"/>
  <c r="Q656"/>
  <c r="S323" i="119" s="1"/>
  <c r="R656" i="115"/>
  <c r="S656"/>
  <c r="U323" i="119" s="1"/>
  <c r="T656" i="115"/>
  <c r="U656"/>
  <c r="K656"/>
  <c r="M323" i="119" s="1"/>
  <c r="D325"/>
  <c r="E325"/>
  <c r="F325"/>
  <c r="G325"/>
  <c r="H326"/>
  <c r="I326"/>
  <c r="J326"/>
  <c r="K326"/>
  <c r="L326"/>
  <c r="N326"/>
  <c r="P326"/>
  <c r="R326"/>
  <c r="T326"/>
  <c r="V326"/>
  <c r="X326"/>
  <c r="M665" i="115"/>
  <c r="O665"/>
  <c r="Q665"/>
  <c r="S665"/>
  <c r="U665"/>
  <c r="K665"/>
  <c r="V656"/>
  <c r="W656"/>
  <c r="M310"/>
  <c r="O237" i="119" s="1"/>
  <c r="O310" i="115"/>
  <c r="Q237" i="119" s="1"/>
  <c r="Q310" i="115"/>
  <c r="S237" i="119" s="1"/>
  <c r="S310" i="115"/>
  <c r="U237" i="119" s="1"/>
  <c r="U310" i="115"/>
  <c r="K310"/>
  <c r="M237" i="119" s="1"/>
  <c r="M297" i="115"/>
  <c r="O297"/>
  <c r="Q297"/>
  <c r="S297"/>
  <c r="U297"/>
  <c r="K297"/>
  <c r="M333"/>
  <c r="O229" i="119" s="1"/>
  <c r="O333" i="115"/>
  <c r="Q229" i="119" s="1"/>
  <c r="Q333" i="115"/>
  <c r="S229" i="119" s="1"/>
  <c r="S333" i="115"/>
  <c r="U229" i="119" s="1"/>
  <c r="U333" i="115"/>
  <c r="K333"/>
  <c r="M229" i="119" s="1"/>
  <c r="N382" i="115"/>
  <c r="P382"/>
  <c r="R382"/>
  <c r="T382"/>
  <c r="L364"/>
  <c r="M364"/>
  <c r="O214" i="119" s="1"/>
  <c r="N364" i="115"/>
  <c r="O364"/>
  <c r="Q214" i="119" s="1"/>
  <c r="P364" i="115"/>
  <c r="Q364"/>
  <c r="S214" i="119" s="1"/>
  <c r="R364" i="115"/>
  <c r="S364"/>
  <c r="U214" i="119" s="1"/>
  <c r="T364" i="115"/>
  <c r="U364"/>
  <c r="K364"/>
  <c r="M214" i="119" s="1"/>
  <c r="L306" i="115"/>
  <c r="M306"/>
  <c r="O212" i="119" s="1"/>
  <c r="N306" i="115"/>
  <c r="O306"/>
  <c r="Q212" i="119" s="1"/>
  <c r="P306" i="115"/>
  <c r="Q306"/>
  <c r="S212" i="119" s="1"/>
  <c r="R306" i="115"/>
  <c r="S306"/>
  <c r="U212" i="119" s="1"/>
  <c r="T306" i="115"/>
  <c r="U306"/>
  <c r="K306"/>
  <c r="M212" i="119" s="1"/>
  <c r="M315" i="115"/>
  <c r="O206" i="119" s="1"/>
  <c r="O315" i="115"/>
  <c r="Q206" i="119" s="1"/>
  <c r="Q315" i="115"/>
  <c r="S206" i="119" s="1"/>
  <c r="S315" i="115"/>
  <c r="U206" i="119" s="1"/>
  <c r="U315" i="115"/>
  <c r="K315"/>
  <c r="M206" i="119" s="1"/>
  <c r="D206"/>
  <c r="E206"/>
  <c r="F206"/>
  <c r="G206"/>
  <c r="H207"/>
  <c r="I207"/>
  <c r="J207"/>
  <c r="K207"/>
  <c r="L207"/>
  <c r="N207"/>
  <c r="P207"/>
  <c r="R207"/>
  <c r="T207"/>
  <c r="V207"/>
  <c r="X207"/>
  <c r="Y207"/>
  <c r="Z207"/>
  <c r="M344" i="115"/>
  <c r="O189" i="119" s="1"/>
  <c r="O344" i="115"/>
  <c r="Q189" i="119" s="1"/>
  <c r="Q344" i="115"/>
  <c r="S189" i="119" s="1"/>
  <c r="S344" i="115"/>
  <c r="U189" i="119" s="1"/>
  <c r="U344" i="115"/>
  <c r="K344"/>
  <c r="M189" i="119" s="1"/>
  <c r="N186"/>
  <c r="P186"/>
  <c r="R186"/>
  <c r="T186"/>
  <c r="M402" i="115"/>
  <c r="O186" i="119" s="1"/>
  <c r="O402" i="115"/>
  <c r="Q186" i="119" s="1"/>
  <c r="Q402" i="115"/>
  <c r="S186" i="119" s="1"/>
  <c r="S402" i="115"/>
  <c r="U186" i="119" s="1"/>
  <c r="U402" i="115"/>
  <c r="K402"/>
  <c r="M186" i="119" s="1"/>
  <c r="M374" i="115"/>
  <c r="O183" i="119" s="1"/>
  <c r="O374" i="115"/>
  <c r="Q183" i="119" s="1"/>
  <c r="Q374" i="115"/>
  <c r="S183" i="119" s="1"/>
  <c r="S374" i="115"/>
  <c r="U183" i="119" s="1"/>
  <c r="U374" i="115"/>
  <c r="K374"/>
  <c r="M183" i="119" s="1"/>
  <c r="W7"/>
  <c r="M405" i="115"/>
  <c r="O168" i="119" s="1"/>
  <c r="K405" i="115"/>
  <c r="M168" i="119" s="1"/>
  <c r="L287" i="115"/>
  <c r="M287"/>
  <c r="O211" i="119" s="1"/>
  <c r="N287" i="115"/>
  <c r="O287"/>
  <c r="Q211" i="119" s="1"/>
  <c r="P287" i="115"/>
  <c r="Q287"/>
  <c r="S211" i="119" s="1"/>
  <c r="R287" i="115"/>
  <c r="S287"/>
  <c r="U211" i="119" s="1"/>
  <c r="T287" i="115"/>
  <c r="U287"/>
  <c r="K287"/>
  <c r="M211" i="119" s="1"/>
  <c r="Q328" l="1"/>
  <c r="W328" s="1"/>
  <c r="Q337" i="126"/>
  <c r="Q335" i="125"/>
  <c r="S328" i="119"/>
  <c r="S337" i="126"/>
  <c r="S335" i="125"/>
  <c r="U328" i="119"/>
  <c r="U335" i="125"/>
  <c r="U337" i="126"/>
  <c r="O328" i="119"/>
  <c r="O337" i="126"/>
  <c r="O335" i="125"/>
  <c r="M328" i="119"/>
  <c r="M335" i="125"/>
  <c r="M337" i="126"/>
  <c r="U235" i="119"/>
  <c r="U250" i="125"/>
  <c r="U262" i="126"/>
  <c r="S235" i="119"/>
  <c r="S250" i="125"/>
  <c r="S262" i="126"/>
  <c r="Q235" i="119"/>
  <c r="Q250" i="125"/>
  <c r="Q262" i="126"/>
  <c r="O235" i="119"/>
  <c r="O250" i="125"/>
  <c r="O262" i="126"/>
  <c r="M235" i="119"/>
  <c r="M250" i="125"/>
  <c r="M262" i="126"/>
  <c r="S457" i="119"/>
  <c r="S456" i="125"/>
  <c r="S444" i="126"/>
  <c r="U457" i="119"/>
  <c r="U456" i="125"/>
  <c r="U444" i="126"/>
  <c r="Q457" i="119"/>
  <c r="Q456" i="125"/>
  <c r="Q444" i="126"/>
  <c r="O457" i="119"/>
  <c r="O456" i="125"/>
  <c r="O444" i="126"/>
  <c r="M457" i="119"/>
  <c r="M456" i="125"/>
  <c r="M444" i="126"/>
  <c r="W472" i="119"/>
  <c r="W465"/>
  <c r="W470"/>
  <c r="W468"/>
  <c r="W478"/>
  <c r="W462"/>
  <c r="W448"/>
  <c r="W437"/>
  <c r="W442"/>
  <c r="W415"/>
  <c r="W404"/>
  <c r="W409"/>
  <c r="W400"/>
  <c r="W385"/>
  <c r="W381"/>
  <c r="W392"/>
  <c r="W394"/>
  <c r="W386"/>
  <c r="W396"/>
  <c r="W325"/>
  <c r="W323"/>
  <c r="W237"/>
  <c r="W287"/>
  <c r="W229"/>
  <c r="W212"/>
  <c r="W214"/>
  <c r="W211"/>
  <c r="W206"/>
  <c r="W186"/>
  <c r="W189"/>
  <c r="W183"/>
  <c r="W337" i="126" l="1"/>
  <c r="W335" i="125"/>
  <c r="W444" i="126"/>
  <c r="W262"/>
  <c r="W250" i="125"/>
  <c r="W235" i="119"/>
  <c r="W457"/>
  <c r="W456" i="125"/>
  <c r="V4" i="119"/>
  <c r="N55"/>
  <c r="N56"/>
  <c r="N153"/>
  <c r="N137"/>
  <c r="N57"/>
  <c r="N58"/>
  <c r="N59"/>
  <c r="N60"/>
  <c r="N61"/>
  <c r="N68"/>
  <c r="N69"/>
  <c r="N70"/>
  <c r="N71"/>
  <c r="N72"/>
  <c r="N73"/>
  <c r="N74"/>
  <c r="N75"/>
  <c r="N76"/>
  <c r="N77"/>
  <c r="N78"/>
  <c r="N91"/>
  <c r="N92"/>
  <c r="N93"/>
  <c r="N94"/>
  <c r="N95"/>
  <c r="N96"/>
  <c r="N97"/>
  <c r="N98"/>
  <c r="N99"/>
  <c r="N100"/>
  <c r="N107"/>
  <c r="N108"/>
  <c r="N109"/>
  <c r="N114"/>
  <c r="N115"/>
  <c r="N116"/>
  <c r="N117"/>
  <c r="N118"/>
  <c r="N119"/>
  <c r="N120"/>
  <c r="N121"/>
  <c r="N122"/>
  <c r="N123"/>
  <c r="N124"/>
  <c r="N125"/>
  <c r="N126"/>
  <c r="N79"/>
  <c r="N80"/>
  <c r="N81"/>
  <c r="N127"/>
  <c r="N128"/>
  <c r="N129"/>
  <c r="N130"/>
  <c r="N131"/>
  <c r="N132"/>
  <c r="N133"/>
  <c r="N134"/>
  <c r="N135"/>
  <c r="N136"/>
  <c r="N101"/>
  <c r="N110"/>
  <c r="N139"/>
  <c r="N140"/>
  <c r="N141"/>
  <c r="N142"/>
  <c r="N143"/>
  <c r="N144"/>
  <c r="N145"/>
  <c r="N146"/>
  <c r="N147"/>
  <c r="N148"/>
  <c r="N149"/>
  <c r="N150"/>
  <c r="N151"/>
  <c r="N152"/>
  <c r="N154"/>
  <c r="N155"/>
  <c r="N156"/>
  <c r="N157"/>
  <c r="N158"/>
  <c r="N159"/>
  <c r="N160"/>
  <c r="N161"/>
  <c r="N162"/>
  <c r="N163"/>
  <c r="N164"/>
  <c r="N165"/>
  <c r="N166"/>
  <c r="N62"/>
  <c r="N63"/>
  <c r="N64"/>
  <c r="N65"/>
  <c r="N66"/>
  <c r="N82"/>
  <c r="N83"/>
  <c r="N84"/>
  <c r="N85"/>
  <c r="N86"/>
  <c r="N87"/>
  <c r="N88"/>
  <c r="N89"/>
  <c r="N102"/>
  <c r="N103"/>
  <c r="N104"/>
  <c r="N105"/>
  <c r="N111"/>
  <c r="N112"/>
  <c r="N169"/>
  <c r="N170"/>
  <c r="N171"/>
  <c r="N172"/>
  <c r="N173"/>
  <c r="N174"/>
  <c r="N175"/>
  <c r="N176"/>
  <c r="N177"/>
  <c r="N178"/>
  <c r="N179"/>
  <c r="N180"/>
  <c r="N181"/>
  <c r="N182"/>
  <c r="N184"/>
  <c r="N185"/>
  <c r="N187"/>
  <c r="N188"/>
  <c r="N190"/>
  <c r="N191"/>
  <c r="N192"/>
  <c r="N193"/>
  <c r="N194"/>
  <c r="N195"/>
  <c r="N196"/>
  <c r="N197"/>
  <c r="N198"/>
  <c r="N199"/>
  <c r="N200"/>
  <c r="N201"/>
  <c r="N202"/>
  <c r="N203"/>
  <c r="N204"/>
  <c r="N205"/>
  <c r="N208"/>
  <c r="N209"/>
  <c r="N210"/>
  <c r="N213"/>
  <c r="N215"/>
  <c r="N216"/>
  <c r="N218"/>
  <c r="N219"/>
  <c r="N222"/>
  <c r="N223"/>
  <c r="N224"/>
  <c r="N225"/>
  <c r="N226"/>
  <c r="N227"/>
  <c r="N228"/>
  <c r="N230"/>
  <c r="N231"/>
  <c r="N232"/>
  <c r="N233"/>
  <c r="N234"/>
  <c r="N236"/>
  <c r="N238"/>
  <c r="N239"/>
  <c r="N240"/>
  <c r="N243"/>
  <c r="N244"/>
  <c r="N245"/>
  <c r="N248"/>
  <c r="N246"/>
  <c r="N251"/>
  <c r="N253"/>
  <c r="N256"/>
  <c r="N258"/>
  <c r="N262"/>
  <c r="N263"/>
  <c r="N264"/>
  <c r="N265"/>
  <c r="N266"/>
  <c r="N274"/>
  <c r="N275"/>
  <c r="N276"/>
  <c r="N278"/>
  <c r="N279"/>
  <c r="N281"/>
  <c r="N283"/>
  <c r="N285"/>
  <c r="N288"/>
  <c r="N289"/>
  <c r="N290"/>
  <c r="N291"/>
  <c r="N292"/>
  <c r="N293"/>
  <c r="N294"/>
  <c r="N295"/>
  <c r="N296"/>
  <c r="N297"/>
  <c r="N300"/>
  <c r="N305"/>
  <c r="N307"/>
  <c r="N308"/>
  <c r="N309"/>
  <c r="N301"/>
  <c r="N302"/>
  <c r="N303"/>
  <c r="N312"/>
  <c r="N313"/>
  <c r="N314"/>
  <c r="N315"/>
  <c r="N317"/>
  <c r="N318"/>
  <c r="N319"/>
  <c r="N320"/>
  <c r="N321"/>
  <c r="N324"/>
  <c r="N329"/>
  <c r="N331"/>
  <c r="N332"/>
  <c r="N333"/>
  <c r="N336"/>
  <c r="N337"/>
  <c r="N338"/>
  <c r="N339"/>
  <c r="N340"/>
  <c r="N341"/>
  <c r="N342"/>
  <c r="N343"/>
  <c r="N344"/>
  <c r="N346"/>
  <c r="N347"/>
  <c r="N348"/>
  <c r="N349"/>
  <c r="N350"/>
  <c r="N351"/>
  <c r="N355"/>
  <c r="N356"/>
  <c r="N357"/>
  <c r="N358"/>
  <c r="N359"/>
  <c r="N360"/>
  <c r="N362"/>
  <c r="N363"/>
  <c r="N364"/>
  <c r="N365"/>
  <c r="N366"/>
  <c r="N367"/>
  <c r="N368"/>
  <c r="N369"/>
  <c r="N370"/>
  <c r="N371"/>
  <c r="N372"/>
  <c r="N375"/>
  <c r="N382"/>
  <c r="N376"/>
  <c r="N384"/>
  <c r="N387"/>
  <c r="N377"/>
  <c r="N378"/>
  <c r="N379"/>
  <c r="N389"/>
  <c r="N390"/>
  <c r="N391"/>
  <c r="N380"/>
  <c r="N393"/>
  <c r="N395"/>
  <c r="N397"/>
  <c r="N398"/>
  <c r="N401"/>
  <c r="N402"/>
  <c r="N403"/>
  <c r="N405"/>
  <c r="N406"/>
  <c r="N407"/>
  <c r="N408"/>
  <c r="N410"/>
  <c r="N411"/>
  <c r="N412"/>
  <c r="N413"/>
  <c r="N416"/>
  <c r="N417"/>
  <c r="N418"/>
  <c r="N420"/>
  <c r="N421"/>
  <c r="N422"/>
  <c r="N425"/>
  <c r="N426"/>
  <c r="N427"/>
  <c r="N428"/>
  <c r="N432"/>
  <c r="N433"/>
  <c r="N434"/>
  <c r="N435"/>
  <c r="N429"/>
  <c r="N430"/>
  <c r="N438"/>
  <c r="N439"/>
  <c r="N440"/>
  <c r="N441"/>
  <c r="N443"/>
  <c r="N444"/>
  <c r="N449"/>
  <c r="N450"/>
  <c r="N451"/>
  <c r="N452"/>
  <c r="N453"/>
  <c r="N454"/>
  <c r="N455"/>
  <c r="N445"/>
  <c r="N446"/>
  <c r="N447"/>
  <c r="N458"/>
  <c r="N463"/>
  <c r="N459"/>
  <c r="N460"/>
  <c r="N461"/>
  <c r="N466"/>
  <c r="N469"/>
  <c r="N467"/>
  <c r="N471"/>
  <c r="N473"/>
  <c r="N474"/>
  <c r="N475"/>
  <c r="N476"/>
  <c r="N477"/>
  <c r="N479"/>
  <c r="N483"/>
  <c r="N484"/>
  <c r="N486"/>
  <c r="N488"/>
  <c r="N489"/>
  <c r="N490"/>
  <c r="N491"/>
  <c r="N492"/>
  <c r="N494"/>
  <c r="N496"/>
  <c r="N497"/>
  <c r="N498"/>
  <c r="N500"/>
  <c r="N501"/>
  <c r="N503"/>
  <c r="N506"/>
  <c r="N507"/>
  <c r="N508"/>
  <c r="N510"/>
  <c r="N520"/>
  <c r="N542"/>
  <c r="N528"/>
  <c r="N529"/>
  <c r="N531"/>
  <c r="N533"/>
  <c r="N536"/>
  <c r="N538"/>
  <c r="N540"/>
  <c r="N541"/>
  <c r="N544"/>
  <c r="N547"/>
  <c r="N549"/>
  <c r="N553"/>
  <c r="N550"/>
  <c r="N551"/>
  <c r="N559"/>
  <c r="N560"/>
  <c r="N561"/>
  <c r="N562"/>
  <c r="N563"/>
  <c r="N564"/>
  <c r="N565"/>
  <c r="N566"/>
  <c r="N567"/>
  <c r="N568"/>
  <c r="N571"/>
  <c r="N573"/>
  <c r="N576"/>
  <c r="N578"/>
  <c r="N579"/>
  <c r="N580"/>
  <c r="N574"/>
  <c r="N582"/>
  <c r="N585"/>
  <c r="N590"/>
  <c r="N593"/>
  <c r="N599"/>
  <c r="N600"/>
  <c r="N601"/>
  <c r="N602"/>
  <c r="N603"/>
  <c r="N594"/>
  <c r="N595"/>
  <c r="N596"/>
  <c r="N597"/>
  <c r="N604"/>
  <c r="N606"/>
  <c r="N609"/>
  <c r="N610"/>
  <c r="N614"/>
  <c r="N615"/>
  <c r="N616"/>
  <c r="N617"/>
  <c r="N618"/>
  <c r="N620"/>
  <c r="N622"/>
  <c r="N624"/>
  <c r="N625"/>
  <c r="N626"/>
  <c r="N628"/>
  <c r="N629"/>
  <c r="N630"/>
  <c r="N631"/>
  <c r="N632"/>
  <c r="N633"/>
  <c r="N634"/>
  <c r="N635"/>
  <c r="N637"/>
  <c r="N638"/>
  <c r="N639"/>
  <c r="N640"/>
  <c r="N641"/>
  <c r="N642"/>
  <c r="N643"/>
  <c r="N644"/>
  <c r="N646"/>
  <c r="N647"/>
  <c r="N649"/>
  <c r="N650"/>
  <c r="N651"/>
  <c r="N652"/>
  <c r="N654"/>
  <c r="N655"/>
  <c r="N656"/>
  <c r="N658"/>
  <c r="N661"/>
  <c r="N663"/>
  <c r="N665"/>
  <c r="N670"/>
  <c r="N673"/>
  <c r="N674"/>
  <c r="N675"/>
  <c r="N677"/>
  <c r="N678"/>
  <c r="N680"/>
  <c r="N683"/>
  <c r="N684"/>
  <c r="N685"/>
  <c r="N686"/>
  <c r="N687"/>
  <c r="N688"/>
  <c r="N689"/>
  <c r="N691"/>
  <c r="N692"/>
  <c r="N694"/>
  <c r="N696"/>
  <c r="N699"/>
  <c r="N701"/>
  <c r="N703"/>
  <c r="N704"/>
  <c r="N706"/>
  <c r="N708"/>
  <c r="N709"/>
  <c r="N710"/>
  <c r="N711"/>
  <c r="N714"/>
  <c r="N716"/>
  <c r="N719"/>
  <c r="E718"/>
  <c r="F718"/>
  <c r="G718"/>
  <c r="H719"/>
  <c r="I719"/>
  <c r="J719"/>
  <c r="K719"/>
  <c r="L719"/>
  <c r="P719"/>
  <c r="R719"/>
  <c r="T719"/>
  <c r="V719"/>
  <c r="X719"/>
  <c r="Y719"/>
  <c r="Z719"/>
  <c r="D718"/>
  <c r="C718"/>
  <c r="E669"/>
  <c r="F669"/>
  <c r="G670"/>
  <c r="H670"/>
  <c r="I670"/>
  <c r="J670"/>
  <c r="K670"/>
  <c r="L670"/>
  <c r="P670"/>
  <c r="R670"/>
  <c r="T670"/>
  <c r="V670"/>
  <c r="X670"/>
  <c r="Y670"/>
  <c r="Z670"/>
  <c r="D669"/>
  <c r="C669"/>
  <c r="H615"/>
  <c r="I615"/>
  <c r="J615"/>
  <c r="K615"/>
  <c r="L615"/>
  <c r="P615"/>
  <c r="R615"/>
  <c r="T615"/>
  <c r="V615"/>
  <c r="X615"/>
  <c r="Y615"/>
  <c r="Z615"/>
  <c r="H616"/>
  <c r="I616"/>
  <c r="J616"/>
  <c r="K616"/>
  <c r="L616"/>
  <c r="P616"/>
  <c r="R616"/>
  <c r="T616"/>
  <c r="V616"/>
  <c r="X616"/>
  <c r="Y616"/>
  <c r="Z616"/>
  <c r="H617"/>
  <c r="I617"/>
  <c r="J617"/>
  <c r="K617"/>
  <c r="L617"/>
  <c r="P617"/>
  <c r="R617"/>
  <c r="T617"/>
  <c r="V617"/>
  <c r="X617"/>
  <c r="Y617"/>
  <c r="Z617"/>
  <c r="H618"/>
  <c r="I618"/>
  <c r="J618"/>
  <c r="K618"/>
  <c r="L618"/>
  <c r="P618"/>
  <c r="R618"/>
  <c r="T618"/>
  <c r="V618"/>
  <c r="X618"/>
  <c r="Y618"/>
  <c r="Z618"/>
  <c r="D619"/>
  <c r="E619"/>
  <c r="F619"/>
  <c r="G619"/>
  <c r="H620"/>
  <c r="I620"/>
  <c r="J620"/>
  <c r="K620"/>
  <c r="L620"/>
  <c r="P620"/>
  <c r="R620"/>
  <c r="T620"/>
  <c r="V620"/>
  <c r="X620"/>
  <c r="Y620"/>
  <c r="Z620"/>
  <c r="D621"/>
  <c r="E621"/>
  <c r="F621"/>
  <c r="G621"/>
  <c r="H622"/>
  <c r="I622"/>
  <c r="J622"/>
  <c r="K622"/>
  <c r="L622"/>
  <c r="P622"/>
  <c r="R622"/>
  <c r="T622"/>
  <c r="V622"/>
  <c r="X622"/>
  <c r="Y622"/>
  <c r="Z622"/>
  <c r="D623"/>
  <c r="E623"/>
  <c r="F623"/>
  <c r="G623"/>
  <c r="H624"/>
  <c r="I624"/>
  <c r="J624"/>
  <c r="K624"/>
  <c r="L624"/>
  <c r="P624"/>
  <c r="R624"/>
  <c r="T624"/>
  <c r="V624"/>
  <c r="X624"/>
  <c r="Y624"/>
  <c r="Z624"/>
  <c r="H625"/>
  <c r="I625"/>
  <c r="J625"/>
  <c r="K625"/>
  <c r="L625"/>
  <c r="P625"/>
  <c r="R625"/>
  <c r="T625"/>
  <c r="V625"/>
  <c r="X625"/>
  <c r="Y625"/>
  <c r="Z625"/>
  <c r="H626"/>
  <c r="I626"/>
  <c r="J626"/>
  <c r="K626"/>
  <c r="L626"/>
  <c r="P626"/>
  <c r="R626"/>
  <c r="T626"/>
  <c r="V626"/>
  <c r="X626"/>
  <c r="Y626"/>
  <c r="Z626"/>
  <c r="D627"/>
  <c r="E627"/>
  <c r="F627"/>
  <c r="G627"/>
  <c r="H628"/>
  <c r="I628"/>
  <c r="J628"/>
  <c r="K628"/>
  <c r="L628"/>
  <c r="P628"/>
  <c r="R628"/>
  <c r="T628"/>
  <c r="V628"/>
  <c r="X628"/>
  <c r="Y628"/>
  <c r="Z628"/>
  <c r="H629"/>
  <c r="I629"/>
  <c r="J629"/>
  <c r="K629"/>
  <c r="L629"/>
  <c r="P629"/>
  <c r="R629"/>
  <c r="T629"/>
  <c r="V629"/>
  <c r="X629"/>
  <c r="Y629"/>
  <c r="Z629"/>
  <c r="H630"/>
  <c r="I630"/>
  <c r="J630"/>
  <c r="K630"/>
  <c r="L630"/>
  <c r="P630"/>
  <c r="R630"/>
  <c r="T630"/>
  <c r="V630"/>
  <c r="X630"/>
  <c r="Y630"/>
  <c r="Z630"/>
  <c r="H631"/>
  <c r="I631"/>
  <c r="J631"/>
  <c r="K631"/>
  <c r="L631"/>
  <c r="P631"/>
  <c r="R631"/>
  <c r="T631"/>
  <c r="V631"/>
  <c r="X631"/>
  <c r="Y631"/>
  <c r="Z631"/>
  <c r="H632"/>
  <c r="I632"/>
  <c r="J632"/>
  <c r="K632"/>
  <c r="L632"/>
  <c r="P632"/>
  <c r="R632"/>
  <c r="T632"/>
  <c r="V632"/>
  <c r="X632"/>
  <c r="Y632"/>
  <c r="Z632"/>
  <c r="H633"/>
  <c r="I633"/>
  <c r="J633"/>
  <c r="K633"/>
  <c r="L633"/>
  <c r="P633"/>
  <c r="R633"/>
  <c r="T633"/>
  <c r="V633"/>
  <c r="X633"/>
  <c r="Y633"/>
  <c r="Z633"/>
  <c r="H634"/>
  <c r="I634"/>
  <c r="J634"/>
  <c r="K634"/>
  <c r="L634"/>
  <c r="P634"/>
  <c r="R634"/>
  <c r="T634"/>
  <c r="V634"/>
  <c r="X634"/>
  <c r="Y634"/>
  <c r="Z634"/>
  <c r="H635"/>
  <c r="I635"/>
  <c r="J635"/>
  <c r="K635"/>
  <c r="L635"/>
  <c r="P635"/>
  <c r="R635"/>
  <c r="T635"/>
  <c r="V635"/>
  <c r="X635"/>
  <c r="Y635"/>
  <c r="Z635"/>
  <c r="D636"/>
  <c r="E636"/>
  <c r="F636"/>
  <c r="G636"/>
  <c r="H637"/>
  <c r="I637"/>
  <c r="J637"/>
  <c r="K637"/>
  <c r="L637"/>
  <c r="P637"/>
  <c r="R637"/>
  <c r="T637"/>
  <c r="V637"/>
  <c r="X637"/>
  <c r="Y637"/>
  <c r="Z637"/>
  <c r="H638"/>
  <c r="I638"/>
  <c r="J638"/>
  <c r="K638"/>
  <c r="L638"/>
  <c r="P638"/>
  <c r="R638"/>
  <c r="T638"/>
  <c r="V638"/>
  <c r="X638"/>
  <c r="Y638"/>
  <c r="Z638"/>
  <c r="H639"/>
  <c r="I639"/>
  <c r="J639"/>
  <c r="K639"/>
  <c r="L639"/>
  <c r="P639"/>
  <c r="R639"/>
  <c r="T639"/>
  <c r="V639"/>
  <c r="X639"/>
  <c r="Y639"/>
  <c r="Z639"/>
  <c r="H640"/>
  <c r="I640"/>
  <c r="J640"/>
  <c r="K640"/>
  <c r="L640"/>
  <c r="P640"/>
  <c r="R640"/>
  <c r="T640"/>
  <c r="V640"/>
  <c r="X640"/>
  <c r="Y640"/>
  <c r="Z640"/>
  <c r="H641"/>
  <c r="I641"/>
  <c r="J641"/>
  <c r="K641"/>
  <c r="L641"/>
  <c r="P641"/>
  <c r="R641"/>
  <c r="T641"/>
  <c r="V641"/>
  <c r="X641"/>
  <c r="Y641"/>
  <c r="Z641"/>
  <c r="H642"/>
  <c r="I642"/>
  <c r="J642"/>
  <c r="K642"/>
  <c r="L642"/>
  <c r="P642"/>
  <c r="R642"/>
  <c r="T642"/>
  <c r="V642"/>
  <c r="X642"/>
  <c r="Y642"/>
  <c r="Z642"/>
  <c r="H643"/>
  <c r="I643"/>
  <c r="J643"/>
  <c r="K643"/>
  <c r="L643"/>
  <c r="P643"/>
  <c r="R643"/>
  <c r="T643"/>
  <c r="V643"/>
  <c r="X643"/>
  <c r="Y643"/>
  <c r="Z643"/>
  <c r="H644"/>
  <c r="I644"/>
  <c r="J644"/>
  <c r="K644"/>
  <c r="L644"/>
  <c r="P644"/>
  <c r="R644"/>
  <c r="T644"/>
  <c r="V644"/>
  <c r="X644"/>
  <c r="Y644"/>
  <c r="Z644"/>
  <c r="D645"/>
  <c r="E645"/>
  <c r="F645"/>
  <c r="G645"/>
  <c r="H646"/>
  <c r="I646"/>
  <c r="J646"/>
  <c r="K646"/>
  <c r="L646"/>
  <c r="P646"/>
  <c r="R646"/>
  <c r="T646"/>
  <c r="V646"/>
  <c r="X646"/>
  <c r="Y646"/>
  <c r="Z646"/>
  <c r="H647"/>
  <c r="I647"/>
  <c r="J647"/>
  <c r="K647"/>
  <c r="L647"/>
  <c r="P647"/>
  <c r="R647"/>
  <c r="T647"/>
  <c r="V647"/>
  <c r="X647"/>
  <c r="Y647"/>
  <c r="Z647"/>
  <c r="D648"/>
  <c r="E648"/>
  <c r="F648"/>
  <c r="G648"/>
  <c r="H649"/>
  <c r="I649"/>
  <c r="J649"/>
  <c r="K649"/>
  <c r="L649"/>
  <c r="P649"/>
  <c r="R649"/>
  <c r="T649"/>
  <c r="V649"/>
  <c r="X649"/>
  <c r="Y649"/>
  <c r="Z649"/>
  <c r="H650"/>
  <c r="I650"/>
  <c r="J650"/>
  <c r="K650"/>
  <c r="L650"/>
  <c r="P650"/>
  <c r="R650"/>
  <c r="T650"/>
  <c r="V650"/>
  <c r="X650"/>
  <c r="Y650"/>
  <c r="Z650"/>
  <c r="H651"/>
  <c r="I651"/>
  <c r="J651"/>
  <c r="K651"/>
  <c r="L651"/>
  <c r="P651"/>
  <c r="R651"/>
  <c r="T651"/>
  <c r="V651"/>
  <c r="X651"/>
  <c r="Y651"/>
  <c r="Z651"/>
  <c r="H652"/>
  <c r="I652"/>
  <c r="J652"/>
  <c r="K652"/>
  <c r="L652"/>
  <c r="P652"/>
  <c r="R652"/>
  <c r="T652"/>
  <c r="V652"/>
  <c r="X652"/>
  <c r="Y652"/>
  <c r="Z652"/>
  <c r="D653"/>
  <c r="E653"/>
  <c r="F653"/>
  <c r="G653"/>
  <c r="H654"/>
  <c r="I654"/>
  <c r="J654"/>
  <c r="K654"/>
  <c r="L654"/>
  <c r="P654"/>
  <c r="R654"/>
  <c r="T654"/>
  <c r="V654"/>
  <c r="X654"/>
  <c r="Y654"/>
  <c r="Z654"/>
  <c r="H655"/>
  <c r="I655"/>
  <c r="J655"/>
  <c r="K655"/>
  <c r="L655"/>
  <c r="P655"/>
  <c r="R655"/>
  <c r="T655"/>
  <c r="V655"/>
  <c r="X655"/>
  <c r="Y655"/>
  <c r="Z655"/>
  <c r="H656"/>
  <c r="I656"/>
  <c r="J656"/>
  <c r="K656"/>
  <c r="L656"/>
  <c r="P656"/>
  <c r="R656"/>
  <c r="T656"/>
  <c r="V656"/>
  <c r="X656"/>
  <c r="Y656"/>
  <c r="Z656"/>
  <c r="D657"/>
  <c r="E657"/>
  <c r="F657"/>
  <c r="G657"/>
  <c r="H658"/>
  <c r="I658"/>
  <c r="J658"/>
  <c r="K658"/>
  <c r="L658"/>
  <c r="P658"/>
  <c r="R658"/>
  <c r="T658"/>
  <c r="V658"/>
  <c r="X658"/>
  <c r="Y658"/>
  <c r="Z658"/>
  <c r="C682"/>
  <c r="D682"/>
  <c r="E682"/>
  <c r="F682"/>
  <c r="G682"/>
  <c r="H683"/>
  <c r="I683"/>
  <c r="J683"/>
  <c r="K683"/>
  <c r="L683"/>
  <c r="P683"/>
  <c r="R683"/>
  <c r="T683"/>
  <c r="V683"/>
  <c r="X683"/>
  <c r="Y683"/>
  <c r="Z683"/>
  <c r="H684"/>
  <c r="I684"/>
  <c r="J684"/>
  <c r="K684"/>
  <c r="L684"/>
  <c r="P684"/>
  <c r="R684"/>
  <c r="T684"/>
  <c r="V684"/>
  <c r="X684"/>
  <c r="Y684"/>
  <c r="Z684"/>
  <c r="H685"/>
  <c r="I685"/>
  <c r="J685"/>
  <c r="K685"/>
  <c r="L685"/>
  <c r="P685"/>
  <c r="R685"/>
  <c r="T685"/>
  <c r="V685"/>
  <c r="X685"/>
  <c r="Y685"/>
  <c r="Z685"/>
  <c r="H686"/>
  <c r="I686"/>
  <c r="J686"/>
  <c r="K686"/>
  <c r="L686"/>
  <c r="P686"/>
  <c r="R686"/>
  <c r="T686"/>
  <c r="V686"/>
  <c r="X686"/>
  <c r="Y686"/>
  <c r="Z686"/>
  <c r="H687"/>
  <c r="I687"/>
  <c r="J687"/>
  <c r="K687"/>
  <c r="L687"/>
  <c r="P687"/>
  <c r="R687"/>
  <c r="T687"/>
  <c r="V687"/>
  <c r="X687"/>
  <c r="Y687"/>
  <c r="Z687"/>
  <c r="H688"/>
  <c r="I688"/>
  <c r="J688"/>
  <c r="K688"/>
  <c r="L688"/>
  <c r="P688"/>
  <c r="R688"/>
  <c r="T688"/>
  <c r="V688"/>
  <c r="X688"/>
  <c r="Y688"/>
  <c r="Z688"/>
  <c r="H689"/>
  <c r="I689"/>
  <c r="J689"/>
  <c r="K689"/>
  <c r="L689"/>
  <c r="P689"/>
  <c r="R689"/>
  <c r="T689"/>
  <c r="V689"/>
  <c r="X689"/>
  <c r="Y689"/>
  <c r="Z689"/>
  <c r="D690"/>
  <c r="E690"/>
  <c r="F690"/>
  <c r="G690"/>
  <c r="H691"/>
  <c r="I691"/>
  <c r="J691"/>
  <c r="K691"/>
  <c r="L691"/>
  <c r="P691"/>
  <c r="R691"/>
  <c r="T691"/>
  <c r="V691"/>
  <c r="X691"/>
  <c r="Y691"/>
  <c r="Z691"/>
  <c r="H692"/>
  <c r="I692"/>
  <c r="J692"/>
  <c r="K692"/>
  <c r="L692"/>
  <c r="P692"/>
  <c r="R692"/>
  <c r="T692"/>
  <c r="V692"/>
  <c r="X692"/>
  <c r="Y692"/>
  <c r="Z692"/>
  <c r="D693"/>
  <c r="E693"/>
  <c r="F693"/>
  <c r="G693"/>
  <c r="H694"/>
  <c r="I694"/>
  <c r="J694"/>
  <c r="K694"/>
  <c r="L694"/>
  <c r="P694"/>
  <c r="R694"/>
  <c r="T694"/>
  <c r="V694"/>
  <c r="X694"/>
  <c r="Y694"/>
  <c r="Z694"/>
  <c r="D695"/>
  <c r="E695"/>
  <c r="F695"/>
  <c r="G695"/>
  <c r="H696"/>
  <c r="I696"/>
  <c r="J696"/>
  <c r="K696"/>
  <c r="L696"/>
  <c r="P696"/>
  <c r="R696"/>
  <c r="T696"/>
  <c r="V696"/>
  <c r="X696"/>
  <c r="Y696"/>
  <c r="Z696"/>
  <c r="C672"/>
  <c r="D672"/>
  <c r="E672"/>
  <c r="F672"/>
  <c r="G673"/>
  <c r="H673"/>
  <c r="I673"/>
  <c r="J673"/>
  <c r="K673"/>
  <c r="L673"/>
  <c r="P673"/>
  <c r="R673"/>
  <c r="T673"/>
  <c r="V673"/>
  <c r="X673"/>
  <c r="Y673"/>
  <c r="Z673"/>
  <c r="H674"/>
  <c r="I674"/>
  <c r="J674"/>
  <c r="K674"/>
  <c r="L674"/>
  <c r="P674"/>
  <c r="R674"/>
  <c r="T674"/>
  <c r="V674"/>
  <c r="X674"/>
  <c r="Y674"/>
  <c r="Z674"/>
  <c r="H675"/>
  <c r="I675"/>
  <c r="J675"/>
  <c r="K675"/>
  <c r="L675"/>
  <c r="P675"/>
  <c r="R675"/>
  <c r="T675"/>
  <c r="V675"/>
  <c r="X675"/>
  <c r="Y675"/>
  <c r="Z675"/>
  <c r="D676"/>
  <c r="E676"/>
  <c r="F676"/>
  <c r="G676"/>
  <c r="H677"/>
  <c r="I677"/>
  <c r="J677"/>
  <c r="K677"/>
  <c r="L677"/>
  <c r="P677"/>
  <c r="R677"/>
  <c r="T677"/>
  <c r="V677"/>
  <c r="X677"/>
  <c r="Y677"/>
  <c r="Z677"/>
  <c r="H678"/>
  <c r="I678"/>
  <c r="J678"/>
  <c r="K678"/>
  <c r="L678"/>
  <c r="P678"/>
  <c r="R678"/>
  <c r="T678"/>
  <c r="V678"/>
  <c r="X678"/>
  <c r="Y678"/>
  <c r="Z678"/>
  <c r="D679"/>
  <c r="E679"/>
  <c r="F679"/>
  <c r="G679"/>
  <c r="H680"/>
  <c r="I680"/>
  <c r="J680"/>
  <c r="K680"/>
  <c r="L680"/>
  <c r="P680"/>
  <c r="R680"/>
  <c r="T680"/>
  <c r="V680"/>
  <c r="X680"/>
  <c r="Y680"/>
  <c r="Z680"/>
  <c r="C713"/>
  <c r="D713"/>
  <c r="E713"/>
  <c r="F713"/>
  <c r="G713"/>
  <c r="H714"/>
  <c r="I714"/>
  <c r="J714"/>
  <c r="K714"/>
  <c r="L714"/>
  <c r="P714"/>
  <c r="R714"/>
  <c r="T714"/>
  <c r="V714"/>
  <c r="X714"/>
  <c r="Y714"/>
  <c r="Z714"/>
  <c r="H716"/>
  <c r="I716"/>
  <c r="J716"/>
  <c r="K716"/>
  <c r="L716"/>
  <c r="P716"/>
  <c r="R716"/>
  <c r="T716"/>
  <c r="V716"/>
  <c r="X716"/>
  <c r="Y716"/>
  <c r="Z716"/>
  <c r="C698"/>
  <c r="D698"/>
  <c r="E698"/>
  <c r="F698"/>
  <c r="G698"/>
  <c r="H699"/>
  <c r="I699"/>
  <c r="J699"/>
  <c r="K699"/>
  <c r="L699"/>
  <c r="P699"/>
  <c r="R699"/>
  <c r="T699"/>
  <c r="V699"/>
  <c r="X699"/>
  <c r="Y699"/>
  <c r="Z699"/>
  <c r="D700"/>
  <c r="E700"/>
  <c r="F700"/>
  <c r="G700"/>
  <c r="H701"/>
  <c r="I701"/>
  <c r="J701"/>
  <c r="K701"/>
  <c r="L701"/>
  <c r="P701"/>
  <c r="R701"/>
  <c r="T701"/>
  <c r="V701"/>
  <c r="X701"/>
  <c r="Y701"/>
  <c r="Z701"/>
  <c r="D702"/>
  <c r="E702"/>
  <c r="F702"/>
  <c r="G702"/>
  <c r="H703"/>
  <c r="I703"/>
  <c r="J703"/>
  <c r="K703"/>
  <c r="L703"/>
  <c r="P703"/>
  <c r="R703"/>
  <c r="T703"/>
  <c r="V703"/>
  <c r="X703"/>
  <c r="Y703"/>
  <c r="Z703"/>
  <c r="H704"/>
  <c r="I704"/>
  <c r="J704"/>
  <c r="K704"/>
  <c r="L704"/>
  <c r="P704"/>
  <c r="R704"/>
  <c r="T704"/>
  <c r="V704"/>
  <c r="X704"/>
  <c r="Y704"/>
  <c r="Z704"/>
  <c r="D705"/>
  <c r="E705"/>
  <c r="F705"/>
  <c r="G705"/>
  <c r="H706"/>
  <c r="I706"/>
  <c r="J706"/>
  <c r="K706"/>
  <c r="L706"/>
  <c r="P706"/>
  <c r="R706"/>
  <c r="T706"/>
  <c r="V706"/>
  <c r="X706"/>
  <c r="Y706"/>
  <c r="Z706"/>
  <c r="D707"/>
  <c r="E707"/>
  <c r="F707"/>
  <c r="G707"/>
  <c r="H708"/>
  <c r="I708"/>
  <c r="J708"/>
  <c r="K708"/>
  <c r="L708"/>
  <c r="P708"/>
  <c r="R708"/>
  <c r="T708"/>
  <c r="V708"/>
  <c r="X708"/>
  <c r="Y708"/>
  <c r="Z708"/>
  <c r="H709"/>
  <c r="I709"/>
  <c r="J709"/>
  <c r="K709"/>
  <c r="L709"/>
  <c r="P709"/>
  <c r="R709"/>
  <c r="T709"/>
  <c r="V709"/>
  <c r="X709"/>
  <c r="Y709"/>
  <c r="Z709"/>
  <c r="H710"/>
  <c r="I710"/>
  <c r="J710"/>
  <c r="K710"/>
  <c r="L710"/>
  <c r="P710"/>
  <c r="R710"/>
  <c r="T710"/>
  <c r="V710"/>
  <c r="X710"/>
  <c r="Y710"/>
  <c r="Z710"/>
  <c r="H711"/>
  <c r="I711"/>
  <c r="J711"/>
  <c r="K711"/>
  <c r="L711"/>
  <c r="P711"/>
  <c r="R711"/>
  <c r="T711"/>
  <c r="V711"/>
  <c r="X711"/>
  <c r="Y711"/>
  <c r="Z711"/>
  <c r="C660"/>
  <c r="D660"/>
  <c r="E660"/>
  <c r="F660"/>
  <c r="G660"/>
  <c r="H661"/>
  <c r="I661"/>
  <c r="J661"/>
  <c r="K661"/>
  <c r="L661"/>
  <c r="P661"/>
  <c r="R661"/>
  <c r="T661"/>
  <c r="V661"/>
  <c r="X661"/>
  <c r="Y661"/>
  <c r="Z661"/>
  <c r="D662"/>
  <c r="E662"/>
  <c r="F662"/>
  <c r="G662"/>
  <c r="H663"/>
  <c r="I663"/>
  <c r="J663"/>
  <c r="K663"/>
  <c r="L663"/>
  <c r="P663"/>
  <c r="R663"/>
  <c r="T663"/>
  <c r="V663"/>
  <c r="X663"/>
  <c r="Y663"/>
  <c r="Z663"/>
  <c r="D664"/>
  <c r="E664"/>
  <c r="F664"/>
  <c r="G664"/>
  <c r="H665"/>
  <c r="I665"/>
  <c r="J665"/>
  <c r="K665"/>
  <c r="L665"/>
  <c r="P665"/>
  <c r="R665"/>
  <c r="T665"/>
  <c r="V665"/>
  <c r="X665"/>
  <c r="Y665"/>
  <c r="Z665"/>
  <c r="D666"/>
  <c r="E666"/>
  <c r="F666"/>
  <c r="G666"/>
  <c r="H667"/>
  <c r="I667"/>
  <c r="J667"/>
  <c r="K667"/>
  <c r="L667"/>
  <c r="X667"/>
  <c r="Y667"/>
  <c r="Z667"/>
  <c r="E613"/>
  <c r="F613"/>
  <c r="G613"/>
  <c r="H614"/>
  <c r="I614"/>
  <c r="J614"/>
  <c r="K614"/>
  <c r="L614"/>
  <c r="P614"/>
  <c r="R614"/>
  <c r="T614"/>
  <c r="V614"/>
  <c r="X614"/>
  <c r="Y614"/>
  <c r="Z614"/>
  <c r="D613"/>
  <c r="C613"/>
  <c r="H610"/>
  <c r="I610"/>
  <c r="J610"/>
  <c r="K610"/>
  <c r="L610"/>
  <c r="P610"/>
  <c r="R610"/>
  <c r="T610"/>
  <c r="V610"/>
  <c r="X610"/>
  <c r="Y610"/>
  <c r="Z610"/>
  <c r="E608"/>
  <c r="F608"/>
  <c r="G608"/>
  <c r="H609"/>
  <c r="I609"/>
  <c r="J609"/>
  <c r="K609"/>
  <c r="L609"/>
  <c r="P609"/>
  <c r="R609"/>
  <c r="T609"/>
  <c r="V609"/>
  <c r="X609"/>
  <c r="Y609"/>
  <c r="Z609"/>
  <c r="D608"/>
  <c r="C608"/>
  <c r="D588"/>
  <c r="E588"/>
  <c r="F588"/>
  <c r="G588"/>
  <c r="D589"/>
  <c r="E589"/>
  <c r="F589"/>
  <c r="G589"/>
  <c r="E587"/>
  <c r="F587"/>
  <c r="G587"/>
  <c r="H590"/>
  <c r="I590"/>
  <c r="J590"/>
  <c r="K590"/>
  <c r="L590"/>
  <c r="P590"/>
  <c r="R590"/>
  <c r="T590"/>
  <c r="V590"/>
  <c r="X590"/>
  <c r="Y590"/>
  <c r="Z590"/>
  <c r="D587"/>
  <c r="C587"/>
  <c r="C592"/>
  <c r="D592"/>
  <c r="E592"/>
  <c r="F592"/>
  <c r="G592"/>
  <c r="H593"/>
  <c r="I593"/>
  <c r="J593"/>
  <c r="K593"/>
  <c r="L593"/>
  <c r="P593"/>
  <c r="R593"/>
  <c r="T593"/>
  <c r="V593"/>
  <c r="X593"/>
  <c r="Y593"/>
  <c r="Z593"/>
  <c r="H599"/>
  <c r="I599"/>
  <c r="J599"/>
  <c r="K599"/>
  <c r="L599"/>
  <c r="P599"/>
  <c r="R599"/>
  <c r="T599"/>
  <c r="V599"/>
  <c r="X599"/>
  <c r="Y599"/>
  <c r="Z599"/>
  <c r="H600"/>
  <c r="I600"/>
  <c r="J600"/>
  <c r="K600"/>
  <c r="L600"/>
  <c r="P600"/>
  <c r="R600"/>
  <c r="T600"/>
  <c r="V600"/>
  <c r="X600"/>
  <c r="Y600"/>
  <c r="Z600"/>
  <c r="H601"/>
  <c r="I601"/>
  <c r="J601"/>
  <c r="K601"/>
  <c r="L601"/>
  <c r="P601"/>
  <c r="R601"/>
  <c r="T601"/>
  <c r="V601"/>
  <c r="X601"/>
  <c r="Y601"/>
  <c r="Z601"/>
  <c r="H602"/>
  <c r="I602"/>
  <c r="J602"/>
  <c r="K602"/>
  <c r="L602"/>
  <c r="P602"/>
  <c r="R602"/>
  <c r="T602"/>
  <c r="V602"/>
  <c r="X602"/>
  <c r="Y602"/>
  <c r="Z602"/>
  <c r="H603"/>
  <c r="I603"/>
  <c r="J603"/>
  <c r="K603"/>
  <c r="L603"/>
  <c r="P603"/>
  <c r="R603"/>
  <c r="T603"/>
  <c r="V603"/>
  <c r="X603"/>
  <c r="Y603"/>
  <c r="Z603"/>
  <c r="H594"/>
  <c r="I594"/>
  <c r="J594"/>
  <c r="K594"/>
  <c r="L594"/>
  <c r="P594"/>
  <c r="R594"/>
  <c r="T594"/>
  <c r="V594"/>
  <c r="X594"/>
  <c r="Y594"/>
  <c r="Z594"/>
  <c r="H595"/>
  <c r="I595"/>
  <c r="J595"/>
  <c r="K595"/>
  <c r="L595"/>
  <c r="P595"/>
  <c r="R595"/>
  <c r="T595"/>
  <c r="V595"/>
  <c r="X595"/>
  <c r="Y595"/>
  <c r="Z595"/>
  <c r="H596"/>
  <c r="I596"/>
  <c r="J596"/>
  <c r="K596"/>
  <c r="L596"/>
  <c r="P596"/>
  <c r="R596"/>
  <c r="T596"/>
  <c r="V596"/>
  <c r="X596"/>
  <c r="Y596"/>
  <c r="Z596"/>
  <c r="H597"/>
  <c r="I597"/>
  <c r="J597"/>
  <c r="K597"/>
  <c r="L597"/>
  <c r="P597"/>
  <c r="R597"/>
  <c r="T597"/>
  <c r="V597"/>
  <c r="X597"/>
  <c r="Y597"/>
  <c r="Z597"/>
  <c r="H604"/>
  <c r="I604"/>
  <c r="J604"/>
  <c r="K604"/>
  <c r="L604"/>
  <c r="P604"/>
  <c r="R604"/>
  <c r="T604"/>
  <c r="V604"/>
  <c r="X604"/>
  <c r="Y604"/>
  <c r="Z604"/>
  <c r="D605"/>
  <c r="E605"/>
  <c r="F605"/>
  <c r="G605"/>
  <c r="H606"/>
  <c r="I606"/>
  <c r="J606"/>
  <c r="K606"/>
  <c r="L606"/>
  <c r="P606"/>
  <c r="R606"/>
  <c r="T606"/>
  <c r="V606"/>
  <c r="X606"/>
  <c r="Y606"/>
  <c r="Z606"/>
  <c r="E584"/>
  <c r="F584"/>
  <c r="G584"/>
  <c r="H585"/>
  <c r="I585"/>
  <c r="J585"/>
  <c r="K585"/>
  <c r="L585"/>
  <c r="P585"/>
  <c r="R585"/>
  <c r="T585"/>
  <c r="V585"/>
  <c r="X585"/>
  <c r="Y585"/>
  <c r="Z585"/>
  <c r="D584"/>
  <c r="C584"/>
  <c r="D572"/>
  <c r="E572"/>
  <c r="F572"/>
  <c r="G572"/>
  <c r="H573"/>
  <c r="I573"/>
  <c r="J573"/>
  <c r="K573"/>
  <c r="L573"/>
  <c r="P573"/>
  <c r="R573"/>
  <c r="T573"/>
  <c r="V573"/>
  <c r="X573"/>
  <c r="Y573"/>
  <c r="Z573"/>
  <c r="D575"/>
  <c r="E575"/>
  <c r="F575"/>
  <c r="G575"/>
  <c r="H576"/>
  <c r="I576"/>
  <c r="J576"/>
  <c r="K576"/>
  <c r="L576"/>
  <c r="P576"/>
  <c r="R576"/>
  <c r="T576"/>
  <c r="V576"/>
  <c r="X576"/>
  <c r="Y576"/>
  <c r="Z576"/>
  <c r="D577"/>
  <c r="E577"/>
  <c r="F577"/>
  <c r="G577"/>
  <c r="H578"/>
  <c r="I578"/>
  <c r="J578"/>
  <c r="K578"/>
  <c r="L578"/>
  <c r="P578"/>
  <c r="R578"/>
  <c r="T578"/>
  <c r="V578"/>
  <c r="X578"/>
  <c r="Y578"/>
  <c r="Z578"/>
  <c r="H579"/>
  <c r="I579"/>
  <c r="J579"/>
  <c r="K579"/>
  <c r="L579"/>
  <c r="P579"/>
  <c r="R579"/>
  <c r="T579"/>
  <c r="V579"/>
  <c r="X579"/>
  <c r="Y579"/>
  <c r="Z579"/>
  <c r="H580"/>
  <c r="I580"/>
  <c r="J580"/>
  <c r="K580"/>
  <c r="L580"/>
  <c r="P580"/>
  <c r="R580"/>
  <c r="T580"/>
  <c r="V580"/>
  <c r="X580"/>
  <c r="Y580"/>
  <c r="Z580"/>
  <c r="H574"/>
  <c r="I574"/>
  <c r="J574"/>
  <c r="K574"/>
  <c r="L574"/>
  <c r="P574"/>
  <c r="R574"/>
  <c r="T574"/>
  <c r="V574"/>
  <c r="X574"/>
  <c r="Y574"/>
  <c r="Z574"/>
  <c r="D581"/>
  <c r="E581"/>
  <c r="F581"/>
  <c r="G581"/>
  <c r="H582"/>
  <c r="I582"/>
  <c r="J582"/>
  <c r="K582"/>
  <c r="L582"/>
  <c r="P582"/>
  <c r="R582"/>
  <c r="T582"/>
  <c r="V582"/>
  <c r="X582"/>
  <c r="Y582"/>
  <c r="Z582"/>
  <c r="E570"/>
  <c r="F570"/>
  <c r="G570"/>
  <c r="H571"/>
  <c r="I571"/>
  <c r="J571"/>
  <c r="K571"/>
  <c r="L571"/>
  <c r="P571"/>
  <c r="R571"/>
  <c r="T571"/>
  <c r="V571"/>
  <c r="X571"/>
  <c r="Y571"/>
  <c r="Z571"/>
  <c r="D570"/>
  <c r="C570"/>
  <c r="H560"/>
  <c r="I560"/>
  <c r="J560"/>
  <c r="K560"/>
  <c r="L560"/>
  <c r="P560"/>
  <c r="R560"/>
  <c r="T560"/>
  <c r="V560"/>
  <c r="X560"/>
  <c r="Y560"/>
  <c r="Z560"/>
  <c r="H561"/>
  <c r="I561"/>
  <c r="J561"/>
  <c r="K561"/>
  <c r="L561"/>
  <c r="P561"/>
  <c r="R561"/>
  <c r="T561"/>
  <c r="V561"/>
  <c r="X561"/>
  <c r="Y561"/>
  <c r="Z561"/>
  <c r="H562"/>
  <c r="I562"/>
  <c r="J562"/>
  <c r="K562"/>
  <c r="L562"/>
  <c r="P562"/>
  <c r="R562"/>
  <c r="T562"/>
  <c r="V562"/>
  <c r="X562"/>
  <c r="Y562"/>
  <c r="Z562"/>
  <c r="H563"/>
  <c r="I563"/>
  <c r="J563"/>
  <c r="K563"/>
  <c r="L563"/>
  <c r="P563"/>
  <c r="R563"/>
  <c r="T563"/>
  <c r="V563"/>
  <c r="X563"/>
  <c r="Y563"/>
  <c r="Z563"/>
  <c r="H564"/>
  <c r="I564"/>
  <c r="J564"/>
  <c r="K564"/>
  <c r="L564"/>
  <c r="P564"/>
  <c r="R564"/>
  <c r="T564"/>
  <c r="V564"/>
  <c r="X564"/>
  <c r="Y564"/>
  <c r="Z564"/>
  <c r="H565"/>
  <c r="I565"/>
  <c r="J565"/>
  <c r="K565"/>
  <c r="L565"/>
  <c r="P565"/>
  <c r="R565"/>
  <c r="T565"/>
  <c r="V565"/>
  <c r="X565"/>
  <c r="Y565"/>
  <c r="Z565"/>
  <c r="H566"/>
  <c r="I566"/>
  <c r="J566"/>
  <c r="K566"/>
  <c r="L566"/>
  <c r="P566"/>
  <c r="R566"/>
  <c r="T566"/>
  <c r="V566"/>
  <c r="X566"/>
  <c r="Y566"/>
  <c r="Z566"/>
  <c r="H567"/>
  <c r="I567"/>
  <c r="J567"/>
  <c r="K567"/>
  <c r="L567"/>
  <c r="P567"/>
  <c r="R567"/>
  <c r="T567"/>
  <c r="V567"/>
  <c r="X567"/>
  <c r="Y567"/>
  <c r="Z567"/>
  <c r="H568"/>
  <c r="I568"/>
  <c r="J568"/>
  <c r="K568"/>
  <c r="L568"/>
  <c r="P568"/>
  <c r="R568"/>
  <c r="T568"/>
  <c r="V568"/>
  <c r="X568"/>
  <c r="Y568"/>
  <c r="Z568"/>
  <c r="E558"/>
  <c r="F558"/>
  <c r="G558"/>
  <c r="H559"/>
  <c r="I559"/>
  <c r="J559"/>
  <c r="K559"/>
  <c r="L559"/>
  <c r="P559"/>
  <c r="R559"/>
  <c r="T559"/>
  <c r="V559"/>
  <c r="X559"/>
  <c r="Y559"/>
  <c r="Z559"/>
  <c r="D558"/>
  <c r="C558"/>
  <c r="D536"/>
  <c r="E536"/>
  <c r="F536"/>
  <c r="G536"/>
  <c r="H536"/>
  <c r="I536"/>
  <c r="J536"/>
  <c r="K536"/>
  <c r="L536"/>
  <c r="P536"/>
  <c r="R536"/>
  <c r="T536"/>
  <c r="V536"/>
  <c r="X536"/>
  <c r="Y536"/>
  <c r="Z536"/>
  <c r="D538"/>
  <c r="E538"/>
  <c r="F538"/>
  <c r="G538"/>
  <c r="H538"/>
  <c r="I538"/>
  <c r="J538"/>
  <c r="K538"/>
  <c r="L538"/>
  <c r="P538"/>
  <c r="R538"/>
  <c r="T538"/>
  <c r="V538"/>
  <c r="X538"/>
  <c r="Y538"/>
  <c r="Z538"/>
  <c r="D540"/>
  <c r="E540"/>
  <c r="F540"/>
  <c r="G540"/>
  <c r="H540"/>
  <c r="I540"/>
  <c r="J540"/>
  <c r="K540"/>
  <c r="L540"/>
  <c r="P540"/>
  <c r="R540"/>
  <c r="T540"/>
  <c r="V540"/>
  <c r="X540"/>
  <c r="Y540"/>
  <c r="Z540"/>
  <c r="H541"/>
  <c r="I541"/>
  <c r="J541"/>
  <c r="K541"/>
  <c r="L541"/>
  <c r="P541"/>
  <c r="R541"/>
  <c r="T541"/>
  <c r="V541"/>
  <c r="X541"/>
  <c r="Y541"/>
  <c r="Z541"/>
  <c r="D543"/>
  <c r="E543"/>
  <c r="F543"/>
  <c r="G543"/>
  <c r="H544"/>
  <c r="I544"/>
  <c r="J544"/>
  <c r="K544"/>
  <c r="L544"/>
  <c r="P544"/>
  <c r="R544"/>
  <c r="T544"/>
  <c r="V544"/>
  <c r="X544"/>
  <c r="Y544"/>
  <c r="Z544"/>
  <c r="D545"/>
  <c r="E545"/>
  <c r="F545"/>
  <c r="G545"/>
  <c r="H547"/>
  <c r="I547"/>
  <c r="J547"/>
  <c r="K547"/>
  <c r="L547"/>
  <c r="P547"/>
  <c r="R547"/>
  <c r="T547"/>
  <c r="V547"/>
  <c r="X547"/>
  <c r="Y547"/>
  <c r="Z547"/>
  <c r="D546"/>
  <c r="E546"/>
  <c r="F546"/>
  <c r="G546"/>
  <c r="D548"/>
  <c r="E548"/>
  <c r="F548"/>
  <c r="G548"/>
  <c r="H549"/>
  <c r="I549"/>
  <c r="J549"/>
  <c r="K549"/>
  <c r="L549"/>
  <c r="P549"/>
  <c r="R549"/>
  <c r="T549"/>
  <c r="V549"/>
  <c r="X549"/>
  <c r="Y549"/>
  <c r="Z549"/>
  <c r="D552"/>
  <c r="E552"/>
  <c r="F552"/>
  <c r="G552"/>
  <c r="H553"/>
  <c r="I553"/>
  <c r="J553"/>
  <c r="K553"/>
  <c r="L553"/>
  <c r="P553"/>
  <c r="R553"/>
  <c r="T553"/>
  <c r="V553"/>
  <c r="X553"/>
  <c r="Y553"/>
  <c r="Z553"/>
  <c r="H550"/>
  <c r="I550"/>
  <c r="J550"/>
  <c r="K550"/>
  <c r="L550"/>
  <c r="P550"/>
  <c r="R550"/>
  <c r="T550"/>
  <c r="V550"/>
  <c r="X550"/>
  <c r="Y550"/>
  <c r="Z550"/>
  <c r="H551"/>
  <c r="I551"/>
  <c r="J551"/>
  <c r="K551"/>
  <c r="L551"/>
  <c r="P551"/>
  <c r="R551"/>
  <c r="T551"/>
  <c r="V551"/>
  <c r="X551"/>
  <c r="Y551"/>
  <c r="Z551"/>
  <c r="D516"/>
  <c r="E516"/>
  <c r="F516"/>
  <c r="G516"/>
  <c r="D518"/>
  <c r="E518"/>
  <c r="F518"/>
  <c r="G518"/>
  <c r="D520"/>
  <c r="E520"/>
  <c r="F520"/>
  <c r="G520"/>
  <c r="H520"/>
  <c r="I520"/>
  <c r="J520"/>
  <c r="K520"/>
  <c r="L520"/>
  <c r="P520"/>
  <c r="R520"/>
  <c r="T520"/>
  <c r="X520"/>
  <c r="Y520"/>
  <c r="Z520"/>
  <c r="D522"/>
  <c r="E522"/>
  <c r="F522"/>
  <c r="G522"/>
  <c r="D524"/>
  <c r="E524"/>
  <c r="F524"/>
  <c r="G524"/>
  <c r="D526"/>
  <c r="E526"/>
  <c r="F526"/>
  <c r="G526"/>
  <c r="H542"/>
  <c r="I542"/>
  <c r="J542"/>
  <c r="K542"/>
  <c r="L542"/>
  <c r="P542"/>
  <c r="R542"/>
  <c r="T542"/>
  <c r="V542"/>
  <c r="X542"/>
  <c r="Y542"/>
  <c r="Z542"/>
  <c r="D528"/>
  <c r="E528"/>
  <c r="F528"/>
  <c r="G528"/>
  <c r="H528"/>
  <c r="I528"/>
  <c r="J528"/>
  <c r="K528"/>
  <c r="L528"/>
  <c r="P528"/>
  <c r="R528"/>
  <c r="T528"/>
  <c r="V528"/>
  <c r="X528"/>
  <c r="Y528"/>
  <c r="Z528"/>
  <c r="D529"/>
  <c r="E529"/>
  <c r="F529"/>
  <c r="G529"/>
  <c r="H529"/>
  <c r="I529"/>
  <c r="J529"/>
  <c r="K529"/>
  <c r="L529"/>
  <c r="P529"/>
  <c r="R529"/>
  <c r="T529"/>
  <c r="V529"/>
  <c r="X529"/>
  <c r="Y529"/>
  <c r="Z529"/>
  <c r="D531"/>
  <c r="E531"/>
  <c r="F531"/>
  <c r="G531"/>
  <c r="H531"/>
  <c r="I531"/>
  <c r="J531"/>
  <c r="K531"/>
  <c r="L531"/>
  <c r="P531"/>
  <c r="R531"/>
  <c r="T531"/>
  <c r="V531"/>
  <c r="X531"/>
  <c r="Y531"/>
  <c r="Z531"/>
  <c r="H533"/>
  <c r="I533"/>
  <c r="J533"/>
  <c r="K533"/>
  <c r="L533"/>
  <c r="P533"/>
  <c r="R533"/>
  <c r="T533"/>
  <c r="V533"/>
  <c r="X533"/>
  <c r="Y533"/>
  <c r="Z533"/>
  <c r="H484"/>
  <c r="I484"/>
  <c r="L484"/>
  <c r="P484"/>
  <c r="R484"/>
  <c r="T484"/>
  <c r="V484"/>
  <c r="X484"/>
  <c r="Y484"/>
  <c r="Z484"/>
  <c r="D485"/>
  <c r="E485"/>
  <c r="F485"/>
  <c r="G485"/>
  <c r="H486"/>
  <c r="I486"/>
  <c r="J486"/>
  <c r="K486"/>
  <c r="L486"/>
  <c r="P486"/>
  <c r="R486"/>
  <c r="T486"/>
  <c r="V486"/>
  <c r="X486"/>
  <c r="Y486"/>
  <c r="Z486"/>
  <c r="D487"/>
  <c r="E487"/>
  <c r="F487"/>
  <c r="G487"/>
  <c r="H488"/>
  <c r="I488"/>
  <c r="L488"/>
  <c r="P488"/>
  <c r="R488"/>
  <c r="T488"/>
  <c r="V488"/>
  <c r="X488"/>
  <c r="Y488"/>
  <c r="Z488"/>
  <c r="H489"/>
  <c r="I489"/>
  <c r="J489"/>
  <c r="K489"/>
  <c r="L489"/>
  <c r="P489"/>
  <c r="R489"/>
  <c r="T489"/>
  <c r="V489"/>
  <c r="X489"/>
  <c r="Y489"/>
  <c r="Z489"/>
  <c r="H490"/>
  <c r="I490"/>
  <c r="J490"/>
  <c r="K490"/>
  <c r="L490"/>
  <c r="P490"/>
  <c r="R490"/>
  <c r="T490"/>
  <c r="V490"/>
  <c r="X490"/>
  <c r="Y490"/>
  <c r="Z490"/>
  <c r="H491"/>
  <c r="I491"/>
  <c r="J491"/>
  <c r="K491"/>
  <c r="L491"/>
  <c r="P491"/>
  <c r="R491"/>
  <c r="T491"/>
  <c r="V491"/>
  <c r="X491"/>
  <c r="Y491"/>
  <c r="Z491"/>
  <c r="H492"/>
  <c r="I492"/>
  <c r="J492"/>
  <c r="K492"/>
  <c r="L492"/>
  <c r="P492"/>
  <c r="R492"/>
  <c r="T492"/>
  <c r="V492"/>
  <c r="X492"/>
  <c r="Y492"/>
  <c r="Z492"/>
  <c r="D493"/>
  <c r="E493"/>
  <c r="F493"/>
  <c r="G493"/>
  <c r="H494"/>
  <c r="I494"/>
  <c r="J494"/>
  <c r="K494"/>
  <c r="L494"/>
  <c r="P494"/>
  <c r="R494"/>
  <c r="T494"/>
  <c r="V494"/>
  <c r="X494"/>
  <c r="Y494"/>
  <c r="Z494"/>
  <c r="D495"/>
  <c r="E495"/>
  <c r="F495"/>
  <c r="G495"/>
  <c r="H496"/>
  <c r="I496"/>
  <c r="J496"/>
  <c r="K496"/>
  <c r="L496"/>
  <c r="P496"/>
  <c r="R496"/>
  <c r="T496"/>
  <c r="V496"/>
  <c r="X496"/>
  <c r="Y496"/>
  <c r="Z496"/>
  <c r="H497"/>
  <c r="I497"/>
  <c r="J497"/>
  <c r="K497"/>
  <c r="L497"/>
  <c r="P497"/>
  <c r="R497"/>
  <c r="T497"/>
  <c r="V497"/>
  <c r="X497"/>
  <c r="Y497"/>
  <c r="Z497"/>
  <c r="H498"/>
  <c r="I498"/>
  <c r="J498"/>
  <c r="K498"/>
  <c r="L498"/>
  <c r="P498"/>
  <c r="R498"/>
  <c r="T498"/>
  <c r="V498"/>
  <c r="X498"/>
  <c r="Y498"/>
  <c r="Z498"/>
  <c r="D499"/>
  <c r="E499"/>
  <c r="F499"/>
  <c r="G499"/>
  <c r="H500"/>
  <c r="I500"/>
  <c r="J500"/>
  <c r="K500"/>
  <c r="L500"/>
  <c r="P500"/>
  <c r="R500"/>
  <c r="T500"/>
  <c r="V500"/>
  <c r="X500"/>
  <c r="Y500"/>
  <c r="Z500"/>
  <c r="H501"/>
  <c r="I501"/>
  <c r="J501"/>
  <c r="K501"/>
  <c r="L501"/>
  <c r="P501"/>
  <c r="R501"/>
  <c r="T501"/>
  <c r="V501"/>
  <c r="X501"/>
  <c r="Y501"/>
  <c r="Z501"/>
  <c r="D503"/>
  <c r="E503"/>
  <c r="F503"/>
  <c r="G503"/>
  <c r="H503"/>
  <c r="I503"/>
  <c r="J503"/>
  <c r="K503"/>
  <c r="L503"/>
  <c r="P503"/>
  <c r="R503"/>
  <c r="T503"/>
  <c r="V503"/>
  <c r="X503"/>
  <c r="Y503"/>
  <c r="Z503"/>
  <c r="D505"/>
  <c r="E505"/>
  <c r="F505"/>
  <c r="G505"/>
  <c r="Y505"/>
  <c r="Z505"/>
  <c r="H506"/>
  <c r="I506"/>
  <c r="L506"/>
  <c r="P506"/>
  <c r="R506"/>
  <c r="V506"/>
  <c r="X506"/>
  <c r="Y506"/>
  <c r="Z506"/>
  <c r="H507"/>
  <c r="I507"/>
  <c r="L507"/>
  <c r="P507"/>
  <c r="R507"/>
  <c r="X507"/>
  <c r="Y507"/>
  <c r="Z507"/>
  <c r="H508"/>
  <c r="I508"/>
  <c r="J508"/>
  <c r="K508"/>
  <c r="L508"/>
  <c r="P508"/>
  <c r="R508"/>
  <c r="T508"/>
  <c r="V508"/>
  <c r="X508"/>
  <c r="Y508"/>
  <c r="Z508"/>
  <c r="H510"/>
  <c r="I510"/>
  <c r="J510"/>
  <c r="K510"/>
  <c r="L510"/>
  <c r="P510"/>
  <c r="R510"/>
  <c r="T510"/>
  <c r="X510"/>
  <c r="Y510"/>
  <c r="Z510"/>
  <c r="D512"/>
  <c r="E512"/>
  <c r="F512"/>
  <c r="G512"/>
  <c r="D514"/>
  <c r="E514"/>
  <c r="F514"/>
  <c r="G514"/>
  <c r="H483"/>
  <c r="I483"/>
  <c r="J483"/>
  <c r="K483"/>
  <c r="L483"/>
  <c r="P483"/>
  <c r="R483"/>
  <c r="T483"/>
  <c r="V483"/>
  <c r="X483"/>
  <c r="Y483"/>
  <c r="Z483"/>
  <c r="E482"/>
  <c r="F482"/>
  <c r="G482"/>
  <c r="D482"/>
  <c r="C481"/>
  <c r="C465"/>
  <c r="D462"/>
  <c r="E462"/>
  <c r="F462"/>
  <c r="G462"/>
  <c r="H463"/>
  <c r="I463"/>
  <c r="J463"/>
  <c r="K463"/>
  <c r="L463"/>
  <c r="P463"/>
  <c r="R463"/>
  <c r="T463"/>
  <c r="V463"/>
  <c r="X463"/>
  <c r="Y463"/>
  <c r="Z463"/>
  <c r="H459"/>
  <c r="I459"/>
  <c r="J459"/>
  <c r="K459"/>
  <c r="L459"/>
  <c r="P459"/>
  <c r="R459"/>
  <c r="T459"/>
  <c r="V459"/>
  <c r="X459"/>
  <c r="Y459"/>
  <c r="Z459"/>
  <c r="H460"/>
  <c r="I460"/>
  <c r="J460"/>
  <c r="K460"/>
  <c r="L460"/>
  <c r="P460"/>
  <c r="R460"/>
  <c r="T460"/>
  <c r="V460"/>
  <c r="X460"/>
  <c r="Y460"/>
  <c r="Z460"/>
  <c r="H461"/>
  <c r="I461"/>
  <c r="J461"/>
  <c r="K461"/>
  <c r="L461"/>
  <c r="P461"/>
  <c r="R461"/>
  <c r="T461"/>
  <c r="V461"/>
  <c r="X461"/>
  <c r="Y461"/>
  <c r="Z461"/>
  <c r="D465"/>
  <c r="E465"/>
  <c r="F465"/>
  <c r="G465"/>
  <c r="H466"/>
  <c r="I466"/>
  <c r="J466"/>
  <c r="K466"/>
  <c r="L466"/>
  <c r="P466"/>
  <c r="R466"/>
  <c r="T466"/>
  <c r="V466"/>
  <c r="X466"/>
  <c r="Y466"/>
  <c r="Z466"/>
  <c r="D468"/>
  <c r="E468"/>
  <c r="F468"/>
  <c r="G468"/>
  <c r="H469"/>
  <c r="I469"/>
  <c r="J469"/>
  <c r="K469"/>
  <c r="L469"/>
  <c r="P469"/>
  <c r="R469"/>
  <c r="T469"/>
  <c r="V469"/>
  <c r="X469"/>
  <c r="Y469"/>
  <c r="Z469"/>
  <c r="H467"/>
  <c r="I467"/>
  <c r="J467"/>
  <c r="K467"/>
  <c r="L467"/>
  <c r="P467"/>
  <c r="R467"/>
  <c r="T467"/>
  <c r="V467"/>
  <c r="X467"/>
  <c r="Y467"/>
  <c r="Z467"/>
  <c r="D470"/>
  <c r="E470"/>
  <c r="F470"/>
  <c r="G470"/>
  <c r="H471"/>
  <c r="I471"/>
  <c r="J471"/>
  <c r="K471"/>
  <c r="L471"/>
  <c r="P471"/>
  <c r="R471"/>
  <c r="T471"/>
  <c r="V471"/>
  <c r="X471"/>
  <c r="Y471"/>
  <c r="Z471"/>
  <c r="D472"/>
  <c r="E472"/>
  <c r="F472"/>
  <c r="G472"/>
  <c r="H473"/>
  <c r="I473"/>
  <c r="J473"/>
  <c r="K473"/>
  <c r="L473"/>
  <c r="P473"/>
  <c r="R473"/>
  <c r="T473"/>
  <c r="V473"/>
  <c r="X473"/>
  <c r="Y473"/>
  <c r="Z473"/>
  <c r="H474"/>
  <c r="I474"/>
  <c r="J474"/>
  <c r="K474"/>
  <c r="L474"/>
  <c r="P474"/>
  <c r="R474"/>
  <c r="T474"/>
  <c r="V474"/>
  <c r="X474"/>
  <c r="Y474"/>
  <c r="Z474"/>
  <c r="H475"/>
  <c r="I475"/>
  <c r="J475"/>
  <c r="K475"/>
  <c r="L475"/>
  <c r="P475"/>
  <c r="R475"/>
  <c r="T475"/>
  <c r="V475"/>
  <c r="X475"/>
  <c r="Y475"/>
  <c r="Z475"/>
  <c r="H476"/>
  <c r="I476"/>
  <c r="J476"/>
  <c r="K476"/>
  <c r="L476"/>
  <c r="P476"/>
  <c r="R476"/>
  <c r="T476"/>
  <c r="V476"/>
  <c r="X476"/>
  <c r="Y476"/>
  <c r="Z476"/>
  <c r="H477"/>
  <c r="I477"/>
  <c r="J477"/>
  <c r="K477"/>
  <c r="L477"/>
  <c r="P477"/>
  <c r="R477"/>
  <c r="T477"/>
  <c r="V477"/>
  <c r="X477"/>
  <c r="Y477"/>
  <c r="Z477"/>
  <c r="D478"/>
  <c r="E478"/>
  <c r="F478"/>
  <c r="G478"/>
  <c r="H479"/>
  <c r="I479"/>
  <c r="J479"/>
  <c r="K479"/>
  <c r="L479"/>
  <c r="P479"/>
  <c r="R479"/>
  <c r="T479"/>
  <c r="V479"/>
  <c r="X479"/>
  <c r="Y479"/>
  <c r="Z479"/>
  <c r="E457"/>
  <c r="F457"/>
  <c r="G457"/>
  <c r="H458"/>
  <c r="I458"/>
  <c r="J458"/>
  <c r="K458"/>
  <c r="L458"/>
  <c r="P458"/>
  <c r="R458"/>
  <c r="T458"/>
  <c r="V458"/>
  <c r="X458"/>
  <c r="Y458"/>
  <c r="Z458"/>
  <c r="D457"/>
  <c r="C457"/>
  <c r="H439"/>
  <c r="I439"/>
  <c r="J439"/>
  <c r="K439"/>
  <c r="L439"/>
  <c r="P439"/>
  <c r="R439"/>
  <c r="T439"/>
  <c r="V439"/>
  <c r="X439"/>
  <c r="Y439"/>
  <c r="Z439"/>
  <c r="H440"/>
  <c r="I440"/>
  <c r="J440"/>
  <c r="K440"/>
  <c r="L440"/>
  <c r="P440"/>
  <c r="R440"/>
  <c r="T440"/>
  <c r="V440"/>
  <c r="X440"/>
  <c r="Y440"/>
  <c r="Z440"/>
  <c r="H441"/>
  <c r="I441"/>
  <c r="J441"/>
  <c r="K441"/>
  <c r="L441"/>
  <c r="P441"/>
  <c r="R441"/>
  <c r="T441"/>
  <c r="V441"/>
  <c r="X441"/>
  <c r="Y441"/>
  <c r="Z441"/>
  <c r="D442"/>
  <c r="E442"/>
  <c r="F442"/>
  <c r="G442"/>
  <c r="H443"/>
  <c r="I443"/>
  <c r="J443"/>
  <c r="K443"/>
  <c r="L443"/>
  <c r="P443"/>
  <c r="R443"/>
  <c r="T443"/>
  <c r="V443"/>
  <c r="X443"/>
  <c r="Y443"/>
  <c r="Z443"/>
  <c r="H444"/>
  <c r="I444"/>
  <c r="J444"/>
  <c r="K444"/>
  <c r="L444"/>
  <c r="P444"/>
  <c r="R444"/>
  <c r="T444"/>
  <c r="V444"/>
  <c r="X444"/>
  <c r="Y444"/>
  <c r="Z444"/>
  <c r="D448"/>
  <c r="E448"/>
  <c r="F448"/>
  <c r="G448"/>
  <c r="H449"/>
  <c r="I449"/>
  <c r="J449"/>
  <c r="K449"/>
  <c r="L449"/>
  <c r="P449"/>
  <c r="R449"/>
  <c r="T449"/>
  <c r="V449"/>
  <c r="X449"/>
  <c r="Y449"/>
  <c r="Z449"/>
  <c r="H450"/>
  <c r="I450"/>
  <c r="J450"/>
  <c r="K450"/>
  <c r="L450"/>
  <c r="P450"/>
  <c r="R450"/>
  <c r="T450"/>
  <c r="V450"/>
  <c r="X450"/>
  <c r="Y450"/>
  <c r="Z450"/>
  <c r="H451"/>
  <c r="I451"/>
  <c r="J451"/>
  <c r="K451"/>
  <c r="L451"/>
  <c r="P451"/>
  <c r="R451"/>
  <c r="T451"/>
  <c r="V451"/>
  <c r="X451"/>
  <c r="Y451"/>
  <c r="Z451"/>
  <c r="H452"/>
  <c r="I452"/>
  <c r="J452"/>
  <c r="K452"/>
  <c r="L452"/>
  <c r="P452"/>
  <c r="R452"/>
  <c r="T452"/>
  <c r="V452"/>
  <c r="X452"/>
  <c r="Y452"/>
  <c r="Z452"/>
  <c r="H453"/>
  <c r="I453"/>
  <c r="J453"/>
  <c r="K453"/>
  <c r="L453"/>
  <c r="P453"/>
  <c r="R453"/>
  <c r="T453"/>
  <c r="V453"/>
  <c r="X453"/>
  <c r="Y453"/>
  <c r="Z453"/>
  <c r="H454"/>
  <c r="I454"/>
  <c r="J454"/>
  <c r="K454"/>
  <c r="L454"/>
  <c r="P454"/>
  <c r="R454"/>
  <c r="T454"/>
  <c r="V454"/>
  <c r="X454"/>
  <c r="Y454"/>
  <c r="Z454"/>
  <c r="H455"/>
  <c r="I455"/>
  <c r="J455"/>
  <c r="K455"/>
  <c r="L455"/>
  <c r="P455"/>
  <c r="R455"/>
  <c r="T455"/>
  <c r="V455"/>
  <c r="X455"/>
  <c r="Y455"/>
  <c r="Z455"/>
  <c r="H445"/>
  <c r="I445"/>
  <c r="J445"/>
  <c r="K445"/>
  <c r="L445"/>
  <c r="P445"/>
  <c r="R445"/>
  <c r="T445"/>
  <c r="V445"/>
  <c r="X445"/>
  <c r="Y445"/>
  <c r="Z445"/>
  <c r="H446"/>
  <c r="I446"/>
  <c r="J446"/>
  <c r="K446"/>
  <c r="L446"/>
  <c r="P446"/>
  <c r="R446"/>
  <c r="T446"/>
  <c r="V446"/>
  <c r="X446"/>
  <c r="Y446"/>
  <c r="Z446"/>
  <c r="H447"/>
  <c r="I447"/>
  <c r="J447"/>
  <c r="K447"/>
  <c r="L447"/>
  <c r="P447"/>
  <c r="R447"/>
  <c r="T447"/>
  <c r="V447"/>
  <c r="X447"/>
  <c r="Y447"/>
  <c r="Z447"/>
  <c r="E437"/>
  <c r="F437"/>
  <c r="G437"/>
  <c r="H438"/>
  <c r="I438"/>
  <c r="J438"/>
  <c r="K438"/>
  <c r="L438"/>
  <c r="P438"/>
  <c r="R438"/>
  <c r="T438"/>
  <c r="V438"/>
  <c r="X438"/>
  <c r="Y438"/>
  <c r="Z438"/>
  <c r="D437"/>
  <c r="C437"/>
  <c r="D431"/>
  <c r="E431"/>
  <c r="F431"/>
  <c r="G431"/>
  <c r="H426"/>
  <c r="I426"/>
  <c r="J426"/>
  <c r="K426"/>
  <c r="L426"/>
  <c r="P426"/>
  <c r="R426"/>
  <c r="T426"/>
  <c r="V426"/>
  <c r="X426"/>
  <c r="Y426"/>
  <c r="Z426"/>
  <c r="H427"/>
  <c r="I427"/>
  <c r="J427"/>
  <c r="K427"/>
  <c r="L427"/>
  <c r="P427"/>
  <c r="R427"/>
  <c r="T427"/>
  <c r="V427"/>
  <c r="X427"/>
  <c r="Y427"/>
  <c r="Z427"/>
  <c r="H428"/>
  <c r="I428"/>
  <c r="J428"/>
  <c r="K428"/>
  <c r="L428"/>
  <c r="P428"/>
  <c r="R428"/>
  <c r="T428"/>
  <c r="V428"/>
  <c r="X428"/>
  <c r="Y428"/>
  <c r="Z428"/>
  <c r="H432"/>
  <c r="I432"/>
  <c r="J432"/>
  <c r="K432"/>
  <c r="L432"/>
  <c r="P432"/>
  <c r="R432"/>
  <c r="T432"/>
  <c r="V432"/>
  <c r="X432"/>
  <c r="Y432"/>
  <c r="Z432"/>
  <c r="H433"/>
  <c r="I433"/>
  <c r="J433"/>
  <c r="K433"/>
  <c r="L433"/>
  <c r="P433"/>
  <c r="R433"/>
  <c r="T433"/>
  <c r="V433"/>
  <c r="X433"/>
  <c r="Y433"/>
  <c r="Z433"/>
  <c r="H434"/>
  <c r="I434"/>
  <c r="J434"/>
  <c r="T434"/>
  <c r="X434"/>
  <c r="Y434"/>
  <c r="Z434"/>
  <c r="H435"/>
  <c r="I435"/>
  <c r="J435"/>
  <c r="K435"/>
  <c r="L435"/>
  <c r="P435"/>
  <c r="R435"/>
  <c r="T435"/>
  <c r="V435"/>
  <c r="X435"/>
  <c r="Y435"/>
  <c r="Z435"/>
  <c r="H429"/>
  <c r="I429"/>
  <c r="J429"/>
  <c r="K429"/>
  <c r="L429"/>
  <c r="P429"/>
  <c r="R429"/>
  <c r="T429"/>
  <c r="V429"/>
  <c r="X429"/>
  <c r="Y429"/>
  <c r="Z429"/>
  <c r="H430"/>
  <c r="I430"/>
  <c r="J430"/>
  <c r="K430"/>
  <c r="L430"/>
  <c r="P430"/>
  <c r="R430"/>
  <c r="T430"/>
  <c r="V430"/>
  <c r="X430"/>
  <c r="Y430"/>
  <c r="Z430"/>
  <c r="E424"/>
  <c r="F424"/>
  <c r="G424"/>
  <c r="H425"/>
  <c r="I425"/>
  <c r="J425"/>
  <c r="L425"/>
  <c r="P425"/>
  <c r="R425"/>
  <c r="T425"/>
  <c r="V425"/>
  <c r="X425"/>
  <c r="Y425"/>
  <c r="Z425"/>
  <c r="D424"/>
  <c r="C424"/>
  <c r="H417"/>
  <c r="I417"/>
  <c r="J417"/>
  <c r="K417"/>
  <c r="L417"/>
  <c r="P417"/>
  <c r="R417"/>
  <c r="T417"/>
  <c r="V417"/>
  <c r="X417"/>
  <c r="Y417"/>
  <c r="Z417"/>
  <c r="H418"/>
  <c r="I418"/>
  <c r="J418"/>
  <c r="K418"/>
  <c r="L418"/>
  <c r="P418"/>
  <c r="R418"/>
  <c r="T418"/>
  <c r="V418"/>
  <c r="X418"/>
  <c r="Y418"/>
  <c r="Z418"/>
  <c r="D419"/>
  <c r="E419"/>
  <c r="F419"/>
  <c r="G419"/>
  <c r="H420"/>
  <c r="I420"/>
  <c r="J420"/>
  <c r="K420"/>
  <c r="L420"/>
  <c r="P420"/>
  <c r="R420"/>
  <c r="T420"/>
  <c r="V420"/>
  <c r="X420"/>
  <c r="Y420"/>
  <c r="Z420"/>
  <c r="H421"/>
  <c r="I421"/>
  <c r="J421"/>
  <c r="K421"/>
  <c r="L421"/>
  <c r="P421"/>
  <c r="R421"/>
  <c r="T421"/>
  <c r="V421"/>
  <c r="X421"/>
  <c r="Y421"/>
  <c r="Z421"/>
  <c r="H422"/>
  <c r="I422"/>
  <c r="J422"/>
  <c r="K422"/>
  <c r="L422"/>
  <c r="P422"/>
  <c r="R422"/>
  <c r="T422"/>
  <c r="V422"/>
  <c r="X422"/>
  <c r="Y422"/>
  <c r="Z422"/>
  <c r="E415"/>
  <c r="F415"/>
  <c r="G415"/>
  <c r="H416"/>
  <c r="I416"/>
  <c r="J416"/>
  <c r="K416"/>
  <c r="L416"/>
  <c r="P416"/>
  <c r="R416"/>
  <c r="T416"/>
  <c r="V416"/>
  <c r="X416"/>
  <c r="Y416"/>
  <c r="Z416"/>
  <c r="D415"/>
  <c r="C415"/>
  <c r="D381"/>
  <c r="E381"/>
  <c r="F381"/>
  <c r="G381"/>
  <c r="H382"/>
  <c r="I382"/>
  <c r="J382"/>
  <c r="K382"/>
  <c r="L382"/>
  <c r="P382"/>
  <c r="R382"/>
  <c r="T382"/>
  <c r="V382"/>
  <c r="X382"/>
  <c r="Y382"/>
  <c r="Z382"/>
  <c r="H376"/>
  <c r="I376"/>
  <c r="J376"/>
  <c r="K376"/>
  <c r="L376"/>
  <c r="P376"/>
  <c r="R376"/>
  <c r="T376"/>
  <c r="V376"/>
  <c r="X376"/>
  <c r="Y376"/>
  <c r="Z376"/>
  <c r="D383"/>
  <c r="E383"/>
  <c r="F383"/>
  <c r="G383"/>
  <c r="H384"/>
  <c r="I384"/>
  <c r="J384"/>
  <c r="K384"/>
  <c r="L384"/>
  <c r="P384"/>
  <c r="R384"/>
  <c r="T384"/>
  <c r="V384"/>
  <c r="X384"/>
  <c r="Y384"/>
  <c r="Z384"/>
  <c r="D385"/>
  <c r="E385"/>
  <c r="F385"/>
  <c r="G385"/>
  <c r="D386"/>
  <c r="E386"/>
  <c r="F386"/>
  <c r="G386"/>
  <c r="H387"/>
  <c r="I387"/>
  <c r="J387"/>
  <c r="K387"/>
  <c r="L387"/>
  <c r="P387"/>
  <c r="R387"/>
  <c r="T387"/>
  <c r="V387"/>
  <c r="X387"/>
  <c r="Y387"/>
  <c r="Z387"/>
  <c r="H377"/>
  <c r="I377"/>
  <c r="J377"/>
  <c r="K377"/>
  <c r="L377"/>
  <c r="P377"/>
  <c r="R377"/>
  <c r="T377"/>
  <c r="V377"/>
  <c r="X377"/>
  <c r="Y377"/>
  <c r="Z377"/>
  <c r="H378"/>
  <c r="I378"/>
  <c r="J378"/>
  <c r="K378"/>
  <c r="L378"/>
  <c r="P378"/>
  <c r="R378"/>
  <c r="T378"/>
  <c r="V378"/>
  <c r="X378"/>
  <c r="Y378"/>
  <c r="Z378"/>
  <c r="H379"/>
  <c r="I379"/>
  <c r="J379"/>
  <c r="K379"/>
  <c r="L379"/>
  <c r="P379"/>
  <c r="R379"/>
  <c r="T379"/>
  <c r="V379"/>
  <c r="X379"/>
  <c r="Y379"/>
  <c r="Z379"/>
  <c r="D388"/>
  <c r="E388"/>
  <c r="F388"/>
  <c r="G388"/>
  <c r="H389"/>
  <c r="I389"/>
  <c r="J389"/>
  <c r="K389"/>
  <c r="L389"/>
  <c r="P389"/>
  <c r="R389"/>
  <c r="T389"/>
  <c r="V389"/>
  <c r="X389"/>
  <c r="Y389"/>
  <c r="Z389"/>
  <c r="H390"/>
  <c r="I390"/>
  <c r="J390"/>
  <c r="K390"/>
  <c r="L390"/>
  <c r="P390"/>
  <c r="R390"/>
  <c r="T390"/>
  <c r="V390"/>
  <c r="X390"/>
  <c r="Y390"/>
  <c r="Z390"/>
  <c r="H391"/>
  <c r="I391"/>
  <c r="J391"/>
  <c r="K391"/>
  <c r="L391"/>
  <c r="P391"/>
  <c r="R391"/>
  <c r="T391"/>
  <c r="V391"/>
  <c r="X391"/>
  <c r="Y391"/>
  <c r="Z391"/>
  <c r="H380"/>
  <c r="I380"/>
  <c r="J380"/>
  <c r="K380"/>
  <c r="L380"/>
  <c r="P380"/>
  <c r="R380"/>
  <c r="T380"/>
  <c r="V380"/>
  <c r="X380"/>
  <c r="Y380"/>
  <c r="Z380"/>
  <c r="D392"/>
  <c r="E392"/>
  <c r="F392"/>
  <c r="G392"/>
  <c r="D394"/>
  <c r="E394"/>
  <c r="F394"/>
  <c r="G394"/>
  <c r="H393"/>
  <c r="I393"/>
  <c r="J393"/>
  <c r="K393"/>
  <c r="L393"/>
  <c r="P393"/>
  <c r="R393"/>
  <c r="T393"/>
  <c r="V393"/>
  <c r="X393"/>
  <c r="Y393"/>
  <c r="Z393"/>
  <c r="H395"/>
  <c r="I395"/>
  <c r="J395"/>
  <c r="K395"/>
  <c r="L395"/>
  <c r="P395"/>
  <c r="R395"/>
  <c r="T395"/>
  <c r="V395"/>
  <c r="X395"/>
  <c r="Y395"/>
  <c r="Z395"/>
  <c r="D396"/>
  <c r="E396"/>
  <c r="F396"/>
  <c r="G396"/>
  <c r="H397"/>
  <c r="I397"/>
  <c r="J397"/>
  <c r="K397"/>
  <c r="L397"/>
  <c r="P397"/>
  <c r="R397"/>
  <c r="T397"/>
  <c r="V397"/>
  <c r="X397"/>
  <c r="Y397"/>
  <c r="Z397"/>
  <c r="H398"/>
  <c r="I398"/>
  <c r="J398"/>
  <c r="K398"/>
  <c r="L398"/>
  <c r="P398"/>
  <c r="R398"/>
  <c r="T398"/>
  <c r="V398"/>
  <c r="X398"/>
  <c r="Y398"/>
  <c r="Z398"/>
  <c r="C400"/>
  <c r="D400"/>
  <c r="E400"/>
  <c r="F400"/>
  <c r="G400"/>
  <c r="H401"/>
  <c r="I401"/>
  <c r="J401"/>
  <c r="K401"/>
  <c r="L401"/>
  <c r="P401"/>
  <c r="R401"/>
  <c r="T401"/>
  <c r="V401"/>
  <c r="X401"/>
  <c r="Y401"/>
  <c r="Z401"/>
  <c r="H402"/>
  <c r="I402"/>
  <c r="J402"/>
  <c r="K402"/>
  <c r="L402"/>
  <c r="P402"/>
  <c r="R402"/>
  <c r="T402"/>
  <c r="V402"/>
  <c r="X402"/>
  <c r="Y402"/>
  <c r="Z402"/>
  <c r="H403"/>
  <c r="I403"/>
  <c r="J403"/>
  <c r="K403"/>
  <c r="L403"/>
  <c r="P403"/>
  <c r="R403"/>
  <c r="T403"/>
  <c r="V403"/>
  <c r="X403"/>
  <c r="Y403"/>
  <c r="Z403"/>
  <c r="D404"/>
  <c r="E404"/>
  <c r="F404"/>
  <c r="G404"/>
  <c r="H405"/>
  <c r="I405"/>
  <c r="J405"/>
  <c r="K405"/>
  <c r="L405"/>
  <c r="P405"/>
  <c r="R405"/>
  <c r="T405"/>
  <c r="V405"/>
  <c r="X405"/>
  <c r="Y405"/>
  <c r="Z405"/>
  <c r="H406"/>
  <c r="I406"/>
  <c r="J406"/>
  <c r="K406"/>
  <c r="L406"/>
  <c r="P406"/>
  <c r="R406"/>
  <c r="T406"/>
  <c r="V406"/>
  <c r="X406"/>
  <c r="Y406"/>
  <c r="Z406"/>
  <c r="H407"/>
  <c r="I407"/>
  <c r="J407"/>
  <c r="K407"/>
  <c r="L407"/>
  <c r="P407"/>
  <c r="R407"/>
  <c r="T407"/>
  <c r="V407"/>
  <c r="X407"/>
  <c r="Y407"/>
  <c r="Z407"/>
  <c r="H408"/>
  <c r="I408"/>
  <c r="J408"/>
  <c r="K408"/>
  <c r="L408"/>
  <c r="P408"/>
  <c r="R408"/>
  <c r="T408"/>
  <c r="V408"/>
  <c r="X408"/>
  <c r="Y408"/>
  <c r="Z408"/>
  <c r="D409"/>
  <c r="E409"/>
  <c r="F409"/>
  <c r="G409"/>
  <c r="H410"/>
  <c r="I410"/>
  <c r="J410"/>
  <c r="K410"/>
  <c r="L410"/>
  <c r="P410"/>
  <c r="R410"/>
  <c r="T410"/>
  <c r="V410"/>
  <c r="X410"/>
  <c r="Y410"/>
  <c r="Z410"/>
  <c r="H411"/>
  <c r="I411"/>
  <c r="J411"/>
  <c r="K411"/>
  <c r="L411"/>
  <c r="P411"/>
  <c r="R411"/>
  <c r="T411"/>
  <c r="V411"/>
  <c r="X411"/>
  <c r="Y411"/>
  <c r="Z411"/>
  <c r="H412"/>
  <c r="I412"/>
  <c r="J412"/>
  <c r="K412"/>
  <c r="L412"/>
  <c r="P412"/>
  <c r="R412"/>
  <c r="T412"/>
  <c r="V412"/>
  <c r="X412"/>
  <c r="Y412"/>
  <c r="Z412"/>
  <c r="H413"/>
  <c r="I413"/>
  <c r="J413"/>
  <c r="K413"/>
  <c r="L413"/>
  <c r="P413"/>
  <c r="R413"/>
  <c r="T413"/>
  <c r="V413"/>
  <c r="X413"/>
  <c r="Y413"/>
  <c r="Z413"/>
  <c r="E374"/>
  <c r="F374"/>
  <c r="G374"/>
  <c r="H375"/>
  <c r="I375"/>
  <c r="J375"/>
  <c r="K375"/>
  <c r="L375"/>
  <c r="P375"/>
  <c r="R375"/>
  <c r="T375"/>
  <c r="V375"/>
  <c r="X375"/>
  <c r="Y375"/>
  <c r="Z375"/>
  <c r="D374"/>
  <c r="C374"/>
  <c r="H355"/>
  <c r="I355"/>
  <c r="J355"/>
  <c r="K355"/>
  <c r="L355"/>
  <c r="P355"/>
  <c r="R355"/>
  <c r="T355"/>
  <c r="V355"/>
  <c r="X355"/>
  <c r="Y355"/>
  <c r="Z355"/>
  <c r="H356"/>
  <c r="I356"/>
  <c r="J356"/>
  <c r="K356"/>
  <c r="L356"/>
  <c r="P356"/>
  <c r="R356"/>
  <c r="T356"/>
  <c r="V356"/>
  <c r="X356"/>
  <c r="Y356"/>
  <c r="Z356"/>
  <c r="H357"/>
  <c r="I357"/>
  <c r="J357"/>
  <c r="K357"/>
  <c r="L357"/>
  <c r="P357"/>
  <c r="R357"/>
  <c r="T357"/>
  <c r="V357"/>
  <c r="X357"/>
  <c r="Y357"/>
  <c r="Z357"/>
  <c r="H358"/>
  <c r="I358"/>
  <c r="J358"/>
  <c r="K358"/>
  <c r="L358"/>
  <c r="P358"/>
  <c r="R358"/>
  <c r="T358"/>
  <c r="V358"/>
  <c r="X358"/>
  <c r="Y358"/>
  <c r="Z358"/>
  <c r="H359"/>
  <c r="I359"/>
  <c r="J359"/>
  <c r="K359"/>
  <c r="L359"/>
  <c r="P359"/>
  <c r="R359"/>
  <c r="T359"/>
  <c r="V359"/>
  <c r="X359"/>
  <c r="Y359"/>
  <c r="Z359"/>
  <c r="H360"/>
  <c r="I360"/>
  <c r="J360"/>
  <c r="K360"/>
  <c r="L360"/>
  <c r="P360"/>
  <c r="R360"/>
  <c r="T360"/>
  <c r="V360"/>
  <c r="X360"/>
  <c r="Y360"/>
  <c r="Z360"/>
  <c r="D361"/>
  <c r="E361"/>
  <c r="F361"/>
  <c r="G361"/>
  <c r="H362"/>
  <c r="I362"/>
  <c r="J362"/>
  <c r="K362"/>
  <c r="L362"/>
  <c r="P362"/>
  <c r="R362"/>
  <c r="T362"/>
  <c r="V362"/>
  <c r="X362"/>
  <c r="Y362"/>
  <c r="Z362"/>
  <c r="H363"/>
  <c r="I363"/>
  <c r="J363"/>
  <c r="K363"/>
  <c r="L363"/>
  <c r="P363"/>
  <c r="R363"/>
  <c r="T363"/>
  <c r="V363"/>
  <c r="X363"/>
  <c r="Y363"/>
  <c r="Z363"/>
  <c r="H364"/>
  <c r="I364"/>
  <c r="J364"/>
  <c r="K364"/>
  <c r="L364"/>
  <c r="P364"/>
  <c r="R364"/>
  <c r="T364"/>
  <c r="V364"/>
  <c r="X364"/>
  <c r="Y364"/>
  <c r="Z364"/>
  <c r="H365"/>
  <c r="I365"/>
  <c r="J365"/>
  <c r="K365"/>
  <c r="L365"/>
  <c r="P365"/>
  <c r="R365"/>
  <c r="T365"/>
  <c r="V365"/>
  <c r="X365"/>
  <c r="Y365"/>
  <c r="Z365"/>
  <c r="H366"/>
  <c r="I366"/>
  <c r="J366"/>
  <c r="K366"/>
  <c r="L366"/>
  <c r="P366"/>
  <c r="R366"/>
  <c r="T366"/>
  <c r="V366"/>
  <c r="X366"/>
  <c r="Y366"/>
  <c r="Z366"/>
  <c r="H367"/>
  <c r="I367"/>
  <c r="J367"/>
  <c r="K367"/>
  <c r="L367"/>
  <c r="P367"/>
  <c r="R367"/>
  <c r="T367"/>
  <c r="V367"/>
  <c r="X367"/>
  <c r="Y367"/>
  <c r="Z367"/>
  <c r="H368"/>
  <c r="I368"/>
  <c r="J368"/>
  <c r="K368"/>
  <c r="L368"/>
  <c r="P368"/>
  <c r="R368"/>
  <c r="T368"/>
  <c r="V368"/>
  <c r="X368"/>
  <c r="Y368"/>
  <c r="Z368"/>
  <c r="H369"/>
  <c r="I369"/>
  <c r="J369"/>
  <c r="K369"/>
  <c r="L369"/>
  <c r="P369"/>
  <c r="R369"/>
  <c r="T369"/>
  <c r="V369"/>
  <c r="X369"/>
  <c r="Y369"/>
  <c r="Z369"/>
  <c r="H370"/>
  <c r="I370"/>
  <c r="J370"/>
  <c r="K370"/>
  <c r="L370"/>
  <c r="P370"/>
  <c r="R370"/>
  <c r="T370"/>
  <c r="V370"/>
  <c r="X370"/>
  <c r="Y370"/>
  <c r="Z370"/>
  <c r="H371"/>
  <c r="I371"/>
  <c r="J371"/>
  <c r="K371"/>
  <c r="L371"/>
  <c r="P371"/>
  <c r="R371"/>
  <c r="T371"/>
  <c r="V371"/>
  <c r="X371"/>
  <c r="Y371"/>
  <c r="Z371"/>
  <c r="H372"/>
  <c r="I372"/>
  <c r="J372"/>
  <c r="K372"/>
  <c r="L372"/>
  <c r="P372"/>
  <c r="R372"/>
  <c r="T372"/>
  <c r="V372"/>
  <c r="X372"/>
  <c r="Y372"/>
  <c r="Z372"/>
  <c r="E353"/>
  <c r="F353"/>
  <c r="G353"/>
  <c r="H354"/>
  <c r="D353"/>
  <c r="C353"/>
  <c r="H337"/>
  <c r="I337"/>
  <c r="J337"/>
  <c r="K337"/>
  <c r="L337"/>
  <c r="P337"/>
  <c r="R337"/>
  <c r="T337"/>
  <c r="V337"/>
  <c r="X337"/>
  <c r="Y337"/>
  <c r="Z337"/>
  <c r="H338"/>
  <c r="I338"/>
  <c r="J338"/>
  <c r="K338"/>
  <c r="L338"/>
  <c r="P338"/>
  <c r="R338"/>
  <c r="T338"/>
  <c r="V338"/>
  <c r="X338"/>
  <c r="Y338"/>
  <c r="Z338"/>
  <c r="H339"/>
  <c r="I339"/>
  <c r="J339"/>
  <c r="K339"/>
  <c r="L339"/>
  <c r="P339"/>
  <c r="R339"/>
  <c r="T339"/>
  <c r="V339"/>
  <c r="X339"/>
  <c r="Y339"/>
  <c r="Z339"/>
  <c r="H340"/>
  <c r="I340"/>
  <c r="J340"/>
  <c r="K340"/>
  <c r="L340"/>
  <c r="P340"/>
  <c r="R340"/>
  <c r="T340"/>
  <c r="V340"/>
  <c r="X340"/>
  <c r="Y340"/>
  <c r="Z340"/>
  <c r="H341"/>
  <c r="I341"/>
  <c r="J341"/>
  <c r="K341"/>
  <c r="L341"/>
  <c r="P341"/>
  <c r="R341"/>
  <c r="T341"/>
  <c r="V341"/>
  <c r="X341"/>
  <c r="Y341"/>
  <c r="Z341"/>
  <c r="H342"/>
  <c r="I342"/>
  <c r="J342"/>
  <c r="K342"/>
  <c r="L342"/>
  <c r="P342"/>
  <c r="R342"/>
  <c r="T342"/>
  <c r="V342"/>
  <c r="X342"/>
  <c r="Y342"/>
  <c r="Z342"/>
  <c r="H343"/>
  <c r="I343"/>
  <c r="J343"/>
  <c r="K343"/>
  <c r="L343"/>
  <c r="P343"/>
  <c r="R343"/>
  <c r="T343"/>
  <c r="V343"/>
  <c r="X343"/>
  <c r="Y343"/>
  <c r="Z343"/>
  <c r="H344"/>
  <c r="I344"/>
  <c r="J344"/>
  <c r="K344"/>
  <c r="L344"/>
  <c r="P344"/>
  <c r="R344"/>
  <c r="T344"/>
  <c r="V344"/>
  <c r="X344"/>
  <c r="Y344"/>
  <c r="Z344"/>
  <c r="D345"/>
  <c r="E345"/>
  <c r="F345"/>
  <c r="G345"/>
  <c r="H346"/>
  <c r="I346"/>
  <c r="J346"/>
  <c r="K346"/>
  <c r="L346"/>
  <c r="P346"/>
  <c r="R346"/>
  <c r="T346"/>
  <c r="V346"/>
  <c r="X346"/>
  <c r="Y346"/>
  <c r="Z346"/>
  <c r="H347"/>
  <c r="I347"/>
  <c r="J347"/>
  <c r="K347"/>
  <c r="L347"/>
  <c r="P347"/>
  <c r="R347"/>
  <c r="T347"/>
  <c r="V347"/>
  <c r="X347"/>
  <c r="Y347"/>
  <c r="Z347"/>
  <c r="H348"/>
  <c r="I348"/>
  <c r="J348"/>
  <c r="K348"/>
  <c r="L348"/>
  <c r="P348"/>
  <c r="R348"/>
  <c r="T348"/>
  <c r="V348"/>
  <c r="X348"/>
  <c r="Y348"/>
  <c r="Z348"/>
  <c r="H349"/>
  <c r="I349"/>
  <c r="J349"/>
  <c r="K349"/>
  <c r="L349"/>
  <c r="P349"/>
  <c r="R349"/>
  <c r="T349"/>
  <c r="V349"/>
  <c r="X349"/>
  <c r="Y349"/>
  <c r="Z349"/>
  <c r="H350"/>
  <c r="I350"/>
  <c r="J350"/>
  <c r="K350"/>
  <c r="L350"/>
  <c r="P350"/>
  <c r="R350"/>
  <c r="T350"/>
  <c r="V350"/>
  <c r="X350"/>
  <c r="Y350"/>
  <c r="Z350"/>
  <c r="H351"/>
  <c r="I351"/>
  <c r="J351"/>
  <c r="K351"/>
  <c r="L351"/>
  <c r="P351"/>
  <c r="R351"/>
  <c r="T351"/>
  <c r="V351"/>
  <c r="X351"/>
  <c r="Y351"/>
  <c r="Z351"/>
  <c r="E335"/>
  <c r="F335"/>
  <c r="G335"/>
  <c r="H336"/>
  <c r="I336"/>
  <c r="J336"/>
  <c r="K336"/>
  <c r="L336"/>
  <c r="P336"/>
  <c r="R336"/>
  <c r="T336"/>
  <c r="V336"/>
  <c r="X336"/>
  <c r="Y336"/>
  <c r="Z336"/>
  <c r="D335"/>
  <c r="C335"/>
  <c r="H330"/>
  <c r="I330"/>
  <c r="J330"/>
  <c r="K330"/>
  <c r="L330"/>
  <c r="V330"/>
  <c r="X330"/>
  <c r="Y330"/>
  <c r="Z330"/>
  <c r="H331"/>
  <c r="I331"/>
  <c r="J331"/>
  <c r="K331"/>
  <c r="L331"/>
  <c r="P331"/>
  <c r="R331"/>
  <c r="T331"/>
  <c r="V331"/>
  <c r="X331"/>
  <c r="Y331"/>
  <c r="Z331"/>
  <c r="H332"/>
  <c r="I332"/>
  <c r="J332"/>
  <c r="K332"/>
  <c r="L332"/>
  <c r="P332"/>
  <c r="R332"/>
  <c r="T332"/>
  <c r="V332"/>
  <c r="X332"/>
  <c r="Y332"/>
  <c r="Z332"/>
  <c r="H333"/>
  <c r="I333"/>
  <c r="J333"/>
  <c r="K333"/>
  <c r="L333"/>
  <c r="P333"/>
  <c r="R333"/>
  <c r="T333"/>
  <c r="V333"/>
  <c r="X333"/>
  <c r="Y333"/>
  <c r="Z333"/>
  <c r="E328"/>
  <c r="F328"/>
  <c r="G328"/>
  <c r="H329"/>
  <c r="I329"/>
  <c r="J329"/>
  <c r="L329"/>
  <c r="P329"/>
  <c r="R329"/>
  <c r="T329"/>
  <c r="V329"/>
  <c r="X329"/>
  <c r="Y329"/>
  <c r="Z329"/>
  <c r="D328"/>
  <c r="C328"/>
  <c r="E323"/>
  <c r="F323"/>
  <c r="G323"/>
  <c r="H324"/>
  <c r="I324"/>
  <c r="J324"/>
  <c r="K324"/>
  <c r="L324"/>
  <c r="P324"/>
  <c r="R324"/>
  <c r="T324"/>
  <c r="V324"/>
  <c r="X324"/>
  <c r="Y324"/>
  <c r="Z324"/>
  <c r="D323"/>
  <c r="C323"/>
  <c r="H289"/>
  <c r="I289"/>
  <c r="J289"/>
  <c r="K289"/>
  <c r="L289"/>
  <c r="P289"/>
  <c r="R289"/>
  <c r="T289"/>
  <c r="V289"/>
  <c r="X289"/>
  <c r="Y289"/>
  <c r="Z289"/>
  <c r="H290"/>
  <c r="I290"/>
  <c r="L290"/>
  <c r="P290"/>
  <c r="R290"/>
  <c r="T290"/>
  <c r="V290"/>
  <c r="X290"/>
  <c r="Y290"/>
  <c r="Z290"/>
  <c r="H291"/>
  <c r="I291"/>
  <c r="L291"/>
  <c r="P291"/>
  <c r="R291"/>
  <c r="T291"/>
  <c r="V291"/>
  <c r="X291"/>
  <c r="Y291"/>
  <c r="Z291"/>
  <c r="H292"/>
  <c r="I292"/>
  <c r="J292"/>
  <c r="K292"/>
  <c r="L292"/>
  <c r="P292"/>
  <c r="R292"/>
  <c r="T292"/>
  <c r="V292"/>
  <c r="X292"/>
  <c r="Y292"/>
  <c r="Z292"/>
  <c r="H293"/>
  <c r="I293"/>
  <c r="J293"/>
  <c r="K293"/>
  <c r="L293"/>
  <c r="P293"/>
  <c r="R293"/>
  <c r="T293"/>
  <c r="V293"/>
  <c r="X293"/>
  <c r="Y293"/>
  <c r="Z293"/>
  <c r="H294"/>
  <c r="I294"/>
  <c r="J294"/>
  <c r="K294"/>
  <c r="L294"/>
  <c r="P294"/>
  <c r="R294"/>
  <c r="T294"/>
  <c r="V294"/>
  <c r="X294"/>
  <c r="Y294"/>
  <c r="Z294"/>
  <c r="H295"/>
  <c r="I295"/>
  <c r="J295"/>
  <c r="K295"/>
  <c r="L295"/>
  <c r="P295"/>
  <c r="R295"/>
  <c r="T295"/>
  <c r="V295"/>
  <c r="X295"/>
  <c r="Y295"/>
  <c r="Z295"/>
  <c r="H296"/>
  <c r="I296"/>
  <c r="J296"/>
  <c r="K296"/>
  <c r="L296"/>
  <c r="P296"/>
  <c r="R296"/>
  <c r="T296"/>
  <c r="V296"/>
  <c r="X296"/>
  <c r="Y296"/>
  <c r="Z296"/>
  <c r="H297"/>
  <c r="I297"/>
  <c r="J297"/>
  <c r="K297"/>
  <c r="L297"/>
  <c r="P297"/>
  <c r="R297"/>
  <c r="T297"/>
  <c r="V297"/>
  <c r="X297"/>
  <c r="Y297"/>
  <c r="Z297"/>
  <c r="X288"/>
  <c r="Y288"/>
  <c r="Z288"/>
  <c r="E287"/>
  <c r="F287"/>
  <c r="G287"/>
  <c r="H288"/>
  <c r="I288"/>
  <c r="J288"/>
  <c r="K288"/>
  <c r="L288"/>
  <c r="P288"/>
  <c r="R288"/>
  <c r="T288"/>
  <c r="V288"/>
  <c r="D287"/>
  <c r="C287"/>
  <c r="C299"/>
  <c r="C260"/>
  <c r="H244"/>
  <c r="I244"/>
  <c r="J244"/>
  <c r="K244"/>
  <c r="L244"/>
  <c r="P244"/>
  <c r="R244"/>
  <c r="T244"/>
  <c r="X244"/>
  <c r="Y244"/>
  <c r="Z244"/>
  <c r="H245"/>
  <c r="I245"/>
  <c r="J245"/>
  <c r="K245"/>
  <c r="L245"/>
  <c r="P245"/>
  <c r="R245"/>
  <c r="T245"/>
  <c r="X245"/>
  <c r="Y245"/>
  <c r="Z245"/>
  <c r="D247"/>
  <c r="E247"/>
  <c r="F247"/>
  <c r="G247"/>
  <c r="H248"/>
  <c r="I248"/>
  <c r="J248"/>
  <c r="K248"/>
  <c r="L248"/>
  <c r="P248"/>
  <c r="R248"/>
  <c r="T248"/>
  <c r="X248"/>
  <c r="Y248"/>
  <c r="Z248"/>
  <c r="H249"/>
  <c r="I249"/>
  <c r="J249"/>
  <c r="K249"/>
  <c r="X249"/>
  <c r="Y249"/>
  <c r="Z249"/>
  <c r="H246"/>
  <c r="I246"/>
  <c r="J246"/>
  <c r="K246"/>
  <c r="L246"/>
  <c r="P246"/>
  <c r="R246"/>
  <c r="T246"/>
  <c r="X246"/>
  <c r="Y246"/>
  <c r="Z246"/>
  <c r="D250"/>
  <c r="E250"/>
  <c r="F250"/>
  <c r="G250"/>
  <c r="H251"/>
  <c r="I251"/>
  <c r="J251"/>
  <c r="K251"/>
  <c r="L251"/>
  <c r="P251"/>
  <c r="R251"/>
  <c r="T251"/>
  <c r="X251"/>
  <c r="Y251"/>
  <c r="Z251"/>
  <c r="D252"/>
  <c r="E252"/>
  <c r="F252"/>
  <c r="G252"/>
  <c r="H253"/>
  <c r="I253"/>
  <c r="J253"/>
  <c r="K253"/>
  <c r="L253"/>
  <c r="T253"/>
  <c r="V253"/>
  <c r="X253"/>
  <c r="Y253"/>
  <c r="Z253"/>
  <c r="H254"/>
  <c r="I254"/>
  <c r="X254"/>
  <c r="Y254"/>
  <c r="Z254"/>
  <c r="D255"/>
  <c r="E255"/>
  <c r="F255"/>
  <c r="G255"/>
  <c r="H256"/>
  <c r="I256"/>
  <c r="J256"/>
  <c r="K256"/>
  <c r="L256"/>
  <c r="P256"/>
  <c r="R256"/>
  <c r="T256"/>
  <c r="V256"/>
  <c r="X256"/>
  <c r="Y256"/>
  <c r="Z256"/>
  <c r="D257"/>
  <c r="E257"/>
  <c r="F257"/>
  <c r="G257"/>
  <c r="H258"/>
  <c r="I258"/>
  <c r="J258"/>
  <c r="K258"/>
  <c r="L258"/>
  <c r="P258"/>
  <c r="R258"/>
  <c r="T258"/>
  <c r="V258"/>
  <c r="X258"/>
  <c r="Y258"/>
  <c r="Z258"/>
  <c r="D260"/>
  <c r="E260"/>
  <c r="F260"/>
  <c r="G260"/>
  <c r="H261"/>
  <c r="I261"/>
  <c r="J261"/>
  <c r="K261"/>
  <c r="L261"/>
  <c r="X261"/>
  <c r="Y261"/>
  <c r="Z261"/>
  <c r="H262"/>
  <c r="I262"/>
  <c r="J262"/>
  <c r="K262"/>
  <c r="L262"/>
  <c r="P262"/>
  <c r="R262"/>
  <c r="T262"/>
  <c r="V262"/>
  <c r="X262"/>
  <c r="Y262"/>
  <c r="Z262"/>
  <c r="H263"/>
  <c r="I263"/>
  <c r="J263"/>
  <c r="K263"/>
  <c r="L263"/>
  <c r="P263"/>
  <c r="R263"/>
  <c r="T263"/>
  <c r="X263"/>
  <c r="Y263"/>
  <c r="Z263"/>
  <c r="H264"/>
  <c r="I264"/>
  <c r="J264"/>
  <c r="K264"/>
  <c r="L264"/>
  <c r="P264"/>
  <c r="R264"/>
  <c r="T264"/>
  <c r="V264"/>
  <c r="X264"/>
  <c r="Y264"/>
  <c r="Z264"/>
  <c r="H265"/>
  <c r="I265"/>
  <c r="J265"/>
  <c r="K265"/>
  <c r="L265"/>
  <c r="P265"/>
  <c r="R265"/>
  <c r="T265"/>
  <c r="V265"/>
  <c r="X265"/>
  <c r="Y265"/>
  <c r="Z265"/>
  <c r="H266"/>
  <c r="I266"/>
  <c r="J266"/>
  <c r="K266"/>
  <c r="L266"/>
  <c r="P266"/>
  <c r="R266"/>
  <c r="T266"/>
  <c r="V266"/>
  <c r="X266"/>
  <c r="Y266"/>
  <c r="Z266"/>
  <c r="C273"/>
  <c r="D273"/>
  <c r="E273"/>
  <c r="F273"/>
  <c r="G273"/>
  <c r="H274"/>
  <c r="I274"/>
  <c r="J274"/>
  <c r="K274"/>
  <c r="L274"/>
  <c r="P274"/>
  <c r="R274"/>
  <c r="T274"/>
  <c r="V274"/>
  <c r="X274"/>
  <c r="Y274"/>
  <c r="Z274"/>
  <c r="H275"/>
  <c r="I275"/>
  <c r="J275"/>
  <c r="K275"/>
  <c r="L275"/>
  <c r="P275"/>
  <c r="R275"/>
  <c r="T275"/>
  <c r="V275"/>
  <c r="X275"/>
  <c r="Y275"/>
  <c r="Z275"/>
  <c r="H276"/>
  <c r="I276"/>
  <c r="J276"/>
  <c r="K276"/>
  <c r="L276"/>
  <c r="P276"/>
  <c r="R276"/>
  <c r="T276"/>
  <c r="V276"/>
  <c r="X276"/>
  <c r="Y276"/>
  <c r="Z276"/>
  <c r="D277"/>
  <c r="E277"/>
  <c r="F277"/>
  <c r="G277"/>
  <c r="H278"/>
  <c r="I278"/>
  <c r="L278"/>
  <c r="P278"/>
  <c r="R278"/>
  <c r="T278"/>
  <c r="V278"/>
  <c r="X278"/>
  <c r="Y278"/>
  <c r="Z278"/>
  <c r="H279"/>
  <c r="I279"/>
  <c r="J279"/>
  <c r="K279"/>
  <c r="L279"/>
  <c r="P279"/>
  <c r="R279"/>
  <c r="T279"/>
  <c r="V279"/>
  <c r="X279"/>
  <c r="Y279"/>
  <c r="Z279"/>
  <c r="D280"/>
  <c r="E280"/>
  <c r="F280"/>
  <c r="G280"/>
  <c r="H281"/>
  <c r="I281"/>
  <c r="J281"/>
  <c r="K281"/>
  <c r="L281"/>
  <c r="P281"/>
  <c r="R281"/>
  <c r="T281"/>
  <c r="V281"/>
  <c r="X281"/>
  <c r="Y281"/>
  <c r="Z281"/>
  <c r="D282"/>
  <c r="E282"/>
  <c r="F282"/>
  <c r="G282"/>
  <c r="H283"/>
  <c r="I283"/>
  <c r="J283"/>
  <c r="K283"/>
  <c r="L283"/>
  <c r="P283"/>
  <c r="R283"/>
  <c r="T283"/>
  <c r="V283"/>
  <c r="X283"/>
  <c r="Y283"/>
  <c r="Z283"/>
  <c r="D284"/>
  <c r="E284"/>
  <c r="F284"/>
  <c r="G284"/>
  <c r="H285"/>
  <c r="I285"/>
  <c r="J285"/>
  <c r="K285"/>
  <c r="L285"/>
  <c r="P285"/>
  <c r="R285"/>
  <c r="T285"/>
  <c r="V285"/>
  <c r="X285"/>
  <c r="Y285"/>
  <c r="Z285"/>
  <c r="C311"/>
  <c r="D311"/>
  <c r="E311"/>
  <c r="F311"/>
  <c r="G311"/>
  <c r="H312"/>
  <c r="I312"/>
  <c r="J312"/>
  <c r="K312"/>
  <c r="L312"/>
  <c r="P312"/>
  <c r="R312"/>
  <c r="T312"/>
  <c r="V312"/>
  <c r="X312"/>
  <c r="Y312"/>
  <c r="Z312"/>
  <c r="H313"/>
  <c r="I313"/>
  <c r="J313"/>
  <c r="K313"/>
  <c r="L313"/>
  <c r="P313"/>
  <c r="R313"/>
  <c r="T313"/>
  <c r="V313"/>
  <c r="X313"/>
  <c r="Y313"/>
  <c r="Z313"/>
  <c r="H314"/>
  <c r="I314"/>
  <c r="J314"/>
  <c r="K314"/>
  <c r="L314"/>
  <c r="P314"/>
  <c r="R314"/>
  <c r="T314"/>
  <c r="V314"/>
  <c r="X314"/>
  <c r="Y314"/>
  <c r="Z314"/>
  <c r="H315"/>
  <c r="I315"/>
  <c r="J315"/>
  <c r="K315"/>
  <c r="L315"/>
  <c r="P315"/>
  <c r="R315"/>
  <c r="T315"/>
  <c r="V315"/>
  <c r="X315"/>
  <c r="Y315"/>
  <c r="Z315"/>
  <c r="D316"/>
  <c r="E316"/>
  <c r="F316"/>
  <c r="G316"/>
  <c r="H317"/>
  <c r="I317"/>
  <c r="J317"/>
  <c r="K317"/>
  <c r="L317"/>
  <c r="P317"/>
  <c r="R317"/>
  <c r="T317"/>
  <c r="V317"/>
  <c r="X317"/>
  <c r="Y317"/>
  <c r="Z317"/>
  <c r="H318"/>
  <c r="I318"/>
  <c r="J318"/>
  <c r="K318"/>
  <c r="L318"/>
  <c r="P318"/>
  <c r="R318"/>
  <c r="T318"/>
  <c r="V318"/>
  <c r="X318"/>
  <c r="Y318"/>
  <c r="Z318"/>
  <c r="H319"/>
  <c r="I319"/>
  <c r="J319"/>
  <c r="K319"/>
  <c r="L319"/>
  <c r="P319"/>
  <c r="R319"/>
  <c r="T319"/>
  <c r="V319"/>
  <c r="X319"/>
  <c r="Y319"/>
  <c r="Z319"/>
  <c r="H320"/>
  <c r="I320"/>
  <c r="J320"/>
  <c r="K320"/>
  <c r="L320"/>
  <c r="P320"/>
  <c r="R320"/>
  <c r="T320"/>
  <c r="V320"/>
  <c r="X320"/>
  <c r="Y320"/>
  <c r="Z320"/>
  <c r="H321"/>
  <c r="I321"/>
  <c r="J321"/>
  <c r="K321"/>
  <c r="L321"/>
  <c r="P321"/>
  <c r="R321"/>
  <c r="T321"/>
  <c r="V321"/>
  <c r="X321"/>
  <c r="Y321"/>
  <c r="Z321"/>
  <c r="H300"/>
  <c r="I300"/>
  <c r="J300"/>
  <c r="K300"/>
  <c r="L300"/>
  <c r="P300"/>
  <c r="R300"/>
  <c r="T300"/>
  <c r="V300"/>
  <c r="X300"/>
  <c r="Y300"/>
  <c r="Z300"/>
  <c r="D304"/>
  <c r="E304"/>
  <c r="F304"/>
  <c r="G304"/>
  <c r="H305"/>
  <c r="I305"/>
  <c r="J305"/>
  <c r="K305"/>
  <c r="L305"/>
  <c r="P305"/>
  <c r="R305"/>
  <c r="T305"/>
  <c r="V305"/>
  <c r="X305"/>
  <c r="Y305"/>
  <c r="Z305"/>
  <c r="D306"/>
  <c r="E306"/>
  <c r="F306"/>
  <c r="G306"/>
  <c r="H307"/>
  <c r="I307"/>
  <c r="J307"/>
  <c r="K307"/>
  <c r="L307"/>
  <c r="P307"/>
  <c r="R307"/>
  <c r="T307"/>
  <c r="V307"/>
  <c r="X307"/>
  <c r="Y307"/>
  <c r="Z307"/>
  <c r="H308"/>
  <c r="I308"/>
  <c r="J308"/>
  <c r="K308"/>
  <c r="L308"/>
  <c r="P308"/>
  <c r="R308"/>
  <c r="T308"/>
  <c r="V308"/>
  <c r="X308"/>
  <c r="Y308"/>
  <c r="Z308"/>
  <c r="H309"/>
  <c r="I309"/>
  <c r="J309"/>
  <c r="K309"/>
  <c r="L309"/>
  <c r="P309"/>
  <c r="R309"/>
  <c r="T309"/>
  <c r="V309"/>
  <c r="X309"/>
  <c r="Y309"/>
  <c r="Z309"/>
  <c r="D299"/>
  <c r="E299"/>
  <c r="F299"/>
  <c r="G299"/>
  <c r="H301"/>
  <c r="I301"/>
  <c r="J301"/>
  <c r="K301"/>
  <c r="L301"/>
  <c r="P301"/>
  <c r="R301"/>
  <c r="T301"/>
  <c r="V301"/>
  <c r="X301"/>
  <c r="Y301"/>
  <c r="Z301"/>
  <c r="H302"/>
  <c r="I302"/>
  <c r="J302"/>
  <c r="K302"/>
  <c r="L302"/>
  <c r="P302"/>
  <c r="R302"/>
  <c r="T302"/>
  <c r="V302"/>
  <c r="X302"/>
  <c r="Y302"/>
  <c r="Z302"/>
  <c r="H303"/>
  <c r="I303"/>
  <c r="J303"/>
  <c r="K303"/>
  <c r="L303"/>
  <c r="P303"/>
  <c r="R303"/>
  <c r="T303"/>
  <c r="V303"/>
  <c r="X303"/>
  <c r="Y303"/>
  <c r="Z303"/>
  <c r="E242"/>
  <c r="F242"/>
  <c r="G242"/>
  <c r="H243"/>
  <c r="I243"/>
  <c r="J243"/>
  <c r="K243"/>
  <c r="L243"/>
  <c r="P243"/>
  <c r="R243"/>
  <c r="T243"/>
  <c r="X243"/>
  <c r="Y243"/>
  <c r="Z243"/>
  <c r="D242"/>
  <c r="C242"/>
  <c r="H170"/>
  <c r="I170"/>
  <c r="J170"/>
  <c r="K170"/>
  <c r="L170"/>
  <c r="P170"/>
  <c r="R170"/>
  <c r="T170"/>
  <c r="V170"/>
  <c r="X170"/>
  <c r="Y170"/>
  <c r="Z170"/>
  <c r="H171"/>
  <c r="I171"/>
  <c r="J171"/>
  <c r="K171"/>
  <c r="L171"/>
  <c r="P171"/>
  <c r="R171"/>
  <c r="T171"/>
  <c r="V171"/>
  <c r="X171"/>
  <c r="Y171"/>
  <c r="Z171"/>
  <c r="H172"/>
  <c r="I172"/>
  <c r="J172"/>
  <c r="K172"/>
  <c r="L172"/>
  <c r="P172"/>
  <c r="R172"/>
  <c r="T172"/>
  <c r="V172"/>
  <c r="X172"/>
  <c r="Y172"/>
  <c r="Z172"/>
  <c r="H173"/>
  <c r="I173"/>
  <c r="J173"/>
  <c r="K173"/>
  <c r="L173"/>
  <c r="P173"/>
  <c r="R173"/>
  <c r="T173"/>
  <c r="V173"/>
  <c r="X173"/>
  <c r="Y173"/>
  <c r="Z173"/>
  <c r="H174"/>
  <c r="I174"/>
  <c r="J174"/>
  <c r="K174"/>
  <c r="L174"/>
  <c r="P174"/>
  <c r="R174"/>
  <c r="T174"/>
  <c r="V174"/>
  <c r="X174"/>
  <c r="Y174"/>
  <c r="Z174"/>
  <c r="H175"/>
  <c r="I175"/>
  <c r="J175"/>
  <c r="K175"/>
  <c r="L175"/>
  <c r="P175"/>
  <c r="R175"/>
  <c r="T175"/>
  <c r="V175"/>
  <c r="X175"/>
  <c r="Y175"/>
  <c r="Z175"/>
  <c r="H176"/>
  <c r="I176"/>
  <c r="J176"/>
  <c r="K176"/>
  <c r="L176"/>
  <c r="P176"/>
  <c r="R176"/>
  <c r="T176"/>
  <c r="V176"/>
  <c r="X176"/>
  <c r="Y176"/>
  <c r="Z176"/>
  <c r="H177"/>
  <c r="I177"/>
  <c r="J177"/>
  <c r="K177"/>
  <c r="L177"/>
  <c r="P177"/>
  <c r="R177"/>
  <c r="T177"/>
  <c r="V177"/>
  <c r="X177"/>
  <c r="Y177"/>
  <c r="Z177"/>
  <c r="H178"/>
  <c r="I178"/>
  <c r="J178"/>
  <c r="K178"/>
  <c r="L178"/>
  <c r="P178"/>
  <c r="R178"/>
  <c r="T178"/>
  <c r="V178"/>
  <c r="X178"/>
  <c r="Y178"/>
  <c r="Z178"/>
  <c r="H179"/>
  <c r="I179"/>
  <c r="J179"/>
  <c r="K179"/>
  <c r="L179"/>
  <c r="P179"/>
  <c r="R179"/>
  <c r="T179"/>
  <c r="V179"/>
  <c r="X179"/>
  <c r="Y179"/>
  <c r="Z179"/>
  <c r="H180"/>
  <c r="I180"/>
  <c r="J180"/>
  <c r="K180"/>
  <c r="L180"/>
  <c r="P180"/>
  <c r="R180"/>
  <c r="T180"/>
  <c r="V180"/>
  <c r="X180"/>
  <c r="Y180"/>
  <c r="Z180"/>
  <c r="H181"/>
  <c r="I181"/>
  <c r="J181"/>
  <c r="K181"/>
  <c r="L181"/>
  <c r="P181"/>
  <c r="R181"/>
  <c r="T181"/>
  <c r="V181"/>
  <c r="X181"/>
  <c r="Y181"/>
  <c r="Z181"/>
  <c r="H182"/>
  <c r="I182"/>
  <c r="J182"/>
  <c r="K182"/>
  <c r="L182"/>
  <c r="P182"/>
  <c r="R182"/>
  <c r="T182"/>
  <c r="V182"/>
  <c r="X182"/>
  <c r="Y182"/>
  <c r="Z182"/>
  <c r="D183"/>
  <c r="E183"/>
  <c r="F183"/>
  <c r="G183"/>
  <c r="H184"/>
  <c r="I184"/>
  <c r="J184"/>
  <c r="K184"/>
  <c r="L184"/>
  <c r="P184"/>
  <c r="R184"/>
  <c r="T184"/>
  <c r="V184"/>
  <c r="X184"/>
  <c r="Y184"/>
  <c r="Z184"/>
  <c r="H185"/>
  <c r="I185"/>
  <c r="J185"/>
  <c r="K185"/>
  <c r="L185"/>
  <c r="P185"/>
  <c r="R185"/>
  <c r="T185"/>
  <c r="V185"/>
  <c r="X185"/>
  <c r="Y185"/>
  <c r="Z185"/>
  <c r="D186"/>
  <c r="E186"/>
  <c r="F186"/>
  <c r="G186"/>
  <c r="H187"/>
  <c r="I187"/>
  <c r="J187"/>
  <c r="K187"/>
  <c r="L187"/>
  <c r="P187"/>
  <c r="R187"/>
  <c r="T187"/>
  <c r="V187"/>
  <c r="X187"/>
  <c r="Y187"/>
  <c r="Z187"/>
  <c r="H188"/>
  <c r="I188"/>
  <c r="J188"/>
  <c r="K188"/>
  <c r="L188"/>
  <c r="P188"/>
  <c r="R188"/>
  <c r="T188"/>
  <c r="V188"/>
  <c r="X188"/>
  <c r="Y188"/>
  <c r="Z188"/>
  <c r="D189"/>
  <c r="E189"/>
  <c r="F189"/>
  <c r="G189"/>
  <c r="H190"/>
  <c r="I190"/>
  <c r="J190"/>
  <c r="K190"/>
  <c r="L190"/>
  <c r="P190"/>
  <c r="R190"/>
  <c r="T190"/>
  <c r="V190"/>
  <c r="X190"/>
  <c r="Y190"/>
  <c r="Z190"/>
  <c r="H191"/>
  <c r="I191"/>
  <c r="J191"/>
  <c r="K191"/>
  <c r="L191"/>
  <c r="P191"/>
  <c r="R191"/>
  <c r="T191"/>
  <c r="V191"/>
  <c r="X191"/>
  <c r="Y191"/>
  <c r="Z191"/>
  <c r="H192"/>
  <c r="I192"/>
  <c r="J192"/>
  <c r="K192"/>
  <c r="L192"/>
  <c r="P192"/>
  <c r="R192"/>
  <c r="T192"/>
  <c r="V192"/>
  <c r="X192"/>
  <c r="Y192"/>
  <c r="Z192"/>
  <c r="H193"/>
  <c r="I193"/>
  <c r="J193"/>
  <c r="K193"/>
  <c r="L193"/>
  <c r="P193"/>
  <c r="R193"/>
  <c r="T193"/>
  <c r="V193"/>
  <c r="X193"/>
  <c r="Y193"/>
  <c r="Z193"/>
  <c r="H194"/>
  <c r="I194"/>
  <c r="J194"/>
  <c r="K194"/>
  <c r="L194"/>
  <c r="P194"/>
  <c r="R194"/>
  <c r="T194"/>
  <c r="V194"/>
  <c r="X194"/>
  <c r="Y194"/>
  <c r="Z194"/>
  <c r="H195"/>
  <c r="I195"/>
  <c r="J195"/>
  <c r="K195"/>
  <c r="L195"/>
  <c r="P195"/>
  <c r="R195"/>
  <c r="T195"/>
  <c r="V195"/>
  <c r="X195"/>
  <c r="Y195"/>
  <c r="Z195"/>
  <c r="H196"/>
  <c r="I196"/>
  <c r="J196"/>
  <c r="K196"/>
  <c r="L196"/>
  <c r="P196"/>
  <c r="R196"/>
  <c r="T196"/>
  <c r="V196"/>
  <c r="X196"/>
  <c r="Y196"/>
  <c r="Z196"/>
  <c r="H197"/>
  <c r="I197"/>
  <c r="J197"/>
  <c r="K197"/>
  <c r="L197"/>
  <c r="P197"/>
  <c r="R197"/>
  <c r="T197"/>
  <c r="V197"/>
  <c r="X197"/>
  <c r="Y197"/>
  <c r="Z197"/>
  <c r="H198"/>
  <c r="I198"/>
  <c r="J198"/>
  <c r="K198"/>
  <c r="L198"/>
  <c r="P198"/>
  <c r="R198"/>
  <c r="T198"/>
  <c r="V198"/>
  <c r="X198"/>
  <c r="Y198"/>
  <c r="Z198"/>
  <c r="H199"/>
  <c r="I199"/>
  <c r="J199"/>
  <c r="K199"/>
  <c r="L199"/>
  <c r="P199"/>
  <c r="R199"/>
  <c r="T199"/>
  <c r="V199"/>
  <c r="X199"/>
  <c r="Y199"/>
  <c r="Z199"/>
  <c r="H200"/>
  <c r="I200"/>
  <c r="J200"/>
  <c r="K200"/>
  <c r="L200"/>
  <c r="P200"/>
  <c r="R200"/>
  <c r="T200"/>
  <c r="V200"/>
  <c r="X200"/>
  <c r="Y200"/>
  <c r="Z200"/>
  <c r="H201"/>
  <c r="I201"/>
  <c r="J201"/>
  <c r="K201"/>
  <c r="L201"/>
  <c r="P201"/>
  <c r="R201"/>
  <c r="T201"/>
  <c r="V201"/>
  <c r="X201"/>
  <c r="Y201"/>
  <c r="Z201"/>
  <c r="H202"/>
  <c r="I202"/>
  <c r="J202"/>
  <c r="K202"/>
  <c r="L202"/>
  <c r="P202"/>
  <c r="R202"/>
  <c r="T202"/>
  <c r="V202"/>
  <c r="X202"/>
  <c r="Y202"/>
  <c r="Z202"/>
  <c r="H203"/>
  <c r="I203"/>
  <c r="J203"/>
  <c r="K203"/>
  <c r="L203"/>
  <c r="P203"/>
  <c r="R203"/>
  <c r="T203"/>
  <c r="V203"/>
  <c r="X203"/>
  <c r="Y203"/>
  <c r="Z203"/>
  <c r="H204"/>
  <c r="I204"/>
  <c r="J204"/>
  <c r="K204"/>
  <c r="L204"/>
  <c r="P204"/>
  <c r="R204"/>
  <c r="T204"/>
  <c r="V204"/>
  <c r="X204"/>
  <c r="Y204"/>
  <c r="Z204"/>
  <c r="H205"/>
  <c r="I205"/>
  <c r="J205"/>
  <c r="K205"/>
  <c r="L205"/>
  <c r="P205"/>
  <c r="R205"/>
  <c r="T205"/>
  <c r="V205"/>
  <c r="X205"/>
  <c r="Y205"/>
  <c r="Z205"/>
  <c r="H208"/>
  <c r="I208"/>
  <c r="J208"/>
  <c r="K208"/>
  <c r="L208"/>
  <c r="P208"/>
  <c r="R208"/>
  <c r="T208"/>
  <c r="V208"/>
  <c r="X208"/>
  <c r="Y208"/>
  <c r="Z208"/>
  <c r="H209"/>
  <c r="I209"/>
  <c r="J209"/>
  <c r="K209"/>
  <c r="L209"/>
  <c r="P209"/>
  <c r="R209"/>
  <c r="T209"/>
  <c r="V209"/>
  <c r="X209"/>
  <c r="Y209"/>
  <c r="Z209"/>
  <c r="H210"/>
  <c r="I210"/>
  <c r="J210"/>
  <c r="K210"/>
  <c r="L210"/>
  <c r="P210"/>
  <c r="R210"/>
  <c r="T210"/>
  <c r="V210"/>
  <c r="X210"/>
  <c r="Y210"/>
  <c r="Z210"/>
  <c r="D211"/>
  <c r="E211"/>
  <c r="F211"/>
  <c r="G211"/>
  <c r="H213"/>
  <c r="I213"/>
  <c r="J213"/>
  <c r="K213"/>
  <c r="L213"/>
  <c r="P213"/>
  <c r="R213"/>
  <c r="T213"/>
  <c r="V213"/>
  <c r="X213"/>
  <c r="Y213"/>
  <c r="Z213"/>
  <c r="D212"/>
  <c r="E212"/>
  <c r="F212"/>
  <c r="G212"/>
  <c r="D214"/>
  <c r="E214"/>
  <c r="F214"/>
  <c r="G214"/>
  <c r="H215"/>
  <c r="I215"/>
  <c r="J215"/>
  <c r="K215"/>
  <c r="L215"/>
  <c r="P215"/>
  <c r="R215"/>
  <c r="T215"/>
  <c r="V215"/>
  <c r="X215"/>
  <c r="Y215"/>
  <c r="Z215"/>
  <c r="H216"/>
  <c r="I216"/>
  <c r="J216"/>
  <c r="K216"/>
  <c r="L216"/>
  <c r="P216"/>
  <c r="R216"/>
  <c r="T216"/>
  <c r="V216"/>
  <c r="X216"/>
  <c r="Y216"/>
  <c r="Z216"/>
  <c r="D217"/>
  <c r="E217"/>
  <c r="F217"/>
  <c r="G217"/>
  <c r="H218"/>
  <c r="I218"/>
  <c r="J218"/>
  <c r="K218"/>
  <c r="L218"/>
  <c r="P218"/>
  <c r="R218"/>
  <c r="T218"/>
  <c r="V218"/>
  <c r="X218"/>
  <c r="Y218"/>
  <c r="Z218"/>
  <c r="H219"/>
  <c r="I219"/>
  <c r="J219"/>
  <c r="K219"/>
  <c r="L219"/>
  <c r="P219"/>
  <c r="R219"/>
  <c r="T219"/>
  <c r="V219"/>
  <c r="X219"/>
  <c r="Y219"/>
  <c r="Z219"/>
  <c r="D220"/>
  <c r="E220"/>
  <c r="F220"/>
  <c r="G220"/>
  <c r="H221"/>
  <c r="H222"/>
  <c r="I222"/>
  <c r="J222"/>
  <c r="K222"/>
  <c r="L222"/>
  <c r="P222"/>
  <c r="R222"/>
  <c r="T222"/>
  <c r="V222"/>
  <c r="X222"/>
  <c r="Y222"/>
  <c r="Z222"/>
  <c r="H223"/>
  <c r="I223"/>
  <c r="J223"/>
  <c r="K223"/>
  <c r="L223"/>
  <c r="P223"/>
  <c r="R223"/>
  <c r="T223"/>
  <c r="V223"/>
  <c r="X223"/>
  <c r="Y223"/>
  <c r="Z223"/>
  <c r="H224"/>
  <c r="I224"/>
  <c r="J224"/>
  <c r="K224"/>
  <c r="L224"/>
  <c r="P224"/>
  <c r="R224"/>
  <c r="T224"/>
  <c r="V224"/>
  <c r="X224"/>
  <c r="Y224"/>
  <c r="Z224"/>
  <c r="H225"/>
  <c r="I225"/>
  <c r="J225"/>
  <c r="K225"/>
  <c r="L225"/>
  <c r="P225"/>
  <c r="R225"/>
  <c r="T225"/>
  <c r="V225"/>
  <c r="X225"/>
  <c r="Y225"/>
  <c r="Z225"/>
  <c r="H226"/>
  <c r="I226"/>
  <c r="J226"/>
  <c r="K226"/>
  <c r="L226"/>
  <c r="P226"/>
  <c r="R226"/>
  <c r="T226"/>
  <c r="V226"/>
  <c r="X226"/>
  <c r="Y226"/>
  <c r="Z226"/>
  <c r="H227"/>
  <c r="I227"/>
  <c r="J227"/>
  <c r="K227"/>
  <c r="L227"/>
  <c r="P227"/>
  <c r="R227"/>
  <c r="T227"/>
  <c r="V227"/>
  <c r="X227"/>
  <c r="Y227"/>
  <c r="Z227"/>
  <c r="H228"/>
  <c r="I228"/>
  <c r="J228"/>
  <c r="K228"/>
  <c r="L228"/>
  <c r="P228"/>
  <c r="R228"/>
  <c r="T228"/>
  <c r="V228"/>
  <c r="X228"/>
  <c r="Y228"/>
  <c r="Z228"/>
  <c r="D229"/>
  <c r="E229"/>
  <c r="F229"/>
  <c r="G229"/>
  <c r="H230"/>
  <c r="I230"/>
  <c r="J230"/>
  <c r="K230"/>
  <c r="L230"/>
  <c r="P230"/>
  <c r="R230"/>
  <c r="T230"/>
  <c r="V230"/>
  <c r="X230"/>
  <c r="Y230"/>
  <c r="Z230"/>
  <c r="H231"/>
  <c r="I231"/>
  <c r="J231"/>
  <c r="K231"/>
  <c r="L231"/>
  <c r="P231"/>
  <c r="R231"/>
  <c r="T231"/>
  <c r="V231"/>
  <c r="X231"/>
  <c r="Y231"/>
  <c r="Z231"/>
  <c r="H232"/>
  <c r="I232"/>
  <c r="J232"/>
  <c r="K232"/>
  <c r="L232"/>
  <c r="P232"/>
  <c r="R232"/>
  <c r="T232"/>
  <c r="V232"/>
  <c r="X232"/>
  <c r="Y232"/>
  <c r="Z232"/>
  <c r="H233"/>
  <c r="I233"/>
  <c r="J233"/>
  <c r="K233"/>
  <c r="L233"/>
  <c r="P233"/>
  <c r="R233"/>
  <c r="T233"/>
  <c r="V233"/>
  <c r="X233"/>
  <c r="Y233"/>
  <c r="Z233"/>
  <c r="H234"/>
  <c r="I234"/>
  <c r="J234"/>
  <c r="K234"/>
  <c r="L234"/>
  <c r="P234"/>
  <c r="R234"/>
  <c r="T234"/>
  <c r="V234"/>
  <c r="X234"/>
  <c r="Y234"/>
  <c r="Z234"/>
  <c r="D235"/>
  <c r="E235"/>
  <c r="F235"/>
  <c r="G235"/>
  <c r="H236"/>
  <c r="I236"/>
  <c r="J236"/>
  <c r="K236"/>
  <c r="L236"/>
  <c r="P236"/>
  <c r="R236"/>
  <c r="T236"/>
  <c r="V236"/>
  <c r="X236"/>
  <c r="Y236"/>
  <c r="Z236"/>
  <c r="D237"/>
  <c r="E237"/>
  <c r="F237"/>
  <c r="G237"/>
  <c r="H238"/>
  <c r="I238"/>
  <c r="J238"/>
  <c r="K238"/>
  <c r="L238"/>
  <c r="P238"/>
  <c r="R238"/>
  <c r="T238"/>
  <c r="V238"/>
  <c r="X238"/>
  <c r="Y238"/>
  <c r="Z238"/>
  <c r="H239"/>
  <c r="I239"/>
  <c r="J239"/>
  <c r="K239"/>
  <c r="L239"/>
  <c r="P239"/>
  <c r="R239"/>
  <c r="T239"/>
  <c r="V239"/>
  <c r="X239"/>
  <c r="Y239"/>
  <c r="Z239"/>
  <c r="H240"/>
  <c r="I240"/>
  <c r="J240"/>
  <c r="K240"/>
  <c r="L240"/>
  <c r="P240"/>
  <c r="R240"/>
  <c r="T240"/>
  <c r="V240"/>
  <c r="X240"/>
  <c r="Y240"/>
  <c r="Z240"/>
  <c r="Z169"/>
  <c r="E168"/>
  <c r="F168"/>
  <c r="G168"/>
  <c r="H169"/>
  <c r="I169"/>
  <c r="J169"/>
  <c r="K169"/>
  <c r="L169"/>
  <c r="P169"/>
  <c r="R169"/>
  <c r="T169"/>
  <c r="V169"/>
  <c r="X169"/>
  <c r="Y169"/>
  <c r="D168"/>
  <c r="C168"/>
  <c r="Z56"/>
  <c r="H56"/>
  <c r="I56"/>
  <c r="J56"/>
  <c r="K56"/>
  <c r="L56"/>
  <c r="P56"/>
  <c r="R56"/>
  <c r="T56"/>
  <c r="V56"/>
  <c r="X56"/>
  <c r="Y56"/>
  <c r="H153"/>
  <c r="I153"/>
  <c r="J153"/>
  <c r="K153"/>
  <c r="L153"/>
  <c r="P153"/>
  <c r="R153"/>
  <c r="T153"/>
  <c r="V153"/>
  <c r="X153"/>
  <c r="Y153"/>
  <c r="Z153"/>
  <c r="H137"/>
  <c r="I137"/>
  <c r="J137"/>
  <c r="K137"/>
  <c r="L137"/>
  <c r="P137"/>
  <c r="R137"/>
  <c r="T137"/>
  <c r="V137"/>
  <c r="X137"/>
  <c r="Y137"/>
  <c r="Z137"/>
  <c r="H57"/>
  <c r="I57"/>
  <c r="J57"/>
  <c r="K57"/>
  <c r="L57"/>
  <c r="P57"/>
  <c r="R57"/>
  <c r="T57"/>
  <c r="V57"/>
  <c r="X57"/>
  <c r="Y57"/>
  <c r="Z57"/>
  <c r="H58"/>
  <c r="I58"/>
  <c r="J58"/>
  <c r="K58"/>
  <c r="L58"/>
  <c r="P58"/>
  <c r="R58"/>
  <c r="T58"/>
  <c r="V58"/>
  <c r="X58"/>
  <c r="Y58"/>
  <c r="Z58"/>
  <c r="H59"/>
  <c r="I59"/>
  <c r="K59"/>
  <c r="L59"/>
  <c r="P59"/>
  <c r="R59"/>
  <c r="T59"/>
  <c r="V59"/>
  <c r="X59"/>
  <c r="Y59"/>
  <c r="Z59"/>
  <c r="H60"/>
  <c r="I60"/>
  <c r="K60"/>
  <c r="L60"/>
  <c r="P60"/>
  <c r="R60"/>
  <c r="T60"/>
  <c r="V60"/>
  <c r="X60"/>
  <c r="Y60"/>
  <c r="Z60"/>
  <c r="H61"/>
  <c r="I61"/>
  <c r="J61"/>
  <c r="K61"/>
  <c r="L61"/>
  <c r="P61"/>
  <c r="R61"/>
  <c r="T61"/>
  <c r="V61"/>
  <c r="X61"/>
  <c r="Y61"/>
  <c r="Z61"/>
  <c r="D67"/>
  <c r="E67"/>
  <c r="F67"/>
  <c r="G67"/>
  <c r="H68"/>
  <c r="I68"/>
  <c r="J68"/>
  <c r="K68"/>
  <c r="L68"/>
  <c r="P68"/>
  <c r="R68"/>
  <c r="T68"/>
  <c r="V68"/>
  <c r="X68"/>
  <c r="Y68"/>
  <c r="Z68"/>
  <c r="H69"/>
  <c r="I69"/>
  <c r="J69"/>
  <c r="K69"/>
  <c r="L69"/>
  <c r="P69"/>
  <c r="R69"/>
  <c r="T69"/>
  <c r="V69"/>
  <c r="X69"/>
  <c r="Y69"/>
  <c r="Z69"/>
  <c r="H70"/>
  <c r="I70"/>
  <c r="J70"/>
  <c r="K70"/>
  <c r="L70"/>
  <c r="P70"/>
  <c r="R70"/>
  <c r="T70"/>
  <c r="V70"/>
  <c r="X70"/>
  <c r="Y70"/>
  <c r="Z70"/>
  <c r="H71"/>
  <c r="I71"/>
  <c r="J71"/>
  <c r="K71"/>
  <c r="L71"/>
  <c r="P71"/>
  <c r="R71"/>
  <c r="T71"/>
  <c r="V71"/>
  <c r="X71"/>
  <c r="Y71"/>
  <c r="Z71"/>
  <c r="H72"/>
  <c r="I72"/>
  <c r="J72"/>
  <c r="K72"/>
  <c r="L72"/>
  <c r="P72"/>
  <c r="R72"/>
  <c r="T72"/>
  <c r="V72"/>
  <c r="X72"/>
  <c r="Y72"/>
  <c r="Z72"/>
  <c r="H73"/>
  <c r="I73"/>
  <c r="K73"/>
  <c r="L73"/>
  <c r="P73"/>
  <c r="R73"/>
  <c r="T73"/>
  <c r="V73"/>
  <c r="X73"/>
  <c r="Y73"/>
  <c r="Z73"/>
  <c r="H74"/>
  <c r="I74"/>
  <c r="J74"/>
  <c r="K74"/>
  <c r="L74"/>
  <c r="P74"/>
  <c r="R74"/>
  <c r="T74"/>
  <c r="V74"/>
  <c r="X74"/>
  <c r="Y74"/>
  <c r="Z74"/>
  <c r="H75"/>
  <c r="I75"/>
  <c r="J75"/>
  <c r="K75"/>
  <c r="L75"/>
  <c r="P75"/>
  <c r="R75"/>
  <c r="T75"/>
  <c r="V75"/>
  <c r="X75"/>
  <c r="Y75"/>
  <c r="Z75"/>
  <c r="H76"/>
  <c r="I76"/>
  <c r="J76"/>
  <c r="K76"/>
  <c r="L76"/>
  <c r="P76"/>
  <c r="R76"/>
  <c r="T76"/>
  <c r="V76"/>
  <c r="X76"/>
  <c r="Y76"/>
  <c r="Z76"/>
  <c r="H77"/>
  <c r="I77"/>
  <c r="J77"/>
  <c r="K77"/>
  <c r="L77"/>
  <c r="P77"/>
  <c r="R77"/>
  <c r="T77"/>
  <c r="V77"/>
  <c r="X77"/>
  <c r="Y77"/>
  <c r="Z77"/>
  <c r="H78"/>
  <c r="I78"/>
  <c r="J78"/>
  <c r="K78"/>
  <c r="L78"/>
  <c r="P78"/>
  <c r="R78"/>
  <c r="T78"/>
  <c r="V78"/>
  <c r="X78"/>
  <c r="Y78"/>
  <c r="Z78"/>
  <c r="D90"/>
  <c r="E90"/>
  <c r="F90"/>
  <c r="G90"/>
  <c r="H91"/>
  <c r="I91"/>
  <c r="J91"/>
  <c r="K91"/>
  <c r="L91"/>
  <c r="P91"/>
  <c r="R91"/>
  <c r="T91"/>
  <c r="V91"/>
  <c r="X91"/>
  <c r="Y91"/>
  <c r="Z91"/>
  <c r="H92"/>
  <c r="I92"/>
  <c r="J92"/>
  <c r="K92"/>
  <c r="L92"/>
  <c r="P92"/>
  <c r="R92"/>
  <c r="T92"/>
  <c r="V92"/>
  <c r="X92"/>
  <c r="Y92"/>
  <c r="Z92"/>
  <c r="H93"/>
  <c r="I93"/>
  <c r="J93"/>
  <c r="K93"/>
  <c r="L93"/>
  <c r="P93"/>
  <c r="R93"/>
  <c r="T93"/>
  <c r="V93"/>
  <c r="X93"/>
  <c r="Y93"/>
  <c r="Z93"/>
  <c r="H94"/>
  <c r="I94"/>
  <c r="K94"/>
  <c r="L94"/>
  <c r="P94"/>
  <c r="R94"/>
  <c r="T94"/>
  <c r="V94"/>
  <c r="X94"/>
  <c r="Y94"/>
  <c r="Z94"/>
  <c r="H95"/>
  <c r="I95"/>
  <c r="J95"/>
  <c r="L95"/>
  <c r="P95"/>
  <c r="T95"/>
  <c r="V95"/>
  <c r="X95"/>
  <c r="Y95"/>
  <c r="Z95"/>
  <c r="H96"/>
  <c r="I96"/>
  <c r="J96"/>
  <c r="X96"/>
  <c r="Y96"/>
  <c r="Z96"/>
  <c r="H97"/>
  <c r="I97"/>
  <c r="J97"/>
  <c r="K97"/>
  <c r="L97"/>
  <c r="P97"/>
  <c r="R97"/>
  <c r="T97"/>
  <c r="V97"/>
  <c r="X97"/>
  <c r="Y97"/>
  <c r="Z97"/>
  <c r="H98"/>
  <c r="I98"/>
  <c r="J98"/>
  <c r="K98"/>
  <c r="L98"/>
  <c r="P98"/>
  <c r="R98"/>
  <c r="T98"/>
  <c r="V98"/>
  <c r="X98"/>
  <c r="Y98"/>
  <c r="Z98"/>
  <c r="H99"/>
  <c r="I99"/>
  <c r="J99"/>
  <c r="K99"/>
  <c r="L99"/>
  <c r="P99"/>
  <c r="R99"/>
  <c r="T99"/>
  <c r="V99"/>
  <c r="X99"/>
  <c r="Y99"/>
  <c r="Z99"/>
  <c r="H100"/>
  <c r="I100"/>
  <c r="J100"/>
  <c r="K100"/>
  <c r="L100"/>
  <c r="P100"/>
  <c r="R100"/>
  <c r="T100"/>
  <c r="V100"/>
  <c r="X100"/>
  <c r="Y100"/>
  <c r="Z100"/>
  <c r="D106"/>
  <c r="E106"/>
  <c r="F106"/>
  <c r="G106"/>
  <c r="H107"/>
  <c r="I107"/>
  <c r="J107"/>
  <c r="K107"/>
  <c r="L107"/>
  <c r="P107"/>
  <c r="R107"/>
  <c r="T107"/>
  <c r="V107"/>
  <c r="X107"/>
  <c r="Y107"/>
  <c r="Z107"/>
  <c r="H108"/>
  <c r="I108"/>
  <c r="J108"/>
  <c r="K108"/>
  <c r="L108"/>
  <c r="P108"/>
  <c r="R108"/>
  <c r="T108"/>
  <c r="V108"/>
  <c r="X108"/>
  <c r="Y108"/>
  <c r="Z108"/>
  <c r="H109"/>
  <c r="I109"/>
  <c r="J109"/>
  <c r="K109"/>
  <c r="L109"/>
  <c r="P109"/>
  <c r="R109"/>
  <c r="T109"/>
  <c r="V109"/>
  <c r="X109"/>
  <c r="Y109"/>
  <c r="Z109"/>
  <c r="D113"/>
  <c r="E113"/>
  <c r="F113"/>
  <c r="G113"/>
  <c r="H114"/>
  <c r="I114"/>
  <c r="J114"/>
  <c r="K114"/>
  <c r="L114"/>
  <c r="P114"/>
  <c r="R114"/>
  <c r="T114"/>
  <c r="V114"/>
  <c r="X114"/>
  <c r="Y114"/>
  <c r="Z114"/>
  <c r="H115"/>
  <c r="I115"/>
  <c r="J115"/>
  <c r="K115"/>
  <c r="L115"/>
  <c r="P115"/>
  <c r="R115"/>
  <c r="T115"/>
  <c r="V115"/>
  <c r="X115"/>
  <c r="Y115"/>
  <c r="Z115"/>
  <c r="H116"/>
  <c r="I116"/>
  <c r="J116"/>
  <c r="K116"/>
  <c r="L116"/>
  <c r="P116"/>
  <c r="R116"/>
  <c r="T116"/>
  <c r="V116"/>
  <c r="X116"/>
  <c r="Y116"/>
  <c r="Z116"/>
  <c r="H117"/>
  <c r="I117"/>
  <c r="J117"/>
  <c r="K117"/>
  <c r="L117"/>
  <c r="P117"/>
  <c r="R117"/>
  <c r="T117"/>
  <c r="V117"/>
  <c r="X117"/>
  <c r="Y117"/>
  <c r="Z117"/>
  <c r="H118"/>
  <c r="I118"/>
  <c r="J118"/>
  <c r="K118"/>
  <c r="L118"/>
  <c r="P118"/>
  <c r="R118"/>
  <c r="T118"/>
  <c r="V118"/>
  <c r="X118"/>
  <c r="Y118"/>
  <c r="Z118"/>
  <c r="H119"/>
  <c r="I119"/>
  <c r="J119"/>
  <c r="K119"/>
  <c r="L119"/>
  <c r="P119"/>
  <c r="R119"/>
  <c r="T119"/>
  <c r="V119"/>
  <c r="X119"/>
  <c r="Y119"/>
  <c r="Z119"/>
  <c r="H120"/>
  <c r="I120"/>
  <c r="J120"/>
  <c r="K120"/>
  <c r="L120"/>
  <c r="P120"/>
  <c r="R120"/>
  <c r="T120"/>
  <c r="V120"/>
  <c r="X120"/>
  <c r="Y120"/>
  <c r="Z120"/>
  <c r="H121"/>
  <c r="I121"/>
  <c r="J121"/>
  <c r="K121"/>
  <c r="L121"/>
  <c r="P121"/>
  <c r="R121"/>
  <c r="T121"/>
  <c r="V121"/>
  <c r="X121"/>
  <c r="Y121"/>
  <c r="Z121"/>
  <c r="H122"/>
  <c r="I122"/>
  <c r="J122"/>
  <c r="K122"/>
  <c r="L122"/>
  <c r="P122"/>
  <c r="R122"/>
  <c r="T122"/>
  <c r="V122"/>
  <c r="X122"/>
  <c r="Y122"/>
  <c r="Z122"/>
  <c r="H123"/>
  <c r="I123"/>
  <c r="J123"/>
  <c r="K123"/>
  <c r="L123"/>
  <c r="P123"/>
  <c r="R123"/>
  <c r="T123"/>
  <c r="V123"/>
  <c r="X123"/>
  <c r="Y123"/>
  <c r="Z123"/>
  <c r="H124"/>
  <c r="I124"/>
  <c r="J124"/>
  <c r="K124"/>
  <c r="L124"/>
  <c r="P124"/>
  <c r="R124"/>
  <c r="T124"/>
  <c r="V124"/>
  <c r="X124"/>
  <c r="Y124"/>
  <c r="Z124"/>
  <c r="H125"/>
  <c r="I125"/>
  <c r="J125"/>
  <c r="L125"/>
  <c r="P125"/>
  <c r="R125"/>
  <c r="T125"/>
  <c r="V125"/>
  <c r="X125"/>
  <c r="Y125"/>
  <c r="Z125"/>
  <c r="H126"/>
  <c r="I126"/>
  <c r="L126"/>
  <c r="P126"/>
  <c r="R126"/>
  <c r="T126"/>
  <c r="V126"/>
  <c r="X126"/>
  <c r="Y126"/>
  <c r="Z126"/>
  <c r="H79"/>
  <c r="I79"/>
  <c r="J79"/>
  <c r="K79"/>
  <c r="L79"/>
  <c r="P79"/>
  <c r="R79"/>
  <c r="T79"/>
  <c r="V79"/>
  <c r="X79"/>
  <c r="Y79"/>
  <c r="Z79"/>
  <c r="H80"/>
  <c r="I80"/>
  <c r="J80"/>
  <c r="K80"/>
  <c r="L80"/>
  <c r="P80"/>
  <c r="R80"/>
  <c r="T80"/>
  <c r="V80"/>
  <c r="X80"/>
  <c r="Y80"/>
  <c r="Z80"/>
  <c r="H81"/>
  <c r="I81"/>
  <c r="J81"/>
  <c r="K81"/>
  <c r="L81"/>
  <c r="P81"/>
  <c r="R81"/>
  <c r="T81"/>
  <c r="V81"/>
  <c r="X81"/>
  <c r="Y81"/>
  <c r="Z81"/>
  <c r="H127"/>
  <c r="I127"/>
  <c r="J127"/>
  <c r="K127"/>
  <c r="L127"/>
  <c r="P127"/>
  <c r="R127"/>
  <c r="T127"/>
  <c r="V127"/>
  <c r="X127"/>
  <c r="Y127"/>
  <c r="Z127"/>
  <c r="H128"/>
  <c r="I128"/>
  <c r="J128"/>
  <c r="K128"/>
  <c r="L128"/>
  <c r="P128"/>
  <c r="R128"/>
  <c r="T128"/>
  <c r="V128"/>
  <c r="X128"/>
  <c r="Y128"/>
  <c r="Z128"/>
  <c r="H129"/>
  <c r="I129"/>
  <c r="J129"/>
  <c r="K129"/>
  <c r="L129"/>
  <c r="P129"/>
  <c r="R129"/>
  <c r="T129"/>
  <c r="V129"/>
  <c r="X129"/>
  <c r="Y129"/>
  <c r="Z129"/>
  <c r="H130"/>
  <c r="I130"/>
  <c r="J130"/>
  <c r="K130"/>
  <c r="L130"/>
  <c r="P130"/>
  <c r="R130"/>
  <c r="T130"/>
  <c r="V130"/>
  <c r="X130"/>
  <c r="Y130"/>
  <c r="Z130"/>
  <c r="H131"/>
  <c r="I131"/>
  <c r="J131"/>
  <c r="K131"/>
  <c r="L131"/>
  <c r="P131"/>
  <c r="R131"/>
  <c r="T131"/>
  <c r="V131"/>
  <c r="X131"/>
  <c r="Y131"/>
  <c r="Z131"/>
  <c r="H132"/>
  <c r="I132"/>
  <c r="J132"/>
  <c r="K132"/>
  <c r="L132"/>
  <c r="P132"/>
  <c r="R132"/>
  <c r="T132"/>
  <c r="V132"/>
  <c r="X132"/>
  <c r="Y132"/>
  <c r="Z132"/>
  <c r="H133"/>
  <c r="I133"/>
  <c r="J133"/>
  <c r="K133"/>
  <c r="L133"/>
  <c r="P133"/>
  <c r="R133"/>
  <c r="T133"/>
  <c r="V133"/>
  <c r="X133"/>
  <c r="Y133"/>
  <c r="Z133"/>
  <c r="H134"/>
  <c r="I134"/>
  <c r="J134"/>
  <c r="K134"/>
  <c r="L134"/>
  <c r="P134"/>
  <c r="R134"/>
  <c r="T134"/>
  <c r="V134"/>
  <c r="X134"/>
  <c r="Y134"/>
  <c r="Z134"/>
  <c r="H135"/>
  <c r="I135"/>
  <c r="L135"/>
  <c r="P135"/>
  <c r="R135"/>
  <c r="T135"/>
  <c r="V135"/>
  <c r="X135"/>
  <c r="Y135"/>
  <c r="Z135"/>
  <c r="H136"/>
  <c r="I136"/>
  <c r="L136"/>
  <c r="P136"/>
  <c r="R136"/>
  <c r="T136"/>
  <c r="V136"/>
  <c r="X136"/>
  <c r="Y136"/>
  <c r="Z136"/>
  <c r="H101"/>
  <c r="I101"/>
  <c r="J101"/>
  <c r="K101"/>
  <c r="L101"/>
  <c r="P101"/>
  <c r="R101"/>
  <c r="T101"/>
  <c r="V101"/>
  <c r="X101"/>
  <c r="Y101"/>
  <c r="Z101"/>
  <c r="H110"/>
  <c r="I110"/>
  <c r="J110"/>
  <c r="K110"/>
  <c r="L110"/>
  <c r="P110"/>
  <c r="R110"/>
  <c r="T110"/>
  <c r="V110"/>
  <c r="X110"/>
  <c r="Y110"/>
  <c r="Z110"/>
  <c r="D138"/>
  <c r="E138"/>
  <c r="F138"/>
  <c r="G138"/>
  <c r="H139"/>
  <c r="I139"/>
  <c r="J139"/>
  <c r="K139"/>
  <c r="L139"/>
  <c r="P139"/>
  <c r="R139"/>
  <c r="T139"/>
  <c r="V139"/>
  <c r="X139"/>
  <c r="Y139"/>
  <c r="Z139"/>
  <c r="H140"/>
  <c r="I140"/>
  <c r="J140"/>
  <c r="K140"/>
  <c r="L140"/>
  <c r="P140"/>
  <c r="R140"/>
  <c r="T140"/>
  <c r="V140"/>
  <c r="X140"/>
  <c r="Y140"/>
  <c r="Z140"/>
  <c r="H141"/>
  <c r="I141"/>
  <c r="J141"/>
  <c r="K141"/>
  <c r="L141"/>
  <c r="P141"/>
  <c r="R141"/>
  <c r="T141"/>
  <c r="V141"/>
  <c r="X141"/>
  <c r="Y141"/>
  <c r="Z141"/>
  <c r="H142"/>
  <c r="I142"/>
  <c r="J142"/>
  <c r="K142"/>
  <c r="L142"/>
  <c r="P142"/>
  <c r="R142"/>
  <c r="T142"/>
  <c r="V142"/>
  <c r="X142"/>
  <c r="Y142"/>
  <c r="Z142"/>
  <c r="H143"/>
  <c r="I143"/>
  <c r="J143"/>
  <c r="K143"/>
  <c r="L143"/>
  <c r="P143"/>
  <c r="R143"/>
  <c r="T143"/>
  <c r="V143"/>
  <c r="X143"/>
  <c r="Y143"/>
  <c r="Z143"/>
  <c r="H144"/>
  <c r="I144"/>
  <c r="K144"/>
  <c r="L144"/>
  <c r="P144"/>
  <c r="R144"/>
  <c r="T144"/>
  <c r="V144"/>
  <c r="X144"/>
  <c r="Y144"/>
  <c r="Z144"/>
  <c r="H145"/>
  <c r="I145"/>
  <c r="J145"/>
  <c r="K145"/>
  <c r="L145"/>
  <c r="P145"/>
  <c r="R145"/>
  <c r="T145"/>
  <c r="V145"/>
  <c r="X145"/>
  <c r="Y145"/>
  <c r="Z145"/>
  <c r="H146"/>
  <c r="I146"/>
  <c r="J146"/>
  <c r="K146"/>
  <c r="L146"/>
  <c r="P146"/>
  <c r="R146"/>
  <c r="T146"/>
  <c r="V146"/>
  <c r="X146"/>
  <c r="Y146"/>
  <c r="Z146"/>
  <c r="H147"/>
  <c r="I147"/>
  <c r="J147"/>
  <c r="K147"/>
  <c r="L147"/>
  <c r="P147"/>
  <c r="R147"/>
  <c r="T147"/>
  <c r="V147"/>
  <c r="X147"/>
  <c r="Y147"/>
  <c r="Z147"/>
  <c r="H148"/>
  <c r="I148"/>
  <c r="J148"/>
  <c r="K148"/>
  <c r="L148"/>
  <c r="P148"/>
  <c r="R148"/>
  <c r="T148"/>
  <c r="V148"/>
  <c r="X148"/>
  <c r="Y148"/>
  <c r="Z148"/>
  <c r="H149"/>
  <c r="I149"/>
  <c r="J149"/>
  <c r="K149"/>
  <c r="L149"/>
  <c r="P149"/>
  <c r="R149"/>
  <c r="T149"/>
  <c r="V149"/>
  <c r="X149"/>
  <c r="Y149"/>
  <c r="Z149"/>
  <c r="H150"/>
  <c r="I150"/>
  <c r="J150"/>
  <c r="K150"/>
  <c r="L150"/>
  <c r="P150"/>
  <c r="R150"/>
  <c r="T150"/>
  <c r="V150"/>
  <c r="X150"/>
  <c r="Y150"/>
  <c r="Z150"/>
  <c r="H151"/>
  <c r="I151"/>
  <c r="J151"/>
  <c r="K151"/>
  <c r="L151"/>
  <c r="P151"/>
  <c r="R151"/>
  <c r="T151"/>
  <c r="V151"/>
  <c r="X151"/>
  <c r="Y151"/>
  <c r="Z151"/>
  <c r="H152"/>
  <c r="I152"/>
  <c r="J152"/>
  <c r="K152"/>
  <c r="L152"/>
  <c r="P152"/>
  <c r="R152"/>
  <c r="T152"/>
  <c r="V152"/>
  <c r="X152"/>
  <c r="Y152"/>
  <c r="Z152"/>
  <c r="H154"/>
  <c r="I154"/>
  <c r="J154"/>
  <c r="K154"/>
  <c r="L154"/>
  <c r="P154"/>
  <c r="R154"/>
  <c r="T154"/>
  <c r="V154"/>
  <c r="X154"/>
  <c r="Y154"/>
  <c r="Z154"/>
  <c r="H155"/>
  <c r="I155"/>
  <c r="J155"/>
  <c r="K155"/>
  <c r="L155"/>
  <c r="P155"/>
  <c r="R155"/>
  <c r="T155"/>
  <c r="V155"/>
  <c r="X155"/>
  <c r="Y155"/>
  <c r="Z155"/>
  <c r="H156"/>
  <c r="I156"/>
  <c r="J156"/>
  <c r="K156"/>
  <c r="L156"/>
  <c r="P156"/>
  <c r="R156"/>
  <c r="T156"/>
  <c r="V156"/>
  <c r="X156"/>
  <c r="Y156"/>
  <c r="Z156"/>
  <c r="H157"/>
  <c r="I157"/>
  <c r="J157"/>
  <c r="K157"/>
  <c r="L157"/>
  <c r="P157"/>
  <c r="R157"/>
  <c r="T157"/>
  <c r="V157"/>
  <c r="X157"/>
  <c r="Y157"/>
  <c r="Z157"/>
  <c r="H158"/>
  <c r="I158"/>
  <c r="J158"/>
  <c r="K158"/>
  <c r="L158"/>
  <c r="P158"/>
  <c r="R158"/>
  <c r="T158"/>
  <c r="V158"/>
  <c r="X158"/>
  <c r="Y158"/>
  <c r="Z158"/>
  <c r="H159"/>
  <c r="I159"/>
  <c r="J159"/>
  <c r="K159"/>
  <c r="L159"/>
  <c r="P159"/>
  <c r="R159"/>
  <c r="T159"/>
  <c r="V159"/>
  <c r="X159"/>
  <c r="Y159"/>
  <c r="Z159"/>
  <c r="H160"/>
  <c r="I160"/>
  <c r="J160"/>
  <c r="K160"/>
  <c r="L160"/>
  <c r="P160"/>
  <c r="R160"/>
  <c r="T160"/>
  <c r="V160"/>
  <c r="X160"/>
  <c r="Y160"/>
  <c r="Z160"/>
  <c r="H161"/>
  <c r="I161"/>
  <c r="J161"/>
  <c r="K161"/>
  <c r="L161"/>
  <c r="P161"/>
  <c r="R161"/>
  <c r="T161"/>
  <c r="V161"/>
  <c r="X161"/>
  <c r="Y161"/>
  <c r="Z161"/>
  <c r="H162"/>
  <c r="I162"/>
  <c r="J162"/>
  <c r="K162"/>
  <c r="L162"/>
  <c r="P162"/>
  <c r="R162"/>
  <c r="T162"/>
  <c r="V162"/>
  <c r="X162"/>
  <c r="Y162"/>
  <c r="Z162"/>
  <c r="H163"/>
  <c r="I163"/>
  <c r="J163"/>
  <c r="K163"/>
  <c r="L163"/>
  <c r="P163"/>
  <c r="R163"/>
  <c r="T163"/>
  <c r="V163"/>
  <c r="X163"/>
  <c r="Y163"/>
  <c r="Z163"/>
  <c r="H164"/>
  <c r="I164"/>
  <c r="J164"/>
  <c r="K164"/>
  <c r="L164"/>
  <c r="P164"/>
  <c r="R164"/>
  <c r="T164"/>
  <c r="V164"/>
  <c r="X164"/>
  <c r="Y164"/>
  <c r="Z164"/>
  <c r="H165"/>
  <c r="I165"/>
  <c r="J165"/>
  <c r="K165"/>
  <c r="L165"/>
  <c r="P165"/>
  <c r="R165"/>
  <c r="T165"/>
  <c r="V165"/>
  <c r="X165"/>
  <c r="Y165"/>
  <c r="Z165"/>
  <c r="H166"/>
  <c r="I166"/>
  <c r="J166"/>
  <c r="K166"/>
  <c r="L166"/>
  <c r="P166"/>
  <c r="R166"/>
  <c r="T166"/>
  <c r="V166"/>
  <c r="X166"/>
  <c r="Y166"/>
  <c r="Z166"/>
  <c r="H62"/>
  <c r="I62"/>
  <c r="J62"/>
  <c r="K62"/>
  <c r="L62"/>
  <c r="P62"/>
  <c r="R62"/>
  <c r="T62"/>
  <c r="V62"/>
  <c r="X62"/>
  <c r="Y62"/>
  <c r="Z62"/>
  <c r="H63"/>
  <c r="I63"/>
  <c r="J63"/>
  <c r="K63"/>
  <c r="L63"/>
  <c r="P63"/>
  <c r="R63"/>
  <c r="T63"/>
  <c r="V63"/>
  <c r="X63"/>
  <c r="Y63"/>
  <c r="Z63"/>
  <c r="H64"/>
  <c r="I64"/>
  <c r="J64"/>
  <c r="K64"/>
  <c r="L64"/>
  <c r="P64"/>
  <c r="R64"/>
  <c r="T64"/>
  <c r="V64"/>
  <c r="X64"/>
  <c r="Y64"/>
  <c r="Z64"/>
  <c r="H65"/>
  <c r="I65"/>
  <c r="J65"/>
  <c r="K65"/>
  <c r="L65"/>
  <c r="P65"/>
  <c r="R65"/>
  <c r="T65"/>
  <c r="V65"/>
  <c r="X65"/>
  <c r="Y65"/>
  <c r="Z65"/>
  <c r="H66"/>
  <c r="I66"/>
  <c r="J66"/>
  <c r="K66"/>
  <c r="L66"/>
  <c r="P66"/>
  <c r="R66"/>
  <c r="T66"/>
  <c r="V66"/>
  <c r="X66"/>
  <c r="Y66"/>
  <c r="Z66"/>
  <c r="H82"/>
  <c r="I82"/>
  <c r="J82"/>
  <c r="K82"/>
  <c r="L82"/>
  <c r="P82"/>
  <c r="R82"/>
  <c r="T82"/>
  <c r="V82"/>
  <c r="X82"/>
  <c r="Y82"/>
  <c r="Z82"/>
  <c r="H83"/>
  <c r="I83"/>
  <c r="J83"/>
  <c r="K83"/>
  <c r="L83"/>
  <c r="P83"/>
  <c r="R83"/>
  <c r="T83"/>
  <c r="V83"/>
  <c r="X83"/>
  <c r="Y83"/>
  <c r="Z83"/>
  <c r="H84"/>
  <c r="I84"/>
  <c r="J84"/>
  <c r="K84"/>
  <c r="L84"/>
  <c r="P84"/>
  <c r="R84"/>
  <c r="T84"/>
  <c r="V84"/>
  <c r="X84"/>
  <c r="Y84"/>
  <c r="Z84"/>
  <c r="H85"/>
  <c r="I85"/>
  <c r="J85"/>
  <c r="K85"/>
  <c r="L85"/>
  <c r="P85"/>
  <c r="R85"/>
  <c r="T85"/>
  <c r="V85"/>
  <c r="X85"/>
  <c r="Y85"/>
  <c r="Z85"/>
  <c r="H86"/>
  <c r="I86"/>
  <c r="J86"/>
  <c r="K86"/>
  <c r="L86"/>
  <c r="P86"/>
  <c r="R86"/>
  <c r="T86"/>
  <c r="V86"/>
  <c r="X86"/>
  <c r="Y86"/>
  <c r="Z86"/>
  <c r="H87"/>
  <c r="I87"/>
  <c r="J87"/>
  <c r="K87"/>
  <c r="L87"/>
  <c r="P87"/>
  <c r="R87"/>
  <c r="T87"/>
  <c r="V87"/>
  <c r="X87"/>
  <c r="Y87"/>
  <c r="Z87"/>
  <c r="H88"/>
  <c r="I88"/>
  <c r="J88"/>
  <c r="K88"/>
  <c r="L88"/>
  <c r="P88"/>
  <c r="R88"/>
  <c r="T88"/>
  <c r="V88"/>
  <c r="X88"/>
  <c r="Y88"/>
  <c r="Z88"/>
  <c r="H89"/>
  <c r="I89"/>
  <c r="J89"/>
  <c r="K89"/>
  <c r="L89"/>
  <c r="P89"/>
  <c r="R89"/>
  <c r="T89"/>
  <c r="V89"/>
  <c r="X89"/>
  <c r="Y89"/>
  <c r="Z89"/>
  <c r="H102"/>
  <c r="I102"/>
  <c r="J102"/>
  <c r="K102"/>
  <c r="L102"/>
  <c r="P102"/>
  <c r="R102"/>
  <c r="T102"/>
  <c r="V102"/>
  <c r="X102"/>
  <c r="Y102"/>
  <c r="Z102"/>
  <c r="H103"/>
  <c r="I103"/>
  <c r="J103"/>
  <c r="K103"/>
  <c r="L103"/>
  <c r="P103"/>
  <c r="R103"/>
  <c r="T103"/>
  <c r="V103"/>
  <c r="X103"/>
  <c r="Y103"/>
  <c r="Z103"/>
  <c r="H104"/>
  <c r="I104"/>
  <c r="J104"/>
  <c r="K104"/>
  <c r="L104"/>
  <c r="P104"/>
  <c r="R104"/>
  <c r="T104"/>
  <c r="V104"/>
  <c r="X104"/>
  <c r="Y104"/>
  <c r="Z104"/>
  <c r="H105"/>
  <c r="I105"/>
  <c r="J105"/>
  <c r="K105"/>
  <c r="L105"/>
  <c r="P105"/>
  <c r="R105"/>
  <c r="T105"/>
  <c r="V105"/>
  <c r="X105"/>
  <c r="Y105"/>
  <c r="Z105"/>
  <c r="H111"/>
  <c r="I111"/>
  <c r="J111"/>
  <c r="K111"/>
  <c r="L111"/>
  <c r="P111"/>
  <c r="R111"/>
  <c r="T111"/>
  <c r="V111"/>
  <c r="X111"/>
  <c r="Y111"/>
  <c r="Z111"/>
  <c r="H112"/>
  <c r="I112"/>
  <c r="J112"/>
  <c r="K112"/>
  <c r="L112"/>
  <c r="P112"/>
  <c r="R112"/>
  <c r="T112"/>
  <c r="V112"/>
  <c r="X112"/>
  <c r="Y112"/>
  <c r="Z112"/>
  <c r="E54"/>
  <c r="F54"/>
  <c r="G54"/>
  <c r="H55"/>
  <c r="I55"/>
  <c r="J55"/>
  <c r="K55"/>
  <c r="L55"/>
  <c r="P55"/>
  <c r="R55"/>
  <c r="T55"/>
  <c r="V55"/>
  <c r="X55"/>
  <c r="Z55"/>
  <c r="D54"/>
  <c r="C54"/>
  <c r="X3"/>
  <c r="W29" i="89"/>
  <c r="Q94" i="90"/>
  <c r="R94" s="1"/>
  <c r="S94" s="1"/>
  <c r="T94" s="1"/>
  <c r="U94" s="1"/>
  <c r="V94" s="1"/>
  <c r="W94" s="1"/>
  <c r="V434" i="119" s="1"/>
  <c r="S18" i="118"/>
  <c r="T18" s="1"/>
  <c r="U18" s="1"/>
  <c r="V18" s="1"/>
  <c r="W18" s="1"/>
  <c r="V261" i="119" s="1"/>
  <c r="S80" i="90"/>
  <c r="T80" s="1"/>
  <c r="U80" s="1"/>
  <c r="V80" s="1"/>
  <c r="T330" i="119" s="1"/>
  <c r="N330" l="1"/>
  <c r="N261"/>
  <c r="R261"/>
  <c r="P261"/>
  <c r="T261"/>
  <c r="L434"/>
  <c r="P434"/>
  <c r="R434"/>
  <c r="K434"/>
  <c r="R330"/>
  <c r="P330"/>
  <c r="W95" i="83"/>
  <c r="V39" i="90" l="1"/>
  <c r="T506" i="119" s="1"/>
  <c r="V40" i="90"/>
  <c r="V128"/>
  <c r="V129" s="1"/>
  <c r="V131" s="1"/>
  <c r="Q79"/>
  <c r="K329" i="119" s="1"/>
  <c r="W40" i="90" l="1"/>
  <c r="V507" i="119" s="1"/>
  <c r="T507"/>
  <c r="P25" i="90"/>
  <c r="J488" i="119" s="1"/>
  <c r="Q25" i="90"/>
  <c r="K488" i="119" s="1"/>
  <c r="Q23" i="90"/>
  <c r="K484" i="119" s="1"/>
  <c r="P23" i="90"/>
  <c r="J484" i="119" s="1"/>
  <c r="W42" i="86"/>
  <c r="W39"/>
  <c r="W36"/>
  <c r="W35"/>
  <c r="W12"/>
  <c r="N637" i="125" l="1"/>
  <c r="N83" i="91"/>
  <c r="N616" i="126"/>
  <c r="N667" i="119"/>
  <c r="V105" i="83"/>
  <c r="W105" s="1"/>
  <c r="R105"/>
  <c r="R103"/>
  <c r="S103" s="1"/>
  <c r="T103" s="1"/>
  <c r="U103" s="1"/>
  <c r="V103" s="1"/>
  <c r="W103" s="1"/>
  <c r="R100"/>
  <c r="S100" s="1"/>
  <c r="T100" s="1"/>
  <c r="U100" s="1"/>
  <c r="V100" s="1"/>
  <c r="W100" s="1"/>
  <c r="V97"/>
  <c r="U97"/>
  <c r="T97"/>
  <c r="S97"/>
  <c r="R97"/>
  <c r="Q97"/>
  <c r="P97"/>
  <c r="V95"/>
  <c r="U95"/>
  <c r="T95"/>
  <c r="S95"/>
  <c r="R95"/>
  <c r="Q95"/>
  <c r="P95"/>
  <c r="W85"/>
  <c r="P616" i="126" l="1"/>
  <c r="O83" i="91"/>
  <c r="P637" i="125"/>
  <c r="P667" i="119"/>
  <c r="V80" i="83"/>
  <c r="U80"/>
  <c r="T80"/>
  <c r="S80"/>
  <c r="R80"/>
  <c r="Q80"/>
  <c r="P80"/>
  <c r="Q78"/>
  <c r="V78"/>
  <c r="T78"/>
  <c r="S78"/>
  <c r="R78"/>
  <c r="P78"/>
  <c r="U78"/>
  <c r="Q32" i="118"/>
  <c r="K278" i="119" s="1"/>
  <c r="P32" i="118"/>
  <c r="J278" i="119" s="1"/>
  <c r="W20" i="118"/>
  <c r="V263" i="119" s="1"/>
  <c r="W15" i="118"/>
  <c r="V254" i="119" s="1"/>
  <c r="V15" i="118"/>
  <c r="T254" i="119" s="1"/>
  <c r="U15" i="118"/>
  <c r="R254" i="119" s="1"/>
  <c r="T15" i="118"/>
  <c r="P254" i="119" s="1"/>
  <c r="S15" i="118"/>
  <c r="N254" i="119" s="1"/>
  <c r="R15" i="118"/>
  <c r="L254" i="119" s="1"/>
  <c r="Q15" i="118"/>
  <c r="K254" i="119" s="1"/>
  <c r="P15" i="118"/>
  <c r="J254" i="119" s="1"/>
  <c r="T14" i="118"/>
  <c r="W13"/>
  <c r="V251" i="119" s="1"/>
  <c r="W12" i="118"/>
  <c r="V246" i="119" s="1"/>
  <c r="R11" i="118"/>
  <c r="W10"/>
  <c r="V248" i="119" s="1"/>
  <c r="W9" i="118"/>
  <c r="V245" i="119" s="1"/>
  <c r="W8" i="118"/>
  <c r="V244" i="119" s="1"/>
  <c r="W7" i="118"/>
  <c r="V243" i="119" s="1"/>
  <c r="W51" i="83"/>
  <c r="V38"/>
  <c r="U38"/>
  <c r="T38"/>
  <c r="S38"/>
  <c r="W33"/>
  <c r="W29"/>
  <c r="P83" i="91" l="1"/>
  <c r="R616" i="126"/>
  <c r="R637" i="125"/>
  <c r="R667" i="119"/>
  <c r="S11" i="118"/>
  <c r="L249" i="119"/>
  <c r="U14" i="118"/>
  <c r="R253" i="119" s="1"/>
  <c r="P253"/>
  <c r="T616" i="126" l="1"/>
  <c r="Q83" i="91"/>
  <c r="T637" i="125"/>
  <c r="T667" i="119"/>
  <c r="T11" i="118"/>
  <c r="N249" i="119"/>
  <c r="R1486" i="115"/>
  <c r="V637" i="125" l="1"/>
  <c r="R83" i="91"/>
  <c r="V616" i="126"/>
  <c r="V667" i="119"/>
  <c r="U11" i="118"/>
  <c r="P249" i="119"/>
  <c r="V1180" i="115"/>
  <c r="W1180"/>
  <c r="K1180"/>
  <c r="V11" i="118" l="1"/>
  <c r="R249" i="119"/>
  <c r="W1107" i="115"/>
  <c r="V1107"/>
  <c r="U529"/>
  <c r="U530" s="1"/>
  <c r="M530"/>
  <c r="O530"/>
  <c r="Q530"/>
  <c r="S530"/>
  <c r="V530"/>
  <c r="W530"/>
  <c r="K530"/>
  <c r="U1014"/>
  <c r="U1006" s="1"/>
  <c r="U1179"/>
  <c r="M1485"/>
  <c r="O1485"/>
  <c r="Q1485"/>
  <c r="S1485"/>
  <c r="U1485"/>
  <c r="V1485"/>
  <c r="W1485"/>
  <c r="K1485"/>
  <c r="M1481"/>
  <c r="O1481"/>
  <c r="Q1481"/>
  <c r="S1481"/>
  <c r="U1481"/>
  <c r="W1481"/>
  <c r="V1481"/>
  <c r="M1467"/>
  <c r="O1467"/>
  <c r="Q1467"/>
  <c r="S1467"/>
  <c r="U1467"/>
  <c r="V1467"/>
  <c r="W1467"/>
  <c r="M1432"/>
  <c r="O1432"/>
  <c r="Q1432"/>
  <c r="S1432"/>
  <c r="U1432"/>
  <c r="W1432"/>
  <c r="V1432"/>
  <c r="M1406"/>
  <c r="O1406"/>
  <c r="Q1406"/>
  <c r="S1406"/>
  <c r="U1406"/>
  <c r="K1406"/>
  <c r="W1406"/>
  <c r="V1406"/>
  <c r="M1385"/>
  <c r="O1385"/>
  <c r="V1385"/>
  <c r="W1385"/>
  <c r="K1385"/>
  <c r="V1379"/>
  <c r="W1379"/>
  <c r="K1379"/>
  <c r="W1366"/>
  <c r="V1366"/>
  <c r="M1254"/>
  <c r="O1254"/>
  <c r="Q1254"/>
  <c r="S1254"/>
  <c r="U1254"/>
  <c r="V1254"/>
  <c r="W1254"/>
  <c r="K1254"/>
  <c r="Q1242"/>
  <c r="U1242"/>
  <c r="N1242"/>
  <c r="O1242"/>
  <c r="S1242"/>
  <c r="V1242"/>
  <c r="W1242"/>
  <c r="L1242"/>
  <c r="M1242"/>
  <c r="W11" i="118" l="1"/>
  <c r="V249" i="119" s="1"/>
  <c r="T249"/>
  <c r="K1242" i="115" l="1"/>
  <c r="M1188"/>
  <c r="O1188"/>
  <c r="Q1188"/>
  <c r="S1188"/>
  <c r="U1188"/>
  <c r="V1188"/>
  <c r="W1188"/>
  <c r="K1188"/>
  <c r="V1173"/>
  <c r="W1173"/>
  <c r="K1173"/>
  <c r="M973"/>
  <c r="O973"/>
  <c r="Q973"/>
  <c r="S973"/>
  <c r="U973"/>
  <c r="V973"/>
  <c r="W973"/>
  <c r="K973"/>
  <c r="M925"/>
  <c r="O925"/>
  <c r="Q925"/>
  <c r="S925"/>
  <c r="U925"/>
  <c r="V925"/>
  <c r="W925"/>
  <c r="K925"/>
  <c r="M906"/>
  <c r="O906"/>
  <c r="Q906"/>
  <c r="S906"/>
  <c r="U906"/>
  <c r="V906"/>
  <c r="W906"/>
  <c r="K906"/>
  <c r="M877"/>
  <c r="O877"/>
  <c r="Q877"/>
  <c r="S877"/>
  <c r="U877"/>
  <c r="V877"/>
  <c r="W877"/>
  <c r="K877"/>
  <c r="M855"/>
  <c r="O855"/>
  <c r="Q855"/>
  <c r="S855"/>
  <c r="U855"/>
  <c r="M827"/>
  <c r="O827"/>
  <c r="Q827"/>
  <c r="S827"/>
  <c r="U827"/>
  <c r="V827"/>
  <c r="W827"/>
  <c r="K827"/>
  <c r="M712"/>
  <c r="K712"/>
  <c r="M686"/>
  <c r="V686"/>
  <c r="W686"/>
  <c r="K686"/>
  <c r="M673"/>
  <c r="O673"/>
  <c r="Q673"/>
  <c r="S673"/>
  <c r="U673"/>
  <c r="V673"/>
  <c r="W673"/>
  <c r="K673"/>
  <c r="M663"/>
  <c r="O663"/>
  <c r="Q663"/>
  <c r="S663"/>
  <c r="U663"/>
  <c r="V663"/>
  <c r="W663"/>
  <c r="K663"/>
  <c r="M654"/>
  <c r="O654"/>
  <c r="Q654"/>
  <c r="V654"/>
  <c r="W654"/>
  <c r="K654"/>
  <c r="M592"/>
  <c r="O592"/>
  <c r="Q592"/>
  <c r="S592"/>
  <c r="U592"/>
  <c r="V592"/>
  <c r="W592"/>
  <c r="K592"/>
  <c r="M526"/>
  <c r="O526"/>
  <c r="Q526"/>
  <c r="S526"/>
  <c r="U526"/>
  <c r="K526"/>
  <c r="Q519"/>
  <c r="M519"/>
  <c r="O519"/>
  <c r="S519"/>
  <c r="U519"/>
  <c r="K519"/>
  <c r="V285"/>
  <c r="W285"/>
  <c r="K285"/>
  <c r="L264"/>
  <c r="N264" s="1"/>
  <c r="P264" s="1"/>
  <c r="R264" s="1"/>
  <c r="T264" s="1"/>
  <c r="L265"/>
  <c r="N265" s="1"/>
  <c r="P265" s="1"/>
  <c r="R265" s="1"/>
  <c r="T265" s="1"/>
  <c r="L266"/>
  <c r="N266" s="1"/>
  <c r="P266" s="1"/>
  <c r="R266" s="1"/>
  <c r="T266" s="1"/>
  <c r="L267"/>
  <c r="N267" s="1"/>
  <c r="P267" s="1"/>
  <c r="R267" s="1"/>
  <c r="T267" s="1"/>
  <c r="L268"/>
  <c r="N268" s="1"/>
  <c r="P268" s="1"/>
  <c r="R268" s="1"/>
  <c r="T268" s="1"/>
  <c r="L269"/>
  <c r="N269" s="1"/>
  <c r="P269" s="1"/>
  <c r="R269" s="1"/>
  <c r="T269" s="1"/>
  <c r="L272"/>
  <c r="N272" s="1"/>
  <c r="P272" s="1"/>
  <c r="R272" s="1"/>
  <c r="T272" s="1"/>
  <c r="L273"/>
  <c r="N273" s="1"/>
  <c r="P273" s="1"/>
  <c r="R273" s="1"/>
  <c r="T273" s="1"/>
  <c r="L275"/>
  <c r="N275" s="1"/>
  <c r="P275" s="1"/>
  <c r="R275" s="1"/>
  <c r="T275" s="1"/>
  <c r="L276"/>
  <c r="N276" s="1"/>
  <c r="P276" s="1"/>
  <c r="R276" s="1"/>
  <c r="T276" s="1"/>
  <c r="L277"/>
  <c r="N277" s="1"/>
  <c r="P277" s="1"/>
  <c r="R277" s="1"/>
  <c r="T277" s="1"/>
  <c r="L278"/>
  <c r="N278" s="1"/>
  <c r="P278" s="1"/>
  <c r="R278" s="1"/>
  <c r="T278" s="1"/>
  <c r="L279"/>
  <c r="N279" s="1"/>
  <c r="P279" s="1"/>
  <c r="R279" s="1"/>
  <c r="T279" s="1"/>
  <c r="L280"/>
  <c r="N280" s="1"/>
  <c r="P280" s="1"/>
  <c r="R280" s="1"/>
  <c r="T280" s="1"/>
  <c r="L281"/>
  <c r="N281" s="1"/>
  <c r="P281" s="1"/>
  <c r="R281" s="1"/>
  <c r="T281" s="1"/>
  <c r="L283"/>
  <c r="N283" s="1"/>
  <c r="P283" s="1"/>
  <c r="R283" s="1"/>
  <c r="T283" s="1"/>
  <c r="L284"/>
  <c r="N284" s="1"/>
  <c r="P284" s="1"/>
  <c r="R284" s="1"/>
  <c r="T284" s="1"/>
  <c r="U1080"/>
  <c r="U1362"/>
  <c r="T1361"/>
  <c r="T1359"/>
  <c r="T1358"/>
  <c r="U1352"/>
  <c r="T1352"/>
  <c r="U1340"/>
  <c r="T1339"/>
  <c r="U1334"/>
  <c r="T1334"/>
  <c r="U1319"/>
  <c r="U1318"/>
  <c r="U1317"/>
  <c r="U1177"/>
  <c r="U1135"/>
  <c r="U1018"/>
  <c r="U773"/>
  <c r="U756" s="1"/>
  <c r="U751"/>
  <c r="U746" s="1"/>
  <c r="U731"/>
  <c r="U723" s="1"/>
  <c r="T651"/>
  <c r="T652" s="1"/>
  <c r="U431"/>
  <c r="U428" s="1"/>
  <c r="U406"/>
  <c r="U405" s="1"/>
  <c r="U396"/>
  <c r="U394" s="1"/>
  <c r="U382" s="1"/>
  <c r="U152"/>
  <c r="U119"/>
  <c r="U91"/>
  <c r="U73"/>
  <c r="T71"/>
  <c r="T43"/>
  <c r="T42"/>
  <c r="U30"/>
  <c r="U29"/>
  <c r="U26"/>
  <c r="U13"/>
  <c r="U12"/>
  <c r="K1430"/>
  <c r="K1409"/>
  <c r="S1362"/>
  <c r="Q1362"/>
  <c r="O1362"/>
  <c r="M1362"/>
  <c r="K1362"/>
  <c r="R1361"/>
  <c r="P1361"/>
  <c r="N1361"/>
  <c r="L1361"/>
  <c r="J1361"/>
  <c r="R1359"/>
  <c r="P1359"/>
  <c r="N1359"/>
  <c r="L1359"/>
  <c r="J1359"/>
  <c r="I1359"/>
  <c r="H1359"/>
  <c r="R1358"/>
  <c r="P1358"/>
  <c r="N1358"/>
  <c r="L1358"/>
  <c r="J1358"/>
  <c r="I1358"/>
  <c r="H1358"/>
  <c r="H1356"/>
  <c r="L1355"/>
  <c r="S1352"/>
  <c r="R1352"/>
  <c r="Q1352"/>
  <c r="P1352"/>
  <c r="O1352"/>
  <c r="N1352"/>
  <c r="M1352"/>
  <c r="L1352"/>
  <c r="I1351"/>
  <c r="H1351"/>
  <c r="J1350"/>
  <c r="I1350"/>
  <c r="H1350"/>
  <c r="J1349"/>
  <c r="I1349"/>
  <c r="H1349"/>
  <c r="J1347"/>
  <c r="I1347"/>
  <c r="H1347"/>
  <c r="M1345"/>
  <c r="O1345" s="1"/>
  <c r="Q1345" s="1"/>
  <c r="S1345" s="1"/>
  <c r="U1345" s="1"/>
  <c r="M1344"/>
  <c r="O1344" s="1"/>
  <c r="Q1344" s="1"/>
  <c r="S1344" s="1"/>
  <c r="U1344" s="1"/>
  <c r="M1343"/>
  <c r="O1343" s="1"/>
  <c r="Q1343" s="1"/>
  <c r="S1343" s="1"/>
  <c r="U1343" s="1"/>
  <c r="M1342"/>
  <c r="O1342" s="1"/>
  <c r="Q1342" s="1"/>
  <c r="S1342" s="1"/>
  <c r="U1342" s="1"/>
  <c r="M1341"/>
  <c r="O1341" s="1"/>
  <c r="Q1341" s="1"/>
  <c r="S1341" s="1"/>
  <c r="U1341" s="1"/>
  <c r="S1340"/>
  <c r="Q1340"/>
  <c r="O1340"/>
  <c r="M1340"/>
  <c r="R1339"/>
  <c r="N1339"/>
  <c r="L1339"/>
  <c r="J1339"/>
  <c r="I1339"/>
  <c r="H1339"/>
  <c r="S1334"/>
  <c r="R1334"/>
  <c r="Q1334"/>
  <c r="P1334"/>
  <c r="O1334"/>
  <c r="N1334"/>
  <c r="M1334"/>
  <c r="L1334"/>
  <c r="J1334"/>
  <c r="I1334"/>
  <c r="H1334"/>
  <c r="S1319"/>
  <c r="Q1319"/>
  <c r="O1319"/>
  <c r="M1319"/>
  <c r="K1319"/>
  <c r="S1318"/>
  <c r="Q1318"/>
  <c r="O1318"/>
  <c r="M1318"/>
  <c r="S1317"/>
  <c r="Q1317"/>
  <c r="O1317"/>
  <c r="M1317"/>
  <c r="K1366" l="1"/>
  <c r="U1138"/>
  <c r="U1109"/>
  <c r="K1432"/>
  <c r="W1486"/>
  <c r="V1486"/>
  <c r="U804"/>
  <c r="U439"/>
  <c r="Q1384"/>
  <c r="L1384"/>
  <c r="N1384" s="1"/>
  <c r="P1384" s="1"/>
  <c r="R1384" s="1"/>
  <c r="T1384" s="1"/>
  <c r="Q1373"/>
  <c r="S1373" s="1"/>
  <c r="U1373" s="1"/>
  <c r="Q1371"/>
  <c r="M1370"/>
  <c r="S1369"/>
  <c r="O1369"/>
  <c r="S1313"/>
  <c r="U1313" s="1"/>
  <c r="M1310"/>
  <c r="O1310" s="1"/>
  <c r="Q1310" s="1"/>
  <c r="S1310" s="1"/>
  <c r="U1310" s="1"/>
  <c r="M1306"/>
  <c r="O1306" s="1"/>
  <c r="Q1306" s="1"/>
  <c r="Q1305"/>
  <c r="O1259"/>
  <c r="S1294"/>
  <c r="U1294" s="1"/>
  <c r="O1288"/>
  <c r="Q1288" s="1"/>
  <c r="S1288" s="1"/>
  <c r="U1288" s="1"/>
  <c r="M1288"/>
  <c r="S1286"/>
  <c r="U1286" s="1"/>
  <c r="M1286"/>
  <c r="O1370" l="1"/>
  <c r="Q1370" s="1"/>
  <c r="M1379"/>
  <c r="S1384"/>
  <c r="Q1385"/>
  <c r="M1366"/>
  <c r="Q1259"/>
  <c r="O1366"/>
  <c r="U1369"/>
  <c r="K1480"/>
  <c r="K1476"/>
  <c r="K1471"/>
  <c r="K1470"/>
  <c r="K1436"/>
  <c r="K1467" s="1"/>
  <c r="S773"/>
  <c r="S756" s="1"/>
  <c r="U388" i="119" s="1"/>
  <c r="Q773" i="115"/>
  <c r="Q756" s="1"/>
  <c r="S388" i="119" s="1"/>
  <c r="O773" i="115"/>
  <c r="O756" s="1"/>
  <c r="Q388" i="119" s="1"/>
  <c r="K804" i="115"/>
  <c r="S751"/>
  <c r="S746" s="1"/>
  <c r="U383" i="119" s="1"/>
  <c r="Q751" i="115"/>
  <c r="Q746" s="1"/>
  <c r="S383" i="119" s="1"/>
  <c r="O751" i="115"/>
  <c r="O746" s="1"/>
  <c r="Q383" i="119" s="1"/>
  <c r="M751" i="115"/>
  <c r="M746" s="1"/>
  <c r="O383" i="119" s="1"/>
  <c r="S731" i="115"/>
  <c r="S723" s="1"/>
  <c r="U374" i="119" s="1"/>
  <c r="Q731" i="115"/>
  <c r="Q723" s="1"/>
  <c r="S374" i="119" s="1"/>
  <c r="O731" i="115"/>
  <c r="O723" s="1"/>
  <c r="Q374" i="119" s="1"/>
  <c r="M731" i="115"/>
  <c r="M723" s="1"/>
  <c r="O374" i="119" s="1"/>
  <c r="W388" l="1"/>
  <c r="W374"/>
  <c r="W383"/>
  <c r="O1379" i="115"/>
  <c r="K1481"/>
  <c r="S1259"/>
  <c r="Q1366"/>
  <c r="U1384"/>
  <c r="U1385" s="1"/>
  <c r="S1385"/>
  <c r="S1370"/>
  <c r="Q1379"/>
  <c r="O804"/>
  <c r="Q804"/>
  <c r="S804"/>
  <c r="M804"/>
  <c r="S1177"/>
  <c r="Q1177"/>
  <c r="O1177"/>
  <c r="M1177"/>
  <c r="M1176"/>
  <c r="M1175" l="1"/>
  <c r="M1180"/>
  <c r="U1370"/>
  <c r="U1379" s="1"/>
  <c r="S1379"/>
  <c r="U1259"/>
  <c r="U1366" s="1"/>
  <c r="S1366"/>
  <c r="O1176"/>
  <c r="M1150"/>
  <c r="M1140" s="1"/>
  <c r="O577" i="119" s="1"/>
  <c r="O584" l="1"/>
  <c r="O662" i="126"/>
  <c r="O559" i="125"/>
  <c r="O1180" i="115"/>
  <c r="O1175"/>
  <c r="O1150"/>
  <c r="O1140" s="1"/>
  <c r="Q577" i="119" s="1"/>
  <c r="M1173" i="115"/>
  <c r="Q1176"/>
  <c r="K1137"/>
  <c r="S1135"/>
  <c r="Q1135"/>
  <c r="O1135"/>
  <c r="M1135"/>
  <c r="K1135"/>
  <c r="K1132"/>
  <c r="K1125"/>
  <c r="K1119"/>
  <c r="K1118"/>
  <c r="K1117"/>
  <c r="K1112"/>
  <c r="K1111"/>
  <c r="L1110"/>
  <c r="N1110" s="1"/>
  <c r="P1110" s="1"/>
  <c r="R1110" s="1"/>
  <c r="T1110" s="1"/>
  <c r="K1110"/>
  <c r="Q584" i="119" l="1"/>
  <c r="Q559" i="125"/>
  <c r="Q662" i="126"/>
  <c r="Q1180" i="115"/>
  <c r="Q1175"/>
  <c r="M1138"/>
  <c r="M1109"/>
  <c r="S1138"/>
  <c r="S1109"/>
  <c r="O1138"/>
  <c r="O1109"/>
  <c r="Q1138"/>
  <c r="Q1109"/>
  <c r="K1109"/>
  <c r="Q1150"/>
  <c r="Q1140" s="1"/>
  <c r="S577" i="119" s="1"/>
  <c r="O1173" i="115"/>
  <c r="S1176"/>
  <c r="K1138"/>
  <c r="M1080"/>
  <c r="U558" i="119" l="1"/>
  <c r="U518" i="126"/>
  <c r="U9" s="1"/>
  <c r="U535" i="125"/>
  <c r="Q558" i="119"/>
  <c r="Q518" i="126"/>
  <c r="Q9" s="1"/>
  <c r="Q535" i="125"/>
  <c r="Q9" s="1"/>
  <c r="O558" i="119"/>
  <c r="O535" i="125"/>
  <c r="O9" s="1"/>
  <c r="O518" i="126"/>
  <c r="O9" s="1"/>
  <c r="S558" i="119"/>
  <c r="S535" i="125"/>
  <c r="S518" i="126"/>
  <c r="S9" s="1"/>
  <c r="S584" i="119"/>
  <c r="S662" i="126"/>
  <c r="S559" i="125"/>
  <c r="M558" i="119"/>
  <c r="M518" i="126"/>
  <c r="M535" i="125"/>
  <c r="M1066" i="115"/>
  <c r="S1180"/>
  <c r="S1175"/>
  <c r="S1150"/>
  <c r="S1140" s="1"/>
  <c r="U577" i="119" s="1"/>
  <c r="W577" s="1"/>
  <c r="Q1173" i="115"/>
  <c r="U1176"/>
  <c r="X10"/>
  <c r="X24"/>
  <c r="X116"/>
  <c r="X162"/>
  <c r="X195"/>
  <c r="X257"/>
  <c r="X287"/>
  <c r="X297"/>
  <c r="X306"/>
  <c r="X310"/>
  <c r="X315"/>
  <c r="X333"/>
  <c r="X344"/>
  <c r="X364"/>
  <c r="X374"/>
  <c r="X382"/>
  <c r="X390"/>
  <c r="X402"/>
  <c r="X405"/>
  <c r="X428"/>
  <c r="X441"/>
  <c r="X452"/>
  <c r="X455"/>
  <c r="X458"/>
  <c r="X461"/>
  <c r="X481"/>
  <c r="X496"/>
  <c r="X502"/>
  <c r="X506"/>
  <c r="X511"/>
  <c r="X521"/>
  <c r="X522"/>
  <c r="X523"/>
  <c r="X528"/>
  <c r="X532"/>
  <c r="X552"/>
  <c r="X556"/>
  <c r="X571"/>
  <c r="X594"/>
  <c r="X611"/>
  <c r="X627"/>
  <c r="X639"/>
  <c r="X642"/>
  <c r="X647"/>
  <c r="X649"/>
  <c r="X656"/>
  <c r="X661"/>
  <c r="X665"/>
  <c r="X675"/>
  <c r="X679"/>
  <c r="X688"/>
  <c r="X709"/>
  <c r="X714"/>
  <c r="X723"/>
  <c r="X739"/>
  <c r="X746"/>
  <c r="X756"/>
  <c r="X781"/>
  <c r="X784"/>
  <c r="X793"/>
  <c r="X798"/>
  <c r="X802"/>
  <c r="X806"/>
  <c r="X813"/>
  <c r="X819"/>
  <c r="X829"/>
  <c r="X844"/>
  <c r="X879"/>
  <c r="X888"/>
  <c r="X900"/>
  <c r="X908"/>
  <c r="X921"/>
  <c r="X927"/>
  <c r="X941"/>
  <c r="X950"/>
  <c r="X959"/>
  <c r="X963"/>
  <c r="X975"/>
  <c r="X986"/>
  <c r="X990"/>
  <c r="X1006"/>
  <c r="X1018"/>
  <c r="X1023"/>
  <c r="X1035"/>
  <c r="X1049"/>
  <c r="X1066"/>
  <c r="X1081"/>
  <c r="X1083"/>
  <c r="X1092"/>
  <c r="X1109"/>
  <c r="X1140"/>
  <c r="X1153"/>
  <c r="X1156"/>
  <c r="X1165"/>
  <c r="X1169"/>
  <c r="X1175"/>
  <c r="X1182"/>
  <c r="X1190"/>
  <c r="X1223"/>
  <c r="X1244"/>
  <c r="X1257"/>
  <c r="X1261"/>
  <c r="X1283"/>
  <c r="X1316"/>
  <c r="X1320"/>
  <c r="X1326"/>
  <c r="X1333"/>
  <c r="X1363"/>
  <c r="X1368"/>
  <c r="X1374"/>
  <c r="X1377"/>
  <c r="X1381"/>
  <c r="X1387"/>
  <c r="X1396"/>
  <c r="X1401"/>
  <c r="X1408"/>
  <c r="X1418"/>
  <c r="X1420"/>
  <c r="X1425"/>
  <c r="X1434"/>
  <c r="X1444"/>
  <c r="X1448"/>
  <c r="X1450"/>
  <c r="X1459"/>
  <c r="X1469"/>
  <c r="X1483"/>
  <c r="Q1048"/>
  <c r="S1048" s="1"/>
  <c r="U1048" s="1"/>
  <c r="Q1047"/>
  <c r="S1047" s="1"/>
  <c r="U1047" s="1"/>
  <c r="Q1046"/>
  <c r="S1046" s="1"/>
  <c r="U1046" s="1"/>
  <c r="K1045"/>
  <c r="Q1044"/>
  <c r="S1044" s="1"/>
  <c r="U1044" s="1"/>
  <c r="Q1043"/>
  <c r="S1043" s="1"/>
  <c r="U1043" s="1"/>
  <c r="Q1042"/>
  <c r="Q1039"/>
  <c r="S1039" s="1"/>
  <c r="U1039" s="1"/>
  <c r="Q1038"/>
  <c r="S1038" s="1"/>
  <c r="U1038" s="1"/>
  <c r="Q1037"/>
  <c r="S1037" s="1"/>
  <c r="U1037" s="1"/>
  <c r="Q1036"/>
  <c r="O1029"/>
  <c r="Q1029" s="1"/>
  <c r="O1027"/>
  <c r="B286"/>
  <c r="C287"/>
  <c r="D287"/>
  <c r="E287"/>
  <c r="F287"/>
  <c r="C297"/>
  <c r="D297"/>
  <c r="E297"/>
  <c r="F297"/>
  <c r="C306"/>
  <c r="D306"/>
  <c r="E306"/>
  <c r="F306"/>
  <c r="C310"/>
  <c r="D310"/>
  <c r="E310"/>
  <c r="F310"/>
  <c r="C315"/>
  <c r="D315"/>
  <c r="E315"/>
  <c r="F315"/>
  <c r="C333"/>
  <c r="D333"/>
  <c r="E333"/>
  <c r="F333"/>
  <c r="C344"/>
  <c r="D344"/>
  <c r="E344"/>
  <c r="F344"/>
  <c r="C364"/>
  <c r="D364"/>
  <c r="E364"/>
  <c r="F364"/>
  <c r="C374"/>
  <c r="D374"/>
  <c r="E374"/>
  <c r="F374"/>
  <c r="C382"/>
  <c r="D382"/>
  <c r="E382"/>
  <c r="F382"/>
  <c r="C390"/>
  <c r="D390"/>
  <c r="E390"/>
  <c r="F390"/>
  <c r="I394"/>
  <c r="K394"/>
  <c r="K382" s="1"/>
  <c r="M217" i="119" s="1"/>
  <c r="L394" i="115"/>
  <c r="L382" s="1"/>
  <c r="M394"/>
  <c r="M382" s="1"/>
  <c r="O217" i="119" s="1"/>
  <c r="O396" i="115"/>
  <c r="O382" s="1"/>
  <c r="Q217" i="119" s="1"/>
  <c r="Q396" i="115"/>
  <c r="Q382" s="1"/>
  <c r="S217" i="119" s="1"/>
  <c r="S396" i="115"/>
  <c r="S382" s="1"/>
  <c r="U217" i="119" s="1"/>
  <c r="C402" i="115"/>
  <c r="D402"/>
  <c r="E402"/>
  <c r="F402"/>
  <c r="O406"/>
  <c r="O405" s="1"/>
  <c r="Q168" i="119" s="1"/>
  <c r="Q406" i="115"/>
  <c r="Q405" s="1"/>
  <c r="S168" i="119" s="1"/>
  <c r="S406" i="115"/>
  <c r="S405" s="1"/>
  <c r="U168" i="119" s="1"/>
  <c r="C428" i="115"/>
  <c r="D428"/>
  <c r="E428"/>
  <c r="F428"/>
  <c r="K431"/>
  <c r="K428" s="1"/>
  <c r="M220" i="119" s="1"/>
  <c r="M431" i="115"/>
  <c r="M428" s="1"/>
  <c r="O220" i="119" s="1"/>
  <c r="O431" i="115"/>
  <c r="O428" s="1"/>
  <c r="Q220" i="119" s="1"/>
  <c r="Q428" i="115"/>
  <c r="S220" i="119" s="1"/>
  <c r="S428" i="115"/>
  <c r="U220" i="119" s="1"/>
  <c r="W558" l="1"/>
  <c r="S53" i="126"/>
  <c r="S10"/>
  <c r="S11" s="1"/>
  <c r="O63" i="125"/>
  <c r="O18" s="1"/>
  <c r="O10"/>
  <c r="O11" s="1"/>
  <c r="S9"/>
  <c r="U584" i="119"/>
  <c r="W584" s="1"/>
  <c r="U559" i="125"/>
  <c r="U9" s="1"/>
  <c r="U662" i="126"/>
  <c r="W662" s="1"/>
  <c r="W518"/>
  <c r="O53"/>
  <c r="O10"/>
  <c r="O11" s="1"/>
  <c r="Q10"/>
  <c r="Q11" s="1"/>
  <c r="AC13" s="1"/>
  <c r="Q53"/>
  <c r="W535" i="125"/>
  <c r="Q63"/>
  <c r="Q18" s="1"/>
  <c r="Q10"/>
  <c r="Q11" s="1"/>
  <c r="AC13" s="1"/>
  <c r="U53" i="126"/>
  <c r="U10"/>
  <c r="U11" s="1"/>
  <c r="Q1079" i="115"/>
  <c r="O1066"/>
  <c r="S1036"/>
  <c r="Q1035"/>
  <c r="S1042"/>
  <c r="Q1041"/>
  <c r="K1041"/>
  <c r="K1107" s="1"/>
  <c r="Q1027"/>
  <c r="Q1023" s="1"/>
  <c r="O1023"/>
  <c r="W217" i="119"/>
  <c r="W220"/>
  <c r="W168"/>
  <c r="U1180" i="115"/>
  <c r="U1175"/>
  <c r="O439"/>
  <c r="U1150"/>
  <c r="S1173"/>
  <c r="Q439"/>
  <c r="K439"/>
  <c r="S439"/>
  <c r="M439"/>
  <c r="S1018"/>
  <c r="Q1018"/>
  <c r="M1018"/>
  <c r="M1107" s="1"/>
  <c r="O481" i="119" s="1"/>
  <c r="O9" s="1"/>
  <c r="O10" s="1"/>
  <c r="O11" s="1"/>
  <c r="M2" i="115" s="1"/>
  <c r="M2" i="120" s="1"/>
  <c r="M481" i="119" l="1"/>
  <c r="M464" i="126"/>
  <c r="M478" i="125"/>
  <c r="AC11" i="126"/>
  <c r="AC17" s="1"/>
  <c r="U63" i="125"/>
  <c r="U18" s="1"/>
  <c r="U10"/>
  <c r="U11" s="1"/>
  <c r="O684"/>
  <c r="O685"/>
  <c r="U1" s="1"/>
  <c r="S63"/>
  <c r="S18" s="1"/>
  <c r="S10"/>
  <c r="S11" s="1"/>
  <c r="W559"/>
  <c r="Q685"/>
  <c r="Q684"/>
  <c r="S1079" i="115"/>
  <c r="Q1066"/>
  <c r="Q1107" s="1"/>
  <c r="S481" i="119" s="1"/>
  <c r="U1036" i="115"/>
  <c r="U1035" s="1"/>
  <c r="S1035"/>
  <c r="U1042"/>
  <c r="U1041" s="1"/>
  <c r="S1041"/>
  <c r="U1140"/>
  <c r="U1173" s="1"/>
  <c r="O1018"/>
  <c r="Q981"/>
  <c r="Q975" s="1"/>
  <c r="O979"/>
  <c r="O975" s="1"/>
  <c r="W464" i="126" l="1"/>
  <c r="M9"/>
  <c r="W478" i="125"/>
  <c r="M9"/>
  <c r="AC11"/>
  <c r="AC20" s="1"/>
  <c r="S685"/>
  <c r="S684"/>
  <c r="U684"/>
  <c r="U685"/>
  <c r="O1107" i="115"/>
  <c r="Q481" i="119" s="1"/>
  <c r="U1107" i="115"/>
  <c r="S1066"/>
  <c r="S1107" s="1"/>
  <c r="U481" i="119" s="1"/>
  <c r="U1079" i="115"/>
  <c r="U1489"/>
  <c r="K840"/>
  <c r="K836"/>
  <c r="K831"/>
  <c r="K830"/>
  <c r="B856"/>
  <c r="C857"/>
  <c r="D857"/>
  <c r="E857"/>
  <c r="C864"/>
  <c r="D864"/>
  <c r="E864"/>
  <c r="O685"/>
  <c r="Q685" s="1"/>
  <c r="S685" s="1"/>
  <c r="U685" s="1"/>
  <c r="O684"/>
  <c r="Q684" s="1"/>
  <c r="S684" s="1"/>
  <c r="U684" s="1"/>
  <c r="O683"/>
  <c r="Q683" s="1"/>
  <c r="S683" s="1"/>
  <c r="U683" s="1"/>
  <c r="O682"/>
  <c r="Q682" s="1"/>
  <c r="S682" s="1"/>
  <c r="U682" s="1"/>
  <c r="O681"/>
  <c r="Q681" s="1"/>
  <c r="S681" s="1"/>
  <c r="U681" s="1"/>
  <c r="O680"/>
  <c r="O678"/>
  <c r="Q678" s="1"/>
  <c r="S678" s="1"/>
  <c r="U678" s="1"/>
  <c r="O677"/>
  <c r="Q677" s="1"/>
  <c r="S677" s="1"/>
  <c r="U677" s="1"/>
  <c r="O676"/>
  <c r="O708"/>
  <c r="Q708" s="1"/>
  <c r="S708" s="1"/>
  <c r="U708" s="1"/>
  <c r="O707"/>
  <c r="Q707" s="1"/>
  <c r="S707" s="1"/>
  <c r="U707" s="1"/>
  <c r="O711"/>
  <c r="Q711" s="1"/>
  <c r="S711" s="1"/>
  <c r="U711" s="1"/>
  <c r="O706"/>
  <c r="Q706" s="1"/>
  <c r="S706" s="1"/>
  <c r="U706" s="1"/>
  <c r="O705"/>
  <c r="Q705" s="1"/>
  <c r="S705" s="1"/>
  <c r="U705" s="1"/>
  <c r="O703"/>
  <c r="Q703" s="1"/>
  <c r="S703" s="1"/>
  <c r="U703" s="1"/>
  <c r="O702"/>
  <c r="Q702" s="1"/>
  <c r="S702" s="1"/>
  <c r="U702" s="1"/>
  <c r="O701"/>
  <c r="Q701" s="1"/>
  <c r="S701" s="1"/>
  <c r="U701" s="1"/>
  <c r="O700"/>
  <c r="Q700" s="1"/>
  <c r="S700" s="1"/>
  <c r="U700" s="1"/>
  <c r="O699"/>
  <c r="Q699" s="1"/>
  <c r="S699" s="1"/>
  <c r="U699" s="1"/>
  <c r="O698"/>
  <c r="Q698" s="1"/>
  <c r="S698" s="1"/>
  <c r="U698" s="1"/>
  <c r="O697"/>
  <c r="Q697" s="1"/>
  <c r="S697" s="1"/>
  <c r="U697" s="1"/>
  <c r="O696"/>
  <c r="Q696" s="1"/>
  <c r="S696" s="1"/>
  <c r="U696" s="1"/>
  <c r="O695"/>
  <c r="Q695" s="1"/>
  <c r="S695" s="1"/>
  <c r="U695" s="1"/>
  <c r="O690"/>
  <c r="Q690" s="1"/>
  <c r="S690" s="1"/>
  <c r="U690" s="1"/>
  <c r="O689"/>
  <c r="O710"/>
  <c r="R651"/>
  <c r="R652" s="1"/>
  <c r="P651"/>
  <c r="N651"/>
  <c r="N648"/>
  <c r="P648" s="1"/>
  <c r="R648" s="1"/>
  <c r="T648" s="1"/>
  <c r="J648"/>
  <c r="P607"/>
  <c r="R607" s="1"/>
  <c r="T607" s="1"/>
  <c r="P605"/>
  <c r="R605" s="1"/>
  <c r="T605" s="1"/>
  <c r="N604"/>
  <c r="P604" s="1"/>
  <c r="R604" s="1"/>
  <c r="T604" s="1"/>
  <c r="N602"/>
  <c r="P602" s="1"/>
  <c r="R602" s="1"/>
  <c r="T602" s="1"/>
  <c r="N601"/>
  <c r="P601" s="1"/>
  <c r="J601"/>
  <c r="N600"/>
  <c r="P600" s="1"/>
  <c r="R600" s="1"/>
  <c r="T600" s="1"/>
  <c r="J600"/>
  <c r="S599"/>
  <c r="R599"/>
  <c r="T599" s="1"/>
  <c r="J598"/>
  <c r="P597"/>
  <c r="R597" s="1"/>
  <c r="T597" s="1"/>
  <c r="J597"/>
  <c r="L596"/>
  <c r="C556"/>
  <c r="D556"/>
  <c r="E556"/>
  <c r="F556"/>
  <c r="L525"/>
  <c r="P513"/>
  <c r="R513" s="1"/>
  <c r="T513" s="1"/>
  <c r="T514" s="1"/>
  <c r="L513"/>
  <c r="L514" s="1"/>
  <c r="N514" s="1"/>
  <c r="P514" s="1"/>
  <c r="I512"/>
  <c r="I514" s="1"/>
  <c r="J514" s="1"/>
  <c r="O460"/>
  <c r="Q460" s="1"/>
  <c r="S460" s="1"/>
  <c r="U460" s="1"/>
  <c r="I460"/>
  <c r="J460" s="1"/>
  <c r="L460" s="1"/>
  <c r="N460" s="1"/>
  <c r="P460" s="1"/>
  <c r="R460" s="1"/>
  <c r="T460" s="1"/>
  <c r="R497"/>
  <c r="T497" s="1"/>
  <c r="Q496"/>
  <c r="S496" s="1"/>
  <c r="U496" s="1"/>
  <c r="P496"/>
  <c r="R496" s="1"/>
  <c r="T496" s="1"/>
  <c r="J496"/>
  <c r="L492"/>
  <c r="M489"/>
  <c r="I489"/>
  <c r="J489" s="1"/>
  <c r="L489" s="1"/>
  <c r="N489" s="1"/>
  <c r="P489" s="1"/>
  <c r="R489" s="1"/>
  <c r="T489" s="1"/>
  <c r="O488"/>
  <c r="Q488" s="1"/>
  <c r="S488" s="1"/>
  <c r="U488" s="1"/>
  <c r="I488"/>
  <c r="J488" s="1"/>
  <c r="L488" s="1"/>
  <c r="N488" s="1"/>
  <c r="P488" s="1"/>
  <c r="R488" s="1"/>
  <c r="T488" s="1"/>
  <c r="O487"/>
  <c r="Q487" s="1"/>
  <c r="S487" s="1"/>
  <c r="U487" s="1"/>
  <c r="N487"/>
  <c r="P487" s="1"/>
  <c r="R487" s="1"/>
  <c r="T487" s="1"/>
  <c r="I487"/>
  <c r="J487" s="1"/>
  <c r="F481"/>
  <c r="O486"/>
  <c r="Q486" s="1"/>
  <c r="S486" s="1"/>
  <c r="U486" s="1"/>
  <c r="N486"/>
  <c r="P486" s="1"/>
  <c r="R486" s="1"/>
  <c r="T486" s="1"/>
  <c r="J486"/>
  <c r="O480"/>
  <c r="Q480" s="1"/>
  <c r="S480" s="1"/>
  <c r="U480" s="1"/>
  <c r="N480"/>
  <c r="P480" s="1"/>
  <c r="R480" s="1"/>
  <c r="T480" s="1"/>
  <c r="O476"/>
  <c r="Q476" s="1"/>
  <c r="S476" s="1"/>
  <c r="U476" s="1"/>
  <c r="N476"/>
  <c r="P476" s="1"/>
  <c r="R476" s="1"/>
  <c r="T476" s="1"/>
  <c r="O475"/>
  <c r="Q475" s="1"/>
  <c r="S475" s="1"/>
  <c r="U475" s="1"/>
  <c r="N475"/>
  <c r="P475" s="1"/>
  <c r="R475" s="1"/>
  <c r="T475" s="1"/>
  <c r="I475"/>
  <c r="J475" s="1"/>
  <c r="Q474"/>
  <c r="S474" s="1"/>
  <c r="U474" s="1"/>
  <c r="P474"/>
  <c r="R474" s="1"/>
  <c r="T474" s="1"/>
  <c r="O473"/>
  <c r="Q473" s="1"/>
  <c r="S473" s="1"/>
  <c r="U473" s="1"/>
  <c r="J473"/>
  <c r="P472"/>
  <c r="R472" s="1"/>
  <c r="T472" s="1"/>
  <c r="O472"/>
  <c r="Q472" s="1"/>
  <c r="S472" s="1"/>
  <c r="U472" s="1"/>
  <c r="J472"/>
  <c r="L472" s="1"/>
  <c r="O471"/>
  <c r="Q471" s="1"/>
  <c r="S471" s="1"/>
  <c r="U471" s="1"/>
  <c r="I471"/>
  <c r="J471" s="1"/>
  <c r="L471" s="1"/>
  <c r="N471" s="1"/>
  <c r="P471" s="1"/>
  <c r="R471" s="1"/>
  <c r="T471" s="1"/>
  <c r="O470"/>
  <c r="Q470" s="1"/>
  <c r="S470" s="1"/>
  <c r="U470" s="1"/>
  <c r="N470"/>
  <c r="P470" s="1"/>
  <c r="R470" s="1"/>
  <c r="T470" s="1"/>
  <c r="I470"/>
  <c r="O469"/>
  <c r="Q469" s="1"/>
  <c r="S469" s="1"/>
  <c r="U469" s="1"/>
  <c r="I469"/>
  <c r="J469" s="1"/>
  <c r="L469" s="1"/>
  <c r="N469" s="1"/>
  <c r="P469" s="1"/>
  <c r="R469" s="1"/>
  <c r="T469" s="1"/>
  <c r="O468"/>
  <c r="Q468" s="1"/>
  <c r="S468" s="1"/>
  <c r="U468" s="1"/>
  <c r="N468"/>
  <c r="P468" s="1"/>
  <c r="R468" s="1"/>
  <c r="T468" s="1"/>
  <c r="I468"/>
  <c r="J468" s="1"/>
  <c r="O467"/>
  <c r="Q467" s="1"/>
  <c r="S467" s="1"/>
  <c r="U467" s="1"/>
  <c r="N467"/>
  <c r="N473" s="1"/>
  <c r="P473" s="1"/>
  <c r="R473" s="1"/>
  <c r="T473" s="1"/>
  <c r="J467"/>
  <c r="J466"/>
  <c r="O463"/>
  <c r="Q463" s="1"/>
  <c r="S463" s="1"/>
  <c r="U463" s="1"/>
  <c r="H463"/>
  <c r="O462"/>
  <c r="Q462" s="1"/>
  <c r="S462" s="1"/>
  <c r="U462" s="1"/>
  <c r="I462"/>
  <c r="J462" s="1"/>
  <c r="L462" s="1"/>
  <c r="N462" s="1"/>
  <c r="P462" s="1"/>
  <c r="R462" s="1"/>
  <c r="T462" s="1"/>
  <c r="P459"/>
  <c r="J459"/>
  <c r="O457"/>
  <c r="Q457" s="1"/>
  <c r="S457" s="1"/>
  <c r="U457" s="1"/>
  <c r="I457"/>
  <c r="J457" s="1"/>
  <c r="L457" s="1"/>
  <c r="N457" s="1"/>
  <c r="P457" s="1"/>
  <c r="R457" s="1"/>
  <c r="T457" s="1"/>
  <c r="Q456"/>
  <c r="S456" s="1"/>
  <c r="U456" s="1"/>
  <c r="P456"/>
  <c r="R456" s="1"/>
  <c r="T456" s="1"/>
  <c r="J456"/>
  <c r="J454"/>
  <c r="O453"/>
  <c r="Q453" s="1"/>
  <c r="S453" s="1"/>
  <c r="U453" s="1"/>
  <c r="N453"/>
  <c r="P453" s="1"/>
  <c r="R453" s="1"/>
  <c r="T453" s="1"/>
  <c r="J453"/>
  <c r="O451"/>
  <c r="N451"/>
  <c r="P451" s="1"/>
  <c r="R451" s="1"/>
  <c r="T451" s="1"/>
  <c r="J451"/>
  <c r="N450"/>
  <c r="P450" s="1"/>
  <c r="R450" s="1"/>
  <c r="T450" s="1"/>
  <c r="J450"/>
  <c r="L499"/>
  <c r="Q447"/>
  <c r="P447"/>
  <c r="R446"/>
  <c r="T446" s="1"/>
  <c r="N446"/>
  <c r="K445"/>
  <c r="K500" s="1"/>
  <c r="J445"/>
  <c r="S444"/>
  <c r="N443"/>
  <c r="P443" s="1"/>
  <c r="R443" s="1"/>
  <c r="T443" s="1"/>
  <c r="W9" i="126" l="1"/>
  <c r="M10"/>
  <c r="M11" s="1"/>
  <c r="M53"/>
  <c r="M63" i="125"/>
  <c r="M18" s="1"/>
  <c r="W9"/>
  <c r="M10"/>
  <c r="M11" s="1"/>
  <c r="W481" i="119"/>
  <c r="Q710" i="115"/>
  <c r="O709"/>
  <c r="Q353" i="119" s="1"/>
  <c r="Q680" i="115"/>
  <c r="O679"/>
  <c r="Q345" i="119" s="1"/>
  <c r="O688" i="115"/>
  <c r="Q361" i="119" s="1"/>
  <c r="O675" i="115"/>
  <c r="Q335" i="119" s="1"/>
  <c r="K829" i="115"/>
  <c r="M419" i="119" s="1"/>
  <c r="K855" i="115"/>
  <c r="K1486" s="1"/>
  <c r="U444"/>
  <c r="U599"/>
  <c r="U654" s="1"/>
  <c r="S654"/>
  <c r="O489"/>
  <c r="Q489" s="1"/>
  <c r="S489" s="1"/>
  <c r="U489" s="1"/>
  <c r="M500"/>
  <c r="Q689"/>
  <c r="Q688" s="1"/>
  <c r="S361" i="119" s="1"/>
  <c r="Q676" i="115"/>
  <c r="Q675" s="1"/>
  <c r="S335" i="119" s="1"/>
  <c r="Q451" i="115"/>
  <c r="S451" s="1"/>
  <c r="U451" s="1"/>
  <c r="R514"/>
  <c r="J512"/>
  <c r="L512" s="1"/>
  <c r="N512" s="1"/>
  <c r="P512" s="1"/>
  <c r="R512" s="1"/>
  <c r="T512" s="1"/>
  <c r="P467"/>
  <c r="R467" s="1"/>
  <c r="T467" s="1"/>
  <c r="I463"/>
  <c r="J463" s="1"/>
  <c r="L463" s="1"/>
  <c r="C441"/>
  <c r="D441"/>
  <c r="E441"/>
  <c r="F441"/>
  <c r="C452"/>
  <c r="D452"/>
  <c r="E452"/>
  <c r="F452"/>
  <c r="C455"/>
  <c r="D455"/>
  <c r="E455"/>
  <c r="F455"/>
  <c r="C458"/>
  <c r="D458"/>
  <c r="E458"/>
  <c r="F458"/>
  <c r="C461"/>
  <c r="D461"/>
  <c r="E461"/>
  <c r="F461"/>
  <c r="C465"/>
  <c r="D465"/>
  <c r="E465"/>
  <c r="F465"/>
  <c r="C479"/>
  <c r="D479"/>
  <c r="E479"/>
  <c r="F479"/>
  <c r="C481"/>
  <c r="D481"/>
  <c r="E481"/>
  <c r="C498"/>
  <c r="D498"/>
  <c r="F498"/>
  <c r="C502"/>
  <c r="D502"/>
  <c r="E502"/>
  <c r="F502"/>
  <c r="C506"/>
  <c r="D506"/>
  <c r="E506"/>
  <c r="F506"/>
  <c r="C511"/>
  <c r="D511"/>
  <c r="E511"/>
  <c r="F511"/>
  <c r="C521"/>
  <c r="D521"/>
  <c r="E521"/>
  <c r="F521"/>
  <c r="C522"/>
  <c r="D522"/>
  <c r="E522"/>
  <c r="F522"/>
  <c r="C523"/>
  <c r="D523"/>
  <c r="E523"/>
  <c r="F523"/>
  <c r="B527"/>
  <c r="C528"/>
  <c r="D528"/>
  <c r="E528"/>
  <c r="F528"/>
  <c r="C532"/>
  <c r="D532"/>
  <c r="E532"/>
  <c r="F532"/>
  <c r="C552"/>
  <c r="D552"/>
  <c r="E552"/>
  <c r="F552"/>
  <c r="C594"/>
  <c r="D594"/>
  <c r="E594"/>
  <c r="F594"/>
  <c r="C611"/>
  <c r="D611"/>
  <c r="E611"/>
  <c r="F611"/>
  <c r="C627"/>
  <c r="D627"/>
  <c r="E627"/>
  <c r="F627"/>
  <c r="C639"/>
  <c r="D639"/>
  <c r="E639"/>
  <c r="F639"/>
  <c r="C642"/>
  <c r="D642"/>
  <c r="E642"/>
  <c r="F642"/>
  <c r="C647"/>
  <c r="D647"/>
  <c r="E647"/>
  <c r="F647"/>
  <c r="C649"/>
  <c r="D649"/>
  <c r="E649"/>
  <c r="F649"/>
  <c r="B655"/>
  <c r="C656"/>
  <c r="D656"/>
  <c r="E656"/>
  <c r="F656"/>
  <c r="C661"/>
  <c r="D661"/>
  <c r="E661"/>
  <c r="F661"/>
  <c r="B664"/>
  <c r="C665"/>
  <c r="D665"/>
  <c r="E665"/>
  <c r="F665"/>
  <c r="B674"/>
  <c r="C675"/>
  <c r="D675"/>
  <c r="E675"/>
  <c r="F675"/>
  <c r="C679"/>
  <c r="D679"/>
  <c r="E679"/>
  <c r="F679"/>
  <c r="B687"/>
  <c r="C688"/>
  <c r="D688"/>
  <c r="E688"/>
  <c r="F688"/>
  <c r="C709"/>
  <c r="D709"/>
  <c r="E709"/>
  <c r="F709"/>
  <c r="B713"/>
  <c r="C714"/>
  <c r="D714"/>
  <c r="E714"/>
  <c r="F714"/>
  <c r="C723"/>
  <c r="D723"/>
  <c r="E723"/>
  <c r="F723"/>
  <c r="C739"/>
  <c r="D739"/>
  <c r="E739"/>
  <c r="F739"/>
  <c r="C746"/>
  <c r="D746"/>
  <c r="E746"/>
  <c r="F746"/>
  <c r="C753"/>
  <c r="D753"/>
  <c r="E753"/>
  <c r="F753"/>
  <c r="S152"/>
  <c r="Q152"/>
  <c r="O152"/>
  <c r="M152"/>
  <c r="J148"/>
  <c r="L148" s="1"/>
  <c r="N148" s="1"/>
  <c r="P148" s="1"/>
  <c r="R148" s="1"/>
  <c r="T148" s="1"/>
  <c r="L147"/>
  <c r="N147" s="1"/>
  <c r="P147" s="1"/>
  <c r="R147" s="1"/>
  <c r="T147" s="1"/>
  <c r="J146"/>
  <c r="L146" s="1"/>
  <c r="L145"/>
  <c r="N145" s="1"/>
  <c r="P145" s="1"/>
  <c r="R145" s="1"/>
  <c r="T145" s="1"/>
  <c r="S91"/>
  <c r="Q91"/>
  <c r="O91"/>
  <c r="M91"/>
  <c r="M285" s="1"/>
  <c r="J86"/>
  <c r="L86" s="1"/>
  <c r="N86" s="1"/>
  <c r="P86" s="1"/>
  <c r="R86" s="1"/>
  <c r="T86" s="1"/>
  <c r="J85"/>
  <c r="L85" s="1"/>
  <c r="N85" s="1"/>
  <c r="P85" s="1"/>
  <c r="R85" s="1"/>
  <c r="T85" s="1"/>
  <c r="J84"/>
  <c r="L84" s="1"/>
  <c r="N84" s="1"/>
  <c r="P84" s="1"/>
  <c r="R84" s="1"/>
  <c r="T84" s="1"/>
  <c r="J82"/>
  <c r="L82" s="1"/>
  <c r="N82" s="1"/>
  <c r="P82" s="1"/>
  <c r="R82" s="1"/>
  <c r="T82" s="1"/>
  <c r="J81"/>
  <c r="L81" s="1"/>
  <c r="N81" s="1"/>
  <c r="P81" s="1"/>
  <c r="R81" s="1"/>
  <c r="T81" s="1"/>
  <c r="J80"/>
  <c r="L80" s="1"/>
  <c r="N80" s="1"/>
  <c r="P80" s="1"/>
  <c r="R80" s="1"/>
  <c r="T80" s="1"/>
  <c r="J79"/>
  <c r="L79" s="1"/>
  <c r="N79" s="1"/>
  <c r="P79" s="1"/>
  <c r="R79" s="1"/>
  <c r="T79" s="1"/>
  <c r="J180"/>
  <c r="L180" s="1"/>
  <c r="N180" s="1"/>
  <c r="P180" s="1"/>
  <c r="R180" s="1"/>
  <c r="T180" s="1"/>
  <c r="J179"/>
  <c r="L179" s="1"/>
  <c r="N179" s="1"/>
  <c r="P179" s="1"/>
  <c r="R179" s="1"/>
  <c r="T179" s="1"/>
  <c r="J178"/>
  <c r="L178" s="1"/>
  <c r="N178" s="1"/>
  <c r="P178" s="1"/>
  <c r="R178" s="1"/>
  <c r="T178" s="1"/>
  <c r="J177"/>
  <c r="L177" s="1"/>
  <c r="N177" s="1"/>
  <c r="P177" s="1"/>
  <c r="R177" s="1"/>
  <c r="T177" s="1"/>
  <c r="J176"/>
  <c r="L176" s="1"/>
  <c r="N176" s="1"/>
  <c r="P176" s="1"/>
  <c r="R176" s="1"/>
  <c r="T176" s="1"/>
  <c r="J241"/>
  <c r="L241" s="1"/>
  <c r="N241" s="1"/>
  <c r="P241" s="1"/>
  <c r="R241" s="1"/>
  <c r="T241" s="1"/>
  <c r="J240"/>
  <c r="L240" s="1"/>
  <c r="N240" s="1"/>
  <c r="P240" s="1"/>
  <c r="R240" s="1"/>
  <c r="T240" s="1"/>
  <c r="J239"/>
  <c r="L239" s="1"/>
  <c r="N239" s="1"/>
  <c r="P239" s="1"/>
  <c r="R239" s="1"/>
  <c r="T239" s="1"/>
  <c r="J238"/>
  <c r="L238" s="1"/>
  <c r="N238" s="1"/>
  <c r="P238" s="1"/>
  <c r="R238" s="1"/>
  <c r="T238" s="1"/>
  <c r="J237"/>
  <c r="L237" s="1"/>
  <c r="N237" s="1"/>
  <c r="P237" s="1"/>
  <c r="R237" s="1"/>
  <c r="T237" s="1"/>
  <c r="L217"/>
  <c r="N217" s="1"/>
  <c r="P217" s="1"/>
  <c r="R217" s="1"/>
  <c r="T217" s="1"/>
  <c r="L216"/>
  <c r="N216" s="1"/>
  <c r="P216" s="1"/>
  <c r="R216" s="1"/>
  <c r="T216" s="1"/>
  <c r="L215"/>
  <c r="N215" s="1"/>
  <c r="P215" s="1"/>
  <c r="R215" s="1"/>
  <c r="T215" s="1"/>
  <c r="L214"/>
  <c r="N214" s="1"/>
  <c r="P214" s="1"/>
  <c r="R214" s="1"/>
  <c r="T214" s="1"/>
  <c r="L213"/>
  <c r="N213" s="1"/>
  <c r="P213" s="1"/>
  <c r="R213" s="1"/>
  <c r="T213" s="1"/>
  <c r="L212"/>
  <c r="N212" s="1"/>
  <c r="P212" s="1"/>
  <c r="R212" s="1"/>
  <c r="T212" s="1"/>
  <c r="L211"/>
  <c r="N211" s="1"/>
  <c r="P211" s="1"/>
  <c r="R211" s="1"/>
  <c r="T211" s="1"/>
  <c r="J210"/>
  <c r="L210" s="1"/>
  <c r="N210" s="1"/>
  <c r="P210" s="1"/>
  <c r="R210" s="1"/>
  <c r="T210" s="1"/>
  <c r="J209"/>
  <c r="L209" s="1"/>
  <c r="N209" s="1"/>
  <c r="P209" s="1"/>
  <c r="R209" s="1"/>
  <c r="T209" s="1"/>
  <c r="J208"/>
  <c r="L208" s="1"/>
  <c r="N208" s="1"/>
  <c r="P208" s="1"/>
  <c r="R208" s="1"/>
  <c r="T208" s="1"/>
  <c r="J207"/>
  <c r="L207" s="1"/>
  <c r="N207" s="1"/>
  <c r="P207" s="1"/>
  <c r="R207" s="1"/>
  <c r="T207" s="1"/>
  <c r="J206"/>
  <c r="L206" s="1"/>
  <c r="N206" s="1"/>
  <c r="P206" s="1"/>
  <c r="R206" s="1"/>
  <c r="T206" s="1"/>
  <c r="L174"/>
  <c r="N174" s="1"/>
  <c r="P174" s="1"/>
  <c r="R174" s="1"/>
  <c r="T174" s="1"/>
  <c r="L136"/>
  <c r="N75"/>
  <c r="O75" s="1"/>
  <c r="S73"/>
  <c r="Q73"/>
  <c r="O73"/>
  <c r="R71"/>
  <c r="P71"/>
  <c r="N71"/>
  <c r="L71"/>
  <c r="L50"/>
  <c r="N50" s="1"/>
  <c r="P50" s="1"/>
  <c r="R50" s="1"/>
  <c r="T50" s="1"/>
  <c r="J49"/>
  <c r="L49" s="1"/>
  <c r="N49" s="1"/>
  <c r="P49" s="1"/>
  <c r="R49" s="1"/>
  <c r="T49" s="1"/>
  <c r="J48"/>
  <c r="L48" s="1"/>
  <c r="N48" s="1"/>
  <c r="P48" s="1"/>
  <c r="R48" s="1"/>
  <c r="T48" s="1"/>
  <c r="O133"/>
  <c r="L128"/>
  <c r="N128" s="1"/>
  <c r="P128" s="1"/>
  <c r="R128" s="1"/>
  <c r="T128" s="1"/>
  <c r="L123"/>
  <c r="N123" s="1"/>
  <c r="P123" s="1"/>
  <c r="R123" s="1"/>
  <c r="T123" s="1"/>
  <c r="J122"/>
  <c r="L122" s="1"/>
  <c r="N122" s="1"/>
  <c r="P122" s="1"/>
  <c r="R122" s="1"/>
  <c r="T122" s="1"/>
  <c r="J121"/>
  <c r="L121" s="1"/>
  <c r="N121" s="1"/>
  <c r="P121" s="1"/>
  <c r="R121" s="1"/>
  <c r="T121" s="1"/>
  <c r="J120"/>
  <c r="L120" s="1"/>
  <c r="N120" s="1"/>
  <c r="P120" s="1"/>
  <c r="R120" s="1"/>
  <c r="T120" s="1"/>
  <c r="R43"/>
  <c r="P43"/>
  <c r="N43"/>
  <c r="L43"/>
  <c r="R42"/>
  <c r="P42"/>
  <c r="N42"/>
  <c r="L42"/>
  <c r="L41"/>
  <c r="N41" s="1"/>
  <c r="P41" s="1"/>
  <c r="R41" s="1"/>
  <c r="T41" s="1"/>
  <c r="L40"/>
  <c r="N40" s="1"/>
  <c r="P40" s="1"/>
  <c r="R40" s="1"/>
  <c r="T40" s="1"/>
  <c r="L18"/>
  <c r="N18" s="1"/>
  <c r="P18" s="1"/>
  <c r="R18" s="1"/>
  <c r="T18" s="1"/>
  <c r="L17"/>
  <c r="N17" s="1"/>
  <c r="P17" s="1"/>
  <c r="R17" s="1"/>
  <c r="T17" s="1"/>
  <c r="J16"/>
  <c r="L16" s="1"/>
  <c r="N16" s="1"/>
  <c r="P16" s="1"/>
  <c r="R16" s="1"/>
  <c r="T16" s="1"/>
  <c r="S119"/>
  <c r="Q119"/>
  <c r="O119"/>
  <c r="O118"/>
  <c r="S30"/>
  <c r="Q30"/>
  <c r="O30"/>
  <c r="S29"/>
  <c r="Q29"/>
  <c r="O29"/>
  <c r="Q28"/>
  <c r="O28"/>
  <c r="S26"/>
  <c r="Q26"/>
  <c r="O26"/>
  <c r="S13"/>
  <c r="Q13"/>
  <c r="O13"/>
  <c r="S12"/>
  <c r="Q12"/>
  <c r="O12"/>
  <c r="W10" i="125" l="1"/>
  <c r="W63"/>
  <c r="W10" i="126"/>
  <c r="W53"/>
  <c r="M684" i="125"/>
  <c r="W18"/>
  <c r="M685"/>
  <c r="O686" i="115"/>
  <c r="Q9" i="119"/>
  <c r="Q10" s="1"/>
  <c r="Q11" s="1"/>
  <c r="W419"/>
  <c r="S680" i="115"/>
  <c r="Q679"/>
  <c r="S345" i="119" s="1"/>
  <c r="S710" i="115"/>
  <c r="Q709"/>
  <c r="S353" i="119" s="1"/>
  <c r="K1488" i="115"/>
  <c r="O712"/>
  <c r="O500"/>
  <c r="O285"/>
  <c r="S500"/>
  <c r="S689"/>
  <c r="S688" s="1"/>
  <c r="U361" i="119" s="1"/>
  <c r="W361" s="1"/>
  <c r="Q500" i="115"/>
  <c r="S676"/>
  <c r="S675" s="1"/>
  <c r="U335" i="119" s="1"/>
  <c r="W335" s="1"/>
  <c r="Q686" i="115"/>
  <c r="U500"/>
  <c r="L464"/>
  <c r="N464" s="1"/>
  <c r="N463"/>
  <c r="P463" s="1"/>
  <c r="R463" s="1"/>
  <c r="T463" s="1"/>
  <c r="P75"/>
  <c r="W685" i="125" l="1"/>
  <c r="W684"/>
  <c r="O2" i="115"/>
  <c r="O2" i="120" s="1"/>
  <c r="AC13" i="119"/>
  <c r="Q712" i="115"/>
  <c r="S9" i="119"/>
  <c r="S10" s="1"/>
  <c r="S11" s="1"/>
  <c r="Q2" i="115" s="1"/>
  <c r="Q2" i="120" s="1"/>
  <c r="U680" i="115"/>
  <c r="U679" s="1"/>
  <c r="S679"/>
  <c r="U345" i="119" s="1"/>
  <c r="W345" s="1"/>
  <c r="U710" i="115"/>
  <c r="U709" s="1"/>
  <c r="S709"/>
  <c r="U353" i="119" s="1"/>
  <c r="W353" s="1"/>
  <c r="O1486" i="115"/>
  <c r="O1488"/>
  <c r="O1491" s="1"/>
  <c r="U689"/>
  <c r="U676"/>
  <c r="S686"/>
  <c r="R75"/>
  <c r="T75" s="1"/>
  <c r="U75" s="1"/>
  <c r="Q75"/>
  <c r="U712" l="1"/>
  <c r="S712"/>
  <c r="U9" i="119"/>
  <c r="U686" i="115"/>
  <c r="Q285"/>
  <c r="Q1486" s="1"/>
  <c r="U285"/>
  <c r="S75"/>
  <c r="U10" i="119" l="1"/>
  <c r="U11" s="1"/>
  <c r="Q1488" i="115"/>
  <c r="Q1491" s="1"/>
  <c r="U1488"/>
  <c r="U1491" s="1"/>
  <c r="S285"/>
  <c r="S1486" s="1"/>
  <c r="U1486" s="1"/>
  <c r="C1169"/>
  <c r="D1169"/>
  <c r="E1169"/>
  <c r="F1169"/>
  <c r="S2" l="1"/>
  <c r="S2" i="120" s="1"/>
  <c r="AC11" i="119"/>
  <c r="AC16" s="1"/>
  <c r="S1488" i="115"/>
  <c r="S1491" s="1"/>
  <c r="A1487"/>
  <c r="C1425" l="1"/>
  <c r="D1425"/>
  <c r="E1425"/>
  <c r="F1425"/>
  <c r="C1418"/>
  <c r="D1418"/>
  <c r="E1418"/>
  <c r="F1418"/>
  <c r="F1483"/>
  <c r="E1483"/>
  <c r="D1483"/>
  <c r="C1483"/>
  <c r="B1482"/>
  <c r="F1469"/>
  <c r="E1469"/>
  <c r="D1469"/>
  <c r="C1469"/>
  <c r="B1468"/>
  <c r="F1434"/>
  <c r="E1434"/>
  <c r="D1434"/>
  <c r="C1434"/>
  <c r="F1448"/>
  <c r="E1448"/>
  <c r="D1448"/>
  <c r="C1448"/>
  <c r="F1444"/>
  <c r="E1444"/>
  <c r="D1444"/>
  <c r="C1444"/>
  <c r="F1450"/>
  <c r="E1450"/>
  <c r="D1450"/>
  <c r="C1450"/>
  <c r="F1459"/>
  <c r="E1459"/>
  <c r="D1459"/>
  <c r="C1459"/>
  <c r="B1433"/>
  <c r="F1420"/>
  <c r="E1420"/>
  <c r="D1420"/>
  <c r="C1420"/>
  <c r="F1408"/>
  <c r="E1408"/>
  <c r="D1408"/>
  <c r="C1408"/>
  <c r="B1407"/>
  <c r="F1396"/>
  <c r="E1396"/>
  <c r="D1396"/>
  <c r="C1396"/>
  <c r="F1401"/>
  <c r="E1401"/>
  <c r="D1401"/>
  <c r="C1401"/>
  <c r="F1387"/>
  <c r="E1387"/>
  <c r="D1387"/>
  <c r="C1387"/>
  <c r="B1386"/>
  <c r="F1381"/>
  <c r="E1381"/>
  <c r="D1381"/>
  <c r="C1381"/>
  <c r="B1380"/>
  <c r="F1377"/>
  <c r="E1377"/>
  <c r="D1377"/>
  <c r="C1377"/>
  <c r="F1374"/>
  <c r="E1374"/>
  <c r="D1374"/>
  <c r="C1374"/>
  <c r="F1368"/>
  <c r="E1368"/>
  <c r="D1368"/>
  <c r="C1368"/>
  <c r="B1367"/>
  <c r="F1363"/>
  <c r="E1363"/>
  <c r="D1363"/>
  <c r="C1363"/>
  <c r="F1333"/>
  <c r="E1333"/>
  <c r="D1333"/>
  <c r="C1333"/>
  <c r="F1316"/>
  <c r="E1316"/>
  <c r="D1316"/>
  <c r="C1316"/>
  <c r="F1326"/>
  <c r="E1326"/>
  <c r="F1320"/>
  <c r="E1320"/>
  <c r="D1320"/>
  <c r="C1320"/>
  <c r="F1283"/>
  <c r="E1283"/>
  <c r="D1283"/>
  <c r="C1283"/>
  <c r="F1257"/>
  <c r="E1257"/>
  <c r="D1257"/>
  <c r="C1257"/>
  <c r="F1261"/>
  <c r="E1261"/>
  <c r="D1261"/>
  <c r="C1261"/>
  <c r="B1256"/>
  <c r="F1244"/>
  <c r="D1244"/>
  <c r="B1243"/>
  <c r="F1186"/>
  <c r="E1186"/>
  <c r="D1186"/>
  <c r="C1186"/>
  <c r="F1184"/>
  <c r="E1184"/>
  <c r="D1184"/>
  <c r="C1184"/>
  <c r="F1182"/>
  <c r="E1182"/>
  <c r="D1182"/>
  <c r="C1182"/>
  <c r="B1181"/>
  <c r="F1175"/>
  <c r="E1175"/>
  <c r="D1175"/>
  <c r="C1175"/>
  <c r="B1174"/>
  <c r="F888"/>
  <c r="E888"/>
  <c r="D888"/>
  <c r="C888"/>
  <c r="F879"/>
  <c r="E879"/>
  <c r="D879"/>
  <c r="C879"/>
  <c r="F900"/>
  <c r="E900"/>
  <c r="D900"/>
  <c r="C900"/>
  <c r="B878"/>
  <c r="F802"/>
  <c r="E802"/>
  <c r="D802"/>
  <c r="C802"/>
  <c r="F798"/>
  <c r="E798"/>
  <c r="D798"/>
  <c r="C798"/>
  <c r="F793"/>
  <c r="E793"/>
  <c r="D793"/>
  <c r="C793"/>
  <c r="F784"/>
  <c r="E784"/>
  <c r="D784"/>
  <c r="C784"/>
  <c r="F781"/>
  <c r="E781"/>
  <c r="D781"/>
  <c r="C781"/>
  <c r="F756"/>
  <c r="E756"/>
  <c r="D756"/>
  <c r="C756"/>
  <c r="F1165"/>
  <c r="E1165"/>
  <c r="D1165"/>
  <c r="C1165"/>
  <c r="F1140"/>
  <c r="E1140"/>
  <c r="D1140"/>
  <c r="C1140"/>
  <c r="F1153"/>
  <c r="E1153"/>
  <c r="D1153"/>
  <c r="C1153"/>
  <c r="F1156"/>
  <c r="E1156"/>
  <c r="D1156"/>
  <c r="C1156"/>
  <c r="B1139"/>
  <c r="F1006"/>
  <c r="E1006"/>
  <c r="D1006"/>
  <c r="C1006"/>
  <c r="F990"/>
  <c r="E990"/>
  <c r="D990"/>
  <c r="C990"/>
  <c r="F1018"/>
  <c r="E1018"/>
  <c r="D1018"/>
  <c r="C1018"/>
  <c r="F1049"/>
  <c r="E1049"/>
  <c r="D1049"/>
  <c r="C1049"/>
  <c r="F986"/>
  <c r="E986"/>
  <c r="D986"/>
  <c r="C986"/>
  <c r="F1023"/>
  <c r="E1023"/>
  <c r="D1023"/>
  <c r="C1023"/>
  <c r="F1066"/>
  <c r="E1066"/>
  <c r="D1066"/>
  <c r="C1066"/>
  <c r="F1051"/>
  <c r="E1051"/>
  <c r="D1051"/>
  <c r="C1051"/>
  <c r="F1041"/>
  <c r="E1041"/>
  <c r="D1041"/>
  <c r="C1041"/>
  <c r="F1035"/>
  <c r="E1035"/>
  <c r="D1035"/>
  <c r="C1035"/>
  <c r="F975"/>
  <c r="E975"/>
  <c r="D975"/>
  <c r="C975"/>
  <c r="F1092"/>
  <c r="E1092"/>
  <c r="D1092"/>
  <c r="C1092"/>
  <c r="F1081"/>
  <c r="E1081"/>
  <c r="D1081"/>
  <c r="C1081"/>
  <c r="F1083"/>
  <c r="E1083"/>
  <c r="D1083"/>
  <c r="C1083"/>
  <c r="B974"/>
  <c r="F950"/>
  <c r="D950"/>
  <c r="C950"/>
  <c r="F927"/>
  <c r="D927"/>
  <c r="C927"/>
  <c r="F941"/>
  <c r="D941"/>
  <c r="C941"/>
  <c r="F959"/>
  <c r="D959"/>
  <c r="C959"/>
  <c r="F963"/>
  <c r="D963"/>
  <c r="C963"/>
  <c r="B926"/>
  <c r="F1223"/>
  <c r="E1223"/>
  <c r="D1223"/>
  <c r="C1223"/>
  <c r="F1237"/>
  <c r="E1237"/>
  <c r="D1237"/>
  <c r="C1237"/>
  <c r="F1190"/>
  <c r="E1190"/>
  <c r="D1190"/>
  <c r="C1190"/>
  <c r="B1189"/>
  <c r="F1109"/>
  <c r="E1109"/>
  <c r="D1109"/>
  <c r="C1109"/>
  <c r="B1108"/>
  <c r="F819"/>
  <c r="E819"/>
  <c r="D819"/>
  <c r="C819"/>
  <c r="F813"/>
  <c r="E813"/>
  <c r="D813"/>
  <c r="C813"/>
  <c r="F806"/>
  <c r="E806"/>
  <c r="D806"/>
  <c r="C806"/>
  <c r="B805"/>
  <c r="F829"/>
  <c r="E829"/>
  <c r="D829"/>
  <c r="C829"/>
  <c r="F844"/>
  <c r="E844"/>
  <c r="D844"/>
  <c r="C844"/>
  <c r="B828"/>
  <c r="F921"/>
  <c r="E921"/>
  <c r="D921"/>
  <c r="C921"/>
  <c r="F908"/>
  <c r="E908"/>
  <c r="D908"/>
  <c r="C908"/>
  <c r="B907"/>
  <c r="F162"/>
  <c r="E162"/>
  <c r="D162"/>
  <c r="C162"/>
  <c r="F116"/>
  <c r="E116"/>
  <c r="D116"/>
  <c r="C116"/>
  <c r="F24"/>
  <c r="E24"/>
  <c r="D24"/>
  <c r="C24"/>
  <c r="F257"/>
  <c r="E257"/>
  <c r="D257"/>
  <c r="C257"/>
  <c r="F195"/>
  <c r="E195"/>
  <c r="D195"/>
  <c r="C195"/>
  <c r="F10"/>
  <c r="E10"/>
  <c r="D10"/>
  <c r="C10"/>
  <c r="B9"/>
  <c r="V4"/>
  <c r="R4"/>
  <c r="P4"/>
  <c r="N4"/>
  <c r="L4"/>
  <c r="J4"/>
  <c r="I4"/>
  <c r="H4"/>
  <c r="C4"/>
  <c r="X3"/>
  <c r="V3"/>
  <c r="T3"/>
  <c r="J3"/>
  <c r="H3"/>
  <c r="C3"/>
  <c r="B3"/>
  <c r="W74" i="86"/>
  <c r="V74"/>
  <c r="U74"/>
  <c r="T74"/>
  <c r="S74"/>
  <c r="R74"/>
  <c r="Q74"/>
  <c r="P74"/>
  <c r="Q85" i="90"/>
  <c r="W47"/>
  <c r="W42"/>
  <c r="Q40"/>
  <c r="P40"/>
  <c r="Q39"/>
  <c r="P39"/>
  <c r="Q11"/>
  <c r="P11"/>
  <c r="Q10"/>
  <c r="P10"/>
  <c r="J506" i="119" l="1"/>
  <c r="K507"/>
  <c r="V520"/>
  <c r="V510"/>
  <c r="J507"/>
  <c r="K506"/>
  <c r="K425"/>
  <c r="J290"/>
  <c r="K291"/>
  <c r="K290"/>
  <c r="J291"/>
  <c r="D405" i="115"/>
  <c r="C405"/>
  <c r="F405"/>
  <c r="E405"/>
  <c r="W66" i="83"/>
  <c r="Q37" i="88" l="1"/>
  <c r="U36"/>
  <c r="R95" i="119" s="1"/>
  <c r="S36" i="88"/>
  <c r="Q36"/>
  <c r="K95" i="119" s="1"/>
  <c r="R37" i="88" l="1"/>
  <c r="L96" i="119" s="1"/>
  <c r="K96"/>
  <c r="S37" i="88"/>
  <c r="W37" i="83"/>
  <c r="V37"/>
  <c r="U37"/>
  <c r="T37"/>
  <c r="S37"/>
  <c r="R37"/>
  <c r="Q37"/>
  <c r="P37"/>
  <c r="T37" i="88" l="1"/>
  <c r="P96" i="119" s="1"/>
  <c r="W44" i="83"/>
  <c r="W43"/>
  <c r="U37" i="88" l="1"/>
  <c r="R96" i="119" s="1"/>
  <c r="V37" i="88" l="1"/>
  <c r="T96" i="119" s="1"/>
  <c r="W37" i="88" l="1"/>
  <c r="V96" i="119" s="1"/>
  <c r="D2" i="92" l="1"/>
  <c r="F2"/>
  <c r="G3" i="91"/>
  <c r="E3"/>
  <c r="P85" i="88" l="1"/>
  <c r="J144" i="119" s="1"/>
  <c r="Q74" i="88"/>
  <c r="K136" i="119" s="1"/>
  <c r="P74" i="88"/>
  <c r="J136" i="119" s="1"/>
  <c r="Q73" i="88"/>
  <c r="K135" i="119" s="1"/>
  <c r="P73" i="88"/>
  <c r="J135" i="119" s="1"/>
  <c r="Q60" i="88"/>
  <c r="K126" i="119" s="1"/>
  <c r="P60" i="88"/>
  <c r="J126" i="119" s="1"/>
  <c r="Q59" i="88"/>
  <c r="K125" i="119" s="1"/>
  <c r="P35" i="88"/>
  <c r="J94" i="119" s="1"/>
  <c r="P25" i="88"/>
  <c r="J73" i="119" s="1"/>
  <c r="P17" i="88"/>
  <c r="J60" i="119" s="1"/>
  <c r="P16" i="88"/>
  <c r="J59" i="119" s="1"/>
  <c r="W101" i="83" l="1"/>
  <c r="X100"/>
  <c r="W91"/>
  <c r="W78" l="1"/>
  <c r="W80"/>
  <c r="W97"/>
  <c r="X101"/>
  <c r="M1486" i="115" l="1"/>
  <c r="M1488" l="1"/>
  <c r="M1491" s="1"/>
  <c r="K286" i="120"/>
  <c r="K728" s="1"/>
  <c r="M67" i="119"/>
  <c r="M9" s="1"/>
  <c r="M10" l="1"/>
  <c r="M11" s="1"/>
  <c r="K2" i="115" s="1"/>
  <c r="K2" i="120" s="1"/>
  <c r="W67" i="119"/>
  <c r="K730" i="120"/>
  <c r="W9" i="119"/>
  <c r="W10" s="1"/>
</calcChain>
</file>

<file path=xl/comments1.xml><?xml version="1.0" encoding="utf-8"?>
<comments xmlns="http://schemas.openxmlformats.org/spreadsheetml/2006/main">
  <authors>
    <author>TMG141</author>
    <author>Dian</author>
    <author>IT Zone</author>
  </authors>
  <commentList>
    <comment ref="L42" authorId="0">
      <text>
        <r>
          <rPr>
            <b/>
            <sz val="9"/>
            <color indexed="81"/>
            <rFont val="Tahoma"/>
            <family val="2"/>
          </rPr>
          <t>TMG141:</t>
        </r>
        <r>
          <rPr>
            <sz val="9"/>
            <color indexed="81"/>
            <rFont val="Tahoma"/>
            <family val="2"/>
          </rPr>
          <t xml:space="preserve">
Siswa</t>
        </r>
      </text>
    </comment>
    <comment ref="L43" authorId="0">
      <text>
        <r>
          <rPr>
            <b/>
            <sz val="9"/>
            <color indexed="81"/>
            <rFont val="Tahoma"/>
            <family val="2"/>
          </rPr>
          <t>TMG141:</t>
        </r>
        <r>
          <rPr>
            <sz val="9"/>
            <color indexed="81"/>
            <rFont val="Tahoma"/>
            <family val="2"/>
          </rPr>
          <t xml:space="preserve">
Siswa</t>
        </r>
      </text>
    </comment>
    <comment ref="L44" authorId="0">
      <text>
        <r>
          <rPr>
            <b/>
            <sz val="9"/>
            <color indexed="81"/>
            <rFont val="Tahoma"/>
            <family val="2"/>
          </rPr>
          <t>TMG141:</t>
        </r>
        <r>
          <rPr>
            <sz val="9"/>
            <color indexed="81"/>
            <rFont val="Tahoma"/>
            <family val="2"/>
          </rPr>
          <t xml:space="preserve">
Sekolah</t>
        </r>
      </text>
    </comment>
    <comment ref="L45" authorId="0">
      <text>
        <r>
          <rPr>
            <b/>
            <sz val="9"/>
            <color indexed="81"/>
            <rFont val="Tahoma"/>
            <family val="2"/>
          </rPr>
          <t>TMG141:</t>
        </r>
        <r>
          <rPr>
            <sz val="9"/>
            <color indexed="81"/>
            <rFont val="Tahoma"/>
            <family val="2"/>
          </rPr>
          <t xml:space="preserve">
Sekolah</t>
        </r>
      </text>
    </comment>
    <comment ref="L46" authorId="0">
      <text>
        <r>
          <rPr>
            <b/>
            <sz val="9"/>
            <color indexed="81"/>
            <rFont val="Tahoma"/>
            <family val="2"/>
          </rPr>
          <t>TMG141:</t>
        </r>
        <r>
          <rPr>
            <sz val="9"/>
            <color indexed="81"/>
            <rFont val="Tahoma"/>
            <family val="2"/>
          </rPr>
          <t xml:space="preserve">
Sekolah</t>
        </r>
      </text>
    </comment>
    <comment ref="L51" authorId="0">
      <text>
        <r>
          <rPr>
            <b/>
            <sz val="9"/>
            <color indexed="81"/>
            <rFont val="Tahoma"/>
            <family val="2"/>
          </rPr>
          <t>TMG141:</t>
        </r>
        <r>
          <rPr>
            <sz val="9"/>
            <color indexed="81"/>
            <rFont val="Tahoma"/>
            <family val="2"/>
          </rPr>
          <t xml:space="preserve">
Kegiatan</t>
        </r>
      </text>
    </comment>
    <comment ref="L52" authorId="0">
      <text>
        <r>
          <rPr>
            <b/>
            <sz val="9"/>
            <color indexed="81"/>
            <rFont val="Tahoma"/>
            <family val="2"/>
          </rPr>
          <t>TMG141:</t>
        </r>
        <r>
          <rPr>
            <sz val="9"/>
            <color indexed="81"/>
            <rFont val="Tahoma"/>
            <family val="2"/>
          </rPr>
          <t xml:space="preserve">
Mata Pelajaran</t>
        </r>
      </text>
    </comment>
    <comment ref="L53" authorId="0">
      <text>
        <r>
          <rPr>
            <b/>
            <sz val="9"/>
            <color indexed="81"/>
            <rFont val="Tahoma"/>
            <family val="2"/>
          </rPr>
          <t>TMG141:</t>
        </r>
        <r>
          <rPr>
            <sz val="9"/>
            <color indexed="81"/>
            <rFont val="Tahoma"/>
            <family val="2"/>
          </rPr>
          <t xml:space="preserve">
Kegiatan</t>
        </r>
      </text>
    </comment>
    <comment ref="L61" authorId="0">
      <text>
        <r>
          <rPr>
            <b/>
            <sz val="9"/>
            <color indexed="81"/>
            <rFont val="Tahoma"/>
            <family val="2"/>
          </rPr>
          <t>TMG141:</t>
        </r>
        <r>
          <rPr>
            <sz val="9"/>
            <color indexed="81"/>
            <rFont val="Tahoma"/>
            <family val="2"/>
          </rPr>
          <t xml:space="preserve">
Siswa</t>
        </r>
      </text>
    </comment>
    <comment ref="L62" authorId="0">
      <text>
        <r>
          <rPr>
            <b/>
            <sz val="9"/>
            <color indexed="81"/>
            <rFont val="Tahoma"/>
            <family val="2"/>
          </rPr>
          <t>TMG141:</t>
        </r>
        <r>
          <rPr>
            <sz val="9"/>
            <color indexed="81"/>
            <rFont val="Tahoma"/>
            <family val="2"/>
          </rPr>
          <t xml:space="preserve">
Sekolah</t>
        </r>
      </text>
    </comment>
    <comment ref="L129" authorId="0">
      <text>
        <r>
          <rPr>
            <b/>
            <sz val="9"/>
            <color indexed="81"/>
            <rFont val="Tahoma"/>
            <family val="2"/>
          </rPr>
          <t>TMG141:</t>
        </r>
        <r>
          <rPr>
            <sz val="9"/>
            <color indexed="81"/>
            <rFont val="Tahoma"/>
            <family val="2"/>
          </rPr>
          <t xml:space="preserve">
Siswa</t>
        </r>
      </text>
    </comment>
    <comment ref="L130" authorId="0">
      <text>
        <r>
          <rPr>
            <b/>
            <sz val="9"/>
            <color indexed="81"/>
            <rFont val="Tahoma"/>
            <family val="2"/>
          </rPr>
          <t>TMG141:</t>
        </r>
        <r>
          <rPr>
            <sz val="9"/>
            <color indexed="81"/>
            <rFont val="Tahoma"/>
            <family val="2"/>
          </rPr>
          <t xml:space="preserve">
Sekolah</t>
        </r>
      </text>
    </comment>
    <comment ref="L131" authorId="0">
      <text>
        <r>
          <rPr>
            <b/>
            <sz val="9"/>
            <color indexed="81"/>
            <rFont val="Tahoma"/>
            <family val="2"/>
          </rPr>
          <t>TMG141:</t>
        </r>
        <r>
          <rPr>
            <sz val="9"/>
            <color indexed="81"/>
            <rFont val="Tahoma"/>
            <family val="2"/>
          </rPr>
          <t xml:space="preserve">
Ruang Kelas Baru</t>
        </r>
      </text>
    </comment>
    <comment ref="L132" authorId="0">
      <text>
        <r>
          <rPr>
            <b/>
            <sz val="9"/>
            <color indexed="81"/>
            <rFont val="Tahoma"/>
            <family val="2"/>
          </rPr>
          <t>TMG141:</t>
        </r>
        <r>
          <rPr>
            <sz val="9"/>
            <color indexed="81"/>
            <rFont val="Tahoma"/>
            <family val="2"/>
          </rPr>
          <t xml:space="preserve">
Sekolah</t>
        </r>
      </text>
    </comment>
    <comment ref="N133" authorId="0">
      <text>
        <r>
          <rPr>
            <b/>
            <sz val="9"/>
            <color indexed="81"/>
            <rFont val="Tahoma"/>
            <family val="2"/>
          </rPr>
          <t>TMG141:</t>
        </r>
        <r>
          <rPr>
            <sz val="9"/>
            <color indexed="81"/>
            <rFont val="Tahoma"/>
            <family val="2"/>
          </rPr>
          <t xml:space="preserve">
meter persegi</t>
        </r>
      </text>
    </comment>
    <comment ref="L135" authorId="0">
      <text>
        <r>
          <rPr>
            <b/>
            <sz val="9"/>
            <color indexed="81"/>
            <rFont val="Tahoma"/>
            <family val="2"/>
          </rPr>
          <t>TMG141:</t>
        </r>
        <r>
          <rPr>
            <sz val="9"/>
            <color indexed="81"/>
            <rFont val="Tahoma"/>
            <family val="2"/>
          </rPr>
          <t xml:space="preserve">
10 Siswa, 3 katagori : Kab, Prov, Nas</t>
        </r>
      </text>
    </comment>
    <comment ref="L136" authorId="0">
      <text>
        <r>
          <rPr>
            <b/>
            <sz val="9"/>
            <color indexed="81"/>
            <rFont val="Tahoma"/>
            <family val="2"/>
          </rPr>
          <t>TMG141:</t>
        </r>
        <r>
          <rPr>
            <sz val="9"/>
            <color indexed="81"/>
            <rFont val="Tahoma"/>
            <family val="2"/>
          </rPr>
          <t xml:space="preserve">
3 siswa, 6 mapel, 3 katagori : Kab, Prov, Nas</t>
        </r>
      </text>
    </comment>
    <comment ref="L137" authorId="0">
      <text>
        <r>
          <rPr>
            <b/>
            <sz val="9"/>
            <color indexed="81"/>
            <rFont val="Tahoma"/>
            <family val="2"/>
          </rPr>
          <t>TMG141:</t>
        </r>
        <r>
          <rPr>
            <sz val="9"/>
            <color indexed="81"/>
            <rFont val="Tahoma"/>
            <family val="2"/>
          </rPr>
          <t xml:space="preserve">
Sekolah</t>
        </r>
      </text>
    </comment>
    <comment ref="L138" authorId="0">
      <text>
        <r>
          <rPr>
            <b/>
            <sz val="9"/>
            <color indexed="81"/>
            <rFont val="Tahoma"/>
            <family val="2"/>
          </rPr>
          <t>TMG141:</t>
        </r>
        <r>
          <rPr>
            <sz val="9"/>
            <color indexed="81"/>
            <rFont val="Tahoma"/>
            <family val="2"/>
          </rPr>
          <t xml:space="preserve">
Sekolah</t>
        </r>
      </text>
    </comment>
    <comment ref="L139" authorId="0">
      <text>
        <r>
          <rPr>
            <b/>
            <sz val="9"/>
            <color indexed="81"/>
            <rFont val="Tahoma"/>
            <family val="2"/>
          </rPr>
          <t>TMG141:</t>
        </r>
        <r>
          <rPr>
            <sz val="9"/>
            <color indexed="81"/>
            <rFont val="Tahoma"/>
            <family val="2"/>
          </rPr>
          <t xml:space="preserve">
Sekolah</t>
        </r>
      </text>
    </comment>
    <comment ref="L140" authorId="0">
      <text>
        <r>
          <rPr>
            <b/>
            <sz val="9"/>
            <color indexed="81"/>
            <rFont val="Tahoma"/>
            <family val="2"/>
          </rPr>
          <t>TMG141:</t>
        </r>
        <r>
          <rPr>
            <sz val="9"/>
            <color indexed="81"/>
            <rFont val="Tahoma"/>
            <family val="2"/>
          </rPr>
          <t xml:space="preserve">
Sekolah</t>
        </r>
      </text>
    </comment>
    <comment ref="L141" authorId="0">
      <text>
        <r>
          <rPr>
            <b/>
            <sz val="9"/>
            <color indexed="81"/>
            <rFont val="Tahoma"/>
            <family val="2"/>
          </rPr>
          <t>TMG141:</t>
        </r>
        <r>
          <rPr>
            <sz val="9"/>
            <color indexed="81"/>
            <rFont val="Tahoma"/>
            <family val="2"/>
          </rPr>
          <t xml:space="preserve">
Kegiatan</t>
        </r>
      </text>
    </comment>
    <comment ref="L142" authorId="0">
      <text>
        <r>
          <rPr>
            <b/>
            <sz val="9"/>
            <color indexed="81"/>
            <rFont val="Tahoma"/>
            <family val="2"/>
          </rPr>
          <t>TMG141:</t>
        </r>
        <r>
          <rPr>
            <sz val="9"/>
            <color indexed="81"/>
            <rFont val="Tahoma"/>
            <family val="2"/>
          </rPr>
          <t xml:space="preserve">
Sekolah</t>
        </r>
      </text>
    </comment>
    <comment ref="L143" authorId="0">
      <text>
        <r>
          <rPr>
            <b/>
            <sz val="9"/>
            <color indexed="81"/>
            <rFont val="Tahoma"/>
            <family val="2"/>
          </rPr>
          <t>TMG141:</t>
        </r>
        <r>
          <rPr>
            <sz val="9"/>
            <color indexed="81"/>
            <rFont val="Tahoma"/>
            <family val="2"/>
          </rPr>
          <t xml:space="preserve">
Kegiatan</t>
        </r>
      </text>
    </comment>
    <comment ref="L171" authorId="0">
      <text>
        <r>
          <rPr>
            <b/>
            <sz val="9"/>
            <color indexed="81"/>
            <rFont val="Tahoma"/>
            <family val="2"/>
          </rPr>
          <t>TMG141:</t>
        </r>
        <r>
          <rPr>
            <sz val="9"/>
            <color indexed="81"/>
            <rFont val="Tahoma"/>
            <family val="2"/>
          </rPr>
          <t xml:space="preserve">
Kelompok</t>
        </r>
      </text>
    </comment>
    <comment ref="L172" authorId="0">
      <text>
        <r>
          <rPr>
            <b/>
            <sz val="9"/>
            <color indexed="81"/>
            <rFont val="Tahoma"/>
            <family val="2"/>
          </rPr>
          <t>TMG141:</t>
        </r>
        <r>
          <rPr>
            <sz val="9"/>
            <color indexed="81"/>
            <rFont val="Tahoma"/>
            <family val="2"/>
          </rPr>
          <t xml:space="preserve">
PKBM</t>
        </r>
      </text>
    </comment>
    <comment ref="L186" authorId="0">
      <text>
        <r>
          <rPr>
            <b/>
            <sz val="9"/>
            <color indexed="81"/>
            <rFont val="Tahoma"/>
            <family val="2"/>
          </rPr>
          <t>TMG141:</t>
        </r>
        <r>
          <rPr>
            <sz val="9"/>
            <color indexed="81"/>
            <rFont val="Tahoma"/>
            <family val="2"/>
          </rPr>
          <t xml:space="preserve">
Kegiatan</t>
        </r>
      </text>
    </comment>
    <comment ref="L187" authorId="0">
      <text>
        <r>
          <rPr>
            <b/>
            <sz val="9"/>
            <color indexed="81"/>
            <rFont val="Tahoma"/>
            <family val="2"/>
          </rPr>
          <t>TMG141:</t>
        </r>
        <r>
          <rPr>
            <sz val="9"/>
            <color indexed="81"/>
            <rFont val="Tahoma"/>
            <family val="2"/>
          </rPr>
          <t xml:space="preserve">
Desa/lokasi</t>
        </r>
      </text>
    </comment>
    <comment ref="L188" authorId="0">
      <text>
        <r>
          <rPr>
            <b/>
            <sz val="9"/>
            <color indexed="81"/>
            <rFont val="Tahoma"/>
            <family val="2"/>
          </rPr>
          <t>TMG141:</t>
        </r>
        <r>
          <rPr>
            <sz val="9"/>
            <color indexed="81"/>
            <rFont val="Tahoma"/>
            <family val="2"/>
          </rPr>
          <t xml:space="preserve">
Kelompok</t>
        </r>
      </text>
    </comment>
    <comment ref="L189" authorId="0">
      <text>
        <r>
          <rPr>
            <b/>
            <sz val="9"/>
            <color indexed="81"/>
            <rFont val="Tahoma"/>
            <family val="2"/>
          </rPr>
          <t>TMG141:</t>
        </r>
        <r>
          <rPr>
            <sz val="9"/>
            <color indexed="81"/>
            <rFont val="Tahoma"/>
            <family val="2"/>
          </rPr>
          <t xml:space="preserve">
Desa/lokasi</t>
        </r>
      </text>
    </comment>
    <comment ref="L191" authorId="0">
      <text>
        <r>
          <rPr>
            <b/>
            <sz val="9"/>
            <color indexed="81"/>
            <rFont val="Tahoma"/>
            <family val="2"/>
          </rPr>
          <t>TMG141:</t>
        </r>
        <r>
          <rPr>
            <sz val="9"/>
            <color indexed="81"/>
            <rFont val="Tahoma"/>
            <family val="2"/>
          </rPr>
          <t xml:space="preserve">
Kelompok</t>
        </r>
      </text>
    </comment>
    <comment ref="L193" authorId="0">
      <text>
        <r>
          <rPr>
            <b/>
            <sz val="9"/>
            <color indexed="81"/>
            <rFont val="Tahoma"/>
            <family val="2"/>
          </rPr>
          <t>TMG141:</t>
        </r>
        <r>
          <rPr>
            <sz val="9"/>
            <color indexed="81"/>
            <rFont val="Tahoma"/>
            <family val="2"/>
          </rPr>
          <t xml:space="preserve">
Lembaga</t>
        </r>
      </text>
    </comment>
    <comment ref="L194" authorId="0">
      <text>
        <r>
          <rPr>
            <b/>
            <sz val="9"/>
            <color indexed="81"/>
            <rFont val="Tahoma"/>
            <family val="2"/>
          </rPr>
          <t>TMG141:</t>
        </r>
        <r>
          <rPr>
            <sz val="9"/>
            <color indexed="81"/>
            <rFont val="Tahoma"/>
            <family val="2"/>
          </rPr>
          <t xml:space="preserve">
Kegiatan</t>
        </r>
      </text>
    </comment>
    <comment ref="L196" authorId="0">
      <text>
        <r>
          <rPr>
            <b/>
            <sz val="9"/>
            <color indexed="81"/>
            <rFont val="Tahoma"/>
            <family val="2"/>
          </rPr>
          <t>TMG141:</t>
        </r>
        <r>
          <rPr>
            <sz val="9"/>
            <color indexed="81"/>
            <rFont val="Tahoma"/>
            <family val="2"/>
          </rPr>
          <t xml:space="preserve">
Sekolah</t>
        </r>
      </text>
    </comment>
    <comment ref="L197" authorId="0">
      <text>
        <r>
          <rPr>
            <b/>
            <sz val="9"/>
            <color indexed="81"/>
            <rFont val="Tahoma"/>
            <family val="2"/>
          </rPr>
          <t>TMG141:</t>
        </r>
        <r>
          <rPr>
            <sz val="9"/>
            <color indexed="81"/>
            <rFont val="Tahoma"/>
            <family val="2"/>
          </rPr>
          <t xml:space="preserve">
Sekolah</t>
        </r>
      </text>
    </comment>
    <comment ref="L222" authorId="0">
      <text>
        <r>
          <rPr>
            <b/>
            <sz val="9"/>
            <color indexed="81"/>
            <rFont val="Tahoma"/>
            <family val="2"/>
          </rPr>
          <t>TMG141:</t>
        </r>
        <r>
          <rPr>
            <sz val="9"/>
            <color indexed="81"/>
            <rFont val="Tahoma"/>
            <family val="2"/>
          </rPr>
          <t xml:space="preserve">
Orang</t>
        </r>
      </text>
    </comment>
    <comment ref="L223" authorId="0">
      <text>
        <r>
          <rPr>
            <b/>
            <sz val="9"/>
            <color indexed="81"/>
            <rFont val="Tahoma"/>
            <family val="2"/>
          </rPr>
          <t>TMG141:</t>
        </r>
        <r>
          <rPr>
            <sz val="9"/>
            <color indexed="81"/>
            <rFont val="Tahoma"/>
            <family val="2"/>
          </rPr>
          <t xml:space="preserve">
Orang</t>
        </r>
      </text>
    </comment>
    <comment ref="L224" authorId="0">
      <text>
        <r>
          <rPr>
            <b/>
            <sz val="9"/>
            <color indexed="81"/>
            <rFont val="Tahoma"/>
            <family val="2"/>
          </rPr>
          <t>TMG141:</t>
        </r>
        <r>
          <rPr>
            <sz val="9"/>
            <color indexed="81"/>
            <rFont val="Tahoma"/>
            <family val="2"/>
          </rPr>
          <t xml:space="preserve">
Orang</t>
        </r>
      </text>
    </comment>
    <comment ref="L225" authorId="0">
      <text>
        <r>
          <rPr>
            <b/>
            <sz val="9"/>
            <color indexed="81"/>
            <rFont val="Tahoma"/>
            <family val="2"/>
          </rPr>
          <t>TMG141:</t>
        </r>
        <r>
          <rPr>
            <sz val="9"/>
            <color indexed="81"/>
            <rFont val="Tahoma"/>
            <family val="2"/>
          </rPr>
          <t xml:space="preserve">
Orang</t>
        </r>
      </text>
    </comment>
    <comment ref="L226" authorId="0">
      <text>
        <r>
          <rPr>
            <b/>
            <sz val="9"/>
            <color indexed="81"/>
            <rFont val="Tahoma"/>
            <family val="2"/>
          </rPr>
          <t>TMG141:</t>
        </r>
        <r>
          <rPr>
            <sz val="9"/>
            <color indexed="81"/>
            <rFont val="Tahoma"/>
            <family val="2"/>
          </rPr>
          <t xml:space="preserve">
Orang</t>
        </r>
      </text>
    </comment>
    <comment ref="L227" authorId="0">
      <text>
        <r>
          <rPr>
            <b/>
            <sz val="9"/>
            <color indexed="81"/>
            <rFont val="Tahoma"/>
            <family val="2"/>
          </rPr>
          <t>TMG141:</t>
        </r>
        <r>
          <rPr>
            <sz val="9"/>
            <color indexed="81"/>
            <rFont val="Tahoma"/>
            <family val="2"/>
          </rPr>
          <t xml:space="preserve">
Orang</t>
        </r>
      </text>
    </comment>
    <comment ref="L228" authorId="0">
      <text>
        <r>
          <rPr>
            <b/>
            <sz val="9"/>
            <color indexed="81"/>
            <rFont val="Tahoma"/>
            <family val="2"/>
          </rPr>
          <t>TMG141:</t>
        </r>
        <r>
          <rPr>
            <sz val="9"/>
            <color indexed="81"/>
            <rFont val="Tahoma"/>
            <family val="2"/>
          </rPr>
          <t xml:space="preserve">
Orang</t>
        </r>
      </text>
    </comment>
    <comment ref="L229" authorId="0">
      <text>
        <r>
          <rPr>
            <b/>
            <sz val="9"/>
            <color indexed="81"/>
            <rFont val="Tahoma"/>
            <family val="2"/>
          </rPr>
          <t>TMG141:</t>
        </r>
        <r>
          <rPr>
            <sz val="9"/>
            <color indexed="81"/>
            <rFont val="Tahoma"/>
            <family val="2"/>
          </rPr>
          <t xml:space="preserve">
Orang</t>
        </r>
      </text>
    </comment>
    <comment ref="L230" authorId="0">
      <text>
        <r>
          <rPr>
            <b/>
            <sz val="9"/>
            <color indexed="81"/>
            <rFont val="Tahoma"/>
            <family val="2"/>
          </rPr>
          <t>TMG141:</t>
        </r>
        <r>
          <rPr>
            <sz val="9"/>
            <color indexed="81"/>
            <rFont val="Tahoma"/>
            <family val="2"/>
          </rPr>
          <t xml:space="preserve">
Orang</t>
        </r>
      </text>
    </comment>
    <comment ref="L231" authorId="0">
      <text>
        <r>
          <rPr>
            <b/>
            <sz val="9"/>
            <color indexed="81"/>
            <rFont val="Tahoma"/>
            <family val="2"/>
          </rPr>
          <t>TMG141:</t>
        </r>
        <r>
          <rPr>
            <sz val="9"/>
            <color indexed="81"/>
            <rFont val="Tahoma"/>
            <family val="2"/>
          </rPr>
          <t xml:space="preserve">
Orang</t>
        </r>
      </text>
    </comment>
    <comment ref="L232" authorId="0">
      <text>
        <r>
          <rPr>
            <b/>
            <sz val="9"/>
            <color indexed="81"/>
            <rFont val="Tahoma"/>
            <family val="2"/>
          </rPr>
          <t>TMG141:</t>
        </r>
        <r>
          <rPr>
            <sz val="9"/>
            <color indexed="81"/>
            <rFont val="Tahoma"/>
            <family val="2"/>
          </rPr>
          <t xml:space="preserve">
Orang</t>
        </r>
      </text>
    </comment>
    <comment ref="L233" authorId="0">
      <text>
        <r>
          <rPr>
            <b/>
            <sz val="9"/>
            <color indexed="81"/>
            <rFont val="Tahoma"/>
            <family val="2"/>
          </rPr>
          <t>TMG141:</t>
        </r>
        <r>
          <rPr>
            <sz val="9"/>
            <color indexed="81"/>
            <rFont val="Tahoma"/>
            <family val="2"/>
          </rPr>
          <t xml:space="preserve">
Orang</t>
        </r>
      </text>
    </comment>
    <comment ref="L234" authorId="0">
      <text>
        <r>
          <rPr>
            <b/>
            <sz val="9"/>
            <color indexed="81"/>
            <rFont val="Tahoma"/>
            <family val="2"/>
          </rPr>
          <t>TMG141:</t>
        </r>
        <r>
          <rPr>
            <sz val="9"/>
            <color indexed="81"/>
            <rFont val="Tahoma"/>
            <family val="2"/>
          </rPr>
          <t xml:space="preserve">
Orang</t>
        </r>
      </text>
    </comment>
    <comment ref="L242" authorId="0">
      <text>
        <r>
          <rPr>
            <b/>
            <sz val="9"/>
            <color indexed="81"/>
            <rFont val="Tahoma"/>
            <family val="2"/>
          </rPr>
          <t>TMG141:</t>
        </r>
        <r>
          <rPr>
            <sz val="9"/>
            <color indexed="81"/>
            <rFont val="Tahoma"/>
            <family val="2"/>
          </rPr>
          <t xml:space="preserve">
Maksudnya ???</t>
        </r>
      </text>
    </comment>
    <comment ref="N242" authorId="0">
      <text>
        <r>
          <rPr>
            <b/>
            <sz val="9"/>
            <color indexed="81"/>
            <rFont val="Tahoma"/>
            <family val="2"/>
          </rPr>
          <t>TMG141:</t>
        </r>
        <r>
          <rPr>
            <sz val="9"/>
            <color indexed="81"/>
            <rFont val="Tahoma"/>
            <family val="2"/>
          </rPr>
          <t xml:space="preserve">
Maksudnya ???</t>
        </r>
      </text>
    </comment>
    <comment ref="P242" authorId="0">
      <text>
        <r>
          <rPr>
            <b/>
            <sz val="9"/>
            <color indexed="81"/>
            <rFont val="Tahoma"/>
            <family val="2"/>
          </rPr>
          <t>TMG141:</t>
        </r>
        <r>
          <rPr>
            <sz val="9"/>
            <color indexed="81"/>
            <rFont val="Tahoma"/>
            <family val="2"/>
          </rPr>
          <t xml:space="preserve">
Maksudnya ???</t>
        </r>
      </text>
    </comment>
    <comment ref="R242" authorId="0">
      <text>
        <r>
          <rPr>
            <b/>
            <sz val="9"/>
            <color indexed="81"/>
            <rFont val="Tahoma"/>
            <family val="2"/>
          </rPr>
          <t>TMG141:</t>
        </r>
        <r>
          <rPr>
            <sz val="9"/>
            <color indexed="81"/>
            <rFont val="Tahoma"/>
            <family val="2"/>
          </rPr>
          <t xml:space="preserve">
Maksudnya ???</t>
        </r>
      </text>
    </comment>
    <comment ref="T242" authorId="0">
      <text>
        <r>
          <rPr>
            <b/>
            <sz val="9"/>
            <color indexed="81"/>
            <rFont val="Tahoma"/>
            <family val="2"/>
          </rPr>
          <t>TMG141:</t>
        </r>
        <r>
          <rPr>
            <sz val="9"/>
            <color indexed="81"/>
            <rFont val="Tahoma"/>
            <family val="2"/>
          </rPr>
          <t xml:space="preserve">
Maksudnya ???</t>
        </r>
      </text>
    </comment>
    <comment ref="G253" authorId="0">
      <text>
        <r>
          <rPr>
            <b/>
            <sz val="9"/>
            <color indexed="81"/>
            <rFont val="Tahoma"/>
            <family val="2"/>
          </rPr>
          <t>TMG141:</t>
        </r>
        <r>
          <rPr>
            <sz val="9"/>
            <color indexed="81"/>
            <rFont val="Tahoma"/>
            <family val="2"/>
          </rPr>
          <t xml:space="preserve">
PNS di sekolah negeri</t>
        </r>
      </text>
    </comment>
    <comment ref="G255" authorId="0">
      <text>
        <r>
          <rPr>
            <b/>
            <sz val="9"/>
            <color indexed="81"/>
            <rFont val="Tahoma"/>
            <family val="2"/>
          </rPr>
          <t>TMG141:</t>
        </r>
        <r>
          <rPr>
            <sz val="9"/>
            <color indexed="81"/>
            <rFont val="Tahoma"/>
            <family val="2"/>
          </rPr>
          <t xml:space="preserve">
Buku Kerja Pengawas Sekolah (Dit TK, Ditjen PMPTK Kemdiknas, 2010 halaman 13 :
"Sasaran pengawasan bagi pengawas sekolah untuk ekuivalensi dg 24 jam tatap muka per minggu : Pengawas  TK/SD minimal 10 sekolah (60 orang guru); Pengawas SMP, SMA, SMK minimal 7 sekolah (40 orang guru)".
Hanya sekolah (tidak termasuk madrasah)
Jumlah TK 313, SD 433, SMP 72, SMA 13, SMK 23
Pengawas TK/SD 43, SMP 4, SMA/SMK 3</t>
        </r>
      </text>
    </comment>
    <comment ref="G256" authorId="0">
      <text>
        <r>
          <rPr>
            <b/>
            <sz val="9"/>
            <color indexed="81"/>
            <rFont val="Tahoma"/>
            <family val="2"/>
          </rPr>
          <t>TMG141:</t>
        </r>
        <r>
          <rPr>
            <sz val="9"/>
            <color indexed="81"/>
            <rFont val="Tahoma"/>
            <family val="2"/>
          </rPr>
          <t xml:space="preserve">
Dari jumlah yang ada, sebanyak 1 orang akan pensiun per 1 Maret 2013
Kebutuhan : Kurang lebih 12 orang</t>
        </r>
      </text>
    </comment>
    <comment ref="G345" authorId="1">
      <text>
        <r>
          <rPr>
            <b/>
            <sz val="9"/>
            <color indexed="81"/>
            <rFont val="Tahoma"/>
            <family val="2"/>
          </rPr>
          <t>Dian:</t>
        </r>
        <r>
          <rPr>
            <sz val="9"/>
            <color indexed="81"/>
            <rFont val="Tahoma"/>
            <family val="2"/>
          </rPr>
          <t xml:space="preserve">
angka atau cakupan ?</t>
        </r>
      </text>
    </comment>
    <comment ref="G352" authorId="1">
      <text>
        <r>
          <rPr>
            <b/>
            <sz val="9"/>
            <color indexed="81"/>
            <rFont val="Tahoma"/>
            <family val="2"/>
          </rPr>
          <t>Dian:</t>
        </r>
        <r>
          <rPr>
            <sz val="9"/>
            <color indexed="81"/>
            <rFont val="Tahoma"/>
            <family val="2"/>
          </rPr>
          <t xml:space="preserve">
</t>
        </r>
        <r>
          <rPr>
            <sz val="10"/>
            <color indexed="81"/>
            <rFont val="Tahoma"/>
            <family val="2"/>
          </rPr>
          <t>indikator SPM yang terlewat belum dicantumkan</t>
        </r>
      </text>
    </comment>
    <comment ref="G961" authorId="2">
      <text>
        <r>
          <rPr>
            <b/>
            <sz val="9"/>
            <color indexed="81"/>
            <rFont val="Tahoma"/>
            <family val="2"/>
          </rPr>
          <t>IT Zone:</t>
        </r>
        <r>
          <rPr>
            <sz val="9"/>
            <color indexed="81"/>
            <rFont val="Tahoma"/>
            <family val="2"/>
          </rPr>
          <t xml:space="preserve">
</t>
        </r>
      </text>
    </comment>
  </commentList>
</comments>
</file>

<file path=xl/comments10.xml><?xml version="1.0" encoding="utf-8"?>
<comments xmlns="http://schemas.openxmlformats.org/spreadsheetml/2006/main">
  <authors>
    <author>win7</author>
  </authors>
  <commentList>
    <comment ref="Q261" authorId="0">
      <text>
        <r>
          <rPr>
            <sz val="14"/>
            <color indexed="81"/>
            <rFont val="Tahoma"/>
            <family val="2"/>
          </rPr>
          <t>anggaran ideal perbaikan jalan +/- 4,5M</t>
        </r>
        <r>
          <rPr>
            <sz val="9"/>
            <color indexed="81"/>
            <rFont val="Tahoma"/>
            <family val="2"/>
          </rPr>
          <t xml:space="preserve">
</t>
        </r>
      </text>
    </comment>
  </commentList>
</comments>
</file>

<file path=xl/comments11.xml><?xml version="1.0" encoding="utf-8"?>
<comments xmlns="http://schemas.openxmlformats.org/spreadsheetml/2006/main">
  <authors>
    <author>win7</author>
  </authors>
  <commentList>
    <comment ref="Q273" authorId="0">
      <text>
        <r>
          <rPr>
            <sz val="14"/>
            <color indexed="81"/>
            <rFont val="Tahoma"/>
            <family val="2"/>
          </rPr>
          <t>anggaran ideal perbaikan jalan +/- 4,5M</t>
        </r>
        <r>
          <rPr>
            <sz val="9"/>
            <color indexed="81"/>
            <rFont val="Tahoma"/>
            <family val="2"/>
          </rPr>
          <t xml:space="preserve">
</t>
        </r>
      </text>
    </comment>
  </commentList>
</comments>
</file>

<file path=xl/comments2.xml><?xml version="1.0" encoding="utf-8"?>
<comments xmlns="http://schemas.openxmlformats.org/spreadsheetml/2006/main">
  <authors>
    <author>TMG141</author>
  </authors>
  <commentList>
    <comment ref="L42" authorId="0">
      <text>
        <r>
          <rPr>
            <b/>
            <sz val="9"/>
            <color indexed="81"/>
            <rFont val="Tahoma"/>
            <family val="2"/>
          </rPr>
          <t>TMG141:</t>
        </r>
        <r>
          <rPr>
            <sz val="9"/>
            <color indexed="81"/>
            <rFont val="Tahoma"/>
            <family val="2"/>
          </rPr>
          <t xml:space="preserve">
Siswa</t>
        </r>
      </text>
    </comment>
    <comment ref="L43" authorId="0">
      <text>
        <r>
          <rPr>
            <b/>
            <sz val="9"/>
            <color indexed="81"/>
            <rFont val="Tahoma"/>
            <family val="2"/>
          </rPr>
          <t>TMG141:</t>
        </r>
        <r>
          <rPr>
            <sz val="9"/>
            <color indexed="81"/>
            <rFont val="Tahoma"/>
            <family val="2"/>
          </rPr>
          <t xml:space="preserve">
Siswa</t>
        </r>
      </text>
    </comment>
    <comment ref="L44" authorId="0">
      <text>
        <r>
          <rPr>
            <b/>
            <sz val="9"/>
            <color indexed="81"/>
            <rFont val="Tahoma"/>
            <family val="2"/>
          </rPr>
          <t>TMG141:</t>
        </r>
        <r>
          <rPr>
            <sz val="9"/>
            <color indexed="81"/>
            <rFont val="Tahoma"/>
            <family val="2"/>
          </rPr>
          <t xml:space="preserve">
Sekolah</t>
        </r>
      </text>
    </comment>
    <comment ref="L45" authorId="0">
      <text>
        <r>
          <rPr>
            <b/>
            <sz val="9"/>
            <color indexed="81"/>
            <rFont val="Tahoma"/>
            <family val="2"/>
          </rPr>
          <t>TMG141:</t>
        </r>
        <r>
          <rPr>
            <sz val="9"/>
            <color indexed="81"/>
            <rFont val="Tahoma"/>
            <family val="2"/>
          </rPr>
          <t xml:space="preserve">
Sekolah</t>
        </r>
      </text>
    </comment>
    <comment ref="L46" authorId="0">
      <text>
        <r>
          <rPr>
            <b/>
            <sz val="9"/>
            <color indexed="81"/>
            <rFont val="Tahoma"/>
            <family val="2"/>
          </rPr>
          <t>TMG141:</t>
        </r>
        <r>
          <rPr>
            <sz val="9"/>
            <color indexed="81"/>
            <rFont val="Tahoma"/>
            <family val="2"/>
          </rPr>
          <t xml:space="preserve">
Sekolah</t>
        </r>
      </text>
    </comment>
    <comment ref="L51" authorId="0">
      <text>
        <r>
          <rPr>
            <b/>
            <sz val="9"/>
            <color indexed="81"/>
            <rFont val="Tahoma"/>
            <family val="2"/>
          </rPr>
          <t>TMG141:</t>
        </r>
        <r>
          <rPr>
            <sz val="9"/>
            <color indexed="81"/>
            <rFont val="Tahoma"/>
            <family val="2"/>
          </rPr>
          <t xml:space="preserve">
Kegiatan</t>
        </r>
      </text>
    </comment>
    <comment ref="L52" authorId="0">
      <text>
        <r>
          <rPr>
            <b/>
            <sz val="9"/>
            <color indexed="81"/>
            <rFont val="Tahoma"/>
            <family val="2"/>
          </rPr>
          <t>TMG141:</t>
        </r>
        <r>
          <rPr>
            <sz val="9"/>
            <color indexed="81"/>
            <rFont val="Tahoma"/>
            <family val="2"/>
          </rPr>
          <t xml:space="preserve">
Mata Pelajaran</t>
        </r>
      </text>
    </comment>
    <comment ref="L53" authorId="0">
      <text>
        <r>
          <rPr>
            <b/>
            <sz val="9"/>
            <color indexed="81"/>
            <rFont val="Tahoma"/>
            <family val="2"/>
          </rPr>
          <t>TMG141:</t>
        </r>
        <r>
          <rPr>
            <sz val="9"/>
            <color indexed="81"/>
            <rFont val="Tahoma"/>
            <family val="2"/>
          </rPr>
          <t xml:space="preserve">
Kegiatan</t>
        </r>
      </text>
    </comment>
    <comment ref="L61" authorId="0">
      <text>
        <r>
          <rPr>
            <b/>
            <sz val="9"/>
            <color indexed="81"/>
            <rFont val="Tahoma"/>
            <family val="2"/>
          </rPr>
          <t>TMG141:</t>
        </r>
        <r>
          <rPr>
            <sz val="9"/>
            <color indexed="81"/>
            <rFont val="Tahoma"/>
            <family val="2"/>
          </rPr>
          <t xml:space="preserve">
Siswa</t>
        </r>
      </text>
    </comment>
    <comment ref="L62" authorId="0">
      <text>
        <r>
          <rPr>
            <b/>
            <sz val="9"/>
            <color indexed="81"/>
            <rFont val="Tahoma"/>
            <family val="2"/>
          </rPr>
          <t>TMG141:</t>
        </r>
        <r>
          <rPr>
            <sz val="9"/>
            <color indexed="81"/>
            <rFont val="Tahoma"/>
            <family val="2"/>
          </rPr>
          <t xml:space="preserve">
Sekolah</t>
        </r>
      </text>
    </comment>
    <comment ref="L129" authorId="0">
      <text>
        <r>
          <rPr>
            <b/>
            <sz val="9"/>
            <color indexed="81"/>
            <rFont val="Tahoma"/>
            <family val="2"/>
          </rPr>
          <t>TMG141:</t>
        </r>
        <r>
          <rPr>
            <sz val="9"/>
            <color indexed="81"/>
            <rFont val="Tahoma"/>
            <family val="2"/>
          </rPr>
          <t xml:space="preserve">
Siswa</t>
        </r>
      </text>
    </comment>
    <comment ref="L130" authorId="0">
      <text>
        <r>
          <rPr>
            <b/>
            <sz val="9"/>
            <color indexed="81"/>
            <rFont val="Tahoma"/>
            <family val="2"/>
          </rPr>
          <t>TMG141:</t>
        </r>
        <r>
          <rPr>
            <sz val="9"/>
            <color indexed="81"/>
            <rFont val="Tahoma"/>
            <family val="2"/>
          </rPr>
          <t xml:space="preserve">
Sekolah</t>
        </r>
      </text>
    </comment>
    <comment ref="L131" authorId="0">
      <text>
        <r>
          <rPr>
            <b/>
            <sz val="9"/>
            <color indexed="81"/>
            <rFont val="Tahoma"/>
            <family val="2"/>
          </rPr>
          <t>TMG141:</t>
        </r>
        <r>
          <rPr>
            <sz val="9"/>
            <color indexed="81"/>
            <rFont val="Tahoma"/>
            <family val="2"/>
          </rPr>
          <t xml:space="preserve">
Ruang Kelas Baru</t>
        </r>
      </text>
    </comment>
    <comment ref="L132" authorId="0">
      <text>
        <r>
          <rPr>
            <b/>
            <sz val="9"/>
            <color indexed="81"/>
            <rFont val="Tahoma"/>
            <family val="2"/>
          </rPr>
          <t>TMG141:</t>
        </r>
        <r>
          <rPr>
            <sz val="9"/>
            <color indexed="81"/>
            <rFont val="Tahoma"/>
            <family val="2"/>
          </rPr>
          <t xml:space="preserve">
Sekolah</t>
        </r>
      </text>
    </comment>
    <comment ref="N133" authorId="0">
      <text>
        <r>
          <rPr>
            <b/>
            <sz val="9"/>
            <color indexed="81"/>
            <rFont val="Tahoma"/>
            <family val="2"/>
          </rPr>
          <t>TMG141:</t>
        </r>
        <r>
          <rPr>
            <sz val="9"/>
            <color indexed="81"/>
            <rFont val="Tahoma"/>
            <family val="2"/>
          </rPr>
          <t xml:space="preserve">
meter persegi</t>
        </r>
      </text>
    </comment>
    <comment ref="L135" authorId="0">
      <text>
        <r>
          <rPr>
            <b/>
            <sz val="9"/>
            <color indexed="81"/>
            <rFont val="Tahoma"/>
            <family val="2"/>
          </rPr>
          <t>TMG141:</t>
        </r>
        <r>
          <rPr>
            <sz val="9"/>
            <color indexed="81"/>
            <rFont val="Tahoma"/>
            <family val="2"/>
          </rPr>
          <t xml:space="preserve">
10 Siswa, 3 katagori : Kab, Prov, Nas</t>
        </r>
      </text>
    </comment>
    <comment ref="L136" authorId="0">
      <text>
        <r>
          <rPr>
            <b/>
            <sz val="9"/>
            <color indexed="81"/>
            <rFont val="Tahoma"/>
            <family val="2"/>
          </rPr>
          <t>TMG141:</t>
        </r>
        <r>
          <rPr>
            <sz val="9"/>
            <color indexed="81"/>
            <rFont val="Tahoma"/>
            <family val="2"/>
          </rPr>
          <t xml:space="preserve">
3 siswa, 6 mapel, 3 katagori : Kab, Prov, Nas</t>
        </r>
      </text>
    </comment>
    <comment ref="L137" authorId="0">
      <text>
        <r>
          <rPr>
            <b/>
            <sz val="9"/>
            <color indexed="81"/>
            <rFont val="Tahoma"/>
            <family val="2"/>
          </rPr>
          <t>TMG141:</t>
        </r>
        <r>
          <rPr>
            <sz val="9"/>
            <color indexed="81"/>
            <rFont val="Tahoma"/>
            <family val="2"/>
          </rPr>
          <t xml:space="preserve">
Sekolah</t>
        </r>
      </text>
    </comment>
    <comment ref="L138" authorId="0">
      <text>
        <r>
          <rPr>
            <b/>
            <sz val="9"/>
            <color indexed="81"/>
            <rFont val="Tahoma"/>
            <family val="2"/>
          </rPr>
          <t>TMG141:</t>
        </r>
        <r>
          <rPr>
            <sz val="9"/>
            <color indexed="81"/>
            <rFont val="Tahoma"/>
            <family val="2"/>
          </rPr>
          <t xml:space="preserve">
Sekolah</t>
        </r>
      </text>
    </comment>
    <comment ref="L139" authorId="0">
      <text>
        <r>
          <rPr>
            <b/>
            <sz val="9"/>
            <color indexed="81"/>
            <rFont val="Tahoma"/>
            <family val="2"/>
          </rPr>
          <t>TMG141:</t>
        </r>
        <r>
          <rPr>
            <sz val="9"/>
            <color indexed="81"/>
            <rFont val="Tahoma"/>
            <family val="2"/>
          </rPr>
          <t xml:space="preserve">
Sekolah</t>
        </r>
      </text>
    </comment>
    <comment ref="L140" authorId="0">
      <text>
        <r>
          <rPr>
            <b/>
            <sz val="9"/>
            <color indexed="81"/>
            <rFont val="Tahoma"/>
            <family val="2"/>
          </rPr>
          <t>TMG141:</t>
        </r>
        <r>
          <rPr>
            <sz val="9"/>
            <color indexed="81"/>
            <rFont val="Tahoma"/>
            <family val="2"/>
          </rPr>
          <t xml:space="preserve">
Sekolah</t>
        </r>
      </text>
    </comment>
    <comment ref="L141" authorId="0">
      <text>
        <r>
          <rPr>
            <b/>
            <sz val="9"/>
            <color indexed="81"/>
            <rFont val="Tahoma"/>
            <family val="2"/>
          </rPr>
          <t>TMG141:</t>
        </r>
        <r>
          <rPr>
            <sz val="9"/>
            <color indexed="81"/>
            <rFont val="Tahoma"/>
            <family val="2"/>
          </rPr>
          <t xml:space="preserve">
Kegiatan</t>
        </r>
      </text>
    </comment>
    <comment ref="L142" authorId="0">
      <text>
        <r>
          <rPr>
            <b/>
            <sz val="9"/>
            <color indexed="81"/>
            <rFont val="Tahoma"/>
            <family val="2"/>
          </rPr>
          <t>TMG141:</t>
        </r>
        <r>
          <rPr>
            <sz val="9"/>
            <color indexed="81"/>
            <rFont val="Tahoma"/>
            <family val="2"/>
          </rPr>
          <t xml:space="preserve">
Sekolah</t>
        </r>
      </text>
    </comment>
    <comment ref="L143" authorId="0">
      <text>
        <r>
          <rPr>
            <b/>
            <sz val="9"/>
            <color indexed="81"/>
            <rFont val="Tahoma"/>
            <family val="2"/>
          </rPr>
          <t>TMG141:</t>
        </r>
        <r>
          <rPr>
            <sz val="9"/>
            <color indexed="81"/>
            <rFont val="Tahoma"/>
            <family val="2"/>
          </rPr>
          <t xml:space="preserve">
Kegiatan</t>
        </r>
      </text>
    </comment>
    <comment ref="L172" authorId="0">
      <text>
        <r>
          <rPr>
            <b/>
            <sz val="9"/>
            <color indexed="81"/>
            <rFont val="Tahoma"/>
            <family val="2"/>
          </rPr>
          <t>TMG141:</t>
        </r>
        <r>
          <rPr>
            <sz val="9"/>
            <color indexed="81"/>
            <rFont val="Tahoma"/>
            <family val="2"/>
          </rPr>
          <t xml:space="preserve">
Kelompok</t>
        </r>
      </text>
    </comment>
    <comment ref="L173" authorId="0">
      <text>
        <r>
          <rPr>
            <b/>
            <sz val="9"/>
            <color indexed="81"/>
            <rFont val="Tahoma"/>
            <family val="2"/>
          </rPr>
          <t>TMG141:</t>
        </r>
        <r>
          <rPr>
            <sz val="9"/>
            <color indexed="81"/>
            <rFont val="Tahoma"/>
            <family val="2"/>
          </rPr>
          <t xml:space="preserve">
PKBM</t>
        </r>
      </text>
    </comment>
    <comment ref="L187" authorId="0">
      <text>
        <r>
          <rPr>
            <b/>
            <sz val="9"/>
            <color indexed="81"/>
            <rFont val="Tahoma"/>
            <family val="2"/>
          </rPr>
          <t>TMG141:</t>
        </r>
        <r>
          <rPr>
            <sz val="9"/>
            <color indexed="81"/>
            <rFont val="Tahoma"/>
            <family val="2"/>
          </rPr>
          <t xml:space="preserve">
Kegiatan</t>
        </r>
      </text>
    </comment>
    <comment ref="L188" authorId="0">
      <text>
        <r>
          <rPr>
            <b/>
            <sz val="9"/>
            <color indexed="81"/>
            <rFont val="Tahoma"/>
            <family val="2"/>
          </rPr>
          <t>TMG141:</t>
        </r>
        <r>
          <rPr>
            <sz val="9"/>
            <color indexed="81"/>
            <rFont val="Tahoma"/>
            <family val="2"/>
          </rPr>
          <t xml:space="preserve">
Desa/lokasi</t>
        </r>
      </text>
    </comment>
    <comment ref="L189" authorId="0">
      <text>
        <r>
          <rPr>
            <b/>
            <sz val="9"/>
            <color indexed="81"/>
            <rFont val="Tahoma"/>
            <family val="2"/>
          </rPr>
          <t>TMG141:</t>
        </r>
        <r>
          <rPr>
            <sz val="9"/>
            <color indexed="81"/>
            <rFont val="Tahoma"/>
            <family val="2"/>
          </rPr>
          <t xml:space="preserve">
Kelompok</t>
        </r>
      </text>
    </comment>
    <comment ref="L190" authorId="0">
      <text>
        <r>
          <rPr>
            <b/>
            <sz val="9"/>
            <color indexed="81"/>
            <rFont val="Tahoma"/>
            <family val="2"/>
          </rPr>
          <t>TMG141:</t>
        </r>
        <r>
          <rPr>
            <sz val="9"/>
            <color indexed="81"/>
            <rFont val="Tahoma"/>
            <family val="2"/>
          </rPr>
          <t xml:space="preserve">
Desa/lokasi</t>
        </r>
      </text>
    </comment>
    <comment ref="L192" authorId="0">
      <text>
        <r>
          <rPr>
            <b/>
            <sz val="9"/>
            <color indexed="81"/>
            <rFont val="Tahoma"/>
            <family val="2"/>
          </rPr>
          <t>TMG141:</t>
        </r>
        <r>
          <rPr>
            <sz val="9"/>
            <color indexed="81"/>
            <rFont val="Tahoma"/>
            <family val="2"/>
          </rPr>
          <t xml:space="preserve">
Kelompok</t>
        </r>
      </text>
    </comment>
    <comment ref="L194" authorId="0">
      <text>
        <r>
          <rPr>
            <b/>
            <sz val="9"/>
            <color indexed="81"/>
            <rFont val="Tahoma"/>
            <family val="2"/>
          </rPr>
          <t>TMG141:</t>
        </r>
        <r>
          <rPr>
            <sz val="9"/>
            <color indexed="81"/>
            <rFont val="Tahoma"/>
            <family val="2"/>
          </rPr>
          <t xml:space="preserve">
Lembaga</t>
        </r>
      </text>
    </comment>
    <comment ref="L195" authorId="0">
      <text>
        <r>
          <rPr>
            <b/>
            <sz val="9"/>
            <color indexed="81"/>
            <rFont val="Tahoma"/>
            <family val="2"/>
          </rPr>
          <t>TMG141:</t>
        </r>
        <r>
          <rPr>
            <sz val="9"/>
            <color indexed="81"/>
            <rFont val="Tahoma"/>
            <family val="2"/>
          </rPr>
          <t xml:space="preserve">
Kegiatan</t>
        </r>
      </text>
    </comment>
    <comment ref="L197" authorId="0">
      <text>
        <r>
          <rPr>
            <b/>
            <sz val="9"/>
            <color indexed="81"/>
            <rFont val="Tahoma"/>
            <family val="2"/>
          </rPr>
          <t>TMG141:</t>
        </r>
        <r>
          <rPr>
            <sz val="9"/>
            <color indexed="81"/>
            <rFont val="Tahoma"/>
            <family val="2"/>
          </rPr>
          <t xml:space="preserve">
Sekolah</t>
        </r>
      </text>
    </comment>
    <comment ref="L198" authorId="0">
      <text>
        <r>
          <rPr>
            <b/>
            <sz val="9"/>
            <color indexed="81"/>
            <rFont val="Tahoma"/>
            <family val="2"/>
          </rPr>
          <t>TMG141:</t>
        </r>
        <r>
          <rPr>
            <sz val="9"/>
            <color indexed="81"/>
            <rFont val="Tahoma"/>
            <family val="2"/>
          </rPr>
          <t xml:space="preserve">
Sekolah</t>
        </r>
      </text>
    </comment>
    <comment ref="L223" authorId="0">
      <text>
        <r>
          <rPr>
            <b/>
            <sz val="9"/>
            <color indexed="81"/>
            <rFont val="Tahoma"/>
            <family val="2"/>
          </rPr>
          <t>TMG141:</t>
        </r>
        <r>
          <rPr>
            <sz val="9"/>
            <color indexed="81"/>
            <rFont val="Tahoma"/>
            <family val="2"/>
          </rPr>
          <t xml:space="preserve">
Orang</t>
        </r>
      </text>
    </comment>
    <comment ref="L224" authorId="0">
      <text>
        <r>
          <rPr>
            <b/>
            <sz val="9"/>
            <color indexed="81"/>
            <rFont val="Tahoma"/>
            <family val="2"/>
          </rPr>
          <t>TMG141:</t>
        </r>
        <r>
          <rPr>
            <sz val="9"/>
            <color indexed="81"/>
            <rFont val="Tahoma"/>
            <family val="2"/>
          </rPr>
          <t xml:space="preserve">
Orang</t>
        </r>
      </text>
    </comment>
    <comment ref="L225" authorId="0">
      <text>
        <r>
          <rPr>
            <b/>
            <sz val="9"/>
            <color indexed="81"/>
            <rFont val="Tahoma"/>
            <family val="2"/>
          </rPr>
          <t>TMG141:</t>
        </r>
        <r>
          <rPr>
            <sz val="9"/>
            <color indexed="81"/>
            <rFont val="Tahoma"/>
            <family val="2"/>
          </rPr>
          <t xml:space="preserve">
Orang</t>
        </r>
      </text>
    </comment>
    <comment ref="L226" authorId="0">
      <text>
        <r>
          <rPr>
            <b/>
            <sz val="9"/>
            <color indexed="81"/>
            <rFont val="Tahoma"/>
            <family val="2"/>
          </rPr>
          <t>TMG141:</t>
        </r>
        <r>
          <rPr>
            <sz val="9"/>
            <color indexed="81"/>
            <rFont val="Tahoma"/>
            <family val="2"/>
          </rPr>
          <t xml:space="preserve">
Orang</t>
        </r>
      </text>
    </comment>
    <comment ref="L227" authorId="0">
      <text>
        <r>
          <rPr>
            <b/>
            <sz val="9"/>
            <color indexed="81"/>
            <rFont val="Tahoma"/>
            <family val="2"/>
          </rPr>
          <t>TMG141:</t>
        </r>
        <r>
          <rPr>
            <sz val="9"/>
            <color indexed="81"/>
            <rFont val="Tahoma"/>
            <family val="2"/>
          </rPr>
          <t xml:space="preserve">
Orang</t>
        </r>
      </text>
    </comment>
    <comment ref="L228" authorId="0">
      <text>
        <r>
          <rPr>
            <b/>
            <sz val="9"/>
            <color indexed="81"/>
            <rFont val="Tahoma"/>
            <family val="2"/>
          </rPr>
          <t>TMG141:</t>
        </r>
        <r>
          <rPr>
            <sz val="9"/>
            <color indexed="81"/>
            <rFont val="Tahoma"/>
            <family val="2"/>
          </rPr>
          <t xml:space="preserve">
Orang</t>
        </r>
      </text>
    </comment>
    <comment ref="L229" authorId="0">
      <text>
        <r>
          <rPr>
            <b/>
            <sz val="9"/>
            <color indexed="81"/>
            <rFont val="Tahoma"/>
            <family val="2"/>
          </rPr>
          <t>TMG141:</t>
        </r>
        <r>
          <rPr>
            <sz val="9"/>
            <color indexed="81"/>
            <rFont val="Tahoma"/>
            <family val="2"/>
          </rPr>
          <t xml:space="preserve">
Orang</t>
        </r>
      </text>
    </comment>
    <comment ref="L230" authorId="0">
      <text>
        <r>
          <rPr>
            <b/>
            <sz val="9"/>
            <color indexed="81"/>
            <rFont val="Tahoma"/>
            <family val="2"/>
          </rPr>
          <t>TMG141:</t>
        </r>
        <r>
          <rPr>
            <sz val="9"/>
            <color indexed="81"/>
            <rFont val="Tahoma"/>
            <family val="2"/>
          </rPr>
          <t xml:space="preserve">
Orang</t>
        </r>
      </text>
    </comment>
    <comment ref="L231" authorId="0">
      <text>
        <r>
          <rPr>
            <b/>
            <sz val="9"/>
            <color indexed="81"/>
            <rFont val="Tahoma"/>
            <family val="2"/>
          </rPr>
          <t>TMG141:</t>
        </r>
        <r>
          <rPr>
            <sz val="9"/>
            <color indexed="81"/>
            <rFont val="Tahoma"/>
            <family val="2"/>
          </rPr>
          <t xml:space="preserve">
Orang</t>
        </r>
      </text>
    </comment>
    <comment ref="L232" authorId="0">
      <text>
        <r>
          <rPr>
            <b/>
            <sz val="9"/>
            <color indexed="81"/>
            <rFont val="Tahoma"/>
            <family val="2"/>
          </rPr>
          <t>TMG141:</t>
        </r>
        <r>
          <rPr>
            <sz val="9"/>
            <color indexed="81"/>
            <rFont val="Tahoma"/>
            <family val="2"/>
          </rPr>
          <t xml:space="preserve">
Orang</t>
        </r>
      </text>
    </comment>
    <comment ref="L233" authorId="0">
      <text>
        <r>
          <rPr>
            <b/>
            <sz val="9"/>
            <color indexed="81"/>
            <rFont val="Tahoma"/>
            <family val="2"/>
          </rPr>
          <t>TMG141:</t>
        </r>
        <r>
          <rPr>
            <sz val="9"/>
            <color indexed="81"/>
            <rFont val="Tahoma"/>
            <family val="2"/>
          </rPr>
          <t xml:space="preserve">
Orang</t>
        </r>
      </text>
    </comment>
    <comment ref="L234" authorId="0">
      <text>
        <r>
          <rPr>
            <b/>
            <sz val="9"/>
            <color indexed="81"/>
            <rFont val="Tahoma"/>
            <family val="2"/>
          </rPr>
          <t>TMG141:</t>
        </r>
        <r>
          <rPr>
            <sz val="9"/>
            <color indexed="81"/>
            <rFont val="Tahoma"/>
            <family val="2"/>
          </rPr>
          <t xml:space="preserve">
Orang</t>
        </r>
      </text>
    </comment>
    <comment ref="L235" authorId="0">
      <text>
        <r>
          <rPr>
            <b/>
            <sz val="9"/>
            <color indexed="81"/>
            <rFont val="Tahoma"/>
            <family val="2"/>
          </rPr>
          <t>TMG141:</t>
        </r>
        <r>
          <rPr>
            <sz val="9"/>
            <color indexed="81"/>
            <rFont val="Tahoma"/>
            <family val="2"/>
          </rPr>
          <t xml:space="preserve">
Orang</t>
        </r>
      </text>
    </comment>
    <comment ref="L243" authorId="0">
      <text>
        <r>
          <rPr>
            <b/>
            <sz val="9"/>
            <color indexed="81"/>
            <rFont val="Tahoma"/>
            <family val="2"/>
          </rPr>
          <t>TMG141:</t>
        </r>
        <r>
          <rPr>
            <sz val="9"/>
            <color indexed="81"/>
            <rFont val="Tahoma"/>
            <family val="2"/>
          </rPr>
          <t xml:space="preserve">
Maksudnya ???</t>
        </r>
      </text>
    </comment>
    <comment ref="N243" authorId="0">
      <text>
        <r>
          <rPr>
            <b/>
            <sz val="9"/>
            <color indexed="81"/>
            <rFont val="Tahoma"/>
            <family val="2"/>
          </rPr>
          <t>TMG141:</t>
        </r>
        <r>
          <rPr>
            <sz val="9"/>
            <color indexed="81"/>
            <rFont val="Tahoma"/>
            <family val="2"/>
          </rPr>
          <t xml:space="preserve">
Maksudnya ???</t>
        </r>
      </text>
    </comment>
    <comment ref="P243" authorId="0">
      <text>
        <r>
          <rPr>
            <b/>
            <sz val="9"/>
            <color indexed="81"/>
            <rFont val="Tahoma"/>
            <family val="2"/>
          </rPr>
          <t>TMG141:</t>
        </r>
        <r>
          <rPr>
            <sz val="9"/>
            <color indexed="81"/>
            <rFont val="Tahoma"/>
            <family val="2"/>
          </rPr>
          <t xml:space="preserve">
Maksudnya ???</t>
        </r>
      </text>
    </comment>
    <comment ref="R243" authorId="0">
      <text>
        <r>
          <rPr>
            <b/>
            <sz val="9"/>
            <color indexed="81"/>
            <rFont val="Tahoma"/>
            <family val="2"/>
          </rPr>
          <t>TMG141:</t>
        </r>
        <r>
          <rPr>
            <sz val="9"/>
            <color indexed="81"/>
            <rFont val="Tahoma"/>
            <family val="2"/>
          </rPr>
          <t xml:space="preserve">
Maksudnya ???</t>
        </r>
      </text>
    </comment>
    <comment ref="T243" authorId="0">
      <text>
        <r>
          <rPr>
            <b/>
            <sz val="9"/>
            <color indexed="81"/>
            <rFont val="Tahoma"/>
            <family val="2"/>
          </rPr>
          <t>TMG141:</t>
        </r>
        <r>
          <rPr>
            <sz val="9"/>
            <color indexed="81"/>
            <rFont val="Tahoma"/>
            <family val="2"/>
          </rPr>
          <t xml:space="preserve">
Maksudnya ???</t>
        </r>
      </text>
    </comment>
    <comment ref="G254" authorId="0">
      <text>
        <r>
          <rPr>
            <b/>
            <sz val="9"/>
            <color indexed="81"/>
            <rFont val="Tahoma"/>
            <family val="2"/>
          </rPr>
          <t>TMG141:</t>
        </r>
        <r>
          <rPr>
            <sz val="9"/>
            <color indexed="81"/>
            <rFont val="Tahoma"/>
            <family val="2"/>
          </rPr>
          <t xml:space="preserve">
PNS di sekolah negeri</t>
        </r>
      </text>
    </comment>
    <comment ref="G256" authorId="0">
      <text>
        <r>
          <rPr>
            <b/>
            <sz val="9"/>
            <color indexed="81"/>
            <rFont val="Tahoma"/>
            <family val="2"/>
          </rPr>
          <t>TMG141:</t>
        </r>
        <r>
          <rPr>
            <sz val="9"/>
            <color indexed="81"/>
            <rFont val="Tahoma"/>
            <family val="2"/>
          </rPr>
          <t xml:space="preserve">
Buku Kerja Pengawas Sekolah (Dit TK, Ditjen PMPTK Kemdiknas, 2010 halaman 13 :
"Sasaran pengawasan bagi pengawas sekolah untuk ekuivalensi dg 24 jam tatap muka per minggu : Pengawas  TK/SD minimal 10 sekolah (60 orang guru); Pengawas SMP, SMA, SMK minimal 7 sekolah (40 orang guru)".
Hanya sekolah (tidak termasuk madrasah)
Jumlah TK 313, SD 433, SMP 72, SMA 13, SMK 23
Pengawas TK/SD 43, SMP 4, SMA/SMK 3</t>
        </r>
      </text>
    </comment>
    <comment ref="G257" authorId="0">
      <text>
        <r>
          <rPr>
            <b/>
            <sz val="9"/>
            <color indexed="81"/>
            <rFont val="Tahoma"/>
            <family val="2"/>
          </rPr>
          <t>TMG141:</t>
        </r>
        <r>
          <rPr>
            <sz val="9"/>
            <color indexed="81"/>
            <rFont val="Tahoma"/>
            <family val="2"/>
          </rPr>
          <t xml:space="preserve">
Dari jumlah yang ada, sebanyak 1 orang akan pensiun per 1 Maret 2013
Kebutuhan : Kurang lebih 12 orang</t>
        </r>
      </text>
    </comment>
  </commentList>
</comments>
</file>

<file path=xl/comments3.xml><?xml version="1.0" encoding="utf-8"?>
<comments xmlns="http://schemas.openxmlformats.org/spreadsheetml/2006/main">
  <authors>
    <author>win7</author>
  </authors>
  <commentList>
    <comment ref="Q247" authorId="0">
      <text>
        <r>
          <rPr>
            <sz val="14"/>
            <color indexed="81"/>
            <rFont val="Tahoma"/>
            <family val="2"/>
          </rPr>
          <t>anggaran ideal perbaikan jalan +/- 4,5M</t>
        </r>
        <r>
          <rPr>
            <sz val="9"/>
            <color indexed="81"/>
            <rFont val="Tahoma"/>
            <family val="2"/>
          </rPr>
          <t xml:space="preserve">
</t>
        </r>
      </text>
    </comment>
  </commentList>
</comments>
</file>

<file path=xl/comments4.xml><?xml version="1.0" encoding="utf-8"?>
<comments xmlns="http://schemas.openxmlformats.org/spreadsheetml/2006/main">
  <authors>
    <author>win7</author>
  </authors>
  <commentList>
    <comment ref="R103" authorId="0">
      <text>
        <r>
          <rPr>
            <b/>
            <sz val="9"/>
            <color indexed="81"/>
            <rFont val="Tahoma"/>
            <family val="2"/>
          </rPr>
          <t>win7:</t>
        </r>
        <r>
          <rPr>
            <sz val="9"/>
            <color indexed="81"/>
            <rFont val="Tahoma"/>
            <family val="2"/>
          </rPr>
          <t xml:space="preserve">
data awal dikurangi 3000 per tahun</t>
        </r>
      </text>
    </comment>
    <comment ref="R105" authorId="0">
      <text>
        <r>
          <rPr>
            <b/>
            <sz val="9"/>
            <color indexed="81"/>
            <rFont val="Tahoma"/>
            <family val="2"/>
          </rPr>
          <t>win7:</t>
        </r>
        <r>
          <rPr>
            <sz val="9"/>
            <color indexed="81"/>
            <rFont val="Tahoma"/>
            <family val="2"/>
          </rPr>
          <t xml:space="preserve">
target akumulatif</t>
        </r>
      </text>
    </comment>
  </commentList>
</comments>
</file>

<file path=xl/comments5.xml><?xml version="1.0" encoding="utf-8"?>
<comments xmlns="http://schemas.openxmlformats.org/spreadsheetml/2006/main">
  <authors>
    <author>Pak-Bambang</author>
  </authors>
  <commentList>
    <comment ref="M25" authorId="0">
      <text>
        <r>
          <rPr>
            <b/>
            <sz val="9"/>
            <color indexed="81"/>
            <rFont val="Tahoma"/>
            <family val="2"/>
          </rPr>
          <t xml:space="preserve">program terbalik dgn,cek ulang!!!
</t>
        </r>
        <r>
          <rPr>
            <sz val="9"/>
            <color indexed="81"/>
            <rFont val="Tahoma"/>
            <family val="2"/>
          </rPr>
          <t xml:space="preserve">
</t>
        </r>
      </text>
    </comment>
    <comment ref="M26" authorId="0">
      <text>
        <r>
          <rPr>
            <b/>
            <sz val="9"/>
            <color indexed="81"/>
            <rFont val="Tahoma"/>
            <family val="2"/>
          </rPr>
          <t xml:space="preserve">program terbalik dgn,cek ulang!!!
</t>
        </r>
        <r>
          <rPr>
            <sz val="9"/>
            <color indexed="81"/>
            <rFont val="Tahoma"/>
            <family val="2"/>
          </rPr>
          <t xml:space="preserve">
</t>
        </r>
      </text>
    </comment>
  </commentList>
</comments>
</file>

<file path=xl/comments6.xml><?xml version="1.0" encoding="utf-8"?>
<comments xmlns="http://schemas.openxmlformats.org/spreadsheetml/2006/main">
  <authors>
    <author>win7</author>
  </authors>
  <commentList>
    <comment ref="N12" authorId="0">
      <text>
        <r>
          <rPr>
            <b/>
            <sz val="9"/>
            <color indexed="81"/>
            <rFont val="Tahoma"/>
            <family val="2"/>
          </rPr>
          <t>win7:</t>
        </r>
        <r>
          <rPr>
            <sz val="9"/>
            <color indexed="81"/>
            <rFont val="Tahoma"/>
            <family val="2"/>
          </rPr>
          <t xml:space="preserve">
Ha / Km ?</t>
        </r>
      </text>
    </comment>
  </commentList>
</comments>
</file>

<file path=xl/comments7.xml><?xml version="1.0" encoding="utf-8"?>
<comments xmlns="http://schemas.openxmlformats.org/spreadsheetml/2006/main">
  <authors>
    <author>Dian</author>
    <author>Pak-Bambang</author>
  </authors>
  <commentList>
    <comment ref="N26" authorId="0">
      <text>
        <r>
          <rPr>
            <b/>
            <sz val="9"/>
            <color indexed="81"/>
            <rFont val="Tahoma"/>
            <family val="2"/>
          </rPr>
          <t>Dian:</t>
        </r>
        <r>
          <rPr>
            <sz val="9"/>
            <color indexed="81"/>
            <rFont val="Tahoma"/>
            <family val="2"/>
          </rPr>
          <t xml:space="preserve">
angka atau cakupan ?</t>
        </r>
      </text>
    </comment>
    <comment ref="N41" authorId="0">
      <text>
        <r>
          <rPr>
            <b/>
            <sz val="9"/>
            <color indexed="81"/>
            <rFont val="Tahoma"/>
            <family val="2"/>
          </rPr>
          <t>Dian:</t>
        </r>
        <r>
          <rPr>
            <sz val="9"/>
            <color indexed="81"/>
            <rFont val="Tahoma"/>
            <family val="2"/>
          </rPr>
          <t xml:space="preserve">
</t>
        </r>
        <r>
          <rPr>
            <sz val="10"/>
            <color indexed="81"/>
            <rFont val="Tahoma"/>
            <family val="2"/>
          </rPr>
          <t>indikator SPM yang terlewat belum dicantumkan</t>
        </r>
      </text>
    </comment>
    <comment ref="N61" authorId="1">
      <text>
        <r>
          <rPr>
            <b/>
            <sz val="9"/>
            <color indexed="81"/>
            <rFont val="Tahoma"/>
            <family val="2"/>
          </rPr>
          <t>Pak-Bambang:</t>
        </r>
        <r>
          <rPr>
            <sz val="9"/>
            <color indexed="81"/>
            <rFont val="Tahoma"/>
            <family val="2"/>
          </rPr>
          <t xml:space="preserve">
indikator baru</t>
        </r>
      </text>
    </comment>
  </commentList>
</comments>
</file>

<file path=xl/comments8.xml><?xml version="1.0" encoding="utf-8"?>
<comments xmlns="http://schemas.openxmlformats.org/spreadsheetml/2006/main">
  <authors>
    <author>DATA</author>
  </authors>
  <commentList>
    <comment ref="N81" authorId="0">
      <text>
        <r>
          <rPr>
            <b/>
            <sz val="9"/>
            <color indexed="81"/>
            <rFont val="Tahoma"/>
            <family val="2"/>
          </rPr>
          <t>DATA:</t>
        </r>
        <r>
          <rPr>
            <sz val="9"/>
            <color indexed="81"/>
            <rFont val="Tahoma"/>
            <family val="2"/>
          </rPr>
          <t xml:space="preserve">
SPM No.69 th 2012
</t>
        </r>
      </text>
    </comment>
  </commentList>
</comments>
</file>

<file path=xl/comments9.xml><?xml version="1.0" encoding="utf-8"?>
<comments xmlns="http://schemas.openxmlformats.org/spreadsheetml/2006/main">
  <authors>
    <author>win7</author>
    <author>Pak-Bambang</author>
    <author>Dian</author>
    <author>DATA</author>
  </authors>
  <commentList>
    <comment ref="R104" authorId="0">
      <text>
        <r>
          <rPr>
            <b/>
            <sz val="9"/>
            <color indexed="81"/>
            <rFont val="Tahoma"/>
            <family val="2"/>
          </rPr>
          <t>win7:</t>
        </r>
        <r>
          <rPr>
            <sz val="9"/>
            <color indexed="81"/>
            <rFont val="Tahoma"/>
            <family val="2"/>
          </rPr>
          <t xml:space="preserve">
data awal dikurangi 3000 per tahun</t>
        </r>
      </text>
    </comment>
    <comment ref="R106" authorId="0">
      <text>
        <r>
          <rPr>
            <b/>
            <sz val="9"/>
            <color indexed="81"/>
            <rFont val="Tahoma"/>
            <family val="2"/>
          </rPr>
          <t>win7:</t>
        </r>
        <r>
          <rPr>
            <sz val="9"/>
            <color indexed="81"/>
            <rFont val="Tahoma"/>
            <family val="2"/>
          </rPr>
          <t xml:space="preserve">
target akumulatif</t>
        </r>
      </text>
    </comment>
    <comment ref="M129" authorId="1">
      <text>
        <r>
          <rPr>
            <b/>
            <sz val="9"/>
            <color indexed="81"/>
            <rFont val="Tahoma"/>
            <family val="2"/>
          </rPr>
          <t xml:space="preserve">program terbalik dgn,cek ulang!!!
</t>
        </r>
        <r>
          <rPr>
            <sz val="9"/>
            <color indexed="81"/>
            <rFont val="Tahoma"/>
            <family val="2"/>
          </rPr>
          <t xml:space="preserve">
</t>
        </r>
      </text>
    </comment>
    <comment ref="M130" authorId="1">
      <text>
        <r>
          <rPr>
            <b/>
            <sz val="9"/>
            <color indexed="81"/>
            <rFont val="Tahoma"/>
            <family val="2"/>
          </rPr>
          <t xml:space="preserve">program terbalik dgn,cek ulang!!!
</t>
        </r>
        <r>
          <rPr>
            <sz val="9"/>
            <color indexed="81"/>
            <rFont val="Tahoma"/>
            <family val="2"/>
          </rPr>
          <t xml:space="preserve">
</t>
        </r>
      </text>
    </comment>
    <comment ref="N222" authorId="0">
      <text>
        <r>
          <rPr>
            <b/>
            <sz val="9"/>
            <color indexed="81"/>
            <rFont val="Tahoma"/>
            <family val="2"/>
          </rPr>
          <t>win7:</t>
        </r>
        <r>
          <rPr>
            <sz val="9"/>
            <color indexed="81"/>
            <rFont val="Tahoma"/>
            <family val="2"/>
          </rPr>
          <t xml:space="preserve">
Ha / Km ?</t>
        </r>
      </text>
    </comment>
    <comment ref="N411" authorId="2">
      <text>
        <r>
          <rPr>
            <b/>
            <sz val="9"/>
            <color indexed="81"/>
            <rFont val="Tahoma"/>
            <family val="2"/>
          </rPr>
          <t>Dian:</t>
        </r>
        <r>
          <rPr>
            <sz val="9"/>
            <color indexed="81"/>
            <rFont val="Tahoma"/>
            <family val="2"/>
          </rPr>
          <t xml:space="preserve">
angka atau cakupan ?</t>
        </r>
      </text>
    </comment>
    <comment ref="N426" authorId="2">
      <text>
        <r>
          <rPr>
            <b/>
            <sz val="9"/>
            <color indexed="81"/>
            <rFont val="Tahoma"/>
            <family val="2"/>
          </rPr>
          <t>Dian:</t>
        </r>
        <r>
          <rPr>
            <sz val="9"/>
            <color indexed="81"/>
            <rFont val="Tahoma"/>
            <family val="2"/>
          </rPr>
          <t xml:space="preserve">
</t>
        </r>
        <r>
          <rPr>
            <sz val="10"/>
            <color indexed="81"/>
            <rFont val="Tahoma"/>
            <family val="2"/>
          </rPr>
          <t>indikator SPM yang terlewat belum dicantumkan</t>
        </r>
      </text>
    </comment>
    <comment ref="N446" authorId="1">
      <text>
        <r>
          <rPr>
            <b/>
            <sz val="9"/>
            <color indexed="81"/>
            <rFont val="Tahoma"/>
            <family val="2"/>
          </rPr>
          <t>Pak-Bambang:</t>
        </r>
        <r>
          <rPr>
            <sz val="9"/>
            <color indexed="81"/>
            <rFont val="Tahoma"/>
            <family val="2"/>
          </rPr>
          <t xml:space="preserve">
indikator baru</t>
        </r>
      </text>
    </comment>
    <comment ref="N554" authorId="3">
      <text>
        <r>
          <rPr>
            <b/>
            <sz val="9"/>
            <color indexed="81"/>
            <rFont val="Tahoma"/>
            <family val="2"/>
          </rPr>
          <t>DATA:</t>
        </r>
        <r>
          <rPr>
            <sz val="9"/>
            <color indexed="81"/>
            <rFont val="Tahoma"/>
            <family val="2"/>
          </rPr>
          <t xml:space="preserve">
SPM No.69 th 2012
</t>
        </r>
      </text>
    </comment>
  </commentList>
</comments>
</file>

<file path=xl/sharedStrings.xml><?xml version="1.0" encoding="utf-8"?>
<sst xmlns="http://schemas.openxmlformats.org/spreadsheetml/2006/main" count="17736" uniqueCount="5073">
  <si>
    <t>TUJUAN</t>
  </si>
  <si>
    <t>Meningkatkan Ketahanan Pangan Daerah</t>
  </si>
  <si>
    <t>SASARAN</t>
  </si>
  <si>
    <t>Meningkatnya Pengelolaan Sarana dan Prasarana Perdagangan</t>
  </si>
  <si>
    <t>Penguatan Kapasitas dan Kapabilitas Pelaku UMKM</t>
  </si>
  <si>
    <t>Meningkatnya Peran Serta Masyarakat Dalam Rehabilitasi Lahan Kritis dan Konservasi Lahan</t>
  </si>
  <si>
    <t>URUSAN</t>
  </si>
  <si>
    <t>PERTANIAN</t>
  </si>
  <si>
    <t>KEHUTANAN</t>
  </si>
  <si>
    <t>PARIWISATA</t>
  </si>
  <si>
    <t>PERINDUSTRIAN</t>
  </si>
  <si>
    <t>PERDAGANGAN</t>
  </si>
  <si>
    <t>KOPERASI DAN UMKM</t>
  </si>
  <si>
    <t>Meningkatnya Penerapan Teknologi Perikanan</t>
  </si>
  <si>
    <t>KEBUDAYAAN</t>
  </si>
  <si>
    <t>PEMUDA DAN OLAH RAGA</t>
  </si>
  <si>
    <t>PEMBERDAYAAN MASYARAKAT DAN DESA</t>
  </si>
  <si>
    <t>TRANSMIGRASI</t>
  </si>
  <si>
    <t>PEKERJAAN UMUM</t>
  </si>
  <si>
    <t>PERHUBUNGAN</t>
  </si>
  <si>
    <t>LINGKUNGAN HIDUP</t>
  </si>
  <si>
    <t>PENDIDIKAN</t>
  </si>
  <si>
    <t>KESEHATAN</t>
  </si>
  <si>
    <t>PERTANAHAN</t>
  </si>
  <si>
    <t>PENANAMAN MODAL</t>
  </si>
  <si>
    <t>STATISTIK</t>
  </si>
  <si>
    <t>KEARSIPAN</t>
  </si>
  <si>
    <t>KOMUNIKASI DAN INFORMATIKA</t>
  </si>
  <si>
    <t>KELAUTAN DAN PERIKANAN</t>
  </si>
  <si>
    <t>KETAHANAN PANGAN</t>
  </si>
  <si>
    <t>Mengembangkan Pertanian yang Berwawasan Lingkungan</t>
  </si>
  <si>
    <t xml:space="preserve">Meningkatnya Penyelenggaraan Penyuluhan </t>
  </si>
  <si>
    <t>Meningkatnya Pengembangan Kawasan Agropolitan</t>
  </si>
  <si>
    <t>Komoditas Unggulan adalah Tembakau, Kopi , dll (sesuai MP3ET) ditambah Komoditas lain yang ada di analisa IO</t>
  </si>
  <si>
    <t>Jumlah Kawasan Agropolitan yang di kembangkan : Jumlah Kawasan Agropolitan yang ditetapkan x 100%</t>
  </si>
  <si>
    <t>Kawasan Agropolitan meliputi : Selopampang, Kledung, Gemawang, dan Pringsurat</t>
  </si>
  <si>
    <t>Persentase Penanganan Serangan Hama Penyakit</t>
  </si>
  <si>
    <t>Meningkatkan Pemanfaatan Teknologi dan Inovasi Perikanan</t>
  </si>
  <si>
    <t>Meningkatkan Penyediaan Sarana dan Prasarana dan Insfrastruktur Pertanian, Perkebunan, dan Peternakan.</t>
  </si>
  <si>
    <t>Meningkatnya Penyediaan Sarana dan Prasarana dan Insfrastruktur Pertanian, Perkebunan, dan Peternakan</t>
  </si>
  <si>
    <t>Persentase Meningkatnya Skor Pola Pangan Harapan</t>
  </si>
  <si>
    <t>Cakupan Pengawasan dan Pembinaan Keamanan Pangan</t>
  </si>
  <si>
    <t>Meningkatkan Pengembangan Agrowisata Berbasis Potensi Sumber Daya Alam</t>
  </si>
  <si>
    <t>Meningkatkan Pengembangan Agroindustri Berbasis Sumber Daya Lokal</t>
  </si>
  <si>
    <t>Meningkatnya Agroindustri yang Berbasis pada Komoditas Unggulan Daerah</t>
  </si>
  <si>
    <t>Meningkatnya Struktur Industri Berbahan Baku Lokal yang Tangguh</t>
  </si>
  <si>
    <t>Persentase Meningkatnya Struktur Industri Berbahan Baku Lokal yang Tangguh</t>
  </si>
  <si>
    <t>Meningkatkan Pengembangan Agribisnis Berbasis Komoditas Unggulan Daerah</t>
  </si>
  <si>
    <t>Meningkatnya Daya Saing Produk</t>
  </si>
  <si>
    <t>Meningkatnya Ketersediaan dan Jaminan Keamanan Produk yang Beredar (Perlindungan Konsumen)</t>
  </si>
  <si>
    <t>Cakupan Meningkatnya Jaminan Keamanan Produk yang Beredar</t>
  </si>
  <si>
    <t>Meningkatkan Rehabilitasi Lahan dan Konservasi Tanah</t>
  </si>
  <si>
    <t>Meningkatnya Rehabilitasi Lahan dan Konservasi Tanah</t>
  </si>
  <si>
    <t>Meningkatkan Peran Sektor Pendukung Pengembangan Agribisnis, Agroindustri, dan Agrowisata</t>
  </si>
  <si>
    <t>PROGRAM</t>
  </si>
  <si>
    <t>Jumlah Agroindustri berbasis Komoditas Unggulan daerah dibagi Jumlah Komoditas unggulan Daerah x 100%</t>
  </si>
  <si>
    <t>Program Industri Kecil dan Menengah</t>
  </si>
  <si>
    <t>Jumlah industri berbahan baku lokal dibagi Jumlah seluruh industri x 100%</t>
  </si>
  <si>
    <t>asumsi industri kecil dan menengah 100% lokal dicari bahan baku luar utk industri besar</t>
  </si>
  <si>
    <t>Bertambahnya pasar yang di revitalisasi</t>
  </si>
  <si>
    <t>Besaran meningkatnya  Sarana dan Prasarana Perdagangan</t>
  </si>
  <si>
    <t>Persentase kenaikan nilai dan volume ekspor pada setiap tahunnya (Kayu olahan, radio kayu)</t>
  </si>
  <si>
    <t>jumlah temuan produk tidak layak edar</t>
  </si>
  <si>
    <t>Berkurangnya jumlah produk tidak layak edar dari tahun ketahun</t>
  </si>
  <si>
    <t>Persentase penyelesaian sengketa konsumen</t>
  </si>
  <si>
    <t>cukup jelas</t>
  </si>
  <si>
    <t>Meningkatnya penyelesaian sengketa</t>
  </si>
  <si>
    <t>Cakupan Meningkatnya Ketersediaan informasi harga bahan pokok dan bahan lainnya</t>
  </si>
  <si>
    <t>Meningkatnya ketersediaan informasi harga kebutuhan pokok menjadi bahan utk kebijakan penyelenggaran OP</t>
  </si>
  <si>
    <t>Perlindungan Konsumen</t>
  </si>
  <si>
    <t>Cakupan Bina Kelompok Pedagang/ Usaha Informal</t>
  </si>
  <si>
    <t>Pembinaan pedagang Kaki lima dan Asongan</t>
  </si>
  <si>
    <t>Meningkatnya jumlah koperasi aktif</t>
  </si>
  <si>
    <t>Meningkatnya jumlah anggota koperasi</t>
  </si>
  <si>
    <t>Meningkatnya pengelolaan koperasi</t>
  </si>
  <si>
    <t>Meningkatnya manajemen pengelolaan UMKM</t>
  </si>
  <si>
    <t>Meningkatnya akses permodalan UMKM ke lembaga keuangan</t>
  </si>
  <si>
    <t>Program Pengembangan Sistem Pendukung Usaha Bagi Usaha Mikro Kecil Menengah</t>
  </si>
  <si>
    <t>Peningkatan kualitas kelembagaan koperasi</t>
  </si>
  <si>
    <t>Cakupan meningkatnya tertatanya LKM sesuai dengan ketentuan perundang-undangan</t>
  </si>
  <si>
    <t>Penyelenggaraan SLGHP, SLGAP, SL sayuran ekspor, SLPTT Padi, SL SRI, SLPHT, SL iklim, SLPPHP</t>
  </si>
  <si>
    <t>Persentase Peningkatan Penggunaan Bibit dan benih unggul</t>
  </si>
  <si>
    <t>komoditi padi, jagung</t>
  </si>
  <si>
    <t>menurunnya angka kematian (unggas, ternak kecil, ternak besar)</t>
  </si>
  <si>
    <t>Program Peningkatan Produksi Pertanian/Perkebunan/peternakan</t>
  </si>
  <si>
    <t>Jumlah kawasan embung yang dikelola dibagi jumlah total embung kali 100%</t>
  </si>
  <si>
    <t>Program Pemberdayaan Petani</t>
  </si>
  <si>
    <t>Program Rehabilitasi Hutan dan Lahan</t>
  </si>
  <si>
    <t>Program Perlindungan dan Konservasi Sumber Daya Hutan</t>
  </si>
  <si>
    <t>Program Pengembangan Agribisnis</t>
  </si>
  <si>
    <t>Cakupan Ketersediaan Energi per Kapita</t>
  </si>
  <si>
    <t>Cakupan Ketersediaan protein per Kapita</t>
  </si>
  <si>
    <t>Energi masing-masing komoditas dibagi angka kecukupan gizi kali 100%</t>
  </si>
  <si>
    <t>Besaran event wisata (budaya) dilaksanakan</t>
  </si>
  <si>
    <t>Program Pengembangan Destinasi Wisata</t>
  </si>
  <si>
    <t>Besaran lama  tinggal wisatawan (jam)</t>
  </si>
  <si>
    <t xml:space="preserve">Program Pengembangan Kemitraan </t>
  </si>
  <si>
    <t xml:space="preserve">Program Pengembangan Produk Wisata </t>
  </si>
  <si>
    <t>STRATEGI</t>
  </si>
  <si>
    <t>Ketersediaan pangan per kapita per hari dibagi 100, kali kandungan kalori, kali bagian yang dapat dimakan</t>
  </si>
  <si>
    <t>ketersediaan pangan dihitung berdasarkan neraca bahan makanan (NBM) yang menunjukkan ketersediaan seluruh bahan pangan daerah sebagai sumber energi  dalam satuan kkal/kap/hr</t>
  </si>
  <si>
    <t>ketersediaan pangan dihitung berdasarkan neraca bahan makanan (NBM) yang menunjukkan ketersediaan seluruh bahan pangan daerah sebagai sumber protein dalam satuan gr/kap/hr</t>
  </si>
  <si>
    <t>sudah jelas</t>
  </si>
  <si>
    <t>angka dasar adalah capaian skor PPH pada tahun 2013</t>
  </si>
  <si>
    <t>Program Pengembangan Lembaga Ekonomi Pedesaan</t>
  </si>
  <si>
    <t>Program Pemberdayaan Fakir Miskin, Komunitas Adat Terpencil (KAT) dan Penyandang Masalah Kesejahteraan Sosial (PMKS) Lainnya</t>
  </si>
  <si>
    <t>Program Pelayanan dan Rehabilitasi Kesejahteraan Sosial</t>
  </si>
  <si>
    <t>Program pembinaan panti asuhan/panti jompo</t>
  </si>
  <si>
    <t>Program Pemberdayaan Kelembagaan Kesejahteraan Sosial</t>
  </si>
  <si>
    <t>Program pemeliharaan kantrantibmas dan pencegahan tindak kriminal</t>
  </si>
  <si>
    <t>Program pemberdayaan masyarakat untuk menjaga ketertiban dan keamanan</t>
  </si>
  <si>
    <t>Program Penataan Administrasi Kependudukan</t>
  </si>
  <si>
    <t>Program Pembangunan Jalan dan Jembatan</t>
  </si>
  <si>
    <t>Program Pembangunan saluran drainase/gorong-gorong</t>
  </si>
  <si>
    <t>Program rehabilitasi/pemeliharaan Jalan dan Jembatan</t>
  </si>
  <si>
    <t>Program pembangunan infrastruktur perdesaaan</t>
  </si>
  <si>
    <t>Program pembangunan dan rehabilitasi/pemeliharaan trotoar</t>
  </si>
  <si>
    <t>Program Pengembangan Perumahan</t>
  </si>
  <si>
    <t>Program Lingkungan Sehat Perumahan</t>
  </si>
  <si>
    <t>Program peningkatan kesiagaan dan pencegahan bahaya kebakaran</t>
  </si>
  <si>
    <t>Program Pengendalian Pemanfaatan Ruang</t>
  </si>
  <si>
    <t>Program Perlindungan dan Konservasi Sumber Daya Alam</t>
  </si>
  <si>
    <t>Program Pengelolaan ruang terbuka hijau (RTH)</t>
  </si>
  <si>
    <t>Program Peningkatan Pengendalian Polusi</t>
  </si>
  <si>
    <t>Program Pengembangan Kinerja Pengelolaan Persampahan</t>
  </si>
  <si>
    <t>Program Pengendalian Pencemaran dan Perusakan Lingkungan Hidup</t>
  </si>
  <si>
    <t>Program  Rehabilitasi dan Pemulihan Cadangan Sumber daya Alam</t>
  </si>
  <si>
    <t>Program Peningkatan Kualitas dan Akses Informasi Sumber Daya Alam dan Lingkungan Hidup</t>
  </si>
  <si>
    <t>Program Rehabilitasi dan Pemeliharaan Prasarana dan Fasilitas LLAJ</t>
  </si>
  <si>
    <t>Program peningkatan pelayanan angkutan</t>
  </si>
  <si>
    <t>Program Pembangunan  Sarana dan Prasarana Perhubungan</t>
  </si>
  <si>
    <t>Program peningkatan dan pengamanan lalu lintas</t>
  </si>
  <si>
    <t>SATUAN</t>
  </si>
  <si>
    <t>KONDISI AWAL KINERJA</t>
  </si>
  <si>
    <t>SKPD</t>
  </si>
  <si>
    <t>KODE URUSAN   / PROGRAM</t>
  </si>
  <si>
    <t>KONDISI AKHIR RPJMD</t>
  </si>
  <si>
    <t>RUMUS IKD</t>
  </si>
  <si>
    <t>PENJELASAN IKD</t>
  </si>
  <si>
    <t>Program Peningkatan Kualitas dan Produktivitas Tenaga Kerja</t>
  </si>
  <si>
    <t>Program Peningkatan Kesempatan Kerja</t>
  </si>
  <si>
    <t>Program Perlindungan dan Pengembangan Lembaga Ketenagakerjaan</t>
  </si>
  <si>
    <t>Program Pengembangan Wilayah Transmigrasi</t>
  </si>
  <si>
    <t>Program Pembinaan dan Pemasyarakatan Olahraga</t>
  </si>
  <si>
    <t>Program Peningkatan Sarana dan Prasarana Olahraga</t>
  </si>
  <si>
    <t>Program Rehabilitasi dan Pemeliharaan Obyek Wisata</t>
  </si>
  <si>
    <t>Program Pengembangan Pemasaran Pariwisata</t>
  </si>
  <si>
    <t>Program Kemitraan peningkatan pelayanan kesehatan</t>
  </si>
  <si>
    <t>Program Pelayanan Kesehatan Penduduk Miskin</t>
  </si>
  <si>
    <t>Program peningkatan pelayanan kesehatan lansia</t>
  </si>
  <si>
    <t>Program Pengawasan Obat dan Makanan</t>
  </si>
  <si>
    <t>Program pengadaan, peningkatan dan perbaikan sarana dan prasarana puskesmas/puskesmas pembantu dan jaringannya</t>
  </si>
  <si>
    <t>Program Upaya Kesehatan Masyarakat</t>
  </si>
  <si>
    <t>Program Peningkatan Promosi dan Kerjasama Investasi</t>
  </si>
  <si>
    <t>MISI 6</t>
  </si>
  <si>
    <t>Program Kehumasan</t>
  </si>
  <si>
    <t>KEBIJAKAN UMUM</t>
  </si>
  <si>
    <t>ARAH KEBIJAKAN</t>
  </si>
  <si>
    <t>1.01</t>
  </si>
  <si>
    <t>1.01.xx.15</t>
  </si>
  <si>
    <t>Program pendidikan anak usia dini</t>
  </si>
  <si>
    <t>1.01.xx.16</t>
  </si>
  <si>
    <t>Program Wajib Belajar Pendidikan Dasar Sembilan Tahun</t>
  </si>
  <si>
    <t>1.01.xx.17</t>
  </si>
  <si>
    <t>Program Pendidikan Menengah</t>
  </si>
  <si>
    <t>1.01.xx.18</t>
  </si>
  <si>
    <t>Program Pendidikan Non Formal</t>
  </si>
  <si>
    <t>1.01.xx.19</t>
  </si>
  <si>
    <t>Program Pendidikan Luar Biasa</t>
  </si>
  <si>
    <t>1.01.xx.20</t>
  </si>
  <si>
    <t>Program Peningkatan Mutu Pendidik dan Tenaga Kependidikan</t>
  </si>
  <si>
    <t>1.01.xx.21</t>
  </si>
  <si>
    <t>Program Pengembangan Budaya Baca dan Pembinaan Perpustakaan</t>
  </si>
  <si>
    <t>1.01.xx.22</t>
  </si>
  <si>
    <t>Program Manajemen Pelayanan Pendidikan</t>
  </si>
  <si>
    <t>1.01.xx.23</t>
  </si>
  <si>
    <t>Program Peningkatan SDM Pemuda Olah Raga dan Kebudayaan</t>
  </si>
  <si>
    <t>1.02</t>
  </si>
  <si>
    <t>1.02.xx.15</t>
  </si>
  <si>
    <t>Program Obat dan Perbekalan Kesehatan</t>
  </si>
  <si>
    <t>1.02.xx.16</t>
  </si>
  <si>
    <t>1.02.xx.17</t>
  </si>
  <si>
    <t>1.02.xx.18</t>
  </si>
  <si>
    <t>Program Pengembangan Obat Asli Indonesia</t>
  </si>
  <si>
    <t>1.02.xx.19</t>
  </si>
  <si>
    <t>Program Promosi Kesehatan dan Pemberdayaan masyarakat</t>
  </si>
  <si>
    <t>1.02.xx.20</t>
  </si>
  <si>
    <t>Program Perbaikan Gizi Masyarakat</t>
  </si>
  <si>
    <t>1.02.xx.21</t>
  </si>
  <si>
    <t>Program Pengembangan Lingkungan Sehat</t>
  </si>
  <si>
    <t>1.02.xx.22</t>
  </si>
  <si>
    <t>Program Pencegahan dan Penanggulangan Penyakit Menular</t>
  </si>
  <si>
    <t>1.02.xx.23</t>
  </si>
  <si>
    <t>Program Standarisasi Pelayanan Kesehatan</t>
  </si>
  <si>
    <t>1.02.xx.24</t>
  </si>
  <si>
    <t>1.02.xx.25</t>
  </si>
  <si>
    <t>1.02.xx.26</t>
  </si>
  <si>
    <t>Program pengadaan, peningkatan sarana dan prasarana rumah sakit/rumah sakit jiwa/rumah sakit paru-paru/rumah sakit mata</t>
  </si>
  <si>
    <t>1.02.xx.27</t>
  </si>
  <si>
    <t>Program pemeliharaan sarana dan prasarana rumah sakit/rumah sakit jiwa/rumah sakit paru-paru/rumah sakit mata</t>
  </si>
  <si>
    <t>1.02.xx.28</t>
  </si>
  <si>
    <t>1.02.xx.29</t>
  </si>
  <si>
    <t>Program peningkatan pelayanan kesehatan anak balita</t>
  </si>
  <si>
    <t>1.02.xx.30</t>
  </si>
  <si>
    <t>1.02.xx.31</t>
  </si>
  <si>
    <t>Program pengawasan dan pengendalian kesehatan makanan</t>
  </si>
  <si>
    <t>1.02.xx.32</t>
  </si>
  <si>
    <t>Program peningkatan keselamatan ibu melahirkan dan anak</t>
  </si>
  <si>
    <t>1.02.xx.33</t>
  </si>
  <si>
    <t xml:space="preserve">Program Peningkatan Kualitas Pelayanan Kesehatan pada BLUD RSUD </t>
  </si>
  <si>
    <t>1.03</t>
  </si>
  <si>
    <t>1.03.xx.15</t>
  </si>
  <si>
    <t>1.03.xx.16</t>
  </si>
  <si>
    <t>1.03.xx.17</t>
  </si>
  <si>
    <t>Program Pembangunan turap/talud/brojong</t>
  </si>
  <si>
    <t>1.03.xx.18</t>
  </si>
  <si>
    <t>1.03.xx.19</t>
  </si>
  <si>
    <t>Program rehabilitasi/pemeliharaan talud/bronjong</t>
  </si>
  <si>
    <t>1.03.xx.20</t>
  </si>
  <si>
    <t>Program inspeksi kondisi Jalan dan Jembatan</t>
  </si>
  <si>
    <t>1.03.xx.21</t>
  </si>
  <si>
    <t>Program tanggap darurat Jalan dan Jembatan</t>
  </si>
  <si>
    <t>1.03.xx.22</t>
  </si>
  <si>
    <t>Program Pembangunan sistem informasi/data base jalan dan jembatan</t>
  </si>
  <si>
    <t>1.03.xx.23</t>
  </si>
  <si>
    <t xml:space="preserve">Program peningkatan sarana dan prasarana kebinamargaan </t>
  </si>
  <si>
    <t>1.03.xx.24</t>
  </si>
  <si>
    <t xml:space="preserve">Program pengembangan dan pengelolaan jaringan irigasi, rawa dan jaringan pengairan lainnya </t>
  </si>
  <si>
    <t>1.03.xx.25</t>
  </si>
  <si>
    <t>Program penyediaan dan pengolahan air baku</t>
  </si>
  <si>
    <t>1.03.xx.26</t>
  </si>
  <si>
    <t>Program pengembangan, pengelolaan dan konversi sungai, danau dan sumber daya air lainnya</t>
  </si>
  <si>
    <t>1.03.xx.27</t>
  </si>
  <si>
    <t>Program pengembangan kinerja pengelolaan air minum dan air limbah</t>
  </si>
  <si>
    <t>1.03.xx.28</t>
  </si>
  <si>
    <t>Program pengendalian banjir</t>
  </si>
  <si>
    <t>1.03.xx.29</t>
  </si>
  <si>
    <t>Program pengembangan wilayah strategis dan cepat tumbuh</t>
  </si>
  <si>
    <t>1.03.xx.30</t>
  </si>
  <si>
    <t>1.03.xx.31</t>
  </si>
  <si>
    <t>Pengembangan Prasarana Perkotaan</t>
  </si>
  <si>
    <t>1.03.xx.32</t>
  </si>
  <si>
    <t>1.03.xx.33</t>
  </si>
  <si>
    <t>Program Peningkatan Sarana dan Prasarana Lingkungan</t>
  </si>
  <si>
    <t>1.03.xx.34</t>
  </si>
  <si>
    <t>Pemberdayaan jasa Konstruksi</t>
  </si>
  <si>
    <t>1.04</t>
  </si>
  <si>
    <t>1.04.xx.15</t>
  </si>
  <si>
    <t>1.04.xx.16</t>
  </si>
  <si>
    <t>1.04.xx.17</t>
  </si>
  <si>
    <t>Program Pemberdayaan komunitas Perumahan</t>
  </si>
  <si>
    <t>1.04.xx.18</t>
  </si>
  <si>
    <t>Program perbaikan perumahan akibat bencana alam/sosial</t>
  </si>
  <si>
    <t>1.04.xx.19</t>
  </si>
  <si>
    <t>1.04.xx.20</t>
  </si>
  <si>
    <t>Program pengelolaan areal pemakaman</t>
  </si>
  <si>
    <t>1.05</t>
  </si>
  <si>
    <t>1.05.xx.15</t>
  </si>
  <si>
    <t>Program Perencanaan Tata Ruang</t>
  </si>
  <si>
    <t>1.05.xx.16</t>
  </si>
  <si>
    <t>Program Pemanfaatan Ruang</t>
  </si>
  <si>
    <t>1.05.xx.17</t>
  </si>
  <si>
    <t>1.06</t>
  </si>
  <si>
    <t>1.06.xx.15</t>
  </si>
  <si>
    <t>Program Pengembangan data/informasi</t>
  </si>
  <si>
    <t>1.06.xx.16</t>
  </si>
  <si>
    <t>Program Kerjasama Pembangunan</t>
  </si>
  <si>
    <t>1.06.xx.17</t>
  </si>
  <si>
    <t xml:space="preserve">Program Pengembangan Wilayah Perbatasan </t>
  </si>
  <si>
    <t>1.06.xx.18</t>
  </si>
  <si>
    <t xml:space="preserve">Program Perencanaan Pengembangan Wilayah Strategis dan cepat tumbuh </t>
  </si>
  <si>
    <t>1.06.xx.19</t>
  </si>
  <si>
    <t>Program Perencanaan Pengembangan Kota-kota menengah dan besar</t>
  </si>
  <si>
    <t>1.06.xx.20</t>
  </si>
  <si>
    <t>Program peningkatan kapasitas kelembagaan perencanaan pembangunan daerah</t>
  </si>
  <si>
    <t>1.06.xx.21</t>
  </si>
  <si>
    <t>Program  perencanaan pembangunan daerah</t>
  </si>
  <si>
    <t>1.06.xx.22</t>
  </si>
  <si>
    <t>Program  perencanaan pembangunan ekonomi</t>
  </si>
  <si>
    <t>1.06.xx.23</t>
  </si>
  <si>
    <t>Program  perencanaan sosial budaya</t>
  </si>
  <si>
    <t>1.06.xx.24</t>
  </si>
  <si>
    <t>Program  perencanaan prasarana wilayah dan sumber daya alam</t>
  </si>
  <si>
    <t>1.06.xx.25</t>
  </si>
  <si>
    <t>Program  perencanaan pembangunan daerah rawan bencana</t>
  </si>
  <si>
    <t>1.07</t>
  </si>
  <si>
    <t>1.07.xx.15</t>
  </si>
  <si>
    <t>Program Pembangunan Prasarana dan Fasilitas Perhubungan</t>
  </si>
  <si>
    <t>1.07.xx.16</t>
  </si>
  <si>
    <t>1.07.xx.17</t>
  </si>
  <si>
    <t>1.07.xx.18</t>
  </si>
  <si>
    <t>1.07.xx.19</t>
  </si>
  <si>
    <t>Pengamanan Hari Raya Lebaran</t>
  </si>
  <si>
    <t>1.07.xx.20</t>
  </si>
  <si>
    <t>Program peningkatan kelaikan pengoperasian kendaraan bermotor</t>
  </si>
  <si>
    <t>1.08</t>
  </si>
  <si>
    <t>1.08.xx.15</t>
  </si>
  <si>
    <t>1.08.xx.16</t>
  </si>
  <si>
    <t>1.08.xx.17</t>
  </si>
  <si>
    <t>1.08.xx.18</t>
  </si>
  <si>
    <t>1.08.xx.19</t>
  </si>
  <si>
    <t>1.08.xx.20</t>
  </si>
  <si>
    <t>1.08.xx.22</t>
  </si>
  <si>
    <t>Program Pengendalian kebakaran hutan</t>
  </si>
  <si>
    <t>1.08.xx.23</t>
  </si>
  <si>
    <t>Program Pengelolaan dan rehabilitasi ekosistem pesisir dan laut</t>
  </si>
  <si>
    <t>1.08.xx.24</t>
  </si>
  <si>
    <t>1.09</t>
  </si>
  <si>
    <t>1.09.xx.15</t>
  </si>
  <si>
    <t>Program pembangunan sistem pendaftaran tanah</t>
  </si>
  <si>
    <t>1.09.xx.16</t>
  </si>
  <si>
    <t>Program Penataan penguasaan, pemilikan, penggunaan dan pemanfaatan tanah</t>
  </si>
  <si>
    <t>1.09.xx.17</t>
  </si>
  <si>
    <t>Program Penyelesaian konflik-konflik pertanahan</t>
  </si>
  <si>
    <t>1.09.xx.18</t>
  </si>
  <si>
    <t>Program Pengembangan Sistem Informasi Pertanahan</t>
  </si>
  <si>
    <t>1.09.xx.19.005</t>
  </si>
  <si>
    <t>1.10</t>
  </si>
  <si>
    <t>1.10.xx.15</t>
  </si>
  <si>
    <t>1.10.xx.16</t>
  </si>
  <si>
    <t>Penyelamatan dan Pelestarian Dokumen/Arsip Daerah</t>
  </si>
  <si>
    <t>1.11</t>
  </si>
  <si>
    <t>1.11.xx.15</t>
  </si>
  <si>
    <t>Program keserasian kebijakan peningkatan kualitas Anak dan Perempuan</t>
  </si>
  <si>
    <t>1.11.xx.16</t>
  </si>
  <si>
    <t>Program Penguatan Kelembagaan Pengarusutamaan Gender dan Anak</t>
  </si>
  <si>
    <t>1.11.xx.17</t>
  </si>
  <si>
    <t>Program Peningkatan Kualitas Hidup dan Perlindungan Perempuan</t>
  </si>
  <si>
    <t>1.11.xx.18</t>
  </si>
  <si>
    <t>Program Peningkatan Peran serta Anak dan Kesetaraan Jender dalam Pembangunan</t>
  </si>
  <si>
    <t>1.11.xx.19</t>
  </si>
  <si>
    <t>Program penguatan kelembagaan pengarusutamaan gender dan anak</t>
  </si>
  <si>
    <t>1.12</t>
  </si>
  <si>
    <t>1.12.xx.15</t>
  </si>
  <si>
    <t>Program Keluarga Berencana</t>
  </si>
  <si>
    <t>1.12.xx.16</t>
  </si>
  <si>
    <t>Program Kesehatan Reproduksi Remaja</t>
  </si>
  <si>
    <t>1.12.xx.17</t>
  </si>
  <si>
    <t>Program pelayanan kontrasepsi</t>
  </si>
  <si>
    <t>1.12.xx.18</t>
  </si>
  <si>
    <t xml:space="preserve">Program Pembinaan Keluarga </t>
  </si>
  <si>
    <t>1.12.xx.19</t>
  </si>
  <si>
    <t>Program promosi kesehatan ibu, bayi dan anak melalui kelompok kegiatan di masyarakat</t>
  </si>
  <si>
    <t>1.12.xx.20</t>
  </si>
  <si>
    <t>Program pengembangan pusat pelayanan informasi dan konseling KRR</t>
  </si>
  <si>
    <t>1.12.xx.21</t>
  </si>
  <si>
    <t>Program peningkatan penanggulangan narkoba, PMS termasuk HIV/ AIDS</t>
  </si>
  <si>
    <t>1.12.xx.22</t>
  </si>
  <si>
    <t>Program pengembangan bahan informasi tentang pengasuhan dan pembinaan tumbuh kembang anak</t>
  </si>
  <si>
    <t>1.12.xx.23</t>
  </si>
  <si>
    <t>Program penyiapan tenaga pendamping kelompok bina keluarga</t>
  </si>
  <si>
    <t>1.12.xx.24</t>
  </si>
  <si>
    <t>Program pengembangan model operasional BKB-Posyandu-PADU</t>
  </si>
  <si>
    <t>1.12.xx.25</t>
  </si>
  <si>
    <t>Program Pembinaan Keluarga Berencana Desa</t>
  </si>
  <si>
    <t>1.12.xx.26</t>
  </si>
  <si>
    <t>Program Bina Keluarga Balita (BKB)</t>
  </si>
  <si>
    <t>1.12.xx.27</t>
  </si>
  <si>
    <t>Program Pengembangan Tribina</t>
  </si>
  <si>
    <t>1.12.xx.28</t>
  </si>
  <si>
    <t>Program Pemberdayaan Ekonomi Keluarga</t>
  </si>
  <si>
    <t>1.13</t>
  </si>
  <si>
    <t>1.13.xx.15</t>
  </si>
  <si>
    <t>1.13.xx.16</t>
  </si>
  <si>
    <t>1.13.xx.17</t>
  </si>
  <si>
    <t>Program pembinaan anak terlantar</t>
  </si>
  <si>
    <t>1.13.xx.18</t>
  </si>
  <si>
    <t>Program pembinaan para penyandang cacat dan trauma</t>
  </si>
  <si>
    <t>1.13.xx.19</t>
  </si>
  <si>
    <t>1.13.xx.20</t>
  </si>
  <si>
    <t>Program pembinaan eks penyandang penyakit sosial (eks narapidana, PSK, narkoba dan penyakit sosial lainnya)</t>
  </si>
  <si>
    <t>1.13.xx.21</t>
  </si>
  <si>
    <t>1.13.xx.22</t>
  </si>
  <si>
    <t>Program Pengelolaan Areal TMP</t>
  </si>
  <si>
    <t>1.13.xx.23</t>
  </si>
  <si>
    <t>Program Pembinaan Pelatihan Pengurus Tempat Penitipan Anak</t>
  </si>
  <si>
    <t>1.14</t>
  </si>
  <si>
    <t>1.14.xx.15</t>
  </si>
  <si>
    <t>1.14.xx.16</t>
  </si>
  <si>
    <t>1.14.xx.17</t>
  </si>
  <si>
    <t>1.14.xx.18</t>
  </si>
  <si>
    <t xml:space="preserve">Program Pengembangan Wilayah Transmigrasi </t>
  </si>
  <si>
    <t>1.15</t>
  </si>
  <si>
    <t>KOPERASI DAN USAHA KECIL MENENGAH</t>
  </si>
  <si>
    <t>1.15.xx.15</t>
  </si>
  <si>
    <t>Program penciptaan iklim Usaha Kecil Menengah yang kondusif</t>
  </si>
  <si>
    <t>1.15.xx.16</t>
  </si>
  <si>
    <t>Program Pengembangan Kewirausahaan dan Keunggulan Kompetitif Usaha Kecil Menengah</t>
  </si>
  <si>
    <t>1.15.xx.17</t>
  </si>
  <si>
    <t>1.15.xx.18</t>
  </si>
  <si>
    <t>Program Peningkatan Kualitas Kelembagaan Koperasi</t>
  </si>
  <si>
    <t>1.15.xx.19</t>
  </si>
  <si>
    <t>Program pengembangan Industri kecil dan menengah</t>
  </si>
  <si>
    <t>1.15.xx.20</t>
  </si>
  <si>
    <t>1.16</t>
  </si>
  <si>
    <t>1.16.xx.15</t>
  </si>
  <si>
    <t>1.16.xx.16</t>
  </si>
  <si>
    <t>Program Peningkatan Iklim Investasi dan Realisasi Investasi</t>
  </si>
  <si>
    <t>1.16.xx.17</t>
  </si>
  <si>
    <t>Program Penyiapan potensi sumberdaya, sarana dan prasarana daerah</t>
  </si>
  <si>
    <t>1.16.xx.18</t>
  </si>
  <si>
    <t>Program Pemetaan Kawasan Potensi di Kabupaten Temanggung</t>
  </si>
  <si>
    <t>1.17</t>
  </si>
  <si>
    <t>1.17.xx.15</t>
  </si>
  <si>
    <t>Program Pengembangan Nilai Budaya</t>
  </si>
  <si>
    <t>1.17.xx.16</t>
  </si>
  <si>
    <t>Program Pengelolaan Kekayaan Budaya</t>
  </si>
  <si>
    <t>1.17.xx.17</t>
  </si>
  <si>
    <t>Program Pengelolaan Keragaman Budaya</t>
  </si>
  <si>
    <t>1.17.xx.18</t>
  </si>
  <si>
    <t>Program pengembangan kerjasama pengelolaan kekayaan budaya</t>
  </si>
  <si>
    <t>1.18</t>
  </si>
  <si>
    <t>1.18.xx.15</t>
  </si>
  <si>
    <t>Program Pengembangan dan Keserasian Kebijakan Pemuda</t>
  </si>
  <si>
    <t>1.18.xx.16</t>
  </si>
  <si>
    <t>Program peningkatan peran serta kepemudaan</t>
  </si>
  <si>
    <t>1.18.xx.17</t>
  </si>
  <si>
    <t>Program peningkatan upaya penumbuhan kewirausahaan dan kecakapan hidup pemuda</t>
  </si>
  <si>
    <t>1.18.xx.18</t>
  </si>
  <si>
    <t>Program upaya pencegahan penyalahgunaan narkoba</t>
  </si>
  <si>
    <t>1.18.xx.19</t>
  </si>
  <si>
    <t>Program Pengembangan Kebijakan dan Manajemen Olahraga</t>
  </si>
  <si>
    <t>1.18.xx.20</t>
  </si>
  <si>
    <t>1.18.xx.21</t>
  </si>
  <si>
    <t>1.19</t>
  </si>
  <si>
    <t>Kesatuan Bangsa dan Politik Dalam Negeri</t>
  </si>
  <si>
    <t>1.19.xx.15</t>
  </si>
  <si>
    <t>Program peningkatan keamanan dan kenyamanan lingkungan</t>
  </si>
  <si>
    <t>1.19.xx.16</t>
  </si>
  <si>
    <t>1.19.xx.17</t>
  </si>
  <si>
    <t>Program pengembangan wawasan kebangsaan</t>
  </si>
  <si>
    <t>1.19.xx.18</t>
  </si>
  <si>
    <t>Program kemitraan pengembangan wawasan kebangsaan</t>
  </si>
  <si>
    <t>1.19.xx.19</t>
  </si>
  <si>
    <t>1.19.xx.20</t>
  </si>
  <si>
    <t>Program peningkatan pemberantasan penyakit masyarakat (pekat)</t>
  </si>
  <si>
    <t>1.19.xx.21</t>
  </si>
  <si>
    <t>Program pendidikan politik masyarakat</t>
  </si>
  <si>
    <t>1.19.xx.22</t>
  </si>
  <si>
    <t>Program pencegahan dini dan penanggulangan korban bencana alam</t>
  </si>
  <si>
    <t>1.19.xx.23</t>
  </si>
  <si>
    <t>Program Peningkatan Kerukunan Antar Umat Beragama</t>
  </si>
  <si>
    <t>1.19.xx.24</t>
  </si>
  <si>
    <t>Program peningkatan keamanan</t>
  </si>
  <si>
    <t>1.19.xx.25</t>
  </si>
  <si>
    <t>Program Pencegahan dan Kesiapsiagaan</t>
  </si>
  <si>
    <t>1.19.xx.26</t>
  </si>
  <si>
    <t>Program Tanggap Darurat dan Logistik</t>
  </si>
  <si>
    <t>1.19.xx.27</t>
  </si>
  <si>
    <t>Program Rehabilitasi dan Rekonstruksi Pasca Bencana</t>
  </si>
  <si>
    <t>1.20</t>
  </si>
  <si>
    <t>1.20.xx.15</t>
  </si>
  <si>
    <t>Program peningkatan kapasitas lembaga perwakilan rakyat daerah</t>
  </si>
  <si>
    <t>1.20.xx.16</t>
  </si>
  <si>
    <t>Program peningkatan pelayanan kedinasan kepala daerah/wakil kepala daerah</t>
  </si>
  <si>
    <t>1.20.xx.17</t>
  </si>
  <si>
    <t>Program peningkatan dan Pengembangan pengelolaan keuangan daerah</t>
  </si>
  <si>
    <t>1.20.xx.18</t>
  </si>
  <si>
    <t>Program pembinaan dan fasilitasi pengelolaan keuangan kabupaten/ kota</t>
  </si>
  <si>
    <t>1.20.xx.19</t>
  </si>
  <si>
    <t>Program pembinaan dan fasilitasi pengelolaan keuangan desa</t>
  </si>
  <si>
    <t>1.20.xx.20</t>
  </si>
  <si>
    <t>Program peningkatan sistem pengawasan internal dan pengendalian pelaksanaan kebijakan KDH</t>
  </si>
  <si>
    <t>1.20.xx.21</t>
  </si>
  <si>
    <t>Program Peningkatan Profesionalism tenaga pemeriksa dan aparatur pengawasan</t>
  </si>
  <si>
    <t>1.20.xx.22</t>
  </si>
  <si>
    <t>Program Penataan dan Penyempurnaan kebijakan sistem dan prosedur pengawasan</t>
  </si>
  <si>
    <t>1.20.xx.23</t>
  </si>
  <si>
    <t>Program optimalisasi pemanfaatan teknologi informasi</t>
  </si>
  <si>
    <t>1.20.xx.24</t>
  </si>
  <si>
    <t>Program Mengintensifkan penanganan pengaduan masyarakat</t>
  </si>
  <si>
    <t>1.20.xx.25</t>
  </si>
  <si>
    <t>Program Peningkatan Kerjasama Antar Pemerintah Daerah</t>
  </si>
  <si>
    <t>1.20.xx.26</t>
  </si>
  <si>
    <t>Program Penataan Peraturan Perundang-undangan</t>
  </si>
  <si>
    <t>1.20.xx.27</t>
  </si>
  <si>
    <t>Program Penataan Daerah Otonomi Baru</t>
  </si>
  <si>
    <t>1.20.xx.28</t>
  </si>
  <si>
    <t>Program Peningkatan Kapasitas Aparatur Pemerintahan Desa</t>
  </si>
  <si>
    <t>1.20.xx.29</t>
  </si>
  <si>
    <t>Program Pengendalian Pelaksanaan Kegiatan APBD</t>
  </si>
  <si>
    <t>1.20.xx.30</t>
  </si>
  <si>
    <t>Program Penataan Penguasaaan, pemilikan, penggunaan dan pemanfaatan tanah</t>
  </si>
  <si>
    <t>1.20.xx.31</t>
  </si>
  <si>
    <t>Program Peningkatan Pelayanan Perijinan</t>
  </si>
  <si>
    <t>1.20.xx.32</t>
  </si>
  <si>
    <t>Program Pendidikan Kedinasan</t>
  </si>
  <si>
    <t>1.20.xx.33</t>
  </si>
  <si>
    <t>Program peningkatan kapasitas sumberdaya aparatur</t>
  </si>
  <si>
    <t>1.20.xx.34</t>
  </si>
  <si>
    <t>Program Pembinaan dan Pengembangan Aparatur</t>
  </si>
  <si>
    <t>1.20.xx.35</t>
  </si>
  <si>
    <t>Program administrasi kepegawaian</t>
  </si>
  <si>
    <t>1.20.xx.36</t>
  </si>
  <si>
    <t>Program Peningkatan Jasa Publik Sebagai Penghasil PAD</t>
  </si>
  <si>
    <t>1.20.xx.37</t>
  </si>
  <si>
    <t>Program Pengelolaan Barang Milik Daerah</t>
  </si>
  <si>
    <t>1.20.xx.38</t>
  </si>
  <si>
    <t>Program Perencanaan Pembangunan Ekonomi Daerah</t>
  </si>
  <si>
    <t>1.20.xx.39</t>
  </si>
  <si>
    <t>Program Peningkatan Kapasitas BUMD</t>
  </si>
  <si>
    <t>1.21</t>
  </si>
  <si>
    <t>1.21.xx.16</t>
  </si>
  <si>
    <t>Program Peningkatan Ketahanan Pangan pertanian/perkebunan</t>
  </si>
  <si>
    <t>1.21.xx.17</t>
  </si>
  <si>
    <t>dst........</t>
  </si>
  <si>
    <t>1.22</t>
  </si>
  <si>
    <t>1.22.xx.15</t>
  </si>
  <si>
    <t>Program Peningkatan Keberdayaan Masyarakat Pedesaan</t>
  </si>
  <si>
    <t>1.22.xx.16</t>
  </si>
  <si>
    <t>Program pengembangan lembaga ekonomi pedesaan</t>
  </si>
  <si>
    <t>1.22.xx.17</t>
  </si>
  <si>
    <t xml:space="preserve">Program peningkatan partisipasi masyarakat dalam membangun desa/Kelurahan </t>
  </si>
  <si>
    <t>1.22.xx.18</t>
  </si>
  <si>
    <t>Program peningkatan kapasitas aparatur pemerintah desa</t>
  </si>
  <si>
    <t>1.22.xx.19</t>
  </si>
  <si>
    <t>Program peningkatan peran perempuan di perdesaan</t>
  </si>
  <si>
    <t>1.22.xx.20</t>
  </si>
  <si>
    <t>Program Pengembangan Kecamatan - Program Nasional Pemberdayaan Masyarakat (PPK-PNPM)</t>
  </si>
  <si>
    <t>1.22.xx.21</t>
  </si>
  <si>
    <t>Program Nasional Pemberdayaan Masyarakat Mandiri Pedesaan (PNPM-MD)</t>
  </si>
  <si>
    <t>1.22.xx.22</t>
  </si>
  <si>
    <t>Program Peningkatan Ketahanan Masyarakat Desa/Kelurahan</t>
  </si>
  <si>
    <t>1.23</t>
  </si>
  <si>
    <t>1.23.xx.15</t>
  </si>
  <si>
    <t>Program pengembangan data/informasi/statistik daerah</t>
  </si>
  <si>
    <t>1.24</t>
  </si>
  <si>
    <t>1.24.xx.15</t>
  </si>
  <si>
    <t>Program perbaikan sistem administrasi kearsipan</t>
  </si>
  <si>
    <t>1.24.xx.16</t>
  </si>
  <si>
    <t>Program penyelamatan dan pelestarian dokumen/arsip daerah</t>
  </si>
  <si>
    <t>1.24.xx.17</t>
  </si>
  <si>
    <t>Program pemeliharaan rutin/berkala sarana dan prasarana kerasipan</t>
  </si>
  <si>
    <t>1.24.xx.18</t>
  </si>
  <si>
    <t>Program peningkatan kualitas pelayanan informasi</t>
  </si>
  <si>
    <t>1.25</t>
  </si>
  <si>
    <t>1.25.xx.15</t>
  </si>
  <si>
    <t>Program Pengembangan Komunikasi, Informasi dan Media Massa</t>
  </si>
  <si>
    <t>1.25.xx.16</t>
  </si>
  <si>
    <t>Program pengkajian dan penelitian bidang komunikasi dan informasi</t>
  </si>
  <si>
    <t>1.25.xx.17</t>
  </si>
  <si>
    <t>Program fasilitasi Peningkatan SDM bidang komunikasi dan informasi</t>
  </si>
  <si>
    <t>1.25.xx.18</t>
  </si>
  <si>
    <t>Program Kerjasama Informasi dengan Media Masa</t>
  </si>
  <si>
    <t>1.25.xx.19</t>
  </si>
  <si>
    <t>1.25.xx.20</t>
  </si>
  <si>
    <t>Program Pengembangan Komunikasi dan Informasi</t>
  </si>
  <si>
    <t>2.01</t>
  </si>
  <si>
    <t>2.01.xx.15</t>
  </si>
  <si>
    <t>Program Peningkatan Kesejahteraan Petani</t>
  </si>
  <si>
    <t>2.01.xx.16</t>
  </si>
  <si>
    <t>Program Peningkatan Ketahanan Pangan (Pertanian/Perkebunan)</t>
  </si>
  <si>
    <t>2.01.xx.17</t>
  </si>
  <si>
    <t>Program peningkatan pemasaran hasil produksi pertanian/perkebunan</t>
  </si>
  <si>
    <t>2.01.xx.18</t>
  </si>
  <si>
    <t>Program peningkatan penerapan teknologi pertanian/perkebunan</t>
  </si>
  <si>
    <t>2.01.xx.19</t>
  </si>
  <si>
    <t>Program peningkatan produksi pertanian/perkebunan</t>
  </si>
  <si>
    <t>2.01.xx.20</t>
  </si>
  <si>
    <t>Program pemberdayaan penyuluh pertanian/perkebunan lapangan</t>
  </si>
  <si>
    <t>2.01.xx.21</t>
  </si>
  <si>
    <t>Program pencegahan dan penanggulangan penyakit ternak</t>
  </si>
  <si>
    <t>2.01.xx.22</t>
  </si>
  <si>
    <t>Program peningkatan produksi hasil peternakan</t>
  </si>
  <si>
    <t>2.01.xx.23</t>
  </si>
  <si>
    <t>Program peningkatan pemasaran hasil produksi peternakan</t>
  </si>
  <si>
    <t>2.01.xx.24</t>
  </si>
  <si>
    <t>Program peningkatan penerapan teknologi petemakan</t>
  </si>
  <si>
    <t>2.01.xx.25</t>
  </si>
  <si>
    <t>Program pemberdayaan petani</t>
  </si>
  <si>
    <t>2.01.xx.26</t>
  </si>
  <si>
    <t>Program peningkatan ketahanan pangan</t>
  </si>
  <si>
    <t>2.02</t>
  </si>
  <si>
    <t>2.02.xx.15</t>
  </si>
  <si>
    <t>Program Pemanfaatan Potensi Sumber Daya Hutan</t>
  </si>
  <si>
    <t>2.02.xx.16</t>
  </si>
  <si>
    <t>Program rehabilitasi hutan dan lahan</t>
  </si>
  <si>
    <t>2.02.xx.17</t>
  </si>
  <si>
    <t>Perlindungan dan konservasi sumber daya hutan</t>
  </si>
  <si>
    <t>2.02.xx.18</t>
  </si>
  <si>
    <t>Program pemanfaatan kawasan baton industri</t>
  </si>
  <si>
    <t>2.02.xx.19</t>
  </si>
  <si>
    <t>Program pembinaan dan penertiban industri hasil hutan</t>
  </si>
  <si>
    <t>2.02.xx.20</t>
  </si>
  <si>
    <t>Program perencanaan dan pengembangan baton</t>
  </si>
  <si>
    <t>2.02.xx.21</t>
  </si>
  <si>
    <t>Program Peningkatan Produksi, Produktifitas, dan Mutu Produk Perkebunan</t>
  </si>
  <si>
    <t>2.03</t>
  </si>
  <si>
    <t>2.03.xx.15</t>
  </si>
  <si>
    <t>Program pembinaan dan pengawasan bidang pertambangan</t>
  </si>
  <si>
    <t>2.03.xx.16</t>
  </si>
  <si>
    <t>Program pengawasan dan penertiban kegiatan rakyat yang berpotensi merusak lingkungan</t>
  </si>
  <si>
    <t>2.03.xx.17</t>
  </si>
  <si>
    <t>Program pembinaan dan pengembangan bidang ketenagalistrikan</t>
  </si>
  <si>
    <t>2.04</t>
  </si>
  <si>
    <t>2.04.xx.15</t>
  </si>
  <si>
    <t>2.04.xx.16</t>
  </si>
  <si>
    <t>Program Pengembangan Destinasi Pariwisata</t>
  </si>
  <si>
    <t>2.04.xx.17</t>
  </si>
  <si>
    <t>Program Pengembangan Kemitraan</t>
  </si>
  <si>
    <t>2.04.xx.18</t>
  </si>
  <si>
    <t>2.05</t>
  </si>
  <si>
    <t>2.05.xx.15</t>
  </si>
  <si>
    <t>Program pemberdayaan ekonomi masyarakat pesisir</t>
  </si>
  <si>
    <t>2.05.xx.16</t>
  </si>
  <si>
    <t>Program pemberdayaan masyarakat dalam pengawasan dan pengendalian sumberdaya kelautan</t>
  </si>
  <si>
    <t>2.05.xx.17</t>
  </si>
  <si>
    <t>Program peningkatan kesadaran dan penegakan hukum dalam pendayagunaan sumberdaya laut</t>
  </si>
  <si>
    <t>2.05.xx.18</t>
  </si>
  <si>
    <t>Program peningkatan mitigasi bencana alam laut dan prakiraan iklim laut</t>
  </si>
  <si>
    <t>2.05.xx.19</t>
  </si>
  <si>
    <t>Program peningkatan kegiatan budaya kelautan dan wawasan maritim kepada masyarakat</t>
  </si>
  <si>
    <t>2.05.xx.20</t>
  </si>
  <si>
    <t>Program pengembangan budidaya perikanan</t>
  </si>
  <si>
    <t>2.05.xx.21</t>
  </si>
  <si>
    <t>Program pengembangan perikanan tangkap</t>
  </si>
  <si>
    <t>2.05.xx.22</t>
  </si>
  <si>
    <t>Program pengembangan sistem Penyuluhan perikanan</t>
  </si>
  <si>
    <t>2.05.xx.23</t>
  </si>
  <si>
    <t>Program optimalisasi pengelolaan dan pemasaran produksi perikanan</t>
  </si>
  <si>
    <t>2.05.xx.24</t>
  </si>
  <si>
    <t>Program pengembangan kawasan budidaya laut, air payau dan air tawar</t>
  </si>
  <si>
    <t>2.06</t>
  </si>
  <si>
    <t>2.06.xx.15</t>
  </si>
  <si>
    <t>Program Perlindungan Konsumen dan pengamanan perdagangan</t>
  </si>
  <si>
    <t>2.06.xx.16</t>
  </si>
  <si>
    <t>Program Peningkatan Kerjasama Perdagangan Internasional</t>
  </si>
  <si>
    <t>2.06.xx.17</t>
  </si>
  <si>
    <t>Program Peningkatan dan Pengembangan Ekspor</t>
  </si>
  <si>
    <t>2.06.xx.18</t>
  </si>
  <si>
    <t>Program Peningkatan Efisiensi Perdagangan Dalam Negeri</t>
  </si>
  <si>
    <t>2.06.xx.19</t>
  </si>
  <si>
    <t>Program Pembinaan pedagang kaki lima dan asongan</t>
  </si>
  <si>
    <t>2.06.xx.20</t>
  </si>
  <si>
    <t>Program Pengelolaan Pasar Daerah</t>
  </si>
  <si>
    <t>2.06.xx.21</t>
  </si>
  <si>
    <t>Program Peningkatan Sarana dan Prasarana Lainnya</t>
  </si>
  <si>
    <t>2.06.xx.22</t>
  </si>
  <si>
    <t>Program Pembinaan Pedagang</t>
  </si>
  <si>
    <t>2.07</t>
  </si>
  <si>
    <t>2.07.xx.15</t>
  </si>
  <si>
    <t>Program peningkatan Kapasitas Iptek Sistem Produksi</t>
  </si>
  <si>
    <t>2.07.xx.16</t>
  </si>
  <si>
    <t>Program Pengembangan Industri Kecil dan Menengah</t>
  </si>
  <si>
    <t>2.07.xx.17</t>
  </si>
  <si>
    <t>Program Peningkatan Kemampuan Teknologi Industri</t>
  </si>
  <si>
    <t>2.07.xx.18</t>
  </si>
  <si>
    <t>Program Penataan Struktur Industri</t>
  </si>
  <si>
    <t>2.07.xx.19</t>
  </si>
  <si>
    <t>Program Pengembangan sentra-sentra industri potensial</t>
  </si>
  <si>
    <t>2.07.xx.20</t>
  </si>
  <si>
    <t>Program Peningkatan dan Pengembangan IKM  serta Usaha Perdagangan</t>
  </si>
  <si>
    <t>2.07.xx.21</t>
  </si>
  <si>
    <t>Program Penyediaan Informasi Industri</t>
  </si>
  <si>
    <t>2.08</t>
  </si>
  <si>
    <t>2.08.xx.15</t>
  </si>
  <si>
    <t>2.08.xx.16</t>
  </si>
  <si>
    <t>Program Transmigrasi Lokal</t>
  </si>
  <si>
    <t>2.08.xx.17</t>
  </si>
  <si>
    <t>Program Transmigrasi Regional</t>
  </si>
  <si>
    <t>PERUMAHAN</t>
  </si>
  <si>
    <t xml:space="preserve">PENATAAN RUANG   </t>
  </si>
  <si>
    <t xml:space="preserve">PERENCANAAN PEMBANGUNAN   </t>
  </si>
  <si>
    <t>KEPENDUDUKAN DAN CAPIL</t>
  </si>
  <si>
    <t>PEMBERDAYAAN PEREMPUAN</t>
  </si>
  <si>
    <t>KELUARGA BERENCANA DAN KELUARGA SEJAHTERA</t>
  </si>
  <si>
    <t xml:space="preserve">SOSIAL </t>
  </si>
  <si>
    <t>TENAGA KERJA</t>
  </si>
  <si>
    <t>OTDA</t>
  </si>
  <si>
    <t>ESDM</t>
  </si>
  <si>
    <t>KELAUTAN PERIKANAN</t>
  </si>
  <si>
    <t>DINAKAN</t>
  </si>
  <si>
    <t>DINTANBUNHUT</t>
  </si>
  <si>
    <t>Peningkatan Kualitas, Kuantitas, Kontinuitas, dan Diversifikasi Produk Pertanian, Perkebunan, dan Peternakan</t>
  </si>
  <si>
    <t>BAPELUH</t>
  </si>
  <si>
    <t>Peningkatan Penyediaan Sarana dan Prasarana dan Insfrastruktur Pertanian, Perkebunan, dan Peternakan</t>
  </si>
  <si>
    <t>Peningkatan Penerapan Teknologi Perikanan</t>
  </si>
  <si>
    <t>Meningkatnya Kualitas, Kuantitas, Kontinuitas, dan Diversifikasi Produk Perikanan</t>
  </si>
  <si>
    <t>Peningkatan Kualitas, Kuantitas, Kontinuitas, dan Diversifikasi Produk Perikanan</t>
  </si>
  <si>
    <t>KKP</t>
  </si>
  <si>
    <t>Mengembangkan Kawasan Agrowisata</t>
  </si>
  <si>
    <t>DISBUDPARPORA</t>
  </si>
  <si>
    <t>Peningkatan Agroindustri yang Berbasis pada Komoditas Unggulan Daerah</t>
  </si>
  <si>
    <t>DISPERINDAGKOP DAN UMKM</t>
  </si>
  <si>
    <t>Peningkatan Struktur Industri Berbahan Baku Lokal yang Tangguh</t>
  </si>
  <si>
    <t>Peningkatan Pengembangan Kawasan Agropolitan</t>
  </si>
  <si>
    <t>Peningkatan Pengelolaan Sarana dan Prasarana Perdagangan</t>
  </si>
  <si>
    <t>Peningkatan Daya Saing Produk</t>
  </si>
  <si>
    <t>Peningkatan Ketersediaan dan Jaminan Keamanan Produk yang Beredar (Perlindungan Konsumen)</t>
  </si>
  <si>
    <t>Menguatnya Kapasitas dan Kapabilitas Pelaku UMKM</t>
  </si>
  <si>
    <t>Program Pengembangan kewirausahaan dan keunggulan kompetitif UKM</t>
  </si>
  <si>
    <t>Peningkatan Rehabilitasi Lahan dan Konservasi Tanah</t>
  </si>
  <si>
    <t>Peningkatan Peran Serta Masyarakat Dalam Rehabilitasi Lahan Kritis dan Konservasi Lahan</t>
  </si>
  <si>
    <t>DISPERIDAGKOP DAN UMKM</t>
  </si>
  <si>
    <t>TERWUJUDNYA TEMANGGUNG SEBAGAI DAERAH AGRARIS BERWAWASAN LINGKUNGAN, MEMILIKI MASYARAKAT AGAMIS, BERBUDAYA, DAN SEJAHTERA DENGAN PEMERINTAHAN YANG BERSIH</t>
  </si>
  <si>
    <t>MISI 1</t>
  </si>
  <si>
    <t>MISI 2</t>
  </si>
  <si>
    <t>MISI 3</t>
  </si>
  <si>
    <t>MISI 4</t>
  </si>
  <si>
    <t>MISI 5</t>
  </si>
  <si>
    <t>VISI KABUPATEN TEMANGGUNG</t>
  </si>
  <si>
    <t>%</t>
  </si>
  <si>
    <t>Persentase meningkatnya pengelolaan kawasan embung</t>
  </si>
  <si>
    <t>Persentase Peningkatan Kesadaran Masyarakat dalam Pelestarian Lingkungan Hidup</t>
  </si>
  <si>
    <t>Persentase Meningkatnya konservasi hutan dan lahan</t>
  </si>
  <si>
    <t>Produktivitas kali luas panen</t>
  </si>
  <si>
    <t>Embung : Kledung, Nglarangan, Tlogopucang, Ngropoh, Soropadan, Jetis</t>
  </si>
  <si>
    <t>Irigasi usahatani adalah irigasi yang menjadi tanggungjawab desa/ kelompok tani</t>
  </si>
  <si>
    <t>Jalan usahatani adalah jalan yang digunakan untuk pengangkutan sarana dan hasil produksi pertanian</t>
  </si>
  <si>
    <t>Persentase Perkembangan Kawasan Agropolitan</t>
  </si>
  <si>
    <t>Meningkatkan kualitas, kuantitas, kontinuitas dan Diversifikasi Produk Pertanian, Perkebunan dan Peternakan</t>
  </si>
  <si>
    <t>Mengembangkan intensifikasi, diversifikasi pertanian, Perkebunan dan peternakan</t>
  </si>
  <si>
    <t>Meningkatnya produksi, produktivitas dan diversifikasi tanaman pertanian dan perkebunan</t>
  </si>
  <si>
    <t>Cakupan Penanganan Kerawanan Pangan</t>
  </si>
  <si>
    <t>Penanganan Kerawanan pangan dibagi jumlah kerawanan pangan yang terjadi kali 100%</t>
  </si>
  <si>
    <t xml:space="preserve">jumlah sampel aman dibagi jumlah sampel yang dianalisa kali 100% </t>
  </si>
  <si>
    <t>Persentase Ketersediaan Informasi Pasokan,  Harga, dan Akses Pangan</t>
  </si>
  <si>
    <t>Jumlah komoditas yang tersedia informasinya dibagi jumlah komoditas yang ditargetkan kali 100%</t>
  </si>
  <si>
    <t xml:space="preserve">Cakupan meningkatnya alat Ukur Takar Timbang dan Perlengkapannya yang ditera ulang </t>
  </si>
  <si>
    <t>Cakupan pengelolaan sarana dan prasarana pasar</t>
  </si>
  <si>
    <t>Meningkatnya penerapan teknologi, inovasi peternakan</t>
  </si>
  <si>
    <t>Peningkatan Penerapan Teknologi, inovasi Peternakan</t>
  </si>
  <si>
    <t>Meningkatnya nilai tambah hasil produksi pertanian</t>
  </si>
  <si>
    <t>Peningkatan Nilai Tambah hasil produksi Pertanian</t>
  </si>
  <si>
    <t>Peningkatan Kualitas hasil produksi pertanian, perkebunan dan peternakan</t>
  </si>
  <si>
    <t>Meningkatnya kualitas hasil produksi pertanian, perkebiunan dan peternakan</t>
  </si>
  <si>
    <t>Meningkatnya produktivitas ternak</t>
  </si>
  <si>
    <t>Peningkatan produktivitas ternak</t>
  </si>
  <si>
    <t xml:space="preserve">Peningkatan Penyelenggaraan Penyuluhan </t>
  </si>
  <si>
    <t>Meningkatnya penerapan teknologi, dan inovasi  Pertanian</t>
  </si>
  <si>
    <t>Meningkatkan penerapan teknologi, dan inovasi Pertanian</t>
  </si>
  <si>
    <t>Peningkatan Penerapan Teknologi dan inovasi Pertanian</t>
  </si>
  <si>
    <t xml:space="preserve">Pengembangan Teknologi dan Inovasi,  Pertanian </t>
  </si>
  <si>
    <t>Meningkatnya ketahanan pangan</t>
  </si>
  <si>
    <t>Meningkatnya kunjungan wisatawan</t>
  </si>
  <si>
    <t>Peningkatan pengembangan destinasi, pemasaran dan kemitraan pariwisata</t>
  </si>
  <si>
    <t>Pengembangan Agribisnis Berbasis Komoditas Unggulan Daerah</t>
  </si>
  <si>
    <t>Cakupan promosi produk unggulan daerah</t>
  </si>
  <si>
    <t>jumlah pameran produk unggulan daerah pada tahun n</t>
  </si>
  <si>
    <t>Jumlah pedagang/pelaku usaha kecil yg dibina pada tahun n</t>
  </si>
  <si>
    <t>org</t>
  </si>
  <si>
    <t>kali</t>
  </si>
  <si>
    <t>unit</t>
  </si>
  <si>
    <t>-</t>
  </si>
  <si>
    <t>laporan</t>
  </si>
  <si>
    <t>Peningkatan produksi Cabai</t>
  </si>
  <si>
    <t xml:space="preserve">Besaran Kelompok Tani yang menerapkan teknologi dan informasi pertanian dan perkebunan melalui sekolah lapang </t>
  </si>
  <si>
    <t>Kelompok</t>
  </si>
  <si>
    <t>Luas serangan hama dan penyakit yang tertangani dibagi Luas serangan hama dan penyakit kali 100%</t>
  </si>
  <si>
    <t>Ha</t>
  </si>
  <si>
    <t>Besaran Penerapan Pertanian dan Perkebunan Mengarah Organik untuk Komoditas Utama</t>
  </si>
  <si>
    <t>Besaran jumlah jaringan irigasi usaha tani terbangun</t>
  </si>
  <si>
    <t>Cakupan Meningkatnya prosentase Agroindustri yang Berbasis pada Komoditas Unggulan Daerah</t>
  </si>
  <si>
    <t>Cakupan  Nilai Ekspor produk daerah</t>
  </si>
  <si>
    <t>($)</t>
  </si>
  <si>
    <t>Jumlah nilai ekspor pada tahun ke n</t>
  </si>
  <si>
    <t>Tersedianya jumlah laporan informasi harga dan ketersedian bahan pokok dan bahan lainnya pada setiap minggu</t>
  </si>
  <si>
    <t>produk</t>
  </si>
  <si>
    <t>jumlah alat UTTP yang ditera ulang tahun ke n</t>
  </si>
  <si>
    <t>prosentase jumlah koperasi aktif</t>
  </si>
  <si>
    <t xml:space="preserve">Jumlah anggota koperasi tahun ke n </t>
  </si>
  <si>
    <t>Jumlah koperasi yang dibina tahun ke n dibagi jumlah total koperasi kali 100%</t>
  </si>
  <si>
    <t xml:space="preserve">Jumlah LKM berbadan Hukum dibagi jumlah total LKM </t>
  </si>
  <si>
    <t xml:space="preserve">Jumlah UKM yang dibina tahun ke n </t>
  </si>
  <si>
    <t>lamanya wisatawan berkunjung</t>
  </si>
  <si>
    <t>jam</t>
  </si>
  <si>
    <t>paket</t>
  </si>
  <si>
    <t>Pekan Syawalan, Pemilihan Mas dan Mbak, Festival Budaya, Suran Traji, Ruwat Rigen</t>
  </si>
  <si>
    <t>Persentase meningkatnya kunjungan wisatawan</t>
  </si>
  <si>
    <t>Pikatan water park, Rest Area Kledung, monumen meteorit, kawasan wisata posong, jumprit, curug lawe, curug surodipo/curug lawe</t>
  </si>
  <si>
    <t>java promo, pekan syawalan, pemilihan mas dan mbak, desa wisata tlahap, kelompok pencinta alam jogorekso, desa wisata, kelompok sadar wisata, kelompok pencinta alam, bioskop 4 dimensi, jumprit, BKPH (Perum Perhutani), event organiser budaya dan pariwisata.</t>
  </si>
  <si>
    <t>Jumlah bangunan sipil teknis yang dibangun dibagi jumlah kebutuhan bangunan sipil teknis selama lima tahun kali 100%</t>
  </si>
  <si>
    <t>2.01.</t>
  </si>
  <si>
    <t>xx</t>
  </si>
  <si>
    <t>Program Peningkatan dan pengembangan  ekspor</t>
  </si>
  <si>
    <t>Program Pembinaan dan Penertiban Industri Hasil Hutan</t>
  </si>
  <si>
    <t>Besaran jumlah jalan usaha tani</t>
  </si>
  <si>
    <t>Jumlah hewan yang mati karena penyakit dibagi jumlah total populasi yang bersangkutan kali 100%</t>
  </si>
  <si>
    <t xml:space="preserve">Besaran meningkatnya Pengembangan Produk/event/atraksi Wisata </t>
  </si>
  <si>
    <t xml:space="preserve">Besaran Meningkatnya Pengelolaan Wisata </t>
  </si>
  <si>
    <t>Besaran Pengembangan Kemitraan Pariwisata</t>
  </si>
  <si>
    <t>INDIKATOR KINERJA DAERAH</t>
  </si>
  <si>
    <t>SOSIAL</t>
  </si>
  <si>
    <t>Meningkatkan Penanganan Permasalahan Sosial Kemasyarakatan</t>
  </si>
  <si>
    <t>Meningkatnya Penanganan Penyandang Masalah Kesejahteraan Sosial ( PMKS )</t>
  </si>
  <si>
    <t>Peningkatan Penanganan Penyandang Masalah Kesejahteraan Sosial ( PMKS )</t>
  </si>
  <si>
    <t>Mewujudkan Kesejahteraan Sosial Masyarakat</t>
  </si>
  <si>
    <r>
      <t xml:space="preserve">Program Pelayanan dan Rehabilitasi Kesejahteraan Sosial                                  </t>
    </r>
    <r>
      <rPr>
        <sz val="12"/>
        <color indexed="13"/>
        <rFont val="Arial Narrow"/>
        <family val="2"/>
      </rPr>
      <t/>
    </r>
  </si>
  <si>
    <t>Persentase PMKS yang Memperoleh Bantuan Sosial untuk Pemenuhan Kebutuhan Dasar</t>
  </si>
  <si>
    <t>Dinas Sosial</t>
  </si>
  <si>
    <t>Jumlah PMKS yang memperoleh bantuan sosial dalam 1 tahun dibagi Jumlah PMKS skala kabupaten dalam 1 tahun yang seharusnya memperoleh bantuan sosial x 100</t>
  </si>
  <si>
    <t>sasaran : jumlah Fakir Miskin (FM), Perempuan Rawan Sosial Ekonomi (PRSE),  Anak Terlantar di dalam maupun luar Panti</t>
  </si>
  <si>
    <t xml:space="preserve">Program pembinaan anak terlantar                             </t>
  </si>
  <si>
    <t>Persentase anak terlantar yang tertangani</t>
  </si>
  <si>
    <t xml:space="preserve">Program Pelayanan dan Rehabilitasi Kesejahteraan Sosial                              </t>
  </si>
  <si>
    <t>Cakupan PMKS yang Memperoleh Rehabilitasi Sosial</t>
  </si>
  <si>
    <t>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t>
  </si>
  <si>
    <t xml:space="preserve">Program pembinaan para penyandang cacat dan trauma                                          </t>
  </si>
  <si>
    <t>Persentase Penyandang Cacat Fisik dan Mental Serta Lanjut Usia Tidak Potensial yang Telah Menerima Jaminan Sosial</t>
  </si>
  <si>
    <t>Cakupan PMKS yang Memperoleh Pemberdayaan Sosial melalui KUBE atau kelompok Sosial Ekonomi sejenis</t>
  </si>
  <si>
    <t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t>
  </si>
  <si>
    <t>Cakupan PMKS yang Memperoleh Perlindungan Sosial</t>
  </si>
  <si>
    <t xml:space="preserve">Jumlah PMKS yang mendapat program perlindungan Sosial dalam 1 (satu) tahun  dibagi Jumlah PMKS dalam 1 (satu)  tahun yang seharusnya mendapatkan program perlindungan sosial </t>
  </si>
  <si>
    <t xml:space="preserve">bentuk perlindungan diluar bantuan sosial Sasaran : Anak dan Balita Terlantar, Anak Berhadapan dengan Hukum, Anak dengan Kedisabilitasan,  Anak yang memerlukan perlindungan Khusus, Migran Bermasalah Korban Tindak Kekerasan </t>
  </si>
  <si>
    <t xml:space="preserve">Cakupan Bantuan Rumah Tidak Layak Huni </t>
  </si>
  <si>
    <t xml:space="preserve">Jumlah KK RTLH yang telah menerima bantuan sosial dibagi Jumlah RTLH  yang seharusnya mendapatkan bansos x 100 </t>
  </si>
  <si>
    <t>Meningkatkan Potensi Sumber Kesejahteraan Sosial</t>
  </si>
  <si>
    <t xml:space="preserve">Peningkatan Potensi Sumber Kesejahteraan Sosial </t>
  </si>
  <si>
    <t>jumlah panti sosial  yang menyediakan sarana prasarana pelayanan kesejahteraan sosial dalam 1 (satu) tahun dibagi Jumlah panti sosial  dalam 1 (satu) tahun yang seharusnya menyediakan sarana prasarana pelayanan kesejahteraan sosial x 100</t>
  </si>
  <si>
    <t xml:space="preserve"> Panti Sosial terdiri dari Panti Asuhan Anak dan Rumah Perlindungan Sosial </t>
  </si>
  <si>
    <t>Cakupan Dunia Usaha yang mengalokasikan CSR dalam Penanganan PMKS</t>
  </si>
  <si>
    <t xml:space="preserve">jumlah Dunia Usaha yang melaksanakan CSR  terhadap PMKS dibagi Jumlah Dunia Usaha yang  melaksanakan CSR </t>
  </si>
  <si>
    <t>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t>
  </si>
  <si>
    <t>Cakupan Karang Taruna, PSM, dan Organisasi Sosial lainnya dalam Penanganan PMKS</t>
  </si>
  <si>
    <t>Jumlah Karang Taruna, Petugas Sosial Masyarakat dan Organisasi sosial lainnya yang telah berperan dalam penanganan permasalahan Sosial dibagi Jumlah Karang Taruna, Petugas Sosial Masyarakat dan Organisasi sosial lainnya yang seharusnya melaksanakan kegiatan penanganan PMKS x 100</t>
  </si>
  <si>
    <t>Orsos lainnnya seperti TKSK, K3S, Komda Lansia, Tagana, LK3</t>
  </si>
  <si>
    <t>Cakupan Wahana Kesejahteraan Sosial Berbasis Masyarakat (WKSBM) yang Menyediakan Sarana dan Prasarana Pelayanan Kesejahteraan Sosial</t>
  </si>
  <si>
    <t>Persentase  WKBSM dalam 1 (satu) tahun yang menyediakan sarana prasarana pelayanan kesejahteraan sosial dibagi Persentase  WKBSM dalam 1 (satu) tahun yang seharusnya menyediakan sarana prasarana pelayanan kesejahteraan sosial x 100</t>
  </si>
  <si>
    <t>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t>
  </si>
  <si>
    <t>Meningkatkan Kesejahteraan Rumah Tangga Sasaran</t>
  </si>
  <si>
    <t>Meningkatnya Kesejahteraan Rumah Tangga Sasaran</t>
  </si>
  <si>
    <t>Peningkatan Kesejahteraan Rumah Tangga Sasaran</t>
  </si>
  <si>
    <t>Persentase Perlindungan Sosial  terhadap Rumah Tangga Sasaran</t>
  </si>
  <si>
    <t>Jumlah Rumah Tangga Sasaran yang mendapatkan perlindungan sosial dibagi Jumlah Rumah Tangga Sasaran x 100</t>
  </si>
  <si>
    <t>Program Pemberdayaan Fakir Miskin</t>
  </si>
  <si>
    <t>Meningkatkan Pencegahan,  Penanggulangan, dan Penanganan Bencana</t>
  </si>
  <si>
    <t>Meningkatnya Pencegahan, Penanggulangan, dan Penanganan Bencana</t>
  </si>
  <si>
    <t>Peningkatan Pencegahan, Penanggulangan, dan Penanganan Bencana</t>
  </si>
  <si>
    <t>Mewujudkan kesejahteraan sosial masyarakat</t>
  </si>
  <si>
    <t xml:space="preserve">program pencegahan dan kesiapsiagaan </t>
  </si>
  <si>
    <t>program tanggap darurat dan logistik</t>
  </si>
  <si>
    <t>BPBD / DPU</t>
  </si>
  <si>
    <t>jumlah kerusakan akibat bencana dalam 1 tahun yang terbangun kembali melalui rahabilitasi dan rekonstruksi pasca bencana dibagi jumlah kerusakan akibat bencana dalam 1 tahun yang seharusnya terbangun kembali melalui rahabilitasi dan rekonstruksi pasca bencana</t>
  </si>
  <si>
    <t>program rehabilitasi dan rekonstruksi pasca bencana</t>
  </si>
  <si>
    <t>Persentase Korban Bencana Skala Kabupaten yang Menerima Bantuan Sosial Selama Masa Tanggap Darurat</t>
  </si>
  <si>
    <t>jumlah korban bencana dalam 1 tahun yang menerima bantuan sosial selama masa tanggap darurat/ jumlah korban bencana dalam 1 tahun yang seharusnya menerima bantuan sosial selama masa tanggap darurat</t>
  </si>
  <si>
    <t>Persentase Korban Bencana Skala Kabupaten yang di Evakuasi Menggunakan Sarana dan Prasarana Tanggap Darurat Lengkap</t>
  </si>
  <si>
    <t>jumlah korban bencana skala kab/ kota yang dievakuasi dengan menggunakan sarana prasarana tanggap darurat lengkap dalam 1 tahun: jumlah korban bencana skala kab/ kota yang seharusnya dievakuasi dengan menggunakan sarana prasarana tanggap darurat lengkap dalam 1 tahun</t>
  </si>
  <si>
    <t>KETENAGAKERJAAN</t>
  </si>
  <si>
    <t>Meningkatkan Perluasan Kesempatan Kerja</t>
  </si>
  <si>
    <t>Meningkatnya Kualitas dan Produktifitas Tenaga Kerja</t>
  </si>
  <si>
    <t>Peningkatan Kualitas dan Produktifitas Tenaga Kerja</t>
  </si>
  <si>
    <t>Persentase Tenaga Kerja yang Mendapatkan Pelatihan Berbasis Kompetensi</t>
  </si>
  <si>
    <t>Disnakertran</t>
  </si>
  <si>
    <t xml:space="preserve">jumlah tenaga kerja yang dilatih dibagi jumlah pendaftar pelatihan berbasis kompetensi X 100 </t>
  </si>
  <si>
    <t>Persentase Tenaga Kerja yang Mendapatkan Pelatihan Berbasis Masyarakat</t>
  </si>
  <si>
    <t xml:space="preserve">jumlah tenaga kerja yang dilatih dibagi jumlah pendaftar pelatihan berbasis masyarakat X 100 </t>
  </si>
  <si>
    <t>Persentase Tenaga Kerja yang Mendapatkan Pelatihan Berbasis Kewirausahaan</t>
  </si>
  <si>
    <t xml:space="preserve">jumlah tenaga kerja yang dilatih dibagi jumlah pendaftar pelatihan berbasis kewirausahaan X 100 </t>
  </si>
  <si>
    <t>Meningkatknya Kesempatan Kerja dan Menurunkan Tingkat Pengangguran</t>
  </si>
  <si>
    <t>Peningkatan Kesempatan Kerja dan Menurunkan Tingkat Pengangguran</t>
  </si>
  <si>
    <t>Persentase Pencari Kerja Terdaftar yang ditempatkan Kerja</t>
  </si>
  <si>
    <t xml:space="preserve">jumlah pencari kerja yang ditempatkan dibagi Jumlah pencari kerja terdaftar X 100 </t>
  </si>
  <si>
    <t>Tingkat Kesempatan Kerja</t>
  </si>
  <si>
    <t>jumlah penduduk yang bekerja dibagi jumlah angkatan kerja X 100 %</t>
  </si>
  <si>
    <t>Tingkat Pengangguran Terbuka</t>
  </si>
  <si>
    <t>Jumlah Penganggur Terbuka Usia Angkatan Kerja dibagi Jumlah penduduk angkatan kerja X 100</t>
  </si>
  <si>
    <t>Tingkat Partisipasi Angkatan Kerja</t>
  </si>
  <si>
    <t>Jumlah Penduduk Angkatan Kerja dibagi jumlah penduduk usia kerja  X 100</t>
  </si>
  <si>
    <t>Penduduk usia kerja adalah penduduk usia 15-64 tahun</t>
  </si>
  <si>
    <t xml:space="preserve">Meningkatnya Perlindungan Tenaga Kerja dan Pengembangan Lembaga </t>
  </si>
  <si>
    <t xml:space="preserve">Peningkatan Perlindungan Tenaga Kerja dan Pengembangan Lembaga </t>
  </si>
  <si>
    <t>Besaran Pemeriksaan Perusahaan</t>
  </si>
  <si>
    <t>Jumlah perusahaan yang telah diperiksa dibagi Jumlah perusahaan yang terdaftar X 100</t>
  </si>
  <si>
    <t>Jumlah pekerja/buruh peserta program jamsostek dibagi jumlah pekerja/buruh X 100</t>
  </si>
  <si>
    <t>Persentase Kasus yang diselesaikan Dengan Perjanjian Bersama</t>
  </si>
  <si>
    <t>Jumlah Kasus yang diselesaikan Dengan Perjanjian Bersama dibagi  Jumlah kasus  yang dicatatkan X 100</t>
  </si>
  <si>
    <t>Persentase Pengujian Peralatan diperusahaan</t>
  </si>
  <si>
    <t>Jumlah Peralatan yang diuji dibagi  Jumlah peralatan yang terdaftar X 100</t>
  </si>
  <si>
    <t>Meningkatkan Pemberdayaan Masyarakat Perdesaan dan Perkotaan</t>
  </si>
  <si>
    <t>Meningkatnya Keberdayaan Masyarakat Perdesaan dan Perkotaan</t>
  </si>
  <si>
    <t>Peningkatan kualitas dan kuantitas pemberdayaan masyarakat</t>
  </si>
  <si>
    <t>Program Peningkatan Ketahanan Masyarakat Desa</t>
  </si>
  <si>
    <t>BAPERMADES</t>
  </si>
  <si>
    <t>Program Peningkatan Partisipasi Masyarakat dalam Membangun Desa/Kelurahan</t>
  </si>
  <si>
    <t xml:space="preserve">Cakupan Perencanaan Pembangunan Desa yang Partisipatif </t>
  </si>
  <si>
    <t>Jumlah Desa yang melaksanakan perencanaan pembangunan desa secara partisipatif dibagi jumlah desa x 100</t>
  </si>
  <si>
    <t>Perencanaan Partisipatif adalah melibatkan seluruh kelembagaan dan perwakilan masyarakat yang ada di Desa.</t>
  </si>
  <si>
    <t xml:space="preserve">Cakupan Lembaga Ekonomi Masyarakat Desa yang Aktif ( BUMDes, Pasar Desa , UED-SP, Lumbung Pangan ) </t>
  </si>
  <si>
    <t>Jumlah lembaga ekonomi masyarakat desa yang aktif dibagi jumlah lembaga ekonomi masyarakat desa yang ada x 100</t>
  </si>
  <si>
    <t>Program Peningkatan Keberdayaan Masyarakat Desa</t>
  </si>
  <si>
    <t xml:space="preserve">Jumlah Rumah Tangga Sasaran dibagi Jumlah Rumah Tangga X 100 </t>
  </si>
  <si>
    <t>Rumah tangga sasaran adalah RT hasil pendataan tahun 2012 hasil PPLS BPS tahun 2008</t>
  </si>
  <si>
    <t>Cakupan Pemberdayaan masyarakat dalam Teknologi Tepat Guna</t>
  </si>
  <si>
    <t>Jumlah kelompok yang menerapkan  Teknologi Tepat Guna dibagi jumlah kelompok TTG yang ada x 100</t>
  </si>
  <si>
    <t xml:space="preserve">Cakupan bantuan Rumah Layak Huni bagi Rumah Tangga Sasaran </t>
  </si>
  <si>
    <t>Jumlah  bantuan Rumah Layak Huni dibagi jumlah rumah tangga sasaran x 100</t>
  </si>
  <si>
    <t>Rumah tangga sasaran adalah rumah tangga yang mempunyai rumah tipe B dan C</t>
  </si>
  <si>
    <t>Persentase Partisipasi Rumah Tangga Sasaran dalam Musyawarah Perencanaan Pembangunan Desa</t>
  </si>
  <si>
    <t>Jumlah Rumah Tangga Sasaran  yang hadir pada Musrenbang Desa dibagi Jumlah Rumah Tangga Sasaran x 100</t>
  </si>
  <si>
    <t>Program Peningkatan Kapasitas Aparatur Pemerintah Desa</t>
  </si>
  <si>
    <t>Cakupan Penyusunan Profil Desa/Kelurahan</t>
  </si>
  <si>
    <t>Jumlah Desa dan Kelurahan yang telah menyusun profil secara lengkap dan benar dibagi Jumlah Desa dan Kelurahan x 100</t>
  </si>
  <si>
    <t>Meningkatkan Kualitas Penyelenggaraan Transmigrasi</t>
  </si>
  <si>
    <t>Meningkatnya Kualitas Penyelenggaraan Transmigrasi</t>
  </si>
  <si>
    <t>Peningkatan Kualitas Penyelenggaraan Transmigrasi</t>
  </si>
  <si>
    <t>Persentase Penempatan Transmigran</t>
  </si>
  <si>
    <t xml:space="preserve">Jumlah transmigran yang ditempatkan dibagi jumlah calon transmigran X 100 </t>
  </si>
  <si>
    <t>PEMBERDAYAAN PEREMPUAN DAN PERLINDUNGAN ANAK</t>
  </si>
  <si>
    <t>Meningkatkan Pemberdayaan Perempuan,  dan Perlindungan Anak</t>
  </si>
  <si>
    <t>Meningkatnya Pemberdayaan Perempuan, Perlindungan Perempuan, dan Perlindungan Anak</t>
  </si>
  <si>
    <t>Peningkatan Pemberdayaan Perempuan, Perlindungan Perempuan, dan Perlindungan Anak</t>
  </si>
  <si>
    <t>Meningkatkan pemberdayaan perempuan, perlindungan anak, pemberdayaan pemuda dan pengembangan olah raga</t>
  </si>
  <si>
    <t>Cakupan Perempuan dan Anak Korban Kekerasan yang Mendapatkan Penanganan Pengaduan Oleh Petugas Terlatih di Dalam Unit Pelayanan Terpadu</t>
  </si>
  <si>
    <t>BKBPP</t>
  </si>
  <si>
    <t>Jumlah perempuan dan anak korban kekerasan yang mendapatkan penanganan pengaduan oleh petugas terlatih di dalam unit pelayanan terpadu dibagi jumlah perempuan dan anak korban kekerasan yang dilaporkan x 100</t>
  </si>
  <si>
    <t>Cakupan Perempuan dan Anak Korban Kekerasan yang Mendapatkan Pelayanan Kesehatan oleh Tenaga Terlatih di Pukesmas Mampu Tata Laksana KTP/A dan PPT/PKT di Rumah Sakit</t>
  </si>
  <si>
    <t>Jumlag perempuan dan anak korban kekerasan yang mendapatkan layanan kesehatan oleh tenaga kesehatan terlatih di puskesmas maupun RS dibagi jumlah perempuan dan anak korban kekerasan yang dilaporkan x 100</t>
  </si>
  <si>
    <t>Cakupan Layanan Rehabilitasi Sosial yang diberikan Oleh Petugas Rehabilitasi Sosial Terlatih bagi Perempuan dan Anak Korban Kekerasan didalam Unit  Pelayanan Terpadu</t>
  </si>
  <si>
    <t>Jumlah layanan rehabilitasi sosial yang diberikan oleh petugas rehabilitasi sosial terlatih bagi perempuan dan anak korban kekerasan di dalam unit pelayanan terpadu dibagi jumlah perempuan dan anak korban kekerasan yang dilaporkan x 100</t>
  </si>
  <si>
    <t>Cakupan Layanan Bimbingan Rohani yang diberikan oleh Petugas Bimbingan Rohani Terlatih Bagi Perempuan dan Anak Korban Kekerasan di Dalam Unit Pelayanan Terpadu</t>
  </si>
  <si>
    <t>Jumlah layanan bimbingan rohani yang diberikan oleh petugas bimbingan rohani terlatih bagi perempuan dan anak korban kekerasan di dalam unit pelayanan terpadu dibagi jumlah perempuan dan anak korban kekerasan yang dilaporkan x 100</t>
  </si>
  <si>
    <t>Cakupan Penegakan Hukum dari Tingkat Penyidikan Sampai dengan Putusan Pengadilan atas Kasus-kasus Kekerasan</t>
  </si>
  <si>
    <t>Jumlah Penegakan Hukum dari Tingkat Penyidikan Sampai dengan Putusan Pengadilan atas Kasus-kasus Kekerasan dibagi jumlah kasus kekerasan x 100</t>
  </si>
  <si>
    <t>Cakupan Perempuan dan Anak Korban Kekerasan yang Mendapat Layanan Bantuan Hukum</t>
  </si>
  <si>
    <t>Jumlah Perempuan dan Anak Korban Kekerasan yang Mendapat Layanan Bantuan Hukum dibagi jumlah perempuan dan anak korban kekerasan x 100</t>
  </si>
  <si>
    <t xml:space="preserve">Cakupan Layanan Pemulangan bagi Perempuan dan Anak Korban Kekerasan </t>
  </si>
  <si>
    <t>Jumlah Layanan Pemulangan bagi Perempuan dan Anak Korban Kekerasan dibagi jumlah perempuan dan anak korban kekerasan 1 100</t>
  </si>
  <si>
    <t>Cakupan Layanan Reintegrasi Sosial bagi Perempuan dan Anak Korban Kekerasan</t>
  </si>
  <si>
    <t>Jumlah Layanan Reintegrasi Sosial bagi Perempuan dan Anak Korban Kekerasan dibagi jumlah perempuan dan anak korban kekerasan x 100</t>
  </si>
  <si>
    <t>Rasio Kekerasan dalam rumah tangga</t>
  </si>
  <si>
    <t>Rasio</t>
  </si>
  <si>
    <t>jumlah kasus Kekerasan Dalam Rumah Tangga yang dilaporkan dibagi jumlah Rumah Tangga x 100</t>
  </si>
  <si>
    <t>Meningkatkan kesetaraan gender</t>
  </si>
  <si>
    <t>Meningkatknya kesetaraan gender</t>
  </si>
  <si>
    <t>Peningkatan kesetaraan gender</t>
  </si>
  <si>
    <t>Meningkatnya Implementasi Anggaran Responsif Gender</t>
  </si>
  <si>
    <t>Meningkatnya Kualitas Kabupaten Layak Anak</t>
  </si>
  <si>
    <t>Peningkatan Kualitas Kabupaten Layak Anak</t>
  </si>
  <si>
    <t>Cakupan Pencapaian Indikator Klaster Hak Sipil dan Kebebasan</t>
  </si>
  <si>
    <t>Jumlah Indikator Klaster Hak Sipil dan Kebebasan yang tercapai dibagi jumlah indikator klaster hak sipil kali 100</t>
  </si>
  <si>
    <t>Cakupan Pencapaian Indikator Klaster Lingkungan Keluarga dan Pengasuhan Alternatif</t>
  </si>
  <si>
    <t>Jumlah Indikator Klaster Lingkungan Keluarga dan Pengasuhan Alternatif yang tercapai dibagi jumlah Indikator Klaster Lingkungan Keluarga dan Pengasuhan Alternatif x 100</t>
  </si>
  <si>
    <t>Cakupan Pencapaian Indikator Klaster Kesehatan Dasar</t>
  </si>
  <si>
    <t>Jumlah Indikator Klaster Kesehatan Dasar yang tercapai dibagi jumlah indikator klaster kesehatan dasar kali 100</t>
  </si>
  <si>
    <t>Cakupan Pencapaian Indikator Klaster Pendidikan, Pemanfaatan Waktu Luang dan Kegiatan Budaya</t>
  </si>
  <si>
    <t>Jumlah Indikator Klaster Pendidikan, Pemanfaatan Waktu Luang dan Kegiatan Budaya yang tercapai dibagi jumlah indikator Klaster Pendidikan, Pemanfaatan Waktu Luang dan Kegiatan Budaya kali 100</t>
  </si>
  <si>
    <t>Cakupan Pencapaian Indikator Kluster Perlindungan Khusus</t>
  </si>
  <si>
    <t>Jumlah Indikator Kluster Perlindungan Khusus yang tercapai dibagi jumlah indikator kluster perlindungan khusus kali 100</t>
  </si>
  <si>
    <t>Meningkatkan Pemberdayaan Pemuda dan Pengembangan Olagraga</t>
  </si>
  <si>
    <t>Meningkatnya Pembinaan Kepemudaan dan Olahraga</t>
  </si>
  <si>
    <t>Peningkatan Pembinaan Kepemudaan dan Olahraga</t>
  </si>
  <si>
    <t>Besaran kegiatan kepemudaan</t>
  </si>
  <si>
    <t>Kegiatan</t>
  </si>
  <si>
    <t>Dinbudparpora</t>
  </si>
  <si>
    <t>Kegiatan kepemudaan adalah kegiatan atau event kepemudaan yang diselenggarakan dalam bentuk pertandingan, perlombaan dan upacara atau peristiwa sejenis</t>
  </si>
  <si>
    <t>Meningkatnya Sarana dan Prasarana Kepemudaan dan Olahraga</t>
  </si>
  <si>
    <t>Peningkatan Sarana dan Prasarana Kepemudaan dan Olahraga</t>
  </si>
  <si>
    <t>Meningkatnya Prestasi Pemuda dan Atlit Olahraga</t>
  </si>
  <si>
    <t>Peningkatan Prestasi Pemuda dan Atlit Olahraga</t>
  </si>
  <si>
    <t>Kegiatan olah raga</t>
  </si>
  <si>
    <t>Kali</t>
  </si>
  <si>
    <t>Jumlah kegiatan olah raga yang diselenggarakan dalam satu tahun</t>
  </si>
  <si>
    <t>Kegiatan olah raga adalah kegiatan atau event olah raga yang diselenggarakan baik oleh pemerintah, swasta dan masyarakat</t>
  </si>
  <si>
    <t>Meningkatkan kelestarian kebudayaan daerah</t>
  </si>
  <si>
    <t>Program Pengembangan Nilai Keagamaan</t>
  </si>
  <si>
    <t>Meningkatkan Kualitas Sarana dan Prasarana Keagamaan</t>
  </si>
  <si>
    <t>Meningkatnya Kualitas Sarana dan Prasarana Keagamaan</t>
  </si>
  <si>
    <t>Peningkatan Kualitas Sarana dan Prasarana Keagamaan</t>
  </si>
  <si>
    <t>Cakupan Pemberian Bantuan Tempat Ibadah</t>
  </si>
  <si>
    <t>Cakupan Pemberian Bantuan Kepada Pondok Pesantren</t>
  </si>
  <si>
    <t>Cakupan Pemberian Bantuan Kepada TPQ</t>
  </si>
  <si>
    <t>Cakupan Pemberian Bantuan Kepada Madrasah Diniyah</t>
  </si>
  <si>
    <t>Mengembangkan dan Melestarikan Kebudayaan Daerah</t>
  </si>
  <si>
    <t>Meningkatnya Pengembangan dan Pelestarian Kebudayaan Daerah</t>
  </si>
  <si>
    <t>Peningkatan Pengembangan dan Pelestarian Kebudayaan Daerah</t>
  </si>
  <si>
    <t>Cakupan Pemeliharaan Nilai Tradisi Budaya</t>
  </si>
  <si>
    <t>Jumlah Tradisi Budaya yang dipelihara dibagi Jumlah Tradisi Budaya yang ada X 100</t>
  </si>
  <si>
    <t>Cakupan Pemeliharaan Benda-benda Bersejarah dan Arkeologi</t>
  </si>
  <si>
    <t>Jumlah Benda-benda Bersejarah dan Arkeologi yang dipelihara dibagi Jumlah seluruh Benda-benda Bersejarah dan Arkeologi yang ada X 100</t>
  </si>
  <si>
    <t>Meningkatnya Promosi Seni dan Cagar Budaya</t>
  </si>
  <si>
    <t>Peningkatan Promosi Seni dan Cagar Budaya</t>
  </si>
  <si>
    <t>Cakupan Kajian Seni</t>
  </si>
  <si>
    <t>Jumlah kajian kesenian yang dilaksanakan dibagi 15 kali 100</t>
  </si>
  <si>
    <t>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t>
  </si>
  <si>
    <t xml:space="preserve">Cakupan Fasilitas Seni </t>
  </si>
  <si>
    <t>Jumlah fasilitasi kesenian yang dilaksanakan dibagi 7 kali 100</t>
  </si>
  <si>
    <t>Jenis fasilitasi kesenian meliputi penyukuhan, pemberian bantuan, bimbingan organisasi, kaderisasi, promosi, penerbitan dan kritik seni</t>
  </si>
  <si>
    <t xml:space="preserve">Cakupan Gelar Seni </t>
  </si>
  <si>
    <t>Jumlah gelar seni yang dilaksanakan dibagi 4 kali 100</t>
  </si>
  <si>
    <t>Jenis gelar seni meliputi pergelaran, pameran, festival, lomba</t>
  </si>
  <si>
    <t xml:space="preserve">Cakupan Misi Kesenian </t>
  </si>
  <si>
    <t>Jumlah misi kesenian yang dilaksanakan</t>
  </si>
  <si>
    <t>Cakupan Sumber Daya Manusia Kesenian</t>
  </si>
  <si>
    <t>Jumlah jenis sumber daya manusia (SDM) kesenian yang ada dibagi 8 kali 100</t>
  </si>
  <si>
    <t>Kualifikasi Sumber Daya Manusia Kesenian meliputi sarjana seni, pakar seni, pamong budaya, seniman/budayawan, kritikus, insan media massa, pengusaha, penyandang dana</t>
  </si>
  <si>
    <t>Cakupan Tempat Kesenian</t>
  </si>
  <si>
    <t>Jumlah tempat kesenian yang ada dibagi 2 kali 100</t>
  </si>
  <si>
    <t>Tempat kesenian meliputi tempat untuk menggelar seni pertunjukan/ pameran, dan tempat memasarkan karya seni</t>
  </si>
  <si>
    <t>Cakupan Organisasi Kesenian</t>
  </si>
  <si>
    <t>Jumlah organisasi kesenian yang ada dibagi 2 kali 100</t>
  </si>
  <si>
    <t>Organisasi Kesenian meliputi organisasi struktural yang menangani kesenian dan lembaga/dewan kesenian</t>
  </si>
  <si>
    <t>Cakupan Fasilitas Cagar Budaya</t>
  </si>
  <si>
    <t>Jumlah Cagar Budaya yang difasilitasi dibagi Jumlah Cagar Budaya kali 100</t>
  </si>
  <si>
    <t>Cakupan Promosi Cagar Budaya</t>
  </si>
  <si>
    <t>Jumlah Cagar Budaya yang dipromosikan dibagi Jumlah cagar Budaya kali 100</t>
  </si>
  <si>
    <t>Meningkatkan Sarana Budaya dan Kebudayaan</t>
  </si>
  <si>
    <t>Meningkatnya Sarana Budaya dan Kebudayaan</t>
  </si>
  <si>
    <t>Peningkatan Sarana Budaya dan Kebudayaan</t>
  </si>
  <si>
    <t>Cakupan Pengembangan Sarana dan Prasarana Budaya dan Kebudayaan</t>
  </si>
  <si>
    <t xml:space="preserve">Jumlah Sarana dan Prasarana Budaya dan Kebudayaan yang dikembangkan dibagi Jumlah Sarana dan Prasarana Budaya dan Kebudayaan kali 100 </t>
  </si>
  <si>
    <t>KESATUAN BANGSA DAN POLITIK DALAM NEGERI</t>
  </si>
  <si>
    <t>Meningkatkan Kualitas Kehidupan Politik, Wawasan Kebangsaan, Keamanan, dan Ketertiban</t>
  </si>
  <si>
    <t xml:space="preserve">Meningkatnya Kualitas Kehidupan Politik dan Wawasan Kebangsaan </t>
  </si>
  <si>
    <t xml:space="preserve">Peningkatan Kualitas Kehidupan Politik dan Wawasan Kebangsaan </t>
  </si>
  <si>
    <t>meningkatkan kehidupan masyarakat yang berbudaya, aman, tertib, demokratis, dan berwawasan kebangsaan</t>
  </si>
  <si>
    <t>Persentase Peserta Kegiatan Politik Masyarakat</t>
  </si>
  <si>
    <t>Kantor KESBANG</t>
  </si>
  <si>
    <t>Jumlah peserta kegiatan politik masyarakat dibagi jumlah undangan kegiatan politik masyarakat x 100</t>
  </si>
  <si>
    <t>Maksud Kegiatan Politik ??? (ditanyakan Kesbang)</t>
  </si>
  <si>
    <t>Program peningkatan pemberantasan penyakit masyarakat</t>
  </si>
  <si>
    <t>Persentase Kasus Pekat yang Tertangani</t>
  </si>
  <si>
    <t>Jumlah kasus pekat yang tertangani dibagi jumlah kasus pekat yang dilaporkan kali 100</t>
  </si>
  <si>
    <t xml:space="preserve">Persentase Partisipasi Pemilih </t>
  </si>
  <si>
    <t>Jumlah pemilih yang menggunakan hak pilih dibagi jumlah pemilih yang terdaftar kali 100</t>
  </si>
  <si>
    <t>Penurunan Kasus SARA</t>
  </si>
  <si>
    <t>Jumlah kasus Suku Agama Ras Antar Golongan (SARA) yang ada</t>
  </si>
  <si>
    <t>Persentase Penanganan Tindak Penyalahgunaan Narkotika</t>
  </si>
  <si>
    <t>Jumlah tindak penyalahgunaan narkotika yang tertangani dibagi jumlah tindak penyalahgunaan narkotika yang dilaporkan kali 100</t>
  </si>
  <si>
    <t>Meningkatnya Ketertiban dan Keamanan</t>
  </si>
  <si>
    <t>Peningkatan Ketertiban dan Keamanan</t>
  </si>
  <si>
    <t>Cakupan Penegakan Perda dan Peraturan Kepala Daerah</t>
  </si>
  <si>
    <t>Satuan Polisi Pamong Praja</t>
  </si>
  <si>
    <t>Angka Kriminalitas</t>
  </si>
  <si>
    <t>Jumlah tindak kriminal dalam 1 tahun dibagi  jumlah penduduk kali 10.000</t>
  </si>
  <si>
    <t>Cakupan Patroli Siaga Ketertiban Umum dan Ketentraman Masyarakat</t>
  </si>
  <si>
    <t>Rasio Petugas Perlindungan Masyarakat (linmas)</t>
  </si>
  <si>
    <t>Jumlah Anggota linmas yang ada dibagi  jumlah rukun tetangga (RT)</t>
  </si>
  <si>
    <t>Meningkatkan Infrastruktur Jalan dan Jembatan sebagai penunjang perekonomian</t>
  </si>
  <si>
    <t>Meningkatnya sarana Infrastruktur Jalan dan Jembatan yang Memadai</t>
  </si>
  <si>
    <t>Peningkatan aksesibilitas Insfrastruktur bagi pengembangan ekonomi</t>
  </si>
  <si>
    <t>Meningkatkan aksesibilitas Insfrastruktur bagi pengembangan ekonomi</t>
  </si>
  <si>
    <t xml:space="preserve">Persentase Jalan yang Menjamin Pengguna Jalan Berkendara dengan Selamat </t>
  </si>
  <si>
    <t>DPU</t>
  </si>
  <si>
    <t>Persentase Jalan yang Menjamin Kendaraan dapat Berjalan dengan Selamat dan Nyaman</t>
  </si>
  <si>
    <t>Persentase Jalan yang Menjamin Perjalanan dapat dilakukan Sesuai dengan Kecepatan Rencana</t>
  </si>
  <si>
    <t>Program rehabilitasi/ pemeliharaan Jalan dan Jembatan</t>
  </si>
  <si>
    <t>Persentase Jalan yang Kondisi Baik</t>
  </si>
  <si>
    <t>jumlah jalan kondisi baik dan sedang/ jumlah jalan yang ada x 100 %</t>
  </si>
  <si>
    <t>Persentase Jembatan yang Kondisi Baik</t>
  </si>
  <si>
    <t xml:space="preserve"> -</t>
  </si>
  <si>
    <t xml:space="preserve"> - </t>
  </si>
  <si>
    <t>Persentase Tersedianya Alat Berat dengan Kondisi Baik</t>
  </si>
  <si>
    <t>Meningkatkan Insfrastruktur Sumber Daya Air untuk peningkatan produkivitas perekonomian</t>
  </si>
  <si>
    <t>Meningkatnya sarana dan prasarana Insfrastruktur Sumber Daya Air</t>
  </si>
  <si>
    <t>peningkatan Infrastruktur Sumber Daya Air</t>
  </si>
  <si>
    <t>jumlah jaringan irigasi yang kondisi baik dan sedang/ jumlah keseluruhan jaringan irigasi x 100 %</t>
  </si>
  <si>
    <t>PERUMAHAN RAKYAT</t>
  </si>
  <si>
    <t xml:space="preserve">Meningkatkan Sarana dan Prasarana Dasar Permukiman untuk mewujudkan rumah yang layak dan terjangkau </t>
  </si>
  <si>
    <t>Meningkatnya Rumah Sehat dan Layak Huni</t>
  </si>
  <si>
    <t>Peningkatan Rumah Sehat dan Layak Huni</t>
  </si>
  <si>
    <t>Membangun lingkungan hunian bersih dan sehat</t>
  </si>
  <si>
    <t>Cakupan Ketersediaan Rumah Layak Huni</t>
  </si>
  <si>
    <t>berkurangnya Luasan Permukiman Kumuh di kawasan perkotaan</t>
  </si>
  <si>
    <t>Cakupan Sistem Air limbah Skala Komunitas/ Kawasan/ Kota</t>
  </si>
  <si>
    <t>Cakupan Lingkungan yang Sehat dan Aman yang Didukung dengan Prasarana dan Sarana Umum</t>
  </si>
  <si>
    <t>jumlah lingkungan (desa/ kelurahan) yg sehat dan aman yg didukung prasarana sarana utilitas/ jumlah lingkungan (kelurahan/ desa)</t>
  </si>
  <si>
    <t>PENATAAN RUANG</t>
  </si>
  <si>
    <t>Mewujudkan Penataan Ruang yang Memperhatikan Keberlanjutan Sumber Daya Wilayah</t>
  </si>
  <si>
    <t xml:space="preserve">Meningkatnya Perencanaan, Pemanfaatan dan Pengendalian Ruang sesuai Peruntukkannya </t>
  </si>
  <si>
    <t xml:space="preserve">Peningkatan Perencanaan, Pemanfaatan dan Pengendalian Ruang sesuai Peruntukkannya </t>
  </si>
  <si>
    <t>Meningkatkan pengelolaan tata ruang dan lingkungan hidup</t>
  </si>
  <si>
    <t>Cakupan Pemanfaatan Ruang sesuai Peruntukannya</t>
  </si>
  <si>
    <t>DPU/BAPPEDA/KP3M</t>
  </si>
  <si>
    <t xml:space="preserve">Cakupan tindakan awal terhadap pengaduan Masyarakat tentang Pelanggaran di Bidang Penataan Ruang </t>
  </si>
  <si>
    <t>DPU/BAPPEDA/KP3M/               SATPOL PP</t>
  </si>
  <si>
    <t>Cakupan Tersedianya Jalur Pedestrian</t>
  </si>
  <si>
    <t>DPU/BLH</t>
  </si>
  <si>
    <t>Meningkatkan Pengelolaan Lingkungan Hidup berdasarkan Prinsip Pembengunan Berkelanjutan dan Berwawasan Lingkungan</t>
  </si>
  <si>
    <t>Meningkatnya Pengelolaan Persampahan</t>
  </si>
  <si>
    <t>peningkatan Pengelolaan Persampahan</t>
  </si>
  <si>
    <t>Persentase Pengaduan Masyarakat Akibat Adanya Dugaan Pencemaran dan atau Perusakan Lingkungan Hidup yang Ditindaklanjuti</t>
  </si>
  <si>
    <t>BLH</t>
  </si>
  <si>
    <t>Yang dimaksud dengan pengaduan adalah  pengaduan secara tertulis  kepada Bupati atau kepala instansi yang membidangi lingkungan hidup.</t>
  </si>
  <si>
    <t>Persentase Usaha dan atau Kegiatan sumber yang Tidak Bergerak yang Memenuhi Persyaratan Administrasi dan Teknis Pencegahan Pencemaran Udara</t>
  </si>
  <si>
    <t>Persentase Usaha dan atau Kegiatan yang Mentaati Persyaratan Administrasi dan Teknis Pencegahan Pencemaran Air</t>
  </si>
  <si>
    <t>Meningkatnya Kelestarian Lingkungan Hidup</t>
  </si>
  <si>
    <t>Peningkatan Kelestarian Lingkungan Hidup</t>
  </si>
  <si>
    <t>Persentase Perusahaan yang Memiliki Dokumen UKL, UPL, dan AMDAL</t>
  </si>
  <si>
    <t>ENERGI DAN ESDM</t>
  </si>
  <si>
    <t>Meningkatkan Pembinaan dan Pengawasan Pemanfaatan Energi dan Pertambangan Mineral Secara Berkelanjutan dan Berwawasan Lingkungan Hidup</t>
  </si>
  <si>
    <t>Meningkatnya Pembinaan dan Pengawasan Pemanfaatan Energi dan Pertambangan Mineral</t>
  </si>
  <si>
    <t>Peningkatan Pembinaan dan Pengawasan Pemanfaatan Energi dan Pertambangan Mineral</t>
  </si>
  <si>
    <t>Meningkatkan Ketersediaan Pelayanan Transportasi dalam Mendukung Pembangunan Ekonomi dan Pengembangan Wilayah</t>
  </si>
  <si>
    <t>Meningkatnya Transportasi Masyarakat yang Memadai</t>
  </si>
  <si>
    <t>Peningkatan Transportasi Masyarakat yang Memadai</t>
  </si>
  <si>
    <t>Meningkatkan ketersediaan pelayananan transportasi masyarakat</t>
  </si>
  <si>
    <t>Persentase Kendaraan yang Diuji</t>
  </si>
  <si>
    <t>DISHUBKOMINFO</t>
  </si>
  <si>
    <t>Persentase keselamatan angkutan umum</t>
  </si>
  <si>
    <t>Unit</t>
  </si>
  <si>
    <t xml:space="preserve">Tersedianya Fasilitas Kelengkapan Jalan </t>
  </si>
  <si>
    <t>Persentase Angkutan Umum yang Melayani Wilayah yang Tersedia Jaringan Jalan</t>
  </si>
  <si>
    <t xml:space="preserve">Persentase Tersedianya Fasilitas Kelengkapan Jalan </t>
  </si>
  <si>
    <t>jumlah fasilitas kelengkapan jalan yang ada/ jumlah fasilitas kelengkapan jalan yang seharusnya ada</t>
  </si>
  <si>
    <t>Cakupan  perusahan  Angkutan Umum yang Mempunyai Izin Usaha dan Trayek</t>
  </si>
  <si>
    <t>jumlah perusahan angkutan umum yang memiliki  ijin usaha dan trayek di bagi jumlah perusahan angkutan umum  yang ada</t>
  </si>
  <si>
    <t>Meningkatkan Budi Pekerti, Tata Krama Nilai Budaya dan Keteladanan</t>
  </si>
  <si>
    <t>Meningkatnya Budi Pekerti, Tata Krama  dan Tata Nilai Budaya Jawa serta Keteladanan</t>
  </si>
  <si>
    <t>Peningkatan budi pekerti, tata krama, dan tata nilai budaya daerah serta keteladanan</t>
  </si>
  <si>
    <t xml:space="preserve">Mengembangkan Budi Pekerti, Tata Krama, Nilai Budaya dan Keteladanan Melalui Pendidikan </t>
  </si>
  <si>
    <t>Pendidikan anak usia dini, Wajib belajar pendidikan dasar, Pendidikan menengah , dan Pendidikan nonformal</t>
  </si>
  <si>
    <t>Tersusun dan terlaksananya kurikulum muatan lokal Budi Pekerti dan Budaya Jawa</t>
  </si>
  <si>
    <t>Dinas Pendidikan</t>
  </si>
  <si>
    <t>Segera disusun kurikulum muatan lokal Budi Pekerti dan Budaya Jawa di semua jenjang</t>
  </si>
  <si>
    <t>Persentase siswa yang memiliki Buku Teks atau Buku Penunjang atau Buku Pengayaan yang Memuat Budi Pekerti  atau Tata Krama atau  Nilai Budaya Daerah atau Keteladanan</t>
  </si>
  <si>
    <t>Jumlah siswa yang memiliki Buku Teks atau Buku Penunjang atau Buku Pengayaan yang Memuat Budi Pekerti  atau Tata Krama atau  Nilai Budaya Daerah atau Keteladanan dibagi jumlah seluruh siswa kali 100%</t>
  </si>
  <si>
    <t>Program peningkatan mutu pendidik dan tenaga kependidikan</t>
  </si>
  <si>
    <t>Persentase pendidik yang disiplin</t>
  </si>
  <si>
    <t>Jumlah pendidik yang disiplin dibagi jumlah total pendidik kali 100%</t>
  </si>
  <si>
    <t>Dengan surat teguran</t>
  </si>
  <si>
    <t>Program manajemen pelayanan pendidikan</t>
  </si>
  <si>
    <t>Persentase angka kenakalan siswa</t>
  </si>
  <si>
    <t>Jumlah siswa yang dikembalikan kepada orangtua,  dibagi jumlah seluruh siswa kali 100%</t>
  </si>
  <si>
    <t>Dikembalikan karena melanggar disiplin/tata tertib sekolah</t>
  </si>
  <si>
    <t>Meningkatkan Aksesibilitas Masyarakat atas Pelayanan Pendidikan</t>
  </si>
  <si>
    <t>Meningkatnya Aksebilitas Pendidikan Anak Usia Dini</t>
  </si>
  <si>
    <t>Peningkatan aksebilitas pendidikan anak usia dini</t>
  </si>
  <si>
    <t>Persentase APK Pendidikan Anak Usia Dini (Usia 4-6 Tahun)</t>
  </si>
  <si>
    <t>Dinas Pendidkan</t>
  </si>
  <si>
    <t>Jumlah peserta didik TK-sederajat (PAUD Formal) dibagi jumlah penduduk usia 4-6 tahun kali 100%</t>
  </si>
  <si>
    <t>Persentase APK Pendidikan Anak Usia Dini (Usia 0-6 Tahun)</t>
  </si>
  <si>
    <t>Jumlah peserta didik TK-sederajat (PAUD Formal dan Nonformal) dibagi jumlah penduduk usia 0-6 tahun kali 100%</t>
  </si>
  <si>
    <t>Persentase Angka Partisipasi Anak Perempuan (Usia 4-6 Tahun)</t>
  </si>
  <si>
    <t>Jumlah peserta didik perempuan TK-sederajat (PAUD Formal) dibagi jumlah peserta didik laki-laki dan perempuan TK-sederajat (PAUD Formal) kali 100%</t>
  </si>
  <si>
    <t>Persentase Angka Partisipasi Anak Perempuan (Usia 0-6 Tahun)</t>
  </si>
  <si>
    <t>Jumlah peserta didik perempuan TK-sederajat (PAUD Formal dan Nonformal) dibagi jumlah peserta didik laki-laki dan perempuan TK-sederajat (PAUD Formal dan Nonformal) kali 100%</t>
  </si>
  <si>
    <t>Rasio siswa per kelas TK</t>
  </si>
  <si>
    <t>1 : 21</t>
  </si>
  <si>
    <t>Jumlah peserta didik TK-sederajat (PAUD Formal) dibagi jumlah kelas TK-sederajat (PAUD Formal)</t>
  </si>
  <si>
    <t>Meningkatnya Aksebilitas Pendidikan Dasar</t>
  </si>
  <si>
    <t>Peningkatan aksebilitas pendidikan dasar</t>
  </si>
  <si>
    <t>Program wajib belajar pendidikan dasar sembilan tahun</t>
  </si>
  <si>
    <t>Jumlah siswa SD-sederajat dibagi jumlah penduduk usia 7-12 tahun kali 100%</t>
  </si>
  <si>
    <t>Jumlah siswa SD-sederajat usia 7-12 tahun dibagi jumlah penduduk usia 7-12 tahun kali 100%</t>
  </si>
  <si>
    <t>Jumlah siswa SMP-sederajat dibagi jumlah penduduk usia 13-15 tahun kali 100%</t>
  </si>
  <si>
    <t>Jumlah siswa SMP-sederajat usia 13-15 tahun dibagi jumlah penduduk usia 13-15 tahun kali 100%</t>
  </si>
  <si>
    <t>Persentase Angka  Melanjutkan ke SMP Sederajat</t>
  </si>
  <si>
    <t>Jumlah lulusan SD/MI tahun T-1 dibagi jumlah siswa baru tingkat I SMP/MTs tahun T kali 100%</t>
  </si>
  <si>
    <t>Jumlah siswa perempuan SD/MI/SMP/MTs dibagi jumlah siswa perempuan dan laki-laki SD/MI/SMP/MTs kali 100%</t>
  </si>
  <si>
    <t>Rasio Siswa per Kelas SD/MI</t>
  </si>
  <si>
    <t>Angka</t>
  </si>
  <si>
    <t>Jumlah siswa SD/MI dibagi jumlah kelas SD/MI</t>
  </si>
  <si>
    <t>Rasio Siswa per Kelas SMP/MTs</t>
  </si>
  <si>
    <t>Jumlah siswa SMP/MTs dibagi jumlah kelas SMP/MTs</t>
  </si>
  <si>
    <t>Persentase Siswa Miskin Penerima Beasiswa  untuk Menempuh Pendidikan Dasar</t>
  </si>
  <si>
    <t>Jumlah siswa miskin SD/MI/SMP/MTs penerima bantuan/beasiswa miskin dibagi jumlah siswa miskin SD/MI/SMP/MTs</t>
  </si>
  <si>
    <t>Angka Partisipasi Sekolah Usia 7-12 Tahun</t>
  </si>
  <si>
    <t>Jumlah siswa TK/RA/SD/MI/SMP/MTs usia 7-12 tahun dibagi jumlah penduduk usia 7-12 tahun kali 100%</t>
  </si>
  <si>
    <t>Angka Partisipasi Sekolah Usia 13-15 Tahun</t>
  </si>
  <si>
    <t>Jumlah siswa SD/MI/SMP/MTs/SMA/MA/ SMK usia 13-15 tahun dibagi jumlah penduduk usia 13-15 tahun kali 100%</t>
  </si>
  <si>
    <t>Meningkatnya Aksesibilitas Pendidikan Menengah</t>
  </si>
  <si>
    <t>Peningkatan aksebilitas pendidikan menengah</t>
  </si>
  <si>
    <t xml:space="preserve">Program pendidikan menengah </t>
  </si>
  <si>
    <t>Jumlah siswa SMA/MA/SMK-sederajat dibagi jumlah penduduk usia 16-18 tahun kali 100%</t>
  </si>
  <si>
    <t>Jumlah siswa SMA/MA/SMK-sederajat usia 16-18 tahundibagi jumlah penduduk usia 16-18 tahun kali 100%</t>
  </si>
  <si>
    <t>Angka Melanjutkan ke Jenjang Pendidikan Menengah</t>
  </si>
  <si>
    <t>Jumlah lulusan SMP/MTs tahun T-1 dibagi jumlah siswa baru tingkat I SMA/MA/SMK tahun T kali 100%</t>
  </si>
  <si>
    <t>Jumlah siswa perempuan SMA/MA/SMK dibagi jumlah siswa perempuan dan laki-laki SMA/MA/SMK kali 100%</t>
  </si>
  <si>
    <t>Rasio Siswa per Kelas SMA/MA</t>
  </si>
  <si>
    <t>1 : 28</t>
  </si>
  <si>
    <t>Jumlah siswa SMA/MA dibagi jumlah kelas SMA/MA</t>
  </si>
  <si>
    <t>Rasio Siswa per Kelas SMK</t>
  </si>
  <si>
    <t>1 : 32</t>
  </si>
  <si>
    <t>Jumlah siswa SMK dibagi jumlah kelas SMK</t>
  </si>
  <si>
    <t>Persentase Siswa Miskin Penerima Beasiswa untuk Menempuh Pendidikan Menengah</t>
  </si>
  <si>
    <t>Jumlah siswa miskin SMA/MA/SMK penerima bantuan/beasiswa miskin dibagi jumlah siswa miskin SMA/MA/SMK kali 100%</t>
  </si>
  <si>
    <t>Tersedianya layanan pendidikan menengah di setiap kecamatan</t>
  </si>
  <si>
    <t>Angka Partisipasi Sekolah 16-18 Tahun</t>
  </si>
  <si>
    <t>Jumlah siswa SMP/MTs/SMA/MA/SMK usia 16-18 tahun dibagi jumlah penduduk usia 16-18 tahun kali 100%</t>
  </si>
  <si>
    <t>Rasio ketersediaan sekolah (SMA/MA/SMK) per Penduduk Usia 16-18 Tahun</t>
  </si>
  <si>
    <t>Jumlah satuan pendidikan SMA/MA/SMK dibagi jumlah penduduk usia 16-18 tahun</t>
  </si>
  <si>
    <t>Maksudnya apa?</t>
  </si>
  <si>
    <t>Meningkatnya Aksesibilitas Pendidikan Non Formal</t>
  </si>
  <si>
    <t>Peningkatan aksebilitas pendidikan nonformal</t>
  </si>
  <si>
    <t>Rata-rata Lama Sekolah</t>
  </si>
  <si>
    <t>Tahun</t>
  </si>
  <si>
    <t>Badan Pusat Statistik, Dinas Pendiidikan</t>
  </si>
  <si>
    <t>Jumlah tahun bersekolah individu usia 5 tahun ke atas dibagi jumlah penduduk usia 5 tahun ke atas</t>
  </si>
  <si>
    <t>Sumber BPS</t>
  </si>
  <si>
    <t>Meningkatkan Kualitas Pendidikan</t>
  </si>
  <si>
    <t>Meningkatnya Kualitas Pendidikan Anak Usia Dini</t>
  </si>
  <si>
    <t>Peningkatan kualitas pendidikan anak usia dini</t>
  </si>
  <si>
    <t>Persentase TK/RA Terakreditasi A</t>
  </si>
  <si>
    <t>Jumlah TK/RA terakreditasi A dibagi jumlah TK/RA kali 100%</t>
  </si>
  <si>
    <t>Persentase TK/RA Terakreditasi B</t>
  </si>
  <si>
    <t>Jumlah TK/RA terakreditasi B dibagi jumlah TK/RA kali 100%</t>
  </si>
  <si>
    <t>Persentase TK/RA Terakreditasi C</t>
  </si>
  <si>
    <t>Jumlah TK/RA terakreditasi C dibagi jumlah TK/RA kali 100%</t>
  </si>
  <si>
    <t>Meningkatnya Kualitas Pendidikan Dasar</t>
  </si>
  <si>
    <t>Peningkatan kualitas pendidikan dasar</t>
  </si>
  <si>
    <t>Persentase SD/MI Terakreditasi A</t>
  </si>
  <si>
    <t>Jumlah SD/MI terakreditasi A dibagi jumlah SD/MI kali 100%</t>
  </si>
  <si>
    <t>Persentase SD/MI Terakreditasi B</t>
  </si>
  <si>
    <t>Jumlah SD/MI terakreditasi B dibagi jumlah SD/MI kali 100%</t>
  </si>
  <si>
    <t>Persentase SD/MI Terakreditasi C</t>
  </si>
  <si>
    <t>Jumlah SD/MI terakreditasi C dibagi jumlah SD/MI kali 100%</t>
  </si>
  <si>
    <t>Persentase SMP/MTs Terakreditasi A</t>
  </si>
  <si>
    <t>Jumlah SMP/MTs terakreditasi A dibagi jumlah SMP/MTs kali 100%</t>
  </si>
  <si>
    <t>Persentase SMP/MTs Terakreditasi B</t>
  </si>
  <si>
    <t>Jumlah SMP/MTs terakreditasi B dibagi jumlah SMP/MTs kali 100%</t>
  </si>
  <si>
    <t>Persentase SMP/MTs Terakreditasi C</t>
  </si>
  <si>
    <t>Jumlah SMP/MTs terakreditasi C dibagi jumlah SMP/MTs kali 100%</t>
  </si>
  <si>
    <t>Jumlah lulusan SD/MI dibagi jumlah peserta ujian SD/MI kali 100%</t>
  </si>
  <si>
    <t>Jumlah lulusan SMP/MTs dibagi jumlah peserta ujian SMP/MTs kali 100%</t>
  </si>
  <si>
    <t>Persentase Siswa SD/MI yang Memperoleh Rerata Nilai Ujian Nasional ≥ 7,00</t>
  </si>
  <si>
    <t>Jumlah peserta ujian SD/MI yang memperoleh nilai ujian nasional ≥ 7,00 dibagi jumlah peserta ujian SD/MI kali 100%</t>
  </si>
  <si>
    <r>
      <t xml:space="preserve">Persentase Siswa SMP/MTs yang Memperoleh Rerata Nilai Ujian Nasional </t>
    </r>
    <r>
      <rPr>
        <sz val="12"/>
        <rFont val="Calibri"/>
        <family val="2"/>
      </rPr>
      <t>≥</t>
    </r>
    <r>
      <rPr>
        <sz val="12"/>
        <rFont val="Arial Narrow"/>
        <family val="2"/>
      </rPr>
      <t xml:space="preserve"> 7,00</t>
    </r>
  </si>
  <si>
    <t>Jumlah peserta ujian SMP/MTs yang memperoleh nilai ujian nasional ≥ 7,00 dibagi jumlah peserta ujian SMP/MTs kali 100%</t>
  </si>
  <si>
    <t>Persentase Siswa Baru SD/MI yang berasal dari TK/RA</t>
  </si>
  <si>
    <t>Jumlah siswa baru tingkat I SD/MI yang berasal dari  TK/RA dibagi jumlah siswa baru tingkat I SD/MI kali 100%</t>
  </si>
  <si>
    <t>Angka Putus Sekolah SD/MI</t>
  </si>
  <si>
    <t xml:space="preserve">Jumlah siswa putus sekolah SD/MI dibagi jumlah siswa SD/MI </t>
  </si>
  <si>
    <t>Angka Putus Sekolah SMP/MTs</t>
  </si>
  <si>
    <t xml:space="preserve">Jumlah siswa putus sekolah SMP/MTs dibagi jumlah siswa SMP/MTs </t>
  </si>
  <si>
    <t>Manajemen Pelayanan Pendidikan</t>
  </si>
  <si>
    <t>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t>
  </si>
  <si>
    <t>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t>
  </si>
  <si>
    <t>Meningkatnya Kualitas Pendidikan Menengah</t>
  </si>
  <si>
    <t>Peningkatan kualitas pendidikan menengah</t>
  </si>
  <si>
    <t>Persentase SMA/MA Terakreditasi A</t>
  </si>
  <si>
    <t>Jumlah SMA/MA terakreditasi A dibagi jumlah SMA/MA kali 100%</t>
  </si>
  <si>
    <t>Persentase SMA/MA Terakreditasi B</t>
  </si>
  <si>
    <t>Jumlah SMA/MA terakreditasi B dibagi jumlah SMA/MA kali 100%</t>
  </si>
  <si>
    <t>Persentase SMA/MA Terakreditasi C</t>
  </si>
  <si>
    <t>Jumlah SMA/MA terakreditasi C dibagi jumlah SMA/MA kali 100%</t>
  </si>
  <si>
    <t>Persentase Program Keahlian SMK Terakreditasi A</t>
  </si>
  <si>
    <t>Jumlah Program Keahlian SMK terakreditasi A dibagi jumlah Program Keahlian SMK kali 100%</t>
  </si>
  <si>
    <t>Persentase Program Keahlian SMK Terakreditasi B</t>
  </si>
  <si>
    <t>Jumlah Program Keahlian SMK terakreditasi B dibagi jumlah Program Keahlian SMK kali 100%</t>
  </si>
  <si>
    <t>Persentase Program Keahlian SMK Terakreditasi C</t>
  </si>
  <si>
    <t>Jumlah Program Keahlian SMK terakreditasi C dibagi jumlah Program Keahlian SMK kali 100%</t>
  </si>
  <si>
    <t>Jumlah lulusan SMA/MA/SMK dibagi jumlah peserta Ujian Nasional SMA/MA/SMK kali 100%</t>
  </si>
  <si>
    <t>Program pendidikan menengah</t>
  </si>
  <si>
    <t>Angka Putus Sekolah SMA/MA/SMK</t>
  </si>
  <si>
    <t>Jumlah siswa putus sekolah SMA/MA/SMK dibagi jumlah siswa SMA/MA/SMK kali 100%</t>
  </si>
  <si>
    <t>Meningkatnya Kualitas Pendidikan Non Formal</t>
  </si>
  <si>
    <t>Peningkatan kualitas pendidikan nonformal</t>
  </si>
  <si>
    <t>Program pendidikan nonformal</t>
  </si>
  <si>
    <t>Jumlah lulusan pendidikan kesetaraan dibagi jumlah peserta Ujian Nasional Pendidikan Kesetaraan kali 100%</t>
  </si>
  <si>
    <t xml:space="preserve">Meningkatkan Kualitas Pendidik dan Tenaga Kependidikan </t>
  </si>
  <si>
    <t>Terpenuhinya Kebutuhan Pendidik</t>
  </si>
  <si>
    <t>Pemenuhan kebutuhan pendidik</t>
  </si>
  <si>
    <t>Rasio Siswa per Pendidik TK/RA</t>
  </si>
  <si>
    <t>1 : 14</t>
  </si>
  <si>
    <t>Jumlah siswa TK/RA dibagi jumlah pendidik TK/RA</t>
  </si>
  <si>
    <t>Rasio Siswa per Pendidik SD/MI</t>
  </si>
  <si>
    <t>Jumlah siswa SD/MI dibagi jumlah pendidik SD/MI</t>
  </si>
  <si>
    <t>Rasio Siswa per Pendidik SMP/MTs</t>
  </si>
  <si>
    <t>1 : 16</t>
  </si>
  <si>
    <t>Jumlah siswa SMP/MTs dibagi jumlah pendidik SMP/MTs</t>
  </si>
  <si>
    <t>Rasio Siswa per Pendidik SMA/MA</t>
  </si>
  <si>
    <t>1 : 11</t>
  </si>
  <si>
    <t>Jumlah siswa SMA/MA dibagi jumlah pendidik SMA/MA</t>
  </si>
  <si>
    <t>Rasio Siswa per Pendidik SMK</t>
  </si>
  <si>
    <t>1 : 15</t>
  </si>
  <si>
    <t>Jumlah siswa SMK dibagi jumlah pendidik SMK</t>
  </si>
  <si>
    <t>Meningkatnya Kualifikasi Akademik Pendidik</t>
  </si>
  <si>
    <t>Peningkatan kualifikasi akademik pendidik</t>
  </si>
  <si>
    <t>Persentase Pendidik TK/RA yang memenuhi standar kualifikasi akademik</t>
  </si>
  <si>
    <t>Persentase Pendidik SD/MI yang memenuhi standar kualifikasi akademik</t>
  </si>
  <si>
    <t>Persentase Pendidik SMP/MTs yang memenuhi standar kualifikasi akademik</t>
  </si>
  <si>
    <t>Persentase Pendidik SMA/MA yang memenuhi standar kualifikasi akademik</t>
  </si>
  <si>
    <t>Persentase Pendidik SMK  yang memenuhi standar kualifikasi akademik</t>
  </si>
  <si>
    <t>Rata-rata Jumlah SD/MI yang memiliki satu orang guru untuk setiap 32 peserta didik dibagi jumlah SD/MI kali 100%; dan Jumlah SD/MI yang memiliki 6 (enam) 
orang guru kali jumlah SD/MI kali 100%</t>
  </si>
  <si>
    <t>Jumlah SMP/MTs yang memiliki guru untuk setiap mata pelajaran dibagi jumlah SMP/MTs kali 100%</t>
  </si>
  <si>
    <t>Rata-rata jumlah SD/MI yang memiliki 2 orang guru yang memenuhi kualifikasi akademik S1 atau D-IV dibagi jumlah SD/Mi kali 100%; dan Jumlah SD/MI yang memiliki 2 orang guru yang telah memiliki sertifikat pendidik dibagi jumlah SD/MI kali 100%</t>
  </si>
  <si>
    <t>Rata-rata jumlah SMP/MTs yang memiliki guru dengan kualifikasi S1 atau D-IV ≥ 70% [untuk daerah khusus ≥ 40%] dibagi jumlah SMP/MTs kali 100%; dan Jumlah SMP/MTs yang memiliki guru dengan kualifikasi S1 atau D-IV dan telah memiliki  35% dibagi jumlah SMP/MTs kali 100%</t>
  </si>
  <si>
    <t>Jumlah SMP/MTs yang memiliki guru dengan kualifikasi akademik S1 atau D-IV dan telah memiliki sertifikat pendidik, masing-masing 1 (satu) orang untuk mapel Matematika, IPA, Bahasa Indonesia, Bahasa Inggris dan PKn dibagi jumlah SMP/MTs kali 100%</t>
  </si>
  <si>
    <t>Jumlah Kepala SD/MI yang berkualifikasi akademik S-1 atau D-IV dan telah bersertifikat pendidik dibagi jumlah SD/MI kali 100%</t>
  </si>
  <si>
    <t>Jumlah Kepala SMP/MTs yang berkualifikasi akademik S-1 atau D-IV dan telah bersertifikat pendidik dibagi jumlah SMP/MTs kali 100%</t>
  </si>
  <si>
    <t>Jumlah pengawas sekolah/madrasah yang berkualifikasi akademik S-1 atau D-IV dan telah bersertifikat pendidik dibagi jumlah pengawas sekolah/madrasah kali 100%</t>
  </si>
  <si>
    <t>Meningkatnya Profesionalisme Pendidik</t>
  </si>
  <si>
    <t>Peningkatan profesionalisme pendidik</t>
  </si>
  <si>
    <t xml:space="preserve">Persentase Pendidik TK/RA yang memiliki sertifikat pendidik </t>
  </si>
  <si>
    <t>Dinas  Pendidikan</t>
  </si>
  <si>
    <t>Jumlah pendidik TK/RA yang memiliki sertifikat pendidik dibagi jumlah pendidik TK/RA kali 100%</t>
  </si>
  <si>
    <t xml:space="preserve">Persentase Pendidik SD/MI yang memiliki sertifikat pendidik </t>
  </si>
  <si>
    <t>Jumlah pendidik SD/MI yang memiliki sertifikat pendidik dibagi jumlah pendidik SD/MI kali 100%</t>
  </si>
  <si>
    <t xml:space="preserve">Persentase Pendidik SMP/MTs yang memiliki sertifikat pendidik </t>
  </si>
  <si>
    <t>Jumlah pendidik SMP/MTs yang memiliki sertifikat pendidik dibagi jumlah pendidik SMP/MTs kali 100%</t>
  </si>
  <si>
    <t xml:space="preserve">Persentase Pendidik SMA/MA yang memiliki sertifikat pendidik </t>
  </si>
  <si>
    <t>Jumlah pendidik SMA/MA yang memiliki sertifikat pendidik dibagi jumlah pendidik SMA/MA kali 100%</t>
  </si>
  <si>
    <t xml:space="preserve">Persentase Pendidik SMK yang memiliki sertifikat pendidik </t>
  </si>
  <si>
    <t>Jumlah pendidik SMK yang memiliki sertifikat pendidik dibagi jumlah pendidik SMK kali 100%</t>
  </si>
  <si>
    <t>Terpenuhinya Kebutuhan Tenaga Kependidikan</t>
  </si>
  <si>
    <t>Pemenuhan kebutuhan tenaga kependidikan</t>
  </si>
  <si>
    <t>Besaran Pegawai Administrasi Sekolah</t>
  </si>
  <si>
    <t>Orang</t>
  </si>
  <si>
    <t xml:space="preserve">Jumlah tenaga administrasi sekolah </t>
  </si>
  <si>
    <t>Jumlah penilik pendidikan nonformal</t>
  </si>
  <si>
    <t>Rasio Pengawas Sekolah</t>
  </si>
  <si>
    <t>Jumlah pengawas sekolah dibagi jumlah sekolah</t>
  </si>
  <si>
    <t>Besaran Pamong Belajar</t>
  </si>
  <si>
    <t xml:space="preserve">Jumlah pamong belajar </t>
  </si>
  <si>
    <t>Meningkatkan Sarana dan Prasarana Pendidikan</t>
  </si>
  <si>
    <t>Meningkatnya Sarana dan Prasarana Pendidikan Anak Usia Dini</t>
  </si>
  <si>
    <t>Peningkatan sarana dan prasarana pendidikan anak usia dini</t>
  </si>
  <si>
    <t>Program Pendidikan anak usia dini</t>
  </si>
  <si>
    <t>Persentase ruang belajar beserta perlengkapannya TK/RA yang kondisinya baik</t>
  </si>
  <si>
    <t>Jumlah ruang belajar TK/RA yang kondisinya baik dibagi jumlah ruang belajar TK/RA kali 100%</t>
  </si>
  <si>
    <t>Persentase TK/RA yang memiliki buku teks pembelajaran</t>
  </si>
  <si>
    <t>Jumlah TK/RA yang memiliki buku teks pembelajaran dibagi jumlah TK/RA kali 100%</t>
  </si>
  <si>
    <t>Persentase TK/RA yang memiliki ruang kesehatan dan perlengkapannya</t>
  </si>
  <si>
    <t>Jumlah TK/RA yang memiliki ruang kesehatan beserta perlengkapannya dibagi jumlah TK/RA kali 100%</t>
  </si>
  <si>
    <t>Persentase TK/RA yang memiliki alat permainan edukatif dalam ruang</t>
  </si>
  <si>
    <t>Jumlah TK/RA yang memiliki alat permainan dalam ruang dibagi jumlah TK/RA kali 100%</t>
  </si>
  <si>
    <t>Persentase TK/RA yang memiliki alat permainan edukatif luar ruang</t>
  </si>
  <si>
    <t>Jumlah TK/RA yang memiliki alat permainan luar ruang dibagi jumlah TK/RA kali 100%</t>
  </si>
  <si>
    <t>Meningkatnya Sarana dan Prasarana Pendidikan Dasar</t>
  </si>
  <si>
    <t>Peningkatan sarana dan prasarana pendidikan dasar</t>
  </si>
  <si>
    <t>Jumlah ruang kelas SD/MI yang kondisinya baik dibagi jumlah ruang kelas SD/MI kali 100%</t>
  </si>
  <si>
    <t>Jumlah ruang kelas SMP/MTs yang kondisinya baik dibagi jumlah ruang kelas SMP/MTs kali 100%</t>
  </si>
  <si>
    <t>Jumlah SD/MI yang memiliki sarana prasarana sesuai dengan standar sarana prasarana dibagi jumlah SD/MI kali 100%</t>
  </si>
  <si>
    <t>Jumlah SMP/MTs yang memiliki sarana prasarana sesuai dengan standar sarana prasarana dibagi jumlah SMP/MTs kali 100%</t>
  </si>
  <si>
    <t>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t>
  </si>
  <si>
    <t>Jumlah SD/MI yang semua rombongan belajar (rombel)nya tidak melebihi 32 orang dibagi Jumlah SD/MI di wilayah kabupaten/kota kali 100%</t>
  </si>
  <si>
    <t>Jumlah SMP/MTs yang memiliki ruang laboratorium IPA yang dilengkapi dengan meja dan kursi untuk 36 peserta didik dibagi jumlah SMP/MTs kali 100%</t>
  </si>
  <si>
    <t>Jumlah SD/MI yang memiliki satu ruang guru dan dilengkapi dengan meja dan kursi untuk setiap orang guru, kepala sekolah/madrasah dan staf kependidikan lainnya dibagi jumlah SD/MI kali 100%</t>
  </si>
  <si>
    <t>Meningkatnya Sarana dan Prasarana Pendidikan Menengah</t>
  </si>
  <si>
    <t>Peningkatan sarana dan prasarana pendidikan menengah</t>
  </si>
  <si>
    <t>Persentase ruang kelas SMA/MA yang kondisinya baik</t>
  </si>
  <si>
    <t>Jumlah ruang kelas SMA/MA yang kondisinya baik dibagi jumlah ruang kelas SMA/MA kali 100%</t>
  </si>
  <si>
    <t>Persentase ruang kelas SMK yang kondisinya baik</t>
  </si>
  <si>
    <t>Jumlah ruang kelas SMK yang kondisinya baik dibagi jumlah ruang kelas SMK kali 100%</t>
  </si>
  <si>
    <t>Persentase SMA/MA yang memiliki sarana dan prasarana sesuai dengan standar sarana  prasarana</t>
  </si>
  <si>
    <t>Jumlah SMA/MA yang memiliki sarana dan prasarana sesuai dengan standar sarana  prasarana dibagi jumlah SMA/MA kali 100%</t>
  </si>
  <si>
    <t>Persentase SMK yang memiliki sarana dan prasarana sesuai dengan standar sarana  prasarana</t>
  </si>
  <si>
    <t>Jumlah SMK yang memiliki sarana dan prasarana sesuai dengan standar sarana  prasarana dibagi jumlah SMK kali 100%</t>
  </si>
  <si>
    <t>Meningkatnya Sarana dan Prasarana Pendidikan Non Formal</t>
  </si>
  <si>
    <t>Peningkatan sarana dan prasarana pendidikan nonformal</t>
  </si>
  <si>
    <t>Persentase lembaga pendidikan nonformal yang memliki ruang belajar beserta perlengkapannya</t>
  </si>
  <si>
    <t>Jumlah lembaga pendidikan nonformal yang memiliki ruang belajar beserta perlengkapannya dibagi jumlah lembaga pendidikan nonformal kali 100%</t>
  </si>
  <si>
    <t>Persentase lembaga pendidikan nonformal yang memiliki alat dan bahan belajar</t>
  </si>
  <si>
    <t>Jumlah lembaga pendidikan nonformal yang memiliki alat dan bahan belajar dibagi jumlah lembaga pendidikan nonformal kali 100%</t>
  </si>
  <si>
    <t xml:space="preserve">Meningkatkan Jaringan, Mutu dan Akses Pelayanan Kesehatan </t>
  </si>
  <si>
    <t>Meningkatnya Akses Masyarakat ke Fasilitas Kesehatan Yang Bermutu</t>
  </si>
  <si>
    <t>Peningkatan Akses Masyarakat ke Fasilitas Kesehatan Yang Bermutu</t>
  </si>
  <si>
    <t>Meningkatkan Aksesibilitas Pelayanan Kesehatan</t>
  </si>
  <si>
    <t>Cakupan Kunjungan Ibu Hamil K4</t>
  </si>
  <si>
    <t>92,24</t>
  </si>
  <si>
    <t>Dinas Kesehatan</t>
  </si>
  <si>
    <t>Jumlah Ibu hamil yang telah memperoleh pelayanan antenatal sesuai standar minimal 4 kali / Jumlah sasaran ibu hamil x 100</t>
  </si>
  <si>
    <t>akhir tahun denominator menggunakan jumlah ibu hamil riil</t>
  </si>
  <si>
    <t>Cakupan Pertolongan Persalinan oleh Bidan atau Tenaga Kesehatan yang Memiliki Kompetensi Kebidanan</t>
  </si>
  <si>
    <t>99,65</t>
  </si>
  <si>
    <t>Jumlah ibu bersalin yang ditolong oleh tenaga kesehatan / Jumlah seluruh sasaran ibu bersalin x 100</t>
  </si>
  <si>
    <t>Cakupan Komplikasi Kebidanan yang Ditangani</t>
  </si>
  <si>
    <t>100</t>
  </si>
  <si>
    <t>Jumlah komplikasi kebidanan yg mendapat penanganan definitif / Jumlah ibu dengan komplikasi kebidanan x 100</t>
  </si>
  <si>
    <t>Cakupan Pelayanan Nifas</t>
  </si>
  <si>
    <t>Jumlah ibu nifas yang telah memperoleh 3 kali pelayanan nifas sesuai standar / Jumlah seluruh Ibu nifas x 100</t>
  </si>
  <si>
    <t>Angka Kematian Ibu per 100.000 Kelahiran Hidup</t>
  </si>
  <si>
    <t>perkilomil</t>
  </si>
  <si>
    <t>Jumlah ibu yang meninggal karena hamil, bersalin dan nifas di suatu wilayah pada kurun waktu tertentu / Jumlah kelahiran hidup di wilayah dan pada kurun waktu yang sama x 100.000</t>
  </si>
  <si>
    <t>Cakupan Kunjungan Bayi</t>
  </si>
  <si>
    <t>96,9</t>
  </si>
  <si>
    <t>Jumlah bayi memperoleh pelayanan kesehatan sesuai standar / Jumlah seluruh bayi lahir hidup  x 100</t>
  </si>
  <si>
    <t>Cakupan Kunjungan Neonatus (KN1)</t>
  </si>
  <si>
    <t>96,8</t>
  </si>
  <si>
    <t>Jumlah bayi yang memperoleh pelayanan kesehatan sesuai standar, pada kunjungan ke-1 ( 6-24 jam setelah lahir) di satu wilayah kerja pada kurun waktu tertentu / seluruh bayi lahir hidup di satu wilayah kerja pada kurun waktu yang sama x 100</t>
  </si>
  <si>
    <t>Cakupan Pelayanan Anak Balita</t>
  </si>
  <si>
    <t>89,84</t>
  </si>
  <si>
    <t>Jumlah anak balita (12-59 bulan) yang memperoleh pelayanan pemantauan pertumbuhan minimal 8 kali / Jumlah seluruh anak balita (12-59 bulan) x 100</t>
  </si>
  <si>
    <t>Cakupan Neonatal dengan Komplikasi yang Ditangani</t>
  </si>
  <si>
    <t>Jumlah neonatus dengan komplikasi yang tertangani / Jumlah seluruh neonatus dengan komplikasi yang ada x 100</t>
  </si>
  <si>
    <t>Angka Kelangsungan Hidup Bayi</t>
  </si>
  <si>
    <t>permil</t>
  </si>
  <si>
    <t>0,980</t>
  </si>
  <si>
    <t>0,983</t>
  </si>
  <si>
    <t>0,986</t>
  </si>
  <si>
    <t>0,989</t>
  </si>
  <si>
    <t>0,992</t>
  </si>
  <si>
    <t>1-angka kematian bayi per 1.000 kelahiran hidup</t>
  </si>
  <si>
    <t>Angka Kematian Neonatal per 1.000 Kelahiran Hidup</t>
  </si>
  <si>
    <t>Jumlah bayi (berumur 0-28 hari) yang meninggal di suatu wilayah pada kurun waktu tertentu / Jumlah kelahiran hidup di wilayah dan pada kurun waktu yang sama x 1.000</t>
  </si>
  <si>
    <t>Angka Kematian Bayi per 1.000 Kelahiran Hidup</t>
  </si>
  <si>
    <t>Jumlah bayi (berumur &lt; 1tahun) yang meninggal di suatu wilayah pada kurun waktu tertentu / Jumlah kelahiran hidup di wilayah dan pada kurun waktu yang sama x 1.000</t>
  </si>
  <si>
    <t>Angka Kematian Balita per 1.000 Kelahiran Hidup</t>
  </si>
  <si>
    <t>Jumlah anak berumur &lt; 5 tahun yang meninggal di suatu wilayah pada kurun waktu tertentu / Jumlah kelahiran hidup di wilayah dan pada kurun waktu yang sama x 1.000</t>
  </si>
  <si>
    <t>Cakupan Layanan Kesehatan Peserta Aktif KB</t>
  </si>
  <si>
    <t>85,98</t>
  </si>
  <si>
    <t>Jumlah Pasangan Usia Subur (PUS) yang memperoleh pelayanan kontrasepsi sesuai standar di suatu wilayah kerja pada kurun waktu tertentu / Jumlah seluruh PUS di suatu wilayah kerja pada kurun waktu yang sama  x 100</t>
  </si>
  <si>
    <t>Cakupan Pelayanan Kesehatan Dasar Masyarakat Miskin</t>
  </si>
  <si>
    <t>67,23</t>
  </si>
  <si>
    <t>Jumlah kunjungan pasien maskin di Sarkes strata 1 selama satu tahun (lama dan baru) / Jumlah seluruh masyarakat miskin sakit x 100</t>
  </si>
  <si>
    <t>Program kemitraan peningkatan pelayanan kesehatan</t>
  </si>
  <si>
    <t>Cakupan Pelayanan Kesehatan Rujukan Pasien Masyarakat Miskin</t>
  </si>
  <si>
    <t>Jumlah pasien maskin di  sarkes strata 2 dan strata 3 selama satu tahun / Jumlah masyarakat miskin yang berkunjung ke sarkes strata 2 dan 3 x 100</t>
  </si>
  <si>
    <t>Cakupan Pelayanan Gawat Darurat Level 1 yang harus diberikan Sarana Kesehatan (RS) di Kabupaten</t>
  </si>
  <si>
    <t>Jumlah RS yang mampu memberikan pelayanan gawat darurat level 1 / Jumlah RS kab/kota x 100</t>
  </si>
  <si>
    <t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t>
  </si>
  <si>
    <t>Meningkatkan Upaya Pencegahan dan Penanggulangan Penyakit Termasuk Potensi KLB ( Kejadian Luar Biasa ) dan Bencana</t>
  </si>
  <si>
    <t>Meningkatnya Upaya Pencegahan dan Pengendalian Penyakit</t>
  </si>
  <si>
    <t>Peningkatan Upaya Pencegahan dan Pengendalian Penyakit</t>
  </si>
  <si>
    <t xml:space="preserve">Program Pencegahan dan Penanggulangan Penyakit Menular </t>
  </si>
  <si>
    <t xml:space="preserve">Angka Kesembuhan Penderita TBC BTA Positif (CR/Cure Rate) </t>
  </si>
  <si>
    <t>87,16</t>
  </si>
  <si>
    <t>&gt;87</t>
  </si>
  <si>
    <t>Jumlah penderita TB Paru BTA positif yang diobati di suatu wilayah selama 1 tahun / Jumlah penderita TB paru BTA positif yang sembuh di suatu wilayah dan pada kurun waktu yang sama  x 100</t>
  </si>
  <si>
    <t>Angka Penemuan Kasus TBC BTA Positif (CDR/Case  Detection Rate)</t>
  </si>
  <si>
    <t>Jumlah pasien baru TB Paru BTA positif yang ditemukan dan diobati / Jumlah perkiraan pasien baru TB Paru BTA positif  x 100</t>
  </si>
  <si>
    <t>Jumlah perkiraan pasien baru TB =  Insiden rate hasil survey nasional x jumlah penduduk pada wilayah dan kurun waktu yang yang sama</t>
  </si>
  <si>
    <t>Prevalensi HIV pada Penduduk Usia Dewasa</t>
  </si>
  <si>
    <t>&lt;0,05</t>
  </si>
  <si>
    <t>&lt; 0,05</t>
  </si>
  <si>
    <t xml:space="preserve"> Jumlah penderita HIV pada Penduduk Usia Dewasa (15-49 tahun) / Jumlah penduduk usia dewasa (15-49 tahun) x 100</t>
  </si>
  <si>
    <t>Proporsi Penduduk Usia 15 - 24 Tahun yang Memiliki Pengetahuan Komprehensif tentang HIV/AIDS</t>
  </si>
  <si>
    <t>Banyaknya penduduk usia 15-24 tahun belum menikah yang memiliki pengetahuan komprehensif mengenai HIV/AIDS / Penduduk usia 15-24 tahun yang belum menikah x 100</t>
  </si>
  <si>
    <t>Cakupan Penemuan Penderita Pneumonia Balita</t>
  </si>
  <si>
    <t>Jumlah penderita pneumonia balita yang ditemukan dan ditangani / Jumlah perkiraan penderita pneumonia balita x 100</t>
  </si>
  <si>
    <t>Jumlah perkiraan penderita pneumonia pada balita = 10% dari jumlah balita pada wilayah dan kurun waktu yang yang sama</t>
  </si>
  <si>
    <t>Cakupan Penemuan Penderita Diare</t>
  </si>
  <si>
    <t>Jumlah penderita diare yang datang dan dilayani di sarana Kesehatan dan Kader di suatu wilayah tertentu dalam waktu satu tahun. / Jumlah perkiraan penderita diare pd satu wilayah tertentu dalam waktu yg sama x 100</t>
  </si>
  <si>
    <t xml:space="preserve"> Jumlah perkiraan penderita diare  = 10% dari angka kesakitan diare x jumlah penduduk</t>
  </si>
  <si>
    <t>CFR (Angka Kematian Diare per 10.000 Penduduk)</t>
  </si>
  <si>
    <t>&lt;1</t>
  </si>
  <si>
    <t>&lt; 1</t>
  </si>
  <si>
    <t>Jumlah kematian yang disebabkan diare di suatu wilayah kerja pada kurun waktu  tahun tertentu / Jumlah penduduk di suatu wilayah kerja pada kurun waktu yang sama x 10.000</t>
  </si>
  <si>
    <t>Angka Penemuan Kasus Malaria per 1.000 Penduduk</t>
  </si>
  <si>
    <t>Banyaknya penduduk yang terdiagnosis
menderita malaria / Jumlah penduduk x 1.000</t>
  </si>
  <si>
    <t>Inciden Rate DBD (Demam Berdarah Dengue) per 10.000 Penduduk</t>
  </si>
  <si>
    <t>&lt;20</t>
  </si>
  <si>
    <t>Jumlah penderita DBD yang ditangani sesuai SOP / Jumlah penderita DBD yang ditemukan x 100</t>
  </si>
  <si>
    <t>CFR atau Angka Kematian DBD (Demam Berdarah Dengue)</t>
  </si>
  <si>
    <t>Jumlah kematian yang disebabkan DBD di suatu wilayah kerja pada kurun waktu  tahun tertentu / Jumlah penderita penyakit DBD yang ditemukan di suatu wilayah kerja pada kurun waktu yang sama x 100</t>
  </si>
  <si>
    <t>Penderita DBD (Demam Berdarah Dengue) yang Ditangani</t>
  </si>
  <si>
    <t>Jumlah penderita DBD yang ditangani sesuai SOP / Jumlah penderita DBD yang ditemukan x100</t>
  </si>
  <si>
    <t>Jumlah desa/kelurahan UCI / Jumlah seluruh desa/kelurahan x 100</t>
  </si>
  <si>
    <t>Proporsi Anak Umur 1 Tahun diimunisasi Campak</t>
  </si>
  <si>
    <t>Banyaknya anak yang pernah diimunisasi campak sekurang-kurangnya 1 kali dan usia 12-23 bulan / Jumlah anak yang berusia 12-23 bulan x 100</t>
  </si>
  <si>
    <t>≥2 (4 kasus)</t>
  </si>
  <si>
    <t xml:space="preserve">Jumlah kasus AFP non Polio pada penduduk &lt; 15 tahun yang dilaporkan / Jumlah Penduduk &lt; 15 tahun x 100
</t>
  </si>
  <si>
    <t>Cakupan Desa atau Kelurahan Mengalami Kejadian Luar Biasa (KLB) yang dilakukan Penyelidikan Epidemiologi &lt; 24 jam</t>
  </si>
  <si>
    <t>Jumlah KLB di desa/kelurahan yang ditangani &lt;24 jam / Jumlah KLB di desa/kelurahan yang terjadi pada wilayah desa/kelurahan x 100</t>
  </si>
  <si>
    <t>Cakupan Penderita diare Yang ditangani</t>
  </si>
  <si>
    <t>Jumlah penderita diare yang datang dan dilayani di sarana Kesehatan dan Kader / Jumlah perkiraan penderita diare   x 100</t>
  </si>
  <si>
    <t>Meningkatkan Upaya Perbaikan Gizi Masyarakat</t>
  </si>
  <si>
    <t>Meningkatnya Gizi Masyarakat</t>
  </si>
  <si>
    <t>Peningkatan Gizi Masyarakat</t>
  </si>
  <si>
    <t>Perbaikan Gizi Masyarakat</t>
  </si>
  <si>
    <t>Prevalensi Gizi Kurang pada Anak Balita (0-60 bulan)</t>
  </si>
  <si>
    <t>Jumlah Gizi Kurang pada Anak Balita (0-60 bulan) yang ditemukan / Jumlah seluruh anak balita x 100</t>
  </si>
  <si>
    <t>Prevalensi Gizi Buruk pada Anak Balita (0-60 bulan)</t>
  </si>
  <si>
    <t>&lt;0,5</t>
  </si>
  <si>
    <t>Jumlah Gizi Buruk pada Anak Balita (0-60 bulan) yang ditemukan / Jumlah seluruh anak balita x 100</t>
  </si>
  <si>
    <t>Cakupan Pemberian Makanan Pendamping ASI pada Anak Usia &lt; 24 Bulan dari Keluarga Miskin</t>
  </si>
  <si>
    <t>Jumlah anak usia 6 – 24 bulan dari keluarga miskin yang mendapat MP – ASI / Jumlah seluruh anak usia 6 – 24 bulan dari keluarga miskin x 100</t>
  </si>
  <si>
    <t>Cakupan Balita Gizi Buruk Mendapat Perawatan</t>
  </si>
  <si>
    <t>Jumlah balita gizi buruk yang mendapat perawatan di sarana pelayanan kesehatan / Jumlah seluruh balita gizi buruk yang ditemukan x 100</t>
  </si>
  <si>
    <t>Menjamin Ketersediaan Obat dan Perbekalan Kesehataan Untuk Pelayanan Kesehatan Dasar</t>
  </si>
  <si>
    <t>Meningkatnya Ketersediaan Obat dan Perbekalan Kesehatan</t>
  </si>
  <si>
    <t>Peningkatan Ketersediaan Obat dan Perbekalan Kesehatan</t>
  </si>
  <si>
    <t>Penyediaan Obat dan Perbekalan Kesehatan (Program Obat dan Perbekalan Kesehatan)</t>
  </si>
  <si>
    <t>Cakupan Ketersediaan Obat sesuai Kebutuhan</t>
  </si>
  <si>
    <t>Jumlah obat yang tersedia sesuai kebutuhan / Jumlah obat yang dibutuhkan x 100</t>
  </si>
  <si>
    <t xml:space="preserve">Jumlah ob at yang dibutuhkan adalah jumlah obat yang diusulkan pemenuhannya melalui mekanisme pengadaan </t>
  </si>
  <si>
    <t>Menjamin Ketersediaan dan Mutu Sumber Daya Kesehatan Sesuai Standar Pelayanan Kesehatan</t>
  </si>
  <si>
    <t>Meningkatnya Sumber Daya Kesehatan di semua Tingkatan Pelayanan Kesehatan</t>
  </si>
  <si>
    <t>Peningkatan Sumber Daya Kesehatan di semua Tingkatan Pelayanan Kesehatan</t>
  </si>
  <si>
    <t>Pengembangan Sumber Daya Kesehatan (Program Standarisasi Pelayanan Kesehatan)</t>
  </si>
  <si>
    <t>Cakupan Fasilitas Kesehatan dengan SDM sesuai Standar</t>
  </si>
  <si>
    <t xml:space="preserve">Jumlah Fasilitas Kesehatan dengan SDM sesuai Standar/ Jumlah fasilitas kesehatan yang ada x 100 </t>
  </si>
  <si>
    <t>SDM terdiri dari tenaga kesehatan dan non kesehatan</t>
  </si>
  <si>
    <t>Cakupan Tenaga Kesehatan yang Memenuhi Standar Kompetensi</t>
  </si>
  <si>
    <t>Jumlah tenaga medis dan paramedis aktif yang memenuhi standar kompetensi/Jumlah tenaga medis dan paramedis aktif x 100</t>
  </si>
  <si>
    <t>Tenaga medis dan paramedis aktif adalah tenaga medis dan paramedis yang menjalankan praktik profesinya</t>
  </si>
  <si>
    <t>Penyediaan Sarana dan Prasarana Puskesmas dan Jaringannya</t>
  </si>
  <si>
    <t>Rasio ketersediaan sarana dan prasarana puskesmas</t>
  </si>
  <si>
    <t>1 : 32412</t>
  </si>
  <si>
    <t>Jumlah puskesmas dibanding jumlah penduduk</t>
  </si>
  <si>
    <t>Rasio ideal : 1 : 30000</t>
  </si>
  <si>
    <t>Penyediaan Sarana dan Prasarana Rumah Sakit</t>
  </si>
  <si>
    <t>Program peningkatan Kualitas pelayanan kesehatan pada BLUD RSUD</t>
  </si>
  <si>
    <t xml:space="preserve">RSUD </t>
  </si>
  <si>
    <t>BOR = Jumlah hari perawatan rumah sakit / (Jmlh Tempat Tidur x jml hari dalam satu satuan waktu) x 100</t>
  </si>
  <si>
    <t>Standarisasi Pelayanan Kesehatan RSUD</t>
  </si>
  <si>
    <t xml:space="preserve">penjelasan layanan wajib akreditasi </t>
  </si>
  <si>
    <t>Pelayanan kesehatan penduduk miskin di RSUD</t>
  </si>
  <si>
    <t>Meningkatkan Penyehatan Lingkungan</t>
  </si>
  <si>
    <t>Meningkatnya Lingkungan Sehat</t>
  </si>
  <si>
    <t>Peningkatan Lingkungan Sehat</t>
  </si>
  <si>
    <t>Meningkatkan pemberdayaan masyarakat dalam budaya sehat</t>
  </si>
  <si>
    <t>Pengembangan Lingkungan Sehat</t>
  </si>
  <si>
    <t xml:space="preserve">Proporsi Rumah Tangga dengan Akses Berkelanjutan terhadap Sanitasi Dasar Perkotaan </t>
  </si>
  <si>
    <t>Jumlah Rumah Tangga dengan Akses Berkelanjutan terhadap Sanitasi Dasar Perkotaan / Jumlah rumah tangga yang diperiksa x 100</t>
  </si>
  <si>
    <t>Proporsi Rumah Tangga dengan Akses Berkelanjutan terhadap Sanitasi Dasar Pedesaan</t>
  </si>
  <si>
    <t>Jumlah Rumah Tangga dengan Akses Berkelanjutan terhadap Sanitasi Dasar Pedesaan / Jumlah rumah tangga yang diperiksa x 100</t>
  </si>
  <si>
    <t>Cakupan Penduduk yang Memanfaatkan Jamban</t>
  </si>
  <si>
    <t>Jumlah Penduduk yang Memanfaatkan Jamban / Jumlah penduduk yang diperiksa x 100</t>
  </si>
  <si>
    <t xml:space="preserve">penyebut distandarkan </t>
  </si>
  <si>
    <t>Cakupan Rumah Tangga dengan Akses Terhadap Air Bersih yang Layak di Perkotaan</t>
  </si>
  <si>
    <t>Jumlah Rumah Tangga dengan Akses Terhadap Air Bersih yang Layak di Perkotaan / Jumlah rumah tangga yang diperiksa x 100</t>
  </si>
  <si>
    <t>Cakupan Rumah Tangga dengan Akses terhadap Air Bersih yang Layak di Pedesaan</t>
  </si>
  <si>
    <t>Jumlah Rumah Tangga dengan Akses terhadap Air Bersih yang Layak di Pedesaan / Jumlah rumah tangga diperiksa x 100</t>
  </si>
  <si>
    <t>Cakupan Penjaringan Kesehatan Siswa  Tingkat Dasar</t>
  </si>
  <si>
    <t>Jumlah murid  SD dan setingkat yang diperiksa kesehatannya melalui penjaringan kesehatan  oleh tenaga kesehatan atau tenaga terlatih (guru UKS/dokter kecil) / Jumlah murid SD dan setingkat x 100</t>
  </si>
  <si>
    <t>Cakupan Desa Siaga Aktif</t>
  </si>
  <si>
    <t>Jumlah desa siaga yang aktif / Jumlah desa x 100</t>
  </si>
  <si>
    <t>Cakupan Posyandu Purnama dan Mandiri</t>
  </si>
  <si>
    <t>Jumlah posyandu (purnama+mandiri) di suatu wilayah pada kurun waktu tertentu / Jumlah seluruh posyandu yang ada di wilayah dan kurun waktu yang sama x 100</t>
  </si>
  <si>
    <t>Cakupan Rumah Tangga Sehat</t>
  </si>
  <si>
    <t>Jumlah rumah tangga yang berperilaku hidup bersih dan sehat di suatu wilayah pada kurun waktu tertentu / jumah rumah tangga yang dipantau/ disurvey di wilayah dan pada kurun waktu yang sama x 100</t>
  </si>
  <si>
    <t>KELUARGA BERENCANA</t>
  </si>
  <si>
    <t>Meningkatkan Ketahanan dan Kesejahteraan Keluarga Melalui Keluarga Berencana</t>
  </si>
  <si>
    <t>Meningkatnya Derajat Kesejahteraan Keluarga</t>
  </si>
  <si>
    <t>Peningkatan Derajat Kesejahteraan Keluarga</t>
  </si>
  <si>
    <t>keluarga yang belum dapat memenuhi salah satu atau lebih dari 5 kebutuhan dasarnya (basic needs) Sebagai keluarga Sejahtera I, seperti kebutuhan akan pengajaran agama, pangan, papan, sandang dan kesehatan.</t>
  </si>
  <si>
    <t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t>
  </si>
  <si>
    <t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t>
  </si>
  <si>
    <t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t>
  </si>
  <si>
    <t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t>
  </si>
  <si>
    <t>Meningkatnya Aksesibilitas Masyarakat Atas Pelayanan Keluarga Berencana</t>
  </si>
  <si>
    <t>Peningkatan Aksesibilitas Masyarakat Atas Pelayanan Keluarga Berencana</t>
  </si>
  <si>
    <t>Cakupan Pasangan Usia Subur yang Istrinya dibawah Usia 20 tahun</t>
  </si>
  <si>
    <t>Jumlah PUS yang usia istrinya di bawah 20 tahun/Jumlah PUS  x 100</t>
  </si>
  <si>
    <t>Cakupan Sasaran Pasangan Usia Subur Menjadi Peserta KB Aktif</t>
  </si>
  <si>
    <t>Jumlah PUS yang menggunakan kontrasepsi (peserta KB aktif)/Jumlah Pasangan Usia Subur x 100</t>
  </si>
  <si>
    <t>Cakupan Pasangan Usia Subur yang ingin Ber-KB tidak Terpenuhi (Unmet need)</t>
  </si>
  <si>
    <t>Jumlah PUS yang ingin anak ditunda atau tidak ingin anak lagi dan tidak menggunakan alat kontrasepsi/Jumlah PUS di wilayah tersebutx100</t>
  </si>
  <si>
    <t>Cakupan Anggota Bina Keluarga Balita Ber-KB</t>
  </si>
  <si>
    <t>Anggota BKB ber-KB/Seluruh PUS anggota BKBx100</t>
  </si>
  <si>
    <t>Cakupan PUS Peserta KB Anggota Usaha Peningkatan Pendapatan Keluarga Sejahtera ( UPPKS ) yang Ber-KB</t>
  </si>
  <si>
    <t>Anggota UPPKS ber-KB/Seluruh anggota UPPKS peserta KBx100</t>
  </si>
  <si>
    <t>Rasio Petugas Lapangan Keluarga Berencana atau Penyuluh KB Per  Desa atau Kelurahan</t>
  </si>
  <si>
    <t>Jumlah PLKB/PKB dibanding Jumlah Desa/Kelurahan</t>
  </si>
  <si>
    <t>(dengan mempertimbangkan 3 aspek: jumlah KK, jumlah desa/kelurahan, luas wilayah dan daerah kepulauan)</t>
  </si>
  <si>
    <t>Rasio Pembantu Pembina Keluarga Berencana per desa/Kelurahan</t>
  </si>
  <si>
    <t>Jumlah PPKBD dibanding Jumlah Desa/Kelurahan</t>
  </si>
  <si>
    <t>Jumlah alat dan obat kontrasepsi yang terpenuhi / Jumlah alat dan obat kontrasepsi yang dibutuhkan x 100</t>
  </si>
  <si>
    <t>Terkendalinya Pertumbuhan Jumlah Penduduk</t>
  </si>
  <si>
    <t>Angka laju pertumbuhan penduduk (BPS)</t>
  </si>
  <si>
    <t>Persentase Penggunaan Alat Kontrasepsi Pada Pria</t>
  </si>
  <si>
    <t>Jumlah Pria yang menggunakan kontrasepsi/Jumlah PUS x 100</t>
  </si>
  <si>
    <t>PERENCANAAN PEMBANGUNAN</t>
  </si>
  <si>
    <t>Meningkatkan Kualitas Perencanaan, Pengendalian, Evaluasi, dan Pengkajian  Pembangunan Daerah</t>
  </si>
  <si>
    <t>Meningkatnya Kualitas Perencanaan, Pengendalian, Evaluasi, dan Pengkajian  Pembangunan Daerah</t>
  </si>
  <si>
    <t>Peningkatan Kualitas Perencanaan, Pengendalian, Evaluasi, dan Pengkajian  Pembangunan Daerah</t>
  </si>
  <si>
    <t>Meningkatkan tata kelola kepemerintahan yang baik</t>
  </si>
  <si>
    <t>Meningkatkan Kualitas Perencanaan, Pengendalian, Evaluasi, dan Pengkajian  Pembangunan Daerah  yang Terpadu dan Partisipatif</t>
  </si>
  <si>
    <t>Program Perencanaan Pembangunan Daerah</t>
  </si>
  <si>
    <t xml:space="preserve">Besaran Penelitian dan Pengembangan </t>
  </si>
  <si>
    <t>dokumen</t>
  </si>
  <si>
    <t xml:space="preserve">Bappeda </t>
  </si>
  <si>
    <t>Dokumen</t>
  </si>
  <si>
    <t>Rasio Keterwakilan Perempuan dalam Proses Perencanaan Pembangunan Daerah</t>
  </si>
  <si>
    <t>0,18</t>
  </si>
  <si>
    <t>0,19</t>
  </si>
  <si>
    <t>0,2</t>
  </si>
  <si>
    <t>Bappeda</t>
  </si>
  <si>
    <t>Jumlah peserta perempuan yang di undang  pada proses perencanaan pembangunan daerah dibagi jumlah peserta</t>
  </si>
  <si>
    <t>Musrenbang Desa/Kelurahan, Musrenbang Kecamatan dan Musrenbang Kabupaten</t>
  </si>
  <si>
    <t>0,0175</t>
  </si>
  <si>
    <t>0,018</t>
  </si>
  <si>
    <t>0,0185</t>
  </si>
  <si>
    <t xml:space="preserve">Persentase Tingkat Capaian Target RPJMD Hasil Pelaksanaan RKPD </t>
  </si>
  <si>
    <t>n.a</t>
  </si>
  <si>
    <t>Capaian target RPJMD pada RKPD dibagi Target RPJMD pada RKPD dikali 100 %</t>
  </si>
  <si>
    <t>Persentase Tingkat Capaian Kinerja dan Realisasi Anggaran RPJMD</t>
  </si>
  <si>
    <t>Realisasi kinerja dan anggaran RPJMD dibagi Target RPJMD x 100 %</t>
  </si>
  <si>
    <t>Realisasi kinerja dan anggaran RPJMD diperoleh dari realisasi capaian kinerja RPJMD sampai dengan RKPD tahun sebelumnya + realisasi capaian kinerja dan anggaran RKPD yang dievaluasi</t>
  </si>
  <si>
    <t>Persentase Tingkat Capaian Kinerja dan Realisasi Anggaran Renstra SKPD</t>
  </si>
  <si>
    <t>Realisasi kinerja  dan anggaran renstra SKPD dibagi target  kinerja dan anggaran renstra SKPD x 100</t>
  </si>
  <si>
    <t>Jumlah Program SKPD yang muncul di luar RPJMD dibagi jumlah program SKPD dalam RPJMD</t>
  </si>
  <si>
    <t>Data diperoleh melalui aplikasi pengendalian dan evaluasi pelaksanaan rencana pembangunan daerah</t>
  </si>
  <si>
    <t>Persentase  Kegiatan SKPD di Luar Renstra SKPD</t>
  </si>
  <si>
    <t>Jumlah Kegiatan SKPD yang muncul di luar Renstra SKPD  dibagi jumlah kegiatan yang tercantum dalam renstra</t>
  </si>
  <si>
    <t>Meningkatkan Tertib Administrasi Pertanahan</t>
  </si>
  <si>
    <t>Meningkatnya Tertib Administrasi Pertanahan</t>
  </si>
  <si>
    <t>Peningkatan Tertib Administrasi Pertanahan</t>
  </si>
  <si>
    <t>Program Penataan Penguasaan, Pemilikan, Penggunaan, dan Pemanfaatan Tanah</t>
  </si>
  <si>
    <t>Persentase Aset Tanah Pemerintah yang Bersertifikat</t>
  </si>
  <si>
    <t>Bagian Pemerintahan Umum Setda</t>
  </si>
  <si>
    <t>Jumlah tanah pemerintah daerah yang bersertifikat dibagi jumlah tanah pemerintah daerah x 100</t>
  </si>
  <si>
    <t>Sertifikasi tanah pemerintah daerah yang didanai dengan dana APBD</t>
  </si>
  <si>
    <t>Program Penyelesaian Konflik-Konflik Pertanahan</t>
  </si>
  <si>
    <t>Persentase Penggantian Tanah Pemerintah Desa yang Digunakan untuk Kepentingan Pemerintah Kabupaten</t>
  </si>
  <si>
    <t>Bagian Pemerintahan Desa Setda</t>
  </si>
  <si>
    <t>Jumlah bidang tanah pemerintah desa yang digunakan untuk kepentingan pemerintah kabupaten diganti dibagi jumlah bidang tanah  pemerintah desa yang digunakan untuk kepentingan pemerintah kabupaten x 100</t>
  </si>
  <si>
    <t>OTONOMI DAERAH, PEMERINTAHAN UMUM, ADMINISTRASI KEUANGAN DAERAH, PERANGKAT DAERAH, KEPEGAWAIAN, DAN PERSANDIAN</t>
  </si>
  <si>
    <t>Terwujudnya Pemerintahan yang Bersih dan Bebas Kolusi, Korupsi, dan Nepotisme</t>
  </si>
  <si>
    <t>Meningkatnya Kemampuan, Profesionalisme, dan Kesejahteraan SDM Aparatur</t>
  </si>
  <si>
    <t>Peningkatan Kemampuan, Profesionalisme, dan Kesejahteraan SDM Aparatur</t>
  </si>
  <si>
    <t>Meningkatkan tata kelola kepemeritahan yang baik</t>
  </si>
  <si>
    <t>Program Peningkatan Kapasitas Sumber Daya Aparatur</t>
  </si>
  <si>
    <t>persentase PNS Lulusan S1</t>
  </si>
  <si>
    <t>Badan Kepegawaian Daerah (BKD)</t>
  </si>
  <si>
    <t>Tanda lulus dibuktikan dengan ijazah</t>
  </si>
  <si>
    <t>Persentase PNS Lulusan S2/ S3</t>
  </si>
  <si>
    <t>Persentase PNS yang Mengikuti Diklat Teknis Fungsional</t>
  </si>
  <si>
    <t>Persentase PNS yang Memiliki Sertifikat Pengadaan Barang atau Jasa</t>
  </si>
  <si>
    <t>Persentase Pejabat Struktural yang Mengikuti Diklat Kepemimpinan</t>
  </si>
  <si>
    <t>Persentase Penanganan Pelanggaran Disiplin PNS</t>
  </si>
  <si>
    <t>Persentase Pengisian Jabatan Struktural PNS yang Kosong</t>
  </si>
  <si>
    <t>Jumlah Jabatan Struktural yang terisi dibagi Jumlah Jabatan Struktural x100</t>
  </si>
  <si>
    <t>Jabatan struktural di lingkungan Pemerintah Kabupaten Temanggung</t>
  </si>
  <si>
    <t>Program Administrasi Kepegawaian</t>
  </si>
  <si>
    <t>Persentase Penyelesaian Usulan Kenaikan Pangkat Tepat Waktu</t>
  </si>
  <si>
    <t>Jumlah Penyelesaian Usulan Kenaikan Pangkat Tepat Waktu dibagi Jumlah Usulan Kenaikan Pangkat</t>
  </si>
  <si>
    <t>Tepat waktu penyerahan berkas usulan sebelum TMT kenaikan pangkat</t>
  </si>
  <si>
    <t>Persentase Penyelesaian Usulan Pensiun PNS Tepat Waktu</t>
  </si>
  <si>
    <t>Persentase Penanganan Kepala Desa dan Perangkat Desa yang Mengalami Kasus</t>
  </si>
  <si>
    <t>Jumlah Penanganan Kepala Desa dan Perangkat Desa yang Mengalami Kasus dibagi Jumlah Kepala Desa dan Perangkat Desa yang mengalami kasus x 100</t>
  </si>
  <si>
    <t>Persentase Pengisian Jabatan Kepala Desa yang Kosong</t>
  </si>
  <si>
    <t>Jumlah Jabatan Kepala Desa yang terisi dibagi Jumlah Jabatan Kepala Desa x 100</t>
  </si>
  <si>
    <t>Pengertian terisi adalah jabatan definitif (bukan Pelaksana Tugas)</t>
  </si>
  <si>
    <t>Persentase Pengisian Jabatan Perangkat Desa yang Kosong</t>
  </si>
  <si>
    <t>Jumlah Jabatan Perangkat Desa yang terisi dibagi Jumlah Jabatan Perangkat Desa x 100</t>
  </si>
  <si>
    <t>Meningkatnya Kapasitas dan Akuntabilitas Kinerja Birokrasi</t>
  </si>
  <si>
    <t>Meningkatnya Kinerja Penyelenggaraan Pemerintahan Daerah</t>
  </si>
  <si>
    <t>Peningkatan Kinerja Penyelenggaraan Pemerintahan Daerah</t>
  </si>
  <si>
    <t>Program Peningkatan Kapasitas Lembaga Perwakilan Rakyat Daerah</t>
  </si>
  <si>
    <t>Persentase Jumlah Peraturan Daerah yang Ditetapkan Terhadap Jumlah Raperda</t>
  </si>
  <si>
    <t>Sekretariat DPRD</t>
  </si>
  <si>
    <t>Jumlah Peraturan Daerah yang Ditetapkan dibagi Jumlah prolegda  x 100</t>
  </si>
  <si>
    <t xml:space="preserve">Usulan prolegda ditetapkan pada tahun sebelumnya </t>
  </si>
  <si>
    <t>Persentase Jumlah Keputusan DPRD yang Ditindak Lanjuti Terhadap Keputusan DPRD yang Ditetapkan</t>
  </si>
  <si>
    <t>Jumlah Keputusan DPRD yang Ditindaklanjuti  dibagi Keputusan DPRD yang Ditetapkan x 100</t>
  </si>
  <si>
    <t>Program Peningkatan Profesionalisme Tenaga Pemeriksa dan Aparatur Pengawasan</t>
  </si>
  <si>
    <t>Inspektorat</t>
  </si>
  <si>
    <t>Jumlah Penanganan Temuan dibagi Jumlah Temuan x 100</t>
  </si>
  <si>
    <t>Pengawasan dilakukan terhadap semua SKPD pada tiap tahunnya</t>
  </si>
  <si>
    <t>Program Penataan dan Penyempurnaan Kebijakan Sistem dan Prosedur Pengawasan</t>
  </si>
  <si>
    <t>Bagian Organisasi dan Tata Laksana Setda</t>
  </si>
  <si>
    <t>Jumlah SKPD yang Menyusun Standar Pelayanan Publik dibagi Jumlah SKPD yang wajib menyusun Standar Pelayanan Publik x 100</t>
  </si>
  <si>
    <t>Jumlah SKPD yang Menyusun Standar Operasional Prosedur dibagi Jumlah SKPD x 100</t>
  </si>
  <si>
    <t>SOP apa saja yang penetapannya dengan bagian ortala</t>
  </si>
  <si>
    <t>Kriteria</t>
  </si>
  <si>
    <t>Nilai SAKIP oleh Kemenpan dan RB</t>
  </si>
  <si>
    <t>Serasa perlu digabungkan indikatornya</t>
  </si>
  <si>
    <t>Program Peningkatan Pelayanan Kedinasan Kepala Daerah/Wakil Kepala Daerah</t>
  </si>
  <si>
    <t>Persentase Ketepatan Waktu SKPD dalam Penyampaian Laporan Kinerja (LAKIP dan TAPKIN)</t>
  </si>
  <si>
    <t>Jumlah SKPD dalam Penyampaian Laporan Kinerja (LAKIP dan TAPKIN) tepat waktu dibagi jumlah SKPD x 100 %</t>
  </si>
  <si>
    <t>Program Peningkatan Sistem Pengawasan Internal dan Pengendalian Pelaksanaan Kebijakan Daerah</t>
  </si>
  <si>
    <t>Bagian Pembangunan Setda</t>
  </si>
  <si>
    <t>Jumlah SKPD yang melaporkan DURP tepat waktu dibagi jumlah SKPD yang mempunyai DURP x 100 %</t>
  </si>
  <si>
    <t xml:space="preserve">Persentase Keberhasilan pengadaan barang/jasa  </t>
  </si>
  <si>
    <t>Jumlah pengadaan barang/jasa yang Berhasil dibagi jumlah DURP x 100 %</t>
  </si>
  <si>
    <t>Program Pembinaan dan Fasilitasi Pengelolaan Keuangan Kabupaten</t>
  </si>
  <si>
    <t>Persentase Kegiatan yang dilaksanakan tepat waktu</t>
  </si>
  <si>
    <t>Jumlah Kegiatan yang dilaksanakan tepat waktu oleh Pihak ketiga dibagi jumlah kegiatan oleh pihak ketiga x 100 %</t>
  </si>
  <si>
    <t>Persentase Jumlah Peraturan Daerah yang Ditindaklanjuti Terhadap Jumlah Total Peraturan Daerah dalam 1 (Satu) Tahun</t>
  </si>
  <si>
    <t>Bagian Hukum Setda</t>
  </si>
  <si>
    <t>Jumlah Peraturan Daerah yang Ditindaklanjuti dibagi jumlah Total Peraturan Daerah dalam 1 (Satu) Tahun x 100 %</t>
  </si>
  <si>
    <t>Kreteria tindak lanjut perda :Perbup,Juklak Juknis untuk diperjelas</t>
  </si>
  <si>
    <t>Program Pelayanan Administrasi Perkantoran</t>
  </si>
  <si>
    <t>Persentase Anggaran Penata usahaan SKPD terhadap Total Belanja Langsung SKPD dalam 1 (satu) Tahun</t>
  </si>
  <si>
    <t>DPPKAD</t>
  </si>
  <si>
    <t xml:space="preserve">Anggaran Penata usahaan SKPD dibagi Total Belanja Langsung SKPD dalam 1 (satu) Tahun x 100 </t>
  </si>
  <si>
    <t>Program Peningkatan Sarana dan Prasarana Aparatur</t>
  </si>
  <si>
    <t>Program Peningkatan Disiplin Aparatur</t>
  </si>
  <si>
    <t xml:space="preserve">Besaran Ketersediaan sarana dan prasarana kedinasan kepala Daerah/Wakil Kepala Daerah dan Organisasi Perangkat Daerah </t>
  </si>
  <si>
    <t>Bagian Umum Setda</t>
  </si>
  <si>
    <t>Program Kerjasama  Daerah</t>
  </si>
  <si>
    <t>Besaran kerjasama daerah</t>
  </si>
  <si>
    <t xml:space="preserve">Jumlah kerjasama daerah </t>
  </si>
  <si>
    <t>Dokumen Perjanjian Kerjasama</t>
  </si>
  <si>
    <t>Program Peningkatan Sistem Pengawasan  Internal dan Pengendalian Pelaksanaan Kebijakan Daerah</t>
  </si>
  <si>
    <t xml:space="preserve">Cakupan Pelaksanaan SPM </t>
  </si>
  <si>
    <t>Jumlah indikator SPM yang tercapai di tahun target dibagi jumlah indikator dalam SPM x 100</t>
  </si>
  <si>
    <t>Target SPM menyesuaikan target nasional</t>
  </si>
  <si>
    <t>Meningkatnya Tertib Administrasi Penyelenggaraan Pemerintahan Daerah</t>
  </si>
  <si>
    <t>Peningkatan Tertib Administrasi Penyelenggaraan Pemerintahan Daerah</t>
  </si>
  <si>
    <t xml:space="preserve">Persentase Tersusunnya dokumen pelaporan daerah </t>
  </si>
  <si>
    <t>Jumlah dokumen pelaporan daerah dibagi Jumlah dokumen pelaporan yang seharusnya ada</t>
  </si>
  <si>
    <t>Dokumen pelaporan Kepala Daerah yang wajib dibuat meliputi LPPD,LKPJ,ILPPD, LPPD AMJ, LKPJ AMJ, Memori Jabatan</t>
  </si>
  <si>
    <t>Program Pembinaan dan Fasilitasi Pengelolaan Keuangan Desa</t>
  </si>
  <si>
    <t>Cakupan Pembinaan Administrasi Desa</t>
  </si>
  <si>
    <t>Bagian Pemerintahan Desa Setda dan Kecamatan</t>
  </si>
  <si>
    <t>Jumlah desa yang mengisi buku administrasi secara benar dibagi Jumlah desa</t>
  </si>
  <si>
    <t>Meningkatkan Kapasitas Kemampuan Keuangan Daerah dan Akuntabilitas Aset Daerah</t>
  </si>
  <si>
    <t>Meningkatnya Kapasitas Kemampuan Keuangan dan Pengelolaan Keuangan Daerah</t>
  </si>
  <si>
    <t>Peningkatan Kapasitas Kemampuan Keuangan dan Pengelolaan Keuangan Daerah</t>
  </si>
  <si>
    <t>Meningkatkan Kapasitas Kemampuan Keuangan dan Pengelolaan Keuangan Daerah</t>
  </si>
  <si>
    <t>Program Peningkatan dan Pengembangan Pengelolaan Keuangan Daerah</t>
  </si>
  <si>
    <t>Rasio Realisasi Pendapatan Daerah Terhadap Potensi Pendapatan Daerah</t>
  </si>
  <si>
    <t>Jumlah Pendapatan Asli Daerah dibagi Jumlah potensi pendapatan daerah</t>
  </si>
  <si>
    <t xml:space="preserve">Program Pembinaan dan Fasilitasi Pengelolaan Keuangan Kabupaten/Kota </t>
  </si>
  <si>
    <t>Rasio Pendapatan Asli Daerah Terhadap Pendapatan Daerah</t>
  </si>
  <si>
    <t>Meningkatnya Tertib Administrasi Aset Pemerintah Daerah</t>
  </si>
  <si>
    <t>Peningkatan Tertib Administrasi Aset Pemerintah Daerah</t>
  </si>
  <si>
    <t>Meningkatkan Tertib Administrasi Aset Pemerintah Daerah</t>
  </si>
  <si>
    <t>Persentase Tertib Administrasi Aset Daerah di SKPD</t>
  </si>
  <si>
    <t>Jumlah SKPD yang melaporkan aset daerah yang benar dan tepat waktu dibagi Jumlah SKPD</t>
  </si>
  <si>
    <t>Meningkatkan Tertib Pengelolaan Kearsipan</t>
  </si>
  <si>
    <t>Meningkatnya Tertib Pengelolaan Kearsipan</t>
  </si>
  <si>
    <t>Peningkatan Tertib Pengelolaan Kearsipan</t>
  </si>
  <si>
    <t>Program Perbaikan Sistem Administrasi Kearsipan Daerah</t>
  </si>
  <si>
    <t>Persentase Pengelolaan Arsip Secara Baku</t>
  </si>
  <si>
    <t>Kantor Arsip, Perpustakaan, dan Dokumentasi</t>
  </si>
  <si>
    <t>Jumlah SKPD yang melaksanakan arsip secara baku dibagi Jumlah SKPD x 100</t>
  </si>
  <si>
    <t>Program Penyelamatan dan Pelestarian Dokumen/Arsip Daerah</t>
  </si>
  <si>
    <t>Program Pemeliharaan Rutin/Berkala Sarana dan Prasarana Kearsipan</t>
  </si>
  <si>
    <t>KEPENDUDUKAN DAN CATATAN SIPIL</t>
  </si>
  <si>
    <t>Meningkatkan Kualitas Pelayanan Administrasi Kependudukan dan Pelayanan Lainnya</t>
  </si>
  <si>
    <t>Meningkatnya Kualitas Pelayanan Administrasi Kependudukan dan Pelayanan Lainnya</t>
  </si>
  <si>
    <t>Peningkatan Kualitas Pelayanan Administrasi Kependudukan dan Pelayanan Lainnya</t>
  </si>
  <si>
    <t>Meningkatkan Kualitas Pelayanan Publik</t>
  </si>
  <si>
    <t>Cakupan penerbitan Kartu Keluarga (KK)</t>
  </si>
  <si>
    <t>Dinas Kependudukan dan Pencatatan Sipil</t>
  </si>
  <si>
    <t>jumlah KK yg diterbitkan pada tahun (x) dibagi (:) jumlah kepala keluarga dalam satu wilayah pada tahun (x)  kali (X) 100%.</t>
  </si>
  <si>
    <t>Cakupan Penerbitan Kartu Tanda Penduduk (KTP)</t>
  </si>
  <si>
    <t>Jumlah kutipan akta kelahiran yg diterbitkan sampai dgn tahun (x) dibagi (:) jumlah kelahiran  yg terjadi sampai dengan tahun (x) kali (X) 100%</t>
  </si>
  <si>
    <t>Persentase Penanganan Pengaduan Masyarakat</t>
  </si>
  <si>
    <t>Jumlah pengaduan masyarakat yang tertangani  pada tahun (x) dibagi (:) jumlah pengaduan masyarakat yang ada pada  thn (x) kali (X) 100%.</t>
  </si>
  <si>
    <t>Meningkatnya Kualitas Pelayanan Publik Kepada Masyarakat</t>
  </si>
  <si>
    <t>Meningkatnya Kualitas dan Kuantitas Pelayanan Perizinan dan Non Perizinan</t>
  </si>
  <si>
    <t>Peningkatan Kualitas dan Kuantitas Pelayanan Perizinan dan Non Perizinan</t>
  </si>
  <si>
    <t>Meningkatkan Kualitas dan Kuantitas Pelayanan Perizinan dan Non Perizinan</t>
  </si>
  <si>
    <t>Cakupan Jenis Perizinan yang Memiliki Standar Pelayanan Publik atau Standar Operasional Prosedur</t>
  </si>
  <si>
    <t>KP3M</t>
  </si>
  <si>
    <t>Jumlah izin yang memiliki SPP/SOP dibagi dengan jenis izin yang ada</t>
  </si>
  <si>
    <t>Persentase perizinan  yang diterbitkan Tepat Waktu</t>
  </si>
  <si>
    <t>Jumlah izin yang diterbitkan tepat waktu dibagi dengan jumlah permohonan izin kali 100</t>
  </si>
  <si>
    <t xml:space="preserve">jumlah pengaduan masyarakat yang ditangani dibagi dengan jumlah pengaduan masyarakat dikalikan 100 </t>
  </si>
  <si>
    <t>Penerbitan Izin Usaha Jasa Konstruksi dalam Waktu 6 (Enam) Hari Kerja setelah Persyaratan Lengkap</t>
  </si>
  <si>
    <t>Hari</t>
  </si>
  <si>
    <t>Izin Usaha Jasa Konstruksi diterbitkan dalam Waktu 6 (Enam) Hari Kerja setelah Persyaratan Lengkap</t>
  </si>
  <si>
    <t xml:space="preserve">Meningkatnya Investasi </t>
  </si>
  <si>
    <t xml:space="preserve">Peningkatan Investasi </t>
  </si>
  <si>
    <t>Laju Investasi</t>
  </si>
  <si>
    <t>Nilai investasi tahun ke berjalan dikurangi nilai investasi tahun sebelumnya dibagi nilai investasi tahun sebelumnya kali 100</t>
  </si>
  <si>
    <t>Nilai Investasi</t>
  </si>
  <si>
    <t>Rupiah</t>
  </si>
  <si>
    <t>Nilai investasi pada tahun berjalan</t>
  </si>
  <si>
    <t>Investasi meliputi PMDN dan PMA</t>
  </si>
  <si>
    <t>Jumlah investor pada tahun berjalan</t>
  </si>
  <si>
    <t>Investor meliputi PMDN dan PMA</t>
  </si>
  <si>
    <t>Program Peningkatan Pelayanan Perizinan</t>
  </si>
  <si>
    <t>Jumlah jenis perizinan dan non perizinan yang dapat dilayani pelayanan terpadu satu pintu perangkat daerah kabupaten bidang penanaman modal dibagi enam</t>
  </si>
  <si>
    <t>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t>
  </si>
  <si>
    <t>Jumlah jenis pelayanan yang dilayani menggunakan SPIPISE di bagi empat kali seratus</t>
  </si>
  <si>
    <t>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t>
  </si>
  <si>
    <t>PERPUSTAKAAN</t>
  </si>
  <si>
    <t xml:space="preserve">Meningkatkan Pelayanan Perpustakaan </t>
  </si>
  <si>
    <t xml:space="preserve">Meningkatnya Pelayanan Perpustakaan </t>
  </si>
  <si>
    <t xml:space="preserve">Peningkatan Pelayanan Perpustakaan </t>
  </si>
  <si>
    <t>Rasio Pengunjung Perpustakaan Terhadap Jumlah Penduduk</t>
  </si>
  <si>
    <t>Jumlah pengunjung perpustakaan dibagi jumlah penduduk yang harus dilayani</t>
  </si>
  <si>
    <t>Pengunjung perpustakaan dihitung berdasarkan pengunjung yang mengisi daftar kehadiran atau berdasarkan data yang diperoleh melalui sistem pendataan pengunjung</t>
  </si>
  <si>
    <t>Persentase Peminjam Buku Perpustakaan Terhadap Jumlah Pengunjung</t>
  </si>
  <si>
    <t>Jumlah peminjam buku perpustakaan dibagi jumlah pengunjung perpustakaan</t>
  </si>
  <si>
    <t>Meningkatkan  Kualitas Data Pembangunan  dan Data Statistik Daerah</t>
  </si>
  <si>
    <t>Meningkatnya  Kualitas Data Pembangunan  dan Data Statistik Daerah</t>
  </si>
  <si>
    <t>Peningkatan Kualitas Data Pembangunan  dan Data Statistik Daerah</t>
  </si>
  <si>
    <t>Meningkatkan kualitas informasi dan komunikasi</t>
  </si>
  <si>
    <t>Program Pengembangan Data/Informasi/Statistik Daerah</t>
  </si>
  <si>
    <t>Meningkatkan Pelayanan Komunikasi dan Informasi</t>
  </si>
  <si>
    <t>Meningkatnya Akses atas Komunikasi dan Informasi</t>
  </si>
  <si>
    <t>Peningkatan Akses atas Komunikasi dan Informasi</t>
  </si>
  <si>
    <t>program pengembangan informasi dan komunikasi</t>
  </si>
  <si>
    <t>Rasio Akses Internet di Ruang Publik</t>
  </si>
  <si>
    <t>rasio</t>
  </si>
  <si>
    <t>DISHUBKOMINFO / Bagian Santel dan PDE</t>
  </si>
  <si>
    <t>jumlah akses internet yang ada di ruang publik dibagi jumlah ruang publik</t>
  </si>
  <si>
    <t>program pengembangan  komunikasi, informasi dan media massa</t>
  </si>
  <si>
    <t>Pelaksanaan Diseminasi dan Pendistribusian Informasi melalui Media Tradisional</t>
  </si>
  <si>
    <t>Jumlah Pelaksanaan Diseminasi dan Pendistribusian Informasi melalui Media Tradisional pada tahun berjalan</t>
  </si>
  <si>
    <t>Contoh media tradisional adalah pertunjukan rakyat</t>
  </si>
  <si>
    <t>Pelaksanaan Diseminasi dan Pendistribusian Informasi melalui Media Interpersonal</t>
  </si>
  <si>
    <t>jumlah Pelaksanaan Diseminasi dan Pendistribusian Informasi melalui Media Interpersonal pada tahun berjalan</t>
  </si>
  <si>
    <t>Contoh media interpersonal adalah sarasehan, ceramah, diskusi, lokakarya</t>
  </si>
  <si>
    <t>Pelaksanaan Diseminasi dan Pendistribusian Informasi melalui Media Luar Ruang</t>
  </si>
  <si>
    <t>DISHUBKOMINFO / Bagian Humas</t>
  </si>
  <si>
    <t>jumlah Pelaksanaan Diseminasi dan Pendistribusian Informasi melalui Media Luar Ruang pada tahun berjalan</t>
  </si>
  <si>
    <t>Contoh media luar ruang adalah media buletin, leafleat, bookleat, brosur, spanduk, baliho</t>
  </si>
  <si>
    <t>Pelaksanaan Diseminasi dan Pendistribusian Informasi melalui Media Masa</t>
  </si>
  <si>
    <t>jumlah Pelaksanaan Diseminasi dan Pendistribusian Informasi melalui Media Massa pada tahun berjalan</t>
  </si>
  <si>
    <t>Contoh media massa adalah majalah, radio, dan televisi</t>
  </si>
  <si>
    <t xml:space="preserve">Pelaksanaan Diseminasi dan Pendistribusian Informasi melalui media baru </t>
  </si>
  <si>
    <t>hari</t>
  </si>
  <si>
    <t>Bagian Humas</t>
  </si>
  <si>
    <t>jumlah Pelaksanaan Diseminasi dan Pendistribusian Informasi melalui media baru dalam tahun berjalan</t>
  </si>
  <si>
    <t>Media baru adalah Website Daerah</t>
  </si>
  <si>
    <t>Cakupan Pengembangan dan Pemberdayaan Kelompok Informasi Masyarakat di Tingkat Kecamatan</t>
  </si>
  <si>
    <t>Jumlah Kelompok Informasi Masyarakat di Tingkat Kecamatan dibagi jumlah kecamatan kali 100</t>
  </si>
  <si>
    <t xml:space="preserve">Kelompok Informasi Masyarakat adalah kelompok yang dibentuk oleh masyarakat dari masyarakat da untuk masyarakat secara mandiri dan kreatif yang aktifikatsnya melakukan kegiatan pengelolaan informasi dan pemberdayaan masyarakat </t>
  </si>
  <si>
    <t>Tersedianya Informasi Jasa Konstruksi setiap Tahun</t>
  </si>
  <si>
    <t>D P U</t>
  </si>
  <si>
    <t>jumlah layanan minimal  sistem informasi jasa konstruksi yang terupdate  dibagi jumlah layanan minimal sistem informasi jasa konstruksi x 100</t>
  </si>
  <si>
    <t>Layanan minimal sistem informasi jasa konstruksi sesuai Standar Pelayanan Minimal bidang Pekerjaan Umum dan Penataan Ruang</t>
  </si>
  <si>
    <t xml:space="preserve">Tersedianya Informasi Mengenai Rencana Tata Ruang (RTR) Wilayah Kabupaten Beserta Rencana Rincinya Melalui Peta Analog </t>
  </si>
  <si>
    <t>jumlah peta analog yang tersedia dibagi jumlah kumulatif peta analog yang seharusnya tersedia di Kabupaten, Kecamatan, dan Kelurahan</t>
  </si>
  <si>
    <t>Peta analog dimaksud adalah informasi tentang Rencana Tata Ruang Wilayah Kabupaten serta rencana rincinya dalam bentuk cetakan</t>
  </si>
  <si>
    <t>Tersedianya Informasi Mengenai Rencana Tata Ruang (RTR) Wilayah Kabupaten Beserta Rencana Rincinya Melalui Peta Digital</t>
  </si>
  <si>
    <t>jumlah peta digital yang tersedia dibagi jumlah kumulatif peta digital yang seharusnya tersedia Kabupaten, Kecamatan, dan Kelurahan</t>
  </si>
  <si>
    <t>Peta digital dimaksud adalah informasi tentang Rencana Tata Ruang Wilayah Kabupaten serta rencana rincinya dalam bentuk JPEG</t>
  </si>
  <si>
    <t>Meningkatkan Kualitas Teknologi Informasi dan Komunikasi</t>
  </si>
  <si>
    <t>Terwujudnya Pengelolaan e-Government</t>
  </si>
  <si>
    <t>Peningkatan  Pengelolaan e-Government</t>
  </si>
  <si>
    <t>Cakupan Jaringan Sistem Informasi e-Government</t>
  </si>
  <si>
    <t>Bagian Santel dan PDE, Dishubkominfo dan Bappeda</t>
  </si>
  <si>
    <t>Jumlah Sistem Informasi e-Government yang tersedia dibagi jumlah organisasi perangkat daerah kali 100</t>
  </si>
  <si>
    <t>program pengkajian dan penelitian bidang informasi dan komunikasi</t>
  </si>
  <si>
    <t>Jumlah organisasi perangkat daerah yang jaringannya terintegrasi dibagi jumlah organisasi perangkat daerah kali 100</t>
  </si>
  <si>
    <t>VISI</t>
  </si>
  <si>
    <t>MISI</t>
  </si>
  <si>
    <t>PROGRAM KEGIATAN</t>
  </si>
  <si>
    <t xml:space="preserve"> </t>
  </si>
  <si>
    <t xml:space="preserve">TARGET  </t>
  </si>
  <si>
    <t>URUSAN WAJIB</t>
  </si>
  <si>
    <t>URUSAN PILIHAN</t>
  </si>
  <si>
    <t>RUPIAH</t>
  </si>
  <si>
    <t xml:space="preserve">Jumlah kegiatan penelitian dan pengembangan yang dilaksanakan </t>
  </si>
  <si>
    <t>Persentase Dokumen Perencanaan Pembangunan Daerah yang tepat waktu</t>
  </si>
  <si>
    <t xml:space="preserve">Jumlah Dokumen Perencanaan Pembangunan Daerah yang di susun tepat waktu  dibagi Jumlah Dokumen Perencanaan Pembangunan Daerah </t>
  </si>
  <si>
    <t>Persentase Keterwakilan Anak dalam Proses Perencanaan Pembangunan Daerah</t>
  </si>
  <si>
    <t>Jumlah peserta anak yang di undang  pada Musrenbang dibagi jumlah peserta</t>
  </si>
  <si>
    <t>perwakilan anak bisa diwakili dari Forum Anak</t>
  </si>
  <si>
    <t xml:space="preserve">Besaran Dokumen Perencanaan Pembangunan Tematik </t>
  </si>
  <si>
    <t>Jumlah Perencanaan Pembangunan Tematik</t>
  </si>
  <si>
    <t>meliputi Masterplan, Feasibility Study, Rencana Induk, Rencana Aksi Daerah, Road Map, Perencanaan Kawasan, dan topik tertentu/khusus</t>
  </si>
  <si>
    <t>Persentase program SKPD di Luar RPJMD</t>
  </si>
  <si>
    <t xml:space="preserve">Besaran ketersediaan data statistik </t>
  </si>
  <si>
    <t xml:space="preserve">Jumlah dokumen data statistik </t>
  </si>
  <si>
    <t>meliputi data statistik dasar, sektoral, khusus, dan data daerah</t>
  </si>
  <si>
    <t>Program Pelayanan Kontrasepsi</t>
  </si>
  <si>
    <t>Cakupan penyediaan alat dan kontrasepsi untuk memenuhi permintaan masyarakat</t>
  </si>
  <si>
    <t>Program Keserasian Kebijakan Peningkatan Kualitas Anak dan Perempuan</t>
  </si>
  <si>
    <t>Program Penguatan Kelembagaan Pengarustamaan Gender dan Anak</t>
  </si>
  <si>
    <t>Program Pengembangan Pusat Pelayanan Informasi dan Konseling KRR</t>
  </si>
  <si>
    <t>Program Peningkatan Penanggulangan Narkoba, PMS termasuk HIV/IADS</t>
  </si>
  <si>
    <t>Program Pengembangan Model Operasional BKB-Posyandu-PADU</t>
  </si>
  <si>
    <t xml:space="preserve">Program Keluarga Berencana                                               </t>
  </si>
  <si>
    <t>Program Penyiapan Tenaga Pendamping Kelompok Bina Keluarga</t>
  </si>
  <si>
    <t>Meningkatnya kualias kesejahteraan keluarga</t>
  </si>
  <si>
    <t>Program Pembinaan Kesejahteraan Keluarga</t>
  </si>
  <si>
    <t>Cakupan penyediaan informasi data mikro keluarga di setiap desa/kelurahan setiap tahun</t>
  </si>
  <si>
    <t>Jumlah dokumen data mikro keluarga yang ada dibagi jumlah desa/kelurahan kali 100</t>
  </si>
  <si>
    <t xml:space="preserve">Cakupan Pelayanan RSUD: </t>
  </si>
  <si>
    <t>BOR</t>
  </si>
  <si>
    <t>LOS</t>
  </si>
  <si>
    <t>TOI</t>
  </si>
  <si>
    <t>GDR</t>
  </si>
  <si>
    <t>NDR</t>
  </si>
  <si>
    <t>‰</t>
  </si>
  <si>
    <t>Strata</t>
  </si>
  <si>
    <t>Kinerja Pelayanan BLUD</t>
  </si>
  <si>
    <t>Sehat</t>
  </si>
  <si>
    <t>87,50</t>
  </si>
  <si>
    <t xml:space="preserve">Tepat waktu dalam arti penyerahan SK Pensiun 1 bulan sebelum TMT </t>
  </si>
  <si>
    <t>Jumlah PNS lulusan S1 dibagi Jumlah PNS X 100</t>
  </si>
  <si>
    <t>Jumlah PNS lulusan S2 dan S3 dibagi Jumlah PNS x 100</t>
  </si>
  <si>
    <t>Jumlah Penyelesaian Usulan Pensiun PNS Tepat Waktu dibagi Jumlah usulan PNS x 100</t>
  </si>
  <si>
    <t>Jumlah SK Hukuman Disiplin PNS dibagi Jumlah Kasus Pelanggaran Disiplin PNS yang masuk  x100</t>
  </si>
  <si>
    <t>Jumlah Pejabat Struktural yang Mengikuti Diklat Kepemimpinan dibagi Jumlah Pejabat Struktural x 100</t>
  </si>
  <si>
    <t>Jumlah PNS yang Memiliki Sertifikat Pengadaan Barang atau Jasa dibagi Jumlah PNS x 100</t>
  </si>
  <si>
    <t>Jumlah PNS yang Mengikuti Diklat Teknis Fungsional dibagi Jumlah PNS x 100</t>
  </si>
  <si>
    <t>Luas Areal tanam komoditi yang menggunakan benih unggul dibagi total luas tanam komoditi kali 100%</t>
  </si>
  <si>
    <t>komoditi padi, jagung, kopi, tembakau</t>
  </si>
  <si>
    <t>Program Peningkatan Pemasaran hasil produksi pertanian/perkebunan</t>
  </si>
  <si>
    <t>Besaran Peningkatan Pemasaran Hasil Pertanian</t>
  </si>
  <si>
    <t xml:space="preserve">Komoditas unggulan :  buncis, cabai, sayuran daun, labu siam, kopi, jahe, salak; </t>
  </si>
  <si>
    <t>Angka Kematian Ternak unggas</t>
  </si>
  <si>
    <t>Angka Kematian Ternak kecil</t>
  </si>
  <si>
    <t>Angka Kematian Ternak besar</t>
  </si>
  <si>
    <t>Peningkatan produksi 2% pertahun *produksi tahun 2013 merupakan angka estimasi</t>
  </si>
  <si>
    <t>Program Peningkatan Produksi Hasil peternakan</t>
  </si>
  <si>
    <t>Peningkatan Produktivitas daging Sapi</t>
  </si>
  <si>
    <t>Peningkatan Produktivitas daging Kambing</t>
  </si>
  <si>
    <t>Peningkatan Produktivitas daging Domba</t>
  </si>
  <si>
    <t>Peningkatan populasi sapi</t>
  </si>
  <si>
    <t>Peningkatan populasi domba</t>
  </si>
  <si>
    <t>Peningkatan populasi kambing</t>
  </si>
  <si>
    <t>1,5%</t>
  </si>
  <si>
    <t>Peningkatan populasi ayam buras</t>
  </si>
  <si>
    <t>Pengembangan Teknologi dan Inovasi,  Perikanan</t>
  </si>
  <si>
    <t>Program Pengembangan Budidaya Perikanan</t>
  </si>
  <si>
    <t xml:space="preserve">Penggunaan induk ikan unggul  </t>
  </si>
  <si>
    <t>Mengembangkan intensifikasi, diversifikasi Produk perikanan</t>
  </si>
  <si>
    <t>Peningkatan produksi benih ikan</t>
  </si>
  <si>
    <t>Peningkatan produksi ikan konsumsi (kolam)</t>
  </si>
  <si>
    <t>Jumlah produksi ikan konsumsi tahun n-(n-1) dibagi jumlah produksi ikan konsumsi tahun ke n-1 kali 100%</t>
  </si>
  <si>
    <t>Peningkatan produksi mina padi</t>
  </si>
  <si>
    <t>Jumlah produksi mina padi tahun n-(n-1) dibagi jumlah produksi mina padi tahun ke n-1 kali 100%</t>
  </si>
  <si>
    <t>Produktivitas benih ikan</t>
  </si>
  <si>
    <t>ekor/m2</t>
  </si>
  <si>
    <t>Jumlah produksi benih ikan (ekor ) per luas kolam (m2)</t>
  </si>
  <si>
    <t>Produktivitas ikan konsumsi</t>
  </si>
  <si>
    <t>kg/m2</t>
  </si>
  <si>
    <t>Jumlah produksi ikan konsumsi (kg ) per luas kolam (m2)</t>
  </si>
  <si>
    <t>Produktivitas mina padi</t>
  </si>
  <si>
    <t>kg/Ha/tahun</t>
  </si>
  <si>
    <t xml:space="preserve">Jumlah produksi ikan (kg ) per luas lahan budidaya minapadi (Ha) </t>
  </si>
  <si>
    <t>Program Optimalisasi pengelolaan dan Pemasaran Produksi Perikanan</t>
  </si>
  <si>
    <t>Peningkatan produksi pengolahan hasil perikanan</t>
  </si>
  <si>
    <t xml:space="preserve">Tingkat Konsumsi Ikan </t>
  </si>
  <si>
    <t>kg/kapita/tahun</t>
  </si>
  <si>
    <t>Jumlah ikan yang dikonsumsi (kg) setiap orang dalam jangka waktu 1 tahun</t>
  </si>
  <si>
    <t>Program Pengembangan Kawasan budidaya air tawar</t>
  </si>
  <si>
    <t>Peningkatan luas lahan budidaya ikan</t>
  </si>
  <si>
    <t>Program Pengembangan Perikanan Tangkap</t>
  </si>
  <si>
    <t>Peningkatan produksi perikanan tangkap di perairan umum</t>
  </si>
  <si>
    <t>Jumlah produksi perikanan tangkap tahun n-(n-1) dibagi jumlah hasil produksi perikanan tangkap tahun ke n-1 kali 100%</t>
  </si>
  <si>
    <t>*Penanganan lahan krittis meliputi kegiatan kegiatan vegetasi dan bangunan sipil teknis **Data Lahan Kritis 2013 adalah data hasil review lahan kritis oleh BP DAS SOP tahun 2013 ***Target penanganan 3.000 ha per tahun</t>
  </si>
  <si>
    <t>*LMDH merupakan kelompok masyarakat yang mengelola hutan negara selain tanaman pokok **Kelompok konservasi adalah kelompok masyarakat yang peduli dan aktif bergerak dalam konservasi lahan</t>
  </si>
  <si>
    <t>Besaran Peningkatan Kemitraan dalam Pengelolaan Hasil Hutan</t>
  </si>
  <si>
    <t>*APHR merupakan gabungan kelompok tani hutan rakyat yang dilegalisasi sebagai kelompok tani kemitraan perusahaan kayu **syarat luasan hutan rakyat untuk diproses legalisasi (SVLK) sebesar 500 Ha.</t>
  </si>
  <si>
    <t>*Bangunan sipil teknis meliputi pengendali jurang, sumur resapan, dam penahan **Target pembangunan 50 unit per tahun</t>
  </si>
  <si>
    <t>3,25</t>
  </si>
  <si>
    <t>83,02</t>
  </si>
  <si>
    <t>7,55</t>
  </si>
  <si>
    <t>80,58</t>
  </si>
  <si>
    <t>4,00</t>
  </si>
  <si>
    <t>83,00</t>
  </si>
  <si>
    <t>6,00</t>
  </si>
  <si>
    <t>81,00</t>
  </si>
  <si>
    <t>84,52</t>
  </si>
  <si>
    <t>85,00</t>
  </si>
  <si>
    <t>1 : 6</t>
  </si>
  <si>
    <t>2,89</t>
  </si>
  <si>
    <t>3,00</t>
  </si>
  <si>
    <t>Program Pemberdayaan Penyuluh Pertanian, Perikanan dan Kehutanan</t>
  </si>
  <si>
    <t>Jumlah materi penyuluhan yang dipublikasikasi</t>
  </si>
  <si>
    <t>kali/tahun</t>
  </si>
  <si>
    <t>Publikasi materi penyuluhan dilakukan dalam media massa skala nasional</t>
  </si>
  <si>
    <t>Rasio jumlah kelompok tani maju dengan jumlah total kelompok tani kali 100 %</t>
  </si>
  <si>
    <t>Peningkatan kelas poktan dari pemula-lanjut
lanjut-madya
madya-utama</t>
  </si>
  <si>
    <t>Cukup Jelas</t>
  </si>
  <si>
    <t>Luas baku lahan yang siap digunakan untuk pertanian organik untuk komoditas padi, jagung dan kopi</t>
  </si>
  <si>
    <t>Besaran Peningkatan Jumlah Alat Mesin Pertanian dan Perkebunan</t>
  </si>
  <si>
    <t xml:space="preserve">*Jenis alat mesin pertanian perkebunan yang dihitung : handtraktor, kultivator, pompa air, pemipil jagung, pengupas kopi, perajang tembakau </t>
  </si>
  <si>
    <t>39..95</t>
  </si>
  <si>
    <t>1:29</t>
  </si>
  <si>
    <t>1:30</t>
  </si>
  <si>
    <t>75,6</t>
  </si>
  <si>
    <t>80,7</t>
  </si>
  <si>
    <t>84,5</t>
  </si>
  <si>
    <t>88,4</t>
  </si>
  <si>
    <t>92,3</t>
  </si>
  <si>
    <t>96,13</t>
  </si>
  <si>
    <t>5,8</t>
  </si>
  <si>
    <t>8,3</t>
  </si>
  <si>
    <t>72,4</t>
  </si>
  <si>
    <t>91,7</t>
  </si>
  <si>
    <t>Persentase Tertib Administrasi di tingkat Kelurahan</t>
  </si>
  <si>
    <t>Jumlah kecamatan yang melaksanakan tertib administrasi dibagi jumalh Kecamatan kali 100</t>
  </si>
  <si>
    <t>1:15</t>
  </si>
  <si>
    <t>1:14</t>
  </si>
  <si>
    <t>1:13</t>
  </si>
  <si>
    <t>50..59</t>
  </si>
  <si>
    <t>80..94</t>
  </si>
  <si>
    <t>Peningkatan ketahanan pangan dari aspek ketersediaan,distribusi dan konsumsi  pangan</t>
  </si>
  <si>
    <t>Peningkatan ketersediaan dan cadangan pangan, distribusi dan akses pangan, diversifikasi konsumsi dan keamanan pangan, serta penanganan kerawanan pangan</t>
  </si>
  <si>
    <t>Meningkatkan ketersediaan dan cadangan pangan, distribusi dan akses pangan, diversifikasi konsumsi dan keamanan pangan, serta penanganan kerawanan pangan</t>
  </si>
  <si>
    <t>kkal/kap/hr</t>
  </si>
  <si>
    <t>gr/kap/hr</t>
  </si>
  <si>
    <t>Peningkatan cadangan pangan masyarakat</t>
  </si>
  <si>
    <t>Jumlah akumulatif pembinaan/pengembangan kelembagaan cadangan pangan yang telah dilaksanakan pada tahun yang bersangkutan</t>
  </si>
  <si>
    <t>Persentase penguatan cadangan pangan pemerintah</t>
  </si>
  <si>
    <t>8,8</t>
  </si>
  <si>
    <t>Jumlah cadangan pangan pemerintah per 100 ton kali 100%</t>
  </si>
  <si>
    <t xml:space="preserve">Penggantian tanah pengganti di prioritaskan kepada pengadaan tanah yang memicu konflik dan kerawanan sosial tinggi </t>
  </si>
  <si>
    <t>1 : 2182</t>
  </si>
  <si>
    <t>1 : 2401</t>
  </si>
  <si>
    <t>1 : 2500</t>
  </si>
  <si>
    <t>4,2</t>
  </si>
  <si>
    <t>29,2</t>
  </si>
  <si>
    <t>1 : 2600</t>
  </si>
  <si>
    <t>Jumlah Daftar Pelaksanaan Anggaran (DPA) SKPD yang sudah dilampiri Anggaran Responsif Gender dibagi jumlah kegiatan SKPD yang diusulkan ber-ARG x 100</t>
  </si>
  <si>
    <t>3,10</t>
  </si>
  <si>
    <t>2,8</t>
  </si>
  <si>
    <t>2,7</t>
  </si>
  <si>
    <t>2,6</t>
  </si>
  <si>
    <t>83,2</t>
  </si>
  <si>
    <t>83,4</t>
  </si>
  <si>
    <t>83,6</t>
  </si>
  <si>
    <t>83,8</t>
  </si>
  <si>
    <t>5,7</t>
  </si>
  <si>
    <t>5,5</t>
  </si>
  <si>
    <t>5,3</t>
  </si>
  <si>
    <t>5,1</t>
  </si>
  <si>
    <t>5,05</t>
  </si>
  <si>
    <t>81,05</t>
  </si>
  <si>
    <t>81,1</t>
  </si>
  <si>
    <t>81,16</t>
  </si>
  <si>
    <t>81,19</t>
  </si>
  <si>
    <t>81,25</t>
  </si>
  <si>
    <t>85,5</t>
  </si>
  <si>
    <t>85,6</t>
  </si>
  <si>
    <t>85,75</t>
  </si>
  <si>
    <t>85,8</t>
  </si>
  <si>
    <t>1 : 4</t>
  </si>
  <si>
    <t>1 :4</t>
  </si>
  <si>
    <t>1 : 2</t>
  </si>
  <si>
    <t>1 : 5</t>
  </si>
  <si>
    <t>3,2</t>
  </si>
  <si>
    <t>3,33</t>
  </si>
  <si>
    <t>3,34</t>
  </si>
  <si>
    <t>3,54</t>
  </si>
  <si>
    <t>3,55</t>
  </si>
  <si>
    <t>0,67</t>
  </si>
  <si>
    <t>0,65</t>
  </si>
  <si>
    <t>0,64</t>
  </si>
  <si>
    <t>0,62</t>
  </si>
  <si>
    <t>0,63</t>
  </si>
  <si>
    <t>0,6</t>
  </si>
  <si>
    <t>&lt;2</t>
  </si>
  <si>
    <t>96,6</t>
  </si>
  <si>
    <r>
      <t xml:space="preserve">Jumlah Penyandang cacat Fisik dan Mental serta Lansia Tidak Potensial yang menerima Jamsos dalam 1tahun dibagi Jumlah Penyandang cacat Fisik dan Mental serta Lansia Tidak Potensial yang  </t>
    </r>
    <r>
      <rPr>
        <u/>
        <sz val="12"/>
        <rFont val="Arial Narrow"/>
        <family val="2"/>
      </rPr>
      <t>se</t>
    </r>
    <r>
      <rPr>
        <sz val="12"/>
        <rFont val="Arial Narrow"/>
        <family val="2"/>
      </rPr>
      <t xml:space="preserve">harusnya menerima  Jaminan Sosial  dalam 1 tahun x 100                                                       </t>
    </r>
  </si>
  <si>
    <t>Tahun 2012 Jumlah Unit 560</t>
  </si>
  <si>
    <t>Persentase APK SD Sederajat</t>
  </si>
  <si>
    <t>Persentase APM SD Sederajat</t>
  </si>
  <si>
    <t>Persentase APK SMP Sederajat</t>
  </si>
  <si>
    <t>Persentase APM SMP Sederajat</t>
  </si>
  <si>
    <t>Persentase Partisipasi Anak Perempuan dalam Pendidikan Dasar</t>
  </si>
  <si>
    <t>Persentase APK Pendidikan Menengah</t>
  </si>
  <si>
    <t>Persentase APM Pendidikan Menengah</t>
  </si>
  <si>
    <t>Persentase Partisipasi Anak Perempuan dalam Pendidikan Menengah</t>
  </si>
  <si>
    <r>
      <t xml:space="preserve">Persentase Angka Melek Huruf Usia </t>
    </r>
    <r>
      <rPr>
        <sz val="12"/>
        <rFont val="Calibri"/>
        <family val="2"/>
      </rPr>
      <t>≥</t>
    </r>
    <r>
      <rPr>
        <sz val="12"/>
        <rFont val="Arial Narrow"/>
        <family val="2"/>
      </rPr>
      <t xml:space="preserve"> 15 tahun</t>
    </r>
  </si>
  <si>
    <r>
      <t xml:space="preserve">Jumlah penduduk usia </t>
    </r>
    <r>
      <rPr>
        <sz val="12"/>
        <rFont val="Calibri"/>
        <family val="2"/>
      </rPr>
      <t>≥</t>
    </r>
    <r>
      <rPr>
        <sz val="12"/>
        <rFont val="Arial Narrow"/>
        <family val="2"/>
      </rPr>
      <t xml:space="preserve"> 15 tahun yang melek huruf dibagi jumlah penduduk  usia ≥ 15 tahun kali 100%</t>
    </r>
  </si>
  <si>
    <t>Persentase Layanan Pendidikan Kesetaraan dalam Rangka Menampung Siswa Putus Sekolah Pendidikan Dasar dan Menengah</t>
  </si>
  <si>
    <t>Persentase Meningkatnya Jumlah Lembaga Pendidikan Non Formal</t>
  </si>
  <si>
    <t>Persentase Angka Lulusan SD/MI</t>
  </si>
  <si>
    <t>Persentase Angka Lulusan SMP/MTs</t>
  </si>
  <si>
    <t>Persentase Angka Lulusan SMA/MA/SMK</t>
  </si>
  <si>
    <t>Persentase Angka Lulusan Pendidikan Kesetaraan</t>
  </si>
  <si>
    <t>Besaran Penilik Pendidikan Nonformal</t>
  </si>
  <si>
    <t>Persentase Ruang Kelas SD/MI yang Kondisinya Baik</t>
  </si>
  <si>
    <t>Persentase Ruang Kelas SMP yang Kondisinya Baik</t>
  </si>
  <si>
    <t>Persentase SD/MI yang Memiliki Sarana dan Prasarana sesuai dengan Standar Sarana Prasarana</t>
  </si>
  <si>
    <t>Persentase SMP/MTs yang Memiliki Sarana dan Prasarana sesuai dengan Standar Sarana Prasarana</t>
  </si>
  <si>
    <t>Persentase SKPD, Unit Pelayanan, dan Satuan Pendidikan yang Menyusun Standar Pelayanan Publik</t>
  </si>
  <si>
    <t>Persentase SKPD, Unit Pelayanan, dan Satuan Pendidikan yang telah Memiliki SOP</t>
  </si>
  <si>
    <t>C</t>
  </si>
  <si>
    <t>CC</t>
  </si>
  <si>
    <t>B</t>
  </si>
  <si>
    <t xml:space="preserve">Jumlah penelitian dan pengembangan yang dilaksanakan yang menggunakan metodologi penelitian </t>
  </si>
  <si>
    <t>Data diperoleh melalui aplikasi pengendalian dan evaluasi pelaksanaan rencana pembangunan daerah dan rumus di IKD di buat menjadi 2 macam .</t>
  </si>
  <si>
    <t>Jenis penanganannya antara lain adanya sanksi dari Pemerintah Kabupaten . ( kasus kepala desa  dan perangkat desa di pisahkan dalam kelompok tersendiri )</t>
  </si>
  <si>
    <t>Cakupan Penerbitan Kutipan Akta Kelahiran</t>
  </si>
  <si>
    <t>1/30.000</t>
  </si>
  <si>
    <t>1/33.000</t>
  </si>
  <si>
    <t>1/32.000</t>
  </si>
  <si>
    <t>1/31.000</t>
  </si>
  <si>
    <t>Lulus</t>
  </si>
  <si>
    <t>tda</t>
  </si>
  <si>
    <t>Jumlah peningkatan kapasitas SDM Penyuluh</t>
  </si>
  <si>
    <t>orang/thn</t>
  </si>
  <si>
    <t>Meningkatnya kompetensi penyuluh</t>
  </si>
  <si>
    <t>Jumlah peningkatan kapasitas SDM Petani</t>
  </si>
  <si>
    <t xml:space="preserve">Jumlah pertumbuhan dan peningkatan Kapasitas Lembaga Ekonomi Petani </t>
  </si>
  <si>
    <t>unit/thn</t>
  </si>
  <si>
    <t xml:space="preserve">Jumlah petani anggota kelompok yang meningkat </t>
  </si>
  <si>
    <t>Peningkatan kapasitas petani (pengetahuan, sikap, keterampilan) dalam penerapan teknologi</t>
  </si>
  <si>
    <t>Badan Umum Milik Petani (BUMP) berbentuk pra koperasi/koperasi/asosiasi</t>
  </si>
  <si>
    <t>Dinas Sosial, Bapermades, Bag.Perekonomian</t>
  </si>
  <si>
    <t>angka</t>
  </si>
  <si>
    <t>0,46</t>
  </si>
  <si>
    <t>0,40</t>
  </si>
  <si>
    <t>0,5</t>
  </si>
  <si>
    <t>0,48</t>
  </si>
  <si>
    <t>0,47</t>
  </si>
  <si>
    <t>1,64</t>
  </si>
  <si>
    <t>1,59</t>
  </si>
  <si>
    <t>1,60</t>
  </si>
  <si>
    <t>1,62</t>
  </si>
  <si>
    <t>Program Peningkatan Penerapan Teknologi Pertanian / Peternakan / Perkebunan</t>
  </si>
  <si>
    <t>Jumlah kunjungan pasien penduduk miskin yang dilayani Jaminan Kesehatan Temanggung (JKT) selama satu tahun (lama dan baru) / Jumlah seluruh penduduk miskin sakit yang tidak ditanggung Jamkesmas x 100</t>
  </si>
  <si>
    <t>LOS = Jumlah hari lama dirawat pasien keluar / Jumlah pasien keluar (hidup + mati)</t>
  </si>
  <si>
    <t xml:space="preserve">TOI = (Jumlah TT x hari) - hari perawatan rumah sakit / Jumlah pasien keluar (hidup + mati)
</t>
  </si>
  <si>
    <t xml:space="preserve">GDR = jumlah pasien mati seluruhnya / Jumlah pasien keluar (hidup+mati) x 1000  ‰
</t>
  </si>
  <si>
    <t>a. Keluarga Pra Sejahtera</t>
  </si>
  <si>
    <t>b. Keluarga Sejahtera I</t>
  </si>
  <si>
    <t>c. Keluarga Sejahtera II</t>
  </si>
  <si>
    <t>d. Keluarga Sejahtera III</t>
  </si>
  <si>
    <t>e. Keluarga Sejahtera III plus</t>
  </si>
  <si>
    <t>Besaran Sasaran PUS Menjadi Peserta KB Baru</t>
  </si>
  <si>
    <t>22,86</t>
  </si>
  <si>
    <t>21,32</t>
  </si>
  <si>
    <t>20,58</t>
  </si>
  <si>
    <t>20,48</t>
  </si>
  <si>
    <t>20,26</t>
  </si>
  <si>
    <t>20,22</t>
  </si>
  <si>
    <t>11,3</t>
  </si>
  <si>
    <t>8,05</t>
  </si>
  <si>
    <t>7,87</t>
  </si>
  <si>
    <t>7,15</t>
  </si>
  <si>
    <t>7,24</t>
  </si>
  <si>
    <t>7,23</t>
  </si>
  <si>
    <t>17,33</t>
  </si>
  <si>
    <t>21,81</t>
  </si>
  <si>
    <t>22,01</t>
  </si>
  <si>
    <t>23,16</t>
  </si>
  <si>
    <t>23,17</t>
  </si>
  <si>
    <t>23,19</t>
  </si>
  <si>
    <t>45,38</t>
  </si>
  <si>
    <t>45,57</t>
  </si>
  <si>
    <t>44,93</t>
  </si>
  <si>
    <t>45,23</t>
  </si>
  <si>
    <t>45,21</t>
  </si>
  <si>
    <t>45,22</t>
  </si>
  <si>
    <t>3,11</t>
  </si>
  <si>
    <t>3,23</t>
  </si>
  <si>
    <t>3,61</t>
  </si>
  <si>
    <t>3,98</t>
  </si>
  <si>
    <t>4,12</t>
  </si>
  <si>
    <t>4,14</t>
  </si>
  <si>
    <t>Jumlah keluarga sejahtera III Plus dibagi jumlah seluruh keluarga kali 100</t>
  </si>
  <si>
    <t>Jumlah keluarga sejahtera III dibagi jumlah seluruh keluarga kali 100</t>
  </si>
  <si>
    <t>Jumlah keluarga sejahtera II dibagi jumlah seluruh keluarga kali 100</t>
  </si>
  <si>
    <t>Jumlah keluarga sejahtera I dibagi jumlah seluruh keluarga kali 100</t>
  </si>
  <si>
    <t>Jumlah keluarga pra sejahtera dibagi jumlah seluruh keluarga kali 100</t>
  </si>
  <si>
    <t>Jumlah sasaran PUS yang menggunakan kontrasepsi (peserta KB baru)</t>
  </si>
  <si>
    <t>1 : 1</t>
  </si>
  <si>
    <t>Besaran implementasi Sistem Pelayanan Informasi dan Perizinan Informasi secara Elektronik</t>
  </si>
  <si>
    <t>123,457 M</t>
  </si>
  <si>
    <t>170 M</t>
  </si>
  <si>
    <t>160 M</t>
  </si>
  <si>
    <t>165 M</t>
  </si>
  <si>
    <t>Besaran pelayanan perizinan dan non perizinan bidang penanaman modal melalui pelayanan terpadu satu pintu di bidang penanaman modal</t>
  </si>
  <si>
    <t>85,692 M</t>
  </si>
  <si>
    <t xml:space="preserve">Besaran Promosi peluang investasi dan kemitraan dengan dunia usaha </t>
  </si>
  <si>
    <t>Persentase Penanganan Hasil Temuan Pemeriksaan</t>
  </si>
  <si>
    <t>Peningkatan Nilai Sistem Akuntabilitas Kinerja Instansi Pemerintah (SAKIP)</t>
  </si>
  <si>
    <t>Meningkatnya Indeks Kepuasan Masyarakat</t>
  </si>
  <si>
    <t>Persentase Pembangunan Jaringan Irigasi Partisipatif</t>
  </si>
  <si>
    <t>Cakupan Bantuan Prasarana Olah Raga Bagi Klub Olah Raga</t>
  </si>
  <si>
    <t>Jumlah Klub Olah Raga Yang Telah Dibantu dibagi Jumlah Klub Olah raga yang ada x 100 %</t>
  </si>
  <si>
    <t>Jumlah Klub Olah Raga : 2004</t>
  </si>
  <si>
    <t>Besaran Prestasi Olahraga</t>
  </si>
  <si>
    <t>Jumlah Medali</t>
  </si>
  <si>
    <t>Jumlah Medali yang diperoleh dalam jangka waktu 1 Tahun ( Juara I, II, III )</t>
  </si>
  <si>
    <t>Tingkat Profinsi dan Nasional</t>
  </si>
  <si>
    <t>Besaran Prestasi Kegiatan Kepemudaan</t>
  </si>
  <si>
    <t>Jumlah Prestasi</t>
  </si>
  <si>
    <t>Jumlah Kejuaraan yang di peroleh pada Kegiatan Kepemudaanyang dilombakan</t>
  </si>
  <si>
    <t xml:space="preserve">besaran Berkembangnya Kawasan wisata </t>
  </si>
  <si>
    <t>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t>
  </si>
  <si>
    <t>jumlah kawasan potensi wisata yang akan dikelola dan dikembangkan menjadi obyek wisata</t>
  </si>
  <si>
    <t xml:space="preserve">Jumlah Kemitraan yang terjalin </t>
  </si>
  <si>
    <t>jumlah obyek wisata yang dikelola</t>
  </si>
  <si>
    <t>Akuntabilitas Pengelolaan Keuangan Daerah</t>
  </si>
  <si>
    <t>WTP</t>
  </si>
  <si>
    <t>Fokus Kemampuan Ekonomi Daerah</t>
  </si>
  <si>
    <t>Fokus Sumber Daya Manusia</t>
  </si>
  <si>
    <t>Fokus Kesejahteraan dan pemerataan Ekonomi</t>
  </si>
  <si>
    <t>Fokus Kesejahteraan Sosial</t>
  </si>
  <si>
    <t>TARGET INDIKATOR DAERAH</t>
  </si>
  <si>
    <t>INDIKATOR KINERJA PROGRAM      ( OUTCOME )</t>
  </si>
  <si>
    <t>Tersusunnya kurikulum muatan lokal Budi Pekerti dan Budaya Jawa TK/RA</t>
  </si>
  <si>
    <t>Terlaksananya kurikulum muatan lokal Budi Pekerti dan Budaya Jawa TK/RA</t>
  </si>
  <si>
    <t>Tersedianya Buku Teks atau Buku Penunjang atau Buku Pengayaan yang Memuat Budi Pekerti  atau Tata Krama atau  Nilai Budaya Daerah atau Keteladanan TK/RA</t>
  </si>
  <si>
    <t>Terselenggaranya Workshop Pengembangan Kurikulum Muatan Lokal dan Budi Pekerti Jawa TK/RA</t>
  </si>
  <si>
    <t>Tersusunnya kurikulum muatan lokal Budi Pekerti dan Budaya Jawa SD/MI</t>
  </si>
  <si>
    <t>Terlaksananya kurikulum muatan lokal Budi Pekerti dan Budaya Jawa SD/MI</t>
  </si>
  <si>
    <t>Tersusunnya kurikulum muatan lokal Budi Pekerti dan Budaya Jawa SMP/MTs</t>
  </si>
  <si>
    <t>Terlaksananya kurikulum muatan lokal Budi Pekerti dan Budaya Jawa SMP/MTs</t>
  </si>
  <si>
    <t>Tersedianya Buku Teks atau Buku Penunjang atau Buku Pengayaan yang Memuat Budi Pekerti  atau Tata Krama atau  Nilai Budaya Daerah atau Keteladanan SD/MI</t>
  </si>
  <si>
    <t>Tersedianya Buku Teks atau Buku Penunjang atau Buku Pengayaan yang Memuat Budi Pekerti  atau Tata Krama atau  Nilai Budaya Daerah atau Keteladanan SMP/MTs</t>
  </si>
  <si>
    <t>Tersusunnya kurikulum muatan lokal Budi Pekerti dan Budaya Jawa SMA/MA/SMK</t>
  </si>
  <si>
    <t>Terlaksananya kurikulum muatan lokal Budi Pekerti dan Budaya Jawa SMA/MA/SMK</t>
  </si>
  <si>
    <t>Tersedianya Buku Teks atau Buku Penunjang atau Buku Pengayaan yang Memuat Budi Pekerti  atau Tata Krama atau  Nilai Budaya Daerah atau Keteladanan SMA/MA/SMK</t>
  </si>
  <si>
    <t>Tersusunnya kurikulum muatan lokal Budi Pekerti dan Budaya Jawa Pendidikan Non Formal</t>
  </si>
  <si>
    <t>Terlaksananya kurikulum muatan lokal Budi Pekerti dan Budaya Jawa Pendidikan Non Formal</t>
  </si>
  <si>
    <t>Tersedianya Buku Teks atau Buku Penunjang atau Buku Pengayaan yang Memuat Budi Pekerti  atau Tata Krama atau  Nilai Budaya Daerah atau Keteladanan Pendidikan Non Formal</t>
  </si>
  <si>
    <t>1 : 22</t>
  </si>
  <si>
    <t>1 : 23</t>
  </si>
  <si>
    <t>Terlaksananya pengembangan pendidikan anak usia dini</t>
  </si>
  <si>
    <t>Terlaksananya Pembangunan Unit Gedung Baru (UGB) PAUD Terpadu</t>
  </si>
  <si>
    <t>Lancarnya pelaksanaan Pembangunan Unit Gedung Baru (UGB) PAUD Terpadu</t>
  </si>
  <si>
    <t>Angka Partisipasi Sekolah Penduduk Usia 7-12 Tahun</t>
  </si>
  <si>
    <t>Angka Partisipasi Sekolah Penduduk Usia 13-15 Tahun</t>
  </si>
  <si>
    <t>Terwujudnya sekolah murah di satuan pendidikan SD/MI</t>
  </si>
  <si>
    <t>Terwujudnya sekolah murah di satuan pendidikan SMP/MTs</t>
  </si>
  <si>
    <t xml:space="preserve">Terfasilitasinya pelaksanaan pendidikan Inklusi SD </t>
  </si>
  <si>
    <t>Terfasilitasinya pelaksanaan pendidikan Inklusi SMP</t>
  </si>
  <si>
    <t>Tersalurnya dana BOS ke rekening SMP/MTs</t>
  </si>
  <si>
    <t>Tersalurnya dana BOS ke rekening sekolah penerima</t>
  </si>
  <si>
    <t>1 : 29</t>
  </si>
  <si>
    <t>1 : 30</t>
  </si>
  <si>
    <t>Angka Partisipasi Sekolah Penduduk Usia 16-18 Tahun</t>
  </si>
  <si>
    <t>Tersalurnya bantuan bagi siswa dari keluarga tidak mampu SMA/MA/SMK</t>
  </si>
  <si>
    <t>Tercukupinya dana operasional pendidikan</t>
  </si>
  <si>
    <t>Tersedianya ruang kelas baru (RKB) SMK/SMA</t>
  </si>
  <si>
    <t>Terfasilitasinya penyaluran tamatan SMK ke dunia usaha/industri</t>
  </si>
  <si>
    <t>Tersedianya tanah untuk pembangunan unit sekolah baru SMA/SMK</t>
  </si>
  <si>
    <t>Tersedianya unit sekolah baru SMA/SMK</t>
  </si>
  <si>
    <t>Persentase Angka Melek Huruf Usia ≥ 15 tahun</t>
  </si>
  <si>
    <t>Terselenggaranya pendidikan masyarakat di UPTD SKB Temanggung</t>
  </si>
  <si>
    <t xml:space="preserve">Terselenggaranya Program Paket A dan Paket B </t>
  </si>
  <si>
    <t>Peningkatan kualitas pengelola dalam penyelenggaraan PKBM</t>
  </si>
  <si>
    <t>Lancarnya kegiatan pendidikan nonformal</t>
  </si>
  <si>
    <t>Meningkatnya kualitas Pendidikan Anak Usia Dini</t>
  </si>
  <si>
    <t>Terselenggaranya Lomba Gugus PAUD dan Lomba KB/TK Berprestasi</t>
  </si>
  <si>
    <t>Terselenggaranya Gebyar PAUD</t>
  </si>
  <si>
    <t>Terlaksananya kegiatan MBS dan Lomba-lomba SD</t>
  </si>
  <si>
    <t>Terlaksananya lomba bidang akademik SMP</t>
  </si>
  <si>
    <t>Terlaksananya Olimpiade Sain dan Olimpiade Olah Raga Siswa Nasional (OSN dan OOSN) SD/SMP</t>
  </si>
  <si>
    <t>Terlaksananya Manajemen Berbasis Sekolah (MBS) SD</t>
  </si>
  <si>
    <t>Terlaksananya lomba Perpustakaan dan lomba Gugus SD</t>
  </si>
  <si>
    <t>Tercapainya Bimtek Implementasi Kurikulum 2013</t>
  </si>
  <si>
    <t xml:space="preserve">Terfasilitasinya Program Makanan Tambahan Anak Sekolah </t>
  </si>
  <si>
    <t>Terselenggaranya Sosialisasi Kurikulum 2013</t>
  </si>
  <si>
    <t>Terlaksananya pemberian makanan tambahan bagi anak sekolah</t>
  </si>
  <si>
    <t xml:space="preserve">Terfasilitasinya pembinaan potensi siswa SD/SDLB dan SMP/SMPLB </t>
  </si>
  <si>
    <t>Terlaksananya pembinaan dan pengembangan siswa berprestasi SMP</t>
  </si>
  <si>
    <t xml:space="preserve">Terlaksananya Managemen Berbasis Sekolah (MBS) SMP </t>
  </si>
  <si>
    <t>Terselenggaranya seleksi dan pengiriman lomba untuk SLB</t>
  </si>
  <si>
    <t>Terselenggaranya seleksi/Lomba TUB/PBB SMP</t>
  </si>
  <si>
    <t>Terlaksananya pembinaan UKS/LSS LCC dokter kecil</t>
  </si>
  <si>
    <t>Persentase Siswa SMP/MTs yang Memperoleh Rerata Nilai Ujian Nasional ≥ 7,00</t>
  </si>
  <si>
    <t>Terselenggaranya Ujian Nasional Paket A, B dan C</t>
  </si>
  <si>
    <t>Terlaksananya akreditasi di sekolah/madrasah</t>
  </si>
  <si>
    <t>Terselenggaranya Lomba Sekolah Sehat TK, SMP dan SMA</t>
  </si>
  <si>
    <t xml:space="preserve">Tersedianya data pendidikan </t>
  </si>
  <si>
    <t xml:space="preserve">Lancarnya pengelolaan Bantuan Pendidikan </t>
  </si>
  <si>
    <t>Terfasilitasinya Penyelenggaraan UN dan UNPK</t>
  </si>
  <si>
    <t>Terlaksananya Seleksi Paskibraka</t>
  </si>
  <si>
    <t xml:space="preserve">Terlaksananya POPDA, SD, SMP dan SMA </t>
  </si>
  <si>
    <t>Terselenggaranya festival dan lomba seni siswa</t>
  </si>
  <si>
    <t>Terselenggaranya sosialisasi bahaya HIV bagi pelajar</t>
  </si>
  <si>
    <t>Tersedianya dokumen profil dan data pendidikan</t>
  </si>
  <si>
    <t>Terselenggaranya Ujian Akhir Sekolah/Evaluasi Hasil Belajar SD/MI</t>
  </si>
  <si>
    <t>Tersenyelenggaranya Ujian Nasional/Ujian Sekolah SMP dan MTs.</t>
  </si>
  <si>
    <t>Persentase Siswa SMA/MA/SMK yang Memperoleh Rerata Nilai Ujian Nasional ≥ 7,00</t>
  </si>
  <si>
    <t>Terlaksananya pembinaan dan pengembangan siswa berprestasi</t>
  </si>
  <si>
    <t>Terlaksananya Lomba Bidang Akademik (SMA dan SMK)</t>
  </si>
  <si>
    <t xml:space="preserve">Terfasilitasinya penelitian IPA/IPS siswa SMA </t>
  </si>
  <si>
    <t>Terlaksananya Implementasi SMM ISO SMK/SMA</t>
  </si>
  <si>
    <t xml:space="preserve">Terfasilitasinya pelaksanaan kantin sehat </t>
  </si>
  <si>
    <t>Meningkatnya kemampuan Bahasa Inggris Guru SMA</t>
  </si>
  <si>
    <t>Meningkatnya kemampuan Bahasa Inggris Guru SMK</t>
  </si>
  <si>
    <t xml:space="preserve">Terfasilitasinya pendidikan berbasis keunggulan lokal (PBKL) </t>
  </si>
  <si>
    <t>Terlaksananya seleksi/ lomba TUB/PBB SMA</t>
  </si>
  <si>
    <t>Terfasilitasinya program kelas industri SMK</t>
  </si>
  <si>
    <t>Terselenggaranya pembinaan nasionalisme melalui jalur pendidikan bagi siswa SD/MI, SMP/MTs, SMA/MA, dan SMK</t>
  </si>
  <si>
    <t>Terselenggaranya Ujian Nasional/Ujian Sekolah SMA,MA,SMK dan UKP/TA khusus SMK</t>
  </si>
  <si>
    <t>Terselenggaranya peringatan HAI dan HAN</t>
  </si>
  <si>
    <t>Terselenggaranya Seminar/Workshop PAUD tentang APE tradisional jawa bernuansa seni</t>
  </si>
  <si>
    <t>Terselenggaranya Workshop Pendidik PAUD Tentang Seni Budaya Daerah</t>
  </si>
  <si>
    <t>Lancarnya penyaluran bantuan kesejahteraan pendidik PAUD</t>
  </si>
  <si>
    <t>Lancarnya penyelenggaraan apresiasi pendidik PAUDNI berprestasi</t>
  </si>
  <si>
    <t>Terselenggaranya apresiasi pendidik dan tenaga kependidikan PAUDNI berprestasi (Bangub)</t>
  </si>
  <si>
    <t>Terlaksananya Penilaian Kinerja Kepala Sekolah</t>
  </si>
  <si>
    <t>Terlaksananya seleksi kepala sekolah</t>
  </si>
  <si>
    <t>Terpilihnya Guru, Kepala Sekolah dan Pengawas Berprestasi</t>
  </si>
  <si>
    <t>Tersalurkannya bantuan kesejahteraan bagi PTT dan GTT</t>
  </si>
  <si>
    <t>Tersalurkannya bantuan tenaga pendidik</t>
  </si>
  <si>
    <t>Meningkatnya kompetensi guru</t>
  </si>
  <si>
    <t>Terpilihnya tenaga pendidik dan kependidikan yang berprestasi</t>
  </si>
  <si>
    <t>Terwujudnya tenaga pendidik yang disiplin</t>
  </si>
  <si>
    <t>Terselenggaranya penilaian angka kredit bagi tenaga fungsional pendidikan</t>
  </si>
  <si>
    <t>Terlaksananya diklat PAK dan PKG</t>
  </si>
  <si>
    <t>Meningkatnya kesejahteraan PTT</t>
  </si>
  <si>
    <t>Meningkatnya kesejahteraan Pendidik Wiyata Bhakti</t>
  </si>
  <si>
    <t>Terwujudnya kualifikasi pendidikan S1/DIV bagi guru</t>
  </si>
  <si>
    <t>Meningkatnya kesejahteraan bagi pendidik PAUD non formal</t>
  </si>
  <si>
    <t>Tersedianya belanja untuk operasional Pengawas SMP/SMA/SMK</t>
  </si>
  <si>
    <t>Terlaksananya Sertifikasi Guru</t>
  </si>
  <si>
    <t>Pelaksanaan pengelolaan penilaian angka kredit dan sertifikasi pendidik dengan baik</t>
  </si>
  <si>
    <t>Terlaksananya Pendidikan dan Pelatihan Kepala Sekolah</t>
  </si>
  <si>
    <t>Terlaksananya Olimpiade Guru</t>
  </si>
  <si>
    <t>Terwujudnya kepala sekolah yang kompeten</t>
  </si>
  <si>
    <t>Terwujudnya Guru Mapel yang kompeten di bidangnya</t>
  </si>
  <si>
    <t>Terwujudnya guru pemula yang siap melaksanakan tugas</t>
  </si>
  <si>
    <t>Terwujudnya Penilik yang kompeten di bidangnya</t>
  </si>
  <si>
    <t>Terwujudnya staf tata usaha yang kompeten</t>
  </si>
  <si>
    <t>Meningkatnya profesionalitas guru</t>
  </si>
  <si>
    <t>Terwujudnya Pengawas yang kompeten</t>
  </si>
  <si>
    <t>1 : 17</t>
  </si>
  <si>
    <t>Terlaksananya Rehabilitasi Gedung TK Negeri</t>
  </si>
  <si>
    <t>Terlaksananya Rehabilitasi Gedung TK</t>
  </si>
  <si>
    <t>Terlaksananya Pembangunan Pagar Keliling</t>
  </si>
  <si>
    <t>Meningkatnya Sarana prasarana PAUD</t>
  </si>
  <si>
    <t>Meningkatnya jumlah alat permainan edukatif PAUD</t>
  </si>
  <si>
    <t>Persentase Ruang Kelas SMP/MTs yang Kondisinya Baik</t>
  </si>
  <si>
    <t>Tersedianya gedung sekolah yang memadai</t>
  </si>
  <si>
    <t>Tersedianya ruang perpustakaan sekolah</t>
  </si>
  <si>
    <t>Lancarnya kegiatan Bantuan Gubernur Bidang Dikdas</t>
  </si>
  <si>
    <t>Lancarnya kegiatan DAK di Bidang Pendidikan Dasar</t>
  </si>
  <si>
    <t xml:space="preserve">Tersedianya alat Laboratorium IPA SMP </t>
  </si>
  <si>
    <t xml:space="preserve">Terlaksananya rehab ruang kelas SD/SDLB </t>
  </si>
  <si>
    <t xml:space="preserve">Tersedianya ruang perpustakaan SD/SDLB </t>
  </si>
  <si>
    <t xml:space="preserve">Tersedianya buku perpustakaan SD/SDLB </t>
  </si>
  <si>
    <t>Tersedianya buku perpustakaan SMP/SMPLB</t>
  </si>
  <si>
    <t>Tersedianya buku muatan lokal Bahasa Jawa SD</t>
  </si>
  <si>
    <t xml:space="preserve">Tersedianya meubelair sekolah </t>
  </si>
  <si>
    <t>Terlaksananya kegiatan DAK Pendidikan (Pendidikan Dasar)</t>
  </si>
  <si>
    <t>Tersedianya meubelair perpustakaan SD (DAK 2010)</t>
  </si>
  <si>
    <t>Lancarnya pengadaan meubelair perpustakaan SD (DAK 2010)</t>
  </si>
  <si>
    <t>Pengadaan meubelair perpustakaan SD (DAK 2012)</t>
  </si>
  <si>
    <t>Lancarnya pengadaan meubelair perpustakaan dan RKB (DAK 2012)</t>
  </si>
  <si>
    <t>Tersedianya alat peraga kesenian SD (DAK 2011)</t>
  </si>
  <si>
    <t>Lancarnya pengadaan alat peraga (DAK)</t>
  </si>
  <si>
    <t>Tersedianya alat peraga kesenian SD  (DAK 2012)</t>
  </si>
  <si>
    <t>Tersedianya alat TIK Pembelajaran SD/SDLB</t>
  </si>
  <si>
    <t xml:space="preserve">Tersedianya buku mulok bahasa jawa SMP </t>
  </si>
  <si>
    <t>Tersedianya meubelair pengganti SMP</t>
  </si>
  <si>
    <t>Terlaksananya kegiatan DAK Pendidikan Tahun 2010</t>
  </si>
  <si>
    <t>Terlaksananya kegiatan DAK Pendidikan Tahun 2011</t>
  </si>
  <si>
    <t>Lancarnya pelaksanaan DAK Pendidikan  Tahun 2011</t>
  </si>
  <si>
    <t>Lancarnya kegiatan Bantuan Gubernur SMP</t>
  </si>
  <si>
    <t>Lancarnya kegiatan Bantuan Gubernur SD</t>
  </si>
  <si>
    <t>Tersedianya ruang ibadah di sekolah</t>
  </si>
  <si>
    <t>Meningkatnya Sarana dan Prasarana SDLB (Bantuan Gub)</t>
  </si>
  <si>
    <t>Tersedianya laboratorium dan ruang praktikum sekolah (laboratorium bahasa, Komputer, IPA, IPS)</t>
  </si>
  <si>
    <t>Tersedianya perpusatakaan sekolah</t>
  </si>
  <si>
    <t>Terlaksananya rehabilitasi sedang/berat bangunan sekolah</t>
  </si>
  <si>
    <t>Terlaksananya rehabilitasi sedang/berat ruang guru sekolah</t>
  </si>
  <si>
    <t xml:space="preserve">Lancarnya kegiatan Bantuan Gubernur </t>
  </si>
  <si>
    <t>Tersedianya alat bengkel SMK</t>
  </si>
  <si>
    <t xml:space="preserve">Terfasilitasinya CC SMK </t>
  </si>
  <si>
    <t>Tersedianya komputer SMA/SMK</t>
  </si>
  <si>
    <t>Terlaksananya kegiatan DAK Pendidikan (Pendidikan Menengah)</t>
  </si>
  <si>
    <t>Lancarnya pelaksanaan DAK Pendidikan (Pendidikan Menengah)</t>
  </si>
  <si>
    <t xml:space="preserve">Tersedianya alat IPA SMA </t>
  </si>
  <si>
    <t>Terlaksananya rehab Ruang Kelas 
SMP/SMPLB</t>
  </si>
  <si>
    <t xml:space="preserve">Tersedianya alat 
laboratorium IPA </t>
  </si>
  <si>
    <t xml:space="preserve">Terlaksananya keikutsertaan dalam HAI tingkat Provinsi  </t>
  </si>
  <si>
    <t>Terselenggaranya pelaksanaan/penyelenggaraan kursus kewirausahaan desa</t>
  </si>
  <si>
    <t>Terlaksananya dukungan pembiayaan bantuan KBU pada desa Vokasi kelompok unggulan</t>
  </si>
  <si>
    <t xml:space="preserve">Terlaksananya dukungan pembiayaan bantuan ketrampilan Desa Vokasi                                        </t>
  </si>
  <si>
    <t xml:space="preserve">Terlaksananya dukungan pembiayaan pengelolaan Taman Bacaan Masyarakat (TBM) desa vokasi  </t>
  </si>
  <si>
    <t>meningkatnya akses dan mutu layanan pendidikan pada jalur pendidikan non formal</t>
  </si>
  <si>
    <t xml:space="preserve">meningkatkan layanan belajar bagi masyarakat pada PKBM :                 - terselanggaranya aktivitas pendidikan masyarakat pada PKBM   - terlayaninya akses kebutuhan masyarakat untuk memperoleh pendidikan non formal </t>
  </si>
  <si>
    <t xml:space="preserve">Terlaksananya kegiatan layanan belajar pada 3 lembaga  PKBM </t>
  </si>
  <si>
    <t xml:space="preserve">Terlaksananya kegiatan layanan belajar  pada PKBM </t>
  </si>
  <si>
    <t>75.000.000</t>
  </si>
  <si>
    <t>Meningkatnya layanan belajar pada masyarakat melalui dukungan operasional lembaga kursus dan pelatihan</t>
  </si>
  <si>
    <t xml:space="preserve">Meningkatnya apresiasi pengarusutamaan gender dalam pendidikan melalui pengembangan kapasitas dan kelembagaan pengarusutamaan gender </t>
  </si>
  <si>
    <t>(SPM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t>
  </si>
  <si>
    <t>Cakupan Ibu hamil risiko tinggi yang ditangani</t>
  </si>
  <si>
    <t>Cakupan Ibu hamil risiko tinggi yang dirujuk</t>
  </si>
  <si>
    <t>Cakupan Pelayanan Obstetri di Puskesmas PONED</t>
  </si>
  <si>
    <t>Cakupan Puskesmas PONED aktif</t>
  </si>
  <si>
    <t>Cakupan layanan kesehatan peserta aktif KB</t>
  </si>
  <si>
    <t>Cakupan bayi berat badan lahir rendah ditangani</t>
  </si>
  <si>
    <t>Cakupan deteksi dini tumbuh kembang anak balita dan pra sekolah</t>
  </si>
  <si>
    <t>Angka Kematian Balita per 1000 kelahiran hidup</t>
  </si>
  <si>
    <t>Cakupan pelayanan kesehatan remaja</t>
  </si>
  <si>
    <t>Cakupan desa dengan posyandu lansia aktif</t>
  </si>
  <si>
    <t>Cakupan pelayanan kesehatan lansia</t>
  </si>
  <si>
    <t>Cakupan kunjungan rawat jalan di Puskesmas</t>
  </si>
  <si>
    <t xml:space="preserve">Cakupan kunjungan rawat inap di Puskesmas </t>
  </si>
  <si>
    <t>39%</t>
  </si>
  <si>
    <t>Cakupan pelayanan kesehatan rujukan pasien masyarakat miskin</t>
  </si>
  <si>
    <t>Cakupan pelayanan gawat darurat Level 1 yang harus diberikan sarana kesehatan (RS) di kabupaten</t>
  </si>
  <si>
    <t>&gt;87%</t>
  </si>
  <si>
    <t>&gt; 87%</t>
  </si>
  <si>
    <t>&lt;0,05%</t>
  </si>
  <si>
    <t>Inciden Rate DBD (Demam Berdarah Dengue) per 100.000 Penduduk</t>
  </si>
  <si>
    <t>&lt;1%</t>
  </si>
  <si>
    <t>&lt; 2%</t>
  </si>
  <si>
    <t>Rumah/bangunan bebas jentik nyamuk aedes</t>
  </si>
  <si>
    <t>&gt;95%</t>
  </si>
  <si>
    <t>&gt; 95%</t>
  </si>
  <si>
    <t>Cakupan desa/kelurahan Universal Mother Imunisation (UMI)</t>
  </si>
  <si>
    <t>Proporsi anak umur 1 tahun diimunisasi campak</t>
  </si>
  <si>
    <t xml:space="preserve">Cakupan bulan imunisasi anak sekolah (BIAS) pada anak SD/sederajat </t>
  </si>
  <si>
    <t>Acut Flacid Paralysis (AFP) rate per 100.000  penduduk usia &lt; 15 tahun</t>
  </si>
  <si>
    <t>5 kasus</t>
  </si>
  <si>
    <t>≥ 2 (4kasus)</t>
  </si>
  <si>
    <t>4 kasus</t>
  </si>
  <si>
    <t>Cakupan desa/kelurahan mengalami KLB yang dilakukan penyelidikan epidemiologi &lt; 24 jam</t>
  </si>
  <si>
    <t>Cakupan desa melaksanakan Posbindu</t>
  </si>
  <si>
    <t>4,8%</t>
  </si>
  <si>
    <t>7,3%</t>
  </si>
  <si>
    <t>9,7%</t>
  </si>
  <si>
    <t>Cakupan pembinaan &amp; pelayanan kesehatan haji  sesuai standart</t>
  </si>
  <si>
    <t>100%</t>
  </si>
  <si>
    <t>Cakupan bayi mendapat ASI Eksklusif</t>
  </si>
  <si>
    <t>Cakupan pemberian makanan pendamping ASI pada bayi Bawah Garis Merah dari keluarga miskin</t>
  </si>
  <si>
    <t>Cakupan Balita yang datang dan ditimbang (D/S)</t>
  </si>
  <si>
    <t>Cakupan Balita Bawah Garis merah (BGM)</t>
  </si>
  <si>
    <t>&lt;5%</t>
  </si>
  <si>
    <t>&lt; 5%</t>
  </si>
  <si>
    <t>Cakupan Keluarga Sadar Gizi</t>
  </si>
  <si>
    <t>Prosentase Kecamatan rawan  gizi</t>
  </si>
  <si>
    <t>Cakupan bayi (6-11 bulan) mendapat kapsul Vitamin A 1 kali</t>
  </si>
  <si>
    <t>Cakupan balita (12-59 bulan) mendapat kapsul Vitamin A 2 kali</t>
  </si>
  <si>
    <t>Cakupan Ibu Nifas mendapat kapsul Vitamin A</t>
  </si>
  <si>
    <t>Cakupan ibu hamil mendapat  tablet Fe 90</t>
  </si>
  <si>
    <t>Cakupan RT dengan garam beryodium cukup</t>
  </si>
  <si>
    <t>Proporsi penduduk dengan konsumsi energi minimal 1400 kkal/kapita/hari</t>
  </si>
  <si>
    <t>Proporsi penduduk dengan konsumsi energi minimal 2000 kkal/kapita/hari</t>
  </si>
  <si>
    <t>Cakupan pengadaan obat essensial</t>
  </si>
  <si>
    <t>Cakupan pengadaan obat generik</t>
  </si>
  <si>
    <t>Cakupan ketersediaan Napza</t>
  </si>
  <si>
    <t>Cakupan penulisan resep obat generik</t>
  </si>
  <si>
    <t>Cakupan puskesmas yang melakukan pelayanan farmasi sesuai standar</t>
  </si>
  <si>
    <t>Cakupan PIRT yang mendapatkan SPP IRT</t>
  </si>
  <si>
    <t>Cakupan Sekolah Dasar (SD) yang dilatih dan difasilitasi penerapan prinsip-prinsip keamanan pangan</t>
  </si>
  <si>
    <t>Cakupan pengawasan makanan minuman yang memenuhi syarat kesehatan di kantin sekolah</t>
  </si>
  <si>
    <t>Cakupan pasar yang mendapat pengawasan makanan minuman</t>
  </si>
  <si>
    <t>Cakupan tenaga kesehatan yang memenuhi standar kompetensi</t>
  </si>
  <si>
    <t>Cakupan sarana pelayanan kesehatan swasta berijin dan pengobat tradisional terdaftar</t>
  </si>
  <si>
    <t>Puskesmas terakreditasi / ISO</t>
  </si>
  <si>
    <t>Dinas Kesehatan terakreditasi/ISO</t>
  </si>
  <si>
    <t>Tersedianya dokumen perencanaan</t>
  </si>
  <si>
    <t>Tersedianya dokumen evaluasi kinerja</t>
  </si>
  <si>
    <t>Cakupan Puskesmas menyelenggarakan Sistem Informasi Kesehatan (SIK) Berbasis teknologi informasi</t>
  </si>
  <si>
    <t>30%</t>
  </si>
  <si>
    <t>50%</t>
  </si>
  <si>
    <t>75%</t>
  </si>
  <si>
    <t>Cakupan fasilitas kesehatan dengan SDM sesuai Standar</t>
  </si>
  <si>
    <t>Ratio puskesmas per jumlah penduduk</t>
  </si>
  <si>
    <t>1/32.724</t>
  </si>
  <si>
    <t xml:space="preserve">Rehabilitasi gedung dinas kesehatan </t>
  </si>
  <si>
    <t>Penyediaan gedung Puskesmas yang representatif</t>
  </si>
  <si>
    <t>Penyediaan gedung Puskesmas Pembantu yang representatif</t>
  </si>
  <si>
    <t>Pembangunan Puskesmas baru di lahan baru</t>
  </si>
  <si>
    <t>Cakupan Desa/Kelurahan memiliki Pondok Bersalin Desa (Polindes) / Poliklinik Kesehatan Desa (PKD)</t>
  </si>
  <si>
    <t>Ratio tempat tidur rawat inap per jumlah penduduk</t>
  </si>
  <si>
    <t>1/11.750</t>
  </si>
  <si>
    <t>1/8.411</t>
  </si>
  <si>
    <t>1/9.500</t>
  </si>
  <si>
    <t>1/9.200</t>
  </si>
  <si>
    <t>1/9.000</t>
  </si>
  <si>
    <t>1/8.700</t>
  </si>
  <si>
    <t>Tersedianya RS Pratama</t>
  </si>
  <si>
    <t>Tersedianya ruang perawatan kelas III RS</t>
  </si>
  <si>
    <t>Cakupan rumah sehat</t>
  </si>
  <si>
    <t>80%</t>
  </si>
  <si>
    <t>Cakupan rumah yang memiliki SPAL</t>
  </si>
  <si>
    <t>Cakupan penduduk yang memanfaatkan jamban</t>
  </si>
  <si>
    <t>Cakupan desa stop buang air besar sembarangan (ODF)</t>
  </si>
  <si>
    <t>Cakupan TTU yang memenuhi syarat</t>
  </si>
  <si>
    <t xml:space="preserve">Cakupan Tempat Pengolahan Makanan yang memenuhi syarat </t>
  </si>
  <si>
    <t>Cakupan pemeriksaan kesehatan siswa SD dan setingkat oleh tenaga kesehatan atau tenaga terlatih /guru UKS/dokter kecil</t>
  </si>
  <si>
    <t>Cakupan pemeriksaan kesehatan siswa TK, SLTP,SLTA dan setingkat oleh tenaga kesehatan  atau tenaga terlatih /guru UKS/kader kesehatan sekolah</t>
  </si>
  <si>
    <t>Cakupan desa siaga aktif</t>
  </si>
  <si>
    <t>Cakupan Posyandu Purnama Dan Mandiri</t>
  </si>
  <si>
    <t>Cakupan rumah tangga sehat</t>
  </si>
  <si>
    <t>Cakupan penyuluhan P3 NAPZA /P3 NARKOBA oleh petugas Kesehatan</t>
  </si>
  <si>
    <t xml:space="preserve">Cakupan pemeliharaan kesehatan pra bayar </t>
  </si>
  <si>
    <t>Cakupan pemeliharaan kesehatan keluarga dan masyarakat rentan</t>
  </si>
  <si>
    <t>Jumlah kunjungan pasien penduduk miskin selama satu tahun (lama dan baru) / Jumlah seluruh penduduk miskin sakit x 100</t>
  </si>
  <si>
    <t>130,64%</t>
  </si>
  <si>
    <t>Terlayaninya penduduk miskin yang tidak ditanggung Jamkesmas  sejumlah 3.903 orang.</t>
  </si>
  <si>
    <t>Penambahan Jumlah sarana dan prasarana  (aset) rumah sakit</t>
  </si>
  <si>
    <t>50,63%</t>
  </si>
  <si>
    <t>100 unit</t>
  </si>
  <si>
    <t>Tersedianya Gedung Pelayanan Kesehatan RS dan alat-alat kedokteran</t>
  </si>
  <si>
    <t>Tersedianya 1 unit Gedung IGD</t>
  </si>
  <si>
    <t>Tersedianya 1 Paket alat-alat kedokteran</t>
  </si>
  <si>
    <t>Tersedianya fasilitasi Pendampingan Pelayanan Rujukan (Pendampingan DAK Kesehatan)</t>
  </si>
  <si>
    <t>Tersedianya BAU Pelelangan dan 1 unit Gedung IGD</t>
  </si>
  <si>
    <t>Tersedianya alat kedokteran</t>
  </si>
  <si>
    <t>Tersedianya 1 unit alat kedokteran Endoscopy</t>
  </si>
  <si>
    <t>Tersedianya fasilitasi Pengadaan Alat Kesehatan RSUD Temanggung (Bantuan Keuangan APBD Prov. Jateng)</t>
  </si>
  <si>
    <t>Tersedianya fasilitasi Pengadaan Alat Kesehatan RSUD Temanggung (Bantuan Keuangan APBD Prov. Jateng TA. 2013)</t>
  </si>
  <si>
    <t xml:space="preserve">Tersedianya BAU Pelelangan </t>
  </si>
  <si>
    <t>Tersedianya Gedung Pelayanan terkait Penyakit Paru dan Alat-alat Kedokteran Penyakit Paru</t>
  </si>
  <si>
    <t>1 unit Gedung Poliklinik dan Rawat Inap Penyakit Paru dan 1 Paket Alat-alat Kedokteran Penyakit Paru</t>
  </si>
  <si>
    <t>1 unit Gedung Fisioterapi dan Basement</t>
  </si>
  <si>
    <t>Tersedianya alat-alat rumah tangga dan alat kedokteran Penyakit Paru</t>
  </si>
  <si>
    <t xml:space="preserve">Tersedianya 1 paket Alat-alat Rumah Tangga RS dan 1 paket alat-alat kedokteran Penyakit Paru </t>
  </si>
  <si>
    <t>Tersedianya 1 paket alat-alat kedokteran Penyakit Paru dan 1 unit ambulance</t>
  </si>
  <si>
    <t xml:space="preserve">Tersedianya 1 paket alat-alat kedokteran Penyakit Paru </t>
  </si>
  <si>
    <t>Tersedianya Gedung Pelayanan Kesehatan RS</t>
  </si>
  <si>
    <t xml:space="preserve">1 Paket Pekerjaan Mekanikal Elektrikal Gedung B </t>
  </si>
  <si>
    <t>1 unit Gedung Bedah Sentral, ICU, NICU dan HD</t>
  </si>
  <si>
    <t>1 unit Gedung Fisioterapi dan Rawat Inap VIP</t>
  </si>
  <si>
    <t xml:space="preserve">Cakupan pelayanan RSUD :   </t>
  </si>
  <si>
    <t>4,24 hari</t>
  </si>
  <si>
    <t>7 hari</t>
  </si>
  <si>
    <t>4 hari</t>
  </si>
  <si>
    <t>5 hari</t>
  </si>
  <si>
    <t>1,16 hari</t>
  </si>
  <si>
    <t>2 hari</t>
  </si>
  <si>
    <t>1 hari</t>
  </si>
  <si>
    <t>19,06‰</t>
  </si>
  <si>
    <t>17‰</t>
  </si>
  <si>
    <t>19‰</t>
  </si>
  <si>
    <t>18‰</t>
  </si>
  <si>
    <t>Kinerja Pengelolaan BLUD</t>
  </si>
  <si>
    <t>Terlaksananya 7 kegiatan-kegiatan pelayanan BLUD</t>
  </si>
  <si>
    <t>Terlaksananya 14 kegiatan-kegiatan pelayanan BLUD</t>
  </si>
  <si>
    <t>Terlaksana nya 66 kegiatan-kegiatan pelayanan BLUD</t>
  </si>
  <si>
    <t>Terlaksananya 79 kegiatan-kegiatan pelayanan BLUD</t>
  </si>
  <si>
    <t>Terlaksana nya 80 kegiatan-kegiatan pelayanan BLUD</t>
  </si>
  <si>
    <t xml:space="preserve">Terwujudnya Pembangunan Jalan </t>
  </si>
  <si>
    <t>8 Ruas</t>
  </si>
  <si>
    <t>15 Ruas</t>
  </si>
  <si>
    <t>Terwujudnya pembangunan jembatan</t>
  </si>
  <si>
    <t>4 Unit</t>
  </si>
  <si>
    <t>3 Unit</t>
  </si>
  <si>
    <t>10 Unit</t>
  </si>
  <si>
    <t xml:space="preserve">Terwujudnya peningkatan jalan perdesaan </t>
  </si>
  <si>
    <t>7 Unit</t>
  </si>
  <si>
    <t>14 Ruas</t>
  </si>
  <si>
    <t>27 Ruas</t>
  </si>
  <si>
    <t>30 Ruas</t>
  </si>
  <si>
    <t>Terwujudnya pemeliharaan jalan kabupaten</t>
  </si>
  <si>
    <t>25 Ruas</t>
  </si>
  <si>
    <t>10 Ruas</t>
  </si>
  <si>
    <t>Terwujudnya Peningkatan Jembatan</t>
  </si>
  <si>
    <t>9 unit</t>
  </si>
  <si>
    <t>10 unit</t>
  </si>
  <si>
    <t>Terwujudnya Peningkatan Jalan kabupaten</t>
  </si>
  <si>
    <t>3 Ruas</t>
  </si>
  <si>
    <t>21 Ruas</t>
  </si>
  <si>
    <t>25 ruas</t>
  </si>
  <si>
    <t>30 ruas</t>
  </si>
  <si>
    <t>Tercapainya program pembangunan Jembatan  yang  terencana</t>
  </si>
  <si>
    <t>1 Kegiatan</t>
  </si>
  <si>
    <t xml:space="preserve"> Terwujudnya Fasilitasi pembangunan jembatan Sigandul dan jalan Kranggan - Temanggung</t>
  </si>
  <si>
    <t>Program Pembangunan Saluran Drainase/Gorong - Gorong</t>
  </si>
  <si>
    <t>Pembangunan Saluran Drainase/gorong  gorong kota Temanggung</t>
  </si>
  <si>
    <t>1039 m</t>
  </si>
  <si>
    <t>5 lokasi</t>
  </si>
  <si>
    <t>Pemeliharaan Drainase dan Gorong - gorong</t>
  </si>
  <si>
    <t>6 UPTD</t>
  </si>
  <si>
    <t>1 lokasi</t>
  </si>
  <si>
    <t>2 lokasi</t>
  </si>
  <si>
    <t>3 Lokasi</t>
  </si>
  <si>
    <t>8 lokasi</t>
  </si>
  <si>
    <t>5 Lokasi</t>
  </si>
  <si>
    <t>7 lokasi</t>
  </si>
  <si>
    <t>10 lokasi</t>
  </si>
  <si>
    <t>15 lokasi</t>
  </si>
  <si>
    <t>20 lokasi</t>
  </si>
  <si>
    <t>1 Unit</t>
  </si>
  <si>
    <t>6 Unit</t>
  </si>
  <si>
    <t>4 unit</t>
  </si>
  <si>
    <t>1 Kegiatan ( 6 UPTD)</t>
  </si>
  <si>
    <t>Tersedianya Turap/Talud/bronjong</t>
  </si>
  <si>
    <t>Terwujudnya pengaman jalan kabupaten</t>
  </si>
  <si>
    <t>Terwujudnya rehabilitasi/pemeliharaan jembatan</t>
  </si>
  <si>
    <t>Termonitornya kondisi jalan kabupaten di setiap   tahun</t>
  </si>
  <si>
    <t>1 kegiatan</t>
  </si>
  <si>
    <t>Terpeliharanya Fasilitas kebinamargaan</t>
  </si>
  <si>
    <t xml:space="preserve">Terlaksananya pemeliharaan alat berat </t>
  </si>
  <si>
    <t>Terlaksananya pengadaan alat berat</t>
  </si>
  <si>
    <t>Terwujudnya jaringan air bersih/air minum untuk</t>
  </si>
  <si>
    <t>3 lokasi</t>
  </si>
  <si>
    <t>4 lokasi</t>
  </si>
  <si>
    <t>Pemeliharaan Saluran Irigasi</t>
  </si>
  <si>
    <t>12 lokasi</t>
  </si>
  <si>
    <t>14 Lokasi</t>
  </si>
  <si>
    <t>Terwujudnya jaringan air bersih/air minum untuk masyarakat</t>
  </si>
  <si>
    <t>4 Lokasi</t>
  </si>
  <si>
    <t>7 Lokasi</t>
  </si>
  <si>
    <t>Pembagian kebutuhan air untuk irigasi merata</t>
  </si>
  <si>
    <t xml:space="preserve">Pemeliharaan Saluran Irigasi </t>
  </si>
  <si>
    <t>4 Kegiatan</t>
  </si>
  <si>
    <t>6 lokasi</t>
  </si>
  <si>
    <t>Pemeliharaan dan Pengelolaan Jaringan irigasi</t>
  </si>
  <si>
    <t>Pemeliharaan Saluran Irigasi (WISMP)</t>
  </si>
  <si>
    <t>Pemeliharaan Saluran Irigasi (DAK)</t>
  </si>
  <si>
    <t>15 Lokasi</t>
  </si>
  <si>
    <t>Tercukupinya kebutuhan air irigasi untuk masyarakat</t>
  </si>
  <si>
    <t>9 lokasi</t>
  </si>
  <si>
    <t>1 Lokasi</t>
  </si>
  <si>
    <t>Terwujudnya pembangunan bendung dan jaringan irigasi</t>
  </si>
  <si>
    <t>6 Lokasi</t>
  </si>
  <si>
    <t>11 Lokasi</t>
  </si>
  <si>
    <t>Terwujudnya jaringan air bersih/air minum untuk  masyarakat</t>
  </si>
  <si>
    <t>Terwujudnya fasilitasi forum DAS Kabupaten Temanggung</t>
  </si>
  <si>
    <t>Terwujudnya Pembangunan Kantor Kecamatan  Candiroto</t>
  </si>
  <si>
    <t>1 unit</t>
  </si>
  <si>
    <t>Terwujudnya Rehabilitasi Gedung UPT DPU</t>
  </si>
  <si>
    <t>Terwujudnya rehabilitasi gedung kecamatan</t>
  </si>
  <si>
    <t>Pemberdayaan Masyarakat Perdesaan</t>
  </si>
  <si>
    <t>19 Desa</t>
  </si>
  <si>
    <t>39 Desa</t>
  </si>
  <si>
    <t>81 Desa</t>
  </si>
  <si>
    <t>20 Desa</t>
  </si>
  <si>
    <t>Terlaksananya bantuan infrastruktur perdesaan</t>
  </si>
  <si>
    <t>438 Desa</t>
  </si>
  <si>
    <t>418 Desa</t>
  </si>
  <si>
    <t>405 Desa</t>
  </si>
  <si>
    <t>Terlaksananya pemeliharaan dan pemasangan  jalan umum</t>
  </si>
  <si>
    <t>3 kegitan (10 lokasi)</t>
  </si>
  <si>
    <t>Meteran Listrik dan Instalasi LPJU</t>
  </si>
  <si>
    <t>Pembangunan Baliho</t>
  </si>
  <si>
    <t>Terwujudnya Pemeliharaan  Gedung - Gedung  milik pemerintah daerah</t>
  </si>
  <si>
    <t>2 unit</t>
  </si>
  <si>
    <t>Tersusunnya Raperda LPJU</t>
  </si>
  <si>
    <t>Terbangunnya Pagar Pendopo Pengayoman</t>
  </si>
  <si>
    <t>Pembangunan Trotoar</t>
  </si>
  <si>
    <t>3800 m</t>
  </si>
  <si>
    <t>2833,31 m</t>
  </si>
  <si>
    <t xml:space="preserve">3000 m </t>
  </si>
  <si>
    <t xml:space="preserve">1000 m </t>
  </si>
  <si>
    <t>Pemeliharaan Trotoar se Kabupaten  Temanggung</t>
  </si>
  <si>
    <t>41 Kelurahan /Desa</t>
  </si>
  <si>
    <t>41 Kelurahan/ Desa</t>
  </si>
  <si>
    <t>22 Bank Sampah</t>
  </si>
  <si>
    <t>40 Rw/ Bank Sampah</t>
  </si>
  <si>
    <t>40 RW/Bank Sampah</t>
  </si>
  <si>
    <t>40 Bank Sampah</t>
  </si>
  <si>
    <t>barang yang disampaikan ke masyarakat (paving, semen dan aspal)</t>
  </si>
  <si>
    <t>60 Lingkungan</t>
  </si>
  <si>
    <t>70 Lingkungan</t>
  </si>
  <si>
    <t xml:space="preserve"> Terwujudnya penurunan jumlah rumah tangga  miskin perkotaan</t>
  </si>
  <si>
    <t xml:space="preserve"> Terwujudnya kegiatan Peningkatan kualitas Lingkungan</t>
  </si>
  <si>
    <t>Pengembangan Sumber Daya Manusia di bidang jasa konstruksi</t>
  </si>
  <si>
    <t>Rehabilitasi Rumah Tidak Layak Huni</t>
  </si>
  <si>
    <t>153 unit</t>
  </si>
  <si>
    <t>500 unit</t>
  </si>
  <si>
    <t>1000 unit</t>
  </si>
  <si>
    <t>Pembangunan air bersih, sanitasi dan jaringan  listrik</t>
  </si>
  <si>
    <t xml:space="preserve"> 1 Lokasi</t>
  </si>
  <si>
    <t>Terwujudnya kegiatan Pendataan/pemetaan  kawasan kumuh perkotaan dan pemukiman</t>
  </si>
  <si>
    <t>4 Kecamatan</t>
  </si>
  <si>
    <t>Pembangunan sarana dan prasarana air bersih  dan sanitasi</t>
  </si>
  <si>
    <t>17 lokasi</t>
  </si>
  <si>
    <t>16 Desa</t>
  </si>
  <si>
    <t>5 Desa</t>
  </si>
  <si>
    <t>Terlaksananya pembangunan sarana prasarana sanitasi</t>
  </si>
  <si>
    <t>3 Desa</t>
  </si>
  <si>
    <t>6 Desa</t>
  </si>
  <si>
    <t>Pendampingan kegiatan PLP-BK</t>
  </si>
  <si>
    <t>Pembangunan Rusunawa bagi pekerja industri</t>
  </si>
  <si>
    <t>Terwujudnya pemeliharaan sarana dan  prasarana pencegahan bahaya kebakaran</t>
  </si>
  <si>
    <t>Pelayanan prima pemadam kebakaran kepada masyarakat</t>
  </si>
  <si>
    <t>2 Unit</t>
  </si>
  <si>
    <t>Mewujudkan masyarakat yang tanggap bahaya Kebakaran</t>
  </si>
  <si>
    <t>Mewujudkan masyarakat dan dunia usaha  yang tanggap bahaya kebakaran</t>
  </si>
  <si>
    <t>10 Desa</t>
  </si>
  <si>
    <t>Terwujudnya kegiatan Pendataan/pemetaan   kawasan rawan kebakaran</t>
  </si>
  <si>
    <t>Tercukupinya personil pemadam kebakaran</t>
  </si>
  <si>
    <t>16 personil</t>
  </si>
  <si>
    <t>Terwujudnya pos pemadam di 4 titik yaitu  Wonoboyo, Parakan, Temanggung, Pringsurat.</t>
  </si>
  <si>
    <t>1 titik pos</t>
  </si>
  <si>
    <t>Monitoring dan pengendalian ruang</t>
  </si>
  <si>
    <t>Terwujudnya monitoring dan pengendalian ruang</t>
  </si>
  <si>
    <t>Tersediannya Perlengkapan Jalan</t>
  </si>
  <si>
    <t>1 Ls</t>
  </si>
  <si>
    <t>Pemeliharaan Perlengkapan Jalan</t>
  </si>
  <si>
    <t>Tersediannya Perlengkapan Jalan(pendampingan)</t>
  </si>
  <si>
    <t>Terpeliharanya Traffic Light</t>
  </si>
  <si>
    <t>Tersedianya Flaser</t>
  </si>
  <si>
    <t>Terpeliharanya Halte</t>
  </si>
  <si>
    <t>Tersedianya Mobil Pemeliharaan Perlengkapan Jalan</t>
  </si>
  <si>
    <t>Terlaksananya Pembinaan Sopir</t>
  </si>
  <si>
    <t>Terpilihnya Awak Kendaraan Umum Teladan Tingkat Kabupaten</t>
  </si>
  <si>
    <t>Terpilihnya Pelajar Pelopor Keselamatan Lalu Lintas Tingkat Kabupaten</t>
  </si>
  <si>
    <t>Tersedianya Halte</t>
  </si>
  <si>
    <t xml:space="preserve">Tersedianya Profil Kinerja Angkutan Umum dan Jaringan rayek </t>
  </si>
  <si>
    <t>Tersedianya Bahan Evaluasi Kinerja Angkutan Umum di Temanggung</t>
  </si>
  <si>
    <t>12 Bln</t>
  </si>
  <si>
    <t>Terlayaninya mobilitas transportasi anak sekolah</t>
  </si>
  <si>
    <t>12 bln</t>
  </si>
  <si>
    <t>Tersedianya Rambu-Rambu Lalu Lintas</t>
  </si>
  <si>
    <t>Terlaksananya PAM Lebaran, Natal dan Tahun Baru, Serta PAM Lainnya</t>
  </si>
  <si>
    <t>Ketertiban Angkutan (Laik jalan dan Tertib Administratif)</t>
  </si>
  <si>
    <t>Tersedianya Traffic Light</t>
  </si>
  <si>
    <t>Tersedianya Cermin Tikungan</t>
  </si>
  <si>
    <t>Tersedianya Delineator</t>
  </si>
  <si>
    <t>Tersedianya Paku Marka</t>
  </si>
  <si>
    <t>Tersedia Data Base LLAJ untuk Kabupaten Temanggung</t>
  </si>
  <si>
    <t>3 bln</t>
  </si>
  <si>
    <t>Tersedianya Tatralok Kabupaten</t>
  </si>
  <si>
    <t>Tersedianya Buku Studi Jaringan Transportasi Jalan</t>
  </si>
  <si>
    <t>Pemeliharaan SIM Perlengkapan Jalan</t>
  </si>
  <si>
    <t>Pemeliharaan SIM PKB</t>
  </si>
  <si>
    <t>Tersusunnya study LHR jalan Kabupaten</t>
  </si>
  <si>
    <t>1 paket</t>
  </si>
  <si>
    <t>Terealisasinya jalur angkutan ( Baru )</t>
  </si>
  <si>
    <t>2 paket</t>
  </si>
  <si>
    <t>Terpeliharanya alat penguji/ KIR dan operasional PKB</t>
  </si>
  <si>
    <t>balai PKB</t>
  </si>
  <si>
    <t>Meningkatnya fungsi Balai PKB</t>
  </si>
  <si>
    <t>Tersedianya alat uji PKB</t>
  </si>
  <si>
    <t>Tersedianya sarana pelayanan pengujian kendaraan bermotor</t>
  </si>
  <si>
    <t>Tersedianya perlengkapan kerja PKB</t>
  </si>
  <si>
    <t>Peningkatan kesadaran laik bagi pengguna kendaraan bermotor</t>
  </si>
  <si>
    <t>Terpeliharanya Terminal</t>
  </si>
  <si>
    <t>Tersedianya DED Terminal Temanggung</t>
  </si>
  <si>
    <t>Terbangunnya Terminal Temanggung</t>
  </si>
  <si>
    <t>Terpeliharanya Pelataran Terminal Ngadirejo</t>
  </si>
  <si>
    <t>Terpeliharanya Pelataran Terminal Candiroto</t>
  </si>
  <si>
    <t>1 ls</t>
  </si>
  <si>
    <t>Terpeliharanya Pelataran Terminal Pingit, Kranggan, Kerkop</t>
  </si>
  <si>
    <t>Terbangunnya MCK Terminal Krekop</t>
  </si>
  <si>
    <t xml:space="preserve">          -</t>
  </si>
  <si>
    <t xml:space="preserve"> 1 paket</t>
  </si>
  <si>
    <t>Terpeliharannya Ruang Tunggu Penumpang Terminal Ngadirejo</t>
  </si>
  <si>
    <t>Terpeliharannya Ruang Tunggu Penumpang Terminal Kranggan</t>
  </si>
  <si>
    <t>Terpeliharannya Ruang Tunggu Penumpang Terminal Candiroto</t>
  </si>
  <si>
    <t>Terpeliharannya Ruang Tunggu Penumpang pingit Kranggan</t>
  </si>
  <si>
    <t>Termonitornya Kegiatan Pengawasan Terminal</t>
  </si>
  <si>
    <t>Tersedianya Kendaraan Operasional Roda 2</t>
  </si>
  <si>
    <t xml:space="preserve">Pengadaan Mobil Operasional Pengawasan Terminal </t>
  </si>
  <si>
    <t>Tersedianya Papan Informasi Elektronik</t>
  </si>
  <si>
    <t>Optimalisasi kinerja Perparkiran  dan tercapainya penataan juru parkir</t>
  </si>
  <si>
    <t>Peningkatan pelayanan juru parkir dan tersedianya seragam dan perlengkapan kerja juru parkir</t>
  </si>
  <si>
    <t>Tersedinya SIM Pelayanan Terminal</t>
  </si>
  <si>
    <t>Tersedianya pelayanan SIM PKB</t>
  </si>
  <si>
    <t>Tersedianya SIM Pelayanan Agkutan</t>
  </si>
  <si>
    <t>Tersedianya SIM Perlengkapan Jalan</t>
  </si>
  <si>
    <t>Terpeliharanya Kebersihan Kota</t>
  </si>
  <si>
    <t>Terlayaninya kebersihan/persampahan 10 ibu kota kecamatan</t>
  </si>
  <si>
    <t>Terlayaninya kebersihan/persampahan 11 ibu kota kecamatan</t>
  </si>
  <si>
    <t>Terlayaninya kebersihan/persampahan 12 ibu kota kecamatan</t>
  </si>
  <si>
    <t>Terlayaninya kebersihan/persampahan 13 ibu kota kecamatan</t>
  </si>
  <si>
    <t>Terlayaninya kebersihan/persampahan 14 ibu kota kecamatan</t>
  </si>
  <si>
    <t>Terwujudnya kendaraan sampah roda 3</t>
  </si>
  <si>
    <t>4 sepeda motor roda 3</t>
  </si>
  <si>
    <t>tersedianya 5 sepeda motor roda 3</t>
  </si>
  <si>
    <t>Tersedianya zona pengelolaan dan prasarana sampah tahun 2012 yang representatif dan sesuai  aturan (Control landfill), terwujudnya konstruksi TPA yang aman</t>
  </si>
  <si>
    <t>terwujudnya pagar keliling TPA, jalan inspeksi, dan peningkatan jalan operasi, dan perpanjangan box cluvert 36 meter</t>
  </si>
  <si>
    <t>Terwujudnya pembangunan zona 1 control landfill</t>
  </si>
  <si>
    <t>Pengadaan Truck arm roll dan kontainer</t>
  </si>
  <si>
    <t>1 truck arm roll dan 8 kontainer</t>
  </si>
  <si>
    <t>1 truck arm roll dan 5 kontainer</t>
  </si>
  <si>
    <t>10 kontainer</t>
  </si>
  <si>
    <t>1 truck arm roll 4 kontainer</t>
  </si>
  <si>
    <t>Tersedianya lahan untuk TPA</t>
  </si>
  <si>
    <t>tersedianya lahan 10.000 m2 untuk TPA Sanggrahan</t>
  </si>
  <si>
    <t>Tersedinya lahan TPA di Sanggrahan dan Jumo</t>
  </si>
  <si>
    <t>Terselenggaranya operasi pemeliharaan alat angkut sampah</t>
  </si>
  <si>
    <t>Terangkutnya sampah ke TPA</t>
  </si>
  <si>
    <t>Terangkutnya sampah di daerah pelayanan ke TPA</t>
  </si>
  <si>
    <t>Tersedianya dana bantuan kesrasian RT/RW dan pembinaan pengelolaan sampah</t>
  </si>
  <si>
    <t>tersalurnya dana hibah RT RW</t>
  </si>
  <si>
    <t>Tersalurnya dana hibah RT RW</t>
  </si>
  <si>
    <t>Terwujudnya kegiatan Peningkatan kualitas lingkungan</t>
  </si>
  <si>
    <t>Terciptanya pengurangan sampah dengan bank sampah di 40 lokasi</t>
  </si>
  <si>
    <t>Terwujudnya kendaraan mobil tinja</t>
  </si>
  <si>
    <t>Tersedianya 1 mobil tinja</t>
  </si>
  <si>
    <t>Pengadaan Alat Angkut Sampah</t>
  </si>
  <si>
    <t>tersedianya 1 pick up sampah</t>
  </si>
  <si>
    <t>Tersedianya 2 pick up sampah</t>
  </si>
  <si>
    <t>Pengadaan Dump Truck</t>
  </si>
  <si>
    <t>Tersedianya 1 dump truck</t>
  </si>
  <si>
    <t>Terwujudnya sistem informasi persampahan</t>
  </si>
  <si>
    <t>Tersusunya sistem informasi sar pras persampahan</t>
  </si>
  <si>
    <t>Terwujudnya TPST 3R</t>
  </si>
  <si>
    <t>Terwujudnya Pengadaan Alat Berat untuk TPA</t>
  </si>
  <si>
    <t>Tersedianya exavator 1 unit</t>
  </si>
  <si>
    <t>Terbangunnya TPA Jumo untuk wilayah  Kabupaten Temanggung Utara</t>
  </si>
  <si>
    <t>terbangunnya TPA jumo dg 2 zona controll landfill</t>
  </si>
  <si>
    <t>Terwujudnya Pengadaan Mobil tangki air</t>
  </si>
  <si>
    <t>Pemeliharaan kebersihan kawasan pusat kota Temanggung</t>
  </si>
  <si>
    <t>tertanganinya kebersihan kota dengan tenaga out sourching (12 tenaga)</t>
  </si>
  <si>
    <t>Tertanganinya kebersihan kota dengan tenaga out sourching (21 tenaga)</t>
  </si>
  <si>
    <t>Taman dan Ruang terbuka hijau yang indah dan teduh</t>
  </si>
  <si>
    <t>Terbangunnnya RTH dan Taman Rekreasi Kota</t>
  </si>
  <si>
    <t>Pengadaan Mobil Operasional pemeliharaan taman</t>
  </si>
  <si>
    <t>Meningkatnya kebersihan, ketertiban, keindahan, kesehatan lingkungan masyarakat perkotaan</t>
  </si>
  <si>
    <t xml:space="preserve">Terlaksananya kegiatan DAK Bidang Lingkungan Hidup di Kab. Temanggung </t>
  </si>
  <si>
    <t xml:space="preserve">Terlaksananya pendampingan DAK Bidang Lingkungan Hidup di Kab. Temanggung </t>
  </si>
  <si>
    <t>1 Paket</t>
  </si>
  <si>
    <t>Terlaksananya Pembangunan IPAL Komunal dan Papan Informasi</t>
  </si>
  <si>
    <t>Terinventarisasinya kegiatan / usaha yang berpotensi mencemari lingkungan</t>
  </si>
  <si>
    <t>2 kecamatan</t>
  </si>
  <si>
    <t>3 kec</t>
  </si>
  <si>
    <t>rekap</t>
  </si>
  <si>
    <t>Terlaksananya pembinaan dan pengawasan ketaatan penanggung jawab usaha &amp; / atau kegiatan terhadap ketentuan, perizinan lingkungan dan peraturan perundang-undangan</t>
  </si>
  <si>
    <t>24 keg/usaha dan 4 RS</t>
  </si>
  <si>
    <t>45 keg/usaha dan 4 RS</t>
  </si>
  <si>
    <t>Terlaksananya perawatan alat, kalibrasi alat, pelatihan personil Lab, Pembangunan IPAL, TPS B3,  Pengadaan alat Multibas Monitor, TDS</t>
  </si>
  <si>
    <t>6 Paket</t>
  </si>
  <si>
    <t>4 Paket</t>
  </si>
  <si>
    <t>Terlaksananya pelatihan Pengelolaan limbah B3 dan monev serta pembinaan Pengelolaaan limbah B3 pada Rumah Sakit, perusahaan, hotel serta bengkel (45 unit)</t>
  </si>
  <si>
    <t>inventarisasi 45 keg/usaha</t>
  </si>
  <si>
    <t>Pelatihan 45 keg/usaha</t>
  </si>
  <si>
    <t>Pelatihan 50 keg/usaha</t>
  </si>
  <si>
    <t>Terbinanya sekolah tingkat SMA/SMK, SMP/MIN, SD/MTS yang peduli, berbudaya dan berwawasan lingkungan</t>
  </si>
  <si>
    <t>24 sekolah</t>
  </si>
  <si>
    <t xml:space="preserve">29 sekolah </t>
  </si>
  <si>
    <t>30 sekolah</t>
  </si>
  <si>
    <t>32 sekolah</t>
  </si>
  <si>
    <t>34 sekolah</t>
  </si>
  <si>
    <t>36 sekolah</t>
  </si>
  <si>
    <t>Rata-rata tingkat pencemaran limbah pada air sungai (persentase dari semua parameter yang diuji)</t>
  </si>
  <si>
    <t>Rata-rata tingkat pencemaran udara (persentase dari semua parameter yang diuji)</t>
  </si>
  <si>
    <t>Terlaksananya pengadaan Reagen Laboratorium</t>
  </si>
  <si>
    <t>Terbangun dan tersedianya sarana prasarana pendukung Bank Sampah</t>
  </si>
  <si>
    <t>2 Paket</t>
  </si>
  <si>
    <t>Fasilitasi Bangunan Sipil Teknis</t>
  </si>
  <si>
    <t>Peringatan Hari Lingkungan Hidup</t>
  </si>
  <si>
    <t>Terbangunnya bangunan sipit teknis dan tanaman (vegetasi)</t>
  </si>
  <si>
    <t>Tumbuhnya tanaman buah sesuai dengan rencana</t>
  </si>
  <si>
    <t>Terpeliharanya dan terbentuknya Hutan Kota di Kelurahan Temanggung</t>
  </si>
  <si>
    <t>Terlaksananya kegiatan penanganan penataan kawasan dieng</t>
  </si>
  <si>
    <t xml:space="preserve">Terlaksananya sosialisasi dan penanaman tanaman turus sungai </t>
  </si>
  <si>
    <t>Terlaksananya pendataan dan perlindungan Flora dan Fauna Temanggung</t>
  </si>
  <si>
    <t>Terlaksananya Monitoring dan Evaluasi semua kegiatan penanaman pohon di BLH Kabupaten Temanggung dan peringatan hari lingkungan hidup</t>
  </si>
  <si>
    <t>Sosialisasi Penanganan Kawasan Lindung di luar kawasan hutan</t>
  </si>
  <si>
    <t>2 kec 4 desa</t>
  </si>
  <si>
    <t>Pembuatan Kebun Buah desa Ngropoh</t>
  </si>
  <si>
    <t>Peningkatan Peran serta masyarakat dalam pengolahan lahan disekitar embung jetis</t>
  </si>
  <si>
    <t>Meningkatnya peran serta masyarakat, pengusaha dan instansi pelayanan dalam penyediaan kebutuhan bibit</t>
  </si>
  <si>
    <t>588.055 batang</t>
  </si>
  <si>
    <t>2,5 juta batang</t>
  </si>
  <si>
    <t>500 ribu batang</t>
  </si>
  <si>
    <t>550 ribu batang</t>
  </si>
  <si>
    <t>600 ribu batang</t>
  </si>
  <si>
    <t>650 ribu batang</t>
  </si>
  <si>
    <t>Tersedianya bangunan perlindungan mata air (Captering)</t>
  </si>
  <si>
    <t>Terlaksananya sosialisasi dan Tersedianya bibit tanaman untuk pengembangan ruang terbuka hijau</t>
  </si>
  <si>
    <t>3 kelurahan</t>
  </si>
  <si>
    <t>9 kelurahan</t>
  </si>
  <si>
    <t>10 Kelurahan</t>
  </si>
  <si>
    <t>12 kelurahan</t>
  </si>
  <si>
    <t>Tersusunnya buku SLHD tiap tahun</t>
  </si>
  <si>
    <t>Terlaksananya monitoring dan evaluasi kegiatan Badan lingkungan hidup</t>
  </si>
  <si>
    <t>Terlaksananya KLHS Kabupaten Temanggung</t>
  </si>
  <si>
    <t>Terlaksananya penyusunan Profil Tutupan Vegetasi Kab. Temanggung</t>
  </si>
  <si>
    <t>Semakin besarnya persentase aset tanah pemerintah yang bersertifikat</t>
  </si>
  <si>
    <t>75.6%</t>
  </si>
  <si>
    <t>80.7%</t>
  </si>
  <si>
    <t>84.5%</t>
  </si>
  <si>
    <t>88.4%</t>
  </si>
  <si>
    <t>92.3%</t>
  </si>
  <si>
    <t>96.1%</t>
  </si>
  <si>
    <t>Terselesaikannya permasalahan/sengketa tanah</t>
  </si>
  <si>
    <t>100% dari 5 kasus</t>
  </si>
  <si>
    <t>Peningkatan pelayanan publik dalam bidang kependudukan</t>
  </si>
  <si>
    <t>Tersedianya data penduduk pindah/datang antar Kab/Kota dan atau provinsi yang valid</t>
  </si>
  <si>
    <t>20 Kec (289 desa/kel)</t>
  </si>
  <si>
    <t xml:space="preserve"> terwujudnya kelancaran pelayanan administrasi kependudukan di Kab, Kec sampai Desa/Kelurahan</t>
  </si>
  <si>
    <t>20 Kec</t>
  </si>
  <si>
    <t>Pengelolaan Sistem administrasi Kependudukan, Pencatatan Sipil dan e-KTP</t>
  </si>
  <si>
    <t>Terciptanya tertib administrasi kependudukan</t>
  </si>
  <si>
    <t>Penyediaan informasi yang dapat diakses masyarakat</t>
  </si>
  <si>
    <t>Kemudahan akses masyarakat ke web Dindukcapil</t>
  </si>
  <si>
    <t>Peningkatan pelayanan publik di bidang capil</t>
  </si>
  <si>
    <t>Meningkatnya semangat kinerja dan kesejahteraan pegawai, memudahkan pencarian akta capil</t>
  </si>
  <si>
    <t>Output : 14 orang petugas, terbitnya 19.000 kutipan akta capil, tersimpannya 45.000 data kutipan akta capil (100%)</t>
  </si>
  <si>
    <t>Pencatatan kelahiran yang melampaui batas waktu 1 tahun</t>
  </si>
  <si>
    <t xml:space="preserve"> Meningkatnya tertib administrasi kependudukan dan capil</t>
  </si>
  <si>
    <t>Output : terbitnya kutipan akta kelahiran bagi anak usia di atas 1 thn 1900 lembar (100%)</t>
  </si>
  <si>
    <t xml:space="preserve">Tersedianya hasil pendataan 25 buku /th &amp; 24 Buku umpan balik / bulan </t>
  </si>
  <si>
    <t>49 buku</t>
  </si>
  <si>
    <t>Peningkatan pengetahuan terhadap program KB</t>
  </si>
  <si>
    <t>40 Kali</t>
  </si>
  <si>
    <t>Rapat Koordinasi Kepala UPT Kecamatan, Rakorcam, Rakordes masing - masing 4 kali dan Rakorda 1 kali rapat tengah tahunan</t>
  </si>
  <si>
    <t>12 kali</t>
  </si>
  <si>
    <t>tersedianya peralatan KB</t>
  </si>
  <si>
    <t xml:space="preserve">Terbelinya  Implant KIT 4 unit, dan Obgynbed 4 unit, Komputer 5 unit,KIE KIT 51  unit ,sarana kerja PLKB 70 unit </t>
  </si>
  <si>
    <t>terbelinya tempat sampah 2, almari 10,filling kabinet 4,whiteboard 2, kipas angin 6, komputer 6, sofware 6,printer 6, meja kompter 6,ups 6, modem 6, meja kerja 14,kursi kerja 150, tabung gas 2, kompor 2, gordin 2, gedung 2 bh, obgyn bed 57, iud kit 58</t>
  </si>
  <si>
    <t>terbelinya tempat sampah 2, almari 10,filling kabinet 4,whiteboard 2, kipas angin 6, komputer 6, sofware 6,printer 6, meja kompter 6,ups 6, modem 6, meja kerja 14,kursi kerja 150, tabung gas 2, kompor 2, gordin 2, gedung 2 bh, komputer</t>
  </si>
  <si>
    <t>terbelinya tempat sampah 2, almari 10,filling kabinet 4,whiteboard 2, kipas angin 6, komputer 6, sofware 6,printer 6, meja kompter 6,ups 6, modem 6, meja kerja 14,kursi kerja 150, tabung gas 2, kompor 2, gordin 2, gedung 2 bh, sarpras PLKB, komputer</t>
  </si>
  <si>
    <t>Terbelinya  Implant KIT 4 unit, dan Obgynbed 4 unit, Komputer 5 unit,KIE KIT 51  unit ,sarana kerja PLKB 70 unit,obgyn bed 57, iud kit 58</t>
  </si>
  <si>
    <t>iud kit 58, obgyn bed 57, software 6, meja kompter 6, gedung 2 bh</t>
  </si>
  <si>
    <t>komputer, software 6, meja kompter 6, gedung 2 bh</t>
  </si>
  <si>
    <t>komputer,software 6, meja kompter 6, gedung 2 bh</t>
  </si>
  <si>
    <t>tersedianya UPT KB</t>
  </si>
  <si>
    <t>terlaksananya kegiatan BKBPP</t>
  </si>
  <si>
    <t>Meningkatnya koor dan sinkronisasi kegiatan Bagi Pelaksana dan Pengelola Program KB &amp; KR (bidan dan PKB)</t>
  </si>
  <si>
    <t>20 upt, 2 kegiatan</t>
  </si>
  <si>
    <t>Meningkatnya peserta KB sebanyak 400 akseptor</t>
  </si>
  <si>
    <t>Meningkatnya pembinaan bagi kelompok catur bina keluarga</t>
  </si>
  <si>
    <t>12 kelompok</t>
  </si>
  <si>
    <t>- Pengadaan peralatan online '- Pelatihan operator</t>
  </si>
  <si>
    <t>- Meningkatkan pengetahuan tentang KRR bagi PIK Remaja (konselor Sebaya)</t>
  </si>
  <si>
    <t>Meningkatnya pengetahuan tentang  narkoba, PMS bagi Pelaksana dan Pengelola PIK Remaja dan Pengurus OSIS</t>
  </si>
  <si>
    <t>2 Kegiatan</t>
  </si>
  <si>
    <t>tersedianya peraltan dan perlengkapan BKB</t>
  </si>
  <si>
    <t>50 set</t>
  </si>
  <si>
    <t>Meningkatnya ketrampilan Petugas KB Desa</t>
  </si>
  <si>
    <t>Meningkatnya pengetahuan dan ketrampilan bagi Kader Keluarga Berencana   Desa</t>
  </si>
  <si>
    <t>446 orang</t>
  </si>
  <si>
    <t>Terlatihnya  pengelola &amp; tenaga prog kader</t>
  </si>
  <si>
    <t>578 orang</t>
  </si>
  <si>
    <t>Meningkatnya pengetahuan dan ketrampilan bagi kader BKB desa sejumlah 10 orang di 20 kecamatan</t>
  </si>
  <si>
    <t>200 orang</t>
  </si>
  <si>
    <t>Meningkatnya pengetahuan dan ketrampilan bagi Kader UPPKS</t>
  </si>
  <si>
    <t>60 orang</t>
  </si>
  <si>
    <t xml:space="preserve">Terlayaninya akseptor Implant  dan MOW/MOP  </t>
  </si>
  <si>
    <t>426 orang</t>
  </si>
  <si>
    <t>483 orang</t>
  </si>
  <si>
    <t>Meningkatnya Pelayanan Kontrasepsi bagi Calon Peserta KB melalui pembelian implant</t>
  </si>
  <si>
    <t>740 set</t>
  </si>
  <si>
    <t>Meningkatnya kualitas &amp; intensitas belajar  anak penderita low vision</t>
  </si>
  <si>
    <t>200 anak</t>
  </si>
  <si>
    <t>Tersalurkanya bantuan untuk peningkatan kegiatan PP dan PA (50 organisasi wanita)</t>
  </si>
  <si>
    <t>50 organisasi</t>
  </si>
  <si>
    <t>Berkurangnya trauma psikologis korban kekerasan  berbasis Gender dan Anak</t>
  </si>
  <si>
    <t>25 orang</t>
  </si>
  <si>
    <t>sosialisasi 200 org, supervisi 50 kasus, pendampingan 50 org, tersedianya data korban KDRT</t>
  </si>
  <si>
    <t>Terfasilitasinya program kegiatan forum anak</t>
  </si>
  <si>
    <t>Meningkatnya pemahaman tentang KLA di tingkat kelurahan dan keikutsertaan Kab.Tmg dalam evaluasi KLA TK.Nasional</t>
  </si>
  <si>
    <t>115 peserta</t>
  </si>
  <si>
    <t>sosialisasi 3x perencanaan TK kec 4 TK kel / desa 6</t>
  </si>
  <si>
    <t>Meningkatnya  koordinasi kelembagaan GSI satgas Kec/ Desa P2TP2A dan PPT</t>
  </si>
  <si>
    <t>20 kecamatan</t>
  </si>
  <si>
    <t>Meningkatnya  pemahaman penyusunan dokumen ARG di SKPD</t>
  </si>
  <si>
    <t xml:space="preserve">advokasi PUG dan PUHA di SKPD bagi 24 org </t>
  </si>
  <si>
    <t>6 SKPD</t>
  </si>
  <si>
    <t>Meningkatnya kemampuan kepemimpinan dan pengarustamaan gender bagi 35 Orang eksekutif dan legislatif</t>
  </si>
  <si>
    <t>35 orang</t>
  </si>
  <si>
    <t>Terfasilitasinya program ARG dan PUG di pemangku kebijakan di pemerintahan</t>
  </si>
  <si>
    <t>5 skpd</t>
  </si>
  <si>
    <r>
      <t>Rakor Pokja PUG 25 org,</t>
    </r>
    <r>
      <rPr>
        <sz val="11"/>
        <color indexed="8"/>
        <rFont val="Calibri"/>
        <family val="2"/>
        <scheme val="minor"/>
      </rPr>
      <t xml:space="preserve"> </t>
    </r>
    <r>
      <rPr>
        <i/>
        <sz val="11"/>
        <color indexed="8"/>
        <rFont val="Calibri"/>
        <family val="2"/>
        <scheme val="minor"/>
      </rPr>
      <t xml:space="preserve">Rakor Pokja GSI 25 org, Rakor KLA  30 org, Monev GSI / RSSIB 2 keg </t>
    </r>
  </si>
  <si>
    <t>pelatihan manajemen, bantuan peralatan dan modal usaha</t>
  </si>
  <si>
    <t>16 KUB</t>
  </si>
  <si>
    <t>11  KUB</t>
  </si>
  <si>
    <t>14  KUB</t>
  </si>
  <si>
    <t>19 KUB</t>
  </si>
  <si>
    <t>20  KUB</t>
  </si>
  <si>
    <t>14 KUB</t>
  </si>
  <si>
    <t>pembinaan manajemen &amp; proses produksi bagi KUB makanan ringan</t>
  </si>
  <si>
    <t xml:space="preserve">45 org </t>
  </si>
  <si>
    <t xml:space="preserve">40 org </t>
  </si>
  <si>
    <t xml:space="preserve">50 org </t>
  </si>
  <si>
    <t>Terlaksananya kompetensi penilaian KUB dan produk makanan ringan yang dihasilkan</t>
  </si>
  <si>
    <t>20 KUB</t>
  </si>
  <si>
    <t>penguatan kelembagaan, majemen, pengembangan produk fasilitasi akses pasar dan modal</t>
  </si>
  <si>
    <t>Pengelolaan UMKM centre Kledung</t>
  </si>
  <si>
    <t xml:space="preserve">Tersusunnya data base industri dengan software/program pendataan </t>
  </si>
  <si>
    <t>database industri di kab. Temanggung</t>
  </si>
  <si>
    <t>update database industri di kab. Temanggung</t>
  </si>
  <si>
    <t>terfasilitasinya bantuan peralatan kopi</t>
  </si>
  <si>
    <t>1 KUB</t>
  </si>
  <si>
    <t>temu usaha dan pameran KIID</t>
  </si>
  <si>
    <t>20 0rg</t>
  </si>
  <si>
    <t>Terlaksananya pelatihan industri kecil</t>
  </si>
  <si>
    <t>20 org</t>
  </si>
  <si>
    <t>10 org</t>
  </si>
  <si>
    <t>Terlaksanya temu usaha industri mikro</t>
  </si>
  <si>
    <t>50 org</t>
  </si>
  <si>
    <t>pelatihan bantuan peralatan dan modal</t>
  </si>
  <si>
    <t>pelatihan bantuan alat untuk 6 KUB</t>
  </si>
  <si>
    <t>pelatihan dan bantuan peralatan dan modal</t>
  </si>
  <si>
    <t>8 KUB</t>
  </si>
  <si>
    <t>Terlaksananya pengembangan usaha kecil</t>
  </si>
  <si>
    <t>5 klp</t>
  </si>
  <si>
    <t>Terlaksananya  pengembangan sentra unggulan berbasis OVOP (berbasis kacang-kacangan)</t>
  </si>
  <si>
    <t>4 klp</t>
  </si>
  <si>
    <t>Terlaksananya monitoring dan evaluasi KUMKM</t>
  </si>
  <si>
    <t>200 KUMKM</t>
  </si>
  <si>
    <t>Penyelenggaraan lomba, penilaian kesehatan, pemeringakatn koperasi</t>
  </si>
  <si>
    <t>50 Kop</t>
  </si>
  <si>
    <t>Terlaksananya  pelatihan  kelembagaan &amp; manajemen pengelolaan koperasi bagi koperasi pertanian dan koperasi serba usaha</t>
  </si>
  <si>
    <t>60 kop</t>
  </si>
  <si>
    <t>100 kop</t>
  </si>
  <si>
    <t>Terfasilitasinya penyaluran dana hibah koperasi</t>
  </si>
  <si>
    <t>19 Kop</t>
  </si>
  <si>
    <t>Terlaksananya pengawasan KSP/USP,KJKS/UJKS</t>
  </si>
  <si>
    <t>50 kop</t>
  </si>
  <si>
    <t>75 kop</t>
  </si>
  <si>
    <t>Pelatihan akuntansi ETAP</t>
  </si>
  <si>
    <t>80 org</t>
  </si>
  <si>
    <t>80 kop</t>
  </si>
  <si>
    <t>pelaku usaha koperasi mengetahui tentang UU nomor 17 tahun 2012</t>
  </si>
  <si>
    <t>koperasi di kab temanggung</t>
  </si>
  <si>
    <t>Terlaksanya proses perubahan anggaran dasar koperasi sesuai dengan  UU No.17 Tahun 2012</t>
  </si>
  <si>
    <t>Terlaksananya peyusunan profil &amp;  data base koperasi</t>
  </si>
  <si>
    <t>update database kop</t>
  </si>
  <si>
    <t>Terlaksananya penilaian kesehatan KSP/USP</t>
  </si>
  <si>
    <t>1 keg</t>
  </si>
  <si>
    <t>Terlaksananya promosi dan informasi investasi</t>
  </si>
  <si>
    <t>2 keg</t>
  </si>
  <si>
    <t>Terselenggaranya monev dan pelaporan</t>
  </si>
  <si>
    <t>2 eg</t>
  </si>
  <si>
    <t>Terselenggaranya fasilitasi kerjasama antara usaha besar dan UMKM</t>
  </si>
  <si>
    <t>1 kewg</t>
  </si>
  <si>
    <t>Tersedianya profil investasi</t>
  </si>
  <si>
    <t>Terbitnya Raperda dan Reperbup Penanaman Modal</t>
  </si>
  <si>
    <t>Tersedianya website khusus penanaman modal</t>
  </si>
  <si>
    <t>terselenggaranya monev dan pelaporan keg.investasi</t>
  </si>
  <si>
    <t>Tersedianya booklet perizinan</t>
  </si>
  <si>
    <t>Terbitnya Raperda /Raperbub Perizinan</t>
  </si>
  <si>
    <t>Terselenggaranya sosialisai  peraturan perizinan</t>
  </si>
  <si>
    <t>Terselenggaranya monev PATEN</t>
  </si>
  <si>
    <t>Meningkatnya jumlah pemohon izin usaha</t>
  </si>
  <si>
    <t>Terfasilitasinya penyelenggaraan Upacara Adat di Kab. Temanggung</t>
  </si>
  <si>
    <t>99,05%</t>
  </si>
  <si>
    <t xml:space="preserve">Terselenggaranyaa Pembinaan bagi 8 kelompok Upacara Adat </t>
  </si>
  <si>
    <t>1 Paket      (8.Kelp Up. Adat)</t>
  </si>
  <si>
    <t>1 Paket      (10.Kelp Up. Adat)</t>
  </si>
  <si>
    <t>Terlaksananya Kegiatan pelestarian sumber sejarah di Kab. Temanggung</t>
  </si>
  <si>
    <t xml:space="preserve">Terkumpul dan tertulisnya data sumber sejarah di 20 Kecamatan di Kab. Temanggung </t>
  </si>
  <si>
    <t>1 Keg        (Data Sumber Sejarah)</t>
  </si>
  <si>
    <t>Terlaksananya pelestarian peninggalan purbakala</t>
  </si>
  <si>
    <t>Tersedianya data peninggalan purbakala pada 20 kecamatan di wil Kab. Temanggung</t>
  </si>
  <si>
    <t>1 Keg  (Data Peninggalan Purbakala)</t>
  </si>
  <si>
    <t>Terlaksananya  peletarian peninggalan purbakala</t>
  </si>
  <si>
    <t>1 Keg  (SK.Penetapan cagar Budaya)</t>
  </si>
  <si>
    <t>terbelinya tanah di situs liangan  sehingga memudahkan proses ekskavasi dan penelitian</t>
  </si>
  <si>
    <t>Tersedianya tempat untuk menampung temuan di situs liangan</t>
  </si>
  <si>
    <t>1  Paket</t>
  </si>
  <si>
    <t>terbangunannya museum sebagai tempat penelitian, pendidikan dan pariwisata</t>
  </si>
  <si>
    <t xml:space="preserve">Terlaksananya kegiatan pelestarian peninggalan purbakala </t>
  </si>
  <si>
    <t>Tersedianya dana untuk Ekskavasi/Penggalian dlm rangka merekonstruksi sejarah/ budaya pendukung Situs Liangan</t>
  </si>
  <si>
    <t>Tersedianya dana lanjutan untuk Ekskavasi/Penggalian dlm rangka merekonstruksi sejarah/ budaya pendukung Situs Liangan</t>
  </si>
  <si>
    <t>Terlaksananya  penciptaan Karya tari unggulan daerah</t>
  </si>
  <si>
    <t xml:space="preserve">Tersosialisasinya Tari Unggulan Daerah kepada masyarakat 20 Kec. </t>
  </si>
  <si>
    <t xml:space="preserve">100 %         1.Kegiatan </t>
  </si>
  <si>
    <t>Tercetaknya Buku sejarah perjuangan Temanggung</t>
  </si>
  <si>
    <t>97,60%</t>
  </si>
  <si>
    <t>100%    1.Paket</t>
  </si>
  <si>
    <t>100 %    1.Kegiatan Penyl Festifal Film</t>
  </si>
  <si>
    <t xml:space="preserve">Peningkatan kualitas seniman </t>
  </si>
  <si>
    <t>Meningkatnya Kualitas ±25 seniman seni pertunjukan di Kab. Tmg</t>
  </si>
  <si>
    <t>1  Kegiatan   (±25 seniman seni pertunjukan)</t>
  </si>
  <si>
    <t xml:space="preserve">Peningkatan wawasan tentang kesenian </t>
  </si>
  <si>
    <t>Terselenggaranya pentas seni dan sarasehan seni pertunjukan 20   kecamatan</t>
  </si>
  <si>
    <t>Terselenggaranya pentas seni dan sarasehan seni pertunjukan 20 kecamatan</t>
  </si>
  <si>
    <t>Terselenggaranya pentas seni dan sarasehan seni pertunjukan 20 Kec</t>
  </si>
  <si>
    <t>Terlaksananya pendokumentasian Seni Budaya Kab. Temanggung</t>
  </si>
  <si>
    <t>Tersedianya Data Teks dan Audio visual untuk merekonstruksi seni budaya di Kab. Temanggung</t>
  </si>
  <si>
    <t>Terfasilitasinya penyelenggaraan Pemberian bantuan kesenian kepada kelompok/grup kesenian</t>
  </si>
  <si>
    <t>1 Paket  (Pembinaan 127 kelompok/grup kesenian)</t>
  </si>
  <si>
    <t>1 Paket  (Pembinaan 125 kelompok/grup kesenian)</t>
  </si>
  <si>
    <t>1 Paket  (Pembinaan kelompok/grup kesenian sesuai Proposal masuk)</t>
  </si>
  <si>
    <t>Terfasilitasinya Pemberian bantuan Hibah kpd kelompok/grup kesenian</t>
  </si>
  <si>
    <t>_</t>
  </si>
  <si>
    <t>Terfasilitasinya  Pemberian Penghargaan kepada seniman dan budayawan Kab. Temanggung</t>
  </si>
  <si>
    <t xml:space="preserve">TerTersalurnya pengfhargaan kepada 10 orang seniman/budayawan </t>
  </si>
  <si>
    <t>1  Kegiatan (10.org Budayawan)</t>
  </si>
  <si>
    <t>Tersedianya ajang kreatifitas seni bagi 70 kelompok/grup kesenian</t>
  </si>
  <si>
    <t xml:space="preserve">1  Kegiatan           70 Klp </t>
  </si>
  <si>
    <t>Terfasilitasinya penyelenggaraan Festifal budaya di Kab. Temanggung</t>
  </si>
  <si>
    <t>Terselenggaranya Pembinaan Peserta Festival Budaya di Kab. Tmg</t>
  </si>
  <si>
    <t xml:space="preserve">1 Kegiatan </t>
  </si>
  <si>
    <t>1  Kegiatan   (Festival Bdy)</t>
  </si>
  <si>
    <t>Terlaksananya pertunjukan seni budaya daerah</t>
  </si>
  <si>
    <t>99,97%</t>
  </si>
  <si>
    <t>Terselenggaranya  Pentas seni budaya di Luar Daerah</t>
  </si>
  <si>
    <t>Terselenggaranya keg ibadah haji (manasik, penglepasan, pemberangkatan, dan tasyakuran hai) dan seleksi petugas haji</t>
  </si>
  <si>
    <t>83.33%</t>
  </si>
  <si>
    <t>Terpilihnya 84 qori'/qori'ah di tk kabupaten dan 2 kafilah ke tk Provinsi</t>
  </si>
  <si>
    <t xml:space="preserve">Terlaksananya keg tarkhim di 20 kec, dan 40 kali pengajian rutin di setda, 4 kali pengajian Hari Besar Islam. </t>
  </si>
  <si>
    <t>Terlatihnya guru TPQ dan Pengurus Badko TPQ 230 orang. (mulai 2014 : 260 org)</t>
  </si>
  <si>
    <t>keg baru di 2013</t>
  </si>
  <si>
    <t xml:space="preserve"> Terlatihnya guru TPQ dan Pengurus Badko TPQ 230 orang. (mulai 2014 : 260 org)</t>
  </si>
  <si>
    <t xml:space="preserve">Meningkatnya Jumlah Pemuda yang berkualitas </t>
  </si>
  <si>
    <t>95,42%</t>
  </si>
  <si>
    <t>100 %  (±30.orang pemuda)</t>
  </si>
  <si>
    <t>100 %  (±35.orang pemuda)</t>
  </si>
  <si>
    <t>Persentase tersalurkannya bantuan hibah kpd Organisasi dan pemberian penghargaan / beasiswa kepada atlet pelajar berprestasi</t>
  </si>
  <si>
    <t>99,47%</t>
  </si>
  <si>
    <t>Terlaksananya Diklat Dasar Kepemimpinan bagi unsur pimpinan OKP</t>
  </si>
  <si>
    <t>Terlaksananya pelatihan kewirausahaan bagi KUPP</t>
  </si>
  <si>
    <t xml:space="preserve">Terkirimnya ± 35 orang calon pelatih Olahraga/Pemuda </t>
  </si>
  <si>
    <t>92,37%</t>
  </si>
  <si>
    <t>100 %     (35.orang)</t>
  </si>
  <si>
    <t>85 %     (30.orang)</t>
  </si>
  <si>
    <t>100 %     (40.orang)</t>
  </si>
  <si>
    <t>100 %     (45.orang)</t>
  </si>
  <si>
    <t>100 %     (50.orang)</t>
  </si>
  <si>
    <t>Persentase  terpenuhinya prestasi OR dan tersalurnya bantuan beasiswa atlet pelajar berprestasi</t>
  </si>
  <si>
    <t>94,58%</t>
  </si>
  <si>
    <t>95 %               (24 pengkab OR &amp; ± 15 atlet berprestasi)</t>
  </si>
  <si>
    <t>95 %               (24 pengkab OR &amp; ± 20 atlet berprestasi)</t>
  </si>
  <si>
    <t>95 %               (24 pengkab OR &amp; ±20 atlet berprestasi)</t>
  </si>
  <si>
    <t>95 %               (24 pengkab OR &amp; ± 25 atlet berprestasi)</t>
  </si>
  <si>
    <t>Terkirimnya atlet pelajar untuk mengikuti kejurda dan terpilihnya tim peserta Up. HAORNAS dan HSP</t>
  </si>
  <si>
    <t>96,66%</t>
  </si>
  <si>
    <t>Terlaksanananya PORSENI Pondok Pesantren</t>
  </si>
  <si>
    <t>97,59%</t>
  </si>
  <si>
    <t>100%      (40.orang atlet/artis)</t>
  </si>
  <si>
    <t>Terbentuk dan terkirimnya  Atlet untuk mengikuti Lomba 10 K Tingkat Prov (mulai  Th. 2014  TLJ di ganti dg Lomba 10 K )</t>
  </si>
  <si>
    <t>100%               (12.org anggota tim)</t>
  </si>
  <si>
    <t>Terlaksananya kompetisi Olahraga pelajar</t>
  </si>
  <si>
    <t>100 % (1.Kegiatan)</t>
  </si>
  <si>
    <t>Terpenuhinya penghargaan bagi pembina, pelatih dan atlet yang berprestasi di Tk. Prov, Nasional dan Internasional</t>
  </si>
  <si>
    <t>Peningkatan sarana olahraga dan kepemudaan</t>
  </si>
  <si>
    <t xml:space="preserve"> 1 Kegiatan + 1 Paket   (Meja Kursi tamu dan Komputer)</t>
  </si>
  <si>
    <t xml:space="preserve"> 1 Kegiatan + 1 Paket   pengadaan Sarpras Kantor</t>
  </si>
  <si>
    <t>Terlaksananya Pembuatan DED Pembangunan Stadion Bhumi Phala</t>
  </si>
  <si>
    <t>90,87%</t>
  </si>
  <si>
    <t>Terlaksananya Rehab Total Gedung OR Bambu Runcing</t>
  </si>
  <si>
    <t>96,28%</t>
  </si>
  <si>
    <t>Terfasilitasinya penyusunan Perda</t>
  </si>
  <si>
    <t>20 Perda</t>
  </si>
  <si>
    <t>20                Perda</t>
  </si>
  <si>
    <t>15 Perda</t>
  </si>
  <si>
    <t>Terselenggaranya kegiatan rapat-rapat DPRD</t>
  </si>
  <si>
    <t>120 kali</t>
  </si>
  <si>
    <t>300 kali</t>
  </si>
  <si>
    <t>500 kali</t>
  </si>
  <si>
    <t>Terselenggaranya kegiatan Reses DRPD</t>
  </si>
  <si>
    <t>2 kali</t>
  </si>
  <si>
    <t>Terselenggaranya Bimbingan Teknis Anggota DPRD</t>
  </si>
  <si>
    <t>Terlaksananya kunjungan kerja DPRD ke luar daerah</t>
  </si>
  <si>
    <t>Tersedianya staf ahli fraksi DPRD</t>
  </si>
  <si>
    <t>84 kali</t>
  </si>
  <si>
    <t>72 kali</t>
  </si>
  <si>
    <t>Terselenggaranya kegiatan ADKASI</t>
  </si>
  <si>
    <t>Terlaksananya pelantikan Anggota DPRD</t>
  </si>
  <si>
    <t>Tersusunnya memori DPRD</t>
  </si>
  <si>
    <t>Tersusunnya profil DPRD</t>
  </si>
  <si>
    <t>Teselenggaranya rapat muspida</t>
  </si>
  <si>
    <t>12 bl</t>
  </si>
  <si>
    <t>Tersedianya dana APKASI</t>
  </si>
  <si>
    <t>Terselenggaranya penerimaan kunjungan kerja pejabat negara/departemen/LPND dan peringatan hari besar nasional dan daerah</t>
  </si>
  <si>
    <t>Terpeliharanya SIKD</t>
  </si>
  <si>
    <t>Tersusunya  daftar gaji PNS</t>
  </si>
  <si>
    <t>Terlaksananya pendataan wajib/obyek pajak daerah, penyampaian SKPD dan SPPT PBB, Pemungutan pajak daerah</t>
  </si>
  <si>
    <t>70,97%</t>
  </si>
  <si>
    <t>DPA yang telah diverifikasi</t>
  </si>
  <si>
    <t>Terwujudnya pengelolaan dearah dengan baik</t>
  </si>
  <si>
    <t>Menginventarisir potensi pajak daerah</t>
  </si>
  <si>
    <t>Tersusunnya perda ttg APBD, Perubahan APBD dan Pertanggung jawaban APBD</t>
  </si>
  <si>
    <t>RKA yang telah diverfikasi</t>
  </si>
  <si>
    <t>Terlaksananya koordinasi, monitoring, evaluasi pendapatan daerah dan penagihan tunggakan pendapatan daerah</t>
  </si>
  <si>
    <t>pembukuan, inventarisasi, &amp; pelaporan karcis retribusi sesuai target</t>
  </si>
  <si>
    <t>Data Piutang PBB-P2</t>
  </si>
  <si>
    <t xml:space="preserve">Terbayarnya jamsosotek bagi PTT dan pegawai kontrak </t>
  </si>
  <si>
    <t>Terlaksananya tertib administrasi pengelolaan keuangan daerah</t>
  </si>
  <si>
    <t>indikator (Output)</t>
  </si>
  <si>
    <t>Terlaksananya terib administrasi pengelolaan keuangan daerah</t>
  </si>
  <si>
    <t>Terkirimnya laporan keuangan pemerintah  kabupaten temanggung  dengan benar dan tepat waktu</t>
  </si>
  <si>
    <t>Pengelolaan barang milik daerah</t>
  </si>
  <si>
    <t>Tertibnya penatausahaan barang milik daerah</t>
  </si>
  <si>
    <t>Pembinaan pejabat pengurus barang</t>
  </si>
  <si>
    <t>Terlaksanannya pembinaan pejabat pengurus barang</t>
  </si>
  <si>
    <t>Penelusuran aset daerah</t>
  </si>
  <si>
    <t>terlaksanannya penelusuran aset di jajaran dinas pendidikan</t>
  </si>
  <si>
    <t>92, 68%</t>
  </si>
  <si>
    <t>Analisis kebutuhan dan inventaris barang milik daerah</t>
  </si>
  <si>
    <t>Terlaksananya inventarisasi barang milik daerah</t>
  </si>
  <si>
    <t>Pemanfaatan dan penghapusan barang milik daerah</t>
  </si>
  <si>
    <t>Terlaksananya penghapusan barang milik daerah yg sudah rusak berat serta melaksanakan pengemanan barang milik daerah dg cara memasang tanda kepemilikan aset</t>
  </si>
  <si>
    <t>Pemeliharaan Simbada</t>
  </si>
  <si>
    <t>Terpeliharanya program/sistim simbada</t>
  </si>
  <si>
    <t>Penyusutan barang milik daerah</t>
  </si>
  <si>
    <t>Terlaksananya penyusutan barang milik daerah</t>
  </si>
  <si>
    <t xml:space="preserve">Meningkatnya peran serta masyarakat dalam pelaksanaan ADD </t>
  </si>
  <si>
    <t>266 desa</t>
  </si>
  <si>
    <t>Tersedianya dana ADD</t>
  </si>
  <si>
    <t>Pengendalian Pelaksanaan Kegiatan (Pengendalian Program)</t>
  </si>
  <si>
    <t>Pelelangan barang/jasa secara elektronik</t>
  </si>
  <si>
    <t>99,06 %</t>
  </si>
  <si>
    <t xml:space="preserve"> Pelaksanaan LPSE</t>
  </si>
  <si>
    <t>Pelaksanaan Unit Layanan Pengadaan (ULP)</t>
  </si>
  <si>
    <t xml:space="preserve"> Peningkatan Sarana dan Prasarana LPSE</t>
  </si>
  <si>
    <t>Peningkatan SDM Pengelola ULP dan LPSE</t>
  </si>
  <si>
    <t>Fasilitasi Perencanaan Dana DAK, Tugas Pembantuan, dan bantuan dana dari pusat lainnya kepada Kabupaten</t>
  </si>
  <si>
    <t>Terselenggara nya kegiatan program Kerja Pengawasan Tahunan</t>
  </si>
  <si>
    <t>Terlaksananya pemeriksaan tepat waktu</t>
  </si>
  <si>
    <t>Terselenggara  kannya kegiat  an penyusunan LP2P dan LHKPN</t>
  </si>
  <si>
    <t xml:space="preserve">Terlaksananya pelaporan LHKPN dan LP2P untk PNS </t>
  </si>
  <si>
    <t>Terselenggara  kannya kegiat  an Bintek dan pembentukan Satgas SPIP</t>
  </si>
  <si>
    <t>Terlaksananya pemetaan  dan Satgas SKPD</t>
  </si>
  <si>
    <t>Terselenggara  kannya kegiat  an Gelar Pengawasan Daerah</t>
  </si>
  <si>
    <t>Terlaksananya tindak lanjut obyek pengawasan .</t>
  </si>
  <si>
    <t>Terlaksananya tindak lanjut obyek pengawasan.</t>
  </si>
  <si>
    <t>---</t>
  </si>
  <si>
    <t>Terselenggara  nya pengadaan Simwasda</t>
  </si>
  <si>
    <t>Tersedianya data base hasil pengawasan</t>
  </si>
  <si>
    <t>Terselenggara  kannya kegiatan Evaluasi LAKIP SKPD</t>
  </si>
  <si>
    <t>Terlaksananya evaluasi LAKIP SKPD</t>
  </si>
  <si>
    <t>Prosentase kapasitas sumber daya aparatur pengawas</t>
  </si>
  <si>
    <t>Terselenggara  kannya kegiat  an pendamping  an Review Laporan Keuangan</t>
  </si>
  <si>
    <t>Terlaksananya Review laporan Keuangan SKPD</t>
  </si>
  <si>
    <t>Terselenggara  kannya kegiat  an Pelatihan Kantor Sendiri</t>
  </si>
  <si>
    <t>Terlaksananya PKS bagi  Auditor</t>
  </si>
  <si>
    <t>Terselenggara nya penilaian angka kredit dan Sertifikasi JFA</t>
  </si>
  <si>
    <t>Terbitnya SK PAK dan sertifikasi JFA tepat waktu</t>
  </si>
  <si>
    <t>Terselenggara nya Kegiatan Penyusunan PKPT terhadap obyek pemeriksaan</t>
  </si>
  <si>
    <t>Terlaksananya kegiatan pemeriksaan yang profesional</t>
  </si>
  <si>
    <t>Terselenggara  kannya kegiat  an Penilaian Mandiri Pelaksanaan Reformasi Birokrasi</t>
  </si>
  <si>
    <t>Terpantaunya peningkatan kinerja instansi pemerintah</t>
  </si>
  <si>
    <t xml:space="preserve">Terfasilitasinya kerjasama antara Pemerintah Kabupaten Temanggung dengan daerah lain atau pihak ketiga sesui dengan peraturan perundangan yang berlaku </t>
  </si>
  <si>
    <t>Legislasi Rancangan Peraturan Perundang-undangan.</t>
  </si>
  <si>
    <t>20 RPD</t>
  </si>
  <si>
    <t>9 RPD</t>
  </si>
  <si>
    <t>15 RPD</t>
  </si>
  <si>
    <t>Fasilitasi Sosialisasi Peraturan Perundang-undangan.</t>
  </si>
  <si>
    <t>3 Kec</t>
  </si>
  <si>
    <t>5 Kec</t>
  </si>
  <si>
    <t>Kajian Peraturan Perundang-undangan Daerah Terhadap  Peraturan Perundang-undangan Yang Baru,Lebih Tinggi Dari Keserasian Antar Peraturan Perundang-undangan Daerah.</t>
  </si>
  <si>
    <t>10 Perda, 22 Perbup</t>
  </si>
  <si>
    <t>14 Perbup</t>
  </si>
  <si>
    <t>25 Perbup</t>
  </si>
  <si>
    <t>28 Perbup</t>
  </si>
  <si>
    <t>Dokumentasi dan Informasi Hukum.</t>
  </si>
  <si>
    <t>126 Buku</t>
  </si>
  <si>
    <t>270 Buku</t>
  </si>
  <si>
    <t>Pengelolaan SJDI Hukum dan Pembinaan di 20 Kecamatan.</t>
  </si>
  <si>
    <t>Peningkatan Kesadaran Hukum.</t>
  </si>
  <si>
    <t>0</t>
  </si>
  <si>
    <t>10 Orang</t>
  </si>
  <si>
    <t>Pelayanan Bantuan Hukum di Dalam dan di Luar Pengadilan.</t>
  </si>
  <si>
    <t>1 Kasus</t>
  </si>
  <si>
    <t>1 Kasus, 50 Kades</t>
  </si>
  <si>
    <t>1 Kasus, 66 Kades</t>
  </si>
  <si>
    <t>Rencana Aksi Nasional Hak Asasi Manusia.</t>
  </si>
  <si>
    <t>21 Kasus, 2 kali</t>
  </si>
  <si>
    <t>21 KS</t>
  </si>
  <si>
    <t>Bagian Hukum</t>
  </si>
  <si>
    <t>Dokumen Road Map reformasi birokrasi Pemkab Temanggung</t>
  </si>
  <si>
    <t>Dokumen Road Map reformasi birokrasi Pemkab Temanggung 2018-2022</t>
  </si>
  <si>
    <t>Dokumen Review Road Map Reformasi Birokrasi</t>
  </si>
  <si>
    <t>Data perkembangan pelaksanaan reformasi birokrasi di lingkungan Pemkab Temanggung</t>
  </si>
  <si>
    <t>Tersusunnya dokumen beban kerja masing-masing SKPD</t>
  </si>
  <si>
    <t>Tersusunnya buku evaluasi kelembagaan perangkat daerah</t>
  </si>
  <si>
    <t>Dokumen evaluasi jabatan</t>
  </si>
  <si>
    <t>Buku informasi kelembagaan</t>
  </si>
  <si>
    <t>Perbup Uraian tugas</t>
  </si>
  <si>
    <t>Tersusunnya Perda SOTK semua SKPD</t>
  </si>
  <si>
    <t>Tersusunnya Perbup Tugas Fungsi setiap SKPD</t>
  </si>
  <si>
    <t>Dokumen SOP AP</t>
  </si>
  <si>
    <t>SOP Pelayanan 8 UPP</t>
  </si>
  <si>
    <t>Dokumen SOP AP 32 SKPD</t>
  </si>
  <si>
    <t>Dokumen SOP AP Kecamatan, UPT, dan Kelurahan (119 unit)</t>
  </si>
  <si>
    <t>Dokumen SOP AP Satuan Pendidikan</t>
  </si>
  <si>
    <t>Dokumen Standar Pelayanan</t>
  </si>
  <si>
    <t xml:space="preserve">Dokumen Standar Pelayanan  17 SKPD                                      </t>
  </si>
  <si>
    <t xml:space="preserve">Dokumen Standar Pelayanan  Kecamatan dan Kelurahan (43)                             </t>
  </si>
  <si>
    <t xml:space="preserve">Dokumen Standar Pelayanan Satuan Pendidikan (150)                                   </t>
  </si>
  <si>
    <t xml:space="preserve">Dokumen Standar Pelayanan Satuan Pendidikan (178)                                   </t>
  </si>
  <si>
    <t>Data tindak lanjut IKM dan aduan masyarakat (83 SKPD/UPP)</t>
  </si>
  <si>
    <t>Tersosialisasinya UU No. 25 Th 2009 beserta petunjuk pelaksanaannya</t>
  </si>
  <si>
    <t>Peningkatan Pemahaman 645 SKPD/Unit Kerja terhadap UU No. 25 Tahun 2009</t>
  </si>
  <si>
    <t>Tersedianya Pedoman Penyelanggaraan Pelayanan Publik</t>
  </si>
  <si>
    <t>,-</t>
  </si>
  <si>
    <t>Terlaksananya partisipasi penilaian lomba kinerja pelayanan publik</t>
  </si>
  <si>
    <t>Tersusunnya Perbup kode etik pegawai Pemkab Temanggung</t>
  </si>
  <si>
    <t>Tersusunnya Perbup Budaya Kerja Pegawai Pemkab Temanggung</t>
  </si>
  <si>
    <t>Sosialisasi pengembangan Budaya Kerja dan Integritas Aparatur</t>
  </si>
  <si>
    <t>Buku standar indeks harga</t>
  </si>
  <si>
    <t>Buku standar indeks harga Th. 2014</t>
  </si>
  <si>
    <t>Buku standar indeks harga Th. 2015</t>
  </si>
  <si>
    <t>Buku standar indeks harga Th. 2016</t>
  </si>
  <si>
    <t>Buku standar indeks harga Th. 2017</t>
  </si>
  <si>
    <t>Buku standar indeks harga Th. 2018</t>
  </si>
  <si>
    <t>Buku standar indeks harga Th. 2019</t>
  </si>
  <si>
    <t>Data IKM</t>
  </si>
  <si>
    <t>Data IKM 27 SKPD</t>
  </si>
  <si>
    <t>Data IKM 56 SKPD</t>
  </si>
  <si>
    <t>Data IKM 150 Satuan Pendidikan</t>
  </si>
  <si>
    <t>Data IKM 177 Satuan Pendidikan</t>
  </si>
  <si>
    <t>Terkirimnya Peserta Diklat Prajabatan bagi CPNSD (orang)</t>
  </si>
  <si>
    <t>Terkirimnya  peserta kursus, pelatihan, sosialisasi, bimtek dan ujian dinas (orang)</t>
  </si>
  <si>
    <t>Terlaksananya pembekalan CPNS baru</t>
  </si>
  <si>
    <t>Terselenggaranya sosialisasi peraturan kepegawaian bagi Ka SKPD/pejabat pengelola kepegawaian (orang)</t>
  </si>
  <si>
    <t>Terlaksananya monev pada unit kerja/Satuan Pedidikan/SKPD</t>
  </si>
  <si>
    <t>Terlaksananya pembekalan bagi PNS pra Pensiun</t>
  </si>
  <si>
    <t>Terlaksananya bimtek dan ujian sertifikasi pengadaan barang dan jasa</t>
  </si>
  <si>
    <t>Terkirimnya PNS untuk mengikuti Diklatpim Tk. II, III dan IV (orang)</t>
  </si>
  <si>
    <t>Diberikannya surat/hukuman kepada PNS yang indisipliner sebagai bentuk pembinaan (orang)</t>
  </si>
  <si>
    <t>Terselesaikannya SK/Surat Ijin Perceraian PNS</t>
  </si>
  <si>
    <t>Diserahkannya tanda penghargaan Satyalancana Karya Satya (piagam)</t>
  </si>
  <si>
    <t>Diangkatnya CPNS baru</t>
  </si>
  <si>
    <t>Diserahkannya SK pengangkatan CPNS menjadi PNS</t>
  </si>
  <si>
    <t>Terlaksananya pengiriman peserta PCAP (orang)</t>
  </si>
  <si>
    <t>Terlaksananya QAP bagi pejabat eselon IV</t>
  </si>
  <si>
    <t>Tesusunnya Buku Formasi Pegawai (paket)</t>
  </si>
  <si>
    <t>diberikannya bantuan Tugas Belajar dan Ikatan Dinas (orang)</t>
  </si>
  <si>
    <t>Terbitnya SK Kenaikan Pangkat bagi PNS yang memenuhi syarat (orang)</t>
  </si>
  <si>
    <t>Diterbitkannya dan diserahkannya KARIS/KARSU, KARPEG, dan SK Pensiun (kartu/SK)</t>
  </si>
  <si>
    <t>entry data/update data PNS dan pengembangan aplikasi SIMPEG</t>
  </si>
  <si>
    <t>5258 record dan 3 aplikasi</t>
  </si>
  <si>
    <t>5000 record dan 1 aplikasi</t>
  </si>
  <si>
    <t>5000 record dan 1 aplikasi dan komputer anjungan</t>
  </si>
  <si>
    <t xml:space="preserve">Terlaksananya Pengambilan Sumpah, Pelantikan dan Penyerahan SK </t>
  </si>
  <si>
    <t>terbinanya administrasi kepegawaian di SKPD</t>
  </si>
  <si>
    <t>Mewujudkan Peningkatan Pertanian Moderen yang Berwawasan Lingkungan</t>
  </si>
  <si>
    <t>Mewujudkan Peningkatan Kehidupan Masyarakat Perdesaan dan Perkotaan yang Agamis, Berbudaya, dan Sejahtera</t>
  </si>
  <si>
    <t>Mewujudkan Peningkatan Infrastruktur Permukiman Perdesaan dan Perkotaan yang Layak dan Berwawasan Lingkungan</t>
  </si>
  <si>
    <t>Mewujudkan Peningkatan  Pendidikan yang Berkualitas tanpa Meninggalkan Kearifan Lokal</t>
  </si>
  <si>
    <t>Mewujudkan Peningkatan  Budaya Sehat dan Aksesibilitas Kesehatan Masyarakat</t>
  </si>
  <si>
    <t>Mewujudkan Peningkatan Pelaksanaan Pemerintahan yang Bersih, Transparan, Tidak KKN, dan Berorientasi pada Pelayanan Publik</t>
  </si>
  <si>
    <t>Terlaksananya  Rapat -rapat Koordinasi Dewan Ketahanan Pangan Kab.Temanggung</t>
  </si>
  <si>
    <t>1 kali rakor</t>
  </si>
  <si>
    <t>Terfasilitasinya kegiatan APBN-Desa Mandiri pangan</t>
  </si>
  <si>
    <t>8 desa</t>
  </si>
  <si>
    <t>Terlaksananya sosialisasi kegiatan</t>
  </si>
  <si>
    <t>14 klpk</t>
  </si>
  <si>
    <t>12 klpk</t>
  </si>
  <si>
    <t>8 klpk</t>
  </si>
  <si>
    <t>Terlaksananya monitoring pelaksanaan kegiatan</t>
  </si>
  <si>
    <t>8  klpk</t>
  </si>
  <si>
    <t>Tersalurnya bantuan hibah bagi kelompok lumbung :</t>
  </si>
  <si>
    <t>hibah bantuan pengisian lumbung</t>
  </si>
  <si>
    <t>5 klpk</t>
  </si>
  <si>
    <t>hibah fisik</t>
  </si>
  <si>
    <t>3 klpk</t>
  </si>
  <si>
    <t>Pengadaan beras cadangan pemerintah untuk mengisi gudang cadangan pangan pemerintah Kabupaten</t>
  </si>
  <si>
    <t>2,6 ton</t>
  </si>
  <si>
    <t>8.8 ton</t>
  </si>
  <si>
    <t>Terfasilitasinya kegiatan P2KP-APBN</t>
  </si>
  <si>
    <t>10 klpk</t>
  </si>
  <si>
    <t>20 klpk</t>
  </si>
  <si>
    <t>25 klpk</t>
  </si>
  <si>
    <t>28 klpk</t>
  </si>
  <si>
    <t>Tersalurnya peralatan pengolah pangan lokal,</t>
  </si>
  <si>
    <t>7 klpk</t>
  </si>
  <si>
    <t>Terlaksananya sosialisasi dan pelatihan pengolahan pangan lokal</t>
  </si>
  <si>
    <t>Terlaksananya pasar murah, expo dan pameran pangan lokal</t>
  </si>
  <si>
    <t>4 keg</t>
  </si>
  <si>
    <t>Terlaksananya kampanye/gerakan minum susu</t>
  </si>
  <si>
    <t>1750 org</t>
  </si>
  <si>
    <t>2000 org</t>
  </si>
  <si>
    <t>2250 org</t>
  </si>
  <si>
    <t>2500 org</t>
  </si>
  <si>
    <t>2750 org</t>
  </si>
  <si>
    <t>3000 org</t>
  </si>
  <si>
    <t>Terlaksananya lomba cipta menu B2SA  di tingkat provinsi</t>
  </si>
  <si>
    <t>terfasilitasinya penghitungan skor PPH</t>
  </si>
  <si>
    <t>Terlaksananya pendampingan kegiatan oleh PPL</t>
  </si>
  <si>
    <t>Terlaksananya monitoring dan pemantauan</t>
  </si>
  <si>
    <t>Tersalurnya bantuan hibah pengembangan konsumsi pangan B2SA</t>
  </si>
  <si>
    <t>Terlaksananya sosialisasi tentang keamanan pangan</t>
  </si>
  <si>
    <t xml:space="preserve">terlaksananya Rapat-Rapat Koordinasi </t>
  </si>
  <si>
    <t>tersedianya data hasil pantauan dan analisa keamanan pangan</t>
  </si>
  <si>
    <t>3  lokasi</t>
  </si>
  <si>
    <t>terlaksananya monev</t>
  </si>
  <si>
    <t>Tersalurnya bantuan pengembangan distribusi dan fasilitasi akses pangan</t>
  </si>
  <si>
    <t>Terfasilitasinya kegiatan LDPM-APBN</t>
  </si>
  <si>
    <t>Terlaksananya Rapat Koordinasi, pelaksanaan monitoring guna tersedianya data dasar ketahanan pangan, seperti ketersediaan pangan bulanan, hasil pantauan harga bulanan, pasokan pangan, , Kebutuhan pangan menjelang hari-hari besar, maupun data tahunan seperti peta FSVA, n peta akses pangan</t>
  </si>
  <si>
    <t>12 bulan</t>
  </si>
  <si>
    <t>Terfasilitasinya Pengajuan Kredit Ketahanan Pangan dan Energi dari perbankan bagi kelompok Tani/Gapoktan</t>
  </si>
  <si>
    <t>Terselenggaranya Pendataan Awal, Pembinaan , Evaluasi Desa Binaan</t>
  </si>
  <si>
    <t xml:space="preserve">24 desa/kel lokasi desa binaan;1 ds P2MBG;Pelatihan Lembaga Pemasyarakatan LPMD 289 org dan bintek P3MD sejumlah 72 org;            </t>
  </si>
  <si>
    <t xml:space="preserve">23 desa/kel lokasi desa binaan;1 ds P2MBG;Pelatihan Lembaga Pemasyarakatan LPMD 289 org dan bintek P3MD sejumlah 72 org;            </t>
  </si>
  <si>
    <t>Tersalurkannya Bantuan penyelenggaraan desa/kel binaan</t>
  </si>
  <si>
    <t xml:space="preserve"> 20 ds,3 kec,3 kel 1 ds P2MBG</t>
  </si>
  <si>
    <t>Terselenggaranya kegiatan lomba desa</t>
  </si>
  <si>
    <t>6 ds,3 kel</t>
  </si>
  <si>
    <t xml:space="preserve">Terwujudnya RKPDesa </t>
  </si>
  <si>
    <t xml:space="preserve">Terwujudnya Peraturan Desa tentang RPJMDesa </t>
  </si>
  <si>
    <t>Tersedianya data/ Informasi dokumen perencanaan desa yang tepat dan benar serta yang partisipatif</t>
  </si>
  <si>
    <t>Terlaksananya kegiatan bantuan Gubernur kepada Desa berbasis pemberdayaan masyarakat</t>
  </si>
  <si>
    <t>10 desa</t>
  </si>
  <si>
    <t xml:space="preserve">Terselenggaranya pelatihan/bintek Sistem Informasi Posyandu dan strata posyandu </t>
  </si>
  <si>
    <t>289 desa/kel sarpras,LPMD,Posyandu dan PAUD</t>
  </si>
  <si>
    <t xml:space="preserve">Terselenggaranya bintek petugas PMT-AS dan Bantuan PMTAS </t>
  </si>
  <si>
    <t xml:space="preserve"> Bintek petugas PMT-AS sejumlah 52 orang; Tersalurnya Bantuan PMTAS sejumlah 2.500 siswa SD/MI</t>
  </si>
  <si>
    <t xml:space="preserve"> Bintek petugas PMT-AS sejumlah 60 orang; Tersalurnya Bantuan PMTAS sejumlah 3.000siswa SD/MI</t>
  </si>
  <si>
    <t>Terselenggaranya pencanangan BBGRM tingkat Kabupaten</t>
  </si>
  <si>
    <t>Terwujudnya Lembaga ekonomi Desa yang Aktif</t>
  </si>
  <si>
    <t>4 BUMdes;23 pasar desa;4 UEDSP;2 lumbung</t>
  </si>
  <si>
    <t>2 BUMdes;5 pasar desa;4 UEDSP;2 lumbung</t>
  </si>
  <si>
    <t>2 BUMdes;4 pasar desa;4 UEDSP;2 lumbung</t>
  </si>
  <si>
    <t>Tersedianya Dana Untuk Pengembangan Usaha</t>
  </si>
  <si>
    <t>12 klp (dana 115.000.000)untuk 9 klp; 1 peralatan kerja 1 klp</t>
  </si>
  <si>
    <t>10 klp (dana 120.000.000) dan Peralatan kerja utk 2 klp</t>
  </si>
  <si>
    <t>Terwujudnya peran LPMD dalam perencanaan dan pelaksanaan pembangunan desa</t>
  </si>
  <si>
    <t>266 orang</t>
  </si>
  <si>
    <t>Terselenggaranya bintek aplikasi pelestarian adat istiadat dan pendataan</t>
  </si>
  <si>
    <t>80 org dan 38 lokasi</t>
  </si>
  <si>
    <t>20 kec ;20 lokasi</t>
  </si>
  <si>
    <t>20 kec ;40 lokasi</t>
  </si>
  <si>
    <t>Terselenggaranya Pelatihan bagi Guru PAUD/TK/Kelompok bermain</t>
  </si>
  <si>
    <t>134 org</t>
  </si>
  <si>
    <t>140 org</t>
  </si>
  <si>
    <t>Terlaksananya penyusunan pedoman pembentukan Lembaga Kemasyarakatan</t>
  </si>
  <si>
    <t>289 ds/kel</t>
  </si>
  <si>
    <t>Terselenggaranya fasilitasi dan bantuan kepada pokmas</t>
  </si>
  <si>
    <t>8 pokmas</t>
  </si>
  <si>
    <t>23 pomas</t>
  </si>
  <si>
    <t xml:space="preserve">Tersalurkannya bantuan pendampingan posyantek  </t>
  </si>
  <si>
    <t>1 kec</t>
  </si>
  <si>
    <t>Tersalurkannya bantuan pemugaran perumahan</t>
  </si>
  <si>
    <t>150 unit</t>
  </si>
  <si>
    <t>310 unit</t>
  </si>
  <si>
    <t>325 unit</t>
  </si>
  <si>
    <t>Terlaksananya kegiatan TMMD sengkuyung I dan II</t>
  </si>
  <si>
    <t>Terlaksananya Kegiatan Karya Bhakti Kodim 0706 Temanggung</t>
  </si>
  <si>
    <t>Terlaksananya Fasilitasi Organisasi masyarakat Perdesaan</t>
  </si>
  <si>
    <t>57 lokasi</t>
  </si>
  <si>
    <t>41 lokasi</t>
  </si>
  <si>
    <t>70 lokasi</t>
  </si>
  <si>
    <t>Tertanganinya prosentase Jumlah Rumah Tangga Miskin</t>
  </si>
  <si>
    <t xml:space="preserve">Terselenggraanya tahapan kegiatan PNPM </t>
  </si>
  <si>
    <t>266 desa di 20 kec</t>
  </si>
  <si>
    <t>Tersedianya data profil desa dan kelurahan berbasis web</t>
  </si>
  <si>
    <t>289 desa/ kel</t>
  </si>
  <si>
    <t>Tersedianya dana bantuan keuangan kepada desa untuk penyusunan profil desa/ kelurahan</t>
  </si>
  <si>
    <t>100 desa/ kel</t>
  </si>
  <si>
    <t>5 macam lomba :        1. Lb. Perpus. Ds;              2. Lb. Lukis utk keluarga             3. Lb. Bercerita SD;        4. Lb. Karya Tulis SLTP;                 5. Lb. Penyuluhan Mnt Baca SLTA</t>
  </si>
  <si>
    <t>4 macam lomba : 1. Lb. Perpus. Ds; 2. Lb. Bercerita SD; 3. Lb. Mading SLTP; 4. Lb. Menyanyi SMA</t>
  </si>
  <si>
    <t>5 macam lomba :        1. Lb. Perpus. Ds;              2. Lb. Menggambar Tk. TK           3. Lb. Bercerita SD;        4. Lb. Macapat Tk.SLTP;                 5. Lb. Recycle Creativa Tk. SLTA</t>
  </si>
  <si>
    <t>5 macam lomba :        1. Lb. Perpus. Ds;              2. Lb. Senam Tk. Dharmawanita Kecamatan             3. Lb. Bercerita SD;        4. Lb. Sinopsis Tk SLTP;                 5. Lb. Band Tk.SLTA</t>
  </si>
  <si>
    <t>5 macam lomba :        1. Lb. Perpus. Ds;              2. Lb. Drumband Tk. Tk            3. Lb. Bercerita SD;        4. Lb. Menyanyi Tk. SLTP;                 5. Lb. Mading Tk.SLTA</t>
  </si>
  <si>
    <t>5 macam lomba :        1. Lb. Perpus. Ds;              2. Lb. Kreasi Bento Tk. Umum           3. Lb. Bercerita SD;        4. Lb. Pidato Bhs. Inggris Tk. SLTP;                 5. Lb. Poster Tk. SLTA</t>
  </si>
  <si>
    <t>5 macam lomba :        1. Lb. Perpus. Ds;              2. Lb. Merangkai Bunga Tk. Umum          3. Lb. Bercerita SD;        4. Lb. Menyanyi Tk. SLTP;                 5. Lb. Band Tk. SLTA</t>
  </si>
  <si>
    <t>24 desa, 20 SD, 10 SLTP, 5 SLTA; 5 PonPes; 5 SKPD</t>
  </si>
  <si>
    <t>12 desa, 10 SD, 5 SLTP, 5 SLTA; 3 PonPes</t>
  </si>
  <si>
    <t>15 desa, 10 SD, 5 SLTP, 5 SLTA; 5 PonPes dan Masjid</t>
  </si>
  <si>
    <t>Terlaksananya penilaian angka kredit 1 kali penilaian</t>
  </si>
  <si>
    <t>Terlaksananya penilaian angka kredit 2 kali penilaian</t>
  </si>
  <si>
    <t>Bintek, Pameran Buku dan Iklan Radio</t>
  </si>
  <si>
    <t>3 x 4minggu x 12 bln x 2 unit; bertambahnya koleksi</t>
  </si>
  <si>
    <t>Piket layanan perpustakaan, terlayaninya pengunjung perpustakaan 150 org/hari</t>
  </si>
  <si>
    <t>Piket layanan perpustakaan, terlayaninya pengunjung perpustakaan 250 org/hari</t>
  </si>
  <si>
    <t>Bahan Pustaka 2.000 eksemplar</t>
  </si>
  <si>
    <t>Bertambahnya koleksi bahan pustaka 2.500 eks; 3 unit CCTV; 1 paket Alt Peraga; 1 Unit Meja Layanan; 3 unit rak buku</t>
  </si>
  <si>
    <t>Bertambahnya koleksi bahan pustaka 2.500 eks; 3 unit CCTV; 1 paket mj informasi,  3 unit rak buku; 1 unit almari audio visual</t>
  </si>
  <si>
    <t>Bertambahnya koleksi bahan pustaka 4.000 eks; 1 paket Permainan Anak; 4 unit rak buku; 2 almari terbitan berkala besar</t>
  </si>
  <si>
    <t xml:space="preserve">Bertambahnya koleksi bahan pustaka 4.500 eks; 4 unit meja layanan WIFI; 1 Unit Kamera </t>
  </si>
  <si>
    <t>Bertambahnya koleksi bahan pustaka 5.000 eks; 3 Unit Komputer; 2 Unit Printer; 20 UPS</t>
  </si>
  <si>
    <t>terolahnya bahan pustaka lama sejumlah 6.000 eks.</t>
  </si>
  <si>
    <t>terolahnya bahan pustaka lama sejumlah 9.000 eks.</t>
  </si>
  <si>
    <t>terolahnya bahan pustaka lama sejumlah 6.000 eks.  Dan terawatnya 24 komputer</t>
  </si>
  <si>
    <t>Pengelolaan  dan pelayanan arsip Pemerintah Kabupaten Temanggung</t>
  </si>
  <si>
    <t xml:space="preserve"> 4000 berkas arsip inaktif,terwujudnya fumigasi,70 orang</t>
  </si>
  <si>
    <t xml:space="preserve"> 5000 berkas arsip inaktif,terwujudnya fumigasi70 orang</t>
  </si>
  <si>
    <t>5000 berkas arsip inaktif, 37 org kaur umum ,lomba arsip desa</t>
  </si>
  <si>
    <t>5000 berkas arsip inaktif, 57 org petugas pengelola arsip SKPD ,lomba arsip desa</t>
  </si>
  <si>
    <t>tersedianya I UPS,Rak papan pameran 4 unit Tas Handycam,memory card 32 6 unit batery handycam</t>
  </si>
  <si>
    <t>terlaksananya pengadaan I UPS,Rak papan pameran 4 unit Tas Handycam,memory card 32 6 unit batery handycam</t>
  </si>
  <si>
    <t>1 bh gerobak,I unit LCD,I unit komputer,I unit printer,1 bh meja komputer,rak buku,kaligrafi,lukisan,frame</t>
  </si>
  <si>
    <t>Almari audiovisual 1 unit, Vertical pan 1 unit</t>
  </si>
  <si>
    <t>Almari foto 1 unit, almari film 1 unit, 1 unit rool opeck</t>
  </si>
  <si>
    <t>Almari kaset 1 unit, almari buku kliping 1 unit</t>
  </si>
  <si>
    <t>Kamera 1 unit,almari buku kliping 1 unit, I unit roolpeck</t>
  </si>
  <si>
    <t xml:space="preserve">TV LCD ( pameran Dokumentasi),almari buku 2 unit </t>
  </si>
  <si>
    <t>Pemeliharaan roll o-pact</t>
  </si>
  <si>
    <t>11 roll o-pact</t>
  </si>
  <si>
    <t>Pemerataan Akses Informasi dan informasi kepada masyarakat</t>
  </si>
  <si>
    <t>24 keg</t>
  </si>
  <si>
    <t>48 keg</t>
  </si>
  <si>
    <t>60 keg</t>
  </si>
  <si>
    <t>72 keg</t>
  </si>
  <si>
    <t>84 keg</t>
  </si>
  <si>
    <t>Pemahaman masyarakat akan internet sehat dan aman</t>
  </si>
  <si>
    <t>2 keg, 200 peserta</t>
  </si>
  <si>
    <t>4 keg, 400 peserta</t>
  </si>
  <si>
    <t>6 keg, 600 peserta</t>
  </si>
  <si>
    <t>8 keg, 800 peserta</t>
  </si>
  <si>
    <t>Peningkatan penguasaan TIK oleh masyarakat</t>
  </si>
  <si>
    <t>1 keg, 50 peserta</t>
  </si>
  <si>
    <t>Terpenuhinya layanan informasi publik kepada masyarakat serta pembuatan dan pengelolaan website PPID</t>
  </si>
  <si>
    <t>Peningkatan kemampuan SDM bidang kominfo melalui kegiatan Bimtek dari Pemerintah Pusat, Provinsi maupun Lokal</t>
  </si>
  <si>
    <t>20 ok</t>
  </si>
  <si>
    <t>Terwujudnya desa pinter Kabupaten Temanggung</t>
  </si>
  <si>
    <t>20 desa</t>
  </si>
  <si>
    <t>tercapainya lembaga bidang kominfo yg bermartabat, diseminasi informasi mll LKM</t>
  </si>
  <si>
    <t>4 lmbaga kominfo</t>
  </si>
  <si>
    <t>5 lkm</t>
  </si>
  <si>
    <t>10 lkm</t>
  </si>
  <si>
    <t>15 lkm</t>
  </si>
  <si>
    <t>20 lkm</t>
  </si>
  <si>
    <t>peningkatan inovasi TIK oleh masyarakar</t>
  </si>
  <si>
    <t>diseminasi informasi kepada masyarakat</t>
  </si>
  <si>
    <t>3 keg</t>
  </si>
  <si>
    <t>6 keg</t>
  </si>
  <si>
    <t>pengembangan fungsi alat studio kominfo sebagai sarana pengembangan sumber daya manusia dalam bidang TIK</t>
  </si>
  <si>
    <t>Pemeliharaan perangkat ruang studio pelayanan interkoneksi lingkungan SKPD dukungan pelayanan informasi publik sarana prasarna pendukung kegiatan kominfo dan SKPD</t>
  </si>
  <si>
    <t>pembinaan lembaga penyiaran &amp; masyarakat pemantau siaran, lembaga penyiaran yang bermartabat</t>
  </si>
  <si>
    <t>penambahan perangkat studio koinfo</t>
  </si>
  <si>
    <t>terpenuhinya perangkat pusat komunitas kreatif sebagai media pelatihan TIK untuk LKM dan UMKM</t>
  </si>
  <si>
    <t>terpeliharanya IT Learning center dan terlaksananya pelatihan komputer</t>
  </si>
  <si>
    <t>terpeliharanya Pusat Komunitas Kreatif dan terlaksananya pelatihan komputer bagi pelaku LKM dan UMKM</t>
  </si>
  <si>
    <t>Terpenuhinya permohonan rekomendasi bidang kominfo dan terbentuk satu lokasi percontohan untuk desa pinter menuju desa informasi</t>
  </si>
  <si>
    <t>Terlaksananya pengawasan dan pengendalian menara telekomunikasi dengan lancar</t>
  </si>
  <si>
    <t>Terlaksananya pengawasan dan pengendalian Internet / Warung Internet dengan lancar</t>
  </si>
  <si>
    <t>Terlaksananya pengawasan dan pengendalian Jasa Titipan/Pos dengan lancar</t>
  </si>
  <si>
    <t>Terciptanya Peraturan Bupati yang mengatur Jasa Layanan Pos dan Jasa Titipan</t>
  </si>
  <si>
    <t>Tersedianya cellplan menara telekomunikasi terbaru yang sinkron dengan perencanaan seluler para penyedia jasa telekomunikasi</t>
  </si>
  <si>
    <t>Terciptanya Peraturan Bupati yang mengatur penggunaan cell terbaru</t>
  </si>
  <si>
    <t>Tersedianya data terkini yang tersusun secara rapi dan langsung dapat dilaporkan</t>
  </si>
  <si>
    <t>meningkatnya jumlah dan kualitas masyarakat dalam bidang IT melalui pelatihan IT kepada masyarakat umum</t>
  </si>
  <si>
    <t>150 org</t>
  </si>
  <si>
    <t>175 org</t>
  </si>
  <si>
    <t>200 org</t>
  </si>
  <si>
    <t>225 org</t>
  </si>
  <si>
    <t>Tersedianya informasi kegiatan pemerintah daerah</t>
  </si>
  <si>
    <t>100.000.000</t>
  </si>
  <si>
    <t>tersedianya informasi khusus pembangunan lewat media</t>
  </si>
  <si>
    <t>tersedianya informasi melalui cetak majalah Gema Bhumi Phala</t>
  </si>
  <si>
    <t xml:space="preserve">tercukupinya sarana prasarana  informasi pelayanan publik </t>
  </si>
  <si>
    <t>tersedianya informasi melalui penayangan videotron</t>
  </si>
  <si>
    <t>25.000.000</t>
  </si>
  <si>
    <t>30.000.000</t>
  </si>
  <si>
    <t>tersedianya informasi melalui www.temanggungkab.go.id</t>
  </si>
  <si>
    <t>terselenggaranya siaran LPPL radio "eRTe FM"</t>
  </si>
  <si>
    <t>tersedianya buku dan video profil daerah</t>
  </si>
  <si>
    <t>tersedianya buku perjalanan bupati Temanggung 2013-2018</t>
  </si>
  <si>
    <t>terselenggaranya siaran LPPL Televisi Temanggung</t>
  </si>
  <si>
    <t>1.500.000.000</t>
  </si>
  <si>
    <t>terselengaranya kegiatan kehumasan</t>
  </si>
  <si>
    <t>74.999.970</t>
  </si>
  <si>
    <t>Terselenggaranya pengelolaan jaringan komunikasi pemerintah Kabupaten Temanggung</t>
  </si>
  <si>
    <t>Tersedianya sewa akses bandwidth LPSE  dan Online SKPD (E-Government)</t>
  </si>
  <si>
    <t>9 MBPS</t>
  </si>
  <si>
    <t>10 MBPS</t>
  </si>
  <si>
    <t>10 MBPS (LPSE)      21MBPS (E-Government)</t>
  </si>
  <si>
    <t>Terlaksananya migrasi perangkat lunak legal SKPD Kabupaten Temanggung  dan terbentuknya Tim Koordinasi  serta Dewan Teknologi Informasi</t>
  </si>
  <si>
    <t>50 SKPD</t>
  </si>
  <si>
    <t>21 SKPD</t>
  </si>
  <si>
    <t>1 Tim kordinasi dan Dewan IT</t>
  </si>
  <si>
    <t>Tersedianya SDM berbasis teknologi yang berdaya guna</t>
  </si>
  <si>
    <t>6 Operator</t>
  </si>
  <si>
    <t>Terlaksananya pemanfaatan teknologi informasi di SKPD Kabupaten Temanggung</t>
  </si>
  <si>
    <t>71 SKPD</t>
  </si>
  <si>
    <t xml:space="preserve">Terwujudnya kelancaran arus komunikasi dan informasi serta terjaminnya keamanan dan kerahasiaan informasi pimpinan daerah Kabupaten Temanggung </t>
  </si>
  <si>
    <t>100%                    5 unit Mesin Fax</t>
  </si>
  <si>
    <t xml:space="preserve">Tersedianya pusat jaringan komunikasi  online Se SKPD Kabupaten Temanggung </t>
  </si>
  <si>
    <t>1 Paket Peralatan Jaringan</t>
  </si>
  <si>
    <t>1 Tower Komunikasi    1 Mainserver                    1 Paket Peralatan Jaringan                     1 Unit Aplikasi Jaringan</t>
  </si>
  <si>
    <t>2 Server data centre               1 Firewall</t>
  </si>
  <si>
    <t>20 Paket Peralatan Jaringan online Kelurahan'</t>
  </si>
  <si>
    <t>69 Paket Peralatan Jaringan online Kelurahan'</t>
  </si>
  <si>
    <t>100 Paket Peralatan Jaringan online Kelurahan'</t>
  </si>
  <si>
    <t>Terlaksananya pengadaan sarpras pengolah data elektronik 1 unit komputer server dan 2 unit komputer</t>
  </si>
  <si>
    <t>3 unit sapras PDE</t>
  </si>
  <si>
    <t>Terwujudnya data base sistem informasi pemerintahan (SKPD)</t>
  </si>
  <si>
    <t>35 SKPD</t>
  </si>
  <si>
    <t xml:space="preserve">Terpeliharanya peralatan telekomunikasi, alat pengolah data elektronik dan jaringan komunikasi </t>
  </si>
  <si>
    <t>100% pemeliharaan peralatan jaringan seluruh SKPD yang telah terpasang se Kab. Temanggung</t>
  </si>
  <si>
    <t xml:space="preserve">Terpantauan pelaksanaan implementasi E-Government </t>
  </si>
  <si>
    <t>15 000000</t>
  </si>
  <si>
    <t>terselenggaranya pembinaan wasbang di kab. Tmg</t>
  </si>
  <si>
    <t>5 Ds</t>
  </si>
  <si>
    <t>8 Ds</t>
  </si>
  <si>
    <t>10 Ds</t>
  </si>
  <si>
    <t>terselengaranya seminar punyluhan tentang revitaslisai dan aktuallisasi nilai ninali pancasila kepsa Toga, Tomas, Toda dan Ormas</t>
  </si>
  <si>
    <t>7 kgt</t>
  </si>
  <si>
    <t>melakukan pemantauan dan cek dokumen terhadap kegiatan oreang asing di wil Tmg</t>
  </si>
  <si>
    <t>6 kgt</t>
  </si>
  <si>
    <t>Terselenggaranya bhakti sosil FPBI di desa</t>
  </si>
  <si>
    <t>1 Ds</t>
  </si>
  <si>
    <t>2 Ds</t>
  </si>
  <si>
    <t>Monitoring dan evaluasi seni budaya dan agama di kab.Temanggung</t>
  </si>
  <si>
    <t>Kab. Tmg ( 12 bln )</t>
  </si>
  <si>
    <t>Kab. Tmg</t>
  </si>
  <si>
    <t>kab. Tmg</t>
  </si>
  <si>
    <t xml:space="preserve">terselenggaranya sosialisasi dan monitoring SKB 3 Menteri </t>
  </si>
  <si>
    <t>4 kec</t>
  </si>
  <si>
    <t>5 kec</t>
  </si>
  <si>
    <t>terfasilitasinya dan terbinanya kerukunan hidup antar umat bergama dan penghayat aliran kpercayaan kepada Tuhan YME</t>
  </si>
  <si>
    <t>4 Kgt</t>
  </si>
  <si>
    <t>2 kgt</t>
  </si>
  <si>
    <t>3 kgt</t>
  </si>
  <si>
    <t>5 kgt</t>
  </si>
  <si>
    <t>memberikan informasi kepada masyarakat melalui penyuluhan di Desa</t>
  </si>
  <si>
    <t>3 Ds</t>
  </si>
  <si>
    <t>3Ds</t>
  </si>
  <si>
    <t>terfasilitasinya pengumpulan dan analisa data intelejen daerah dan operasional satgas kominda</t>
  </si>
  <si>
    <t>terlaksananya monitoring dan penyelenggaraan rapat</t>
  </si>
  <si>
    <t>terciptanya situasi aman dan kondosif di kab. Tmg</t>
  </si>
  <si>
    <t>30 ormas</t>
  </si>
  <si>
    <t>meningkatnya pemahaman ormas, lsm, OKP, dan tokoh masarakat di bidang politik</t>
  </si>
  <si>
    <t>25 ormas</t>
  </si>
  <si>
    <t>dialog interaktir bersama muspida dan monitoring situasi wilayah</t>
  </si>
  <si>
    <t>Tersalurnya dana bantuan partai politik yang mendapatkan kursi di DPRD Kab.Temanggung</t>
  </si>
  <si>
    <t>10 Partai</t>
  </si>
  <si>
    <t>10 partai</t>
  </si>
  <si>
    <t>Belanja Hibah Bantuan Keamanan Pemilu Legislatif dan Pemilu Presiden dan Wakil Presiden 2014 kepada Polres</t>
  </si>
  <si>
    <t>Belanja Hibah Bantuan Keamanan Pemilu Legislatif dan Pemilu Presiden dan Wakil Presiden 2014 kepada Kodim</t>
  </si>
  <si>
    <t>Terlaksananya penertiban pedagang kaki lima</t>
  </si>
  <si>
    <t>94.1 %</t>
  </si>
  <si>
    <t>6 kec</t>
  </si>
  <si>
    <t>7 kec</t>
  </si>
  <si>
    <t>Terlaksananya penegakan perda dan yustisi</t>
  </si>
  <si>
    <t>81.1 %</t>
  </si>
  <si>
    <t>Terciptanya kesadaran dan kepatuhan hukum masyarakat</t>
  </si>
  <si>
    <t>6 dapil</t>
  </si>
  <si>
    <t>Terlaksananya penertiban pelajar</t>
  </si>
  <si>
    <t>Terlaksananya patroli ketertiban umum dan ketentraman masyarakat</t>
  </si>
  <si>
    <t>1 x patroli tiap bulan per kec</t>
  </si>
  <si>
    <t>Terlaksananya patroli terpadu koordinasi keamanan daerah</t>
  </si>
  <si>
    <t>96.3 %</t>
  </si>
  <si>
    <t>8 kec</t>
  </si>
  <si>
    <t>10 kec</t>
  </si>
  <si>
    <t>12 kec</t>
  </si>
  <si>
    <t>14 kec</t>
  </si>
  <si>
    <t>16 kec</t>
  </si>
  <si>
    <t>Terselenggaranya pengamanan dan pengawalan protokoler</t>
  </si>
  <si>
    <t>98.3 %</t>
  </si>
  <si>
    <t>20 kec</t>
  </si>
  <si>
    <t>Terselenggaranya kerjasama dengan aparat keamanan dalam teknik pencegahan kejahatan</t>
  </si>
  <si>
    <t>1 rakor</t>
  </si>
  <si>
    <t>Terlaksananya pelaksanaan upacara kenegaraan yang khidmat</t>
  </si>
  <si>
    <t>96.4 %</t>
  </si>
  <si>
    <t>20 lat 7 pentas upacara</t>
  </si>
  <si>
    <t>24 lat 7 pentas upacara</t>
  </si>
  <si>
    <t>Cakupan rasio petugas perlindungan masyarakat di kabupaten</t>
  </si>
  <si>
    <t>99.8 %</t>
  </si>
  <si>
    <t>1 orang setiap RT</t>
  </si>
  <si>
    <t>Tercukupinya pakaian Linmas desa/Kelurahan</t>
  </si>
  <si>
    <t>200 stel</t>
  </si>
  <si>
    <t>Terselenggaranya Diklat SAR anggota Linmas</t>
  </si>
  <si>
    <t>Terlaksananya Pengamanan Pemilu Kepala Dearah</t>
  </si>
  <si>
    <t>Terlaksananya Pengamanan Pemilu Legislatif</t>
  </si>
  <si>
    <t>Terlaksananya Pengamanan Pemilu Presiden dan Wakil Presiden</t>
  </si>
  <si>
    <t>Terlaksananya penertiban galian golongan C</t>
  </si>
  <si>
    <t>Meningkatnya disiplin dan kualitas Satpol PP</t>
  </si>
  <si>
    <t>99.7 %</t>
  </si>
  <si>
    <t>40 org</t>
  </si>
  <si>
    <t>46 org</t>
  </si>
  <si>
    <t>80.1 %</t>
  </si>
  <si>
    <t>1 org</t>
  </si>
  <si>
    <t>Terlaksananya pemberantasan barang kena cukai ilegal</t>
  </si>
  <si>
    <t>13 kec</t>
  </si>
  <si>
    <t>15 kec</t>
  </si>
  <si>
    <t>18 kec</t>
  </si>
  <si>
    <t>Jumlah tanah desa yang diidentifikasi</t>
  </si>
  <si>
    <t>Jumlah tanah untuk tukar guling dan alih fungsi yang diselesaikan</t>
  </si>
  <si>
    <t>10 bidang</t>
  </si>
  <si>
    <t>5 bidang</t>
  </si>
  <si>
    <t>60 Desa</t>
  </si>
  <si>
    <t>80 Desa</t>
  </si>
  <si>
    <t>100 Desa</t>
  </si>
  <si>
    <t>2  Kekosongan Desa</t>
  </si>
  <si>
    <t>2 24 Kekosongan Desa</t>
  </si>
  <si>
    <t>21Kekosongan kades</t>
  </si>
  <si>
    <t>10  Kekosongan kades</t>
  </si>
  <si>
    <t>3 Kekosongan Kades</t>
  </si>
  <si>
    <t>6 kosongan kades</t>
  </si>
  <si>
    <t>2 Kekosongan kades</t>
  </si>
  <si>
    <t>56 orang</t>
  </si>
  <si>
    <t>80 orang</t>
  </si>
  <si>
    <t>75 orang</t>
  </si>
  <si>
    <t>69 orang</t>
  </si>
  <si>
    <t>75 0rang</t>
  </si>
  <si>
    <t>Presentase desa yang dibina dalam keuangan dan aset desa</t>
  </si>
  <si>
    <t>226 Desa</t>
  </si>
  <si>
    <t>266  Desa</t>
  </si>
  <si>
    <t>20 desa dan 20 Kec</t>
  </si>
  <si>
    <t>Meningkatnya sarana dan prasarana bidang pertanian</t>
  </si>
  <si>
    <t>11 paket JUT; 17 paket JIDES; 1 paket pemulihan lahan; 4 unit BP3K; 1 unit rehab lumbung pangan</t>
  </si>
  <si>
    <t xml:space="preserve">*Terlaksananya pembangunan jalan usaha tani  **Terlaksananya perbaikan irigasi  ***Terlaksananya Pembangunan Gedung BP3K ****Terlaksananya pembangunan pagar keliling BP3K dan Gudang Pangan *****Tersedianya pompa air </t>
  </si>
  <si>
    <t>*Terlaksananya pembangunan jalan usaha tani  **Terlaksananya perbaikan irigasi  ***Terlaksananya pembangunan pagar keliling BP3K ****Tersedianya pompa air ***** Tersedianya sarpras untuk penyuluhan</t>
  </si>
  <si>
    <t xml:space="preserve">*Terlaksananya pembangunan jalan usaha tani  **Terlaksananya perbaikan irigasi  ***Terlaksananya pembangunan pagar keliling BP3K ****Tersedianya alsintan </t>
  </si>
  <si>
    <t xml:space="preserve">Meningkatnya sarana dan prasarana bidang pertanian </t>
  </si>
  <si>
    <t xml:space="preserve">*Terlaksananya pembangunan jalan usaha tani  **Terlaksananya perbaikan irigasi  ***Terlaksananya pembangunan gedung BP3K ****Terlaksananya pembangunan pagar keliling BP3K dan gudang pangan *****Tersedianya pompa air </t>
  </si>
  <si>
    <t>*Terlaksananya pembangunan jalan usaha tani  **Terlaksananya perbaikan irigasi  ***Terlaksananya pembangunan pagar keliling BP3K ****Tersedianya pompa air *****Tersedianya sarpras untuk penyuluhan</t>
  </si>
  <si>
    <t>*Terlaksananya pembangunan jalan usaha tani  **Terlaksananya perbaikan irigasi  ***Terlaksananya pembangunan pagar keliling BP3K ****Tersedianya alsintan pertanian</t>
  </si>
  <si>
    <t xml:space="preserve">Peningkatan ketrampilan petani dalam pengelolaan tanaman padi </t>
  </si>
  <si>
    <t>*100 orang   **1 paket</t>
  </si>
  <si>
    <t xml:space="preserve">*Terlaksananya sekolah lapang petani padi **Tersedianya bantuan benih padi, pupuk dan pestisida  ***Tersedianya bantuan handsprayer  ****Tersedianya bantuan pompa air  </t>
  </si>
  <si>
    <t>*Terlaksananya sekolah lapang petani padi untuk luasan 100 Ha **Bantuan benih padi, pupuk dan pestisida 1 paket  ***Bantuan alsintan 1 paket</t>
  </si>
  <si>
    <t>*Terlaksananya sekolah lapang petani padi untuk luasan 150 Ha **Bantuan benih padi, pupuk dan pestisida 1 paket  ***Bantuan alsintan 1 paket</t>
  </si>
  <si>
    <t>Meningkatkan ketersediaan komoditas unggulan untuk memenuhi ekspor</t>
  </si>
  <si>
    <t>SL GAP Komoditas Unggulan (hortikultura, biofarmaka dan forikultur) di kelompok tani embrio seluas 10 Ha</t>
  </si>
  <si>
    <t>SL GAP Komoditas Unggulan (hortikultura, biofarmaka dan forikultur) di kelompok tani embrio 10 Ha</t>
  </si>
  <si>
    <t xml:space="preserve">Meningkatnya jumlah alat mesin pertanian </t>
  </si>
  <si>
    <t>Terlaksananya pengadaan alsintan</t>
  </si>
  <si>
    <t>Terlaksananya pengadaan alsintan 146 unit</t>
  </si>
  <si>
    <t>Terlaksananya pengadaan alsintan 145 unit</t>
  </si>
  <si>
    <t>Terlaksananya pengadaan alsintan 140 unit</t>
  </si>
  <si>
    <t>Peningkatan ketrampilan petani dalam pengelolaan tanaman padi organik</t>
  </si>
  <si>
    <t>Pelatihan petani 60 org; studi banding 1 keg; benih padi 2.500 kg; pupuk organik, PPC, pestisida nabati dan agensia hayati 1 paket</t>
  </si>
  <si>
    <t xml:space="preserve">*Terlaksana nya pengembangan padi organik **Bantuan benih padi, pupuk dan pestisida ***Studi banding pertanian padi organik </t>
  </si>
  <si>
    <t>Pengembangan padi organik 100Ha; Pelatihan petani 1 kegiatan; benih padi 1 paket; pupuk organik, PPC, pestisida nabati dan agensia hayati 1 paket</t>
  </si>
  <si>
    <t>Terwujudnya pendampingan primatani</t>
  </si>
  <si>
    <t>* Terlaksananya sosialisasi dan pelatihan petani</t>
  </si>
  <si>
    <t>* Terlaksananya sosialisasi dan pelatihan petani 1 kegiatan</t>
  </si>
  <si>
    <t xml:space="preserve">Peningkatan pengetahuan dan ketrampilan petani dlm pengendalian hama penyakit tembakau </t>
  </si>
  <si>
    <t>Terwujudnya SLPHT Tembakau di 3 Kelompok Tani</t>
  </si>
  <si>
    <t xml:space="preserve">*Terlaksananya sekolah lapang petani tembakau**Bantuan pupuk dan pestisida  ***Bantuan handsprayer  ****Studi tata kelola tembakau </t>
  </si>
  <si>
    <t xml:space="preserve">*Terlaksananya sekolah lapang petani tembakau 10 kelompok **bantuan pupuk dan pestisida 1 paket  ***studi tata kelola tembakau </t>
  </si>
  <si>
    <t xml:space="preserve">*Terlaksananya sekolah lapang petani tembakau 5 klp @ 25 Ha **Bantuan pupuk dan pestisida  ***Terlaksananya studi tata kelola tembakau </t>
  </si>
  <si>
    <t xml:space="preserve">*Terlaksananya sekolah lapang petani tembakau 5 klp @ 25 Ha **Bantuan pupuk dan pestisida  ****Terlaksananya studi tata kelola tembakau </t>
  </si>
  <si>
    <t xml:space="preserve">Terwujudnya peningkatan kualitas tembakau Kemloko </t>
  </si>
  <si>
    <t xml:space="preserve">*Pengembangan sentra tembakau varietas Kemloko **Pelatihan teknis petani tembakau **Tersedianya bantuan pestisida </t>
  </si>
  <si>
    <t xml:space="preserve">*Terlaksananya pengembangan sentra tembakau varietas Kemloko 100 Ha **Pelatihan teknis petani tembakau ***bantuan pupuk dan pestisida </t>
  </si>
  <si>
    <t xml:space="preserve">Meningkatnya pengetahuan dan ketrampilan budidaya petani kopi intensif </t>
  </si>
  <si>
    <t>*Terlaksananya sekolah lapang PHT petani kopi  **Tersedianya bahan pelatihan PHT ***Tersedianya bantuan entres kopi untuk rehabilitasi tanaman kopi</t>
  </si>
  <si>
    <t>*Terlaksananya SLPHT petani kopi 3 klp **Tersedianya bantuan entres kopi 1 paket ***Tersedianya bantuan pupuk tanaman 1 paket</t>
  </si>
  <si>
    <t>*Terlaksananya sekolah lapang petani kopi 3 klp **Tersedianya bantuan entres kopi 1 paket ***Tersedianya bantuan pupuk tanaman 1 paket ****bantuan alsintan 1 paket</t>
  </si>
  <si>
    <t xml:space="preserve">Terlaksananya pengembangan model usahatani partisipatif di kawasan tembakau </t>
  </si>
  <si>
    <t>75 Ha</t>
  </si>
  <si>
    <t>*Terlaksananya pelatihan petani **Tersedianya bibit kopi dan tanaman keras ***Tersedianya pupuk tanaman ****Terlaksananya perbaikan teras</t>
  </si>
  <si>
    <t>*Terlaksananya pelatihan petani **Tersedianya bibit kopi dan tanaman keras ***Tersedianya pupuk tanaman ****Terlaksananya perbaikan teras untuk luasan 25 Ha</t>
  </si>
  <si>
    <t>*Terlaksananya pelatihan petani **Tersedianya bibit kopi dan tanaman keras ***Tersedianya pupuk tanaman ****Terlaksananya perbaikan teras untuk luasan 75 Ha</t>
  </si>
  <si>
    <t xml:space="preserve">Terlaksananya pembenihan tembakau unggul lokal </t>
  </si>
  <si>
    <t>3 kelompok</t>
  </si>
  <si>
    <t xml:space="preserve">*Terlaksananya pelatihan petani tembakau  **Terlaksananya pembenihan tembakau varietas unggul lokal </t>
  </si>
  <si>
    <t xml:space="preserve">Perbaikan genetis benih tembakau </t>
  </si>
  <si>
    <t>*Terlaksananya pemuliaan benih tembakau varietas Kemloko</t>
  </si>
  <si>
    <t>*Terlaksananya uji multi lokasi benih tembakau varietas Kemloko</t>
  </si>
  <si>
    <t>*Terlaksananya pelepasan tembakau varietas Kemloko unggul baru</t>
  </si>
  <si>
    <t>*Terlaksananya fasilitasi peredaran tembakau varietas Kemloko 1 kegiatan</t>
  </si>
  <si>
    <t>Meningkatnya pengetahuan dan ketrampilan petani dalam budidaya hortikultura merah</t>
  </si>
  <si>
    <t>*Terlaksana nya pengembangan komoditas horti unggulan **Terlaksananya SL-GAP hortikultura</t>
  </si>
  <si>
    <t xml:space="preserve">Meningkatkan hasil produksi komoditas pertanian/perkebunan unggulan untuk memenuhi ekspor </t>
  </si>
  <si>
    <t>*Terlaksananya SL GAP dan SLGHP komoditas unggulan (hortikultura, biofarmaka dan florikultur) di kelompok tani embrio</t>
  </si>
  <si>
    <t xml:space="preserve">Diseminasi teknologi pertanian </t>
  </si>
  <si>
    <t>Terlaksananya diseminasi teknologi pertanian</t>
  </si>
  <si>
    <t>Terlaksananya diseminasi teknologi pertanian 1 kegiatan</t>
  </si>
  <si>
    <t>Tersedianya informasi statistik pertanian perkebunan dan kehutanan</t>
  </si>
  <si>
    <t xml:space="preserve"> *Terlaksa nanya ubinan swakarsa 1 kegiatan **Terlaksananya koordinasi penyusunan data statistik 1 kegiatan</t>
  </si>
  <si>
    <t>Orang Terlantar dalam perjalanan yang tertangani dan mendapat bantuan</t>
  </si>
  <si>
    <t>Cakupan Anak    Panti   yang mendapat bantuan permakanan</t>
  </si>
  <si>
    <t>terfasilitasinya PKH</t>
  </si>
  <si>
    <t>100 persen ( 9452 KK)</t>
  </si>
  <si>
    <t>100 persen</t>
  </si>
  <si>
    <t>100persen</t>
  </si>
  <si>
    <t>Jumlah  Anak Terlantar yang dilatih, dibina dan dibantu</t>
  </si>
  <si>
    <t xml:space="preserve">Terselenggaranya Porseni untuk Aktualisasi diri potensi dan bakat anak panti </t>
  </si>
  <si>
    <t>1 KEG</t>
  </si>
  <si>
    <t>Jumlah Anak Panti  yang dilatih dan dibantu</t>
  </si>
  <si>
    <t>Jumlah anak yang berperilaku menyimpang yang telah direhabilitasi melalui PSPA Baturaden</t>
  </si>
  <si>
    <t>Jumlah anak yang telah direhabilitasi melalui PA Taruna Yodha Sukoharjo dan PSBR Bambu Apus Jakarta</t>
  </si>
  <si>
    <t xml:space="preserve">Jumlah anak yang telah direhabilitasi melalui PA Antasena Magelang  dan Barehsos Kartini Tawangmangu </t>
  </si>
  <si>
    <t>Jumlah korban penyalahgunaan narkotika dan HIV AIDS yang telah dibina, dilatih dan dibantu</t>
  </si>
  <si>
    <t>Terlaksananya UPSK bagi Penyandang disabilitas dan Penyakit Kronis di wilayah 2 Kecamatan</t>
  </si>
  <si>
    <t>Persentase Pengiriman PGOT Psikotik yang  direhabilitasi melalui RSJ, Barehsos,  Keluarga</t>
  </si>
  <si>
    <t>65.000.000,-</t>
  </si>
  <si>
    <t>Persentase Paca dan Eks Trauma  yang  direhabilitasi melalui Barehsos</t>
  </si>
  <si>
    <t xml:space="preserve">Jumlah PRSE yang direhabilitasi di Barehsos </t>
  </si>
  <si>
    <t>Terfasilitasinya Penderita Penyakit Kronis dan Cacat Berat/ganda yang mendapat Jaminan Sosial</t>
  </si>
  <si>
    <t>Terfasilitasinya Penderita Penyakit Kronis dan Cacat Berat yang mendapat Jaminan Sosial</t>
  </si>
  <si>
    <t xml:space="preserve">Jumlah peserta Kegiatan Pentas Seni dan Olah Raga bagi Penca Tk Prov yang diikuti </t>
  </si>
  <si>
    <t>Jumlah Teraphis terlatih</t>
  </si>
  <si>
    <t>10 ORG</t>
  </si>
  <si>
    <t xml:space="preserve">10 ORG </t>
  </si>
  <si>
    <t>Jumlah Penca yang mendapat bantuan Kursi roda</t>
  </si>
  <si>
    <t>Jumlah eks Penyakit Kronis Cacat Rungu Wicara dan  Cacat Netra  yang dilatih dan dibantu</t>
  </si>
  <si>
    <t>60 org</t>
  </si>
  <si>
    <t>Jumlah LU Non Potensial yang mendapat Jaminan Sosial</t>
  </si>
  <si>
    <t>Jumlah LU Non Potensial Terlantar yang terlayanani dan mendapat jaminan sosial</t>
  </si>
  <si>
    <t xml:space="preserve">Prosentase Eks Napi yang telah dibina , dilatih dan dibantu </t>
  </si>
  <si>
    <t>Jumlah kegiatan  Razia dalam 1 tahun</t>
  </si>
  <si>
    <t xml:space="preserve">Jumlah  Fakir Miskin yang dilatih dan mendapat bantuan </t>
  </si>
  <si>
    <t>60 KK</t>
  </si>
  <si>
    <t>80org</t>
  </si>
  <si>
    <t>100 org</t>
  </si>
  <si>
    <t xml:space="preserve">Jumlah  PRSE yang dilatih dan mendapat bantuan Stimulan UEP </t>
  </si>
  <si>
    <t xml:space="preserve">Jumlah  PRSE yang dilatih dan mendapat bantuan </t>
  </si>
  <si>
    <t>Persantase  KUBE yang dibina</t>
  </si>
  <si>
    <t>110 kube</t>
  </si>
  <si>
    <t>100  kube</t>
  </si>
  <si>
    <t>100 kube</t>
  </si>
  <si>
    <t xml:space="preserve">Jumlah  LU  Potensial yang dilatih dan mendapat bantuan </t>
  </si>
  <si>
    <t>50 kk</t>
  </si>
  <si>
    <t>Jumlah KK Miskin yang dilatih dan dibantu</t>
  </si>
  <si>
    <t>20 kk</t>
  </si>
  <si>
    <t>Persentase bayi/anak terlantar yang tertangani</t>
  </si>
  <si>
    <t>Jumlah Raperda tentang Penanganan terhadap PMKS</t>
  </si>
  <si>
    <t>Persentase Kegiatan yang telah dilakukan Monev dan pelaporan</t>
  </si>
  <si>
    <t>Jumlah KK RTLH yang difasilitasi mendapat bantuan sosial</t>
  </si>
  <si>
    <t>498 kk</t>
  </si>
  <si>
    <t>500 kk</t>
  </si>
  <si>
    <t>500 KK</t>
  </si>
  <si>
    <t xml:space="preserve">Jumlah Panti  yang didata dan dibina </t>
  </si>
  <si>
    <t>Jumlah Panti Yang dibantu sarana prasarananya</t>
  </si>
  <si>
    <t>Jumlah Panti dan Anak Panti yang dibantu</t>
  </si>
  <si>
    <t>Jumlah PSKS yang terfasilitasi untuk kegiatan ke luar daerah</t>
  </si>
  <si>
    <t>Jumlah FKPSM yang terbentuk dan berperan dalam penanganan permasalahan sosial</t>
  </si>
  <si>
    <t>10 FK PSM</t>
  </si>
  <si>
    <t>Jumlah FKPSM yang menerima bantuan dan berperan dalam penanganan permasalahan sosial</t>
  </si>
  <si>
    <t>30 PPSM</t>
  </si>
  <si>
    <t>9 KT</t>
  </si>
  <si>
    <t>Terselenggaranya kegiatan BBKT</t>
  </si>
  <si>
    <t>1 Keg</t>
  </si>
  <si>
    <t>Cakupan WKSBM yang Menyediakan Sarana dan Prasarana Pelayanan Kesejahteraan Sosial</t>
  </si>
  <si>
    <t>tersedianya Sistem Informasi Kesejahteraan Sosial online</t>
  </si>
  <si>
    <t>Jumlah FKKT yang terbentuk dan berperan dalam penanagan permasalahan sosial</t>
  </si>
  <si>
    <t>Jumlah PSM yang dibina dan dibantu</t>
  </si>
  <si>
    <t>Jumlah FKPSM yang dibina dan dibantu</t>
  </si>
  <si>
    <t>Jumlah KT yang dibina dan dibantu</t>
  </si>
  <si>
    <t>Jumlah TKSK yang mendapat bantuan tali asih</t>
  </si>
  <si>
    <t>Terbantunya sarana dan prasarana TKSK</t>
  </si>
  <si>
    <t>Kelancaran Kegiatan dan bantuan operasional Komda Lansia</t>
  </si>
  <si>
    <t xml:space="preserve">Tersedianya  Data PMKS dan PSKS </t>
  </si>
  <si>
    <t xml:space="preserve">data  Lansia  se Kabupaten  </t>
  </si>
  <si>
    <t>Berkembangnya WKSBM</t>
  </si>
  <si>
    <t>Jumlah WKSBM yang terbentuk dan t</t>
  </si>
  <si>
    <t>Terselenggaranya Rehabilitasi Sosiall bagi PMKS melalui RPS</t>
  </si>
  <si>
    <t>Terbantunya opera sional Forum Tagana</t>
  </si>
  <si>
    <t>Jumlah Petugas Penanggulangan Bencana terlatih</t>
  </si>
  <si>
    <t>Tertanganinya korban bencana alam dan bencana sosial</t>
  </si>
  <si>
    <t>Pemeliharaan Taman Makam Pahlawan Prayudha Mudal dan Bambang Sugeng Kranggan</t>
  </si>
  <si>
    <t xml:space="preserve">Jumlah TMP Terpelihara </t>
  </si>
  <si>
    <t>Terlaksananya PB dengan sistem komando terpadu dengan pedoman tetap</t>
  </si>
  <si>
    <t>1 Protab PB</t>
  </si>
  <si>
    <t>Terlaksananya PB dengan Standar PB yang tepat</t>
  </si>
  <si>
    <t>2 SOP</t>
  </si>
  <si>
    <t>4 SOP</t>
  </si>
  <si>
    <t>Terlaksananya Diklat dan Simulasi Penanggulangan Bencana</t>
  </si>
  <si>
    <t>50 orang terlatih PB</t>
  </si>
  <si>
    <t>Terlaksananya Rintisan Desa Tangguh Bencana</t>
  </si>
  <si>
    <t>1 Desa Rintisan tangguh</t>
  </si>
  <si>
    <t>3 Desa Rintisan tangguh</t>
  </si>
  <si>
    <t>Teralaksananya keiapsiagaan/mitigasi sebagai upaya Pengurangan Risikio Bencana (PRB)</t>
  </si>
  <si>
    <t>1 paket data daerah rawan bencana</t>
  </si>
  <si>
    <t>1 paket data rawan bencana real time</t>
  </si>
  <si>
    <t>Terlaksananya kesiapsiagaan / mitigasi sebagai upaya PRB</t>
  </si>
  <si>
    <t>12 bulan piket posko dan 1 paket laporan bencana</t>
  </si>
  <si>
    <t>peningkatan pengetahuan 200 org dan 1 paket laporan bencana</t>
  </si>
  <si>
    <t>1 paket Peta Rawan Bencana Detail dan 1 paket laporan bencana</t>
  </si>
  <si>
    <t>2 paket EWS Bencana Tanah Longsor dan 1 paket laporan bencana</t>
  </si>
  <si>
    <t>Jalur Evakuasi dan 1 paket laporan bencana</t>
  </si>
  <si>
    <t>Terlaksananya penanganan Bencana, pengadaan logistik dan peralatan SAR dan operasional SAR serta terlaksananya penyediaan air bersih dan dropping air</t>
  </si>
  <si>
    <t>Bantuan Material, 1 paket peralatan SAR, 1 Paket logistik, 80 unit Tandon Air, 400 tangki air bersih</t>
  </si>
  <si>
    <t xml:space="preserve">Bantuan Material, 1  Paket logistik, 1 paket peralatan SAR </t>
  </si>
  <si>
    <t xml:space="preserve">Bantuan Material, 1  Paket logistik </t>
  </si>
  <si>
    <t>Terlaksananya Penyelamatan, pelayananan kepada korban becana secara cepat dan tepat</t>
  </si>
  <si>
    <t xml:space="preserve">15 orang/ 12 bulan </t>
  </si>
  <si>
    <t>Terlaksananya Penanggulangan darurat bencana</t>
  </si>
  <si>
    <t xml:space="preserve">12 bulan </t>
  </si>
  <si>
    <t>Terlaksananya Relokasi Rumah Warga Korban Bencana</t>
  </si>
  <si>
    <t>Terlaksananya monev Pasca Bencana dan pemulihan kondisi korban bencana</t>
  </si>
  <si>
    <t>Terlaksananya program Rehabilitasi dan Rekonstruksi pasca bencana</t>
  </si>
  <si>
    <t>3 paket</t>
  </si>
  <si>
    <t>4 paket</t>
  </si>
  <si>
    <t>5 paket</t>
  </si>
  <si>
    <t>Melaksanakan pelatihan ketrampilan pencari kerja</t>
  </si>
  <si>
    <t>input  : Rp. 61.850.000 output : 80 org   outcome : 80 org</t>
  </si>
  <si>
    <t>80 %                 ( 96 org peserta dari 120 pendaftar )</t>
  </si>
  <si>
    <t>80 %                 ( 128 org peserta dari 160 pendaftar )</t>
  </si>
  <si>
    <t>80 %                  ( 160 org peserta dari 200 pendaftar )</t>
  </si>
  <si>
    <t>80 %                  ( 240 org peserta dari 300 pendaftar )</t>
  </si>
  <si>
    <t>Terlaksananya pengadaan bahan dan materi pendidikan dan ketrampilan kerja</t>
  </si>
  <si>
    <t>input  : Rp. 43.000.000 output : 1 paket   outcome : 1 paket</t>
  </si>
  <si>
    <t>Terlaksananya pengadaan peralatan  pendidikan dan ketrampilan kerja</t>
  </si>
  <si>
    <t>input  : Rp. 998.000.000 output : 1 paket   outcome : 1 paket</t>
  </si>
  <si>
    <t>--</t>
  </si>
  <si>
    <t xml:space="preserve">Terselenggaranya proses pembangunan workshop BLK dan tersedianya sarana dan prasarana </t>
  </si>
  <si>
    <t xml:space="preserve">Tercapainya tenaga kerja produktif pada industri kecil di 20 kecamatan </t>
  </si>
  <si>
    <t>40 orang</t>
  </si>
  <si>
    <t>90 orang</t>
  </si>
  <si>
    <t>100 orang</t>
  </si>
  <si>
    <t>Terlaksananya pelatihan ketrampilan pencari kerja berbasis masyarakat</t>
  </si>
  <si>
    <t>85 %                  ( 170 org peserta dari 200 pendaftar )</t>
  </si>
  <si>
    <t>90 %                  ( 180 org peserta dari 200 pendaftar )</t>
  </si>
  <si>
    <t>95 %                  ( 190 org peserta dari 200 pendaftar )</t>
  </si>
  <si>
    <t>Pelayanan komputerisasi Kartu Pencari Kerja (AK-1), pelaksanaan layanan informasi pasar kerja (IPK), pelaksanaan Bursa Kerja Online (BKO)</t>
  </si>
  <si>
    <t>input  : Rp. 13.880.000            output : 1 paket             outcome : 1 paket</t>
  </si>
  <si>
    <t>21 %             ( 599 org yg ditempatkan dari 2798  pencaker terdaftar )</t>
  </si>
  <si>
    <t>12 %                 ( 325 org yg ditempatkan dari 2798 pencaker terdaftar )</t>
  </si>
  <si>
    <t>13%                 ( 350 org yg ditempatkan dari 2798 pencaker terdaftar )</t>
  </si>
  <si>
    <t>13 %                 ( 375 org yg ditempatkan dari 2798 pencaker terdaftar )</t>
  </si>
  <si>
    <t>14%                 ( 400 org yg ditempatkan dari 2798 pencaker terdaftar )</t>
  </si>
  <si>
    <t>15 %                 ( 425 org yg ditempatkan dari 2798 pencaker terdaftar )</t>
  </si>
  <si>
    <t xml:space="preserve">Tertempatkannya para pencari kerja, berkurangnya jumlah penganggur </t>
  </si>
  <si>
    <t>input  : Rp. 44.000.000               output : 1 paket       outcome : 1 paket</t>
  </si>
  <si>
    <t xml:space="preserve">Terbangunnya jalan rabat beton sehingga arus ekonomi pedesaan menjadi lebih lancar </t>
  </si>
  <si>
    <t xml:space="preserve">5 paket </t>
  </si>
  <si>
    <t xml:space="preserve">6 paket </t>
  </si>
  <si>
    <t>Persentase Tenaga Kerja yang mendapatkan Pelatihan Berbasis Kewirausahaan</t>
  </si>
  <si>
    <t>input  : Rp. 99.000.000               output : 30 orang       outcome : 30 orang</t>
  </si>
  <si>
    <t>80 %                 ( 90 org peserta dari 110 pendaftar )</t>
  </si>
  <si>
    <t>80 %                  ( 120 org peserta dari 150 pendaftar )</t>
  </si>
  <si>
    <t>80 %                 ( 120 org peserta dari 150 pendaftar )</t>
  </si>
  <si>
    <t>80 %                   ( 120 org peserta dari 150 pendaftar )</t>
  </si>
  <si>
    <t xml:space="preserve">Terlaksananya penyusunan dan Update Data Base Ketenagakerjaan Daerah </t>
  </si>
  <si>
    <t>20 Kecamatan  ( 289 desa dan kelurahan )</t>
  </si>
  <si>
    <t>20 Kecamatan   ( 289 desa dan kelurahan )</t>
  </si>
  <si>
    <t xml:space="preserve">Terlaksananya Rapat Dewan Pengupahan, Survey KHL, Pemantauan THR dan Sosialisasi UMK 2014 </t>
  </si>
  <si>
    <t>35 perush</t>
  </si>
  <si>
    <t>42 perush</t>
  </si>
  <si>
    <t>46 perush</t>
  </si>
  <si>
    <t>51 perush</t>
  </si>
  <si>
    <t>56 perush</t>
  </si>
  <si>
    <t>Melaksanakan pembinaan WLKP, K3, dan pembinaan pelaksanaan program Jamsostek</t>
  </si>
  <si>
    <t>50 perush</t>
  </si>
  <si>
    <t>55 perush</t>
  </si>
  <si>
    <t>61 perush</t>
  </si>
  <si>
    <t>67 perush</t>
  </si>
  <si>
    <t>73 perush</t>
  </si>
  <si>
    <t xml:space="preserve">Terlaksananya sosialisasi SMK3, PBTA dan Apel Bendera Pemasyarakatan Budaya Keselamatan dan Kesehatan ( K3 ) </t>
  </si>
  <si>
    <t>input  : Rp.       ---                 output :      ---           outcome : ---</t>
  </si>
  <si>
    <t>Termediasinya perselisihan HI dan pembinaan pencegahan perselisihan HI</t>
  </si>
  <si>
    <t>100 %                   ( 20 kasus diselesaikan  dibagi 20 kasus terdaftar x 100</t>
  </si>
  <si>
    <t>100 %                   ( 18 kasus diselesaikan  dibagi 18 kasus terdaftar x 100</t>
  </si>
  <si>
    <t>100 %                   ( 15 kasus diselesaikan  dibagi 15 kasus terdaftar x 100</t>
  </si>
  <si>
    <t>100 %                   ( 12 kasus diselesaikan  dibagi 12 kasus terdaftar x 100</t>
  </si>
  <si>
    <t>100 %                   ( 8 kasus diselesaikan  dibagi 8 kasus terdaftar x 100</t>
  </si>
  <si>
    <t>Melaksanakan sosialisasi Lembg Ketenagakerjaan, Sarasehan Tripartit bersama Bupati, rapat Peringatan Hari Buruh</t>
  </si>
  <si>
    <t>20 perush</t>
  </si>
  <si>
    <t>25 perush</t>
  </si>
  <si>
    <t>30 perush</t>
  </si>
  <si>
    <t>40 perush</t>
  </si>
  <si>
    <t>60 perush</t>
  </si>
  <si>
    <t>Terlaksananya pembinaan PPTKIS dan sosialisasi kepada masyk tentang Sisdur bekerja ke LN secara aman dan legal</t>
  </si>
  <si>
    <t>input  : Rp. 9.760.000              output :  126  pekerja             outcome : 126 pekerja</t>
  </si>
  <si>
    <t>79 pekerja</t>
  </si>
  <si>
    <t>120 pekerja</t>
  </si>
  <si>
    <t>125 pekerja</t>
  </si>
  <si>
    <t>Berkembangnya program pelatihan kerja sesuai standar kompetensi dan terlaksananya pembekalan magang Jepang</t>
  </si>
  <si>
    <t>input  : Rp. 16.480.000              output : 33 LPKS                outcome : 33 LPKS</t>
  </si>
  <si>
    <t>Melaksanakan penyuluhan, identifikasi dan pemberangkatan Catrans serta membuat MoU dengan daerah penempatan</t>
  </si>
  <si>
    <t>input  : Rp. 16.480.000              output : 15 KK                outcome : 10 KK          2 MoU</t>
  </si>
  <si>
    <t>80 %             (15 KK calon transmigran )   2 MoU</t>
  </si>
  <si>
    <t>80 %             (15 KK dari 20 KK calon transmigran )   2 MoU</t>
  </si>
  <si>
    <t>80 %                 ( 20 KK dari 25 KK calon transmigran )   2 MoU</t>
  </si>
  <si>
    <t>80 %                   ( 20 KK dari 25 KK calon transmigran )      2 MoU</t>
  </si>
  <si>
    <t>terpantauan harga kebutuhan pokok masyarakat di 6 pasar daerah 2 kali seminggu</t>
  </si>
  <si>
    <t>6 pasar daerah (2 x seminggu)</t>
  </si>
  <si>
    <t>6 pasar daerah</t>
  </si>
  <si>
    <t>terbantunya masyarakat akan kebutuhan bahan pokok</t>
  </si>
  <si>
    <t xml:space="preserve">pelaksanaan pasar murah  </t>
  </si>
  <si>
    <t>Terbantunya masyarakat akan kebutuhan pokok</t>
  </si>
  <si>
    <t>pengawasan terhadap produk yang tidak layak edar</t>
  </si>
  <si>
    <t>6 pasar daerah dan 3 pasar desa</t>
  </si>
  <si>
    <t>Perlindungan Konsumen terhadap peredaran minuman keras dan bahan berbahaya</t>
  </si>
  <si>
    <t>toko jamu dan pedagang</t>
  </si>
  <si>
    <t>masyarakat semakin paham tentang metrologi</t>
  </si>
  <si>
    <t>25 pelaku usaha</t>
  </si>
  <si>
    <t>30 pelaku usaha</t>
  </si>
  <si>
    <t>35 pelaku usaha</t>
  </si>
  <si>
    <t>terlaksanany pendampingan tera ulan UTTP</t>
  </si>
  <si>
    <t>18.823 UTTP</t>
  </si>
  <si>
    <t>kegiatan pos ukur ulang</t>
  </si>
  <si>
    <t>Pos Ukur ulang di pasar daerah</t>
  </si>
  <si>
    <t>operasional BPSKKabupaten Temanggung dalam menyelesaikan perkara sengketa konsumen</t>
  </si>
  <si>
    <t>BPSK Kabupaten Temanggung</t>
  </si>
  <si>
    <t>50% perkara</t>
  </si>
  <si>
    <t>60% perkara</t>
  </si>
  <si>
    <t>75% perkara</t>
  </si>
  <si>
    <t>80% perkara</t>
  </si>
  <si>
    <t>event pameran/promosi produk unggulan daerah yang diikuti</t>
  </si>
  <si>
    <t>5 event pameran</t>
  </si>
  <si>
    <t>3 event pameran</t>
  </si>
  <si>
    <t>2 event pameran</t>
  </si>
  <si>
    <t>4 event pameran</t>
  </si>
  <si>
    <t>terfasilitasinya pelaku usaha agro dlm pasar lelang daerah</t>
  </si>
  <si>
    <t>pasar lelang agro Soropadan</t>
  </si>
  <si>
    <t>fasilitasi pemasaran Produk- produk UMKM</t>
  </si>
  <si>
    <t>2 pasar modern</t>
  </si>
  <si>
    <t>Pembinaan pelaku usaha dagang kecil</t>
  </si>
  <si>
    <t>5 klp pelaku usaha</t>
  </si>
  <si>
    <t>pasar daerah yang nyaman, aman dan kondusif</t>
  </si>
  <si>
    <t>3 pasar daerah</t>
  </si>
  <si>
    <t>kondisi pasar daerah yang baik dan nyaman</t>
  </si>
  <si>
    <t>Terlaksananya kegiatan penagihan kepada pedagang</t>
  </si>
  <si>
    <t>Pasar kiwon dan pasar temanggung</t>
  </si>
  <si>
    <t>pasar kliwon</t>
  </si>
  <si>
    <t>pencapaian target PAD</t>
  </si>
  <si>
    <t>terlaksanaanya pendataan potensi pasar daerah</t>
  </si>
  <si>
    <t>tersusunnya Perda PKL</t>
  </si>
  <si>
    <t>perda PKL</t>
  </si>
  <si>
    <t>Terlaksananya kegiatan pemeriksaan surat ijin menempati Ruko/Toko/Kios/Los Pasar Daerah dan ijin merubah bangunan</t>
  </si>
  <si>
    <t>penanganan pasar agro kranggan menjadi bagian pasar daerah</t>
  </si>
  <si>
    <t>terbangunnya pasar legi parakan</t>
  </si>
  <si>
    <t>perencanaan dan pengawasan pembangunan pasar legi parakan</t>
  </si>
  <si>
    <t>terbentuknya MK</t>
  </si>
  <si>
    <t>pembangunan pasar temanggung permai</t>
  </si>
  <si>
    <t>tersusunnya dokumen perencanaan pembangunan</t>
  </si>
  <si>
    <t>Dok DED psr Candiroto</t>
  </si>
  <si>
    <t>Dok DED psr kranggan</t>
  </si>
  <si>
    <t>peningkatan sarana pasar daerah</t>
  </si>
  <si>
    <t>1pkt</t>
  </si>
  <si>
    <t>terbangunnya pasr candiroto</t>
  </si>
  <si>
    <t xml:space="preserve">pelaksanaan perbaikan sarana pasar hewan </t>
  </si>
  <si>
    <t>1 unit pasar burung kerkop</t>
  </si>
  <si>
    <r>
      <t>Cakupan Desa atau Kelurahan</t>
    </r>
    <r>
      <rPr>
        <i/>
        <sz val="11"/>
        <color theme="1"/>
        <rFont val="Calibri"/>
        <family val="2"/>
        <scheme val="minor"/>
      </rPr>
      <t xml:space="preserve"> Universal Child Immunisation</t>
    </r>
    <r>
      <rPr>
        <sz val="11"/>
        <color theme="1"/>
        <rFont val="Calibri"/>
        <family val="2"/>
        <scheme val="minor"/>
      </rPr>
      <t xml:space="preserve"> (UCI)</t>
    </r>
  </si>
  <si>
    <t>37,30‰</t>
  </si>
  <si>
    <t>39‰</t>
  </si>
  <si>
    <t>37‰</t>
  </si>
  <si>
    <t>36‰</t>
  </si>
  <si>
    <t>Meningkanya minat baca dan terlaksanaan lomba - lomba diperpustakaan (1)</t>
  </si>
  <si>
    <t>Terbinanya dan termonitornya perpustakaan ds, sekolah, khusus, masyarakat; Terbinanya pengelola dan termonitornya perpustakaan Ds/Sekolah (1)</t>
  </si>
  <si>
    <t>Tersalurkannya bantuan buku ke Perpustakaan Ds; Tersedianya bahan pustaka utk masyarakat pedesaan(1)</t>
  </si>
  <si>
    <t>Lancarnya Penilaian Angka Kredit Pustakawan; Terlaksananya penilaian Angka Kredit bagi pejabat fungsional pustakawan (1)</t>
  </si>
  <si>
    <t>Terlaksananya Bintek Pengelola Perpustakaan Ds, sekolah; terlaksananya pameran buku; Terlaksananya sosialisasi perpustakaan melalui media (radio) (1)</t>
  </si>
  <si>
    <t>Terlaksananya operasional 2 unit mobil Perpustakaan Keliling; bertambahnya bahan pustaka Perpusling(1)</t>
  </si>
  <si>
    <t>Terkelolanya Perpustakaan secara profesional dan terlayaninya pengunjung Perpustakaan; Terlaksananya pelayanan Prima(2)</t>
  </si>
  <si>
    <t>Tersedianya bahan pustaka dan terpenuhinya sarana dan prasarana perpustakaan dan terlayaninya pengguna perpustakaan; Terwujudnya perpustakaan pintar, tercapainya minat baca masyarakat(2)</t>
  </si>
  <si>
    <t>Terkelolanya bahan pustaka lama dr manual ke otomasi; Terkelolanya bh. Pustaka lama secara sistematis dan profesional(2)</t>
  </si>
  <si>
    <t xml:space="preserve">Tercapainya gelar promosi produk pertanian unggulan </t>
  </si>
  <si>
    <t>*Terfasilitasinya 3 even pameran produk pertanian</t>
  </si>
  <si>
    <t xml:space="preserve">Tercapainya perbaikian mutu hasil produksi pertanian perkebunan </t>
  </si>
  <si>
    <t>*Terlaksananya pelatihan pasca panen 1 kegiatan **Tersedianya alat pengolahan hasil 1 paket</t>
  </si>
  <si>
    <t xml:space="preserve">Terlaksananya Temu Usaha Pelaku Pasar Produk Pertanian Unggulan </t>
  </si>
  <si>
    <t>Terfasilitasinya temu usaha pelaku pasar produk pertanian unggulan</t>
  </si>
  <si>
    <t>Meningkatnya pengamanan produksi pertanian, perkebunan dan kehutanan</t>
  </si>
  <si>
    <t>Stok obat 1 paket</t>
  </si>
  <si>
    <t>Stok obat-obatan pertanian, perkebunan dan kehutanan</t>
  </si>
  <si>
    <t>Terlaksananya pendampingan pelasanaan kegiatan WISMP 2</t>
  </si>
  <si>
    <t>5 klp GP3A</t>
  </si>
  <si>
    <t>Terlaksananya pendampingan kegiatan WISMP 2</t>
  </si>
  <si>
    <t xml:space="preserve"> Terwujudnya penyediaan benih pertanian, perkebunan dan kehutanan</t>
  </si>
  <si>
    <t>Tersedianya benih tanaman pertanian, perkebunan dan kehutanan 1 paket</t>
  </si>
  <si>
    <t xml:space="preserve"> Meningkat nya PAD Kab. Temanggung</t>
  </si>
  <si>
    <t>Terwujudnya Kegiatan Optimasi Kebun Produksi di 4 Lokasi</t>
  </si>
  <si>
    <t>Meningkatnya hasil kebun dinas dan tersedianya pupuk dan obat tanaman</t>
  </si>
  <si>
    <t>meningkatnya hasil kebun dinas dan tersedianya pupuk dan obat tanaman 1 kegiatan</t>
  </si>
  <si>
    <t>Meningkatnya produksi dan produktivitas tanaman perkebunan</t>
  </si>
  <si>
    <t>Tersedianya bibit tanaman perkebunan 1 paket</t>
  </si>
  <si>
    <t>Terwujudnya Peningkatan Kualitas Usaha Tani</t>
  </si>
  <si>
    <t>*Pembangunan rumah pengolah kopi **Bantuan stek berakar dan saprodi</t>
  </si>
  <si>
    <t>*Pelatihan petani 3 klp **bantuan bibit kopi 1 paket ***bantuan alsintan 1 paket ****studi tata kelola kopi 1 kegiatan</t>
  </si>
  <si>
    <t xml:space="preserve"> Meningkat nya pengetahuan dan ketrampilan petani dalam budidaya jagung</t>
  </si>
  <si>
    <t>Pelatihan petani 75 org, benih jagung komposit dan benih jagung hibrida 1 paket, saprodi 1 paket</t>
  </si>
  <si>
    <t>Pelatihan petani, benih jagung komposit, benih jagung hibrida, saprodi</t>
  </si>
  <si>
    <t>Pelatihan petani, benih jagung , pupuk dan pestisida untuk lahan seluas 50 Ha</t>
  </si>
  <si>
    <t>Pelatihan petani, benih jagung, pupuk dan pestisida untuk lahan seluas 100 Ha</t>
  </si>
  <si>
    <t>Terlaksananya fasilitasi verifikasi alih fungsi dan penggantian lahan pertanian</t>
  </si>
  <si>
    <t>Peta LP2B dan LCP2B 1 kabupaten</t>
  </si>
  <si>
    <t>Terbitnya rekomendasi alih fungsi lahan dan penggantian lahan pertanian</t>
  </si>
  <si>
    <t>Terlaksananya penguatan kelembagaan petani pemakai air</t>
  </si>
  <si>
    <t>Revitalisasi 12 klp, legalisasi 2 klp</t>
  </si>
  <si>
    <t>Restrukturisasi dan penguatan kelembagaan P3A dan GP3A</t>
  </si>
  <si>
    <t>Restrukturisasi dan penguatan kelembagaan P3A dan GP3A untuk 2 GP3A</t>
  </si>
  <si>
    <t>Penguatan kelembagaan P3A dan GP3A</t>
  </si>
  <si>
    <t>Terlaksananya pendampingan kegiatan PSP</t>
  </si>
  <si>
    <t>Terlaksananya penanganan kawasan embung</t>
  </si>
  <si>
    <t>1 paket pipanisasi embung kledung</t>
  </si>
  <si>
    <t>Meningkatnya fungsi embung Nglarangan</t>
  </si>
  <si>
    <t>Meningkatnya fungsi embung Ngropoh 1 kegiatan</t>
  </si>
  <si>
    <t>Meningkatnya fungsi embung 1 kegiatan</t>
  </si>
  <si>
    <t xml:space="preserve"> Berkurang nya serangan hama</t>
  </si>
  <si>
    <t>Gropyokan tikus 200.000 ekor, pestisida 1 paket, handsprayer 16 unit</t>
  </si>
  <si>
    <t xml:space="preserve"> Terlaksa nanya gropyokan tikus dan tersedianya stok rhodentisida</t>
  </si>
  <si>
    <t xml:space="preserve"> Terlaksananya gropyokan tikus dan tersedianya stok rhodentisida 1 kegiatan</t>
  </si>
  <si>
    <t xml:space="preserve"> Meningkat nya pengetahuan dan ketrampilan petani dalam budidaya ketela pohon</t>
  </si>
  <si>
    <t>Pelatihan petani 40 org, bibit ketela pohon 300.000 btg, pupuk organik &amp; NPK 1 paket</t>
  </si>
  <si>
    <t xml:space="preserve"> *Pelatihan petani dan tersedianya saprodi untuk pengembangan ketela pohon **replikasi ketela pohon</t>
  </si>
  <si>
    <t>Pelatihan petani, bantuan bibit ketela pohon, bantuan saprodi untuk luasan 50 Ha</t>
  </si>
  <si>
    <t>Terwujudnya pembangunan jalan usaha tani</t>
  </si>
  <si>
    <t>32 unit</t>
  </si>
  <si>
    <t xml:space="preserve"> Pemba ngunan Jalan usaha tani</t>
  </si>
  <si>
    <t>Pembangunan Jalan usaha tani</t>
  </si>
  <si>
    <t>Terlaksananya fasilitasi Pembangunan Jalan usaha tani 1 kegiatan</t>
  </si>
  <si>
    <t>Introduksi pengetahuan dan ketrampilan petani dalam budidaya kedelai</t>
  </si>
  <si>
    <t xml:space="preserve">pelatihan. Magang petani dan introduksi kedelai unggul 5 Ha </t>
  </si>
  <si>
    <t xml:space="preserve">Berkembangnya kawasan agropolitan </t>
  </si>
  <si>
    <t>Tersedianya bibit buah-buahan dan pembuatan baglog jamur</t>
  </si>
  <si>
    <t>Tersedia nya sarpras pertanian yang mendukung pengembangan komoditas unggulan</t>
  </si>
  <si>
    <t xml:space="preserve"> Tersedia nya bibit buah-buahan dan pembuatan baglog jamur</t>
  </si>
  <si>
    <t>Tersedianya sarpras pertanian yang mendukung pengembangan komoditas unggulan</t>
  </si>
  <si>
    <t>Terwujudnya Replikasi Kebun Bibit Rakyat</t>
  </si>
  <si>
    <t>2 unit KBR, pelatihan 75 org</t>
  </si>
  <si>
    <t xml:space="preserve">*Terlaksananya pendampingan pembuatan kebun bibit rakyat **Peningkatan pengetahuan dan ketrampilan SDM ***Tersedianya benih tanaman kehutanan </t>
  </si>
  <si>
    <t>Terlaksa nanya pendampingan pembuatan kebun bibit rakyat 2 unit</t>
  </si>
  <si>
    <t>Terlaksananya pendampingan pembuatan kebun bibit rakyat 2 unit</t>
  </si>
  <si>
    <t xml:space="preserve">Terwujudnya rehabilitasi lahan kritis </t>
  </si>
  <si>
    <t>300 Ha HR, 15 unit sumur resapan, 15 unit gully plug, 1 paket sarpras pengaman hutan</t>
  </si>
  <si>
    <t xml:space="preserve">*Tersedianya bibit tanaman kehutanan dan saprodi **Bantuan power sprayer  ***Tersedianya sarpras pengamanan &amp; penyuluhan hutan </t>
  </si>
  <si>
    <t>*Bantuan bibit tanaman kehutanan dan saprodi untuk luas 300 Ha **sarpras penyuluhan 1 paket ***sarpras kelembagaan pengelolaan hasil hutan berbasis masyarakat 1 klp</t>
  </si>
  <si>
    <t>*Tersedianya bibit tanaman kehutanan **Tersedianya pupuk dan pestisida ***Terwujudnya bangunan sipil teknis ****Tersedianya sarpras penyuluhan kehutanan ****Tersedianya sarpras kelembagaan pengelolaan hasil hutan berbasis masyarakat 1 klp</t>
  </si>
  <si>
    <t xml:space="preserve">*Tersedianya bibit tanaman kehutanan dan saprodi **Tersedianya sarpras pengamanan &amp; penyuluhan hutan </t>
  </si>
  <si>
    <t xml:space="preserve">*Tersedianya bibit tanaman penghijauan lingkungan 1 paket </t>
  </si>
  <si>
    <t>*Tersedianya bibit tanaman penghijauan lingkungan 1 paket</t>
  </si>
  <si>
    <t>Penyusunan rancangan HR dan sipil teknis, Rencana Tahunan (RTn)</t>
  </si>
  <si>
    <t>*Penyusunan rancangan HR dan sipil teknis, Rencana Tahunan (RTn), RKTK</t>
  </si>
  <si>
    <t>Terlaksananya konservasi di lahan pertembakauan</t>
  </si>
  <si>
    <t>*Bantuan bibit **Terlaksananya gerakan menanam</t>
  </si>
  <si>
    <t>Terbinanya kader konservasi</t>
  </si>
  <si>
    <t>*Terlak sananya sertifikasi kader konservasi 1 kegiatan **pelatihan managemen kader konservasi 1 kegiatan ***pelatihan antisipasi dan penanganan kebakaran hutan 1 kegiatan</t>
  </si>
  <si>
    <t>*Terlaksananya pelatihan managemen kader konservasi **pelatihan antisipasi dan penanganan kebakaran hutan</t>
  </si>
  <si>
    <t>Terajukannya SVLK hutan rakyat</t>
  </si>
  <si>
    <t>Terlaksananya fasilitasi persiapan SVLK dan PHBML</t>
  </si>
  <si>
    <t>Terlaksananya fasilitasi persiapan SVLK dan PHBML 2 kelompok</t>
  </si>
  <si>
    <t>Tersedianya koordinasi, fasilitasi dan rekonsiliasi PSDH</t>
  </si>
  <si>
    <t>Tersedia nya koordinasi, fasilitasi dan rekonsiliasi PSDH 1 kegiatan</t>
  </si>
  <si>
    <t>Penambangan yang konservatif</t>
  </si>
  <si>
    <t xml:space="preserve"> Terwujudnya raperda  penambangan bahan mineral bukan logam yang  terkendali</t>
  </si>
  <si>
    <t xml:space="preserve"> Terwujudnya pembinaan ESDM</t>
  </si>
  <si>
    <t>Terbangunnya Tempat kuliner dan arena bermain anak</t>
  </si>
  <si>
    <t>1 Paket        (Arena bermain anak dan Tempatk Kuliner)</t>
  </si>
  <si>
    <t>1 Paket  (Sarana dan Prasarana wisata)</t>
  </si>
  <si>
    <t>Tersedianya SARPRAS di OW Posong</t>
  </si>
  <si>
    <t>1 Paket Sarpras di OW</t>
  </si>
  <si>
    <t>Terlaksananya pengembangan OW Posong</t>
  </si>
  <si>
    <t>Terwujudnya pengembangan OW Posong</t>
  </si>
  <si>
    <t xml:space="preserve">100  %                        (1 Obyek) </t>
  </si>
  <si>
    <t xml:space="preserve">Terciptanya serta berkembangnya  OW  Budaya </t>
  </si>
  <si>
    <t>Terciptanya Kegiatan Wisata Rafting di Sungai Progo</t>
  </si>
  <si>
    <t>Terwujudnya sungai sebagai Obyek Wisata baru</t>
  </si>
  <si>
    <t>1  Paket penyusunan DED</t>
  </si>
  <si>
    <t>1  Paket Sarpras di OW  Sungai Progo</t>
  </si>
  <si>
    <t>1  Kegiatan Pemeliharaan OW Progo</t>
  </si>
  <si>
    <t>Terlaksananya Penbuatan DED Taman Matahari</t>
  </si>
  <si>
    <t>96,11%</t>
  </si>
  <si>
    <t xml:space="preserve">Terbangunnya OW bebasis Edukasi dan Astronomi </t>
  </si>
  <si>
    <t>1 Paket Pembangunan OW Taman Matahari</t>
  </si>
  <si>
    <t>Dikenalnya Potensi dan OW di dalam dan luar negeri</t>
  </si>
  <si>
    <t>99,96%</t>
  </si>
  <si>
    <t>Terlaksananya kegiatan Pekan syawalan dan Pertunjukan Seni Tradusional Kab. Temanggung</t>
  </si>
  <si>
    <t>Terlaksananya Pemilihan Mas dan Mbak Duta Wisata Kab. Temanggung</t>
  </si>
  <si>
    <t>99,89%</t>
  </si>
  <si>
    <t>100  %     (1.paket Keg)</t>
  </si>
  <si>
    <t>Terbangunnya OW Taman Kartini</t>
  </si>
  <si>
    <t>1 Paket  Pem Pengembg OW Taman Kartini</t>
  </si>
  <si>
    <t>1 Paket  Sarpras  di OW Taman Kartini</t>
  </si>
  <si>
    <t>Terlaksananya pemeliharaan Obyek Wisata di Kab. Tmg/ Provinsi Jateng</t>
  </si>
  <si>
    <t>100 %  (3.Obyek )</t>
  </si>
  <si>
    <t>Terlaksannanya Pembinaan SDM di Desa Wisata</t>
  </si>
  <si>
    <t>1  Desa wisata</t>
  </si>
  <si>
    <t>Terpantaunya Usaha-usaa Pariwisata di Kab. Temanggung</t>
  </si>
  <si>
    <t>Terdata dan terbinanya Desa Wisata di Kab. Temanggung</t>
  </si>
  <si>
    <t>Terselenggaranya Kerjasama Promosi Pariwisata Jateng dan DIY di dalam dan luar negeri</t>
  </si>
  <si>
    <t>100 %   (1.Paket/ Kegiatan)</t>
  </si>
  <si>
    <t>Peningkatan Kinerja Penyuluhan</t>
  </si>
  <si>
    <t xml:space="preserve">Peningkatan Kapasitas Tenaga Penyuluh </t>
  </si>
  <si>
    <t>Pemberdayaan THL-TBPP</t>
  </si>
  <si>
    <t>Prosentase jumlah kelompok tani yang meningkat kelasnya dengan jumlah total kelompok tani dikali 100 (persen)</t>
  </si>
  <si>
    <t>pemula-lanjut</t>
  </si>
  <si>
    <t>lanjut-madya</t>
  </si>
  <si>
    <t>madya-utama</t>
  </si>
  <si>
    <t>jml total klp</t>
  </si>
  <si>
    <t>peningkatan kelas poktan per tahun</t>
  </si>
  <si>
    <t>Frekuensi Penilaian/lomba Petani, (Penyuluh Swadaya pert, hut, ikan), Gapoktan (kali/tahun)</t>
  </si>
  <si>
    <t>frekuensi pertemuan KTNA Tk Kab (kali/tahun)</t>
  </si>
  <si>
    <t>frekuensi pertemuan KTNA Tk Kec (kali/tahun)</t>
  </si>
  <si>
    <t>frekuensi pertemuan P4S (kali/tahun)</t>
  </si>
  <si>
    <t>frekuensi pertemuan FWT  Tk Kab (kali/tahun)</t>
  </si>
  <si>
    <t>frekuensi penyuluhan/pembinaan kelompok tani (kali/kelp/bulan)</t>
  </si>
  <si>
    <t>Jumlah desa penerima BLM (desa)</t>
  </si>
  <si>
    <t>rasio jumlah pengembangan dana BLM dengan jumlah awal dana BLM dikali 100 %</t>
  </si>
  <si>
    <t>pengembangan</t>
  </si>
  <si>
    <t>dana awal</t>
  </si>
  <si>
    <t>Jumlah LKM-A maju (unit/tahun)</t>
  </si>
  <si>
    <t>Jumlah BUMP (pra koperasi/koperasi/asosiasi)  yang terbentuk</t>
  </si>
  <si>
    <t>Prosentase jumlah pengembangan dana BLM dengan jumlah awal dana BLM dikali 100 (persen)</t>
  </si>
  <si>
    <t>Jumlah Lembaga Agribisnis Petani (PUAP) maju (unit/tahun)</t>
  </si>
  <si>
    <t>Jumlah BUMP (pra koperasi/koperasi/asosiasi) yang terbentuk</t>
  </si>
  <si>
    <t>Jumlah desa yang membentuk FMA (unit/desa)</t>
  </si>
  <si>
    <t>Prosentase jumlah kelompok yang dilatih dengan jumlah total kelompok  dikali 100  (persen)</t>
  </si>
  <si>
    <t>Prosentase jumlah poktan penerima hibah dengan jumlah total poktan kali 100 (persen)</t>
  </si>
  <si>
    <t>jumlah pembuatan rubuha   (unit/desa)</t>
  </si>
  <si>
    <t xml:space="preserve">Prosentase jumlah kelompok yang dilatih dengan jumlah total kelompok </t>
  </si>
  <si>
    <t>Pembangunan Posluhdes, Screen House, Embung mini dan pipanisasi, Pagar  KPT. Serta Demplot</t>
  </si>
  <si>
    <t>Koordinasi pengelolaan KPT</t>
  </si>
  <si>
    <t>Koordinasi pengelola KPT</t>
  </si>
  <si>
    <t xml:space="preserve">Terlaksananya pengobatan ternak besar &amp; kecil  </t>
  </si>
  <si>
    <t>3000 TB, 2000 TK</t>
  </si>
  <si>
    <t>3500 TB, 2500 TK</t>
  </si>
  <si>
    <t>4000 TB, 3000 TK</t>
  </si>
  <si>
    <t>4500 TB, 3500 TK</t>
  </si>
  <si>
    <t>5000 TB, 4000 TK</t>
  </si>
  <si>
    <t xml:space="preserve">Terlaksananya pengadaan reagen lab keswan   </t>
  </si>
  <si>
    <t>49.640.000</t>
  </si>
  <si>
    <t>60.000.000</t>
  </si>
  <si>
    <t>70.000.000</t>
  </si>
  <si>
    <t>80.000.000</t>
  </si>
  <si>
    <t>90.000.000</t>
  </si>
  <si>
    <t xml:space="preserve">Terlaks.nya pemeriksaan dan pengiriman sampel                </t>
  </si>
  <si>
    <t>200 sampel</t>
  </si>
  <si>
    <t>20.000.000</t>
  </si>
  <si>
    <t>250 sampel</t>
  </si>
  <si>
    <t>300 sampel</t>
  </si>
  <si>
    <t>40.000.000</t>
  </si>
  <si>
    <t>350 sampel</t>
  </si>
  <si>
    <t>50.000.000</t>
  </si>
  <si>
    <t xml:space="preserve">Terlaks.nya sosiali- sasi daging ASUH bagi masy            </t>
  </si>
  <si>
    <t xml:space="preserve">2 keg x 25 org    </t>
  </si>
  <si>
    <t xml:space="preserve">3 keg x 25 org    </t>
  </si>
  <si>
    <t xml:space="preserve">2 keg x 30 org    </t>
  </si>
  <si>
    <t>10.000.000</t>
  </si>
  <si>
    <t>15.000.000</t>
  </si>
  <si>
    <t xml:space="preserve">3 keg x 30 org    </t>
  </si>
  <si>
    <t xml:space="preserve">3 keg x 40 org    </t>
  </si>
  <si>
    <t xml:space="preserve">3 keg x 50 org    </t>
  </si>
  <si>
    <t xml:space="preserve">Terlaksananya monitoring los daging &amp; pasar hewan                                                    </t>
  </si>
  <si>
    <t xml:space="preserve">6 psr induk &amp;   8 psr trdsnl                    </t>
  </si>
  <si>
    <t xml:space="preserve">6 psr induk &amp;   8 psr trdsnl                       </t>
  </si>
  <si>
    <t xml:space="preserve"> Pengelolaan Ternak Pemerintah</t>
  </si>
  <si>
    <t xml:space="preserve"> Pengembangan Unggas di Pedesaan (VPF)</t>
  </si>
  <si>
    <t xml:space="preserve"> Pengembangan Peternakan Berwawasan Lingkungan </t>
  </si>
  <si>
    <t>a.  Terlaksananya pembinaan  kelompok tani ternak</t>
  </si>
  <si>
    <t>50 klp</t>
  </si>
  <si>
    <t>45 klp</t>
  </si>
  <si>
    <t>40 klp</t>
  </si>
  <si>
    <t>35 klp</t>
  </si>
  <si>
    <t>b.  Terlaksananya monitoring dan evaluasi ternak pemerintah</t>
  </si>
  <si>
    <t>c.  Terlaksananya redistribusi ternak</t>
  </si>
  <si>
    <t xml:space="preserve">20 ekor </t>
  </si>
  <si>
    <t>20 ekor</t>
  </si>
  <si>
    <t>a. Terlaksananya pengadaan ternak unggas</t>
  </si>
  <si>
    <t>300 ekor</t>
  </si>
  <si>
    <t>b.  Terlaksananya pengadaan mesin tetas</t>
  </si>
  <si>
    <t xml:space="preserve">c.  Terlaksananya pengadaan pakan unggas </t>
  </si>
  <si>
    <t>a.  Terlaksananya pengadaan ternak domba, kambing, kelinci, itik, ayam</t>
  </si>
  <si>
    <t xml:space="preserve"> kelinci 220 ekor dan ayam 530 ekor</t>
  </si>
  <si>
    <t>domba 1400 ekor, kambing 1000 ekor, kelinci 330 ekor, itik 200 ekor</t>
  </si>
  <si>
    <t>domba 896 ek , kambing 252 ek, kelinci 132  ek, itik264 ek</t>
  </si>
  <si>
    <t>domba 100 ek, kambing 100 ek,kelinci 220 ek, itik 330 ek</t>
  </si>
  <si>
    <t>b.  Terlaksananya pengadaan alat-alat peternakan</t>
  </si>
  <si>
    <t>UPPO  4 unit, Chopper 4 unit</t>
  </si>
  <si>
    <t>APPO 2 unit</t>
  </si>
  <si>
    <t>APPO 3 unit</t>
  </si>
  <si>
    <t>APPO 4 unit</t>
  </si>
  <si>
    <t>c.  Terlaksananya pelatihan pupuk organik dan pelatihan management kambing perah</t>
  </si>
  <si>
    <t>16 kegiatan</t>
  </si>
  <si>
    <t>11 keg</t>
  </si>
  <si>
    <t>20 keg</t>
  </si>
  <si>
    <t>d.  Terlaksananya pengadaan HMT (bibit rumput unggul/tegakan)</t>
  </si>
  <si>
    <t>2000 stek</t>
  </si>
  <si>
    <t xml:space="preserve">1 paket </t>
  </si>
  <si>
    <t xml:space="preserve"> Fasilitasi Pengembangan Kelompok Penerima Bantuan Ternak</t>
  </si>
  <si>
    <t>a.  Terlaksananya pembinaan kelompok tani penerima bantuan sosial/hibah</t>
  </si>
  <si>
    <t>200 klp</t>
  </si>
  <si>
    <t>b.  Terlaksananya pembuatan buku saku bagi kelompok penerima bantuan sosial/hibah</t>
  </si>
  <si>
    <t>150 buku</t>
  </si>
  <si>
    <t>c.  Terlaksananya pelatihan pemasaran ternak dan management budidaya ternak</t>
  </si>
  <si>
    <t>6 kegiatan</t>
  </si>
  <si>
    <t>Pengembangan Peternakan Berintegrasi dengan Tanaman Pangan</t>
  </si>
  <si>
    <t>a.  Terlaksananya pengadaan ternak domba</t>
  </si>
  <si>
    <t>132 ekor</t>
  </si>
  <si>
    <t>b.  Terlaksananya pengadaan alat pengolah pakan ternak ( chopper, tong, deklit, gembor dll)</t>
  </si>
  <si>
    <t xml:space="preserve">c.  Terlaksananya sosialisasi dan pembinaan </t>
  </si>
  <si>
    <t>4 kelompok</t>
  </si>
  <si>
    <t>Pembinaan dan Pelatihan Pengolahan Produk Hasil Ternak</t>
  </si>
  <si>
    <t xml:space="preserve">b. Terlaksananya Pelatihan Pengolahan Produk Hasil Ternak </t>
  </si>
  <si>
    <t>c. Terlaksananya pengadaan alat pengolah hasil</t>
  </si>
  <si>
    <t xml:space="preserve"> Fasilitasi Kelompok Penerima Pasar Ternak</t>
  </si>
  <si>
    <t>a.Terlaksananya peningkatan pemasaran ternak</t>
  </si>
  <si>
    <t>1 kelompok</t>
  </si>
  <si>
    <t>Pembangunan/rehab prasarana UPR</t>
  </si>
  <si>
    <t>3 unit</t>
  </si>
  <si>
    <t>7 unit</t>
  </si>
  <si>
    <t>8 unit</t>
  </si>
  <si>
    <t xml:space="preserve">pembangunan/rehab prasarana BBI </t>
  </si>
  <si>
    <t xml:space="preserve"> Pembangunan/rehab kolam pembesaran  </t>
  </si>
  <si>
    <t>15 unit</t>
  </si>
  <si>
    <t>23 unit</t>
  </si>
  <si>
    <t>20 unit</t>
  </si>
  <si>
    <t>25 unit</t>
  </si>
  <si>
    <t>27 unit</t>
  </si>
  <si>
    <t>30 unit</t>
  </si>
  <si>
    <t>Pembangunan/rehab wadah budidaya ikan/kolam</t>
  </si>
  <si>
    <t xml:space="preserve">Terlaks.nya penyediaan wadah budidaya ikan(kolam, terpal, bak fiber) </t>
  </si>
  <si>
    <t>10 klp</t>
  </si>
  <si>
    <t>20 klp</t>
  </si>
  <si>
    <t>12 klp</t>
  </si>
  <si>
    <t>30 klp</t>
  </si>
  <si>
    <t>34 klp</t>
  </si>
  <si>
    <t>36 klp</t>
  </si>
  <si>
    <t>38 klp</t>
  </si>
  <si>
    <t>10  klp</t>
  </si>
  <si>
    <t>11 klp</t>
  </si>
  <si>
    <t>14 klp</t>
  </si>
  <si>
    <t>15 klp</t>
  </si>
  <si>
    <t xml:space="preserve"> Penyaluran bantuan langsung masyarakat berupa modal usaha untuk pengadaan Saprokan (sarana Produksi perikanan)</t>
  </si>
  <si>
    <t xml:space="preserve"> Pembangunan unit Pos Layanan kesehatan ikan dan lingkungan </t>
  </si>
  <si>
    <t xml:space="preserve"> a. Pembangunan/rehab kawasan minapolitan</t>
  </si>
  <si>
    <t>5 unit</t>
  </si>
  <si>
    <t>6 unit</t>
  </si>
  <si>
    <t xml:space="preserve">a. Tersusunnya Dokumen DED Minapolitan            </t>
  </si>
  <si>
    <t>a. Terlaks.nya diversifikasi usaha tanaman padi dengan ikan</t>
  </si>
  <si>
    <t>4 Ha</t>
  </si>
  <si>
    <t>5 Ha</t>
  </si>
  <si>
    <t>7 Ha</t>
  </si>
  <si>
    <t>8 Ha</t>
  </si>
  <si>
    <t xml:space="preserve">a. Terlaks.nya pengembg.pembg.kawasan budidaya ikan hias, </t>
  </si>
  <si>
    <t>a.Terlaks.nya penyediaan alat bantu penyuluhan perikanan,(water test kit, kamera, buku perpust, mebelair)</t>
  </si>
  <si>
    <t>a.Terlaksananya keg.pelatihan/magang/workshop/studi banding bagi pembudiddaya ikan/pengolah/pemasar hasil perikanan</t>
  </si>
  <si>
    <t xml:space="preserve">a. Terlaks.pelatihan pengolahan hasil perikanan,  </t>
  </si>
  <si>
    <t xml:space="preserve">a. Terlaks.nya pembg./rehab depo pemasaran hasil perikanan skala kecil, tempat pemasaran benih ikan, kios mini hasil perikanan dan pasar ikan tradisional, </t>
  </si>
  <si>
    <t xml:space="preserve">a.Terlaks.nya penyaluran bantuan langsung masyarakat untuk modal usaha </t>
  </si>
  <si>
    <t>6 klp</t>
  </si>
  <si>
    <t>7 klp</t>
  </si>
  <si>
    <t>8 klp</t>
  </si>
  <si>
    <t>9 klp</t>
  </si>
  <si>
    <t>a. Terwujudnya jejaring kerja FORIKAN, gemarikan</t>
  </si>
  <si>
    <t xml:space="preserve">a. Terlaks.nya penebaran benih ikan dan penyediaan alat tangkap,  </t>
  </si>
  <si>
    <r>
      <rPr>
        <i/>
        <sz val="11"/>
        <color theme="1"/>
        <rFont val="Calibri"/>
        <family val="2"/>
        <scheme val="minor"/>
      </rPr>
      <t>(SPM 1)</t>
    </r>
    <r>
      <rPr>
        <sz val="11"/>
        <color theme="1"/>
        <rFont val="Calibri"/>
        <family val="2"/>
        <scheme val="minor"/>
      </rPr>
      <t xml:space="preserve"> Tersedia satuan pendidikan dalam jarak yang terjangkau dengan berjalan kaki yaitu maksimal 3 km untuk SD/MI dan 6 km untuk SMP/MTs dari kelompok permukiman permanen di daerah terpencil</t>
    </r>
  </si>
  <si>
    <r>
      <rPr>
        <i/>
        <sz val="11"/>
        <color theme="1"/>
        <rFont val="Calibri"/>
        <family val="2"/>
        <scheme val="minor"/>
      </rPr>
      <t>(SPM 3)</t>
    </r>
    <r>
      <rPr>
        <sz val="11"/>
        <color theme="1"/>
        <rFont val="Calibri"/>
        <family val="2"/>
        <scheme val="minor"/>
      </rPr>
      <t xml:space="preserve"> Di setiap SMP dan MTs tersedia ruang laboratorium IPA yang dilengkapi dengan meja dan kursi yang cukup untuk 36 peserta didik dan minimal satu set peralatan praktek IPA untuk demonstrasi dan eksperimen peserta didik.</t>
    </r>
  </si>
  <si>
    <r>
      <rPr>
        <i/>
        <sz val="11"/>
        <color theme="1"/>
        <rFont val="Calibri"/>
        <family val="2"/>
        <scheme val="minor"/>
      </rPr>
      <t>(SPM 4)</t>
    </r>
    <r>
      <rPr>
        <sz val="11"/>
        <color theme="1"/>
        <rFont val="Calibri"/>
        <family val="2"/>
        <scheme val="minor"/>
      </rPr>
      <t xml:space="preserve"> Di setiap SD/MI dan SMP/MTs tersedia satu ruang guru yang dilengkapi dengan meja dan kursi untuk setiap orang guru, kepala sekolah dan staf kependidikan lainnya; dan di setiap SMP/MTs tersedia ruang kepala sekolah yang terpisah dari ruang guru</t>
    </r>
  </si>
  <si>
    <r>
      <rPr>
        <i/>
        <sz val="11"/>
        <color theme="1"/>
        <rFont val="Calibri"/>
        <family val="2"/>
        <scheme val="minor"/>
      </rPr>
      <t>(SPM 5)</t>
    </r>
    <r>
      <rPr>
        <sz val="11"/>
        <color theme="1"/>
        <rFont val="Calibri"/>
        <family val="2"/>
        <scheme val="minor"/>
      </rPr>
      <t xml:space="preserve"> Di setiap SD/MI tersedia 1 (satu) orang guru untuk setiap 32 peserta didik dan 6 (enam) orang guru untuk setiap satuan pendidikan</t>
    </r>
  </si>
  <si>
    <r>
      <rPr>
        <i/>
        <sz val="11"/>
        <color theme="1"/>
        <rFont val="Calibri"/>
        <family val="2"/>
        <scheme val="minor"/>
      </rPr>
      <t>(SPM 6)</t>
    </r>
    <r>
      <rPr>
        <sz val="11"/>
        <color theme="1"/>
        <rFont val="Calibri"/>
        <family val="2"/>
        <scheme val="minor"/>
      </rPr>
      <t xml:space="preserve"> Di setiap SMP/MTs tersedia 1 (satu) orang guru untuk setiap mata pelajaran</t>
    </r>
  </si>
  <si>
    <r>
      <rPr>
        <i/>
        <sz val="11"/>
        <color theme="1"/>
        <rFont val="Calibri"/>
        <family val="2"/>
        <scheme val="minor"/>
      </rPr>
      <t>(SPM 7)</t>
    </r>
    <r>
      <rPr>
        <sz val="11"/>
        <color theme="1"/>
        <rFont val="Calibri"/>
        <family val="2"/>
        <scheme val="minor"/>
      </rPr>
      <t xml:space="preserve"> Di setiap SD/MI tersedia 2 (dua) orang guru yang memenuhi kualifikasi akademik S1 atau D-IV dan 2 (dua) orang guru yang telah memiliki sertifikat pendidik</t>
    </r>
  </si>
  <si>
    <r>
      <rPr>
        <i/>
        <sz val="11"/>
        <color theme="1"/>
        <rFont val="Calibri"/>
        <family val="2"/>
        <scheme val="minor"/>
      </rPr>
      <t>(SPM 8)</t>
    </r>
    <r>
      <rPr>
        <sz val="11"/>
        <color theme="1"/>
        <rFont val="Calibri"/>
        <family val="2"/>
        <scheme val="minor"/>
      </rPr>
      <t xml:space="preserve"> Di setiap SMP/MTs tersedia guru dengan kualifikasi akademik S-1 atau D-IV sebanyak 70% dan separuh diantaranya (35% dari seluruh guru) telah memiliki sertifikat pendidik</t>
    </r>
  </si>
  <si>
    <r>
      <rPr>
        <i/>
        <sz val="11"/>
        <color theme="1"/>
        <rFont val="Calibri"/>
        <family val="2"/>
        <scheme val="minor"/>
      </rPr>
      <t>(SPM 9)</t>
    </r>
    <r>
      <rPr>
        <sz val="11"/>
        <color theme="1"/>
        <rFont val="Calibri"/>
        <family val="2"/>
        <scheme val="minor"/>
      </rPr>
      <t xml:space="preserve"> Di setiap SMP/MTs tersedia guru dengan kualifikasi akademik S-1 atau D-IV dan telah memiliki sertifikat pendidik masing-masing satu orang untuk mata pelajaran Matematika, IPA, Bahasa Indonesia, Bahasa Inggris dan PKn.</t>
    </r>
  </si>
  <si>
    <r>
      <rPr>
        <i/>
        <sz val="11"/>
        <color theme="1"/>
        <rFont val="Calibri"/>
        <family val="2"/>
        <scheme val="minor"/>
      </rPr>
      <t>(SPM 10)</t>
    </r>
    <r>
      <rPr>
        <sz val="11"/>
        <color theme="1"/>
        <rFont val="Calibri"/>
        <family val="2"/>
        <scheme val="minor"/>
      </rPr>
      <t xml:space="preserve"> Di setiap kabupaten/kota semua kepala SD/MI berkualifikasi akademik S-1 atau D-IV dan telah memiliki sertifikat pendidik</t>
    </r>
  </si>
  <si>
    <r>
      <rPr>
        <i/>
        <sz val="11"/>
        <color theme="1"/>
        <rFont val="Calibri"/>
        <family val="2"/>
        <scheme val="minor"/>
      </rPr>
      <t xml:space="preserve">(SPM 11) </t>
    </r>
    <r>
      <rPr>
        <sz val="11"/>
        <color theme="1"/>
        <rFont val="Calibri"/>
        <family val="2"/>
        <scheme val="minor"/>
      </rPr>
      <t>Di setiap kabupaten/kota semua kepala SMP/MTs berkualifikasi akademik S-1 atau D-IV dan telah memiliki sertifikat pendidik</t>
    </r>
  </si>
  <si>
    <r>
      <rPr>
        <i/>
        <sz val="11"/>
        <color theme="1"/>
        <rFont val="Calibri"/>
        <family val="2"/>
        <scheme val="minor"/>
      </rPr>
      <t>(SPM 12)</t>
    </r>
    <r>
      <rPr>
        <sz val="11"/>
        <color theme="1"/>
        <rFont val="Calibri"/>
        <family val="2"/>
        <scheme val="minor"/>
      </rPr>
      <t xml:space="preserve"> Di setiap kabupaten/kota semua pengawas sekolah/madrasah memiliki kualifikasi akademik S-1 atau D-IV dan telah memiliki sertifikat pendidik</t>
    </r>
  </si>
  <si>
    <r>
      <rPr>
        <i/>
        <sz val="11"/>
        <color theme="1"/>
        <rFont val="Calibri"/>
        <family val="2"/>
        <scheme val="minor"/>
      </rPr>
      <t>(SPM 13)</t>
    </r>
    <r>
      <rPr>
        <sz val="11"/>
        <color theme="1"/>
        <rFont val="Calibri"/>
        <family val="2"/>
        <scheme val="minor"/>
      </rPr>
      <t xml:space="preserve"> Pemerintah kabupaten/kota memiliki rencana dan melaksana-kan kegiatan untuk mem-bantu satuan pendidikan dalam mengembangkan kurikulum dan proses pembelajaran yang efektif</t>
    </r>
  </si>
  <si>
    <r>
      <rPr>
        <i/>
        <sz val="11"/>
        <color theme="1"/>
        <rFont val="Calibri"/>
        <family val="2"/>
        <scheme val="minor"/>
      </rPr>
      <t>(SPM 14)</t>
    </r>
    <r>
      <rPr>
        <sz val="11"/>
        <color theme="1"/>
        <rFont val="Calibri"/>
        <family val="2"/>
        <scheme val="minor"/>
      </rPr>
      <t xml:space="preserve"> Kunjungan pengawas ke satuan pendidikan dilakukan satu kali setiap bulan dan setiap kunjungan dilakukan selama 3 jam untuk melakukan supervisi dan pembinaan</t>
    </r>
  </si>
  <si>
    <r>
      <rPr>
        <b/>
        <sz val="11"/>
        <color indexed="8"/>
        <rFont val="Calibri"/>
        <family val="2"/>
        <scheme val="minor"/>
      </rPr>
      <t xml:space="preserve">a.  </t>
    </r>
    <r>
      <rPr>
        <sz val="11"/>
        <color indexed="8"/>
        <rFont val="Calibri"/>
        <family val="2"/>
        <scheme val="minor"/>
      </rPr>
      <t xml:space="preserve"> Terlaksananya</t>
    </r>
    <r>
      <rPr>
        <b/>
        <sz val="11"/>
        <color indexed="8"/>
        <rFont val="Calibri"/>
        <family val="2"/>
        <scheme val="minor"/>
      </rPr>
      <t xml:space="preserve"> </t>
    </r>
    <r>
      <rPr>
        <sz val="11"/>
        <color indexed="8"/>
        <rFont val="Calibri"/>
        <family val="2"/>
        <scheme val="minor"/>
      </rPr>
      <t>pembinaan kelompok tani penerima bantuan</t>
    </r>
  </si>
  <si>
    <r>
      <t>Terlaksananya penyediaan sarana operasional petugas statistik dan peralatan pengolah data statistik (</t>
    </r>
    <r>
      <rPr>
        <sz val="11"/>
        <color indexed="8"/>
        <rFont val="Calibri"/>
        <family val="2"/>
        <scheme val="minor"/>
      </rPr>
      <t>komputer dan kelengkapannya )</t>
    </r>
  </si>
  <si>
    <t>Program Kegiatan di Kecamatan</t>
  </si>
  <si>
    <t>Program Kegiatan di Kelurahan</t>
  </si>
  <si>
    <t>JUMLAH ANGGARAN URUSAN PENDIDIKAN</t>
  </si>
  <si>
    <t>JUMLAH ANGGARAN URUSAN KESEHATAN</t>
  </si>
  <si>
    <t>JUMLAH ANGGARAN URUSAN PEKERJAAN UMUM</t>
  </si>
  <si>
    <t>JUMLAH ANGGARAN URUSAN PERUMAHAN RAKYAT</t>
  </si>
  <si>
    <t>JUMLAH ANGGARAN URUSAN PENATAAN RUANG</t>
  </si>
  <si>
    <t>JUMLAH ANGGARAN URUSAN PERHUBUNGAN</t>
  </si>
  <si>
    <t>JUMLAH ANGGARAN URUSAN LINGKUNGAN HIDUP</t>
  </si>
  <si>
    <t>JUMLAH ANGGARAN URUSAN PERTANAHAN</t>
  </si>
  <si>
    <t>JUMLAH ANGGARAN URUSAN KEPENDUDUKAN DAN CATATAN SIPIL</t>
  </si>
  <si>
    <t>JUMLAH ANGGARAN URUSAN PEMBERDAYAAN PEREMPUAN DAN PERLINDUNGAN ANAK</t>
  </si>
  <si>
    <t>JUMLAH ANGGARAN URUSAN KELUARGA BERENCANA</t>
  </si>
  <si>
    <t>JUMLAH ANGGARAN URUSAN SOSIAL</t>
  </si>
  <si>
    <t>JUMLAH ANGGARAN URUSAN KETENAGA KERJAAN</t>
  </si>
  <si>
    <t>JUMLAH ANGGARAN URUSAN KOPERASI DAN UMKM</t>
  </si>
  <si>
    <t>JUMLAH ANGGARAN URUSAN PENANAMAN MODAL</t>
  </si>
  <si>
    <t>JUMLAH ANGGARAN URUSAN KEBUDAYAAN</t>
  </si>
  <si>
    <t>JUMLAH ANGGARAN URUSAN PEMUDA DAN OLAH RAGA</t>
  </si>
  <si>
    <t>JUMLAH ANGGARAN URUSAN KESATUAN BANGSA DAN POLITIK DALAM NEGERI</t>
  </si>
  <si>
    <t>JUMLAH ANGGARAN OTONOMI DAERAH, PEMERINTAHAN UMUM, ADMINISTRASI KEUANGAN DAERAH, PERANGKAT DAERAH, KEPEGAWAIAN, DAN PERSANDIAN</t>
  </si>
  <si>
    <t>JUMLAH ANGGARAN URUSAN KETAHANAN PANGAN</t>
  </si>
  <si>
    <t>JUMLAH ANGGARAN URUSAN PEMBERDAYAAN MASYARAKAT DESA</t>
  </si>
  <si>
    <t>JUMLAH ANGGARAN URUSAN STATISTIK</t>
  </si>
  <si>
    <t>JUMLAH ANGGARAN URUSAN KEARSIPAN</t>
  </si>
  <si>
    <t>JUMLAH ANGGARAN URUSAN KOMUNIKASI DAN INFORMATIKA</t>
  </si>
  <si>
    <t>JUMLAH ANGGARAN URUSAN PERPUSTAKAAN</t>
  </si>
  <si>
    <t>JUMLAH ANGGARAN URUSAN PERTANIAN</t>
  </si>
  <si>
    <t>JUMLAH ANGGARAN URUSAN KEHUTANAN</t>
  </si>
  <si>
    <t>JUMLAH ANGGARAN URUSAN ENERGI DAN ESDM</t>
  </si>
  <si>
    <t>JUMLAH ANGGARAN URUSAN PARIWISATA</t>
  </si>
  <si>
    <t>JUMLAH ANGGARAN URUSAN KELAUTAAN DAN PERIKANAN</t>
  </si>
  <si>
    <t>JUMLAH ANGGARAN URUSAN PERDAGANGAN</t>
  </si>
  <si>
    <t>JUMLAH ANGGARAN URUSAN TRANSMIGRASI</t>
  </si>
  <si>
    <t>J U M L A H  T O T A L</t>
  </si>
  <si>
    <t>Tercukupinya data Statistik daerah</t>
  </si>
  <si>
    <t>Terlaksananya Perencanaan Pembangunan daerah yang sinergi dan sistematis sesuai dokumen oerencanaan yang ada</t>
  </si>
  <si>
    <t>JUMLAH ANGGARAN URUSAN PERENCANAAN PEMBANGUNAN</t>
  </si>
  <si>
    <t>DPU/Pemerintahan Umum</t>
  </si>
  <si>
    <t>94.3</t>
  </si>
  <si>
    <t>3,46</t>
  </si>
  <si>
    <t>16,26</t>
  </si>
  <si>
    <t>12,50</t>
  </si>
  <si>
    <t>13,50</t>
  </si>
  <si>
    <t>14,50</t>
  </si>
  <si>
    <t>Terwujudnya TPA Temanggung wilayah Utara</t>
  </si>
  <si>
    <t>65,62</t>
  </si>
  <si>
    <t>68,13</t>
  </si>
  <si>
    <t>70,65</t>
  </si>
  <si>
    <t>71,90</t>
  </si>
  <si>
    <t>73,16</t>
  </si>
  <si>
    <t>74,42</t>
  </si>
  <si>
    <t>29,35</t>
  </si>
  <si>
    <t>34,70</t>
  </si>
  <si>
    <t>40,06</t>
  </si>
  <si>
    <t>45,41</t>
  </si>
  <si>
    <t>50,76</t>
  </si>
  <si>
    <t>1 ; 17</t>
  </si>
  <si>
    <t>68,07</t>
  </si>
  <si>
    <t>69,95</t>
  </si>
  <si>
    <t>72,76</t>
  </si>
  <si>
    <t>75,12</t>
  </si>
  <si>
    <t>77,46</t>
  </si>
  <si>
    <t>79,81</t>
  </si>
  <si>
    <t>82,6</t>
  </si>
  <si>
    <t>71,36</t>
  </si>
  <si>
    <t>73,71</t>
  </si>
  <si>
    <t>76,06</t>
  </si>
  <si>
    <t>78,40</t>
  </si>
  <si>
    <t>80,75</t>
  </si>
  <si>
    <t>83,10</t>
  </si>
  <si>
    <t>85,45</t>
  </si>
  <si>
    <t>PDRB per Kapita</t>
  </si>
  <si>
    <t>Indeks Ketimpangan William son/ Indeks Ketimpangan Regional</t>
  </si>
  <si>
    <t>Ton/Ha</t>
  </si>
  <si>
    <t>5,6</t>
  </si>
  <si>
    <t>25,01</t>
  </si>
  <si>
    <t>0,91</t>
  </si>
  <si>
    <t>0,75</t>
  </si>
  <si>
    <t>pasar dimaksud diluar pasar desa dan Pasar BUMD (Pasar Kranggan, Candiroto, Pingit, Pasar Burung Kerkof, Penataan Kios Komplek Alun alun, Pasar Hewan Temanggung )</t>
  </si>
  <si>
    <t>Jumlah sengketa yang diselesaikan dibagi total jumlah sengketa yang dilaporkan</t>
  </si>
  <si>
    <t xml:space="preserve">Jumlah Koperasi aktif dibagi jumlah total koperasi kali 100% </t>
  </si>
  <si>
    <t>Meningkatnya LKM berbadan Hukum dan antisipasi UU No 1 tahun 2013 tentang LKM. Dimumgkinkan tidak semua menjadi LKM (kondisi 2013=371)</t>
  </si>
  <si>
    <t>Akumulasi Jumlah UKM yang mendapat fasilitasi kredit permodalan tahun ke n</t>
  </si>
  <si>
    <t>Jumlah Lembaga Masyarakat Desa Hutan (LMDH) dan kelompok konservasi yang diberdayakan dibagi jumlah total LMDH (40 kelompok) dan kelompok konservasi yang ada kali 100%</t>
  </si>
  <si>
    <t>Cakupan Lembaga Kesejahteraan sosial/panti sosial yang menyediakan sarana dan prasarana pelayanan kesejahteraan sosial</t>
  </si>
  <si>
    <t>BPBD / Dinsos</t>
  </si>
  <si>
    <t>Jumlah kegiatan kepemudaan dalam satu tahun</t>
  </si>
  <si>
    <t xml:space="preserve">ada 9 Kegiatan Kejuaraan </t>
  </si>
  <si>
    <t>Jumlah alat berat dalam kondisi baik dibagi jumlah alat berat yang ada x 100</t>
  </si>
  <si>
    <t>Cakupan Fasilitas Pengurangan Sampah di Perkotaan (TPST 3R)</t>
  </si>
  <si>
    <t>satuan unit</t>
  </si>
  <si>
    <t>Persentase Luas Lahan yang ditetapkan dan diinformasikan status kerusakan lahan atau tanah untuk Produksi Biomassa Kerusakannya</t>
  </si>
  <si>
    <t>jumlah frequensi pengujian dibagi (jumlah kendaraan yang di uji x 2 )x 100</t>
  </si>
  <si>
    <t>jumlah rambu keselamatan jalan dibagi jumlah rambu yang seharusnya terpasang x 100</t>
  </si>
  <si>
    <t>jumlah trayek angkutan umum dibagi jumlah jaringan jalan kabupaten yang tersedia x 100</t>
  </si>
  <si>
    <t>Jumlah anak terlantar yang dibina dibagi jumlah anak terlantar yang ada x 100 %</t>
  </si>
  <si>
    <t>Jumlah PMKS yang telah direhabilitasi dalam 1 tahun dibagi Jumlah PMKS yang seharusnya direhabilitasi x 100 %</t>
  </si>
  <si>
    <t>Penanganan nya baru sampai tahap non yustisial</t>
  </si>
  <si>
    <t>jumlah pelanggaran perda dan atau peraturan kepala daerah yang ditangani di tahun bersangkutan di bagi jumlah pelanggaran perda dan atau peraturan kepala daerah yang dilaporkan dan atau dipantau di tahun bersangkutan kali  100</t>
  </si>
  <si>
    <t>Jumlah penanganan demo dibagi jumlah demo yang terjadi x 100%</t>
  </si>
  <si>
    <t>Penanganan berkoordinasi dengan kepolisian</t>
  </si>
  <si>
    <t>Berkoordinasi dengan kepolisian</t>
  </si>
  <si>
    <t>Rasio ideal 1 Linmas per RT</t>
  </si>
  <si>
    <t>Rasio maksimal adalah 25 anak/kelas</t>
  </si>
  <si>
    <t>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t>
  </si>
  <si>
    <t>Unit/10 000 penduduk usia sekolah</t>
  </si>
  <si>
    <t>14,71</t>
  </si>
  <si>
    <t>14,28</t>
  </si>
  <si>
    <t>Akreditasi menjadi kewenangan BAN-PNF (sampai saat ini ada 9,17% TK yang belum terakreditasi)</t>
  </si>
  <si>
    <t>diharapkan di tahun 2018 tinggal 1,1% yang belum terakreditasi</t>
  </si>
  <si>
    <t>Akreditasi menjadi kewenangan BAN-PNF dan kewenangan ini belum dilaksanakan</t>
  </si>
  <si>
    <t>diharapkan di tahun 2018 tinggal 0,98% yang belum terakreditasi</t>
  </si>
  <si>
    <t>Cakupan ketersediaan rencana pengembangan kurikulum dan proses pembelajaran yang efektif</t>
  </si>
  <si>
    <t>Cakupan Kunjungan pengawas  Sekolah ke satuan pendidikan.</t>
  </si>
  <si>
    <t>diharapkan di tahun 2018 tinggal 3,72% yang belum terakreditasi</t>
  </si>
  <si>
    <t>diharapkan di tahun 2018 tinggal 1,56% program keahlian yang belum terakreditasi</t>
  </si>
  <si>
    <t>target capaian sangat tergantung dengan kualitas materi ujian.</t>
  </si>
  <si>
    <t>kualifikasi akademik adalah setara dengan S1/D4 dan belum melihat standar kompetensi.</t>
  </si>
  <si>
    <t xml:space="preserve">Cakupan ketersediaan guru  SD/MI. </t>
  </si>
  <si>
    <t xml:space="preserve">Cakupan ketersediaan guru  SMP/MTS per Satuan mata pelajaran. </t>
  </si>
  <si>
    <t>Cakupan kualifikasi guru SMP/MTs.</t>
  </si>
  <si>
    <t xml:space="preserve">Cakupan kualifikasi akademik Kepala SD/MI. </t>
  </si>
  <si>
    <t xml:space="preserve">Cakupan Kualifikasi Akademik Kepala SMP/MTs </t>
  </si>
  <si>
    <t>Cakupan Kualifikasi Akademik  pengawas sekolah/Madrasah.</t>
  </si>
  <si>
    <t>Capaian Target Tergantung dengan kebijakan kementerian Pendidikan dan Kebudayaan.</t>
  </si>
  <si>
    <t>Cakupan keterjangkauan  satuan pendidikan SD/MI dan6 km untuk SMP/MTs dari kelompok permukiman permanen di daerah terpencil</t>
  </si>
  <si>
    <t>Cakupan ketersediaan Sarana prasarana kelas (SD/MI dan SMP/MTs)</t>
  </si>
  <si>
    <t xml:space="preserve">Cakupan ketersediaan laboratorium IPA SMP dan MTs </t>
  </si>
  <si>
    <t xml:space="preserve">Cakupan Ketersediaan Ruang Guru </t>
  </si>
  <si>
    <t>8,34</t>
  </si>
  <si>
    <t>4,32</t>
  </si>
  <si>
    <t>4,34</t>
  </si>
  <si>
    <t>12,34</t>
  </si>
  <si>
    <t>16,34</t>
  </si>
  <si>
    <t>20,34</t>
  </si>
  <si>
    <t>24,34</t>
  </si>
  <si>
    <t>Sasaran : KK RTLH dari Keluarga Fakir Miskin menggunakan basik data RTLH Tahun 2013</t>
  </si>
  <si>
    <t xml:space="preserve"> sasaran : Penyandang Cacat Fisik dan Mental serta Lansia Non Potensial Terlantar menggunakan basik data tahun 2013</t>
  </si>
  <si>
    <t>PMKS yang menjadi sasaran pada IKD ini adalah FM, PRSE, LANSIA Potensial, Penyandang Disabilitas menggunakan basik data tahun 2013</t>
  </si>
  <si>
    <t>96,60</t>
  </si>
  <si>
    <t>3,40</t>
  </si>
  <si>
    <t>77,41</t>
  </si>
  <si>
    <t>Jumlah pondok Pesantren yang dibantu dibagi Jumlah  Pondok Pesantren yang mengajukan proposal x 100</t>
  </si>
  <si>
    <t>Jumlah TPQ yang dibantu dibagi Jumlah TPQ yang mengajukan proposal x 100</t>
  </si>
  <si>
    <t>Jumlah Madrasah Diniyah yang dibantu dibagi Jumlah Madrasah Diniyah yang mengajukan proposal x 100</t>
  </si>
  <si>
    <t>Jumlah Tempat Ibadah yang dibantu dibagi Jumlah Tempat Ibadah yang mengajukan proposal</t>
  </si>
  <si>
    <t>Persentase Menurunnya Rumah Tangga Sasaran (Angka Kemiskinan)</t>
  </si>
  <si>
    <t>Angka Kelahiran anak sapi (pedet)  melalui Inseminasi Buatan</t>
  </si>
  <si>
    <t>Jumlah kelahiran anak sapi (pedet) dibagi jumlah penggunaan straw  kali 100%</t>
  </si>
  <si>
    <t>6,15</t>
  </si>
  <si>
    <t>Total Produksi dibagi Luas Lahan</t>
  </si>
  <si>
    <t xml:space="preserve">Peningkatan produktifitas Padi </t>
  </si>
  <si>
    <t>Peningkatan produktifitas Jagung</t>
  </si>
  <si>
    <t>Peningkatan produktifitas Ubi kayu</t>
  </si>
  <si>
    <t>24,48</t>
  </si>
  <si>
    <t>25,51</t>
  </si>
  <si>
    <t>26,02</t>
  </si>
  <si>
    <t>26,54</t>
  </si>
  <si>
    <t>27,07</t>
  </si>
  <si>
    <t>27,61</t>
  </si>
  <si>
    <t>4,02</t>
  </si>
  <si>
    <t>6,30</t>
  </si>
  <si>
    <t>6,50</t>
  </si>
  <si>
    <t>6,70</t>
  </si>
  <si>
    <t>Peningkatan produktifitas Kobis</t>
  </si>
  <si>
    <t>23,90</t>
  </si>
  <si>
    <t>24,50</t>
  </si>
  <si>
    <t>24,99</t>
  </si>
  <si>
    <t>25,49</t>
  </si>
  <si>
    <t>26,00</t>
  </si>
  <si>
    <t>26,52</t>
  </si>
  <si>
    <t>27,05</t>
  </si>
  <si>
    <t>Peningkatan produktifitas Tembakau</t>
  </si>
  <si>
    <t>Peningkatan produktifitas Kopi Robusta</t>
  </si>
  <si>
    <t>1,1</t>
  </si>
  <si>
    <t>0,95</t>
  </si>
  <si>
    <t>0,97</t>
  </si>
  <si>
    <t>0,99</t>
  </si>
  <si>
    <t>1,00</t>
  </si>
  <si>
    <t>1,10</t>
  </si>
  <si>
    <t>Peningkatan produktifitas Kopi Arabika</t>
  </si>
  <si>
    <t>0,80</t>
  </si>
  <si>
    <t>0,82</t>
  </si>
  <si>
    <t>0,85</t>
  </si>
  <si>
    <t>0,87</t>
  </si>
  <si>
    <t>0,90</t>
  </si>
  <si>
    <t xml:space="preserve">163,20 </t>
  </si>
  <si>
    <t>169,79</t>
  </si>
  <si>
    <t>166,46</t>
  </si>
  <si>
    <t>173,19</t>
  </si>
  <si>
    <t>176,65</t>
  </si>
  <si>
    <t>Kg/Ekor</t>
  </si>
  <si>
    <t>Produktifitas sapi per ekor</t>
  </si>
  <si>
    <t>13,26</t>
  </si>
  <si>
    <t>13,13</t>
  </si>
  <si>
    <t>13,39</t>
  </si>
  <si>
    <t>13,53</t>
  </si>
  <si>
    <t>13,66</t>
  </si>
  <si>
    <t>Produktifitas Kambing per ekor</t>
  </si>
  <si>
    <t>Produktifitas domba per ekor</t>
  </si>
  <si>
    <t>produkstivitas adalah bobot daging yang dihasilkan per ekor</t>
  </si>
  <si>
    <t>Butir</t>
  </si>
  <si>
    <t xml:space="preserve">75.335.043 </t>
  </si>
  <si>
    <t>75.408.960</t>
  </si>
  <si>
    <t>Peningkatan produksi telur ayam ras petelur</t>
  </si>
  <si>
    <t>76.163.949</t>
  </si>
  <si>
    <t>76.924.680</t>
  </si>
  <si>
    <t>77.693.926</t>
  </si>
  <si>
    <t>78.470.866</t>
  </si>
  <si>
    <t>79.255.574</t>
  </si>
  <si>
    <t>Jumlah produksi telor</t>
  </si>
  <si>
    <t>Ekor</t>
  </si>
  <si>
    <t>Jumlah Populasi Sapi</t>
  </si>
  <si>
    <t>Jumlah Populasi Domba</t>
  </si>
  <si>
    <t>Jumlah Populasi Kambing</t>
  </si>
  <si>
    <t>Jumlah Populasi Ayam Buras</t>
  </si>
  <si>
    <t>Cakupan Pertumbuhan dan peningkatan kapasitas Pos Penyuluhan Desa (Posluhdes)</t>
  </si>
  <si>
    <t>Jumlah Desa/Kelurahan yang memiliki Posluhdes dibagi jumlah keseluruhan desa/kelurahan kali 100%</t>
  </si>
  <si>
    <t>Tumbuh dan meningkatnya Posluhdes (1 desa 1 Posluhdes). Pada akhir 2018 diharapkan terbentuk 254 (88%) posluhdes dari 289 desa/kelurahan yang ada</t>
  </si>
  <si>
    <t>Jumlah induk unggul yang digunakan dibagi jumlah total  penggunaan induk ikan untuk keg.pembenihan kali 100%</t>
  </si>
  <si>
    <t xml:space="preserve">Jumlah produksi benih ikan </t>
  </si>
  <si>
    <t xml:space="preserve">1,58 </t>
  </si>
  <si>
    <t xml:space="preserve">1,93 </t>
  </si>
  <si>
    <t xml:space="preserve">5,29 </t>
  </si>
  <si>
    <t xml:space="preserve">375,76 </t>
  </si>
  <si>
    <t xml:space="preserve">455,26 </t>
  </si>
  <si>
    <t xml:space="preserve">1188,51 </t>
  </si>
  <si>
    <t>Kg</t>
  </si>
  <si>
    <t xml:space="preserve">Jumlah hasil produksi pengolahan ikan per tahun </t>
  </si>
  <si>
    <t xml:space="preserve">16,87 </t>
  </si>
  <si>
    <t xml:space="preserve">117,88 </t>
  </si>
  <si>
    <t xml:space="preserve">119,17 </t>
  </si>
  <si>
    <t>120,19</t>
  </si>
  <si>
    <t>121,39</t>
  </si>
  <si>
    <t>122,61</t>
  </si>
  <si>
    <t>123,83</t>
  </si>
  <si>
    <t>125,07</t>
  </si>
  <si>
    <t xml:space="preserve">Luas lahan budidaya ikan </t>
  </si>
  <si>
    <t>Penambahan jumlah BUMPper tahun</t>
  </si>
  <si>
    <t xml:space="preserve">1.864,08 </t>
  </si>
  <si>
    <t xml:space="preserve">2.302,14 </t>
  </si>
  <si>
    <t xml:space="preserve">166,16 </t>
  </si>
  <si>
    <t>59,76</t>
  </si>
  <si>
    <t>17,27</t>
  </si>
  <si>
    <t>70,56</t>
  </si>
  <si>
    <t>70,61</t>
  </si>
  <si>
    <t>70,66</t>
  </si>
  <si>
    <t>Cakupan ketersediaan Guru SD/MI  yang memenuhi kualifikasi akademik S1 atau D-IV yang telah memiliki sertifikat pendidik</t>
  </si>
  <si>
    <t>6,19</t>
  </si>
  <si>
    <t>6,38</t>
  </si>
  <si>
    <t>6,58</t>
  </si>
  <si>
    <t>6,78</t>
  </si>
  <si>
    <t>6,99</t>
  </si>
  <si>
    <t>5,77</t>
  </si>
  <si>
    <t>6,03</t>
  </si>
  <si>
    <t>6,88</t>
  </si>
  <si>
    <t>0,66</t>
  </si>
  <si>
    <t>0,69</t>
  </si>
  <si>
    <t>0,72</t>
  </si>
  <si>
    <t>0,79</t>
  </si>
  <si>
    <t>Cakupan Pekerja atau Buruh yang Menjadi peserta Program Jamsostek/Program Sejenis</t>
  </si>
  <si>
    <t>pondok pesantren yang mengajukan proposaladalah yang memenuhi syarat-syarat yang ditentukan</t>
  </si>
  <si>
    <t>TPQ  yang mengajukan proposal adalah yang memenuhi syarat-syarat yang ditentukan</t>
  </si>
  <si>
    <t>Madrasah Diniyah yang mengajukan proposal adalah yang memenuhi syarat-syarat yang ditentukan</t>
  </si>
  <si>
    <t>Jumlah kecamatan yang sudah memiliki lembaga pendidikan menengah dibagi jumlah Kecamatan kali 100%</t>
  </si>
  <si>
    <t>14,12</t>
  </si>
  <si>
    <t>13,96</t>
  </si>
  <si>
    <t>13,91</t>
  </si>
  <si>
    <t>13,75</t>
  </si>
  <si>
    <t>13,57</t>
  </si>
  <si>
    <r>
      <t xml:space="preserve">Persentase Siswa SMA/MA/SMK yang Memperoleh Rerata Nilai Ujian Nasional </t>
    </r>
    <r>
      <rPr>
        <sz val="12"/>
        <rFont val="Calibri"/>
        <family val="2"/>
      </rPr>
      <t>≥</t>
    </r>
    <r>
      <rPr>
        <sz val="12"/>
        <rFont val="Arial Narrow"/>
        <family val="2"/>
      </rPr>
      <t xml:space="preserve"> 7,00</t>
    </r>
  </si>
  <si>
    <r>
      <t xml:space="preserve">Jumlah peserta Ujian Nasional SMA/MA/SMK yang memperoleh nilai rata-rata Ujian Nasional </t>
    </r>
    <r>
      <rPr>
        <sz val="12"/>
        <rFont val="Calibri"/>
        <family val="2"/>
      </rPr>
      <t>≥</t>
    </r>
    <r>
      <rPr>
        <sz val="12"/>
        <rFont val="Arial Narrow"/>
        <family val="2"/>
      </rPr>
      <t xml:space="preserve"> 7,00 dibagi jumlah peserta Ujian Nasional SMA/MA/SMK  kali 100%</t>
    </r>
  </si>
  <si>
    <r>
      <t xml:space="preserve">Jumlah pendidik TK/RA yang memiliki ijazah </t>
    </r>
    <r>
      <rPr>
        <sz val="12"/>
        <rFont val="Calibri"/>
        <family val="2"/>
      </rPr>
      <t>≥</t>
    </r>
    <r>
      <rPr>
        <sz val="12"/>
        <rFont val="Arial Narrow"/>
        <family val="2"/>
      </rPr>
      <t xml:space="preserve"> S1/D4 dibagi jumlah pendidik TK/RA kali 100%</t>
    </r>
  </si>
  <si>
    <r>
      <t xml:space="preserve">Jumlah pendidik SD/MI yang memiliki ijazah </t>
    </r>
    <r>
      <rPr>
        <sz val="12"/>
        <rFont val="Calibri"/>
        <family val="2"/>
      </rPr>
      <t>≥</t>
    </r>
    <r>
      <rPr>
        <sz val="12"/>
        <rFont val="Arial Narrow"/>
        <family val="2"/>
      </rPr>
      <t xml:space="preserve"> S1/D4 dibagi jumlah pendidik SD/MI kali 100%</t>
    </r>
  </si>
  <si>
    <r>
      <t xml:space="preserve">Jumlah pendidik SMP/MTs yang memiliki ijazah </t>
    </r>
    <r>
      <rPr>
        <sz val="12"/>
        <rFont val="Calibri"/>
        <family val="2"/>
      </rPr>
      <t>≥</t>
    </r>
    <r>
      <rPr>
        <sz val="12"/>
        <rFont val="Arial Narrow"/>
        <family val="2"/>
      </rPr>
      <t xml:space="preserve"> S1/D4 dibagi jumlah pendidik SMP/MTs kali 100%</t>
    </r>
  </si>
  <si>
    <r>
      <t xml:space="preserve">Jumlah pendidik SMA/MA yang memiliki ijazah </t>
    </r>
    <r>
      <rPr>
        <sz val="12"/>
        <rFont val="Calibri"/>
        <family val="2"/>
      </rPr>
      <t>≥</t>
    </r>
    <r>
      <rPr>
        <sz val="12"/>
        <rFont val="Arial Narrow"/>
        <family val="2"/>
      </rPr>
      <t xml:space="preserve"> S1/D4 dibagi jumlah pendidik SMA/MA kali 100%</t>
    </r>
  </si>
  <si>
    <r>
      <t xml:space="preserve">Jumlah pendidik SMK yang memiliki ijazah </t>
    </r>
    <r>
      <rPr>
        <sz val="12"/>
        <rFont val="Calibri"/>
        <family val="2"/>
      </rPr>
      <t>≥</t>
    </r>
    <r>
      <rPr>
        <sz val="12"/>
        <rFont val="Arial Narrow"/>
        <family val="2"/>
      </rPr>
      <t xml:space="preserve"> S1/D4 dibagi jumlah pendidik SMK kali 100%</t>
    </r>
  </si>
  <si>
    <t>Cakupan ketersediaan guru SMP/MTs untuk mata pelajaran Matematika, IPA, Bahasa Indonesia, Bahasa Inggris dan PKn.</t>
  </si>
  <si>
    <t>jumlah panjang jalan kabupaten dalam kondisi baik dan memenuhi standart rambu lalu lintas /panjang jalan kabupaten</t>
  </si>
  <si>
    <t>Tersedianya lahan untuk persiapan pembangunan jalan lingkar Kota Parakan</t>
  </si>
  <si>
    <t>Hektar (Ha)</t>
  </si>
  <si>
    <t>DPU/ Bagian Pemerintahan Umum</t>
  </si>
  <si>
    <t>panjang x lebar jalan yang direncanakan (10Km x 19m)</t>
  </si>
  <si>
    <t>Tersedianya air irigasi pada sistim irigasi yang sudah ada</t>
  </si>
  <si>
    <t>Jumlah pembangunan Jaringan Irigasi Partisipatif pada skala DI / Jumlah DI yang ada x 100%</t>
  </si>
  <si>
    <t>Tersedianya bangunan gedung kantor kecamatan yang memadai</t>
  </si>
  <si>
    <t>jumlah unit kantor kecamatan yang akan dibangun</t>
  </si>
  <si>
    <t>Tersedianya sistem jaringan drainase skala kawasan/kota sehingga tidak terjadi genangan</t>
  </si>
  <si>
    <t xml:space="preserve">Data Panjang Jaringan drainase pada skala kawasan/kota yang ada / data panjang jalan kabupaten skala kawasan/kota </t>
  </si>
  <si>
    <t>94.6</t>
  </si>
  <si>
    <t>Dinas Sosial, DPU, Bapermades</t>
  </si>
  <si>
    <t>jumlah luasan kawasan kumuh perkotaan yang ada</t>
  </si>
  <si>
    <t xml:space="preserve">Cakupan Layanan Air Minum yang layak </t>
  </si>
  <si>
    <t>jumlah rumah tangga yang memiliki akses air minum layak / jumlah rumah tangga yang ada x 100%</t>
  </si>
  <si>
    <t>Cakupan sanitasi pemukiman yang layak</t>
  </si>
  <si>
    <t>DPU &amp; DINKES</t>
  </si>
  <si>
    <t>jumlah rumah tangga yang memiliki sanitasi yang layak / jumlah rumah tangga yang ada x 100%</t>
  </si>
  <si>
    <t>jumlah rumah tangga yg terlayani air limbah skala kawasan kota / jumlah rumah tangga pada skala kawasan kota x 100 %</t>
  </si>
  <si>
    <t>tersedianya informasi mengenai rencana tata ruang (RTR) beserta rencana rincinya</t>
  </si>
  <si>
    <t>PERDA</t>
  </si>
  <si>
    <t>BAPPEDA / DPU</t>
  </si>
  <si>
    <t>tersedianya PERDA Rencana Tata Ruang Wilayah (RTRW) dan Rencana Detail Tata Ruang (RDTR)</t>
  </si>
  <si>
    <t xml:space="preserve"> - tahun 2012 sudah ada PERDA No 1 Th 2012 tentang RTRW.                - tahun 2014 ditargetkan 1 PERDA RDTR kawasan strategis</t>
  </si>
  <si>
    <t>terlaksananya penjaringan aspirasi masyarakat dalam proses penyusunan RTRW beserta rencana rinci</t>
  </si>
  <si>
    <t>jumlah penjaringan aspirasi/konsultasi piblik dalam penyusunan RTR / jumlah penjaringan aspirasi yang seharusnya dilakukan x 100</t>
  </si>
  <si>
    <t>terlayaninya masyarakat dalam pengurusan ijin pemanfaatan ruang</t>
  </si>
  <si>
    <t xml:space="preserve">jumlah izin yang disetujui/ jumlah pemohon izin yang masuk x 100 </t>
  </si>
  <si>
    <t>Tersedianya luasan ruang terbuka hijau publik pada skala kawasan/kota</t>
  </si>
  <si>
    <t>BLH/DPU</t>
  </si>
  <si>
    <t>jumlah luasan RTH publik / jumlah luasan perkotaan x 100</t>
  </si>
  <si>
    <t>\</t>
  </si>
  <si>
    <t xml:space="preserve">volume sampah yang direduksi di TPST/ volume sampah yang seharusnya direduksi  x 100 </t>
  </si>
  <si>
    <t>Proporsi Sampah Terangkut terhadap Produksi Sampah se-Kab. Temanggung</t>
  </si>
  <si>
    <t>jumlah sampah terangkut / jumlah volume sampah se-kabupaten temanggung x 100 %</t>
  </si>
  <si>
    <t>Proporsi Sampah Terangkut terhadap Produksi Sampah Ibukota Kabupaten          (Kecamatan Temanggung)</t>
  </si>
  <si>
    <t>jumlah Kelurahan/ desa terlayani/ jumlah Kelurahan/ Desa yang ada x 100 %</t>
  </si>
  <si>
    <t>Proporsi Sampah Terangkut /tertangani terhadap Produksi Sampah perkotaan (Ibukota kecamatan se-Kab. Temanggung)</t>
  </si>
  <si>
    <t>jumlah ikk yang dilayani / jumlah kk yg ada x 100 %</t>
  </si>
  <si>
    <t>pada tahun 2013 yang sudah dilayani adalah IKK Candiroto, Ngadirejo, Parakan, Bulu, Kedu, Temanggung, Tlogomulyo, Kranggan, Kandangan, Pringsurat</t>
  </si>
  <si>
    <t>DPU, Pemerintahan Umum, BLH</t>
  </si>
  <si>
    <t>(Jumlah usaha dan/atau kegiatan yang mentaati   persyaratan administrasi dan teknis pencegahan pencemaran air : jumlah usaha dan/atau kegiatan yang potensial mencemari air ) x 100</t>
  </si>
  <si>
    <t>(Jumlah usaha dan/atau kegiatan sumber tidak bergerak yang mentaati persyaratan administrasi dan teknis pencegahan pencemaran udara dibagi jumlah usaha dan/atau kegiatan sumber tidak bergerak yang potensial mencemari udara yang telah diinventarisasi) x 100</t>
  </si>
  <si>
    <t>(luas lahan yang ditetapkan dan diinformasikan status kerusakan lahan/ tanah untuk produksi biomassa dibagi luas lahan yang diperuntukan untuk produksi biomassa)x 100</t>
  </si>
  <si>
    <t>(Jumlah Pengaduan yang ditindak lanjuti : Jumlah pengaduan yang masuk) x 100</t>
  </si>
  <si>
    <t>(Jumlah perusahaan yang memiliki dokumen UKL-UPL dan/atau AMDAL dibagi jumlah perusahaan yang wajib memiliki UKL-UPL dan/atau AMDAL) x 100</t>
  </si>
  <si>
    <t>terbangunnya sumber energi alternatif terbarukan</t>
  </si>
  <si>
    <t>DPU, BLH</t>
  </si>
  <si>
    <t>jumlah fasilitas sumber energi alternatif yang terbangun</t>
  </si>
  <si>
    <t>Seharusnya setiap unit kendaraan angkutan umum diuji setiap 6 bulan sekali.</t>
  </si>
  <si>
    <t>Jumlah Angkutan Umum yang Memenuhi Standar Keselamatan : jumlah angkutan umum) X 100%</t>
  </si>
  <si>
    <t>Tersedianya Fasilitas  Terminal (tipe b)</t>
  </si>
  <si>
    <t>Tersedianya sub terminal (tipe c)</t>
  </si>
  <si>
    <t>Ton</t>
  </si>
  <si>
    <t>dalam Peta FSVA yang menunjukkan kerentanan dan ketahanan pangan daerah yang disusun berdasarkan analisa atas 13 indikator, tidak ada daerah rawan pangan di Kab.temanggung, shg potensi kerawanan pangan yg terjadi adalah bersifat kasuistis,seperti gagal panen, bencana alam, dst</t>
  </si>
  <si>
    <t>jumlah wisatawan yang berkunjung per tahun dibandinkan tahun sebelumnya dan data dasar</t>
  </si>
  <si>
    <t>data dasar : wisatawan nusantara: 360.061 orang;  wisatawan mancanegara 77 orang</t>
  </si>
  <si>
    <t>BPBD</t>
  </si>
  <si>
    <r>
      <rPr>
        <i/>
        <sz val="12"/>
        <rFont val="Arial Narrow"/>
        <family val="2"/>
      </rPr>
      <t>(SPM 13)</t>
    </r>
    <r>
      <rPr>
        <sz val="12"/>
        <rFont val="Arial Narrow"/>
        <family val="2"/>
      </rPr>
      <t xml:space="preserve"> Pemerintah kabupaten/kota memiliki rencana dan melaksanakan kegiatan untuk membantu satuan pendidikan dalam mengembangkan kurikulum dan proses pembelajaran yang efektif</t>
    </r>
  </si>
  <si>
    <r>
      <rPr>
        <i/>
        <sz val="12"/>
        <rFont val="Arial Narrow"/>
        <family val="2"/>
      </rPr>
      <t>(SPM 14)</t>
    </r>
    <r>
      <rPr>
        <sz val="12"/>
        <rFont val="Arial Narrow"/>
        <family val="2"/>
      </rPr>
      <t xml:space="preserve"> Kunjungan pengawas ke satuan pendidikan dilakukan satu kali setiap bulan dan setiap 
kunjungan dilakukan selama 3 jam untuk melakukan supervisi dan pembinaan</t>
    </r>
  </si>
  <si>
    <r>
      <rPr>
        <i/>
        <sz val="12"/>
        <rFont val="Arial Narrow"/>
        <family val="2"/>
      </rPr>
      <t>(SPM 5)</t>
    </r>
    <r>
      <rPr>
        <sz val="12"/>
        <rFont val="Arial Narrow"/>
        <family val="2"/>
      </rPr>
      <t xml:space="preserve"> Di setiap SD/MI tersedia 1 (satu) orang guru untuk setiap 32 peserta didik dan 6 (enam) orang guru untuk setiap satuan pendidikan</t>
    </r>
  </si>
  <si>
    <r>
      <rPr>
        <i/>
        <sz val="12"/>
        <rFont val="Arial Narrow"/>
        <family val="2"/>
      </rPr>
      <t xml:space="preserve">(SPM 6) </t>
    </r>
    <r>
      <rPr>
        <sz val="12"/>
        <rFont val="Arial Narrow"/>
        <family val="2"/>
      </rPr>
      <t>Di setiap SMP/MTs tersedia 1 (satu) orang guru untuk setiap mata pelajaran</t>
    </r>
  </si>
  <si>
    <r>
      <rPr>
        <i/>
        <sz val="12"/>
        <rFont val="Arial Narrow"/>
        <family val="2"/>
      </rPr>
      <t>(SPM 7)</t>
    </r>
    <r>
      <rPr>
        <sz val="12"/>
        <rFont val="Arial Narrow"/>
        <family val="2"/>
      </rPr>
      <t xml:space="preserve"> Di setiap SD/MI tersedia 2 (dua) orang guru yang memenuhi kualifikasi akademik S1 atau D-IV dan 2 (dua) orang guru yang telah memiliki sertifikat pendidik</t>
    </r>
  </si>
  <si>
    <r>
      <rPr>
        <i/>
        <sz val="12"/>
        <rFont val="Arial Narrow"/>
        <family val="2"/>
      </rPr>
      <t xml:space="preserve">(SPM 8) </t>
    </r>
    <r>
      <rPr>
        <sz val="12"/>
        <rFont val="Arial Narrow"/>
        <family val="2"/>
      </rPr>
      <t>Di setiap SMP/MTs tersedia guru dengan kualifikasi akademik S-1 atau D-IV sebanyak 70% dan separuh diantaranya (35% dari keseluruhan guru) telah memiliki sertifikat pendidik</t>
    </r>
  </si>
  <si>
    <r>
      <rPr>
        <i/>
        <sz val="12"/>
        <rFont val="Arial Narrow"/>
        <family val="2"/>
      </rPr>
      <t>(SPM 10)</t>
    </r>
    <r>
      <rPr>
        <sz val="12"/>
        <rFont val="Arial Narrow"/>
        <family val="2"/>
      </rPr>
      <t xml:space="preserve"> Di setiap kabupaten/kota semua kepala SD/MI berkualifikasi akademik S-1 atau D-IV dan telah memiliki sertifikat pendidik</t>
    </r>
  </si>
  <si>
    <r>
      <rPr>
        <i/>
        <sz val="12"/>
        <rFont val="Arial Narrow"/>
        <family val="2"/>
      </rPr>
      <t xml:space="preserve">(SPM 11) </t>
    </r>
    <r>
      <rPr>
        <sz val="12"/>
        <rFont val="Arial Narrow"/>
        <family val="2"/>
      </rPr>
      <t>Di setiap kabupaten/kota semua kepala SMP/MTs berkualifikasi akademik S-1 atau D-IV dan telah memiliki sertifikat pendidik</t>
    </r>
  </si>
  <si>
    <r>
      <rPr>
        <i/>
        <sz val="12"/>
        <rFont val="Arial Narrow"/>
        <family val="2"/>
      </rPr>
      <t>(SPM 12)</t>
    </r>
    <r>
      <rPr>
        <sz val="12"/>
        <rFont val="Arial Narrow"/>
        <family val="2"/>
      </rPr>
      <t xml:space="preserve"> Di setiap kabupaten/kota semua pengawas sekolah/ madrasah memiliki kualifikasi akademik S-1 atau D-IV dan telah memiliki sertifikat pendidik</t>
    </r>
  </si>
  <si>
    <r>
      <rPr>
        <i/>
        <sz val="12"/>
        <rFont val="Arial Narrow"/>
        <family val="2"/>
      </rPr>
      <t xml:space="preserve">(SPM 1) </t>
    </r>
    <r>
      <rPr>
        <sz val="12"/>
        <rFont val="Arial Narrow"/>
        <family val="2"/>
      </rPr>
      <t>Tersedia satuan pendidikan dalam jarak yang terjangkau dengan berjalan kaki yaitu maksimal 3 km untuk SD/MI dan6 km untuk SMP/MTs dari kelompok permukiman permanen di daerah terpencil</t>
    </r>
  </si>
  <si>
    <r>
      <rPr>
        <i/>
        <sz val="12"/>
        <rFont val="Arial Narrow"/>
        <family val="2"/>
      </rPr>
      <t xml:space="preserve">(SPM 2) </t>
    </r>
    <r>
      <rPr>
        <sz val="12"/>
        <rFont val="Arial Narrow"/>
        <family val="2"/>
      </rPr>
      <t>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t>
    </r>
  </si>
  <si>
    <r>
      <rPr>
        <i/>
        <sz val="12"/>
        <rFont val="Arial Narrow"/>
        <family val="2"/>
      </rPr>
      <t>(SPM 3)</t>
    </r>
    <r>
      <rPr>
        <sz val="12"/>
        <rFont val="Arial Narrow"/>
        <family val="2"/>
      </rPr>
      <t xml:space="preserve"> Di setiap SMP dan MTs tersedia ruang laboratorium IPA yang dilengkapi dengan meja dan kursi yang cukup untuk 36 peserta didik dan minimal satu set peralatan praktek IPA untuk demonstrasi dan eksperimen peserta didik.</t>
    </r>
  </si>
  <si>
    <r>
      <rPr>
        <i/>
        <sz val="12"/>
        <rFont val="Arial Narrow"/>
        <family val="2"/>
      </rPr>
      <t xml:space="preserve">(SPM 4) </t>
    </r>
    <r>
      <rPr>
        <sz val="12"/>
        <rFont val="Arial Narrow"/>
        <family val="2"/>
      </rPr>
      <t>Di setiap SD/MI dan SMP/MTs tersedia satu ruang guru yang dilengkapi dengan meja dan kursi untuk setiap orang guru, kepala sekolah dan staf kependidikan lainnya; dan di setiap SMP/MTs tersedia ruang kepala sekolah yang terpisah dari ruang guru</t>
    </r>
  </si>
  <si>
    <t>Jumlah siswa putus sekolah yang menikuti pendidikan kesetaraan dibagi jumlah siswa putus sekolah kali 100%</t>
  </si>
  <si>
    <t>meliputi pemerintah kabupaten dan pemerintah desa</t>
  </si>
  <si>
    <t>Cakupan terbangunnya Integrasi Jaringan Informasi dan Komunikasi</t>
  </si>
  <si>
    <t>jumlah pasar yang dikelola pemerintah dibagi jumlah pasar yang ada kali 100 %</t>
  </si>
  <si>
    <t>Besaran jumlah anggota koperasi</t>
  </si>
  <si>
    <t>persentase jumlah pembinaan pengelolaan koperasi</t>
  </si>
  <si>
    <t>Besaran jumlah  UKM yang dibina</t>
  </si>
  <si>
    <t>Besaran jumlah akses permodalan bagi UKM</t>
  </si>
  <si>
    <t xml:space="preserve">Besaran Penurunan Lahan kritis </t>
  </si>
  <si>
    <t>75,99</t>
  </si>
  <si>
    <t>Besaran lama tinggal wisatawan</t>
  </si>
  <si>
    <t>Besaran Desa Mandiri Pangan</t>
  </si>
  <si>
    <t>Desa</t>
  </si>
  <si>
    <t>Jumlah Pendapatan Asli Daerah dibagi Jumlah Anggaran Pendapatan  Daerah kali 100 %</t>
  </si>
  <si>
    <t>termasuk penduduk yang baru berusia wajib KTP dan mutasi pindah masuk</t>
  </si>
  <si>
    <t>investor</t>
  </si>
  <si>
    <t>Cakupan kepemilikan Kutipan Akta Kematian</t>
  </si>
  <si>
    <t>Besaran percepatan penganekaragaman konsumsi pangan</t>
  </si>
  <si>
    <t>lokasi</t>
  </si>
  <si>
    <t>jumlah desa mandiri pangan</t>
  </si>
  <si>
    <t>jumlah lokasi pengembangan</t>
  </si>
  <si>
    <t>Kali/tahun</t>
  </si>
  <si>
    <t>2014: kec.candiroto ; 2016 : kec.parakan ; 2017 : kec.Kaloran ; 2018 : kec.</t>
  </si>
  <si>
    <t>jumlah jalan kabupaten kondisi baik dan sedang/ jumlah jalan kabupaten yang ada x 100 %</t>
  </si>
  <si>
    <t>jumlah Rumah layak huni  dibagi  jumlah rumah yang ada x 100 %</t>
  </si>
  <si>
    <t>penambahan 650 rumah per tahun</t>
  </si>
  <si>
    <t>jumlah ijin yang di proses / jumlah ijin yang diajukan</t>
  </si>
  <si>
    <t>Jumlah pengaduan yg ditindaklanjuti / jumlah pengaduan  x 100</t>
  </si>
  <si>
    <t>jumlah ruas pedestrian yang dibangun / jumlah jalur pedestrian yang seharusnya dibangun x 100%</t>
  </si>
  <si>
    <t>8,75</t>
  </si>
  <si>
    <t>8,9</t>
  </si>
  <si>
    <t>jumlah KTP elektronik yg diterbitkan / jumlah wajib KTP Elektronik x 100</t>
  </si>
  <si>
    <t>Jumlah kutipan akta kematian yang telah diterbitkan / jumlah kematian  x 100%</t>
  </si>
  <si>
    <t>19,17</t>
  </si>
  <si>
    <t>11,16</t>
  </si>
  <si>
    <t>18,77</t>
  </si>
  <si>
    <t>16,28</t>
  </si>
  <si>
    <t>14,43</t>
  </si>
  <si>
    <t>Besaran jumlah Investor</t>
  </si>
  <si>
    <t>selama 5 tahun di laksanakan 33 kali pameran/promosi</t>
  </si>
  <si>
    <t xml:space="preserve">Frequensi Promosi Peluang Penanaman Modal Kabupaten </t>
  </si>
  <si>
    <t>Jumlah sarana dan prasarana  yang ada / jumlah sarana dan prasarana yang seharusnya  ada x 100</t>
  </si>
  <si>
    <t>Untuk memenuhi ketentuan Rumah sakit Tipe B</t>
  </si>
  <si>
    <t>DPU dan DISHUBKOMINFO</t>
  </si>
  <si>
    <t>Persentase Tertanganinya Kerusakan Fisik Akibat Bencana Melalui Rehabilitasi dan Rekonstruksi Pasca Bencana dalam Waktu 1(satu) Tahun</t>
  </si>
  <si>
    <t xml:space="preserve">Persentase Tertanganinya Kerusakan Fisik Akibat Bencana Melalui Rehabilitasi dan Rekonstruksi sementara tanggap darurat Pasca Bencana </t>
  </si>
  <si>
    <t>jumlah kerusakan akibat bencana yang terbangun kembali melalui rahabilitasi dan rekonstruksi sementara tanggap darurat pasca bencana dibagi jumlah kerusakan akibat bencana yang terjadi</t>
  </si>
  <si>
    <t>Perbaikan sarana prasarana dalam rangka tangap darurat bencana</t>
  </si>
  <si>
    <r>
      <rPr>
        <i/>
        <sz val="12"/>
        <rFont val="Arial Narrow"/>
        <family val="2"/>
      </rPr>
      <t xml:space="preserve">(SPM 9) </t>
    </r>
    <r>
      <rPr>
        <sz val="12"/>
        <rFont val="Arial Narrow"/>
        <family val="2"/>
      </rPr>
      <t>Di setiap SMP/MTs tersedia guru dengan kualifikasi akademik S-1 atau D-IV dan telah memiliki sertifikat pendidik masing-masing satu orang untuk mata pelajaran Matematika, IPA, Bahasa Indonesia, Bahasa Inggris dan PKn.</t>
    </r>
  </si>
  <si>
    <t>kasus</t>
  </si>
  <si>
    <t>KODE URUSAN / PROGRAM</t>
  </si>
  <si>
    <t>INDIKATOR KINERJA PROGRAM</t>
  </si>
  <si>
    <t>TARGET INDIKATOR SASARAN MISI</t>
  </si>
  <si>
    <t>Jumlah pelayanan di RSUD yang sudah terakreditasi/Jumlah pelayanan yang seharusnya diakreditasi x 100</t>
  </si>
  <si>
    <t>1.26</t>
  </si>
  <si>
    <t>selisih</t>
  </si>
  <si>
    <t>Pengadaan tanah</t>
  </si>
  <si>
    <t xml:space="preserve">Terwujudnya Pembangunan Kantor Kecamatan  </t>
  </si>
  <si>
    <t>h</t>
  </si>
  <si>
    <t>0,32</t>
  </si>
  <si>
    <t>Cakupan pelayanan bencana kebakaran kabupaten</t>
  </si>
  <si>
    <t>Jangkauan luas WMK/Luas wilayah kabupaten x 100%</t>
  </si>
  <si>
    <t>Tingkat Waktu Tanggap (response time rate)</t>
  </si>
  <si>
    <t>Jumlah Kasus Kebakaran di WMK yang terangani dalam waktu tingkat tanggap / Jumlah Kasus Kebakaran dalam Jangkauan WMK x 100%</t>
  </si>
  <si>
    <t>Waktu sampai Tempat Kejadian  setelah laporan (&lt; 15 menit )</t>
  </si>
  <si>
    <t>Persentase Aparatur Pemadam Kebakaran yang Memenuhi Standar Kualifikasi</t>
  </si>
  <si>
    <t>Jumlah aparatur pemadam kebakaran yang memenuhi standar kualifikasi/ jumlah aparatur pemadam kebakaran x 100</t>
  </si>
  <si>
    <t>Rasio Mobil Pemadam Kebakaran di Atas 3.000 - 5.000 Liter pada Wilayah Manajemen Kebakaran (WMK)</t>
  </si>
  <si>
    <t>70.6</t>
  </si>
  <si>
    <t>Jumlah mobil pemadam kebakaran diatas 3000-5000 liter pada wilayah manajemen kebakaran/ mobil kebakaran pada wilayah manajemen kebakaran</t>
  </si>
  <si>
    <t>Tersedianya profil kawasan investasi</t>
  </si>
  <si>
    <r>
      <t>Cakupan Desa atau Kelurahan</t>
    </r>
    <r>
      <rPr>
        <i/>
        <sz val="12"/>
        <rFont val="Arial Narrow"/>
        <family val="2"/>
      </rPr>
      <t xml:space="preserve"> Universal Child Immunisation</t>
    </r>
    <r>
      <rPr>
        <sz val="12"/>
        <rFont val="Arial Narrow"/>
        <family val="2"/>
      </rPr>
      <t xml:space="preserve"> (UCI)</t>
    </r>
  </si>
  <si>
    <r>
      <rPr>
        <i/>
        <sz val="12"/>
        <rFont val="Arial Narrow"/>
        <family val="2"/>
      </rPr>
      <t>Acut Flacid Paralysis</t>
    </r>
    <r>
      <rPr>
        <sz val="12"/>
        <rFont val="Arial Narrow"/>
        <family val="2"/>
      </rPr>
      <t xml:space="preserve"> (AFP) Rate per 100.000  Penduduk Usia &lt; 15 Tahun</t>
    </r>
  </si>
  <si>
    <r>
      <t xml:space="preserve">NDR = Jumlah pasien mati </t>
    </r>
    <r>
      <rPr>
        <sz val="11"/>
        <rFont val="Calibri"/>
        <family val="2"/>
      </rPr>
      <t>≥</t>
    </r>
    <r>
      <rPr>
        <sz val="11"/>
        <rFont val="Arial Narrow"/>
        <family val="2"/>
      </rPr>
      <t xml:space="preserve"> 48 jam setelah dirawat / Jumlah pasien keluar (hidup + mati) x 1000  ‰
</t>
    </r>
  </si>
  <si>
    <t>penambahan dana</t>
  </si>
  <si>
    <t>BTL</t>
  </si>
  <si>
    <t>BL (Renstra)</t>
  </si>
  <si>
    <t>kapasitas</t>
  </si>
  <si>
    <t>BELANJA LANGSUNG</t>
  </si>
  <si>
    <t>A</t>
  </si>
  <si>
    <t>BELANJA TIDAK LANGSUNG</t>
  </si>
  <si>
    <t>Total Belanja</t>
  </si>
  <si>
    <t>Sosialisasi</t>
  </si>
  <si>
    <t>Tersusunnya RUPM</t>
  </si>
  <si>
    <t>Banyaknya patroli dalam satu tahun dibagi banyaknya jumlah kecamatan</t>
  </si>
  <si>
    <t>Tercapainya peningkatan PAD dari lelang tanah bekas bengkok kelurahan</t>
  </si>
  <si>
    <t>Terfasilitasinya pemantauan penyeenggaraan Pemilihan Umum</t>
  </si>
  <si>
    <t>Terlaksananya pengamanan daerah dalam rangka Hari Raya Idul Fitri, Natal dan Tahun Baru</t>
  </si>
  <si>
    <t>Pemum</t>
  </si>
  <si>
    <t>Belanja Hibah kepada KPU</t>
  </si>
  <si>
    <t>Belanja Hibah kepada Panwaslu</t>
  </si>
  <si>
    <t>Tercapainya indikator SPM</t>
  </si>
  <si>
    <t>Tersusunnya pelaporan pemerintah daerah (LPPD,LKPJ,AMJ dan Memori Jabatan)</t>
  </si>
  <si>
    <t>Terlaksananya pembinaan dan pengembangan aparatur kecamatan</t>
  </si>
  <si>
    <t>Tersusunya toponimi Kabupaten Temanggung</t>
  </si>
  <si>
    <t>Terselenggaranya Monev Pelaksanaan PATEN</t>
  </si>
  <si>
    <t>penyusunan software</t>
  </si>
  <si>
    <t>pengembangan kapasitas pelaksana perizinan</t>
  </si>
  <si>
    <t>pasar hewan terpadu</t>
  </si>
  <si>
    <t>Dok DED psr kranggan dan pasar hewan terpadu</t>
  </si>
  <si>
    <t>Cetak buku muatan lokal dan kurikulum</t>
  </si>
  <si>
    <t>Fasilitasi Rehabilitasi Rumah Tidak Layak Huni</t>
  </si>
  <si>
    <t>program pengembangan SDM informasi dan komunikasi</t>
  </si>
  <si>
    <t>tersedianya internet ruang publik</t>
  </si>
  <si>
    <t xml:space="preserve">Nomor </t>
  </si>
  <si>
    <t>5.1.4.06</t>
  </si>
  <si>
    <t>BELANJA HIBAH</t>
  </si>
  <si>
    <t>5.1.4.06.10</t>
  </si>
  <si>
    <t>Belanja Hibah Urusan Pendidikan</t>
  </si>
  <si>
    <t>5.1.4.06.11</t>
  </si>
  <si>
    <t>Belanja Hibah Urusan Kesehatan</t>
  </si>
  <si>
    <t>5.1.4.06.12</t>
  </si>
  <si>
    <t>Belanja Hibah Urusan Pekerjaan Umum</t>
  </si>
  <si>
    <t>Dinas Pekerjaan Umum</t>
  </si>
  <si>
    <t>Pendampingan Sanitasi Lingkungan Berbasis Masyarakat (SLBM)</t>
  </si>
  <si>
    <t>Keserasian RT/RW</t>
  </si>
  <si>
    <t>Peningkatan Kualitas Lingkungan</t>
  </si>
  <si>
    <t>Bantuan Sanitasi Lingkungan Berbasis Masyarakat (SLBM)</t>
  </si>
  <si>
    <t>Belanja Hibah Insfrastruktur</t>
  </si>
  <si>
    <t>Pagu Wilayah kecamatan</t>
  </si>
  <si>
    <t>5.1.4.06.20</t>
  </si>
  <si>
    <t>Belanja Hibah Urusan Pemberdayaan Perempuan dan Perlindungan Anak</t>
  </si>
  <si>
    <t>BKB PP</t>
  </si>
  <si>
    <t>5.1.4.06.21</t>
  </si>
  <si>
    <t>Belanja Hibah Urusan Sosial</t>
  </si>
  <si>
    <t>DINAS SOSIAL</t>
  </si>
  <si>
    <t>Bantuan Sosial Pemberdayaan Karang Taruna (KT)</t>
  </si>
  <si>
    <t>Bantuan Sosial bagi Pekerja Sosial Masyarakat (PSM)</t>
  </si>
  <si>
    <t>Forum TAGANA</t>
  </si>
  <si>
    <t>5.1.4.06.22</t>
  </si>
  <si>
    <t>Belanja Hibah Urusan Ketenagakerjaan</t>
  </si>
  <si>
    <t>DISNAKER</t>
  </si>
  <si>
    <t>Hibah ketenagakerjaan</t>
  </si>
  <si>
    <t>5.1.4.06.23</t>
  </si>
  <si>
    <t>Belanja Hibah Urusan Koperasi dan Usaha Menengah</t>
  </si>
  <si>
    <t>DISPERINDAGKOP</t>
  </si>
  <si>
    <t>Bantuan Modal pengembangan Usaha Kecil dan Menengah</t>
  </si>
  <si>
    <t>Bantuan modal pengembangan sentra-sentra OVOP</t>
  </si>
  <si>
    <t>5.1.4.06.25</t>
  </si>
  <si>
    <t>Belanja Hibah Urusan Kebudayaan</t>
  </si>
  <si>
    <t>DSIBUDPARPORA</t>
  </si>
  <si>
    <t>Belanja Hibah kepada Dewan Kesenian Daerah (DKD)</t>
  </si>
  <si>
    <t>Belanja Bantuan Kesenian</t>
  </si>
  <si>
    <t>Hibah kepada Kelompok Upacara Adat</t>
  </si>
  <si>
    <t>Hibah kepada Seniman dan Budayawan</t>
  </si>
  <si>
    <t>5.1.4.06.26</t>
  </si>
  <si>
    <t>Belanja Hibah Urusan Kepemudaan dan Olah Raga</t>
  </si>
  <si>
    <t>Belanja Hibah kepada KONI</t>
  </si>
  <si>
    <t>Belanja Hibah kepada KNPI</t>
  </si>
  <si>
    <t>5.1.4.06.27</t>
  </si>
  <si>
    <t>Belanja Hibah Urusan Kesatuan Bangsa dan Politik Dalam Negeri</t>
  </si>
  <si>
    <t>SATOPOL PP</t>
  </si>
  <si>
    <t>Bantuan kepada POLRES (untuk pengamanan Pemilu Legislatif dan Pilihan Presiden 2014)</t>
  </si>
  <si>
    <t>Bantuan kepada KODIM (untuk pengamanan Pemilu Legislatif dan Pilihan Presiden 2014)</t>
  </si>
  <si>
    <t>KESBANG</t>
  </si>
  <si>
    <t>Forum kewaspadaan dini masyarakat</t>
  </si>
  <si>
    <t>Bantuan kepada forum Kerukunan Umat Beragama (FKUB)</t>
  </si>
  <si>
    <t>Bantuan kepada Badan Narkotika Kabupaten (BNK)</t>
  </si>
  <si>
    <t>5.1.4.06.28</t>
  </si>
  <si>
    <t>Belanja Hibah Urusan Otonomi Daerah, Pemerintahan Umum, Adminstrasi Keuangan Daerah, Perangkat Daerah, Kepegawaian, dan Persandan</t>
  </si>
  <si>
    <t>KELURAHAN</t>
  </si>
  <si>
    <t>Bantuan kelembagaan dan Pemeliharaan sarpras lingkungan Kelurahan</t>
  </si>
  <si>
    <t>BAGIAN PEREKONOMIAN</t>
  </si>
  <si>
    <t>Bantuan kepada Dekranasda</t>
  </si>
  <si>
    <t>Bantuan kepada Dekopinda</t>
  </si>
  <si>
    <t>Bantuan kepada KADIN</t>
  </si>
  <si>
    <t>BAGIAN KESRA</t>
  </si>
  <si>
    <t>Bantuan kepada PMI</t>
  </si>
  <si>
    <t>Bantuan kepada Kwarcab Pramuka</t>
  </si>
  <si>
    <t>Bantuan kepada Dewan Pendidikan Temanggung</t>
  </si>
  <si>
    <t>Bantuan kepada Yayasan Pengelola Pendidikan Swasta</t>
  </si>
  <si>
    <t>Belanja bantuan kepada MAPSI</t>
  </si>
  <si>
    <t>Belanja bantuan kepada GOPTKI</t>
  </si>
  <si>
    <t>Belanja bantuan kepada LPTQ</t>
  </si>
  <si>
    <t>Belanja bantuan kepada GNOTA</t>
  </si>
  <si>
    <t>Belanja bantuan DOP RA/BA, MA dan Sarpras TPQ Madin</t>
  </si>
  <si>
    <t xml:space="preserve">Bantuan keuangan kepada Panitia Pengajian Jum'at Legi Pendopo Pengayoman </t>
  </si>
  <si>
    <t xml:space="preserve">Bantuan keuangan kepada Panitia Qurban Masjid Agung Darussalam Temanggung </t>
  </si>
  <si>
    <t xml:space="preserve">Bantuan keuangan kepada Panitia Gebyar Muharram Kabupaten Temanggung </t>
  </si>
  <si>
    <t xml:space="preserve">Bantuan keuangan kepada Panitia Natal Bersama Kabupaten Temanggung </t>
  </si>
  <si>
    <t>Belanja Bantuan kepada Lembaga Keagamaan</t>
  </si>
  <si>
    <t>Belanja Bantuan kepada Ponpes terpilih</t>
  </si>
  <si>
    <t>Belanja Bantuan Tempat Ibadah, Sarpras Pendidikan dan Sarpras Lembaga keagamaan lainnya</t>
  </si>
  <si>
    <t>BAGIAN UMUM</t>
  </si>
  <si>
    <t>Bantuan Kepada DHC 45</t>
  </si>
  <si>
    <t>Bantuan Kepada Pepabri</t>
  </si>
  <si>
    <t>BAGIAN PEM UMUM</t>
  </si>
  <si>
    <t>Hibah Pemilukada</t>
  </si>
  <si>
    <t>5.1.4.06.30</t>
  </si>
  <si>
    <t>Belanja Hibah Urusan Pemberdayaan Masyarakat dan Desa</t>
  </si>
  <si>
    <t>Dukungan kegiatan TMMD</t>
  </si>
  <si>
    <t>Kegiatan Karya Bhakti Kodim 0706</t>
  </si>
  <si>
    <t>Bantuan Fasilitasi Pokmas Teknologi Tepat Guna (TTG)</t>
  </si>
  <si>
    <t>Bantuan TTG Posyantek</t>
  </si>
  <si>
    <t>Bantuan Ekonomi Masyarakat Desa</t>
  </si>
  <si>
    <t>TMMD (BanGub)</t>
  </si>
  <si>
    <t>Bantuan Peningkatan Pengelolaan Posyandu</t>
  </si>
  <si>
    <t>Bantuan penyelenggaraan lomba desa/kelurahan</t>
  </si>
  <si>
    <t>Bantuan Sarpras LPMD/K</t>
  </si>
  <si>
    <t>Bantuan Sarpras Posyandu</t>
  </si>
  <si>
    <t>5.1.4.06.33</t>
  </si>
  <si>
    <t>Belanja Hibah Urusan Pertanian</t>
  </si>
  <si>
    <t>DIPERTANBUNHUT</t>
  </si>
  <si>
    <t>Belanja hibah Pengembangan Padi Organik</t>
  </si>
  <si>
    <t>Belanja Hibah Pembangunan Jalan Usah tani (DBHCHT)</t>
  </si>
  <si>
    <t>Pengembangan Sentra Tembakau Kemloko</t>
  </si>
  <si>
    <t>Pengendalian dan pengawasan gerakan rehabilitasi hutan dan lahan (DAK)</t>
  </si>
  <si>
    <t>Penyediaan dan Pemurnian Benih Tembakau</t>
  </si>
  <si>
    <t>Belanja bantuan pembuatan kandang ternak (DBHCHT)</t>
  </si>
  <si>
    <t>Bantuan Replikasi Pemberdayaan Petani melalui Teknologi Informasi</t>
  </si>
  <si>
    <t>Bantuan Diversifikasi Usaha Tani Tembakau melalui Agribisnis Jagung unggul (DBHCHT)</t>
  </si>
  <si>
    <t>Bantuan hibah pelestarian burung hantu Tyto Alba</t>
  </si>
  <si>
    <t>5.1.4.06.38</t>
  </si>
  <si>
    <t>Belanja Hibah Urusan Perdagangan</t>
  </si>
  <si>
    <t>Bantuan Penyelenggaraan Pasar Murah Bahan Pokok</t>
  </si>
  <si>
    <t>Pembinaan Pelaku Usaha Dagang Kecil</t>
  </si>
  <si>
    <t>5.1.4.06.39</t>
  </si>
  <si>
    <t>Belanja Hibah Urusan Perindustrian</t>
  </si>
  <si>
    <t>Bantuan modal pengembangan industri kecil aneka industri</t>
  </si>
  <si>
    <t>5.1.4.06.55</t>
  </si>
  <si>
    <t>KANTOR KETAHANAN PANGAN</t>
  </si>
  <si>
    <t>Bantuan Lumbung Pangan</t>
  </si>
  <si>
    <t xml:space="preserve">Pengembangan konsumsi pangan B2SA </t>
  </si>
  <si>
    <t>5.1.5</t>
  </si>
  <si>
    <t>BELANJA BANTUAN SOSIAL</t>
  </si>
  <si>
    <t>5.1.5.01</t>
  </si>
  <si>
    <t>Belanja Bantuan Sosial Organisasi Kemasyarakatan</t>
  </si>
  <si>
    <t>5.1.5.01.03</t>
  </si>
  <si>
    <t>Belanja Bantuan Sosial Bencana</t>
  </si>
  <si>
    <t>5.1.5.01.31</t>
  </si>
  <si>
    <t>Belanja Bantuan Pemberdayaan Perempuan</t>
  </si>
  <si>
    <t>Bantuan kepada Korban Kekerasan terhadap perempuan dan anak</t>
  </si>
  <si>
    <t>5.1.5.01.80</t>
  </si>
  <si>
    <t>Belanja Sosial Urusan Kesehatan</t>
  </si>
  <si>
    <t>DKK</t>
  </si>
  <si>
    <t>Bantuan  Kesehatan bagi Masyarakat miskin Non Jamkesmas (DKK)/BPJS</t>
  </si>
  <si>
    <t>RSU</t>
  </si>
  <si>
    <t>Pelayanan kesehatan orang miskin yg  tidak dapat dibayar JAMKESMAS (JKT)</t>
  </si>
  <si>
    <t>5.1.5.01.81</t>
  </si>
  <si>
    <t>Belanja Sosial Urusan Pekerjaan Umum</t>
  </si>
  <si>
    <t>PNPM Perkotaan</t>
  </si>
  <si>
    <t>5.1.5.01.91</t>
  </si>
  <si>
    <t>Belanja Sosial Urusan Sosial</t>
  </si>
  <si>
    <t>Bantuan Stimulan UEP bagi Keluarga Fakir Miskin (FM)</t>
  </si>
  <si>
    <t>Bantuan Stimulan UEP bagi Wanita Rawan Sosial Ekonomi (WRSE)</t>
  </si>
  <si>
    <t>Bantuan Sosial UEP untuk Lanjut Usia Potensial</t>
  </si>
  <si>
    <t>Bantuan Sosial untuk Panti</t>
  </si>
  <si>
    <t>Bantuan Tambahan Permakanan Bagi Anak Panti</t>
  </si>
  <si>
    <t>Bantuan Sosial Rehabilitasi Sosial Rumah Tidak Layak Huni (RTLH)</t>
  </si>
  <si>
    <t>Bantuan Sosial Bagi Keluarga Miskin Rawan Sosial Perdesaan Tepi Hutan</t>
  </si>
  <si>
    <t>Bantuan Sosial Pemulangan Orang Terlantar Dalam Perjalanan</t>
  </si>
  <si>
    <t>Jaminan Sosial LUT Non Potensial</t>
  </si>
  <si>
    <t>Jaminan Sosial Penyandang Kronis, Cacat Berat Dan Ganda</t>
  </si>
  <si>
    <t>5.1.5.01.92</t>
  </si>
  <si>
    <t>Belanja Sosial Urusan Ketenagakerjaan</t>
  </si>
  <si>
    <t>Uang Saku Transmigran</t>
  </si>
  <si>
    <t>5.1.5.01.98</t>
  </si>
  <si>
    <t>Belanja Sosial Urusan Otomomi Daerah, Pemerintahan Umum, Administrasi Keuangan Daerah, Perangkat Daerah, Kepegawaian, dan Persandian</t>
  </si>
  <si>
    <t>PEMERINTAHAN UMUM</t>
  </si>
  <si>
    <t>Bantuan untuk perangkat kelurahan yang habis masa jabatannya</t>
  </si>
  <si>
    <t>Bagian Pemerintahan Desa</t>
  </si>
  <si>
    <t>Kompensasi bagi Sekdes yang tidak memenuhi syarat untuk diangkat menjadi PNS</t>
  </si>
  <si>
    <t>Bagian Kesra</t>
  </si>
  <si>
    <t>Bantuan kepada anak yatim pada acara buka puasa bersama</t>
  </si>
  <si>
    <t>Belanja bantuan kepada Panti Asuhan</t>
  </si>
  <si>
    <t>Belanja penyantunan sosial Penca</t>
  </si>
  <si>
    <t>Bagian Umum</t>
  </si>
  <si>
    <t>Bantuan kegiatan kemasyarakatan</t>
  </si>
  <si>
    <t>Badan Kepegawaian Daerah</t>
  </si>
  <si>
    <t>Pemberian Tali Asih Bagi Tenaga PTT/PK Purna Tugas</t>
  </si>
  <si>
    <t>5.1.5.02</t>
  </si>
  <si>
    <t>Belanja Bantuan Sosial Urusan Kemasyarakatan lainnya</t>
  </si>
  <si>
    <t>Pemberdayaan PNPM MD dan Integrasi</t>
  </si>
  <si>
    <t>Bantuan Makanan Kudapan bagi siswa SD/MI</t>
  </si>
  <si>
    <t>Bantuan Stimulan Pemugaran Perumahan</t>
  </si>
  <si>
    <t>5.1.6</t>
  </si>
  <si>
    <t>BELANJA BAGI HASIL KEPADA PEMERINTAHAN  DESA</t>
  </si>
  <si>
    <t>5.1.6.03</t>
  </si>
  <si>
    <t>Belanja Bagi Hasil Pajak Daerah Kepada Pemerintahan Desa</t>
  </si>
  <si>
    <t>BAGIAN PEMDES</t>
  </si>
  <si>
    <t>5.1.6.05</t>
  </si>
  <si>
    <t>Belanja Bagi Hasil Retribusi Daerah Kepada Pemerintahan Desa</t>
  </si>
  <si>
    <t>5.1.7</t>
  </si>
  <si>
    <t>BELANJA BANTUAN KEUANGAN</t>
  </si>
  <si>
    <t>5.1.7.04</t>
  </si>
  <si>
    <t>Belanja Bantuan Keuangan kepada Pemerintah Daerah/Pemerintahan Desa lainnya</t>
  </si>
  <si>
    <t>5.1.7.04.03</t>
  </si>
  <si>
    <t>Belanja Bantuan Keuangan kepada Pemerintahan Desa</t>
  </si>
  <si>
    <t>Bantuan Pengangkatan perangkat desa</t>
  </si>
  <si>
    <t>Tambahan penghasilan kades dan perdes</t>
  </si>
  <si>
    <t>Pengisisan jabatan kades</t>
  </si>
  <si>
    <t>Tunjangan pengabdian</t>
  </si>
  <si>
    <t>ADD</t>
  </si>
  <si>
    <t>5.1.7.05</t>
  </si>
  <si>
    <t>Belanja Bantuan Keuangan Kepada Partai Politik</t>
  </si>
  <si>
    <t>5.1.8</t>
  </si>
  <si>
    <t>BELANJA TIDAK TERDUGA</t>
  </si>
  <si>
    <t>5.1.8.01</t>
  </si>
  <si>
    <t>Belanja Tidak Terduga</t>
  </si>
  <si>
    <t>kapasitas riil</t>
  </si>
  <si>
    <t>Belanja Hibah Urusan Ketahanan Pangan</t>
  </si>
  <si>
    <t>a</t>
  </si>
  <si>
    <t>b</t>
  </si>
  <si>
    <t>c</t>
  </si>
  <si>
    <t>d</t>
  </si>
  <si>
    <t>e</t>
  </si>
  <si>
    <t>f</t>
  </si>
  <si>
    <t>g</t>
  </si>
  <si>
    <t>i</t>
  </si>
  <si>
    <t>j</t>
  </si>
  <si>
    <t>k</t>
  </si>
  <si>
    <t>l</t>
  </si>
  <si>
    <t>m</t>
  </si>
  <si>
    <t>n</t>
  </si>
  <si>
    <t>o</t>
  </si>
  <si>
    <t>p</t>
  </si>
  <si>
    <t>TAHUN</t>
  </si>
  <si>
    <t>(5 TAHUN)</t>
  </si>
  <si>
    <t>Belanja Langsung</t>
  </si>
  <si>
    <t>Belanja Tidak angsung</t>
  </si>
  <si>
    <t>Meningkatkan Penerapan Teknologi dan inovasi di Pertanian dalam menunjang upaya peningkatan produksi dan produktivitas sub sektor peternakan</t>
  </si>
  <si>
    <t>Meningkatkan Penerapan Teknologi dan inovasi di Pertanian dalam menunjang upaya peningkatan produksi dan produktivitas sub sektor pertanian/perkebunan</t>
  </si>
  <si>
    <t>Meningkatkan Penerapan Teknologi dan inovasi dalam pemasaran produk Pertanian dan memperbesar akses pemasaran</t>
  </si>
  <si>
    <t xml:space="preserve">Meningkatkan Penerapan Teknologi dan inovasi Pertanian dalam rangka meningkatkan kualitas produk pertanian dan pencegahan hama dan penyakit </t>
  </si>
  <si>
    <t xml:space="preserve">Meningkatkan upaya intensifikasi dan diversifikasi budidaya tanaman pertanian dan perkebunan </t>
  </si>
  <si>
    <t xml:space="preserve">Meningkatkan upaya intensifikasi dan diversifikasi produksi hasil peternakan </t>
  </si>
  <si>
    <t>Meningkatkan Penyelenggaraan Penyuluhan  dan pemberdayaan petani</t>
  </si>
  <si>
    <t>Meningkatkan Penyediaan Sarana Prasarana dan Insfrastruktur pendukung pertanian (jalan usaha tani dan pengelolaan embung)</t>
  </si>
  <si>
    <t>Meningkatkan Pengembangan Kawasan Agropolitan dan pengelolaan kawasan agropolitas yang sudah terbentuk</t>
  </si>
  <si>
    <t>Meningkatkan Penerapan Teknologi dan inovasi Perikanan khususnya penggunaan benih unggul ikan</t>
  </si>
  <si>
    <t>Meningkatkan Kualitas, Kuantitas, Kontinuitas, dan Diversifikasi Produk olahan Perikanan yang didukung dengan pengembangan akses pemasaran produk perikanan</t>
  </si>
  <si>
    <t>Meningkatkan pengelolaan sarana dan prasarana serta event pariwisata dengan pengembangan destinasi pariwisata dan kemitraan pariwisata</t>
  </si>
  <si>
    <t>Meningkatkan pengembangan Industri kecil dan UMKM yang berbasis pertanian dan komoditas unggulan daerah lainnya</t>
  </si>
  <si>
    <t xml:space="preserve">Meningkatkan Struktur Industri yang menggunakan bahan Baku Lokal </t>
  </si>
  <si>
    <t>Meningkatkan Pengelolaan dan pengembangan pasar daerah sebagai salah satu Sarana dan Prasarana Perdagangan</t>
  </si>
  <si>
    <t>Meningkatkan nilai ekspor produk daerah dan promosi produk unggulan daerah serta pembinaan usaha informal</t>
  </si>
  <si>
    <t>Meningkatkan perlindungan atas konsumen dan sengketa konsumen terhadap produk yang beredar</t>
  </si>
  <si>
    <t>Meningkatnya Peran Sektor Jasa, Kelembagaan Koperasi dan UMKM</t>
  </si>
  <si>
    <t>Peningkatan Peran Sektor Jasa, Kelembagaan Koperasi dan UMKM</t>
  </si>
  <si>
    <t xml:space="preserve">Meningkatkan Kualitas kelembagaan koperasi </t>
  </si>
  <si>
    <t>Meningkatkan Kapasitas dan Kapabilitas Pelaku UMKM melalui pengembangan kewirausahaan dan pengembangan keunggulan kompetitif yang dimiliki UMKM/UKM</t>
  </si>
  <si>
    <t>Meningkatkan Rehabilitasi Lahan Kritis dan Konservasi Tanah</t>
  </si>
  <si>
    <t>Meningkatkan Peran Serta Masyarakat Dalam Rehabilitasi Lahan Kritis dan Konservasi Sumber Daya Hutan</t>
  </si>
  <si>
    <t>Meningkatkan penanganan pada PMKS dan peningkatan penanganan RTLH</t>
  </si>
  <si>
    <t>Meningkatkan Potensi Sumber Kesejahteraan Sosial yang berupa peningkatan lembaga sosial, CSR Sosial, dan organisasi sosial lainnya dalam menangani PMKS</t>
  </si>
  <si>
    <t>Meningkatkan perlindungan sosial terhadap Rumah Tangga Sasaran</t>
  </si>
  <si>
    <t>Meningkatkan upaya penanganan terhadap bencana alam</t>
  </si>
  <si>
    <t>Meningkatkan Kualitas dan Produktifitas Tenaga Kerja melalui pelatihan yang berbasis kompetensi, pelatihan berbasis masyarakat, dan berbasis kewirausahaan</t>
  </si>
  <si>
    <t>Meningkatkan Kesempatan Kerja dan Menurunkan Tingkat Pengangguran melalui upaya peningkatan penempatan pencari kerja</t>
  </si>
  <si>
    <t xml:space="preserve">Meningkatkan Perlindungan Tenaga Kerja </t>
  </si>
  <si>
    <t xml:space="preserve">Cakupan peningkatan klasifikasi tipe desa </t>
  </si>
  <si>
    <t>Jumlah peningkatan klasifikasi desa dibagi Jumlah Desa x 100</t>
  </si>
  <si>
    <t>Meningkatkan kualitas dan kuantitas pemberdayaan masyarakat, dan pengurangan angka kemiskinan, serta peningkatan kapasitas ekonomi masyarakat</t>
  </si>
  <si>
    <t>Meningkatkan Kualitas Penyelenggaraan Transmigrasi dan peningkatan kualitas transmigran</t>
  </si>
  <si>
    <t xml:space="preserve">Meningkatkan upaya penanganan terhadap kekerasan terhadap perempuan dan anak yang terjadi </t>
  </si>
  <si>
    <t xml:space="preserve">Meningkatkan kelembagaan pengarusutamaan gender melalui implementasi anggaran yang responsisf gender </t>
  </si>
  <si>
    <t>Meningkatkan perlindungan anak dan pengembangan pemenuhan hak-hak anak</t>
  </si>
  <si>
    <t>Meningkatkan penyelenggaraan kegiatan olahraga dan pembinaan olahraga Prestasi dan Atlit Olahraga</t>
  </si>
  <si>
    <t>Meningkatkan Sarana dan Prasarana Olahraga</t>
  </si>
  <si>
    <t xml:space="preserve">Meningkatkan Pembinaan dan penyelenggaraan kegiatan Kepemudaan </t>
  </si>
  <si>
    <t>Meningkatkan pemberian bantuan sarana dan prasarana pendukung kegiatan keagamaan</t>
  </si>
  <si>
    <t xml:space="preserve">Meningkatan Pengembangan, Pelestarian dan pemeliharaan nilai tradisi budaya dan benda bersejarah serta benda arkeologi </t>
  </si>
  <si>
    <t>Meningkatkan Promosi Seni dan Cagar Budaya melalui penyelenggaraan gelar seni, kajian seni, promosi seni, organisasi seni, dan tempat-tempat kesenian</t>
  </si>
  <si>
    <t>Meningkatkan Sarana dan prasarana dalam rangka pengelolaan kekayaan Budaya dan Kebudayaan</t>
  </si>
  <si>
    <t>Meningkatkan Kualitas Kehidupan Politik dan Wawasan Kebangsaan masyarakat melalui pendidikan politik masyarakat dan penanganan penyakit masyarakat</t>
  </si>
  <si>
    <t>Cakupan Penanganan demonstrasi</t>
  </si>
  <si>
    <t>Meningkatkan Ketertiban dan Keamanan melalui penegakan peraturan daerah, penurunan angka kriminalitas, penanganan demonstrasi, dan patroli siaga serta ketersediaan tenaga linmas di masyarakat</t>
  </si>
  <si>
    <t>Meningkatkan dan mengembangkan Infrastruktur jalan dan jembatan yang memadai melalui pembangunan, pemeliharaan dan peningkatan kualitas jalan dan jembatan</t>
  </si>
  <si>
    <t>Meningkatan ketersediaan Infrastruktur Sumber Daya Air melalui pengembangan dan pengelolaan jaringan irigasi dan drainase</t>
  </si>
  <si>
    <t>Meningkatkan pelayanan pemerintahan</t>
  </si>
  <si>
    <t>Peningkatan kualitas bangunan instansi pemerintah</t>
  </si>
  <si>
    <t>Meningkatkan pelayanan pemerintahan melalui ketersediaan banguanan instansi pemerintah</t>
  </si>
  <si>
    <t>Meningkatkan kelayakan bangunan-bangunan pemerintahan berupa pelaksanaan pemugaran bangunan instansi pemerintah</t>
  </si>
  <si>
    <t>Meningkatkan Rumah yang sehat dan Layak Huni melalui penyediaan rumah layak huni, penanganan kawasan kumuh, penyediaan layanan air minum, sanitasi pemukiman yang layak dan penyediaan sarana dan prasarana umum pemukiman</t>
  </si>
  <si>
    <t>Meningkatkan Pencegahan, Penanggulangan, dan Penanganan Bencana kebakaran melalui upaya meningkatkan luasan pelayanan, waktu tanggap kebakaran dan penyediaan sarana prasarana pemadam kebakaran</t>
  </si>
  <si>
    <t>Meningkatkan Perencanaan, Pemanfaatan dan Pengendalian Ruang sesuai Peruntukkannya melalui penyusunan dokumen tata ruang, pengendalian perizinan, penyediaan ruang khusus (RTH dan Pedestrian)</t>
  </si>
  <si>
    <t>Meningkatkan budi pekerti, tata krama, dan tata nilai budaya daerah serta keteladanan melalui penyusunan kurikulum muatan lokal budi pekerti, penyediaan buku muatan lokal budi pekerti, keteladanan guru, dan penenganan kenakalan siswa didik</t>
  </si>
  <si>
    <t>Meningkatkan aksebilitas pendidikan anak usia dini melalui pengembangan pelayanan pendidikan terhadap anak usia 0-6 tahun (anak usia dini)</t>
  </si>
  <si>
    <t>Meningkatkan aksebilitas pendidikan dasar melalui pengembangan pelayanan pendidikan dasar dan pemberian beasiswa</t>
  </si>
  <si>
    <t>Meningkatkan aksebilitas pendidikan menengah melalui pengembangan pelayanan pendidikan menengah dan pemberian beasiswa serta penyediaan unit sekolah menengah</t>
  </si>
  <si>
    <t>Meningkatkan aksebilitas pendidikan nonformal melalui pengembangan pelayanan pendidikan kesetaraan di masyarakat</t>
  </si>
  <si>
    <t>Meningkatkan  kualitas pendidikan anak usia dini melalui pelaksanaan akreditasi sekolah TK/RA</t>
  </si>
  <si>
    <t>Meningkatkan kualitas pendidikan dasar melalui pelaksanaan akreditasi sekolah SMA/MA dan akreditasi program keahlian SMK , dan peningkatan kelulusan dengan rerata hasil ujian nasional minimal 7 untuk SMA/MA</t>
  </si>
  <si>
    <t>Meningkatkan kualitas pendidikan dasar melalui pelaksanaan akreditasi sekolah SD/MI dan SMP/MTs, dan peningkatan kelulusan dengan rerata hasil ujian nasional minimal 7 untuk SD/MI dan SMP/MtS</t>
  </si>
  <si>
    <t>Meningkatkan kualitas pendidikan nonformal melalui peningkatan angka kelulusan pendidikan kesetaraan</t>
  </si>
  <si>
    <t>Meningkatkan pemenuhan kekurangan tenaga pendidik mulai dari tingkat TK/RA, SD/MI, SMP,MTs, dan SMA/MA/SMK</t>
  </si>
  <si>
    <t>Meningkatkan kualifikasi akademik pendidik minimal S-1 khususnya di tingkat TK/RA dan SMP/MTs, serta pemenuhan kualifikasi bagi kepala sekolah dan pengawas sekolah</t>
  </si>
  <si>
    <t>Meningkatkan profesionalisme pendidik yang ditunjukkan dengan kepemilikan sertifikat pendidik bagi guru di tingkat TK/RA, SD/MI, SMP/MTs, dan SMA/MA/SMK</t>
  </si>
  <si>
    <t>Meningkatkan pemenuhan kebutuhan terhadap Jumlah Tenaga Kependidikan yang meliputi tenaga administrasi, penilik sekolah, pengawas sekolah, dan pamong belajar</t>
  </si>
  <si>
    <t>Meningkatkan sarana dan prasarana pendidikan anak usia dini (TK/RA) sesuai dengan kebutuhan</t>
  </si>
  <si>
    <t>Meningkatkan sarana dan prasarana pendidikan dasar (SD/MI dan SMP/MTs) sesuai dengan kebutuhan</t>
  </si>
  <si>
    <t>Meningkatkan sarana dan prasarana pendidikan menengah (SMA/MA/SMK) sesuai dengan kebutuhan</t>
  </si>
  <si>
    <t>Meningkatkan sarana dan prasarana pendidikan nonformal (penyelenggara pendidikan kesetaraan) sesuai dengan kebutuhan</t>
  </si>
  <si>
    <t>Meningkatkan Akses Masyarakat ke Fasilitas Kesehatan Yang Bermutu mulai tingkat Desa/Kleurahan, Kecamatan, sampai dengan Kabupaten</t>
  </si>
  <si>
    <t>Meningkatkan Upaya Pencegahan, Penanganan dan Pengendalian Penyakit, serta kewaspadaan adanya potensi KLB</t>
  </si>
  <si>
    <t>Meningkatkan Gizi Masyarakat melalui perbaikan gizi masyarakat terutama usia balita dan penduduk miskin</t>
  </si>
  <si>
    <t>Meningkatkan Ketersediaan Obat dan Perbekalan Kesehatan Dasar termasuk dengan pengawasan obat dan makanan</t>
  </si>
  <si>
    <t>Meningkatkan Sumber Daya Kesehatan di semua Tingkatan Pelayanan Kesehatan yang diikuti dengan meningkatnya pengelolaan dan manajemen kesehatan di semua tingkatan</t>
  </si>
  <si>
    <t>Meningkatkan Lingkungan Sehat melalui pengembangan akses yang berkelanjutan terhadap sanitasi dasar di perkotaan dan perdesaan, akses terhadap air bersih, dan penggunaan jamban keluarga</t>
  </si>
  <si>
    <t>Meningkatkan Derajat Kesejahteraan Keluarga melalui pembinaan kesejahteraan keluarga</t>
  </si>
  <si>
    <t>Meningkatkan kesejahteraan keluarga melalui meningkatnya Aksesibilitas Masyarakat Atas Pelayanan Keluarga Berencana</t>
  </si>
  <si>
    <t xml:space="preserve">Meningkatkan Tertib Administrasi Pertanahan dan penyelesaian konflik-konflik pertanahan </t>
  </si>
  <si>
    <t>Meningkatkan Kemampuan, Profesionalisme, dan Kesejahteraan SDM Aparatur melalui diklat pegawai, meningkatnya pendidikan formal pegawai, pemenuhan hak dan penghargaan pegawai, dan pengisian jabatan struktural yang kosong</t>
  </si>
  <si>
    <t>Meningkatkan Kinerja Penyelenggaraan Pemerintahan Daerah terutama pada sisi pemenuhan ketersediaan peraturan perundang-undangan, penanganan temuan pemeriksaan, ketepatan pelaksanaan pembangunan, dan pelaporan pelaksanaan pemerintahan dan pembangunan</t>
  </si>
  <si>
    <t>Program Intensifikasi Penanganan Pengaduan Masyarakat</t>
  </si>
  <si>
    <t>Bagian Umum Setda dan Kantor Satpol PP</t>
  </si>
  <si>
    <t>Jumlah Pelayanan kedinasan Kepala Daerah/Wakil Kepala Daerah yang tepat waktu dibagi Jumlah Pelayanan kedinasan Kepala Daerah/Wakil Kepala Daerah x 100 %</t>
  </si>
  <si>
    <t>Persentase Pelayanan kedinasan Kepala Daerah/Wakil Kepala Daerah yang tepat waktu</t>
  </si>
  <si>
    <t>Persentase Jumlah SKPD yang Menyampaikan DURP dengan tepat waktu</t>
  </si>
  <si>
    <t>Meningkatkan Tertib Administrasi Penyelenggaraan Pemerintahan Daerah dan Pemerintah Desa</t>
  </si>
  <si>
    <t>Meningkatkan Kapasitas Kemampuan Keuangan dan Pengelolaan Keuangan Daerah khususnya pada aspek Pendapatan Asli Daerah</t>
  </si>
  <si>
    <t xml:space="preserve">Meningkatkan Tertib Administrasi Aset Pemerintah Daerah dan pengembangan pengelolaan asset yang dimiliki daerah </t>
  </si>
  <si>
    <t>Meningkatkan Tertib Pengelolaan Kearsipan secara baku</t>
  </si>
  <si>
    <t>Meningkatkan Kualitas dan Kuantitas Pelayanan Perizinan dan Non Perizinan melalui ketersediaan SOP, ketepatan waktu, dan penanganan pengaduan masyarakat</t>
  </si>
  <si>
    <t>Meningkatkan Investasi melalui pelaksanaan promosi investasi dan dukungan iklim investasi yang memadai</t>
  </si>
  <si>
    <t>Meningkatkan Pelayanan Perpustakaan kepada masyarakat yang disertai peningkatan kunjungan perpustakaandan peminjaman buku koleksi perpustakaan</t>
  </si>
  <si>
    <t>Meningkatkan Kualitas Data Pembangunan  dan Data Statistik Daerah yang akan digunakan dalam perencanaan pembangunan setiap tahunnya</t>
  </si>
  <si>
    <t>Meningkatkan Akses atas Komunikasi dan Informasi kepada masyarakat, khususnya di ruang publik melalui berbagai media yang ada</t>
  </si>
  <si>
    <t>Meningkatkan Pengelolaan e-Government pada pemerintah daerah dan pemerintah desa</t>
  </si>
  <si>
    <t>Meningkatkan ketersediaan ruas jalan baru sebagai alternatif pemecahan masalah dalam mengurai kemacetan</t>
  </si>
  <si>
    <t>Meningkatkan Pengelolaan Persampahan yang didukung oleh meningkatnya peran serta masyarakat dalam pengelolaan persampahan</t>
  </si>
  <si>
    <t>Meningkatkan Kelestarian Lingkungan Hidup khususnya penanganan dan pencegahan pencemaran air, udara, dan tanah</t>
  </si>
  <si>
    <t>Meningkatkan Pembinaan dan Pengawasan Pemanfaatan Energi dan Pertambangan Mineral terutama pemanfaatan sumber energi alternatif terbarukan</t>
  </si>
  <si>
    <t>Meningkatkan Transportasi Masyarakat yang Memadai melalui uji kendaraan, meningkatnya keselamatan angkutan, meningkatnya tipe terminal, dan pengembangan rute baru angkutan umum</t>
  </si>
  <si>
    <t>INDIKATOR</t>
  </si>
  <si>
    <t>TARGET INDIKATOR KINERJA</t>
  </si>
  <si>
    <t>PROGRAM PRIORITAS</t>
  </si>
  <si>
    <t>Pengembangan Pariwisata berbasis pertanian</t>
  </si>
  <si>
    <t>Pengembangan Industri berbasis pertanian</t>
  </si>
  <si>
    <t>Pengembangan Perdagangan Produk Pertanian</t>
  </si>
  <si>
    <t>Pengembangan sektor Jasa, Kelembagaan Koperasi dan UMKM</t>
  </si>
  <si>
    <t xml:space="preserve">Mengembangkan Aksesiblitas pendidikan dan peningkayan kualitas pendidikan </t>
  </si>
  <si>
    <t>KONDISI AWAL RPJMD</t>
  </si>
  <si>
    <t>SKPD PENANGGUNG JAWAB</t>
  </si>
  <si>
    <t>KAPASITAS RIIL ANGGARAN</t>
  </si>
  <si>
    <t>ASPEK KESEJAHTERAAN MASYARAKAT</t>
  </si>
  <si>
    <t>Fokus Seni, Budaya, dan Olahraga</t>
  </si>
  <si>
    <t>ASPEK PELAYANAN UMUM</t>
  </si>
  <si>
    <t>Fokus Layanan Urusan Wajib</t>
  </si>
  <si>
    <t>Fokus Layanan Urusan Pilihan</t>
  </si>
  <si>
    <t>ASPEK DAYA SAING DAERAH</t>
  </si>
  <si>
    <t>Fokus Fasilitas Wilayah/Infrastruktur</t>
  </si>
  <si>
    <t>Cakupan Rumah Tangga dengan Akses Terhadap Air Minum yang Layak di Perkotaan</t>
  </si>
  <si>
    <t>Cakupan Rumah Tangga dengan Akses terhadap Air Minum yang Layak di Pedesaan</t>
  </si>
  <si>
    <t>Bealanja Penatausahaan (Eks BAU)</t>
  </si>
  <si>
    <t>Belanja Pelayanan Adminsitrasi Perkantoran</t>
  </si>
  <si>
    <t>Belanja Peningkatan Sarana dan Prasarana Aparatur</t>
  </si>
  <si>
    <t>Belanja Peningkatan Disiplin Aparatur</t>
  </si>
  <si>
    <t>BELANJA PEGAWAI</t>
  </si>
  <si>
    <t>BELANJA BAGI HASIL</t>
  </si>
  <si>
    <t>BELANJA BUNGA</t>
  </si>
  <si>
    <t>PROYEKSI PENDAPATAN</t>
  </si>
  <si>
    <t>PROYEKSI DEFISIT / SURPLUS</t>
  </si>
  <si>
    <t>PROYEKSI BELANJA DAERAH</t>
  </si>
  <si>
    <t>PROYEKSI PEMBIAYAAN</t>
  </si>
  <si>
    <t>PROYEKSI SILPA</t>
  </si>
  <si>
    <t>PENERIMAAN PEMBIAYAAN DAERAH</t>
  </si>
  <si>
    <t>Sisa Lebih perhitungan Anggaran Daerah Tahun Sebelumnya</t>
  </si>
  <si>
    <t>Pencairan Dana Cadangan</t>
  </si>
  <si>
    <t>Penerimaan perhitungan pihak ketiga</t>
  </si>
  <si>
    <t>Penerimaan Pinjaman dan Obligasi Daerah</t>
  </si>
  <si>
    <t>Penerimaan Piutang Daerah</t>
  </si>
  <si>
    <t>PENGELUARAN PEMBIAYAAN DAERAH</t>
  </si>
  <si>
    <t>Pembentukan Dana Cadangan</t>
  </si>
  <si>
    <t>Penyertaan Modal (Investasi) Pemerintah Daerah</t>
  </si>
  <si>
    <t>Pembayaran Pokok Hutang</t>
  </si>
  <si>
    <t>Pemberian Pinjaman Daerah</t>
  </si>
  <si>
    <t>Pengeluaran Perhitungan Pihak Ketiga</t>
  </si>
  <si>
    <t>Terlaksananya olahraga di lingkungan Setda</t>
  </si>
  <si>
    <t>Penghargaan siswa dan masyarakat berprestasi</t>
  </si>
  <si>
    <t>KEBIJAKAN  UMUM</t>
  </si>
  <si>
    <t xml:space="preserve">Mengembangkan Aksesiblitas pendidikan dan peningkatan kualitas pendidikan </t>
  </si>
  <si>
    <t>Pengembangan Teknologi dan Inovasi peternakan</t>
  </si>
  <si>
    <t xml:space="preserve">Pengembangan Teknologi dan Inovasi  Pertanian </t>
  </si>
  <si>
    <t xml:space="preserve">Pengembangan Teknologi dan Inovasi Pertanian </t>
  </si>
  <si>
    <t>Peningkatan produktifitas Cabai</t>
  </si>
  <si>
    <t>Total Produksi dibagi Luas Panen</t>
  </si>
  <si>
    <t>Produktivitas kali luas Panen</t>
  </si>
  <si>
    <t xml:space="preserve">Besaran Penanganan Lahan kritis </t>
  </si>
  <si>
    <t>Luas lahan kritis dikurangi luas lahan kritis yang ditangani</t>
  </si>
  <si>
    <t>Besaran Meningkatnya konservasi hutan dan lahan</t>
  </si>
  <si>
    <t>Jumlah bangunan sipil teknis yang dibangun</t>
  </si>
  <si>
    <t xml:space="preserve">Meningkatnya Peran kelembagaan dan Penyuluhan pertanian </t>
  </si>
  <si>
    <t>Peningkatan Kualitas kelembagaan petani dan SDM Penyuluhan</t>
  </si>
  <si>
    <t>Pengembangan penyelenggaraan penyuluhanan</t>
  </si>
  <si>
    <t>Meningkatkan Kualitas kelembagaan petani dan SDM penyuluhan</t>
  </si>
  <si>
    <t xml:space="preserve">Rasio jumlah kelompok tani maju </t>
  </si>
  <si>
    <t xml:space="preserve">Besaran pertumbuhan dan peningkatan Kapasitas Lembaga Ekonomi Petani </t>
  </si>
  <si>
    <t>Pengelolaan dan pencetakan E KTP</t>
  </si>
  <si>
    <t>PRIORITAS PROGRAM</t>
  </si>
</sst>
</file>

<file path=xl/styles.xml><?xml version="1.0" encoding="utf-8"?>
<styleSheet xmlns="http://schemas.openxmlformats.org/spreadsheetml/2006/main">
  <numFmts count="16">
    <numFmt numFmtId="42" formatCode="_(&quot;Rp&quot;* #,##0_);_(&quot;Rp&quot;* \(#,##0\);_(&quot;Rp&quot;* &quot;-&quot;_);_(@_)"/>
    <numFmt numFmtId="41" formatCode="_(* #,##0_);_(* \(#,##0\);_(* &quot;-&quot;_);_(@_)"/>
    <numFmt numFmtId="43" formatCode="_(* #,##0.00_);_(* \(#,##0.00\);_(* &quot;-&quot;??_);_(@_)"/>
    <numFmt numFmtId="164" formatCode="_(&quot;$&quot;* #,##0.00_);_(&quot;$&quot;* \(#,##0.00\);_(&quot;$&quot;* &quot;-&quot;??_);_(@_)"/>
    <numFmt numFmtId="165" formatCode="_(* #,##0.00_);_(* \(#,##0.00\);_(* &quot;-&quot;_);_(@_)"/>
    <numFmt numFmtId="166" formatCode="_(* #,##0_);_(* \(#,##0\);_(* &quot;-&quot;??_);_(@_)"/>
    <numFmt numFmtId="167" formatCode="_(* #,##0.000000_);_(* \(#,##0.000000\);_(* &quot;-&quot;_);_(@_)"/>
    <numFmt numFmtId="168" formatCode="0.0%"/>
    <numFmt numFmtId="169" formatCode="0.000"/>
    <numFmt numFmtId="170" formatCode="#,##0.0_);\(#,##0.0\)"/>
    <numFmt numFmtId="171" formatCode="0.0"/>
    <numFmt numFmtId="172" formatCode="_(* #,##0_);_(* \(#,##0\);_(* &quot;-&quot;?_);_(@_)"/>
    <numFmt numFmtId="173" formatCode="_(* #,##0.0_);_(* \(#,##0.0\);_(* &quot;-&quot;?_);_(@_)"/>
    <numFmt numFmtId="174" formatCode="_([$Rp-421]* #,##0.00_);_([$Rp-421]* \(#,##0.00\);_([$Rp-421]* &quot;-&quot;??_);_(@_)"/>
    <numFmt numFmtId="175" formatCode="_([$Rp-421]* #,##0_);_([$Rp-421]* \(#,##0\);_([$Rp-421]* &quot;-&quot;_);_(@_)"/>
    <numFmt numFmtId="176" formatCode="#,##0;[Red]#,##0"/>
  </numFmts>
  <fonts count="71">
    <font>
      <sz val="11"/>
      <color theme="1"/>
      <name val="Calibri"/>
      <family val="2"/>
      <scheme val="minor"/>
    </font>
    <font>
      <sz val="9"/>
      <color indexed="81"/>
      <name val="Tahoma"/>
      <family val="2"/>
    </font>
    <font>
      <sz val="10"/>
      <name val="Arial"/>
      <family val="2"/>
    </font>
    <font>
      <sz val="12"/>
      <name val="Arial Narrow"/>
      <family val="2"/>
    </font>
    <font>
      <b/>
      <sz val="12"/>
      <name val="Arial Narrow"/>
      <family val="2"/>
    </font>
    <font>
      <sz val="10"/>
      <name val="MS Sans Serif"/>
      <family val="2"/>
    </font>
    <font>
      <sz val="11"/>
      <color theme="1"/>
      <name val="Calibri"/>
      <family val="2"/>
      <scheme val="minor"/>
    </font>
    <font>
      <sz val="11"/>
      <color theme="1"/>
      <name val="Calibri"/>
      <family val="2"/>
      <charset val="1"/>
      <scheme val="minor"/>
    </font>
    <font>
      <sz val="12"/>
      <color theme="1"/>
      <name val="Arial Narrow"/>
      <family val="2"/>
    </font>
    <font>
      <b/>
      <sz val="12"/>
      <color theme="1"/>
      <name val="Arial Narrow"/>
      <family val="2"/>
    </font>
    <font>
      <sz val="12"/>
      <color indexed="13"/>
      <name val="Arial Narrow"/>
      <family val="2"/>
    </font>
    <font>
      <b/>
      <i/>
      <sz val="10"/>
      <name val="Arial Narrow"/>
      <family val="2"/>
    </font>
    <font>
      <sz val="10"/>
      <name val="Arial Narrow"/>
      <family val="2"/>
    </font>
    <font>
      <b/>
      <sz val="14"/>
      <color theme="1"/>
      <name val="Arial Narrow"/>
      <family val="2"/>
    </font>
    <font>
      <sz val="12"/>
      <name val="Calibri"/>
      <family val="2"/>
    </font>
    <font>
      <b/>
      <sz val="9"/>
      <color indexed="81"/>
      <name val="Tahoma"/>
      <family val="2"/>
    </font>
    <font>
      <i/>
      <sz val="12"/>
      <name val="Arial Narrow"/>
      <family val="2"/>
    </font>
    <font>
      <sz val="10"/>
      <color indexed="81"/>
      <name val="Tahoma"/>
      <family val="2"/>
    </font>
    <font>
      <b/>
      <i/>
      <sz val="12"/>
      <color theme="1"/>
      <name val="Arial Narrow"/>
      <family val="2"/>
    </font>
    <font>
      <b/>
      <sz val="11"/>
      <color theme="1"/>
      <name val="Calibri"/>
      <family val="2"/>
      <scheme val="minor"/>
    </font>
    <font>
      <b/>
      <i/>
      <sz val="11"/>
      <color theme="1"/>
      <name val="Calibri"/>
      <family val="2"/>
      <scheme val="minor"/>
    </font>
    <font>
      <b/>
      <sz val="9"/>
      <name val="Arial Narrow"/>
      <family val="2"/>
    </font>
    <font>
      <b/>
      <sz val="10"/>
      <name val="Arial Narrow"/>
      <family val="2"/>
    </font>
    <font>
      <i/>
      <sz val="10"/>
      <name val="Arial Narrow"/>
      <family val="2"/>
    </font>
    <font>
      <sz val="11"/>
      <name val="Arial Narrow"/>
      <family val="2"/>
    </font>
    <font>
      <sz val="8"/>
      <name val="Arial Narrow"/>
      <family val="2"/>
    </font>
    <font>
      <u/>
      <sz val="12"/>
      <name val="Arial Narrow"/>
      <family val="2"/>
    </font>
    <font>
      <sz val="11"/>
      <name val="Calibri"/>
      <family val="2"/>
      <scheme val="minor"/>
    </font>
    <font>
      <b/>
      <sz val="22"/>
      <name val="Arial Narrow"/>
      <family val="2"/>
    </font>
    <font>
      <sz val="22"/>
      <name val="Arial Narrow"/>
      <family val="2"/>
    </font>
    <font>
      <b/>
      <sz val="8"/>
      <name val="Arial Narrow"/>
      <family val="2"/>
    </font>
    <font>
      <sz val="12"/>
      <name val="Segoe UI"/>
      <family val="2"/>
    </font>
    <font>
      <sz val="11"/>
      <color theme="1"/>
      <name val="Arial Narrow"/>
      <family val="2"/>
    </font>
    <font>
      <b/>
      <sz val="9"/>
      <color theme="1"/>
      <name val="Bookman Old Style"/>
      <family val="1"/>
    </font>
    <font>
      <b/>
      <i/>
      <sz val="9"/>
      <color theme="1"/>
      <name val="Bookman Old Style"/>
      <family val="1"/>
    </font>
    <font>
      <sz val="9"/>
      <color theme="1"/>
      <name val="Bookman Old Style"/>
      <family val="1"/>
    </font>
    <font>
      <sz val="11"/>
      <color rgb="FFFF0000"/>
      <name val="Calibri"/>
      <family val="2"/>
      <scheme val="minor"/>
    </font>
    <font>
      <i/>
      <sz val="11"/>
      <color theme="1"/>
      <name val="Calibri"/>
      <family val="2"/>
      <scheme val="minor"/>
    </font>
    <font>
      <sz val="11"/>
      <color indexed="8"/>
      <name val="Calibri"/>
      <family val="2"/>
      <scheme val="minor"/>
    </font>
    <font>
      <i/>
      <sz val="11"/>
      <color indexed="8"/>
      <name val="Calibri"/>
      <family val="2"/>
      <scheme val="minor"/>
    </font>
    <font>
      <sz val="11"/>
      <color theme="0"/>
      <name val="Calibri"/>
      <family val="2"/>
      <scheme val="minor"/>
    </font>
    <font>
      <b/>
      <sz val="11"/>
      <color indexed="8"/>
      <name val="Calibri"/>
      <family val="2"/>
      <scheme val="minor"/>
    </font>
    <font>
      <i/>
      <sz val="11"/>
      <name val="Calibri"/>
      <family val="2"/>
      <scheme val="minor"/>
    </font>
    <font>
      <b/>
      <i/>
      <sz val="11"/>
      <name val="Calibri"/>
      <family val="2"/>
      <scheme val="minor"/>
    </font>
    <font>
      <sz val="7"/>
      <color rgb="FFFF0000"/>
      <name val="Calibri"/>
      <family val="2"/>
      <scheme val="minor"/>
    </font>
    <font>
      <sz val="7"/>
      <name val="Arial Narrow"/>
      <family val="2"/>
    </font>
    <font>
      <sz val="14"/>
      <name val="Arial Narrow"/>
      <family val="2"/>
    </font>
    <font>
      <sz val="9"/>
      <name val="Arial Narrow"/>
      <family val="2"/>
    </font>
    <font>
      <b/>
      <sz val="11"/>
      <name val="Calibri"/>
      <family val="2"/>
      <scheme val="minor"/>
    </font>
    <font>
      <b/>
      <i/>
      <sz val="12"/>
      <name val="Calibri"/>
      <family val="2"/>
      <scheme val="minor"/>
    </font>
    <font>
      <b/>
      <sz val="12"/>
      <name val="Calibri"/>
      <family val="2"/>
      <scheme val="minor"/>
    </font>
    <font>
      <sz val="12"/>
      <name val="Arial"/>
      <family val="2"/>
    </font>
    <font>
      <sz val="12"/>
      <name val="Calibri"/>
      <family val="2"/>
      <scheme val="minor"/>
    </font>
    <font>
      <sz val="11"/>
      <name val="Calibri"/>
      <family val="2"/>
    </font>
    <font>
      <b/>
      <i/>
      <sz val="12"/>
      <color rgb="FFFF0000"/>
      <name val="Calibri"/>
      <family val="2"/>
      <scheme val="minor"/>
    </font>
    <font>
      <b/>
      <sz val="11"/>
      <color rgb="FFFF0000"/>
      <name val="Calibri"/>
      <family val="2"/>
      <scheme val="minor"/>
    </font>
    <font>
      <b/>
      <sz val="12"/>
      <color rgb="FFFF0000"/>
      <name val="Calibri"/>
      <family val="2"/>
      <scheme val="minor"/>
    </font>
    <font>
      <sz val="14"/>
      <color indexed="81"/>
      <name val="Tahoma"/>
      <family val="2"/>
    </font>
    <font>
      <sz val="10"/>
      <color indexed="8"/>
      <name val="MS Sans Serif"/>
      <family val="2"/>
    </font>
    <font>
      <b/>
      <sz val="8.15"/>
      <color indexed="8"/>
      <name val="Times New Roman"/>
      <family val="1"/>
    </font>
    <font>
      <b/>
      <sz val="9.85"/>
      <color indexed="8"/>
      <name val="Times New Roman"/>
      <family val="1"/>
    </font>
    <font>
      <sz val="9.85"/>
      <color indexed="8"/>
      <name val="Times New Roman"/>
      <family val="1"/>
    </font>
    <font>
      <sz val="8.0500000000000007"/>
      <color indexed="8"/>
      <name val="Times New Roman"/>
      <family val="1"/>
    </font>
    <font>
      <sz val="10"/>
      <name val="Calibri"/>
      <family val="2"/>
    </font>
    <font>
      <sz val="14"/>
      <name val="Calibri"/>
      <family val="2"/>
    </font>
    <font>
      <sz val="8.0500000000000007"/>
      <name val="Times New Roman"/>
      <family val="1"/>
    </font>
    <font>
      <b/>
      <sz val="14"/>
      <name val="Calibri"/>
      <family val="2"/>
    </font>
    <font>
      <sz val="9.85"/>
      <name val="Times New Roman"/>
      <family val="1"/>
    </font>
    <font>
      <b/>
      <i/>
      <sz val="11"/>
      <color rgb="FFFF0000"/>
      <name val="Calibri"/>
      <family val="2"/>
      <scheme val="minor"/>
    </font>
    <font>
      <b/>
      <i/>
      <sz val="8"/>
      <color theme="1"/>
      <name val="Arial Narrow"/>
      <family val="2"/>
    </font>
    <font>
      <b/>
      <sz val="8"/>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indexed="10"/>
        <bgColor indexed="64"/>
      </patternFill>
    </fill>
    <fill>
      <patternFill patternType="solid">
        <fgColor indexed="13"/>
        <bgColor indexed="64"/>
      </patternFill>
    </fill>
    <fill>
      <patternFill patternType="solid">
        <fgColor rgb="FF00B050"/>
        <bgColor indexed="64"/>
      </patternFill>
    </fill>
    <fill>
      <patternFill patternType="solid">
        <fgColor theme="4"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ashDotDot">
        <color indexed="64"/>
      </left>
      <right/>
      <top/>
      <bottom/>
      <diagonal/>
    </border>
    <border>
      <left/>
      <right style="dashDotDot">
        <color indexed="64"/>
      </right>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top style="hair">
        <color auto="1"/>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s>
  <cellStyleXfs count="23">
    <xf numFmtId="0" fontId="0" fillId="0" borderId="0"/>
    <xf numFmtId="43" fontId="6" fillId="0" borderId="0" applyFont="0" applyFill="0" applyBorder="0" applyAlignment="0" applyProtection="0"/>
    <xf numFmtId="41" fontId="6" fillId="0" borderId="0" applyFont="0" applyFill="0" applyBorder="0" applyAlignment="0" applyProtection="0"/>
    <xf numFmtId="0" fontId="6" fillId="0" borderId="0"/>
    <xf numFmtId="0" fontId="7" fillId="0" borderId="0"/>
    <xf numFmtId="0" fontId="5" fillId="0" borderId="0"/>
    <xf numFmtId="9" fontId="6" fillId="0" borderId="0" applyFont="0" applyFill="0" applyBorder="0" applyAlignment="0" applyProtection="0"/>
    <xf numFmtId="9" fontId="2" fillId="0" borderId="0" applyFont="0" applyFill="0" applyBorder="0" applyAlignment="0" applyProtection="0"/>
    <xf numFmtId="0" fontId="2" fillId="0" borderId="0"/>
    <xf numFmtId="165" fontId="6"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2" fillId="0" borderId="0"/>
    <xf numFmtId="41" fontId="6" fillId="0" borderId="0" applyFont="0" applyFill="0" applyBorder="0" applyAlignment="0" applyProtection="0"/>
    <xf numFmtId="164" fontId="6" fillId="0" borderId="0" applyFont="0" applyFill="0" applyBorder="0" applyAlignment="0" applyProtection="0"/>
    <xf numFmtId="0" fontId="58" fillId="0" borderId="0"/>
    <xf numFmtId="43" fontId="60" fillId="0" borderId="0" applyFont="0" applyFill="0" applyBorder="0" applyAlignment="0" applyProtection="0"/>
    <xf numFmtId="41" fontId="60" fillId="0" borderId="0" applyFont="0" applyFill="0" applyBorder="0" applyAlignment="0" applyProtection="0"/>
    <xf numFmtId="41" fontId="58" fillId="0" borderId="0" applyFont="0" applyFill="0" applyBorder="0" applyAlignment="0" applyProtection="0"/>
  </cellStyleXfs>
  <cellXfs count="1274">
    <xf numFmtId="0" fontId="0" fillId="0" borderId="0" xfId="0"/>
    <xf numFmtId="0" fontId="3" fillId="0" borderId="0" xfId="0" applyFont="1" applyFill="1" applyBorder="1" applyAlignment="1">
      <alignment horizontal="left" vertical="top" wrapText="1"/>
    </xf>
    <xf numFmtId="0" fontId="8" fillId="0"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0" xfId="5" applyNumberFormat="1" applyFont="1" applyAlignment="1" applyProtection="1">
      <alignment horizontal="left" vertical="top"/>
      <protection locked="0"/>
    </xf>
    <xf numFmtId="0" fontId="3" fillId="0" borderId="0" xfId="5" applyFont="1" applyAlignment="1">
      <alignment vertical="top" wrapText="1"/>
    </xf>
    <xf numFmtId="0" fontId="3" fillId="0" borderId="0" xfId="5" applyFont="1"/>
    <xf numFmtId="0" fontId="4" fillId="0" borderId="0" xfId="5" applyNumberFormat="1" applyFont="1" applyAlignment="1" applyProtection="1">
      <alignment horizontal="center"/>
      <protection locked="0"/>
    </xf>
    <xf numFmtId="0" fontId="4" fillId="0" borderId="0" xfId="5" applyNumberFormat="1" applyFont="1" applyAlignment="1" applyProtection="1">
      <alignment vertical="top" wrapText="1"/>
      <protection locked="0"/>
    </xf>
    <xf numFmtId="0" fontId="4" fillId="0" borderId="0" xfId="5" applyFont="1"/>
    <xf numFmtId="0" fontId="3" fillId="0" borderId="0" xfId="5" applyNumberFormat="1" applyFont="1" applyAlignment="1" applyProtection="1">
      <alignment horizontal="left" vertical="top"/>
      <protection locked="0"/>
    </xf>
    <xf numFmtId="0" fontId="3" fillId="0" borderId="0" xfId="5" applyNumberFormat="1" applyFont="1" applyAlignment="1" applyProtection="1">
      <alignment vertical="top" wrapText="1"/>
      <protection locked="0"/>
    </xf>
    <xf numFmtId="0" fontId="3" fillId="0" borderId="0" xfId="5" applyFont="1" applyAlignment="1">
      <alignment horizontal="left" vertical="top"/>
    </xf>
    <xf numFmtId="3" fontId="3" fillId="0" borderId="0" xfId="5" applyNumberFormat="1" applyFont="1" applyProtection="1">
      <protection locked="0"/>
    </xf>
    <xf numFmtId="0" fontId="9" fillId="0" borderId="0" xfId="0" applyFont="1"/>
    <xf numFmtId="0" fontId="0" fillId="0" borderId="0" xfId="0" applyAlignment="1">
      <alignment horizontal="center" vertical="center" wrapText="1"/>
    </xf>
    <xf numFmtId="0" fontId="9" fillId="0" borderId="0" xfId="0" applyFont="1" applyAlignment="1">
      <alignment horizontal="center" vertical="center" wrapText="1"/>
    </xf>
    <xf numFmtId="0" fontId="3" fillId="0" borderId="5" xfId="0" applyFont="1" applyFill="1" applyBorder="1" applyAlignment="1">
      <alignment horizontal="left" vertical="top" wrapText="1"/>
    </xf>
    <xf numFmtId="0" fontId="11" fillId="0" borderId="1" xfId="0" applyFont="1" applyFill="1" applyBorder="1" applyAlignment="1">
      <alignment horizontal="center" vertical="center" wrapText="1"/>
    </xf>
    <xf numFmtId="43" fontId="3" fillId="0" borderId="1" xfId="1"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3" xfId="5" applyNumberFormat="1" applyFont="1" applyBorder="1" applyAlignment="1" applyProtection="1">
      <alignment vertical="top" wrapText="1"/>
      <protection locked="0"/>
    </xf>
    <xf numFmtId="43" fontId="3" fillId="0" borderId="3" xfId="1" applyFont="1" applyFill="1" applyBorder="1" applyAlignment="1">
      <alignment vertical="center" wrapText="1"/>
    </xf>
    <xf numFmtId="43" fontId="3" fillId="0" borderId="4" xfId="1" applyFont="1" applyFill="1" applyBorder="1" applyAlignment="1">
      <alignment vertical="center" wrapText="1"/>
    </xf>
    <xf numFmtId="0" fontId="12" fillId="0" borderId="0" xfId="0" applyFont="1" applyFill="1" applyBorder="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Border="1"/>
    <xf numFmtId="0" fontId="12" fillId="0" borderId="0" xfId="0" applyFont="1"/>
    <xf numFmtId="0" fontId="3" fillId="0" borderId="2" xfId="5" applyNumberFormat="1" applyFont="1" applyBorder="1" applyAlignment="1" applyProtection="1">
      <alignment vertical="top" wrapText="1"/>
      <protection locked="0"/>
    </xf>
    <xf numFmtId="0" fontId="3" fillId="0" borderId="1" xfId="0" applyNumberFormat="1" applyFont="1" applyFill="1" applyBorder="1" applyAlignment="1">
      <alignment horizontal="left" vertical="top" wrapText="1"/>
    </xf>
    <xf numFmtId="0" fontId="3" fillId="0" borderId="1" xfId="0" applyFont="1" applyFill="1" applyBorder="1" applyAlignment="1">
      <alignment horizontal="center" vertical="top" wrapText="1"/>
    </xf>
    <xf numFmtId="0" fontId="3" fillId="0" borderId="1" xfId="0" quotePrefix="1" applyFont="1" applyFill="1" applyBorder="1" applyAlignment="1">
      <alignment horizontal="center" vertical="top" wrapText="1"/>
    </xf>
    <xf numFmtId="0" fontId="3" fillId="0" borderId="1" xfId="6"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3" fillId="0" borderId="18" xfId="0" applyFont="1" applyFill="1" applyBorder="1" applyAlignment="1">
      <alignment horizontal="left" vertical="top" wrapText="1"/>
    </xf>
    <xf numFmtId="0" fontId="4" fillId="0" borderId="2" xfId="0" applyFont="1" applyFill="1" applyBorder="1" applyAlignment="1">
      <alignment horizontal="left" vertical="top" wrapText="1"/>
    </xf>
    <xf numFmtId="0" fontId="3" fillId="0" borderId="1" xfId="5" applyNumberFormat="1" applyFont="1" applyBorder="1" applyAlignment="1" applyProtection="1">
      <alignment horizontal="left" vertical="top" wrapText="1"/>
      <protection locked="0"/>
    </xf>
    <xf numFmtId="0" fontId="3" fillId="0" borderId="8" xfId="5" applyNumberFormat="1" applyFont="1" applyBorder="1" applyAlignment="1" applyProtection="1">
      <alignment vertical="top" wrapText="1"/>
      <protection locked="0"/>
    </xf>
    <xf numFmtId="0" fontId="8" fillId="0" borderId="0" xfId="0" applyFont="1" applyFill="1" applyAlignment="1">
      <alignment horizontal="left" vertical="top" wrapText="1"/>
    </xf>
    <xf numFmtId="0" fontId="18" fillId="0" borderId="0" xfId="0" applyFont="1" applyFill="1" applyAlignment="1">
      <alignment horizontal="center" vertical="center" wrapText="1"/>
    </xf>
    <xf numFmtId="0" fontId="3" fillId="0" borderId="4" xfId="5" applyNumberFormat="1" applyFont="1" applyBorder="1" applyAlignment="1" applyProtection="1">
      <alignment vertical="top" wrapText="1"/>
      <protection locked="0"/>
    </xf>
    <xf numFmtId="0" fontId="3" fillId="0" borderId="18" xfId="5" applyNumberFormat="1" applyFont="1" applyBorder="1" applyAlignment="1" applyProtection="1">
      <alignment horizontal="left" vertical="top"/>
      <protection locked="0"/>
    </xf>
    <xf numFmtId="43" fontId="3" fillId="0" borderId="2" xfId="1" applyFont="1" applyFill="1" applyBorder="1" applyAlignment="1">
      <alignment vertical="top" wrapText="1"/>
    </xf>
    <xf numFmtId="0" fontId="0" fillId="0" borderId="3" xfId="0" applyFont="1" applyFill="1" applyBorder="1" applyAlignment="1">
      <alignment horizontal="left" vertical="top" wrapText="1"/>
    </xf>
    <xf numFmtId="0" fontId="0" fillId="0" borderId="0" xfId="0" applyAlignment="1">
      <alignment horizontal="left" vertical="top" wrapText="1"/>
    </xf>
    <xf numFmtId="0" fontId="11" fillId="0" borderId="2" xfId="0" applyFont="1" applyFill="1" applyBorder="1" applyAlignment="1">
      <alignment horizontal="center" vertical="center" wrapText="1"/>
    </xf>
    <xf numFmtId="0" fontId="0" fillId="0" borderId="2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9"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Font="1" applyFill="1" applyBorder="1" applyAlignment="1">
      <alignment horizontal="left" vertical="top" wrapText="1"/>
    </xf>
    <xf numFmtId="41" fontId="0" fillId="0" borderId="1" xfId="0" applyNumberFormat="1"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8" xfId="0" applyFill="1" applyBorder="1" applyAlignment="1">
      <alignment horizontal="left" vertical="top" wrapText="1"/>
    </xf>
    <xf numFmtId="0" fontId="0" fillId="0" borderId="21" xfId="0" applyFill="1" applyBorder="1" applyAlignment="1">
      <alignment horizontal="left" vertical="top" wrapText="1"/>
    </xf>
    <xf numFmtId="0" fontId="0" fillId="0" borderId="10" xfId="0" applyFill="1" applyBorder="1" applyAlignment="1">
      <alignment horizontal="left" vertical="top" wrapText="1"/>
    </xf>
    <xf numFmtId="0" fontId="0" fillId="0" borderId="18"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8"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19"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10" xfId="0" applyFont="1" applyFill="1" applyBorder="1" applyAlignment="1">
      <alignment horizontal="left" vertical="top" wrapText="1"/>
    </xf>
    <xf numFmtId="0" fontId="4" fillId="0" borderId="3" xfId="0" applyFont="1" applyFill="1" applyBorder="1" applyAlignment="1">
      <alignment horizontal="left" vertical="top" wrapText="1"/>
    </xf>
    <xf numFmtId="0" fontId="8"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21" fillId="0" borderId="0" xfId="3" applyFont="1" applyFill="1" applyBorder="1" applyAlignment="1" applyProtection="1">
      <alignment horizontal="center" vertical="center" wrapText="1"/>
      <protection locked="0"/>
    </xf>
    <xf numFmtId="0" fontId="22" fillId="0" borderId="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2" xfId="1" applyNumberFormat="1" applyFont="1" applyFill="1" applyBorder="1" applyAlignment="1">
      <alignment vertical="top" wrapText="1"/>
    </xf>
    <xf numFmtId="0" fontId="3" fillId="0" borderId="3" xfId="1" applyNumberFormat="1" applyFont="1" applyFill="1" applyBorder="1" applyAlignment="1">
      <alignment vertical="top"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0" xfId="5" applyNumberFormat="1" applyFont="1" applyFill="1" applyAlignment="1" applyProtection="1">
      <alignment horizontal="left" vertical="top" wrapText="1"/>
      <protection locked="0"/>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22" fillId="0" borderId="0" xfId="3"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0" quotePrefix="1" applyFont="1" applyFill="1" applyBorder="1" applyAlignment="1">
      <alignment horizontal="left" vertical="top" wrapText="1"/>
    </xf>
    <xf numFmtId="0" fontId="4" fillId="0" borderId="0" xfId="0" applyFont="1" applyFill="1" applyBorder="1"/>
    <xf numFmtId="0" fontId="3" fillId="0" borderId="0" xfId="0" applyFont="1" applyFill="1" applyBorder="1"/>
    <xf numFmtId="0" fontId="3" fillId="0" borderId="0" xfId="0" applyFont="1" applyFill="1" applyBorder="1" applyAlignment="1">
      <alignment wrapText="1"/>
    </xf>
    <xf numFmtId="0" fontId="4" fillId="0" borderId="0" xfId="0" applyFont="1"/>
    <xf numFmtId="0" fontId="3" fillId="0" borderId="0" xfId="0" applyFont="1"/>
    <xf numFmtId="0" fontId="3" fillId="0" borderId="0" xfId="0" applyFont="1" applyBorder="1"/>
    <xf numFmtId="0" fontId="3" fillId="0" borderId="0" xfId="0" applyFont="1" applyFill="1" applyAlignment="1">
      <alignment horizontal="left" vertical="top" wrapText="1"/>
    </xf>
    <xf numFmtId="0" fontId="3" fillId="0" borderId="11" xfId="0" applyFont="1" applyBorder="1"/>
    <xf numFmtId="0" fontId="3" fillId="0" borderId="0" xfId="0" applyFont="1" applyFill="1"/>
    <xf numFmtId="0" fontId="28" fillId="0" borderId="0" xfId="0" applyFont="1" applyFill="1" applyBorder="1" applyAlignment="1">
      <alignment horizontal="left" vertical="top" wrapText="1"/>
    </xf>
    <xf numFmtId="0" fontId="29" fillId="0" borderId="0" xfId="0" applyFont="1" applyFill="1" applyBorder="1" applyAlignment="1">
      <alignment horizontal="left" vertical="top"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2" fillId="0" borderId="0" xfId="0" applyFont="1" applyFill="1" applyBorder="1" applyAlignment="1">
      <alignment horizontal="left" vertical="top"/>
    </xf>
    <xf numFmtId="2" fontId="3" fillId="0" borderId="1" xfId="0" applyNumberFormat="1" applyFont="1" applyFill="1" applyBorder="1" applyAlignment="1">
      <alignment horizontal="left" vertical="top" wrapText="1"/>
    </xf>
    <xf numFmtId="0" fontId="22" fillId="0" borderId="0" xfId="0" applyFont="1" applyFill="1" applyBorder="1" applyAlignment="1">
      <alignment horizontal="center" vertical="center" wrapText="1"/>
    </xf>
    <xf numFmtId="0" fontId="12" fillId="0" borderId="0" xfId="0" applyFont="1" applyFill="1" applyBorder="1" applyAlignment="1">
      <alignment horizontal="center"/>
    </xf>
    <xf numFmtId="0" fontId="22" fillId="0" borderId="0" xfId="0" applyFont="1" applyFill="1" applyBorder="1"/>
    <xf numFmtId="0" fontId="22" fillId="0" borderId="0" xfId="0" applyFont="1" applyBorder="1"/>
    <xf numFmtId="0" fontId="12" fillId="6" borderId="0" xfId="0" applyFont="1" applyFill="1" applyBorder="1" applyAlignment="1">
      <alignment horizontal="center" vertical="center" wrapText="1"/>
    </xf>
    <xf numFmtId="0" fontId="22" fillId="0" borderId="0" xfId="0" applyFont="1"/>
    <xf numFmtId="0" fontId="12" fillId="0" borderId="0" xfId="0" applyFont="1" applyFill="1"/>
    <xf numFmtId="0" fontId="12" fillId="0" borderId="0" xfId="0" applyFont="1" applyFill="1" applyAlignment="1">
      <alignment horizontal="center"/>
    </xf>
    <xf numFmtId="0" fontId="12" fillId="0" borderId="0" xfId="0" applyFont="1" applyBorder="1" applyAlignment="1">
      <alignment wrapText="1"/>
    </xf>
    <xf numFmtId="0" fontId="12" fillId="0" borderId="0" xfId="0" applyFont="1" applyFill="1" applyBorder="1" applyAlignment="1">
      <alignment wrapText="1"/>
    </xf>
    <xf numFmtId="0" fontId="12" fillId="0" borderId="0" xfId="0" applyFont="1" applyAlignment="1">
      <alignment wrapText="1"/>
    </xf>
    <xf numFmtId="0" fontId="29" fillId="0" borderId="0" xfId="0" applyFont="1" applyFill="1" applyBorder="1" applyAlignment="1">
      <alignment horizontal="left" vertical="top"/>
    </xf>
    <xf numFmtId="0" fontId="29" fillId="0" borderId="0" xfId="0" applyFont="1" applyFill="1" applyBorder="1" applyAlignment="1">
      <alignment horizontal="left" vertical="center"/>
    </xf>
    <xf numFmtId="0" fontId="12" fillId="0" borderId="0" xfId="0" applyFont="1" applyFill="1" applyAlignment="1">
      <alignment wrapText="1"/>
    </xf>
    <xf numFmtId="165" fontId="3" fillId="0" borderId="1" xfId="2" quotePrefix="1" applyNumberFormat="1" applyFont="1" applyFill="1" applyBorder="1" applyAlignment="1">
      <alignment horizontal="center" vertical="top" wrapText="1"/>
    </xf>
    <xf numFmtId="0" fontId="22" fillId="0" borderId="0" xfId="0" applyFont="1" applyFill="1" applyAlignment="1">
      <alignment horizontal="left" vertical="top" wrapText="1"/>
    </xf>
    <xf numFmtId="0" fontId="12" fillId="0" borderId="0" xfId="0" applyFont="1" applyFill="1" applyAlignment="1">
      <alignment horizontal="left" vertical="top"/>
    </xf>
    <xf numFmtId="0" fontId="30" fillId="0" borderId="2" xfId="3" applyFont="1" applyFill="1" applyBorder="1" applyAlignment="1" applyProtection="1">
      <alignment horizontal="center" vertical="center" wrapText="1"/>
      <protection locked="0"/>
    </xf>
    <xf numFmtId="0" fontId="30" fillId="0" borderId="2" xfId="3" applyNumberFormat="1" applyFont="1" applyFill="1" applyBorder="1" applyAlignment="1" applyProtection="1">
      <alignment horizontal="center" vertical="center" wrapText="1"/>
      <protection locked="0"/>
    </xf>
    <xf numFmtId="0" fontId="30" fillId="0" borderId="0" xfId="3" applyFont="1" applyFill="1" applyBorder="1" applyAlignment="1" applyProtection="1">
      <alignment horizontal="center" vertical="center" wrapText="1"/>
      <protection locked="0"/>
    </xf>
    <xf numFmtId="0" fontId="30" fillId="0" borderId="4" xfId="3" applyFont="1" applyFill="1" applyBorder="1" applyAlignment="1" applyProtection="1">
      <alignment horizontal="center" vertical="center" wrapText="1"/>
      <protection locked="0"/>
    </xf>
    <xf numFmtId="0" fontId="30" fillId="0" borderId="4" xfId="3" applyNumberFormat="1" applyFont="1" applyFill="1" applyBorder="1" applyAlignment="1" applyProtection="1">
      <alignment horizontal="center" vertical="center" wrapText="1"/>
      <protection locked="0"/>
    </xf>
    <xf numFmtId="0" fontId="11" fillId="0" borderId="1" xfId="0" applyFont="1" applyFill="1" applyBorder="1" applyAlignment="1">
      <alignment horizontal="left" vertical="top" wrapText="1"/>
    </xf>
    <xf numFmtId="0" fontId="25" fillId="0" borderId="3" xfId="0" applyFont="1" applyFill="1" applyBorder="1" applyAlignment="1">
      <alignment vertical="center" wrapText="1"/>
    </xf>
    <xf numFmtId="0" fontId="31" fillId="0" borderId="4" xfId="0" applyFont="1" applyFill="1" applyBorder="1" applyAlignment="1">
      <alignment horizontal="left" vertical="top" wrapText="1"/>
    </xf>
    <xf numFmtId="0" fontId="3" fillId="0" borderId="2" xfId="0" applyFont="1" applyFill="1" applyBorder="1" applyAlignment="1">
      <alignment vertical="top" wrapText="1"/>
    </xf>
    <xf numFmtId="0" fontId="22" fillId="0" borderId="0" xfId="0" applyFont="1" applyFill="1" applyBorder="1" applyAlignment="1">
      <alignment horizontal="left" vertical="top" wrapText="1"/>
    </xf>
    <xf numFmtId="0" fontId="3" fillId="0" borderId="2" xfId="5" applyNumberFormat="1" applyFont="1" applyFill="1" applyBorder="1" applyAlignment="1" applyProtection="1">
      <alignment horizontal="left" vertical="top" wrapText="1"/>
      <protection locked="0"/>
    </xf>
    <xf numFmtId="0" fontId="3" fillId="0" borderId="7" xfId="5" applyNumberFormat="1" applyFont="1" applyFill="1" applyBorder="1" applyAlignment="1" applyProtection="1">
      <alignment horizontal="left" vertical="top" wrapText="1"/>
      <protection locked="0"/>
    </xf>
    <xf numFmtId="0" fontId="3" fillId="5" borderId="0" xfId="5" applyNumberFormat="1" applyFont="1" applyFill="1" applyAlignment="1" applyProtection="1">
      <alignment vertical="top" wrapText="1"/>
      <protection locked="0"/>
    </xf>
    <xf numFmtId="0" fontId="33" fillId="0" borderId="0" xfId="0" applyFont="1" applyFill="1" applyAlignment="1">
      <alignment horizontal="left" vertical="top" wrapText="1"/>
    </xf>
    <xf numFmtId="0" fontId="33" fillId="0" borderId="0" xfId="0" applyFont="1" applyFill="1" applyAlignment="1">
      <alignment horizontal="center" vertical="center" wrapText="1"/>
    </xf>
    <xf numFmtId="0" fontId="35" fillId="0" borderId="2" xfId="0" applyFont="1" applyFill="1" applyBorder="1" applyAlignment="1">
      <alignment horizontal="left" vertical="top" wrapText="1"/>
    </xf>
    <xf numFmtId="0" fontId="35" fillId="0" borderId="0" xfId="0" applyFont="1" applyFill="1" applyAlignment="1">
      <alignment horizontal="left" vertical="top" wrapText="1"/>
    </xf>
    <xf numFmtId="0" fontId="35" fillId="0" borderId="3" xfId="0" applyFont="1" applyFill="1" applyBorder="1" applyAlignment="1">
      <alignment horizontal="left" vertical="top" wrapText="1"/>
    </xf>
    <xf numFmtId="0" fontId="35" fillId="0" borderId="4" xfId="0" applyFont="1" applyFill="1" applyBorder="1" applyAlignment="1">
      <alignment horizontal="left" vertical="top" wrapText="1"/>
    </xf>
    <xf numFmtId="0" fontId="35" fillId="0" borderId="1" xfId="0" applyFont="1" applyFill="1" applyBorder="1" applyAlignment="1">
      <alignment horizontal="left" vertical="top" wrapText="1"/>
    </xf>
    <xf numFmtId="0" fontId="35" fillId="0" borderId="1" xfId="0" applyFont="1" applyFill="1" applyBorder="1" applyAlignment="1">
      <alignment vertical="top" wrapText="1"/>
    </xf>
    <xf numFmtId="0" fontId="33" fillId="0" borderId="3" xfId="0" applyFont="1" applyFill="1" applyBorder="1" applyAlignment="1">
      <alignment horizontal="left" vertical="top" wrapText="1"/>
    </xf>
    <xf numFmtId="0" fontId="0" fillId="0" borderId="15" xfId="0" applyFont="1" applyFill="1" applyBorder="1" applyAlignment="1">
      <alignment horizontal="left" vertical="top" wrapText="1"/>
    </xf>
    <xf numFmtId="0" fontId="0" fillId="0" borderId="24" xfId="0" applyFont="1" applyFill="1" applyBorder="1" applyAlignment="1">
      <alignment horizontal="left" vertical="top" wrapText="1"/>
    </xf>
    <xf numFmtId="41" fontId="0" fillId="0" borderId="15" xfId="0" applyNumberFormat="1" applyFont="1" applyFill="1" applyBorder="1" applyAlignment="1">
      <alignment horizontal="left" vertical="top" wrapText="1"/>
    </xf>
    <xf numFmtId="166" fontId="0" fillId="0" borderId="15" xfId="1" applyNumberFormat="1" applyFont="1" applyFill="1" applyBorder="1" applyAlignment="1">
      <alignment horizontal="left" vertical="top" wrapText="1"/>
    </xf>
    <xf numFmtId="0" fontId="0" fillId="0" borderId="0" xfId="0" applyFont="1" applyAlignment="1">
      <alignment horizontal="left" vertical="top" wrapText="1"/>
    </xf>
    <xf numFmtId="166" fontId="0" fillId="0" borderId="24" xfId="1" applyNumberFormat="1" applyFont="1" applyFill="1" applyBorder="1" applyAlignment="1">
      <alignment horizontal="left" vertical="top" wrapText="1"/>
    </xf>
    <xf numFmtId="41" fontId="0" fillId="0" borderId="15" xfId="2" applyFont="1" applyFill="1" applyBorder="1" applyAlignment="1">
      <alignment horizontal="left" vertical="top" wrapText="1"/>
    </xf>
    <xf numFmtId="0" fontId="0" fillId="0" borderId="1" xfId="4" applyFont="1" applyFill="1" applyBorder="1" applyAlignment="1">
      <alignment horizontal="left" vertical="top" wrapText="1"/>
    </xf>
    <xf numFmtId="9" fontId="27" fillId="0" borderId="1" xfId="0" applyNumberFormat="1" applyFont="1" applyFill="1" applyBorder="1" applyAlignment="1">
      <alignment horizontal="left" vertical="top" wrapText="1"/>
    </xf>
    <xf numFmtId="37" fontId="27" fillId="0" borderId="1" xfId="0" applyNumberFormat="1" applyFont="1" applyFill="1" applyBorder="1" applyAlignment="1">
      <alignment horizontal="left" vertical="top" wrapText="1"/>
    </xf>
    <xf numFmtId="10" fontId="27" fillId="0" borderId="1" xfId="0" applyNumberFormat="1" applyFont="1" applyFill="1" applyBorder="1" applyAlignment="1">
      <alignment horizontal="left" vertical="top" wrapText="1"/>
    </xf>
    <xf numFmtId="9" fontId="0" fillId="0" borderId="1" xfId="0" applyNumberFormat="1" applyFont="1" applyFill="1" applyBorder="1" applyAlignment="1">
      <alignment horizontal="left" vertical="top" wrapText="1"/>
    </xf>
    <xf numFmtId="165" fontId="0" fillId="0" borderId="1" xfId="0" applyNumberFormat="1" applyFont="1" applyFill="1" applyBorder="1" applyAlignment="1">
      <alignment horizontal="left" vertical="top" wrapText="1"/>
    </xf>
    <xf numFmtId="1" fontId="0" fillId="0" borderId="1" xfId="6" applyNumberFormat="1" applyFont="1" applyFill="1" applyBorder="1" applyAlignment="1">
      <alignment horizontal="left" vertical="top" wrapText="1"/>
    </xf>
    <xf numFmtId="0" fontId="27" fillId="0" borderId="1" xfId="0" applyFont="1" applyFill="1" applyBorder="1" applyAlignment="1">
      <alignment horizontal="left" vertical="top" wrapText="1"/>
    </xf>
    <xf numFmtId="0" fontId="0" fillId="0" borderId="0" xfId="0" applyFont="1" applyFill="1" applyAlignment="1">
      <alignment horizontal="left" vertical="top" wrapText="1"/>
    </xf>
    <xf numFmtId="0" fontId="0" fillId="0" borderId="0" xfId="0" applyFont="1" applyBorder="1" applyAlignment="1">
      <alignment horizontal="left" vertical="top" wrapText="1"/>
    </xf>
    <xf numFmtId="0" fontId="0" fillId="4" borderId="0" xfId="0" applyFont="1" applyFill="1" applyAlignment="1">
      <alignment horizontal="left" vertical="top" wrapText="1"/>
    </xf>
    <xf numFmtId="0" fontId="36" fillId="0" borderId="1" xfId="0" applyFont="1" applyFill="1" applyBorder="1" applyAlignment="1">
      <alignment horizontal="left" vertical="top" wrapText="1"/>
    </xf>
    <xf numFmtId="0" fontId="37" fillId="0" borderId="0" xfId="0" applyFont="1" applyFill="1" applyAlignment="1">
      <alignment horizontal="left" vertical="top" wrapText="1"/>
    </xf>
    <xf numFmtId="0" fontId="37" fillId="0" borderId="1" xfId="0" applyFont="1" applyFill="1" applyBorder="1" applyAlignment="1">
      <alignment horizontal="left" vertical="top" wrapText="1"/>
    </xf>
    <xf numFmtId="0" fontId="37" fillId="0" borderId="5" xfId="0" applyFont="1" applyFill="1" applyBorder="1" applyAlignment="1">
      <alignment horizontal="left" vertical="top" wrapText="1"/>
    </xf>
    <xf numFmtId="0" fontId="37" fillId="0" borderId="6" xfId="0" applyFont="1" applyFill="1" applyBorder="1" applyAlignment="1">
      <alignment horizontal="left" vertical="top" wrapText="1"/>
    </xf>
    <xf numFmtId="0" fontId="37" fillId="0" borderId="7" xfId="0" applyFont="1" applyFill="1" applyBorder="1" applyAlignment="1">
      <alignment horizontal="left" vertical="top" wrapText="1"/>
    </xf>
    <xf numFmtId="9" fontId="0" fillId="0" borderId="1" xfId="0" quotePrefix="1" applyNumberFormat="1" applyFont="1" applyFill="1" applyBorder="1" applyAlignment="1">
      <alignment horizontal="left" vertical="top" wrapText="1"/>
    </xf>
    <xf numFmtId="168" fontId="0" fillId="0" borderId="1" xfId="0" quotePrefix="1" applyNumberFormat="1" applyFont="1" applyFill="1" applyBorder="1" applyAlignment="1">
      <alignment horizontal="left" vertical="top" wrapText="1"/>
    </xf>
    <xf numFmtId="0" fontId="0" fillId="0" borderId="1" xfId="0" quotePrefix="1" applyFont="1" applyFill="1" applyBorder="1" applyAlignment="1">
      <alignment horizontal="left" vertical="top" wrapText="1"/>
    </xf>
    <xf numFmtId="9" fontId="27" fillId="0" borderId="1" xfId="0" quotePrefix="1" applyNumberFormat="1" applyFont="1" applyFill="1" applyBorder="1" applyAlignment="1">
      <alignment horizontal="left" vertical="top" wrapText="1"/>
    </xf>
    <xf numFmtId="0" fontId="0" fillId="0" borderId="15" xfId="0" applyNumberFormat="1" applyFont="1" applyFill="1" applyBorder="1" applyAlignment="1">
      <alignment horizontal="left" vertical="top" wrapText="1"/>
    </xf>
    <xf numFmtId="0" fontId="0" fillId="0" borderId="1" xfId="0" applyNumberFormat="1" applyFont="1" applyFill="1" applyBorder="1" applyAlignment="1">
      <alignment horizontal="left" vertical="top" wrapText="1"/>
    </xf>
    <xf numFmtId="0" fontId="27" fillId="0" borderId="1" xfId="8" quotePrefix="1" applyFont="1" applyFill="1" applyBorder="1" applyAlignment="1">
      <alignment horizontal="left" vertical="top" wrapText="1"/>
    </xf>
    <xf numFmtId="41" fontId="27" fillId="0" borderId="1" xfId="2" quotePrefix="1" applyNumberFormat="1" applyFont="1" applyFill="1" applyBorder="1" applyAlignment="1">
      <alignment horizontal="left" vertical="top" wrapText="1"/>
    </xf>
    <xf numFmtId="41" fontId="27" fillId="0" borderId="1" xfId="2" quotePrefix="1" applyFont="1" applyFill="1" applyBorder="1" applyAlignment="1">
      <alignment horizontal="left" vertical="top" wrapText="1"/>
    </xf>
    <xf numFmtId="41" fontId="36" fillId="0" borderId="1" xfId="1" applyNumberFormat="1" applyFont="1" applyFill="1" applyBorder="1" applyAlignment="1">
      <alignment horizontal="left" vertical="top" wrapText="1"/>
    </xf>
    <xf numFmtId="166" fontId="36" fillId="0" borderId="1" xfId="1" applyNumberFormat="1" applyFont="1" applyFill="1" applyBorder="1" applyAlignment="1">
      <alignment horizontal="left" vertical="top" wrapText="1"/>
    </xf>
    <xf numFmtId="41" fontId="27" fillId="0" borderId="1" xfId="1" applyNumberFormat="1" applyFont="1" applyFill="1" applyBorder="1" applyAlignment="1">
      <alignment horizontal="left" vertical="top" wrapText="1"/>
    </xf>
    <xf numFmtId="174" fontId="0" fillId="0" borderId="1" xfId="0" applyNumberFormat="1" applyFont="1" applyFill="1" applyBorder="1" applyAlignment="1">
      <alignment horizontal="left" vertical="top" wrapText="1"/>
    </xf>
    <xf numFmtId="175" fontId="0" fillId="0" borderId="1" xfId="0" applyNumberFormat="1" applyFont="1" applyFill="1" applyBorder="1" applyAlignment="1">
      <alignment horizontal="left" vertical="top" wrapText="1"/>
    </xf>
    <xf numFmtId="176" fontId="27" fillId="0" borderId="1" xfId="0" applyNumberFormat="1" applyFont="1" applyFill="1" applyBorder="1" applyAlignment="1">
      <alignment horizontal="left" vertical="top" wrapText="1"/>
    </xf>
    <xf numFmtId="166" fontId="27" fillId="0" borderId="1" xfId="12" applyNumberFormat="1" applyFont="1" applyFill="1" applyBorder="1" applyAlignment="1">
      <alignment horizontal="left" vertical="top" wrapText="1"/>
    </xf>
    <xf numFmtId="41" fontId="27" fillId="0" borderId="1" xfId="12" applyNumberFormat="1" applyFont="1" applyFill="1" applyBorder="1" applyAlignment="1">
      <alignment horizontal="left" vertical="top" wrapText="1"/>
    </xf>
    <xf numFmtId="10" fontId="0" fillId="0" borderId="1" xfId="0" applyNumberFormat="1" applyFont="1" applyFill="1" applyBorder="1" applyAlignment="1">
      <alignment horizontal="left" vertical="top" wrapText="1"/>
    </xf>
    <xf numFmtId="10" fontId="0" fillId="0" borderId="1" xfId="0" quotePrefix="1" applyNumberFormat="1" applyFont="1" applyFill="1" applyBorder="1" applyAlignment="1">
      <alignment horizontal="left" vertical="top" wrapText="1"/>
    </xf>
    <xf numFmtId="37" fontId="27" fillId="0" borderId="1" xfId="2" quotePrefix="1" applyNumberFormat="1" applyFont="1" applyFill="1" applyBorder="1" applyAlignment="1">
      <alignment horizontal="left" vertical="top" wrapText="1"/>
    </xf>
    <xf numFmtId="10" fontId="27" fillId="0" borderId="1" xfId="0" quotePrefix="1" applyNumberFormat="1" applyFont="1" applyFill="1" applyBorder="1" applyAlignment="1">
      <alignment horizontal="left" vertical="top" wrapText="1"/>
    </xf>
    <xf numFmtId="168" fontId="27" fillId="0" borderId="1" xfId="0" quotePrefix="1" applyNumberFormat="1" applyFont="1" applyFill="1" applyBorder="1" applyAlignment="1">
      <alignment horizontal="left" vertical="top" wrapText="1"/>
    </xf>
    <xf numFmtId="0" fontId="27" fillId="0" borderId="1" xfId="0" quotePrefix="1" applyFont="1" applyFill="1" applyBorder="1" applyAlignment="1">
      <alignment horizontal="left" vertical="top" wrapText="1"/>
    </xf>
    <xf numFmtId="0" fontId="27" fillId="0" borderId="1" xfId="0" applyNumberFormat="1" applyFont="1" applyFill="1" applyBorder="1" applyAlignment="1">
      <alignment horizontal="left" vertical="top" wrapText="1"/>
    </xf>
    <xf numFmtId="9" fontId="38" fillId="0" borderId="1" xfId="0" quotePrefix="1" applyNumberFormat="1" applyFont="1" applyFill="1" applyBorder="1" applyAlignment="1">
      <alignment horizontal="left" vertical="top" wrapText="1"/>
    </xf>
    <xf numFmtId="9" fontId="38" fillId="0" borderId="1" xfId="0" applyNumberFormat="1" applyFont="1" applyFill="1" applyBorder="1" applyAlignment="1">
      <alignment horizontal="left" vertical="top" wrapText="1"/>
    </xf>
    <xf numFmtId="168" fontId="27" fillId="0" borderId="1" xfId="0" applyNumberFormat="1" applyFont="1" applyFill="1" applyBorder="1" applyAlignment="1">
      <alignment horizontal="left" vertical="top" wrapText="1"/>
    </xf>
    <xf numFmtId="168" fontId="38" fillId="0" borderId="1" xfId="0" applyNumberFormat="1" applyFont="1" applyFill="1" applyBorder="1" applyAlignment="1">
      <alignment horizontal="left" vertical="top" wrapText="1"/>
    </xf>
    <xf numFmtId="10" fontId="38" fillId="0" borderId="1" xfId="0" applyNumberFormat="1" applyFont="1" applyFill="1" applyBorder="1" applyAlignment="1">
      <alignment horizontal="left" vertical="top" wrapText="1"/>
    </xf>
    <xf numFmtId="10" fontId="37" fillId="0" borderId="1" xfId="0" applyNumberFormat="1" applyFont="1" applyFill="1" applyBorder="1" applyAlignment="1">
      <alignment horizontal="left" vertical="top" wrapText="1"/>
    </xf>
    <xf numFmtId="9" fontId="37" fillId="0" borderId="1" xfId="0" applyNumberFormat="1" applyFont="1" applyFill="1" applyBorder="1" applyAlignment="1">
      <alignment horizontal="left" vertical="top" wrapText="1"/>
    </xf>
    <xf numFmtId="9" fontId="37" fillId="0" borderId="1" xfId="6" applyFont="1" applyFill="1" applyBorder="1" applyAlignment="1">
      <alignment horizontal="left" vertical="top" wrapText="1"/>
    </xf>
    <xf numFmtId="9" fontId="37" fillId="0" borderId="1" xfId="0" quotePrefix="1" applyNumberFormat="1" applyFont="1" applyFill="1" applyBorder="1" applyAlignment="1">
      <alignment horizontal="left" vertical="top" wrapText="1"/>
    </xf>
    <xf numFmtId="168" fontId="0" fillId="0" borderId="1" xfId="0" applyNumberFormat="1" applyFont="1" applyFill="1" applyBorder="1" applyAlignment="1">
      <alignment horizontal="left" vertical="top" wrapText="1"/>
    </xf>
    <xf numFmtId="0" fontId="0" fillId="0" borderId="1" xfId="0" quotePrefix="1" applyNumberFormat="1" applyFont="1" applyFill="1" applyBorder="1" applyAlignment="1">
      <alignment horizontal="left" vertical="top" wrapText="1"/>
    </xf>
    <xf numFmtId="41" fontId="27" fillId="0" borderId="1" xfId="0" quotePrefix="1" applyNumberFormat="1" applyFont="1" applyFill="1" applyBorder="1" applyAlignment="1">
      <alignment horizontal="left" vertical="top" wrapText="1"/>
    </xf>
    <xf numFmtId="0" fontId="27" fillId="0" borderId="1" xfId="8" applyFont="1" applyFill="1" applyBorder="1" applyAlignment="1">
      <alignment horizontal="left" vertical="top" wrapText="1"/>
    </xf>
    <xf numFmtId="9" fontId="27" fillId="0" borderId="1" xfId="8" applyNumberFormat="1" applyFont="1" applyFill="1" applyBorder="1" applyAlignment="1">
      <alignment horizontal="left" vertical="top" wrapText="1"/>
    </xf>
    <xf numFmtId="49" fontId="27" fillId="0" borderId="1" xfId="8" applyNumberFormat="1" applyFont="1" applyFill="1" applyBorder="1" applyAlignment="1">
      <alignment horizontal="left" vertical="top" wrapText="1"/>
    </xf>
    <xf numFmtId="49" fontId="27" fillId="0" borderId="1" xfId="8" quotePrefix="1" applyNumberFormat="1" applyFont="1" applyFill="1" applyBorder="1" applyAlignment="1">
      <alignment horizontal="left" vertical="top" wrapText="1"/>
    </xf>
    <xf numFmtId="41" fontId="27" fillId="0" borderId="1" xfId="8" applyNumberFormat="1" applyFont="1" applyFill="1" applyBorder="1" applyAlignment="1">
      <alignment horizontal="left" vertical="top" wrapText="1"/>
    </xf>
    <xf numFmtId="1" fontId="27" fillId="0" borderId="1" xfId="0" applyNumberFormat="1" applyFont="1" applyFill="1" applyBorder="1" applyAlignment="1">
      <alignment horizontal="left" vertical="top" wrapText="1"/>
    </xf>
    <xf numFmtId="165" fontId="27" fillId="0" borderId="1" xfId="2" quotePrefix="1" applyNumberFormat="1" applyFont="1" applyFill="1" applyBorder="1" applyAlignment="1">
      <alignment horizontal="left" vertical="top" wrapText="1"/>
    </xf>
    <xf numFmtId="41" fontId="0" fillId="0" borderId="1" xfId="0" quotePrefix="1" applyNumberFormat="1" applyFont="1" applyFill="1" applyBorder="1" applyAlignment="1">
      <alignment horizontal="left" vertical="top" wrapText="1"/>
    </xf>
    <xf numFmtId="166" fontId="0" fillId="0" borderId="1" xfId="0" applyNumberFormat="1" applyFont="1" applyFill="1" applyBorder="1" applyAlignment="1">
      <alignment horizontal="left" vertical="top" wrapText="1"/>
    </xf>
    <xf numFmtId="0" fontId="27" fillId="0" borderId="1" xfId="0" quotePrefix="1" applyNumberFormat="1" applyFont="1" applyFill="1" applyBorder="1" applyAlignment="1">
      <alignment horizontal="left" vertical="top" wrapText="1"/>
    </xf>
    <xf numFmtId="1" fontId="27" fillId="0" borderId="1" xfId="6" applyNumberFormat="1" applyFont="1" applyFill="1" applyBorder="1" applyAlignment="1">
      <alignment horizontal="left" vertical="top" wrapText="1"/>
    </xf>
    <xf numFmtId="0" fontId="27" fillId="0" borderId="1" xfId="6" applyNumberFormat="1" applyFont="1" applyFill="1" applyBorder="1" applyAlignment="1">
      <alignment horizontal="left" vertical="top" wrapText="1"/>
    </xf>
    <xf numFmtId="41" fontId="40" fillId="0" borderId="1" xfId="2" quotePrefix="1" applyNumberFormat="1" applyFont="1" applyFill="1" applyBorder="1" applyAlignment="1">
      <alignment horizontal="left" vertical="top" wrapText="1"/>
    </xf>
    <xf numFmtId="41" fontId="40" fillId="0" borderId="1" xfId="2" quotePrefix="1" applyFont="1" applyFill="1" applyBorder="1" applyAlignment="1">
      <alignment horizontal="left" vertical="top" wrapText="1"/>
    </xf>
    <xf numFmtId="171" fontId="27" fillId="0" borderId="1" xfId="0" applyNumberFormat="1" applyFont="1" applyFill="1" applyBorder="1" applyAlignment="1">
      <alignment horizontal="left" vertical="top" wrapText="1"/>
    </xf>
    <xf numFmtId="169" fontId="27" fillId="0" borderId="1" xfId="0" applyNumberFormat="1" applyFont="1" applyFill="1" applyBorder="1" applyAlignment="1">
      <alignment horizontal="left" vertical="top" wrapText="1"/>
    </xf>
    <xf numFmtId="10" fontId="27" fillId="0" borderId="1" xfId="0" applyNumberFormat="1" applyFont="1" applyFill="1" applyBorder="1" applyAlignment="1" applyProtection="1">
      <alignment horizontal="left" vertical="top" wrapText="1"/>
    </xf>
    <xf numFmtId="9" fontId="27" fillId="0" borderId="1" xfId="0" applyNumberFormat="1" applyFont="1" applyFill="1" applyBorder="1" applyAlignment="1" applyProtection="1">
      <alignment horizontal="left" vertical="top" wrapText="1"/>
    </xf>
    <xf numFmtId="0" fontId="27" fillId="0" borderId="1" xfId="0" applyNumberFormat="1" applyFont="1" applyFill="1" applyBorder="1" applyAlignment="1" applyProtection="1">
      <alignment horizontal="left" vertical="top" wrapText="1"/>
    </xf>
    <xf numFmtId="172" fontId="0" fillId="0" borderId="1" xfId="0" applyNumberFormat="1" applyFont="1" applyFill="1" applyBorder="1" applyAlignment="1">
      <alignment horizontal="left" vertical="top" wrapText="1"/>
    </xf>
    <xf numFmtId="173" fontId="0" fillId="0" borderId="1" xfId="0" applyNumberFormat="1" applyFont="1" applyFill="1" applyBorder="1" applyAlignment="1">
      <alignment horizontal="left" vertical="top" wrapText="1"/>
    </xf>
    <xf numFmtId="41" fontId="36" fillId="0" borderId="1" xfId="2" applyFont="1" applyFill="1" applyBorder="1" applyAlignment="1">
      <alignment horizontal="left" vertical="top" wrapText="1"/>
    </xf>
    <xf numFmtId="41" fontId="27" fillId="0" borderId="1" xfId="11" applyFont="1" applyFill="1" applyBorder="1" applyAlignment="1">
      <alignment horizontal="left" vertical="top" wrapText="1"/>
    </xf>
    <xf numFmtId="165" fontId="0" fillId="0" borderId="1" xfId="2" applyNumberFormat="1" applyFont="1" applyFill="1" applyBorder="1" applyAlignment="1">
      <alignment horizontal="left" vertical="top" wrapText="1"/>
    </xf>
    <xf numFmtId="165" fontId="0" fillId="0" borderId="1" xfId="2" quotePrefix="1" applyNumberFormat="1" applyFont="1" applyFill="1" applyBorder="1" applyAlignment="1">
      <alignment horizontal="left" vertical="top" wrapText="1"/>
    </xf>
    <xf numFmtId="9" fontId="0" fillId="0" borderId="1" xfId="6" applyFont="1" applyFill="1" applyBorder="1" applyAlignment="1">
      <alignment horizontal="left" vertical="top" wrapText="1"/>
    </xf>
    <xf numFmtId="41" fontId="0" fillId="0" borderId="1" xfId="6" applyNumberFormat="1" applyFont="1" applyFill="1" applyBorder="1" applyAlignment="1">
      <alignment horizontal="left" vertical="top" wrapText="1"/>
    </xf>
    <xf numFmtId="43" fontId="0" fillId="0" borderId="1" xfId="1" applyFont="1" applyFill="1" applyBorder="1" applyAlignment="1">
      <alignment horizontal="left" vertical="top" wrapText="1"/>
    </xf>
    <xf numFmtId="174" fontId="0" fillId="0" borderId="1" xfId="1" applyNumberFormat="1" applyFont="1" applyFill="1" applyBorder="1" applyAlignment="1">
      <alignment horizontal="left" vertical="top" wrapText="1"/>
    </xf>
    <xf numFmtId="41" fontId="0" fillId="0" borderId="1" xfId="11" applyFont="1" applyFill="1" applyBorder="1" applyAlignment="1">
      <alignment horizontal="left" vertical="top" wrapText="1"/>
    </xf>
    <xf numFmtId="41" fontId="0" fillId="0" borderId="1" xfId="12" applyNumberFormat="1" applyFont="1" applyFill="1" applyBorder="1" applyAlignment="1">
      <alignment horizontal="left" vertical="top" wrapText="1"/>
    </xf>
    <xf numFmtId="168" fontId="0" fillId="0" borderId="1" xfId="13" quotePrefix="1" applyNumberFormat="1" applyFont="1" applyFill="1" applyBorder="1" applyAlignment="1">
      <alignment horizontal="left" vertical="top" wrapText="1"/>
    </xf>
    <xf numFmtId="3" fontId="0" fillId="0" borderId="1" xfId="14" applyNumberFormat="1" applyFont="1" applyFill="1" applyBorder="1" applyAlignment="1">
      <alignment horizontal="left" vertical="top" wrapText="1"/>
    </xf>
    <xf numFmtId="166" fontId="0" fillId="0" borderId="1" xfId="14" applyNumberFormat="1" applyFont="1" applyFill="1" applyBorder="1" applyAlignment="1">
      <alignment horizontal="left" vertical="top" wrapText="1"/>
    </xf>
    <xf numFmtId="41" fontId="0" fillId="0" borderId="1" xfId="4" applyNumberFormat="1" applyFont="1" applyFill="1" applyBorder="1" applyAlignment="1">
      <alignment horizontal="left" vertical="top" wrapText="1"/>
    </xf>
    <xf numFmtId="1" fontId="0" fillId="0" borderId="1" xfId="0" applyNumberFormat="1" applyFont="1" applyFill="1" applyBorder="1" applyAlignment="1">
      <alignment horizontal="left" vertical="top" wrapText="1"/>
    </xf>
    <xf numFmtId="2" fontId="0" fillId="0" borderId="1" xfId="0" applyNumberFormat="1" applyFont="1" applyFill="1" applyBorder="1" applyAlignment="1">
      <alignment horizontal="left" vertical="top" wrapText="1"/>
    </xf>
    <xf numFmtId="173" fontId="0" fillId="0" borderId="24" xfId="0" applyNumberFormat="1" applyFont="1" applyFill="1" applyBorder="1" applyAlignment="1">
      <alignment horizontal="left" vertical="top" wrapText="1"/>
    </xf>
    <xf numFmtId="41" fontId="27" fillId="0" borderId="15" xfId="2" applyFont="1" applyFill="1" applyBorder="1" applyAlignment="1">
      <alignment horizontal="left" vertical="top" wrapText="1"/>
    </xf>
    <xf numFmtId="41" fontId="0" fillId="0" borderId="1" xfId="1" applyNumberFormat="1" applyFont="1" applyFill="1" applyBorder="1" applyAlignment="1">
      <alignment horizontal="left" vertical="top" wrapText="1"/>
    </xf>
    <xf numFmtId="41" fontId="0" fillId="0" borderId="1" xfId="2"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2" quotePrefix="1" applyFont="1" applyFill="1" applyBorder="1" applyAlignment="1">
      <alignment horizontal="left" vertical="top" wrapText="1"/>
    </xf>
    <xf numFmtId="41" fontId="0" fillId="0" borderId="1" xfId="2" quotePrefix="1" applyNumberFormat="1" applyFont="1" applyFill="1" applyBorder="1" applyAlignment="1">
      <alignment horizontal="left" vertical="top" wrapText="1"/>
    </xf>
    <xf numFmtId="41" fontId="27" fillId="0" borderId="1" xfId="2" applyNumberFormat="1" applyFont="1" applyFill="1" applyBorder="1" applyAlignment="1">
      <alignment horizontal="left" vertical="top" wrapText="1"/>
    </xf>
    <xf numFmtId="41" fontId="27" fillId="0" borderId="1" xfId="2" applyFont="1" applyFill="1" applyBorder="1" applyAlignment="1">
      <alignment horizontal="left" vertical="top" wrapText="1"/>
    </xf>
    <xf numFmtId="41" fontId="27" fillId="0" borderId="1" xfId="0" applyNumberFormat="1" applyFont="1" applyFill="1" applyBorder="1" applyAlignment="1">
      <alignment horizontal="left" vertical="top" wrapText="1"/>
    </xf>
    <xf numFmtId="3" fontId="27" fillId="0" borderId="1" xfId="0"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0" fillId="0" borderId="1" xfId="0" applyNumberFormat="1" applyFont="1" applyFill="1" applyBorder="1" applyAlignment="1">
      <alignment horizontal="left" vertical="top" wrapText="1"/>
    </xf>
    <xf numFmtId="166" fontId="27" fillId="0" borderId="1" xfId="1" applyNumberFormat="1" applyFont="1" applyFill="1" applyBorder="1" applyAlignment="1">
      <alignment horizontal="left" vertical="top" wrapText="1"/>
    </xf>
    <xf numFmtId="0" fontId="27" fillId="0" borderId="1" xfId="16" applyFont="1" applyFill="1" applyBorder="1" applyAlignment="1">
      <alignment horizontal="left" vertical="top" wrapText="1"/>
    </xf>
    <xf numFmtId="9" fontId="27" fillId="0" borderId="1" xfId="16" applyNumberFormat="1" applyFont="1" applyFill="1" applyBorder="1" applyAlignment="1">
      <alignment horizontal="left" vertical="top" wrapText="1"/>
    </xf>
    <xf numFmtId="3" fontId="36" fillId="0" borderId="1" xfId="0" applyNumberFormat="1" applyFont="1" applyFill="1" applyBorder="1" applyAlignment="1">
      <alignment horizontal="left" vertical="top" wrapText="1"/>
    </xf>
    <xf numFmtId="9" fontId="27" fillId="0" borderId="1" xfId="6" applyFont="1" applyFill="1" applyBorder="1" applyAlignment="1">
      <alignment horizontal="left" vertical="top" wrapText="1"/>
    </xf>
    <xf numFmtId="3" fontId="27" fillId="0" borderId="1" xfId="16" applyNumberFormat="1" applyFont="1" applyFill="1" applyBorder="1" applyAlignment="1">
      <alignment horizontal="left" vertical="top" wrapText="1"/>
    </xf>
    <xf numFmtId="0" fontId="27" fillId="0" borderId="0" xfId="0" applyFont="1" applyFill="1" applyAlignment="1">
      <alignment horizontal="left" vertical="top" wrapText="1"/>
    </xf>
    <xf numFmtId="0" fontId="27" fillId="0" borderId="5" xfId="0" applyFont="1" applyFill="1" applyBorder="1" applyAlignment="1">
      <alignment horizontal="left" vertical="top" wrapText="1"/>
    </xf>
    <xf numFmtId="0" fontId="27" fillId="0" borderId="6" xfId="0" applyFont="1" applyFill="1" applyBorder="1" applyAlignment="1">
      <alignment horizontal="left" vertical="top" wrapText="1"/>
    </xf>
    <xf numFmtId="0" fontId="27" fillId="0" borderId="7" xfId="0" applyFont="1" applyFill="1" applyBorder="1" applyAlignment="1">
      <alignment horizontal="left" vertical="top" wrapText="1"/>
    </xf>
    <xf numFmtId="9" fontId="27" fillId="0" borderId="1" xfId="10" quotePrefix="1" applyNumberFormat="1" applyFont="1" applyFill="1" applyBorder="1" applyAlignment="1">
      <alignment horizontal="left" vertical="top" wrapText="1"/>
    </xf>
    <xf numFmtId="9" fontId="27" fillId="0" borderId="1" xfId="10" applyNumberFormat="1" applyFont="1" applyFill="1" applyBorder="1" applyAlignment="1">
      <alignment horizontal="left" vertical="top" wrapText="1"/>
    </xf>
    <xf numFmtId="0" fontId="27" fillId="0" borderId="1" xfId="1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9" borderId="0" xfId="0" applyFont="1" applyFill="1" applyAlignment="1">
      <alignment horizontal="left" vertical="top" wrapText="1"/>
    </xf>
    <xf numFmtId="43" fontId="20" fillId="0" borderId="1" xfId="1" applyFont="1" applyFill="1" applyBorder="1" applyAlignment="1">
      <alignment horizontal="left" vertical="top" wrapText="1"/>
    </xf>
    <xf numFmtId="166" fontId="20" fillId="0" borderId="1" xfId="1" applyNumberFormat="1" applyFont="1" applyFill="1" applyBorder="1" applyAlignment="1">
      <alignment horizontal="left" vertical="top" wrapText="1"/>
    </xf>
    <xf numFmtId="0" fontId="20" fillId="9" borderId="0" xfId="0" applyFont="1" applyFill="1" applyAlignment="1">
      <alignment horizontal="center" vertical="center" wrapText="1"/>
    </xf>
    <xf numFmtId="3" fontId="20" fillId="9" borderId="0" xfId="0" applyNumberFormat="1" applyFont="1" applyFill="1" applyAlignment="1">
      <alignment horizontal="center" vertical="center" wrapText="1"/>
    </xf>
    <xf numFmtId="41" fontId="20" fillId="9" borderId="0" xfId="0" applyNumberFormat="1" applyFont="1" applyFill="1" applyAlignment="1">
      <alignment horizontal="center" vertical="center" wrapText="1"/>
    </xf>
    <xf numFmtId="9" fontId="20" fillId="0" borderId="1" xfId="0" applyNumberFormat="1" applyFont="1" applyFill="1" applyBorder="1" applyAlignment="1">
      <alignment horizontal="center" vertical="center" wrapText="1"/>
    </xf>
    <xf numFmtId="0" fontId="20" fillId="0" borderId="0" xfId="0" applyFont="1" applyFill="1" applyAlignment="1">
      <alignment horizontal="left" vertical="top" wrapText="1"/>
    </xf>
    <xf numFmtId="0" fontId="20" fillId="0" borderId="0" xfId="0" applyFont="1" applyFill="1" applyAlignment="1">
      <alignment horizontal="center" vertical="center" wrapText="1"/>
    </xf>
    <xf numFmtId="3" fontId="20" fillId="0" borderId="0" xfId="0" applyNumberFormat="1" applyFont="1" applyFill="1" applyAlignment="1">
      <alignment horizontal="center" vertical="center" wrapText="1"/>
    </xf>
    <xf numFmtId="3" fontId="43" fillId="9" borderId="0" xfId="0" applyNumberFormat="1" applyFont="1" applyFill="1" applyAlignment="1">
      <alignment horizontal="center" vertical="center" wrapText="1"/>
    </xf>
    <xf numFmtId="0" fontId="20" fillId="0" borderId="20" xfId="0" applyFont="1" applyFill="1" applyBorder="1" applyAlignment="1">
      <alignment horizontal="center" vertical="center" wrapText="1"/>
    </xf>
    <xf numFmtId="0" fontId="20" fillId="0" borderId="0" xfId="0" applyFont="1" applyFill="1" applyBorder="1" applyAlignment="1">
      <alignment horizontal="center" vertical="center" wrapText="1"/>
    </xf>
    <xf numFmtId="41" fontId="20" fillId="0" borderId="1" xfId="0" applyNumberFormat="1" applyFont="1" applyFill="1" applyBorder="1" applyAlignment="1">
      <alignment horizontal="center" vertical="center" wrapText="1"/>
    </xf>
    <xf numFmtId="175" fontId="0" fillId="0" borderId="1" xfId="1" applyNumberFormat="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43" fontId="0" fillId="0" borderId="1" xfId="0" applyNumberFormat="1" applyFont="1" applyFill="1" applyBorder="1" applyAlignment="1">
      <alignment horizontal="left" vertical="top" wrapText="1"/>
    </xf>
    <xf numFmtId="20" fontId="0" fillId="0" borderId="1" xfId="2" applyNumberFormat="1" applyFont="1" applyFill="1" applyBorder="1" applyAlignment="1">
      <alignment horizontal="left" vertical="top" wrapText="1"/>
    </xf>
    <xf numFmtId="165" fontId="0" fillId="0" borderId="2" xfId="2" applyNumberFormat="1" applyFont="1" applyFill="1" applyBorder="1" applyAlignment="1">
      <alignment horizontal="left" vertical="top" wrapText="1"/>
    </xf>
    <xf numFmtId="41" fontId="0" fillId="0" borderId="2" xfId="2" applyFont="1" applyFill="1" applyBorder="1" applyAlignment="1">
      <alignment horizontal="left" vertical="top" wrapText="1"/>
    </xf>
    <xf numFmtId="165" fontId="20" fillId="0" borderId="1" xfId="2" applyNumberFormat="1" applyFont="1" applyFill="1" applyBorder="1" applyAlignment="1">
      <alignment horizontal="left" vertical="top" wrapText="1"/>
    </xf>
    <xf numFmtId="41" fontId="20" fillId="0" borderId="1" xfId="2" applyFont="1" applyFill="1" applyBorder="1" applyAlignment="1">
      <alignment horizontal="left" vertical="top" wrapText="1"/>
    </xf>
    <xf numFmtId="41" fontId="20" fillId="0" borderId="1" xfId="1" applyNumberFormat="1" applyFont="1" applyFill="1" applyBorder="1" applyAlignment="1">
      <alignment horizontal="left" vertical="top" wrapText="1"/>
    </xf>
    <xf numFmtId="3" fontId="0" fillId="0" borderId="1" xfId="0" applyNumberFormat="1" applyFont="1" applyFill="1" applyBorder="1" applyAlignment="1">
      <alignment vertical="top"/>
    </xf>
    <xf numFmtId="41" fontId="20" fillId="0" borderId="0" xfId="0" applyNumberFormat="1" applyFont="1" applyFill="1" applyAlignment="1">
      <alignment horizontal="center" vertical="center" wrapText="1"/>
    </xf>
    <xf numFmtId="41" fontId="0" fillId="0" borderId="1" xfId="10" applyFont="1" applyFill="1" applyBorder="1" applyAlignment="1">
      <alignment horizontal="left" vertical="top" wrapText="1"/>
    </xf>
    <xf numFmtId="0" fontId="0" fillId="0" borderId="1" xfId="4" applyFont="1" applyFill="1" applyBorder="1" applyAlignment="1" applyProtection="1">
      <alignment horizontal="left" vertical="top" wrapText="1"/>
      <protection locked="0"/>
    </xf>
    <xf numFmtId="41" fontId="0" fillId="0" borderId="1" xfId="10" applyFont="1" applyFill="1" applyBorder="1" applyAlignment="1" applyProtection="1">
      <alignment horizontal="left" vertical="top" wrapText="1"/>
      <protection locked="0"/>
    </xf>
    <xf numFmtId="0" fontId="0" fillId="0" borderId="1" xfId="4" quotePrefix="1" applyFont="1" applyFill="1" applyBorder="1" applyAlignment="1">
      <alignment horizontal="left" vertical="top" wrapText="1"/>
    </xf>
    <xf numFmtId="10" fontId="0" fillId="0" borderId="1" xfId="4" applyNumberFormat="1" applyFont="1" applyFill="1" applyBorder="1" applyAlignment="1">
      <alignment horizontal="left" vertical="top" wrapText="1"/>
    </xf>
    <xf numFmtId="9" fontId="0" fillId="0" borderId="1" xfId="4" applyNumberFormat="1" applyFont="1" applyFill="1" applyBorder="1" applyAlignment="1">
      <alignment horizontal="left" vertical="top" wrapText="1"/>
    </xf>
    <xf numFmtId="41" fontId="0" fillId="0" borderId="1" xfId="10" quotePrefix="1" applyFont="1" applyFill="1" applyBorder="1" applyAlignment="1" applyProtection="1">
      <alignment horizontal="left" vertical="top" wrapText="1"/>
      <protection locked="0"/>
    </xf>
    <xf numFmtId="42" fontId="0" fillId="0" borderId="1" xfId="4" quotePrefix="1" applyNumberFormat="1" applyFont="1" applyFill="1" applyBorder="1" applyAlignment="1">
      <alignment horizontal="left" vertical="top" wrapText="1"/>
    </xf>
    <xf numFmtId="41" fontId="0" fillId="0" borderId="1" xfId="4" quotePrefix="1" applyNumberFormat="1" applyFont="1" applyFill="1" applyBorder="1" applyAlignment="1">
      <alignment horizontal="left" vertical="top" wrapText="1"/>
    </xf>
    <xf numFmtId="0" fontId="20" fillId="0" borderId="1" xfId="4" applyFont="1" applyFill="1" applyBorder="1" applyAlignment="1">
      <alignment horizontal="center" vertical="center" wrapText="1"/>
    </xf>
    <xf numFmtId="166" fontId="20" fillId="0" borderId="1" xfId="4" quotePrefix="1" applyNumberFormat="1" applyFont="1" applyFill="1" applyBorder="1" applyAlignment="1">
      <alignment horizontal="center" vertical="center" wrapText="1"/>
    </xf>
    <xf numFmtId="41" fontId="0" fillId="0" borderId="1" xfId="10" quotePrefix="1" applyFont="1" applyFill="1" applyBorder="1" applyAlignment="1">
      <alignment horizontal="left" vertical="top" wrapText="1"/>
    </xf>
    <xf numFmtId="43" fontId="27" fillId="0" borderId="1" xfId="1" applyFont="1" applyFill="1" applyBorder="1" applyAlignment="1">
      <alignment horizontal="left" vertical="top" wrapText="1"/>
    </xf>
    <xf numFmtId="3" fontId="37" fillId="0" borderId="1" xfId="0" applyNumberFormat="1" applyFont="1" applyFill="1" applyBorder="1" applyAlignment="1">
      <alignment horizontal="left" vertical="top" wrapText="1"/>
    </xf>
    <xf numFmtId="3" fontId="20" fillId="0" borderId="1" xfId="1" applyNumberFormat="1" applyFont="1" applyFill="1" applyBorder="1" applyAlignment="1">
      <alignment horizontal="center" vertical="center" wrapText="1"/>
    </xf>
    <xf numFmtId="3" fontId="43" fillId="0" borderId="0" xfId="0" applyNumberFormat="1" applyFont="1" applyFill="1" applyAlignment="1">
      <alignment horizontal="center" vertical="center" wrapText="1"/>
    </xf>
    <xf numFmtId="3" fontId="43" fillId="0" borderId="1" xfId="2" applyNumberFormat="1" applyFont="1" applyFill="1" applyBorder="1" applyAlignment="1">
      <alignment horizontal="center" vertical="center" wrapText="1"/>
    </xf>
    <xf numFmtId="3" fontId="43" fillId="0" borderId="1" xfId="10" applyNumberFormat="1" applyFont="1" applyFill="1" applyBorder="1" applyAlignment="1">
      <alignment horizontal="center" vertical="center" wrapText="1"/>
    </xf>
    <xf numFmtId="3" fontId="43" fillId="0" borderId="1" xfId="0" applyNumberFormat="1" applyFont="1" applyFill="1" applyBorder="1" applyAlignment="1">
      <alignment horizontal="center" vertical="center" wrapText="1"/>
    </xf>
    <xf numFmtId="3" fontId="0" fillId="0" borderId="1" xfId="0" quotePrefix="1" applyNumberFormat="1" applyFont="1" applyFill="1" applyBorder="1" applyAlignment="1">
      <alignment horizontal="left" vertical="top" wrapText="1"/>
    </xf>
    <xf numFmtId="3" fontId="20" fillId="0" borderId="20" xfId="0" applyNumberFormat="1" applyFont="1" applyFill="1" applyBorder="1" applyAlignment="1">
      <alignment horizontal="center" vertical="center" wrapText="1"/>
    </xf>
    <xf numFmtId="3" fontId="20" fillId="0" borderId="0" xfId="0" applyNumberFormat="1" applyFont="1" applyFill="1" applyBorder="1" applyAlignment="1">
      <alignment horizontal="center" vertical="center" wrapText="1"/>
    </xf>
    <xf numFmtId="168" fontId="0" fillId="0" borderId="1" xfId="13" applyNumberFormat="1" applyFont="1" applyFill="1" applyBorder="1" applyAlignment="1">
      <alignment horizontal="left" vertical="top" wrapText="1"/>
    </xf>
    <xf numFmtId="1" fontId="0" fillId="0" borderId="1" xfId="14" applyNumberFormat="1" applyFont="1" applyFill="1" applyBorder="1" applyAlignment="1">
      <alignment horizontal="left" vertical="top" wrapText="1"/>
    </xf>
    <xf numFmtId="166" fontId="0" fillId="0" borderId="1" xfId="14" applyNumberFormat="1" applyFont="1" applyFill="1" applyBorder="1" applyAlignment="1" applyProtection="1">
      <alignment horizontal="left" vertical="top" wrapText="1"/>
      <protection locked="0"/>
    </xf>
    <xf numFmtId="9" fontId="0" fillId="0" borderId="1" xfId="13" applyNumberFormat="1" applyFont="1" applyFill="1" applyBorder="1" applyAlignment="1">
      <alignment horizontal="left" vertical="top" wrapText="1"/>
    </xf>
    <xf numFmtId="168" fontId="20" fillId="0" borderId="1" xfId="13" quotePrefix="1" applyNumberFormat="1" applyFont="1" applyFill="1" applyBorder="1" applyAlignment="1">
      <alignment horizontal="center" vertical="center" wrapText="1"/>
    </xf>
    <xf numFmtId="9" fontId="20" fillId="0" borderId="1" xfId="4" applyNumberFormat="1" applyFont="1" applyFill="1" applyBorder="1" applyAlignment="1">
      <alignment horizontal="center" vertical="center" wrapText="1"/>
    </xf>
    <xf numFmtId="3" fontId="20" fillId="0" borderId="1" xfId="14" applyNumberFormat="1" applyFont="1" applyFill="1" applyBorder="1" applyAlignment="1">
      <alignment horizontal="center" vertical="center" wrapText="1"/>
    </xf>
    <xf numFmtId="42" fontId="0" fillId="0" borderId="1" xfId="0" applyNumberFormat="1" applyFont="1" applyFill="1" applyBorder="1" applyAlignment="1">
      <alignment horizontal="left" vertical="top" wrapText="1"/>
    </xf>
    <xf numFmtId="41" fontId="0" fillId="0" borderId="1" xfId="12" applyNumberFormat="1" applyFont="1" applyFill="1" applyBorder="1" applyAlignment="1" applyProtection="1">
      <alignment horizontal="left" vertical="top" wrapText="1"/>
      <protection locked="0"/>
    </xf>
    <xf numFmtId="41" fontId="0" fillId="0" borderId="1" xfId="12" quotePrefix="1" applyNumberFormat="1" applyFont="1" applyFill="1" applyBorder="1" applyAlignment="1" applyProtection="1">
      <alignment horizontal="left" vertical="top" wrapText="1"/>
      <protection locked="0"/>
    </xf>
    <xf numFmtId="41" fontId="40" fillId="0" borderId="1" xfId="0" applyNumberFormat="1" applyFont="1" applyFill="1" applyBorder="1" applyAlignment="1">
      <alignment horizontal="left" vertical="top" wrapText="1"/>
    </xf>
    <xf numFmtId="173" fontId="0" fillId="0" borderId="1" xfId="0" quotePrefix="1" applyNumberFormat="1" applyFont="1" applyFill="1" applyBorder="1" applyAlignment="1">
      <alignment horizontal="left" vertical="top" wrapText="1"/>
    </xf>
    <xf numFmtId="0" fontId="0" fillId="0" borderId="1" xfId="0" applyFont="1" applyFill="1" applyBorder="1" applyAlignment="1" applyProtection="1">
      <alignment horizontal="left" vertical="top" wrapText="1"/>
      <protection locked="0"/>
    </xf>
    <xf numFmtId="41" fontId="0" fillId="0" borderId="0" xfId="0" applyNumberFormat="1" applyFont="1" applyFill="1" applyAlignment="1">
      <alignment horizontal="left" vertical="top" wrapText="1"/>
    </xf>
    <xf numFmtId="3" fontId="32" fillId="0" borderId="1" xfId="0" applyNumberFormat="1" applyFont="1" applyFill="1" applyBorder="1" applyAlignment="1">
      <alignment vertical="top"/>
    </xf>
    <xf numFmtId="0" fontId="0" fillId="0" borderId="1" xfId="1" applyNumberFormat="1" applyFont="1" applyFill="1" applyBorder="1" applyAlignment="1">
      <alignment horizontal="left" vertical="top" wrapText="1"/>
    </xf>
    <xf numFmtId="9" fontId="0" fillId="0" borderId="1" xfId="14" applyNumberFormat="1" applyFont="1" applyFill="1" applyBorder="1" applyAlignment="1" applyProtection="1">
      <alignment horizontal="left" vertical="top" wrapText="1"/>
      <protection locked="0"/>
    </xf>
    <xf numFmtId="175" fontId="0" fillId="0" borderId="1" xfId="0" quotePrefix="1" applyNumberFormat="1" applyFont="1" applyFill="1" applyBorder="1" applyAlignment="1">
      <alignment horizontal="left" vertical="top" wrapText="1"/>
    </xf>
    <xf numFmtId="3" fontId="0" fillId="0" borderId="1" xfId="14" applyNumberFormat="1" applyFont="1" applyFill="1" applyBorder="1" applyAlignment="1" applyProtection="1">
      <alignment horizontal="left" vertical="top" wrapText="1"/>
      <protection locked="0"/>
    </xf>
    <xf numFmtId="3" fontId="20" fillId="0" borderId="1" xfId="0" quotePrefix="1" applyNumberFormat="1" applyFont="1" applyFill="1" applyBorder="1" applyAlignment="1">
      <alignment horizontal="center" vertical="center" wrapText="1"/>
    </xf>
    <xf numFmtId="175" fontId="20" fillId="0" borderId="1" xfId="0" quotePrefix="1" applyNumberFormat="1" applyFont="1" applyFill="1" applyBorder="1" applyAlignment="1">
      <alignment horizontal="center" vertical="center" wrapText="1"/>
    </xf>
    <xf numFmtId="42" fontId="0" fillId="0" borderId="1" xfId="1" applyNumberFormat="1" applyFont="1" applyFill="1" applyBorder="1" applyAlignment="1">
      <alignment horizontal="left" vertical="top" wrapText="1"/>
    </xf>
    <xf numFmtId="3" fontId="0" fillId="0" borderId="1" xfId="1" applyNumberFormat="1" applyFont="1" applyFill="1" applyBorder="1" applyAlignment="1">
      <alignment horizontal="left" vertical="top" wrapText="1"/>
    </xf>
    <xf numFmtId="1" fontId="0" fillId="0" borderId="2" xfId="0" applyNumberFormat="1" applyFont="1" applyFill="1" applyBorder="1" applyAlignment="1">
      <alignment horizontal="left" vertical="top" wrapText="1"/>
    </xf>
    <xf numFmtId="3" fontId="0" fillId="0" borderId="2" xfId="0" applyNumberFormat="1" applyFont="1" applyFill="1" applyBorder="1" applyAlignment="1">
      <alignment horizontal="left" vertical="top" wrapText="1"/>
    </xf>
    <xf numFmtId="1" fontId="0" fillId="0" borderId="4" xfId="0" applyNumberFormat="1" applyFont="1" applyFill="1" applyBorder="1" applyAlignment="1">
      <alignment horizontal="left" vertical="top" wrapText="1"/>
    </xf>
    <xf numFmtId="3" fontId="0" fillId="0" borderId="4" xfId="0" applyNumberFormat="1" applyFont="1" applyFill="1" applyBorder="1" applyAlignment="1">
      <alignment horizontal="left" vertical="top" wrapText="1"/>
    </xf>
    <xf numFmtId="0" fontId="40" fillId="0" borderId="1" xfId="0" applyFont="1" applyFill="1" applyBorder="1" applyAlignment="1">
      <alignment horizontal="left" vertical="top" wrapText="1"/>
    </xf>
    <xf numFmtId="3" fontId="40" fillId="0" borderId="1" xfId="0" applyNumberFormat="1" applyFont="1" applyFill="1" applyBorder="1" applyAlignment="1">
      <alignment horizontal="left" vertical="top" wrapText="1"/>
    </xf>
    <xf numFmtId="1" fontId="40" fillId="0" borderId="1" xfId="0" applyNumberFormat="1" applyFont="1" applyFill="1" applyBorder="1" applyAlignment="1">
      <alignment horizontal="left" vertical="top" wrapText="1"/>
    </xf>
    <xf numFmtId="41" fontId="0" fillId="0" borderId="17" xfId="0" applyNumberFormat="1" applyFont="1" applyFill="1" applyBorder="1" applyAlignment="1">
      <alignment horizontal="left" vertical="top" wrapText="1"/>
    </xf>
    <xf numFmtId="0" fontId="0" fillId="0" borderId="17" xfId="0" applyFont="1" applyFill="1" applyBorder="1" applyAlignment="1">
      <alignment horizontal="left" vertical="top" wrapText="1"/>
    </xf>
    <xf numFmtId="3" fontId="0" fillId="0" borderId="6" xfId="0" applyNumberFormat="1" applyFont="1" applyFill="1" applyBorder="1" applyAlignment="1">
      <alignment horizontal="left" vertical="top" wrapText="1"/>
    </xf>
    <xf numFmtId="43" fontId="0" fillId="0" borderId="6" xfId="1" applyFont="1" applyFill="1" applyBorder="1" applyAlignment="1">
      <alignment horizontal="left" vertical="top" wrapText="1"/>
    </xf>
    <xf numFmtId="43" fontId="0" fillId="0" borderId="3" xfId="1" applyFont="1" applyFill="1" applyBorder="1" applyAlignment="1">
      <alignment horizontal="left" vertical="top" wrapText="1"/>
    </xf>
    <xf numFmtId="43" fontId="0" fillId="0" borderId="0" xfId="1" applyFont="1" applyFill="1" applyBorder="1" applyAlignment="1">
      <alignment horizontal="left" vertical="top" wrapText="1"/>
    </xf>
    <xf numFmtId="3" fontId="0" fillId="0" borderId="21" xfId="0" applyNumberFormat="1" applyFont="1" applyFill="1" applyBorder="1" applyAlignment="1">
      <alignment horizontal="left" vertical="top" wrapText="1"/>
    </xf>
    <xf numFmtId="4" fontId="0" fillId="0" borderId="1" xfId="0" applyNumberFormat="1" applyFont="1" applyFill="1" applyBorder="1" applyAlignment="1">
      <alignment horizontal="left" vertical="top" wrapText="1"/>
    </xf>
    <xf numFmtId="3" fontId="0" fillId="0" borderId="1" xfId="17" applyNumberFormat="1" applyFont="1" applyFill="1" applyBorder="1" applyAlignment="1">
      <alignment horizontal="left" vertical="top" wrapText="1"/>
    </xf>
    <xf numFmtId="3" fontId="44" fillId="0" borderId="1" xfId="0" applyNumberFormat="1" applyFont="1" applyFill="1" applyBorder="1" applyAlignment="1">
      <alignment horizontal="left" vertical="top" wrapText="1"/>
    </xf>
    <xf numFmtId="3" fontId="36" fillId="0" borderId="0" xfId="0" applyNumberFormat="1" applyFont="1" applyFill="1" applyAlignment="1">
      <alignment horizontal="left" vertical="top" wrapText="1"/>
    </xf>
    <xf numFmtId="3" fontId="0" fillId="0" borderId="0" xfId="0" applyNumberFormat="1" applyFont="1" applyFill="1" applyAlignment="1">
      <alignment horizontal="left" vertical="top" wrapText="1"/>
    </xf>
    <xf numFmtId="171" fontId="0" fillId="0" borderId="1" xfId="0" applyNumberFormat="1" applyFont="1" applyFill="1" applyBorder="1" applyAlignment="1">
      <alignment horizontal="left" vertical="top" wrapText="1"/>
    </xf>
    <xf numFmtId="0" fontId="0" fillId="0" borderId="15" xfId="4" applyFont="1" applyFill="1" applyBorder="1" applyAlignment="1">
      <alignment horizontal="left" vertical="top" wrapText="1"/>
    </xf>
    <xf numFmtId="3" fontId="0" fillId="0" borderId="15" xfId="14" applyNumberFormat="1" applyFont="1" applyFill="1" applyBorder="1" applyAlignment="1">
      <alignment horizontal="left" vertical="top" wrapText="1"/>
    </xf>
    <xf numFmtId="3" fontId="0" fillId="0" borderId="25" xfId="14" applyNumberFormat="1" applyFont="1" applyFill="1" applyBorder="1" applyAlignment="1">
      <alignment horizontal="left" vertical="top" wrapText="1"/>
    </xf>
    <xf numFmtId="3" fontId="0" fillId="0" borderId="26" xfId="14" applyNumberFormat="1" applyFont="1" applyFill="1" applyBorder="1" applyAlignment="1">
      <alignment horizontal="left" vertical="top" wrapText="1"/>
    </xf>
    <xf numFmtId="166" fontId="0" fillId="0" borderId="26" xfId="14" applyNumberFormat="1" applyFont="1" applyFill="1" applyBorder="1" applyAlignment="1">
      <alignment horizontal="left" vertical="top" wrapText="1"/>
    </xf>
    <xf numFmtId="0" fontId="0" fillId="0" borderId="25" xfId="4" applyFont="1" applyFill="1" applyBorder="1" applyAlignment="1">
      <alignment horizontal="left" vertical="top" wrapText="1"/>
    </xf>
    <xf numFmtId="168" fontId="0" fillId="0" borderId="15" xfId="13" quotePrefix="1" applyNumberFormat="1" applyFont="1" applyFill="1" applyBorder="1" applyAlignment="1">
      <alignment horizontal="left" vertical="top" wrapText="1"/>
    </xf>
    <xf numFmtId="9" fontId="0" fillId="0" borderId="15" xfId="4" applyNumberFormat="1" applyFont="1" applyFill="1" applyBorder="1" applyAlignment="1">
      <alignment horizontal="left" vertical="top" wrapText="1"/>
    </xf>
    <xf numFmtId="0" fontId="0" fillId="0" borderId="27" xfId="4" applyFont="1" applyFill="1" applyBorder="1" applyAlignment="1">
      <alignment horizontal="left" vertical="top" wrapText="1"/>
    </xf>
    <xf numFmtId="168" fontId="0" fillId="0" borderId="27" xfId="13" applyNumberFormat="1" applyFont="1" applyFill="1" applyBorder="1" applyAlignment="1">
      <alignment horizontal="left" vertical="top" wrapText="1"/>
    </xf>
    <xf numFmtId="9" fontId="0" fillId="0" borderId="27" xfId="4" applyNumberFormat="1" applyFont="1" applyFill="1" applyBorder="1" applyAlignment="1">
      <alignment horizontal="left" vertical="top" wrapText="1"/>
    </xf>
    <xf numFmtId="3" fontId="0" fillId="0" borderId="28" xfId="14" applyNumberFormat="1" applyFont="1" applyFill="1" applyBorder="1" applyAlignment="1">
      <alignment horizontal="left" vertical="top" wrapText="1"/>
    </xf>
    <xf numFmtId="0" fontId="27" fillId="0" borderId="15" xfId="0" applyFont="1" applyFill="1" applyBorder="1" applyAlignment="1">
      <alignment horizontal="left" vertical="top" wrapText="1"/>
    </xf>
    <xf numFmtId="41" fontId="36" fillId="0" borderId="15" xfId="2" applyFont="1" applyFill="1" applyBorder="1" applyAlignment="1">
      <alignment horizontal="left" vertical="top" wrapText="1"/>
    </xf>
    <xf numFmtId="0" fontId="0" fillId="0" borderId="23" xfId="0" applyFont="1" applyFill="1" applyBorder="1" applyAlignment="1">
      <alignment horizontal="left" vertical="top" wrapText="1"/>
    </xf>
    <xf numFmtId="41" fontId="0" fillId="0" borderId="23" xfId="2" applyFont="1" applyFill="1" applyBorder="1" applyAlignment="1">
      <alignment horizontal="left" vertical="top" wrapText="1"/>
    </xf>
    <xf numFmtId="3" fontId="20" fillId="0" borderId="1" xfId="0" applyNumberFormat="1" applyFont="1" applyFill="1" applyBorder="1" applyAlignment="1">
      <alignment horizontal="center" vertical="center" wrapText="1"/>
    </xf>
    <xf numFmtId="0" fontId="3" fillId="0" borderId="4" xfId="0" applyFont="1" applyFill="1" applyBorder="1" applyAlignment="1">
      <alignment horizontal="left" vertical="center" wrapText="1"/>
    </xf>
    <xf numFmtId="43" fontId="0" fillId="0" borderId="0" xfId="0" applyNumberFormat="1" applyFont="1" applyFill="1" applyAlignment="1">
      <alignment horizontal="left" vertical="top" wrapText="1"/>
    </xf>
    <xf numFmtId="43" fontId="20" fillId="0" borderId="1" xfId="0" applyNumberFormat="1" applyFont="1" applyFill="1" applyBorder="1" applyAlignment="1">
      <alignment horizontal="left" vertical="top" wrapText="1"/>
    </xf>
    <xf numFmtId="0" fontId="19" fillId="8" borderId="0" xfId="0" applyFont="1" applyFill="1" applyAlignment="1">
      <alignment horizontal="center" vertical="center" wrapText="1"/>
    </xf>
    <xf numFmtId="0" fontId="19" fillId="8" borderId="6"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20" fillId="8" borderId="0" xfId="0" applyFont="1" applyFill="1" applyAlignment="1">
      <alignment horizontal="center" vertical="center" wrapText="1"/>
    </xf>
    <xf numFmtId="0" fontId="20" fillId="8" borderId="1" xfId="0" applyFont="1" applyFill="1" applyBorder="1" applyAlignment="1">
      <alignment horizontal="center" vertical="center" wrapText="1"/>
    </xf>
    <xf numFmtId="0" fontId="0" fillId="8" borderId="0" xfId="0" applyFont="1" applyFill="1" applyAlignment="1">
      <alignment horizontal="left" vertical="top" wrapText="1"/>
    </xf>
    <xf numFmtId="0" fontId="0" fillId="8" borderId="5" xfId="0" applyFont="1" applyFill="1" applyBorder="1" applyAlignment="1">
      <alignment horizontal="left" vertical="top" wrapText="1"/>
    </xf>
    <xf numFmtId="0" fontId="0" fillId="8" borderId="6" xfId="0" applyFont="1" applyFill="1" applyBorder="1" applyAlignment="1">
      <alignment horizontal="left" vertical="top" wrapText="1"/>
    </xf>
    <xf numFmtId="0" fontId="0" fillId="8" borderId="7" xfId="0" applyFont="1" applyFill="1" applyBorder="1" applyAlignment="1">
      <alignment horizontal="left" vertical="top" wrapText="1"/>
    </xf>
    <xf numFmtId="0" fontId="0" fillId="8" borderId="1" xfId="0" applyFont="1" applyFill="1" applyBorder="1" applyAlignment="1">
      <alignment horizontal="left" vertical="top" wrapText="1"/>
    </xf>
    <xf numFmtId="0" fontId="20" fillId="8" borderId="5" xfId="0" applyFont="1" applyFill="1" applyBorder="1" applyAlignment="1">
      <alignment horizontal="center" vertical="center" wrapText="1"/>
    </xf>
    <xf numFmtId="0" fontId="37" fillId="8" borderId="5" xfId="0" applyFont="1" applyFill="1" applyBorder="1" applyAlignment="1">
      <alignment horizontal="left" vertical="top" wrapText="1"/>
    </xf>
    <xf numFmtId="0" fontId="27" fillId="0" borderId="20" xfId="0" applyFont="1" applyFill="1" applyBorder="1" applyAlignment="1">
      <alignment horizontal="left" vertical="top" wrapText="1"/>
    </xf>
    <xf numFmtId="0" fontId="27" fillId="0" borderId="19" xfId="0" applyFont="1" applyFill="1" applyBorder="1" applyAlignment="1">
      <alignment horizontal="left" vertical="top" wrapText="1"/>
    </xf>
    <xf numFmtId="0" fontId="20" fillId="8" borderId="7" xfId="0" applyFont="1" applyFill="1" applyBorder="1" applyAlignment="1">
      <alignment horizontal="center" vertical="center" wrapText="1"/>
    </xf>
    <xf numFmtId="49" fontId="0" fillId="0" borderId="7" xfId="0" applyNumberFormat="1" applyFont="1" applyFill="1" applyBorder="1" applyAlignment="1">
      <alignment horizontal="left" vertical="top" wrapText="1"/>
    </xf>
    <xf numFmtId="49" fontId="27" fillId="0" borderId="7" xfId="0" applyNumberFormat="1" applyFont="1" applyFill="1" applyBorder="1" applyAlignment="1">
      <alignment horizontal="left" vertical="top" wrapText="1"/>
    </xf>
    <xf numFmtId="0" fontId="42" fillId="0" borderId="7" xfId="0" applyFont="1" applyFill="1" applyBorder="1" applyAlignment="1">
      <alignment horizontal="left" vertical="top" wrapText="1"/>
    </xf>
    <xf numFmtId="0" fontId="42" fillId="0" borderId="7" xfId="8" applyFont="1" applyFill="1" applyBorder="1" applyAlignment="1">
      <alignment horizontal="left" vertical="top" wrapText="1"/>
    </xf>
    <xf numFmtId="42" fontId="27" fillId="0" borderId="7" xfId="9" applyNumberFormat="1" applyFont="1" applyFill="1" applyBorder="1" applyAlignment="1">
      <alignment horizontal="left" vertical="top" wrapText="1"/>
    </xf>
    <xf numFmtId="0" fontId="27" fillId="0" borderId="7" xfId="8" applyFont="1" applyFill="1" applyBorder="1" applyAlignment="1">
      <alignment horizontal="left" vertical="top" wrapText="1"/>
    </xf>
    <xf numFmtId="0" fontId="27" fillId="0" borderId="7" xfId="4" applyFont="1" applyFill="1" applyBorder="1" applyAlignment="1">
      <alignment horizontal="left" vertical="top" wrapText="1"/>
    </xf>
    <xf numFmtId="0" fontId="0" fillId="0" borderId="7" xfId="4" applyFont="1" applyFill="1" applyBorder="1" applyAlignment="1">
      <alignment horizontal="left" vertical="top" wrapText="1"/>
    </xf>
    <xf numFmtId="0" fontId="0" fillId="0" borderId="7" xfId="4" applyFont="1" applyFill="1" applyBorder="1" applyAlignment="1" applyProtection="1">
      <alignment horizontal="left" vertical="top" wrapText="1"/>
      <protection locked="0"/>
    </xf>
    <xf numFmtId="0" fontId="0" fillId="0" borderId="7" xfId="4" applyNumberFormat="1" applyFont="1" applyFill="1" applyBorder="1" applyAlignment="1" applyProtection="1">
      <alignment horizontal="left" vertical="top" wrapText="1"/>
      <protection locked="0"/>
    </xf>
    <xf numFmtId="0" fontId="27" fillId="0" borderId="7" xfId="4" applyNumberFormat="1" applyFont="1" applyFill="1" applyBorder="1" applyAlignment="1" applyProtection="1">
      <alignment horizontal="left" vertical="top" wrapText="1"/>
    </xf>
    <xf numFmtId="43" fontId="27" fillId="0" borderId="7" xfId="1" applyFont="1" applyFill="1" applyBorder="1" applyAlignment="1">
      <alignment horizontal="left" vertical="top" wrapText="1"/>
    </xf>
    <xf numFmtId="41" fontId="27" fillId="0" borderId="7" xfId="2" applyFont="1" applyFill="1" applyBorder="1" applyAlignment="1">
      <alignment horizontal="left" vertical="top" wrapText="1"/>
    </xf>
    <xf numFmtId="43" fontId="27" fillId="0" borderId="7" xfId="1" quotePrefix="1" applyFont="1" applyFill="1" applyBorder="1" applyAlignment="1">
      <alignment horizontal="left" vertical="top" wrapText="1"/>
    </xf>
    <xf numFmtId="0" fontId="27" fillId="0" borderId="7" xfId="16" applyFont="1" applyFill="1" applyBorder="1" applyAlignment="1">
      <alignment horizontal="left" vertical="top" wrapText="1"/>
    </xf>
    <xf numFmtId="0" fontId="0" fillId="0" borderId="7" xfId="0" applyNumberFormat="1"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174" fontId="0" fillId="0" borderId="7" xfId="1" applyNumberFormat="1" applyFont="1" applyFill="1" applyBorder="1" applyAlignment="1">
      <alignment horizontal="left" vertical="top" wrapText="1"/>
    </xf>
    <xf numFmtId="0" fontId="0" fillId="0" borderId="7" xfId="15" applyFont="1" applyFill="1" applyBorder="1" applyAlignment="1" applyProtection="1">
      <alignment horizontal="left" vertical="top" wrapText="1"/>
      <protection locked="0"/>
    </xf>
    <xf numFmtId="0" fontId="0" fillId="0" borderId="14" xfId="0" applyFont="1" applyFill="1" applyBorder="1" applyAlignment="1">
      <alignment horizontal="left" vertical="top" wrapText="1"/>
    </xf>
    <xf numFmtId="0" fontId="19" fillId="0" borderId="8" xfId="0" applyFont="1" applyFill="1" applyBorder="1" applyAlignment="1">
      <alignment horizontal="left" vertical="top" wrapText="1"/>
    </xf>
    <xf numFmtId="2" fontId="0" fillId="0" borderId="7" xfId="0" applyNumberFormat="1" applyFont="1" applyFill="1" applyBorder="1" applyAlignment="1">
      <alignment horizontal="left" vertical="top" wrapText="1"/>
    </xf>
    <xf numFmtId="0" fontId="36" fillId="0" borderId="7" xfId="0" applyFont="1" applyFill="1" applyBorder="1" applyAlignment="1">
      <alignment horizontal="left" vertical="top" wrapText="1"/>
    </xf>
    <xf numFmtId="2" fontId="19" fillId="0" borderId="6" xfId="0" applyNumberFormat="1" applyFont="1" applyFill="1" applyBorder="1" applyAlignment="1">
      <alignment horizontal="left" vertical="top" wrapText="1"/>
    </xf>
    <xf numFmtId="2" fontId="0" fillId="0" borderId="6" xfId="0" applyNumberFormat="1"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4" xfId="4" applyFont="1" applyFill="1" applyBorder="1" applyAlignment="1">
      <alignment horizontal="left" vertical="top" wrapText="1"/>
    </xf>
    <xf numFmtId="0" fontId="0" fillId="0" borderId="29" xfId="4" applyFont="1" applyFill="1" applyBorder="1" applyAlignment="1">
      <alignment horizontal="left" vertical="top" wrapText="1"/>
    </xf>
    <xf numFmtId="0" fontId="27" fillId="0" borderId="14" xfId="0" applyFont="1" applyFill="1" applyBorder="1" applyAlignment="1">
      <alignment horizontal="left" vertical="top" wrapText="1"/>
    </xf>
    <xf numFmtId="0" fontId="27" fillId="0" borderId="30"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20" xfId="0" applyFont="1" applyBorder="1" applyAlignment="1">
      <alignment horizontal="left" vertical="top" wrapText="1"/>
    </xf>
    <xf numFmtId="0" fontId="0" fillId="0" borderId="9" xfId="0" applyFont="1" applyBorder="1" applyAlignment="1">
      <alignment horizontal="left" vertical="top" wrapText="1"/>
    </xf>
    <xf numFmtId="0" fontId="3" fillId="0" borderId="0" xfId="5" applyNumberFormat="1" applyFont="1" applyFill="1" applyAlignment="1" applyProtection="1">
      <alignment vertical="top" wrapText="1"/>
      <protection locked="0"/>
    </xf>
    <xf numFmtId="41" fontId="3" fillId="0" borderId="1" xfId="2" quotePrefix="1"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top" wrapText="1"/>
    </xf>
    <xf numFmtId="0" fontId="12" fillId="2" borderId="1" xfId="0" applyFont="1" applyFill="1" applyBorder="1" applyAlignment="1">
      <alignment horizontal="left" vertical="top"/>
    </xf>
    <xf numFmtId="0" fontId="3" fillId="2" borderId="1" xfId="0" quotePrefix="1"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left" vertical="top" wrapText="1"/>
    </xf>
    <xf numFmtId="0" fontId="3" fillId="2" borderId="7"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2" borderId="2" xfId="0" applyFont="1" applyFill="1" applyBorder="1" applyAlignment="1">
      <alignment horizontal="center" vertical="top" wrapText="1"/>
    </xf>
    <xf numFmtId="0" fontId="3" fillId="2" borderId="1" xfId="0" applyFont="1" applyFill="1" applyBorder="1" applyAlignment="1">
      <alignment horizontal="left" vertical="center" wrapText="1"/>
    </xf>
    <xf numFmtId="1" fontId="3" fillId="2"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top" wrapText="1"/>
    </xf>
    <xf numFmtId="0" fontId="24" fillId="2" borderId="1" xfId="0" applyFont="1" applyFill="1" applyBorder="1" applyAlignment="1">
      <alignment horizontal="center" vertical="center"/>
    </xf>
    <xf numFmtId="0" fontId="3" fillId="0" borderId="1" xfId="0" applyFont="1" applyFill="1" applyBorder="1" applyAlignment="1">
      <alignment horizontal="left" vertical="top"/>
    </xf>
    <xf numFmtId="41"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12" fillId="0" borderId="0" xfId="3" applyFont="1" applyFill="1" applyBorder="1" applyAlignment="1" applyProtection="1">
      <alignment horizontal="center" vertical="center" wrapText="1"/>
      <protection locked="0"/>
    </xf>
    <xf numFmtId="0" fontId="23"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12" fillId="0" borderId="0" xfId="0" applyFont="1" applyFill="1" applyBorder="1" applyAlignment="1">
      <alignment horizontal="center" vertical="center"/>
    </xf>
    <xf numFmtId="43" fontId="12" fillId="0" borderId="0" xfId="1" applyFont="1" applyFill="1" applyBorder="1" applyAlignment="1">
      <alignment horizontal="center" vertical="center"/>
    </xf>
    <xf numFmtId="0" fontId="3" fillId="0" borderId="1" xfId="0" applyFont="1" applyFill="1" applyBorder="1" applyAlignment="1">
      <alignment vertical="top" wrapText="1"/>
    </xf>
    <xf numFmtId="0" fontId="3"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3" fillId="0" borderId="2" xfId="0" applyNumberFormat="1" applyFont="1" applyFill="1" applyBorder="1" applyAlignment="1">
      <alignment horizontal="center" vertical="top" wrapText="1"/>
    </xf>
    <xf numFmtId="9"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0" xfId="0" applyFont="1" applyFill="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41" fontId="3" fillId="0" borderId="0"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41" fontId="11" fillId="0" borderId="1" xfId="0" applyNumberFormat="1" applyFont="1" applyFill="1" applyBorder="1" applyAlignment="1">
      <alignment horizontal="center" vertical="top" wrapText="1"/>
    </xf>
    <xf numFmtId="41" fontId="3" fillId="0" borderId="1" xfId="0" applyNumberFormat="1" applyFont="1" applyFill="1" applyBorder="1" applyAlignment="1">
      <alignment horizontal="center" vertical="top" wrapText="1"/>
    </xf>
    <xf numFmtId="3" fontId="3" fillId="0" borderId="1" xfId="0" applyNumberFormat="1" applyFont="1" applyFill="1" applyBorder="1" applyAlignment="1">
      <alignment horizontal="center" vertical="top" wrapText="1"/>
    </xf>
    <xf numFmtId="166" fontId="3" fillId="0" borderId="1" xfId="1" applyNumberFormat="1" applyFont="1" applyFill="1" applyBorder="1" applyAlignment="1">
      <alignment horizontal="center" vertical="top" wrapText="1"/>
    </xf>
    <xf numFmtId="1" fontId="3" fillId="0" borderId="1" xfId="6" applyNumberFormat="1" applyFont="1" applyFill="1" applyBorder="1" applyAlignment="1">
      <alignment horizontal="center" vertical="top" wrapText="1"/>
    </xf>
    <xf numFmtId="165" fontId="3" fillId="0" borderId="1" xfId="0" applyNumberFormat="1" applyFont="1" applyFill="1" applyBorder="1" applyAlignment="1">
      <alignment horizontal="center" vertical="top" wrapText="1"/>
    </xf>
    <xf numFmtId="37" fontId="3" fillId="0" borderId="1" xfId="0" applyNumberFormat="1" applyFont="1" applyFill="1" applyBorder="1" applyAlignment="1">
      <alignment horizontal="center" vertical="top" wrapText="1"/>
    </xf>
    <xf numFmtId="170" fontId="3" fillId="0" borderId="1" xfId="0" applyNumberFormat="1" applyFont="1" applyFill="1" applyBorder="1" applyAlignment="1">
      <alignment horizontal="center" vertical="top" wrapText="1"/>
    </xf>
    <xf numFmtId="168" fontId="3" fillId="0" borderId="1" xfId="0" applyNumberFormat="1" applyFont="1" applyFill="1" applyBorder="1" applyAlignment="1">
      <alignment horizontal="center" vertical="top" wrapText="1"/>
    </xf>
    <xf numFmtId="37" fontId="3" fillId="0" borderId="1" xfId="1" applyNumberFormat="1"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166" fontId="12" fillId="0" borderId="1" xfId="1" applyNumberFormat="1" applyFont="1" applyFill="1" applyBorder="1" applyAlignment="1">
      <alignment horizontal="center" vertical="top" wrapText="1"/>
    </xf>
    <xf numFmtId="3" fontId="3" fillId="0" borderId="1" xfId="6" applyNumberFormat="1" applyFont="1" applyFill="1" applyBorder="1" applyAlignment="1">
      <alignment horizontal="center" vertical="top" wrapText="1"/>
    </xf>
    <xf numFmtId="3" fontId="12" fillId="0" borderId="1" xfId="6" applyNumberFormat="1" applyFont="1" applyFill="1" applyBorder="1" applyAlignment="1">
      <alignment horizontal="center" vertical="top" wrapText="1"/>
    </xf>
    <xf numFmtId="43" fontId="3" fillId="0" borderId="1" xfId="1" applyFont="1" applyFill="1" applyBorder="1" applyAlignment="1">
      <alignment horizontal="center" vertical="top" wrapText="1"/>
    </xf>
    <xf numFmtId="43" fontId="3" fillId="0" borderId="1" xfId="0" applyNumberFormat="1" applyFont="1" applyFill="1" applyBorder="1" applyAlignment="1">
      <alignment horizontal="center" vertical="top" wrapText="1"/>
    </xf>
    <xf numFmtId="2" fontId="3" fillId="0" borderId="1" xfId="6" applyNumberFormat="1" applyFont="1" applyFill="1" applyBorder="1" applyAlignment="1">
      <alignment horizontal="center" vertical="top" wrapText="1"/>
    </xf>
    <xf numFmtId="165" fontId="3" fillId="0"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wrapText="1"/>
    </xf>
    <xf numFmtId="41" fontId="3" fillId="0" borderId="1" xfId="2" applyNumberFormat="1" applyFont="1" applyFill="1" applyBorder="1" applyAlignment="1">
      <alignment horizontal="center" vertical="top" wrapText="1"/>
    </xf>
    <xf numFmtId="1" fontId="3" fillId="0" borderId="1" xfId="1" applyNumberFormat="1" applyFont="1" applyFill="1" applyBorder="1" applyAlignment="1">
      <alignment horizontal="center" vertical="top" wrapText="1"/>
    </xf>
    <xf numFmtId="2" fontId="3" fillId="0" borderId="4" xfId="6" applyNumberFormat="1" applyFont="1" applyFill="1" applyBorder="1" applyAlignment="1">
      <alignment horizontal="center" vertical="top" wrapText="1"/>
    </xf>
    <xf numFmtId="0" fontId="3" fillId="0" borderId="7" xfId="0" applyFont="1" applyFill="1" applyBorder="1" applyAlignment="1">
      <alignment horizontal="center" vertical="top" wrapText="1"/>
    </xf>
    <xf numFmtId="4" fontId="3" fillId="0" borderId="3" xfId="0" applyNumberFormat="1" applyFont="1" applyFill="1" applyBorder="1" applyAlignment="1">
      <alignment horizontal="center" vertical="top" wrapText="1"/>
    </xf>
    <xf numFmtId="4" fontId="45" fillId="0" borderId="3" xfId="0" applyNumberFormat="1" applyFont="1" applyFill="1" applyBorder="1" applyAlignment="1">
      <alignment horizontal="center" vertical="top" wrapText="1"/>
    </xf>
    <xf numFmtId="43" fontId="45" fillId="0" borderId="1" xfId="1" applyNumberFormat="1" applyFont="1" applyFill="1" applyBorder="1" applyAlignment="1">
      <alignment horizontal="center" vertical="top" wrapText="1"/>
    </xf>
    <xf numFmtId="43" fontId="45" fillId="0" borderId="1" xfId="0" applyNumberFormat="1" applyFont="1" applyFill="1" applyBorder="1" applyAlignment="1">
      <alignment horizontal="center" vertical="top"/>
    </xf>
    <xf numFmtId="41" fontId="3" fillId="0" borderId="1" xfId="2" applyFont="1" applyFill="1" applyBorder="1" applyAlignment="1">
      <alignment horizontal="center" vertical="top" wrapText="1"/>
    </xf>
    <xf numFmtId="0" fontId="3" fillId="0" borderId="4" xfId="0" applyNumberFormat="1" applyFont="1" applyFill="1" applyBorder="1" applyAlignment="1">
      <alignment horizontal="center" vertical="top" wrapText="1"/>
    </xf>
    <xf numFmtId="37" fontId="3" fillId="0" borderId="1" xfId="2" applyNumberFormat="1" applyFont="1" applyFill="1" applyBorder="1" applyAlignment="1">
      <alignment horizontal="center" vertical="top" wrapText="1"/>
    </xf>
    <xf numFmtId="167" fontId="3" fillId="0" borderId="1" xfId="2" applyNumberFormat="1" applyFont="1" applyFill="1" applyBorder="1" applyAlignment="1">
      <alignment horizontal="center" vertical="top" wrapText="1"/>
    </xf>
    <xf numFmtId="0" fontId="12" fillId="0" borderId="0" xfId="0" applyFont="1" applyBorder="1" applyAlignment="1">
      <alignment horizontal="center" vertical="top" wrapText="1"/>
    </xf>
    <xf numFmtId="0" fontId="46" fillId="0" borderId="0" xfId="0" applyFont="1" applyFill="1" applyBorder="1" applyAlignment="1">
      <alignment horizontal="center" vertical="top" wrapText="1"/>
    </xf>
    <xf numFmtId="0" fontId="12"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12" fillId="0" borderId="0" xfId="0" applyFont="1" applyAlignment="1">
      <alignment horizontal="center" vertical="top"/>
    </xf>
    <xf numFmtId="0" fontId="12" fillId="0" borderId="0" xfId="0" applyFont="1" applyBorder="1" applyAlignment="1">
      <alignment horizontal="center" vertical="top"/>
    </xf>
    <xf numFmtId="43" fontId="3" fillId="0" borderId="2" xfId="1" applyFont="1" applyFill="1" applyBorder="1" applyAlignment="1">
      <alignment vertical="center" wrapText="1"/>
    </xf>
    <xf numFmtId="3"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3" fontId="0" fillId="0" borderId="1" xfId="0" applyNumberFormat="1" applyFont="1" applyFill="1" applyBorder="1" applyAlignment="1">
      <alignment horizontal="left" vertical="top" wrapText="1"/>
    </xf>
    <xf numFmtId="0" fontId="19"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9" fillId="8" borderId="1" xfId="0" applyFont="1" applyFill="1" applyBorder="1" applyAlignment="1">
      <alignment horizontal="center" vertical="center" wrapText="1"/>
    </xf>
    <xf numFmtId="41" fontId="0" fillId="0" borderId="1" xfId="2" applyFont="1" applyFill="1" applyBorder="1" applyAlignment="1">
      <alignment horizontal="left" vertical="top" wrapText="1"/>
    </xf>
    <xf numFmtId="41" fontId="0" fillId="0" borderId="1" xfId="2"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27" fillId="0" borderId="1" xfId="0" applyNumberFormat="1" applyFont="1" applyFill="1" applyBorder="1" applyAlignment="1">
      <alignment horizontal="left" vertical="top" wrapText="1"/>
    </xf>
    <xf numFmtId="41" fontId="27" fillId="0" borderId="1" xfId="2" applyFont="1" applyFill="1" applyBorder="1" applyAlignment="1">
      <alignment horizontal="left" vertical="top" wrapText="1"/>
    </xf>
    <xf numFmtId="41" fontId="0" fillId="0" borderId="1" xfId="1"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quotePrefix="1" applyFont="1" applyFill="1" applyBorder="1" applyAlignment="1">
      <alignment horizontal="left" vertical="top" wrapText="1"/>
    </xf>
    <xf numFmtId="0" fontId="3" fillId="0" borderId="2" xfId="0" applyFont="1" applyFill="1" applyBorder="1" applyAlignment="1">
      <alignment vertical="top"/>
    </xf>
    <xf numFmtId="0" fontId="3" fillId="0" borderId="3" xfId="0" applyFont="1" applyFill="1" applyBorder="1" applyAlignment="1">
      <alignment vertical="top"/>
    </xf>
    <xf numFmtId="0" fontId="3" fillId="0" borderId="4" xfId="0" applyFont="1" applyFill="1" applyBorder="1" applyAlignment="1">
      <alignment vertical="top"/>
    </xf>
    <xf numFmtId="0" fontId="3" fillId="0" borderId="4" xfId="0" applyFont="1" applyFill="1" applyBorder="1" applyAlignment="1">
      <alignment vertical="top" wrapText="1"/>
    </xf>
    <xf numFmtId="0" fontId="3" fillId="0" borderId="3" xfId="0" applyFont="1" applyFill="1" applyBorder="1" applyAlignment="1">
      <alignment vertical="top" wrapText="1"/>
    </xf>
    <xf numFmtId="0" fontId="0" fillId="5" borderId="0" xfId="0" applyFont="1" applyFill="1" applyAlignment="1">
      <alignment horizontal="left" vertical="top" wrapText="1"/>
    </xf>
    <xf numFmtId="0" fontId="43" fillId="5" borderId="0" xfId="0" applyFont="1" applyFill="1"/>
    <xf numFmtId="0" fontId="43" fillId="5" borderId="0" xfId="0" applyFont="1" applyFill="1" applyBorder="1" applyAlignment="1">
      <alignment horizontal="left" vertical="top" wrapText="1"/>
    </xf>
    <xf numFmtId="0" fontId="43" fillId="5" borderId="0" xfId="0" applyFont="1" applyFill="1" applyBorder="1" applyAlignment="1">
      <alignment horizontal="left" vertical="center" wrapText="1"/>
    </xf>
    <xf numFmtId="0" fontId="43" fillId="5" borderId="0" xfId="0" applyFont="1" applyFill="1" applyBorder="1" applyAlignment="1">
      <alignment horizontal="left" wrapText="1"/>
    </xf>
    <xf numFmtId="0" fontId="0" fillId="5" borderId="20" xfId="0" applyFont="1" applyFill="1" applyBorder="1" applyAlignment="1">
      <alignment horizontal="left" vertical="top" wrapText="1"/>
    </xf>
    <xf numFmtId="0" fontId="0" fillId="5" borderId="0" xfId="0" applyFont="1" applyFill="1" applyBorder="1" applyAlignment="1">
      <alignment horizontal="left" vertical="top" wrapText="1"/>
    </xf>
    <xf numFmtId="0" fontId="0" fillId="5" borderId="9" xfId="0" applyFont="1" applyFill="1" applyBorder="1" applyAlignment="1">
      <alignment horizontal="left" vertical="top" wrapText="1"/>
    </xf>
    <xf numFmtId="0" fontId="0" fillId="5" borderId="7" xfId="0" applyFont="1" applyFill="1" applyBorder="1" applyAlignment="1">
      <alignment horizontal="left" vertical="top" wrapText="1"/>
    </xf>
    <xf numFmtId="41" fontId="0" fillId="5" borderId="1" xfId="2" applyFont="1" applyFill="1" applyBorder="1" applyAlignment="1">
      <alignment horizontal="left" vertical="top" wrapText="1"/>
    </xf>
    <xf numFmtId="0" fontId="0" fillId="5" borderId="1" xfId="0" applyFont="1" applyFill="1" applyBorder="1" applyAlignment="1">
      <alignment horizontal="left" vertical="top" wrapText="1"/>
    </xf>
    <xf numFmtId="41" fontId="0" fillId="5" borderId="1" xfId="0" applyNumberFormat="1" applyFont="1" applyFill="1" applyBorder="1" applyAlignment="1">
      <alignment horizontal="left" vertical="top" wrapText="1"/>
    </xf>
    <xf numFmtId="49" fontId="0" fillId="5" borderId="7" xfId="0" applyNumberFormat="1" applyFont="1" applyFill="1" applyBorder="1" applyAlignment="1">
      <alignment horizontal="left" vertical="top" wrapText="1"/>
    </xf>
    <xf numFmtId="165" fontId="0" fillId="5" borderId="1" xfId="2" applyNumberFormat="1" applyFont="1" applyFill="1" applyBorder="1" applyAlignment="1">
      <alignment horizontal="left" vertical="top" wrapText="1"/>
    </xf>
    <xf numFmtId="165" fontId="0" fillId="5" borderId="1" xfId="2" quotePrefix="1" applyNumberFormat="1" applyFont="1" applyFill="1" applyBorder="1" applyAlignment="1">
      <alignment horizontal="left" vertical="top" wrapText="1"/>
    </xf>
    <xf numFmtId="43" fontId="0" fillId="5" borderId="1" xfId="0" applyNumberFormat="1" applyFont="1" applyFill="1" applyBorder="1" applyAlignment="1">
      <alignment horizontal="left" vertical="top" wrapText="1"/>
    </xf>
    <xf numFmtId="0" fontId="43" fillId="7" borderId="0" xfId="0" applyFont="1" applyFill="1" applyBorder="1" applyAlignment="1">
      <alignment horizontal="left" vertical="top" wrapText="1"/>
    </xf>
    <xf numFmtId="0" fontId="48" fillId="7" borderId="0" xfId="0" applyFont="1" applyFill="1" applyBorder="1" applyAlignment="1">
      <alignment horizontal="left" vertical="top" wrapText="1"/>
    </xf>
    <xf numFmtId="0" fontId="43" fillId="7" borderId="0" xfId="0" applyFont="1" applyFill="1" applyBorder="1" applyAlignment="1">
      <alignment horizontal="left" vertical="center" wrapText="1"/>
    </xf>
    <xf numFmtId="0" fontId="43" fillId="7" borderId="0" xfId="0" applyFont="1" applyFill="1" applyBorder="1" applyAlignment="1">
      <alignment horizontal="left" wrapText="1"/>
    </xf>
    <xf numFmtId="0" fontId="43" fillId="7" borderId="0" xfId="0" applyFont="1" applyFill="1"/>
    <xf numFmtId="0" fontId="48" fillId="0" borderId="0" xfId="0" applyFont="1" applyFill="1" applyAlignment="1">
      <alignment horizontal="left" vertical="top" wrapText="1"/>
    </xf>
    <xf numFmtId="0" fontId="48" fillId="0" borderId="0" xfId="0" applyFont="1" applyAlignment="1">
      <alignment horizontal="left" vertical="top" wrapText="1"/>
    </xf>
    <xf numFmtId="0" fontId="27" fillId="0" borderId="0" xfId="0" applyFont="1" applyBorder="1" applyAlignment="1">
      <alignment horizontal="left" vertical="top" wrapText="1"/>
    </xf>
    <xf numFmtId="0" fontId="27" fillId="8" borderId="0" xfId="0" applyFont="1" applyFill="1" applyBorder="1" applyAlignment="1">
      <alignment horizontal="left" vertical="top" wrapText="1"/>
    </xf>
    <xf numFmtId="0" fontId="27" fillId="0" borderId="0" xfId="0" applyFont="1" applyFill="1" applyBorder="1" applyAlignment="1">
      <alignment horizontal="left" vertical="top" wrapText="1"/>
    </xf>
    <xf numFmtId="0" fontId="43" fillId="0" borderId="0" xfId="0" applyFont="1" applyFill="1"/>
    <xf numFmtId="0" fontId="27" fillId="0" borderId="0" xfId="0" applyFont="1" applyAlignment="1">
      <alignment horizontal="left" vertical="top" wrapText="1"/>
    </xf>
    <xf numFmtId="0" fontId="27" fillId="0" borderId="0" xfId="0" applyFont="1"/>
    <xf numFmtId="0" fontId="27" fillId="0" borderId="0" xfId="0" applyFont="1" applyFill="1"/>
    <xf numFmtId="0" fontId="27" fillId="5" borderId="0" xfId="0" applyFont="1" applyFill="1"/>
    <xf numFmtId="0" fontId="27" fillId="5" borderId="0" xfId="0" applyFont="1" applyFill="1" applyAlignment="1">
      <alignment horizontal="left" vertical="top" wrapText="1"/>
    </xf>
    <xf numFmtId="0" fontId="48" fillId="5" borderId="0" xfId="0" applyFont="1" applyFill="1" applyAlignment="1">
      <alignment horizontal="left" vertical="top" wrapText="1"/>
    </xf>
    <xf numFmtId="0" fontId="27" fillId="5" borderId="0" xfId="0" applyFont="1" applyFill="1" applyBorder="1" applyAlignment="1">
      <alignment horizontal="left" vertical="top" wrapText="1"/>
    </xf>
    <xf numFmtId="0" fontId="27" fillId="9" borderId="0" xfId="0" applyFont="1" applyFill="1"/>
    <xf numFmtId="0" fontId="27" fillId="9" borderId="0" xfId="0" applyFont="1" applyFill="1" applyAlignment="1">
      <alignment horizontal="left" vertical="top" wrapText="1"/>
    </xf>
    <xf numFmtId="0" fontId="48" fillId="9" borderId="0" xfId="0" applyFont="1" applyFill="1" applyAlignment="1">
      <alignment horizontal="left" vertical="top" wrapText="1"/>
    </xf>
    <xf numFmtId="0" fontId="27" fillId="9" borderId="0" xfId="0" applyFont="1" applyFill="1" applyBorder="1" applyAlignment="1">
      <alignment horizontal="left" vertical="top" wrapText="1"/>
    </xf>
    <xf numFmtId="41" fontId="27" fillId="9" borderId="0" xfId="0" applyNumberFormat="1" applyFont="1" applyFill="1" applyBorder="1" applyAlignment="1">
      <alignment horizontal="left" vertical="top" wrapText="1"/>
    </xf>
    <xf numFmtId="41" fontId="49" fillId="9" borderId="0" xfId="0" applyNumberFormat="1" applyFont="1" applyFill="1" applyBorder="1" applyAlignment="1">
      <alignment horizontal="left" vertical="top" wrapText="1"/>
    </xf>
    <xf numFmtId="0" fontId="27" fillId="5" borderId="0" xfId="0" applyFont="1" applyFill="1" applyAlignment="1">
      <alignment horizontal="left" wrapText="1"/>
    </xf>
    <xf numFmtId="0" fontId="27" fillId="8" borderId="0" xfId="0" applyFont="1" applyFill="1" applyAlignment="1">
      <alignment horizontal="left" wrapText="1"/>
    </xf>
    <xf numFmtId="0" fontId="27" fillId="0" borderId="0" xfId="0" applyFont="1" applyFill="1" applyAlignment="1">
      <alignment horizontal="left" wrapText="1"/>
    </xf>
    <xf numFmtId="2" fontId="27" fillId="0" borderId="0" xfId="0" applyNumberFormat="1" applyFont="1" applyBorder="1" applyAlignment="1">
      <alignment horizontal="left" vertical="top" wrapText="1"/>
    </xf>
    <xf numFmtId="2" fontId="27" fillId="8" borderId="0" xfId="0" applyNumberFormat="1" applyFont="1" applyFill="1" applyBorder="1" applyAlignment="1">
      <alignment horizontal="left" vertical="top" wrapText="1"/>
    </xf>
    <xf numFmtId="0" fontId="27" fillId="7" borderId="0" xfId="0" applyFont="1" applyFill="1"/>
    <xf numFmtId="0" fontId="48" fillId="7" borderId="0" xfId="0" applyFont="1" applyFill="1" applyAlignment="1">
      <alignment horizontal="left" vertical="top" wrapText="1"/>
    </xf>
    <xf numFmtId="0" fontId="27" fillId="7" borderId="0" xfId="0" applyFont="1" applyFill="1" applyBorder="1" applyAlignment="1">
      <alignment horizontal="left" vertical="top" wrapText="1"/>
    </xf>
    <xf numFmtId="0" fontId="27" fillId="7" borderId="0" xfId="0" applyFont="1" applyFill="1" applyAlignment="1">
      <alignment horizontal="left" vertical="top" wrapText="1"/>
    </xf>
    <xf numFmtId="0" fontId="27" fillId="7" borderId="0" xfId="0" applyFont="1" applyFill="1" applyAlignment="1">
      <alignment horizontal="left" wrapText="1"/>
    </xf>
    <xf numFmtId="0" fontId="27" fillId="0" borderId="0" xfId="0" applyFont="1" applyAlignment="1">
      <alignment horizontal="left" wrapText="1"/>
    </xf>
    <xf numFmtId="0" fontId="0" fillId="5" borderId="5" xfId="0" applyFont="1" applyFill="1" applyBorder="1" applyAlignment="1">
      <alignment horizontal="left" vertical="top" wrapText="1"/>
    </xf>
    <xf numFmtId="0" fontId="0" fillId="5" borderId="6" xfId="0" applyFont="1" applyFill="1" applyBorder="1" applyAlignment="1">
      <alignment horizontal="left" vertical="top" wrapText="1"/>
    </xf>
    <xf numFmtId="0" fontId="0" fillId="5" borderId="18" xfId="0" applyFont="1" applyFill="1" applyBorder="1" applyAlignment="1">
      <alignment horizontal="left" vertical="top" wrapText="1"/>
    </xf>
    <xf numFmtId="0" fontId="0" fillId="5" borderId="21" xfId="0" applyFont="1" applyFill="1" applyBorder="1" applyAlignment="1">
      <alignment horizontal="left" vertical="top" wrapText="1"/>
    </xf>
    <xf numFmtId="0" fontId="0" fillId="5" borderId="8" xfId="0" applyFont="1" applyFill="1" applyBorder="1" applyAlignment="1">
      <alignment horizontal="left" vertical="top" wrapText="1"/>
    </xf>
    <xf numFmtId="0" fontId="27" fillId="9" borderId="0" xfId="0" applyFont="1" applyFill="1" applyAlignment="1">
      <alignment horizontal="left" wrapText="1"/>
    </xf>
    <xf numFmtId="3" fontId="27" fillId="9" borderId="0" xfId="0" applyNumberFormat="1" applyFont="1" applyFill="1" applyAlignment="1">
      <alignment horizontal="left" wrapText="1"/>
    </xf>
    <xf numFmtId="41" fontId="27" fillId="9" borderId="0" xfId="0" applyNumberFormat="1" applyFont="1" applyFill="1" applyBorder="1" applyAlignment="1">
      <alignment horizontal="center" wrapText="1"/>
    </xf>
    <xf numFmtId="3" fontId="0" fillId="5" borderId="1" xfId="0" applyNumberFormat="1" applyFont="1" applyFill="1" applyBorder="1" applyAlignment="1">
      <alignment horizontal="left" vertical="top" wrapText="1"/>
    </xf>
    <xf numFmtId="41" fontId="27" fillId="9" borderId="0" xfId="0" applyNumberFormat="1" applyFont="1" applyFill="1" applyAlignment="1">
      <alignment horizontal="left" wrapText="1"/>
    </xf>
    <xf numFmtId="0" fontId="0" fillId="5" borderId="19" xfId="0" applyFont="1" applyFill="1" applyBorder="1" applyAlignment="1">
      <alignment horizontal="left" vertical="top" wrapText="1"/>
    </xf>
    <xf numFmtId="3" fontId="27" fillId="9" borderId="0" xfId="0" applyNumberFormat="1" applyFont="1" applyFill="1" applyBorder="1" applyAlignment="1">
      <alignment horizontal="left" vertical="top" wrapText="1"/>
    </xf>
    <xf numFmtId="166" fontId="0" fillId="5" borderId="1" xfId="0" applyNumberFormat="1" applyFont="1" applyFill="1" applyBorder="1" applyAlignment="1">
      <alignment horizontal="left" vertical="top" wrapText="1"/>
    </xf>
    <xf numFmtId="41" fontId="27" fillId="8" borderId="0" xfId="0" applyNumberFormat="1" applyFont="1" applyFill="1" applyBorder="1" applyAlignment="1">
      <alignment horizontal="left" vertical="top" wrapText="1"/>
    </xf>
    <xf numFmtId="41" fontId="27" fillId="0" borderId="0" xfId="0" applyNumberFormat="1" applyFont="1" applyFill="1"/>
    <xf numFmtId="41" fontId="27" fillId="8" borderId="0" xfId="0" applyNumberFormat="1" applyFont="1" applyFill="1" applyAlignment="1">
      <alignment horizontal="left" wrapText="1"/>
    </xf>
    <xf numFmtId="0" fontId="27" fillId="5" borderId="20" xfId="0" applyFont="1" applyFill="1" applyBorder="1" applyAlignment="1">
      <alignment horizontal="left" vertical="top" wrapText="1"/>
    </xf>
    <xf numFmtId="0" fontId="27" fillId="5" borderId="5" xfId="0" applyFont="1" applyFill="1" applyBorder="1" applyAlignment="1">
      <alignment horizontal="left" vertical="top" wrapText="1"/>
    </xf>
    <xf numFmtId="0" fontId="27" fillId="5" borderId="6" xfId="0" applyFont="1" applyFill="1" applyBorder="1" applyAlignment="1">
      <alignment horizontal="left" vertical="top" wrapText="1"/>
    </xf>
    <xf numFmtId="0" fontId="27" fillId="5" borderId="7" xfId="0" applyFont="1" applyFill="1" applyBorder="1" applyAlignment="1">
      <alignment horizontal="left" vertical="top" wrapText="1"/>
    </xf>
    <xf numFmtId="0" fontId="27" fillId="5" borderId="1" xfId="0" applyFont="1" applyFill="1" applyBorder="1" applyAlignment="1">
      <alignment horizontal="left" vertical="top" wrapText="1"/>
    </xf>
    <xf numFmtId="3" fontId="27" fillId="5" borderId="1" xfId="0" applyNumberFormat="1" applyFont="1" applyFill="1" applyBorder="1" applyAlignment="1">
      <alignment horizontal="left" vertical="top" wrapText="1"/>
    </xf>
    <xf numFmtId="41" fontId="27" fillId="5" borderId="1" xfId="0" applyNumberFormat="1" applyFont="1" applyFill="1" applyBorder="1" applyAlignment="1">
      <alignment horizontal="left" vertical="top" wrapText="1"/>
    </xf>
    <xf numFmtId="2" fontId="27" fillId="9" borderId="0" xfId="0" applyNumberFormat="1" applyFont="1" applyFill="1" applyBorder="1" applyAlignment="1">
      <alignment horizontal="left" vertical="top" wrapText="1"/>
    </xf>
    <xf numFmtId="42" fontId="0" fillId="5" borderId="1" xfId="0" applyNumberFormat="1" applyFont="1" applyFill="1" applyBorder="1" applyAlignment="1">
      <alignment horizontal="left" vertical="top" wrapText="1"/>
    </xf>
    <xf numFmtId="0" fontId="0" fillId="5" borderId="16" xfId="0" applyFont="1" applyFill="1" applyBorder="1" applyAlignment="1">
      <alignment horizontal="left" vertical="top" wrapText="1"/>
    </xf>
    <xf numFmtId="174" fontId="0" fillId="5" borderId="1" xfId="0" applyNumberFormat="1" applyFont="1" applyFill="1" applyBorder="1" applyAlignment="1">
      <alignment horizontal="left" vertical="top" wrapText="1"/>
    </xf>
    <xf numFmtId="9" fontId="0" fillId="5" borderId="1" xfId="0" applyNumberFormat="1" applyFont="1" applyFill="1" applyBorder="1" applyAlignment="1">
      <alignment horizontal="left" vertical="top" wrapText="1"/>
    </xf>
    <xf numFmtId="165" fontId="0" fillId="5" borderId="1" xfId="0" applyNumberFormat="1" applyFont="1" applyFill="1" applyBorder="1" applyAlignment="1">
      <alignment horizontal="left" vertical="top" wrapText="1"/>
    </xf>
    <xf numFmtId="0" fontId="43" fillId="9" borderId="0" xfId="0" applyFont="1" applyFill="1"/>
    <xf numFmtId="0" fontId="43" fillId="9" borderId="0" xfId="0" applyFont="1" applyFill="1" applyBorder="1" applyAlignment="1">
      <alignment horizontal="left" vertical="center" wrapText="1"/>
    </xf>
    <xf numFmtId="41" fontId="43" fillId="9" borderId="0" xfId="0" applyNumberFormat="1" applyFont="1" applyFill="1" applyBorder="1" applyAlignment="1">
      <alignment horizontal="left" vertical="center" wrapText="1"/>
    </xf>
    <xf numFmtId="0" fontId="43" fillId="9" borderId="0" xfId="0" applyFont="1" applyFill="1" applyBorder="1" applyAlignment="1">
      <alignment horizontal="left" wrapText="1"/>
    </xf>
    <xf numFmtId="0" fontId="4" fillId="0" borderId="3" xfId="0" applyFont="1" applyFill="1" applyBorder="1" applyAlignment="1">
      <alignment horizontal="left" wrapText="1"/>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43" fontId="3" fillId="0" borderId="2" xfId="1" applyFont="1" applyFill="1" applyBorder="1" applyAlignment="1">
      <alignment horizontal="left" vertical="center" wrapText="1"/>
    </xf>
    <xf numFmtId="0" fontId="3" fillId="10" borderId="1" xfId="0" applyFont="1" applyFill="1" applyBorder="1" applyAlignment="1">
      <alignment horizontal="center" vertical="center" wrapText="1"/>
    </xf>
    <xf numFmtId="0" fontId="3" fillId="0" borderId="1" xfId="0" applyFont="1" applyFill="1" applyBorder="1" applyAlignment="1">
      <alignment horizontal="left" wrapText="1"/>
    </xf>
    <xf numFmtId="0" fontId="3" fillId="0" borderId="3" xfId="0" applyFont="1" applyFill="1" applyBorder="1" applyAlignment="1">
      <alignment horizontal="left" vertical="center" wrapText="1"/>
    </xf>
    <xf numFmtId="0" fontId="3" fillId="0" borderId="3" xfId="0" applyFont="1" applyFill="1" applyBorder="1" applyAlignment="1">
      <alignment horizontal="left" wrapText="1"/>
    </xf>
    <xf numFmtId="0" fontId="4" fillId="0" borderId="3" xfId="0" applyFont="1" applyFill="1" applyBorder="1" applyAlignment="1">
      <alignment horizontal="left" vertical="center" wrapText="1"/>
    </xf>
    <xf numFmtId="0" fontId="3" fillId="0" borderId="3" xfId="0" applyFont="1" applyFill="1" applyBorder="1" applyAlignment="1">
      <alignment wrapText="1"/>
    </xf>
    <xf numFmtId="0" fontId="48" fillId="0" borderId="0" xfId="0" applyFont="1" applyFill="1" applyAlignment="1">
      <alignment horizontal="center" vertical="center"/>
    </xf>
    <xf numFmtId="0" fontId="43" fillId="0" borderId="0" xfId="0" applyFont="1" applyFill="1" applyAlignment="1">
      <alignment horizontal="center" vertical="center"/>
    </xf>
    <xf numFmtId="0" fontId="49" fillId="0" borderId="0" xfId="0" applyFont="1" applyFill="1"/>
    <xf numFmtId="0" fontId="48" fillId="3" borderId="0" xfId="0" applyFont="1" applyFill="1" applyBorder="1" applyAlignment="1">
      <alignment horizontal="center" vertical="center" wrapText="1"/>
    </xf>
    <xf numFmtId="0" fontId="43" fillId="5" borderId="0" xfId="0" applyFont="1" applyFill="1" applyBorder="1" applyAlignment="1">
      <alignment horizontal="center" vertical="center" wrapText="1"/>
    </xf>
    <xf numFmtId="0" fontId="43" fillId="5" borderId="0" xfId="0" applyFont="1" applyFill="1" applyAlignment="1">
      <alignment horizontal="center" vertical="center"/>
    </xf>
    <xf numFmtId="41" fontId="43" fillId="5" borderId="0" xfId="0" applyNumberFormat="1" applyFont="1" applyFill="1" applyBorder="1" applyAlignment="1">
      <alignment horizontal="center" vertical="center" wrapText="1"/>
    </xf>
    <xf numFmtId="41" fontId="43" fillId="5" borderId="0" xfId="0" applyNumberFormat="1" applyFont="1" applyFill="1" applyBorder="1" applyAlignment="1">
      <alignment horizontal="left" vertical="center" wrapText="1"/>
    </xf>
    <xf numFmtId="0" fontId="48" fillId="3" borderId="0" xfId="0" applyFont="1" applyFill="1" applyAlignment="1">
      <alignment horizontal="center" vertical="center"/>
    </xf>
    <xf numFmtId="41" fontId="48" fillId="3" borderId="0" xfId="0" applyNumberFormat="1" applyFont="1" applyFill="1" applyBorder="1" applyAlignment="1">
      <alignment horizontal="center" vertical="center" wrapText="1"/>
    </xf>
    <xf numFmtId="41" fontId="43" fillId="7" borderId="0" xfId="0" applyNumberFormat="1" applyFont="1" applyFill="1" applyBorder="1" applyAlignment="1">
      <alignment horizontal="left" vertical="center" wrapText="1"/>
    </xf>
    <xf numFmtId="0" fontId="48" fillId="0" borderId="0" xfId="0" applyFont="1" applyFill="1" applyBorder="1" applyAlignment="1">
      <alignment horizontal="center" vertical="center"/>
    </xf>
    <xf numFmtId="0" fontId="43" fillId="0" borderId="0" xfId="0" applyFont="1" applyFill="1" applyBorder="1" applyAlignment="1">
      <alignment horizontal="center" vertical="center"/>
    </xf>
    <xf numFmtId="3" fontId="0" fillId="0" borderId="1" xfId="0"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1" fillId="0" borderId="1"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22" fillId="0" borderId="1" xfId="3" applyNumberFormat="1" applyFont="1" applyFill="1" applyBorder="1" applyAlignment="1" applyProtection="1">
      <alignment horizontal="center" vertical="center" wrapText="1"/>
      <protection locked="0"/>
    </xf>
    <xf numFmtId="0" fontId="22" fillId="0" borderId="2" xfId="3" applyNumberFormat="1" applyFont="1" applyFill="1" applyBorder="1" applyAlignment="1" applyProtection="1">
      <alignment horizontal="center" vertical="center" wrapText="1"/>
      <protection locked="0"/>
    </xf>
    <xf numFmtId="0" fontId="22" fillId="0" borderId="4" xfId="3" applyNumberFormat="1" applyFont="1" applyFill="1" applyBorder="1" applyAlignment="1" applyProtection="1">
      <alignment horizontal="center" vertical="center" wrapText="1"/>
      <protection locked="0"/>
    </xf>
    <xf numFmtId="43" fontId="3" fillId="0" borderId="2" xfId="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0" fontId="3" fillId="0" borderId="2" xfId="0" quotePrefix="1" applyFont="1" applyFill="1" applyBorder="1" applyAlignment="1">
      <alignment horizontal="left" vertical="top" wrapText="1"/>
    </xf>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12" fillId="0" borderId="1" xfId="3" applyNumberFormat="1" applyFont="1" applyFill="1" applyBorder="1" applyAlignment="1" applyProtection="1">
      <alignment horizontal="center" vertical="center" wrapText="1"/>
      <protection locked="0"/>
    </xf>
    <xf numFmtId="0" fontId="23" fillId="0" borderId="5" xfId="0" applyFont="1" applyFill="1" applyBorder="1" applyAlignment="1">
      <alignment horizontal="center" vertical="center" wrapText="1"/>
    </xf>
    <xf numFmtId="0" fontId="12" fillId="0" borderId="2" xfId="3" applyNumberFormat="1" applyFont="1" applyFill="1" applyBorder="1" applyAlignment="1" applyProtection="1">
      <alignment horizontal="center" vertical="center" wrapText="1"/>
      <protection locked="0"/>
    </xf>
    <xf numFmtId="0" fontId="12" fillId="0" borderId="4" xfId="3" applyNumberFormat="1" applyFont="1" applyFill="1" applyBorder="1" applyAlignment="1" applyProtection="1">
      <alignment horizontal="center" vertical="center" wrapText="1"/>
      <protection locked="0"/>
    </xf>
    <xf numFmtId="0" fontId="30" fillId="0" borderId="1" xfId="3"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41" fontId="27" fillId="0" borderId="0" xfId="0" applyNumberFormat="1" applyFont="1" applyFill="1" applyBorder="1" applyAlignment="1">
      <alignment horizontal="left" vertical="top" wrapText="1"/>
    </xf>
    <xf numFmtId="41" fontId="0" fillId="0" borderId="1" xfId="2" applyFont="1" applyFill="1" applyBorder="1" applyAlignment="1">
      <alignment horizontal="left" vertical="top" wrapText="1"/>
    </xf>
    <xf numFmtId="3" fontId="0" fillId="0" borderId="1" xfId="0" applyNumberFormat="1" applyFont="1" applyFill="1" applyBorder="1" applyAlignment="1">
      <alignment horizontal="left" vertical="top" wrapText="1"/>
    </xf>
    <xf numFmtId="0" fontId="12" fillId="0" borderId="0" xfId="0" applyFont="1" applyAlignment="1">
      <alignment horizontal="center"/>
    </xf>
    <xf numFmtId="0" fontId="25" fillId="0" borderId="0" xfId="0" applyFont="1" applyAlignment="1">
      <alignment horizontal="center"/>
    </xf>
    <xf numFmtId="0" fontId="3" fillId="0" borderId="8" xfId="5" applyNumberFormat="1" applyFont="1" applyBorder="1" applyAlignment="1" applyProtection="1">
      <alignment horizontal="left" vertical="top" wrapText="1"/>
      <protection locked="0"/>
    </xf>
    <xf numFmtId="10" fontId="3" fillId="0" borderId="9" xfId="0" quotePrefix="1" applyNumberFormat="1" applyFont="1" applyFill="1" applyBorder="1" applyAlignment="1">
      <alignment horizontal="center" vertical="top" wrapText="1"/>
    </xf>
    <xf numFmtId="0" fontId="3" fillId="0" borderId="3" xfId="0" quotePrefix="1" applyNumberFormat="1" applyFont="1" applyFill="1" applyBorder="1" applyAlignment="1">
      <alignment horizontal="center" vertical="top" wrapText="1"/>
    </xf>
    <xf numFmtId="10" fontId="3" fillId="0" borderId="1" xfId="0" quotePrefix="1" applyNumberFormat="1" applyFont="1" applyFill="1" applyBorder="1" applyAlignment="1">
      <alignment horizontal="center" vertical="top" wrapText="1"/>
    </xf>
    <xf numFmtId="0" fontId="3" fillId="0" borderId="1" xfId="0" quotePrefix="1" applyNumberFormat="1" applyFont="1" applyFill="1" applyBorder="1" applyAlignment="1">
      <alignment horizontal="center" vertical="top" wrapText="1"/>
    </xf>
    <xf numFmtId="9" fontId="3" fillId="0" borderId="1" xfId="0" quotePrefix="1" applyNumberFormat="1" applyFont="1" applyFill="1" applyBorder="1" applyAlignment="1">
      <alignment horizontal="center" vertical="top" wrapText="1"/>
    </xf>
    <xf numFmtId="0" fontId="3" fillId="0" borderId="1"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168" fontId="3" fillId="0" borderId="1" xfId="0" quotePrefix="1" applyNumberFormat="1" applyFont="1" applyFill="1" applyBorder="1" applyAlignment="1">
      <alignment horizontal="center" vertical="top" wrapText="1"/>
    </xf>
    <xf numFmtId="0" fontId="3" fillId="0" borderId="1" xfId="0" quotePrefix="1" applyNumberFormat="1" applyFont="1" applyFill="1" applyBorder="1" applyAlignment="1">
      <alignment horizontal="right" vertical="top" wrapText="1"/>
    </xf>
    <xf numFmtId="168" fontId="3" fillId="2" borderId="13" xfId="0" quotePrefix="1" applyNumberFormat="1" applyFont="1" applyFill="1" applyBorder="1" applyAlignment="1">
      <alignment horizontal="center" vertical="top" wrapText="1"/>
    </xf>
    <xf numFmtId="0" fontId="3" fillId="0" borderId="1" xfId="0" applyFont="1" applyFill="1" applyBorder="1" applyAlignment="1">
      <alignment horizontal="center" vertical="top"/>
    </xf>
    <xf numFmtId="169" fontId="3" fillId="0" borderId="1" xfId="0" applyNumberFormat="1" applyFont="1" applyFill="1" applyBorder="1" applyAlignment="1">
      <alignment horizontal="center" vertical="top"/>
    </xf>
    <xf numFmtId="0" fontId="3" fillId="0" borderId="1" xfId="0" applyNumberFormat="1" applyFont="1" applyFill="1" applyBorder="1" applyAlignment="1">
      <alignment horizontal="right" vertical="top" wrapText="1"/>
    </xf>
    <xf numFmtId="0" fontId="3" fillId="0" borderId="9" xfId="5" applyNumberFormat="1" applyFont="1" applyBorder="1" applyAlignment="1" applyProtection="1">
      <alignment horizontal="left" vertical="top" wrapText="1"/>
      <protection locked="0"/>
    </xf>
    <xf numFmtId="0" fontId="3" fillId="0" borderId="0" xfId="5" applyNumberFormat="1" applyFont="1" applyAlignment="1" applyProtection="1">
      <alignment horizontal="left" vertical="top" wrapText="1"/>
      <protection locked="0"/>
    </xf>
    <xf numFmtId="10" fontId="3" fillId="0" borderId="13" xfId="0" quotePrefix="1" applyNumberFormat="1" applyFont="1" applyBorder="1" applyAlignment="1">
      <alignment horizontal="center" vertical="top" wrapText="1"/>
    </xf>
    <xf numFmtId="0" fontId="3" fillId="0" borderId="13" xfId="0" applyFont="1" applyBorder="1" applyAlignment="1">
      <alignment horizontal="center" vertical="top" wrapText="1"/>
    </xf>
    <xf numFmtId="0" fontId="3" fillId="0" borderId="1" xfId="0" applyNumberFormat="1" applyFont="1" applyFill="1" applyBorder="1" applyAlignment="1">
      <alignment horizontal="center" vertical="top"/>
    </xf>
    <xf numFmtId="0" fontId="3" fillId="0" borderId="1" xfId="0" quotePrefix="1" applyNumberFormat="1" applyFont="1" applyFill="1" applyBorder="1" applyAlignment="1">
      <alignment horizontal="center" vertical="top"/>
    </xf>
    <xf numFmtId="0" fontId="3" fillId="0" borderId="13" xfId="0" applyNumberFormat="1" applyFont="1" applyFill="1" applyBorder="1" applyAlignment="1">
      <alignment horizontal="center" vertical="top"/>
    </xf>
    <xf numFmtId="0" fontId="3" fillId="0" borderId="1" xfId="0" quotePrefix="1" applyFont="1" applyFill="1" applyBorder="1" applyAlignment="1">
      <alignment horizontal="center" vertical="top"/>
    </xf>
    <xf numFmtId="0" fontId="3" fillId="0" borderId="1" xfId="0" quotePrefix="1" applyFont="1" applyFill="1" applyBorder="1" applyAlignment="1">
      <alignment horizontal="right" vertical="top"/>
    </xf>
    <xf numFmtId="0" fontId="3" fillId="0" borderId="1" xfId="0" applyFont="1" applyFill="1" applyBorder="1" applyAlignment="1">
      <alignment horizontal="right" vertical="top"/>
    </xf>
    <xf numFmtId="0" fontId="3" fillId="0" borderId="1" xfId="0" applyFont="1" applyFill="1" applyBorder="1" applyAlignment="1">
      <alignment horizontal="right" vertical="top" wrapText="1"/>
    </xf>
    <xf numFmtId="0" fontId="51" fillId="0" borderId="1" xfId="0" applyFont="1" applyFill="1" applyBorder="1" applyAlignment="1">
      <alignment horizontal="center" vertical="top"/>
    </xf>
    <xf numFmtId="0" fontId="3" fillId="0" borderId="2" xfId="0" applyNumberFormat="1" applyFont="1" applyBorder="1" applyAlignment="1">
      <alignment horizontal="center" vertical="top"/>
    </xf>
    <xf numFmtId="0" fontId="52" fillId="0" borderId="4" xfId="0"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3" fillId="0" borderId="3" xfId="0" quotePrefix="1" applyFont="1" applyFill="1" applyBorder="1" applyAlignment="1">
      <alignment horizontal="left" vertical="top" wrapText="1"/>
    </xf>
    <xf numFmtId="0" fontId="24" fillId="0" borderId="17" xfId="0" applyFont="1" applyFill="1" applyBorder="1" applyAlignment="1">
      <alignment horizontal="left" vertical="center" wrapText="1"/>
    </xf>
    <xf numFmtId="0" fontId="14" fillId="0" borderId="1" xfId="0" applyFont="1" applyFill="1" applyBorder="1" applyAlignment="1">
      <alignment horizontal="center" vertical="top" wrapText="1"/>
    </xf>
    <xf numFmtId="0" fontId="3" fillId="0" borderId="14" xfId="0" applyNumberFormat="1" applyFont="1" applyBorder="1" applyAlignment="1">
      <alignment horizontal="center" vertical="top"/>
    </xf>
    <xf numFmtId="0" fontId="3" fillId="0" borderId="15" xfId="0" quotePrefix="1" applyNumberFormat="1" applyFont="1" applyBorder="1" applyAlignment="1">
      <alignment horizontal="center" vertical="top"/>
    </xf>
    <xf numFmtId="0" fontId="3" fillId="0" borderId="16" xfId="0" applyNumberFormat="1" applyFont="1" applyBorder="1" applyAlignment="1">
      <alignment horizontal="center" vertical="top"/>
    </xf>
    <xf numFmtId="0" fontId="3" fillId="0" borderId="16" xfId="6" applyNumberFormat="1" applyFont="1" applyBorder="1" applyAlignment="1">
      <alignment horizontal="center" vertical="top"/>
    </xf>
    <xf numFmtId="0" fontId="3" fillId="0" borderId="17" xfId="0" quotePrefix="1" applyNumberFormat="1" applyFont="1" applyBorder="1" applyAlignment="1">
      <alignment horizontal="center" vertical="top"/>
    </xf>
    <xf numFmtId="20" fontId="3" fillId="0" borderId="1" xfId="0" quotePrefix="1" applyNumberFormat="1" applyFont="1" applyFill="1" applyBorder="1" applyAlignment="1">
      <alignment horizontal="center" vertical="top" wrapText="1"/>
    </xf>
    <xf numFmtId="0" fontId="12" fillId="0" borderId="0" xfId="0" applyFont="1" applyBorder="1" applyAlignment="1">
      <alignment horizontal="center"/>
    </xf>
    <xf numFmtId="0" fontId="25" fillId="0" borderId="0" xfId="0" applyFont="1" applyFill="1" applyBorder="1" applyAlignment="1">
      <alignment horizontal="center"/>
    </xf>
    <xf numFmtId="0" fontId="25" fillId="0" borderId="0" xfId="0" applyFont="1" applyBorder="1" applyAlignment="1">
      <alignment horizontal="center"/>
    </xf>
    <xf numFmtId="0" fontId="12" fillId="0" borderId="31" xfId="0" applyFont="1" applyBorder="1" applyAlignment="1">
      <alignment horizontal="left" vertical="center"/>
    </xf>
    <xf numFmtId="0" fontId="12" fillId="0" borderId="32" xfId="0" applyNumberFormat="1" applyFont="1" applyBorder="1" applyAlignment="1">
      <alignment horizontal="left" vertical="center"/>
    </xf>
    <xf numFmtId="0" fontId="4" fillId="4" borderId="1" xfId="0" applyFont="1" applyFill="1" applyBorder="1" applyAlignment="1">
      <alignment horizontal="left" vertical="center" wrapText="1"/>
    </xf>
    <xf numFmtId="0" fontId="54" fillId="0" borderId="0" xfId="0" applyFont="1" applyFill="1"/>
    <xf numFmtId="0" fontId="54" fillId="5" borderId="0" xfId="0" applyFont="1" applyFill="1" applyBorder="1" applyAlignment="1">
      <alignment horizontal="left" vertical="top" wrapText="1"/>
    </xf>
    <xf numFmtId="0" fontId="54" fillId="5" borderId="0" xfId="0" applyFont="1" applyFill="1" applyBorder="1" applyAlignment="1">
      <alignment horizontal="left" vertical="center" wrapText="1"/>
    </xf>
    <xf numFmtId="0" fontId="54" fillId="5" borderId="0" xfId="0" applyFont="1" applyFill="1" applyBorder="1" applyAlignment="1">
      <alignment horizontal="left" wrapText="1"/>
    </xf>
    <xf numFmtId="0" fontId="54" fillId="5" borderId="0" xfId="0" applyFont="1" applyFill="1"/>
    <xf numFmtId="41" fontId="36" fillId="9" borderId="0" xfId="0" applyNumberFormat="1" applyFont="1" applyFill="1" applyBorder="1" applyAlignment="1">
      <alignment horizontal="left" vertical="top" wrapText="1"/>
    </xf>
    <xf numFmtId="41" fontId="0" fillId="0" borderId="1" xfId="2" applyFont="1" applyFill="1" applyBorder="1" applyAlignment="1">
      <alignment horizontal="left" vertical="top" wrapText="1"/>
    </xf>
    <xf numFmtId="0" fontId="43" fillId="2" borderId="0" xfId="0" applyFont="1" applyFill="1"/>
    <xf numFmtId="0" fontId="43" fillId="2" borderId="0" xfId="0" applyFont="1" applyFill="1" applyBorder="1" applyAlignment="1">
      <alignment horizontal="left" vertical="top" wrapText="1"/>
    </xf>
    <xf numFmtId="0" fontId="43" fillId="2" borderId="0" xfId="0" applyFont="1" applyFill="1" applyBorder="1" applyAlignment="1">
      <alignment horizontal="left" vertical="center" wrapText="1"/>
    </xf>
    <xf numFmtId="41" fontId="43" fillId="2" borderId="0" xfId="0" applyNumberFormat="1" applyFont="1" applyFill="1" applyBorder="1" applyAlignment="1">
      <alignment horizontal="left" vertical="center" wrapText="1"/>
    </xf>
    <xf numFmtId="0" fontId="43" fillId="2" borderId="0" xfId="0" applyFont="1" applyFill="1" applyBorder="1" applyAlignment="1">
      <alignment horizontal="left" wrapText="1"/>
    </xf>
    <xf numFmtId="41" fontId="0" fillId="0" borderId="7" xfId="0" applyNumberFormat="1" applyFont="1" applyFill="1" applyBorder="1" applyAlignment="1">
      <alignment horizontal="left" vertical="top" wrapText="1"/>
    </xf>
    <xf numFmtId="41" fontId="0" fillId="0" borderId="1" xfId="1" applyNumberFormat="1" applyFont="1" applyFill="1" applyBorder="1" applyAlignment="1">
      <alignment horizontal="left" vertical="top" wrapText="1"/>
    </xf>
    <xf numFmtId="41" fontId="0" fillId="0" borderId="1" xfId="2"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2" quotePrefix="1" applyFont="1" applyFill="1" applyBorder="1" applyAlignment="1">
      <alignment horizontal="left" vertical="top" wrapText="1"/>
    </xf>
    <xf numFmtId="41" fontId="0" fillId="0" borderId="1" xfId="2" quotePrefix="1" applyNumberFormat="1" applyFont="1" applyFill="1" applyBorder="1" applyAlignment="1">
      <alignment horizontal="left" vertical="top" wrapText="1"/>
    </xf>
    <xf numFmtId="41" fontId="27" fillId="0" borderId="1" xfId="2"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0" fillId="0" borderId="1" xfId="0" applyNumberFormat="1" applyFont="1" applyFill="1" applyBorder="1" applyAlignment="1">
      <alignment horizontal="left" vertical="top" wrapText="1"/>
    </xf>
    <xf numFmtId="3" fontId="20" fillId="0" borderId="1" xfId="0" applyNumberFormat="1" applyFont="1" applyFill="1" applyBorder="1" applyAlignment="1">
      <alignment horizontal="center" vertical="center" wrapText="1"/>
    </xf>
    <xf numFmtId="0" fontId="27" fillId="0" borderId="0" xfId="0" applyFont="1" applyBorder="1" applyAlignment="1">
      <alignment horizontal="left" vertical="top" wrapText="1"/>
    </xf>
    <xf numFmtId="37" fontId="0" fillId="5" borderId="1" xfId="0" applyNumberFormat="1" applyFont="1" applyFill="1" applyBorder="1" applyAlignment="1">
      <alignment horizontal="left" vertical="top" wrapText="1"/>
    </xf>
    <xf numFmtId="41" fontId="0" fillId="5" borderId="1" xfId="12" quotePrefix="1" applyNumberFormat="1" applyFont="1" applyFill="1" applyBorder="1" applyAlignment="1" applyProtection="1">
      <alignment horizontal="left" vertical="top" wrapText="1"/>
      <protection locked="0"/>
    </xf>
    <xf numFmtId="9" fontId="27" fillId="5" borderId="1" xfId="0" applyNumberFormat="1" applyFont="1" applyFill="1" applyBorder="1" applyAlignment="1">
      <alignment horizontal="left" vertical="top" wrapText="1"/>
    </xf>
    <xf numFmtId="41" fontId="0" fillId="5" borderId="1" xfId="12" applyNumberFormat="1" applyFont="1" applyFill="1" applyBorder="1" applyAlignment="1" applyProtection="1">
      <alignment horizontal="left" vertical="top" wrapText="1"/>
      <protection locked="0"/>
    </xf>
    <xf numFmtId="0" fontId="36" fillId="0" borderId="0" xfId="0" applyFont="1" applyFill="1"/>
    <xf numFmtId="0" fontId="36" fillId="9" borderId="0" xfId="0" applyFont="1" applyFill="1" applyAlignment="1">
      <alignment horizontal="left" vertical="top" wrapText="1"/>
    </xf>
    <xf numFmtId="0" fontId="55" fillId="9" borderId="0" xfId="0" applyFont="1" applyFill="1" applyAlignment="1">
      <alignment horizontal="left" vertical="top" wrapText="1"/>
    </xf>
    <xf numFmtId="0" fontId="36" fillId="5" borderId="0" xfId="0" applyFont="1" applyFill="1" applyBorder="1" applyAlignment="1">
      <alignment horizontal="left" vertical="top" wrapText="1"/>
    </xf>
    <xf numFmtId="0" fontId="36" fillId="5" borderId="0" xfId="0" applyFont="1" applyFill="1" applyAlignment="1">
      <alignment horizontal="left" vertical="top" wrapText="1"/>
    </xf>
    <xf numFmtId="0" fontId="36" fillId="5" borderId="0" xfId="0" applyFont="1" applyFill="1" applyAlignment="1">
      <alignment horizontal="left" wrapText="1"/>
    </xf>
    <xf numFmtId="41" fontId="36" fillId="8" borderId="0" xfId="0" applyNumberFormat="1" applyFont="1" applyFill="1" applyAlignment="1">
      <alignment horizontal="left" wrapText="1"/>
    </xf>
    <xf numFmtId="0" fontId="36" fillId="5" borderId="0" xfId="0" applyFont="1" applyFill="1"/>
    <xf numFmtId="49" fontId="0" fillId="0" borderId="7" xfId="0" applyNumberFormat="1" applyFill="1" applyBorder="1" applyAlignment="1">
      <alignment horizontal="left" vertical="top" wrapText="1"/>
    </xf>
    <xf numFmtId="0" fontId="54" fillId="5" borderId="0" xfId="0" applyFont="1" applyFill="1" applyBorder="1" applyAlignment="1">
      <alignment horizontal="right" vertical="center" wrapText="1"/>
    </xf>
    <xf numFmtId="166" fontId="54" fillId="5" borderId="0" xfId="1" applyNumberFormat="1" applyFont="1" applyFill="1" applyBorder="1" applyAlignment="1">
      <alignment horizontal="right" vertical="center" wrapText="1"/>
    </xf>
    <xf numFmtId="166" fontId="54" fillId="5" borderId="0" xfId="0" applyNumberFormat="1" applyFont="1" applyFill="1" applyBorder="1" applyAlignment="1">
      <alignment horizontal="right" vertical="center" wrapText="1"/>
    </xf>
    <xf numFmtId="3" fontId="0" fillId="0" borderId="1" xfId="0" applyNumberFormat="1" applyFill="1" applyBorder="1" applyAlignment="1">
      <alignment vertical="top"/>
    </xf>
    <xf numFmtId="0" fontId="55" fillId="5" borderId="0" xfId="0" applyFont="1" applyFill="1" applyAlignment="1">
      <alignment horizontal="left" vertical="top" wrapText="1"/>
    </xf>
    <xf numFmtId="0" fontId="55" fillId="5" borderId="20" xfId="0" applyFont="1" applyFill="1" applyBorder="1" applyAlignment="1">
      <alignment horizontal="left" vertical="top" wrapText="1"/>
    </xf>
    <xf numFmtId="0" fontId="55" fillId="5" borderId="0" xfId="0" applyFont="1" applyFill="1" applyBorder="1" applyAlignment="1">
      <alignment horizontal="left" vertical="top" wrapText="1"/>
    </xf>
    <xf numFmtId="0" fontId="55" fillId="5" borderId="9" xfId="0" applyFont="1" applyFill="1" applyBorder="1" applyAlignment="1">
      <alignment horizontal="left" vertical="top" wrapText="1"/>
    </xf>
    <xf numFmtId="0" fontId="56" fillId="5" borderId="0" xfId="0" applyFont="1" applyFill="1" applyAlignment="1">
      <alignment horizontal="left" vertical="top" wrapText="1"/>
    </xf>
    <xf numFmtId="0" fontId="56" fillId="5" borderId="20" xfId="0" applyFont="1" applyFill="1" applyBorder="1" applyAlignment="1">
      <alignment horizontal="left" vertical="top" wrapText="1"/>
    </xf>
    <xf numFmtId="0" fontId="56" fillId="5" borderId="0" xfId="0" applyFont="1" applyFill="1" applyBorder="1" applyAlignment="1">
      <alignment horizontal="left" vertical="top" wrapText="1"/>
    </xf>
    <xf numFmtId="0" fontId="56" fillId="5" borderId="9" xfId="0" applyFont="1" applyFill="1" applyBorder="1" applyAlignment="1">
      <alignment horizontal="left" vertical="top" wrapText="1"/>
    </xf>
    <xf numFmtId="166" fontId="56" fillId="5" borderId="0" xfId="1" applyNumberFormat="1" applyFont="1" applyFill="1" applyAlignment="1">
      <alignment horizontal="left" vertical="top" wrapText="1"/>
    </xf>
    <xf numFmtId="166" fontId="55" fillId="5" borderId="0" xfId="18" applyNumberFormat="1" applyFont="1" applyFill="1" applyAlignment="1">
      <alignment horizontal="left" vertical="top" wrapText="1"/>
    </xf>
    <xf numFmtId="166" fontId="54" fillId="0" borderId="0" xfId="0" applyNumberFormat="1" applyFont="1" applyFill="1"/>
    <xf numFmtId="166" fontId="43" fillId="0" borderId="0" xfId="0" applyNumberFormat="1" applyFont="1" applyFill="1"/>
    <xf numFmtId="0" fontId="49" fillId="7" borderId="0" xfId="0" applyFont="1" applyFill="1"/>
    <xf numFmtId="0" fontId="49" fillId="7" borderId="0" xfId="0" applyFont="1" applyFill="1" applyBorder="1" applyAlignment="1">
      <alignment horizontal="left" vertical="top" wrapText="1"/>
    </xf>
    <xf numFmtId="0" fontId="49" fillId="7" borderId="0" xfId="0" applyFont="1" applyFill="1" applyBorder="1" applyAlignment="1">
      <alignment horizontal="left" vertical="center" wrapText="1"/>
    </xf>
    <xf numFmtId="41" fontId="50" fillId="7" borderId="0" xfId="0" applyNumberFormat="1" applyFont="1" applyFill="1"/>
    <xf numFmtId="41" fontId="49" fillId="7" borderId="0" xfId="0" applyNumberFormat="1" applyFont="1" applyFill="1" applyBorder="1" applyAlignment="1">
      <alignment horizontal="left" vertical="center" wrapText="1"/>
    </xf>
    <xf numFmtId="0" fontId="49" fillId="7" borderId="0" xfId="0" applyFont="1" applyFill="1" applyBorder="1" applyAlignment="1">
      <alignment horizontal="left" wrapText="1"/>
    </xf>
    <xf numFmtId="0" fontId="49" fillId="11" borderId="0" xfId="0" applyFont="1" applyFill="1"/>
    <xf numFmtId="0" fontId="49" fillId="11" borderId="0" xfId="0" applyFont="1" applyFill="1" applyBorder="1" applyAlignment="1">
      <alignment horizontal="left" vertical="top" wrapText="1"/>
    </xf>
    <xf numFmtId="0" fontId="49" fillId="11" borderId="0" xfId="0" applyFont="1" applyFill="1" applyBorder="1" applyAlignment="1">
      <alignment horizontal="left" vertical="center" wrapText="1"/>
    </xf>
    <xf numFmtId="0" fontId="43" fillId="11" borderId="0" xfId="0" applyFont="1" applyFill="1" applyBorder="1" applyAlignment="1">
      <alignment horizontal="left" vertical="center" wrapText="1"/>
    </xf>
    <xf numFmtId="41" fontId="43" fillId="11" borderId="0" xfId="0" applyNumberFormat="1" applyFont="1" applyFill="1" applyBorder="1" applyAlignment="1">
      <alignment horizontal="left" vertical="center" wrapText="1"/>
    </xf>
    <xf numFmtId="41" fontId="27" fillId="11" borderId="0" xfId="0" applyNumberFormat="1" applyFont="1" applyFill="1" applyBorder="1" applyAlignment="1">
      <alignment horizontal="left" vertical="top" wrapText="1"/>
    </xf>
    <xf numFmtId="0" fontId="49" fillId="11" borderId="0" xfId="0" applyFont="1" applyFill="1" applyBorder="1" applyAlignment="1">
      <alignment horizontal="left" wrapText="1"/>
    </xf>
    <xf numFmtId="0" fontId="43" fillId="9" borderId="0" xfId="0" applyFont="1" applyFill="1" applyBorder="1" applyAlignment="1">
      <alignment horizontal="left" vertical="top" wrapText="1"/>
    </xf>
    <xf numFmtId="41" fontId="27" fillId="0" borderId="0" xfId="0" applyNumberFormat="1" applyFont="1" applyFill="1" applyAlignment="1">
      <alignment horizontal="left" wrapText="1"/>
    </xf>
    <xf numFmtId="41" fontId="0" fillId="0" borderId="1" xfId="1"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0" fillId="0" borderId="1" xfId="0" applyNumberFormat="1" applyFont="1" applyFill="1" applyBorder="1" applyAlignment="1">
      <alignment horizontal="left" vertical="top" wrapText="1"/>
    </xf>
    <xf numFmtId="0" fontId="3" fillId="0" borderId="4" xfId="0" applyFont="1" applyFill="1" applyBorder="1" applyAlignment="1">
      <alignment horizontal="left" vertical="top" wrapText="1"/>
    </xf>
    <xf numFmtId="0" fontId="13" fillId="0" borderId="0" xfId="0" applyFont="1" applyFill="1" applyAlignment="1">
      <alignment horizontal="center" vertical="center" wrapText="1"/>
    </xf>
    <xf numFmtId="0" fontId="59" fillId="0" borderId="0" xfId="19" applyFont="1" applyAlignment="1">
      <alignment horizontal="center" vertical="center"/>
    </xf>
    <xf numFmtId="0" fontId="58" fillId="0" borderId="0" xfId="19" applyNumberFormat="1" applyFill="1" applyBorder="1" applyAlignment="1" applyProtection="1"/>
    <xf numFmtId="49" fontId="0" fillId="0" borderId="0" xfId="20" applyNumberFormat="1" applyFont="1" applyFill="1" applyBorder="1" applyAlignment="1" applyProtection="1">
      <alignment horizontal="center"/>
    </xf>
    <xf numFmtId="49" fontId="58" fillId="0" borderId="0" xfId="19" applyNumberFormat="1" applyFill="1" applyBorder="1" applyAlignment="1" applyProtection="1">
      <alignment horizontal="center"/>
    </xf>
    <xf numFmtId="166" fontId="0" fillId="0" borderId="0" xfId="20" applyNumberFormat="1" applyFont="1" applyFill="1" applyBorder="1" applyAlignment="1" applyProtection="1"/>
    <xf numFmtId="0" fontId="61" fillId="0" borderId="0" xfId="19" applyFont="1" applyAlignment="1">
      <alignment vertical="center"/>
    </xf>
    <xf numFmtId="0" fontId="62" fillId="0" borderId="0" xfId="19" applyFont="1" applyAlignment="1">
      <alignment vertical="center"/>
    </xf>
    <xf numFmtId="166" fontId="62" fillId="12" borderId="0" xfId="20" applyNumberFormat="1" applyFont="1" applyFill="1" applyAlignment="1">
      <alignment horizontal="right" vertical="center"/>
    </xf>
    <xf numFmtId="166" fontId="62" fillId="0" borderId="0" xfId="20" applyNumberFormat="1" applyFont="1" applyAlignment="1">
      <alignment horizontal="right" vertical="center"/>
    </xf>
    <xf numFmtId="0" fontId="58" fillId="13" borderId="0" xfId="19" applyNumberFormat="1" applyFont="1" applyFill="1" applyBorder="1" applyAlignment="1" applyProtection="1"/>
    <xf numFmtId="166" fontId="0" fillId="13" borderId="0" xfId="20" applyNumberFormat="1" applyFont="1" applyFill="1" applyBorder="1" applyAlignment="1" applyProtection="1"/>
    <xf numFmtId="0" fontId="63" fillId="0" borderId="0" xfId="19" applyFont="1" applyFill="1" applyBorder="1" applyAlignment="1">
      <alignment vertical="center"/>
    </xf>
    <xf numFmtId="166" fontId="63" fillId="0" borderId="0" xfId="20" applyNumberFormat="1" applyFont="1" applyFill="1" applyBorder="1" applyAlignment="1">
      <alignment horizontal="right" vertical="center"/>
    </xf>
    <xf numFmtId="0" fontId="63" fillId="0" borderId="0" xfId="19" applyFont="1" applyFill="1" applyAlignment="1">
      <alignment vertical="center"/>
    </xf>
    <xf numFmtId="166" fontId="63" fillId="0" borderId="0" xfId="20" applyNumberFormat="1" applyFont="1" applyFill="1" applyAlignment="1">
      <alignment vertical="center"/>
    </xf>
    <xf numFmtId="0" fontId="58" fillId="0" borderId="0" xfId="19" applyNumberFormat="1" applyFont="1" applyFill="1" applyBorder="1" applyAlignment="1" applyProtection="1"/>
    <xf numFmtId="166" fontId="62" fillId="13" borderId="0" xfId="20" applyNumberFormat="1" applyFont="1" applyFill="1" applyAlignment="1">
      <alignment horizontal="right" vertical="center"/>
    </xf>
    <xf numFmtId="0" fontId="62" fillId="13" borderId="0" xfId="19" applyFont="1" applyFill="1" applyAlignment="1">
      <alignment vertical="center"/>
    </xf>
    <xf numFmtId="43" fontId="62" fillId="13" borderId="0" xfId="20" applyFont="1" applyFill="1" applyAlignment="1">
      <alignment vertical="center"/>
    </xf>
    <xf numFmtId="0" fontId="62" fillId="0" borderId="0" xfId="19" applyFont="1" applyFill="1" applyAlignment="1">
      <alignment vertical="center"/>
    </xf>
    <xf numFmtId="166" fontId="62" fillId="0" borderId="0" xfId="20" applyNumberFormat="1" applyFont="1" applyFill="1" applyAlignment="1">
      <alignment horizontal="right" vertical="center"/>
    </xf>
    <xf numFmtId="166" fontId="62" fillId="0" borderId="0" xfId="20" applyNumberFormat="1" applyFont="1" applyFill="1" applyAlignment="1">
      <alignment vertical="center"/>
    </xf>
    <xf numFmtId="0" fontId="64" fillId="0" borderId="0" xfId="19" applyFont="1" applyFill="1" applyBorder="1" applyAlignment="1">
      <alignment vertical="center"/>
    </xf>
    <xf numFmtId="166" fontId="62" fillId="0" borderId="0" xfId="20" applyNumberFormat="1" applyFont="1" applyAlignment="1">
      <alignment vertical="center"/>
    </xf>
    <xf numFmtId="0" fontId="62" fillId="13" borderId="0" xfId="19" applyNumberFormat="1" applyFont="1" applyFill="1" applyBorder="1" applyAlignment="1" applyProtection="1">
      <alignment vertical="center"/>
    </xf>
    <xf numFmtId="166" fontId="62" fillId="13" borderId="0" xfId="20" applyNumberFormat="1" applyFont="1" applyFill="1" applyBorder="1" applyAlignment="1" applyProtection="1">
      <alignment vertical="center"/>
    </xf>
    <xf numFmtId="166" fontId="58" fillId="0" borderId="0" xfId="19" applyNumberFormat="1" applyFill="1" applyBorder="1" applyAlignment="1" applyProtection="1"/>
    <xf numFmtId="166" fontId="62" fillId="13" borderId="0" xfId="20" applyNumberFormat="1" applyFont="1" applyFill="1" applyAlignment="1">
      <alignment vertical="center"/>
    </xf>
    <xf numFmtId="43" fontId="62" fillId="13" borderId="0" xfId="20" applyFont="1" applyFill="1" applyBorder="1" applyAlignment="1" applyProtection="1">
      <alignment vertical="center"/>
    </xf>
    <xf numFmtId="0" fontId="58" fillId="13" borderId="0" xfId="19" applyNumberFormat="1" applyFill="1" applyBorder="1" applyAlignment="1" applyProtection="1"/>
    <xf numFmtId="41" fontId="0" fillId="13" borderId="0" xfId="21" applyFont="1" applyFill="1" applyBorder="1" applyAlignment="1" applyProtection="1"/>
    <xf numFmtId="41" fontId="0" fillId="0" borderId="0" xfId="21" applyFont="1" applyFill="1" applyBorder="1" applyAlignment="1" applyProtection="1"/>
    <xf numFmtId="0" fontId="64" fillId="0" borderId="0" xfId="19" applyFont="1" applyFill="1" applyAlignment="1">
      <alignment vertical="center"/>
    </xf>
    <xf numFmtId="0" fontId="5" fillId="0" borderId="0" xfId="19" applyNumberFormat="1" applyFont="1" applyFill="1" applyBorder="1" applyAlignment="1" applyProtection="1"/>
    <xf numFmtId="166" fontId="65" fillId="0" borderId="0" xfId="20" applyNumberFormat="1" applyFont="1" applyFill="1" applyAlignment="1">
      <alignment vertical="center"/>
    </xf>
    <xf numFmtId="3" fontId="58" fillId="0" borderId="0" xfId="19" applyNumberFormat="1" applyFill="1" applyBorder="1" applyAlignment="1" applyProtection="1"/>
    <xf numFmtId="41" fontId="58" fillId="0" borderId="0" xfId="19" applyNumberFormat="1" applyFill="1" applyBorder="1" applyAlignment="1" applyProtection="1"/>
    <xf numFmtId="0" fontId="66" fillId="0" borderId="0" xfId="19" applyFont="1" applyFill="1" applyBorder="1" applyAlignment="1">
      <alignment vertical="center"/>
    </xf>
    <xf numFmtId="166" fontId="61" fillId="0" borderId="0" xfId="20" applyNumberFormat="1" applyFont="1" applyAlignment="1">
      <alignment horizontal="right" vertical="center"/>
    </xf>
    <xf numFmtId="0" fontId="48" fillId="7" borderId="0" xfId="0" applyFont="1" applyFill="1"/>
    <xf numFmtId="0" fontId="48" fillId="7" borderId="0" xfId="0" applyFont="1" applyFill="1" applyBorder="1" applyAlignment="1">
      <alignment horizontal="left" vertical="center" wrapText="1"/>
    </xf>
    <xf numFmtId="0" fontId="63" fillId="0" borderId="0" xfId="19" applyNumberFormat="1" applyFont="1" applyFill="1" applyBorder="1" applyAlignment="1" applyProtection="1">
      <alignment vertical="center"/>
    </xf>
    <xf numFmtId="41" fontId="0" fillId="0" borderId="0" xfId="20" applyNumberFormat="1" applyFont="1" applyFill="1" applyBorder="1" applyAlignment="1" applyProtection="1"/>
    <xf numFmtId="41" fontId="58" fillId="5" borderId="0" xfId="19" applyNumberFormat="1" applyFill="1" applyBorder="1" applyAlignment="1" applyProtection="1"/>
    <xf numFmtId="0" fontId="67" fillId="4" borderId="0" xfId="19" applyFont="1" applyFill="1" applyAlignment="1">
      <alignment vertical="center"/>
    </xf>
    <xf numFmtId="0" fontId="65" fillId="4" borderId="0" xfId="19" applyFont="1" applyFill="1" applyAlignment="1">
      <alignment vertical="center"/>
    </xf>
    <xf numFmtId="166" fontId="65" fillId="4" borderId="0" xfId="20" applyNumberFormat="1" applyFont="1" applyFill="1" applyAlignment="1">
      <alignment horizontal="right" vertical="center"/>
    </xf>
    <xf numFmtId="0" fontId="5" fillId="4" borderId="0" xfId="19" applyNumberFormat="1" applyFont="1" applyFill="1" applyBorder="1" applyAlignment="1" applyProtection="1"/>
    <xf numFmtId="0" fontId="48" fillId="0" borderId="0" xfId="0" applyFont="1" applyFill="1"/>
    <xf numFmtId="166" fontId="27" fillId="0" borderId="0" xfId="0" applyNumberFormat="1" applyFont="1" applyFill="1"/>
    <xf numFmtId="0" fontId="48" fillId="0" borderId="0" xfId="0" applyFont="1" applyFill="1" applyBorder="1" applyAlignment="1">
      <alignment horizontal="left" vertical="top" wrapText="1"/>
    </xf>
    <xf numFmtId="41" fontId="27" fillId="0" borderId="0" xfId="0" applyNumberFormat="1"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left" wrapText="1"/>
    </xf>
    <xf numFmtId="0" fontId="43" fillId="14" borderId="0" xfId="0" applyFont="1" applyFill="1"/>
    <xf numFmtId="0" fontId="48" fillId="14" borderId="0" xfId="0" applyFont="1" applyFill="1" applyBorder="1" applyAlignment="1">
      <alignment horizontal="left" vertical="top" wrapText="1"/>
    </xf>
    <xf numFmtId="41" fontId="48" fillId="14" borderId="0" xfId="0" applyNumberFormat="1" applyFont="1" applyFill="1" applyBorder="1" applyAlignment="1">
      <alignment horizontal="left" vertical="top" wrapText="1"/>
    </xf>
    <xf numFmtId="0" fontId="43" fillId="14" borderId="0" xfId="0" applyFont="1" applyFill="1" applyBorder="1" applyAlignment="1">
      <alignment horizontal="left" vertical="center" wrapText="1"/>
    </xf>
    <xf numFmtId="41" fontId="27" fillId="14" borderId="0" xfId="0" applyNumberFormat="1" applyFont="1" applyFill="1" applyBorder="1" applyAlignment="1">
      <alignment horizontal="left" vertical="center" wrapText="1"/>
    </xf>
    <xf numFmtId="0" fontId="27" fillId="14" borderId="0" xfId="0" applyFont="1" applyFill="1" applyBorder="1" applyAlignment="1">
      <alignment horizontal="left" vertical="center" wrapText="1"/>
    </xf>
    <xf numFmtId="0" fontId="27" fillId="14" borderId="0" xfId="0" applyFont="1" applyFill="1" applyBorder="1" applyAlignment="1">
      <alignment horizontal="left" wrapText="1"/>
    </xf>
    <xf numFmtId="0" fontId="48" fillId="0" borderId="0" xfId="0" applyFont="1" applyFill="1" applyBorder="1" applyAlignment="1">
      <alignment horizontal="left" vertical="center" wrapText="1"/>
    </xf>
    <xf numFmtId="0" fontId="48" fillId="14" borderId="0" xfId="0" applyFont="1" applyFill="1"/>
    <xf numFmtId="0" fontId="48" fillId="14" borderId="0" xfId="0" applyFont="1" applyFill="1" applyBorder="1" applyAlignment="1">
      <alignment horizontal="left" vertical="center" wrapText="1"/>
    </xf>
    <xf numFmtId="41" fontId="27" fillId="7" borderId="0" xfId="0" applyNumberFormat="1" applyFont="1" applyFill="1" applyBorder="1" applyAlignment="1">
      <alignment horizontal="left" vertical="center" wrapText="1"/>
    </xf>
    <xf numFmtId="0" fontId="27" fillId="7" borderId="0" xfId="0" applyFont="1" applyFill="1" applyBorder="1" applyAlignment="1">
      <alignment horizontal="left" vertical="center" wrapText="1"/>
    </xf>
    <xf numFmtId="0" fontId="27" fillId="7" borderId="0" xfId="0" applyFont="1" applyFill="1" applyBorder="1" applyAlignment="1">
      <alignment horizontal="left" wrapText="1"/>
    </xf>
    <xf numFmtId="0" fontId="27" fillId="0" borderId="0" xfId="0" applyNumberFormat="1" applyFont="1" applyFill="1" applyBorder="1" applyAlignment="1">
      <alignment horizontal="left" vertical="top" wrapText="1"/>
    </xf>
    <xf numFmtId="0" fontId="27" fillId="0" borderId="0"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68" fillId="0" borderId="0" xfId="0" applyFont="1" applyFill="1"/>
    <xf numFmtId="0" fontId="68" fillId="5" borderId="0" xfId="0" applyFont="1" applyFill="1" applyBorder="1" applyAlignment="1">
      <alignment horizontal="left" vertical="top" wrapText="1"/>
    </xf>
    <xf numFmtId="0" fontId="68" fillId="5" borderId="0" xfId="0" applyFont="1" applyFill="1" applyBorder="1" applyAlignment="1">
      <alignment horizontal="left" vertical="center" wrapText="1"/>
    </xf>
    <xf numFmtId="0" fontId="68" fillId="5" borderId="0" xfId="0" applyNumberFormat="1" applyFont="1" applyFill="1" applyBorder="1" applyAlignment="1">
      <alignment horizontal="right" vertical="center" wrapText="1"/>
    </xf>
    <xf numFmtId="0" fontId="68" fillId="5" borderId="0" xfId="0" applyFont="1" applyFill="1" applyBorder="1" applyAlignment="1">
      <alignment horizontal="left" wrapText="1"/>
    </xf>
    <xf numFmtId="166" fontId="68" fillId="0" borderId="0" xfId="0" applyNumberFormat="1" applyFont="1" applyFill="1"/>
    <xf numFmtId="0" fontId="68" fillId="5" borderId="0" xfId="0" applyFont="1" applyFill="1"/>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41" fontId="27" fillId="0" borderId="1" xfId="0" applyNumberFormat="1"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1" fillId="0" borderId="1"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3" fillId="0" borderId="2" xfId="0" quotePrefix="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43" fontId="3" fillId="0" borderId="2" xfId="1" applyFont="1" applyFill="1" applyBorder="1" applyAlignment="1">
      <alignment horizontal="left" vertical="top" wrapText="1"/>
    </xf>
    <xf numFmtId="0" fontId="2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0" fontId="33" fillId="0" borderId="0" xfId="0" applyFont="1" applyFill="1" applyBorder="1" applyAlignment="1">
      <alignment horizontal="left" vertical="top" wrapText="1"/>
    </xf>
    <xf numFmtId="0" fontId="9" fillId="0" borderId="1" xfId="0" applyFont="1" applyFill="1" applyBorder="1" applyAlignment="1">
      <alignment horizontal="center" vertical="center" wrapText="1"/>
    </xf>
    <xf numFmtId="0" fontId="8" fillId="0" borderId="0" xfId="0" applyFont="1" applyFill="1" applyAlignment="1">
      <alignment vertical="top" wrapText="1"/>
    </xf>
    <xf numFmtId="0" fontId="8"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vertical="top" wrapText="1"/>
    </xf>
    <xf numFmtId="0" fontId="8" fillId="0" borderId="4" xfId="0" applyFont="1" applyFill="1" applyBorder="1" applyAlignment="1">
      <alignment vertical="top"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33" fillId="0" borderId="1" xfId="0" applyFont="1" applyFill="1" applyBorder="1" applyAlignment="1">
      <alignment horizontal="center" vertical="center" wrapText="1"/>
    </xf>
    <xf numFmtId="0" fontId="9" fillId="0" borderId="2" xfId="0" applyFont="1" applyFill="1" applyBorder="1" applyAlignment="1">
      <alignment vertical="center" wrapText="1"/>
    </xf>
    <xf numFmtId="0" fontId="69" fillId="7" borderId="1" xfId="0" applyFont="1" applyFill="1" applyBorder="1" applyAlignment="1">
      <alignment horizontal="center" vertical="center" wrapText="1"/>
    </xf>
    <xf numFmtId="0" fontId="69" fillId="7" borderId="0" xfId="0" applyFont="1" applyFill="1" applyAlignment="1">
      <alignment horizontal="center" vertical="center" wrapText="1"/>
    </xf>
    <xf numFmtId="0" fontId="69" fillId="7" borderId="2" xfId="0" applyFont="1" applyFill="1" applyBorder="1" applyAlignment="1">
      <alignment horizontal="center" vertical="center" wrapText="1"/>
    </xf>
    <xf numFmtId="0" fontId="35" fillId="5" borderId="0" xfId="0" applyFont="1" applyFill="1" applyAlignment="1">
      <alignment horizontal="left" vertical="top" wrapText="1"/>
    </xf>
    <xf numFmtId="0" fontId="35" fillId="5" borderId="1" xfId="0" applyFont="1" applyFill="1" applyBorder="1" applyAlignment="1">
      <alignment horizontal="left" vertical="top" wrapText="1"/>
    </xf>
    <xf numFmtId="0" fontId="35" fillId="5" borderId="4" xfId="0" applyFont="1" applyFill="1" applyBorder="1" applyAlignment="1">
      <alignment horizontal="left" vertical="top" wrapText="1"/>
    </xf>
    <xf numFmtId="0" fontId="34" fillId="7" borderId="7" xfId="0" applyFont="1" applyFill="1" applyBorder="1" applyAlignment="1">
      <alignment horizontal="center" vertical="center" wrapText="1"/>
    </xf>
    <xf numFmtId="0" fontId="34" fillId="7" borderId="0" xfId="0" applyFont="1" applyFill="1" applyAlignment="1">
      <alignment horizontal="center" vertical="center" wrapText="1"/>
    </xf>
    <xf numFmtId="0" fontId="35" fillId="7" borderId="1" xfId="0" applyFont="1" applyFill="1" applyBorder="1" applyAlignment="1">
      <alignment horizontal="center" vertical="center" wrapText="1"/>
    </xf>
    <xf numFmtId="0" fontId="27" fillId="0" borderId="1" xfId="0" applyFont="1" applyFill="1" applyBorder="1" applyAlignment="1">
      <alignment horizontal="center" vertical="top" wrapText="1"/>
    </xf>
    <xf numFmtId="0" fontId="48" fillId="0" borderId="1" xfId="0" applyFont="1" applyFill="1" applyBorder="1" applyAlignment="1">
      <alignment horizontal="left" vertical="center" wrapText="1"/>
    </xf>
    <xf numFmtId="0" fontId="48" fillId="0" borderId="1" xfId="0" applyFont="1" applyFill="1" applyBorder="1" applyAlignment="1">
      <alignment horizontal="left" vertical="top" wrapText="1"/>
    </xf>
    <xf numFmtId="0" fontId="27" fillId="0" borderId="1" xfId="0" applyFont="1" applyFill="1" applyBorder="1" applyAlignment="1">
      <alignment horizontal="center" vertical="center" wrapText="1"/>
    </xf>
    <xf numFmtId="0" fontId="48" fillId="7" borderId="1" xfId="0" applyFont="1" applyFill="1" applyBorder="1" applyAlignment="1">
      <alignment horizontal="left" vertical="top" wrapText="1"/>
    </xf>
    <xf numFmtId="0" fontId="48" fillId="7" borderId="1" xfId="0" applyFont="1" applyFill="1" applyBorder="1" applyAlignment="1">
      <alignment horizontal="left" vertical="center" wrapText="1"/>
    </xf>
    <xf numFmtId="0" fontId="27" fillId="5" borderId="1" xfId="0" applyFont="1" applyFill="1" applyBorder="1" applyAlignment="1">
      <alignment horizontal="left" wrapText="1"/>
    </xf>
    <xf numFmtId="0" fontId="27" fillId="7" borderId="1" xfId="0" applyFont="1" applyFill="1" applyBorder="1" applyAlignment="1">
      <alignment horizontal="left" vertical="top" wrapText="1"/>
    </xf>
    <xf numFmtId="0" fontId="27" fillId="7" borderId="1" xfId="0" applyFont="1" applyFill="1" applyBorder="1" applyAlignment="1">
      <alignment horizontal="left" wrapText="1"/>
    </xf>
    <xf numFmtId="0" fontId="43" fillId="0" borderId="3" xfId="0" applyFont="1" applyFill="1" applyBorder="1"/>
    <xf numFmtId="0" fontId="27" fillId="0" borderId="3" xfId="0" applyFont="1" applyFill="1" applyBorder="1"/>
    <xf numFmtId="0" fontId="27" fillId="0" borderId="3" xfId="0" applyFont="1" applyFill="1" applyBorder="1" applyAlignment="1">
      <alignment horizontal="left" vertical="top" wrapText="1"/>
    </xf>
    <xf numFmtId="0" fontId="48" fillId="0" borderId="3" xfId="0" applyFont="1" applyFill="1" applyBorder="1" applyAlignment="1">
      <alignment horizontal="left" vertical="top" wrapText="1"/>
    </xf>
    <xf numFmtId="0" fontId="27" fillId="0" borderId="4" xfId="0" applyFont="1" applyFill="1" applyBorder="1"/>
    <xf numFmtId="0" fontId="49" fillId="0" borderId="1" xfId="0" applyFont="1" applyFill="1" applyBorder="1" applyAlignment="1">
      <alignment horizontal="left" vertical="top" wrapText="1"/>
    </xf>
    <xf numFmtId="0" fontId="49" fillId="0" borderId="1" xfId="0" applyFont="1" applyFill="1" applyBorder="1" applyAlignment="1">
      <alignment horizontal="left" vertical="center" wrapText="1"/>
    </xf>
    <xf numFmtId="0" fontId="43" fillId="0" borderId="1" xfId="0" applyFont="1" applyFill="1" applyBorder="1" applyAlignment="1">
      <alignment horizontal="left" vertical="top" wrapText="1"/>
    </xf>
    <xf numFmtId="0" fontId="43" fillId="0" borderId="1" xfId="0" applyFont="1" applyFill="1" applyBorder="1" applyAlignment="1">
      <alignment horizontal="left" vertical="center" wrapText="1"/>
    </xf>
    <xf numFmtId="41" fontId="48" fillId="0" borderId="1" xfId="0" applyNumberFormat="1" applyFont="1" applyFill="1" applyBorder="1" applyAlignment="1">
      <alignment horizontal="left" vertical="top" wrapText="1"/>
    </xf>
    <xf numFmtId="0" fontId="48" fillId="0" borderId="2" xfId="0" applyFont="1" applyFill="1" applyBorder="1" applyAlignment="1">
      <alignment horizontal="left" vertical="top" wrapText="1"/>
    </xf>
    <xf numFmtId="0" fontId="27" fillId="0" borderId="2" xfId="0" applyFont="1" applyFill="1" applyBorder="1" applyAlignment="1">
      <alignment horizontal="left" vertical="top" wrapText="1"/>
    </xf>
    <xf numFmtId="0" fontId="27" fillId="0" borderId="4" xfId="0" applyFont="1" applyFill="1" applyBorder="1" applyAlignment="1">
      <alignment horizontal="left" vertical="top" wrapText="1"/>
    </xf>
    <xf numFmtId="0" fontId="48" fillId="0" borderId="4" xfId="0" applyFont="1" applyFill="1" applyBorder="1" applyAlignment="1">
      <alignment horizontal="left" vertical="top" wrapText="1"/>
    </xf>
    <xf numFmtId="0" fontId="11" fillId="0" borderId="18"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35" fillId="7" borderId="7" xfId="0" applyFont="1" applyFill="1" applyBorder="1" applyAlignment="1">
      <alignment horizontal="center" vertical="center" wrapText="1"/>
    </xf>
    <xf numFmtId="0" fontId="35" fillId="7" borderId="0" xfId="0" applyFont="1" applyFill="1" applyAlignment="1">
      <alignment horizontal="center" vertical="center" wrapText="1"/>
    </xf>
    <xf numFmtId="0" fontId="35" fillId="5" borderId="2" xfId="0" applyFont="1" applyFill="1" applyBorder="1" applyAlignment="1">
      <alignment horizontal="left" vertical="top" wrapText="1"/>
    </xf>
    <xf numFmtId="0" fontId="27" fillId="0" borderId="0" xfId="0" applyFont="1" applyFill="1" applyAlignment="1">
      <alignment horizontal="center" vertical="top" wrapText="1"/>
    </xf>
    <xf numFmtId="41" fontId="27" fillId="0" borderId="0" xfId="0" applyNumberFormat="1" applyFont="1" applyFill="1" applyAlignment="1">
      <alignment horizontal="center" vertical="top" wrapText="1"/>
    </xf>
    <xf numFmtId="0" fontId="48" fillId="0" borderId="1" xfId="0" applyFont="1" applyFill="1" applyBorder="1" applyAlignment="1">
      <alignment horizontal="center" vertical="top" wrapText="1"/>
    </xf>
    <xf numFmtId="41" fontId="27" fillId="0" borderId="1" xfId="0" applyNumberFormat="1" applyFont="1" applyFill="1" applyBorder="1" applyAlignment="1">
      <alignment horizontal="center" vertical="top" wrapText="1"/>
    </xf>
    <xf numFmtId="0" fontId="48" fillId="7" borderId="1" xfId="0" applyFont="1" applyFill="1" applyBorder="1" applyAlignment="1">
      <alignment horizontal="center" vertical="top" wrapText="1"/>
    </xf>
    <xf numFmtId="41" fontId="27" fillId="7" borderId="1" xfId="0" applyNumberFormat="1" applyFont="1" applyFill="1" applyBorder="1" applyAlignment="1">
      <alignment horizontal="center" vertical="top" wrapText="1"/>
    </xf>
    <xf numFmtId="0" fontId="27" fillId="5" borderId="1" xfId="0" applyFont="1" applyFill="1" applyBorder="1" applyAlignment="1">
      <alignment horizontal="center" vertical="top" wrapText="1"/>
    </xf>
    <xf numFmtId="0" fontId="27" fillId="0" borderId="20" xfId="0" applyFont="1" applyFill="1" applyBorder="1"/>
    <xf numFmtId="41" fontId="27" fillId="0" borderId="1" xfId="0" applyNumberFormat="1" applyFont="1" applyFill="1" applyBorder="1" applyAlignment="1">
      <alignment horizontal="center" vertical="top"/>
    </xf>
    <xf numFmtId="0" fontId="27" fillId="0" borderId="1" xfId="0" applyFont="1" applyFill="1" applyBorder="1" applyAlignment="1">
      <alignment horizontal="center" vertical="top"/>
    </xf>
    <xf numFmtId="0" fontId="48" fillId="7" borderId="6"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6" xfId="0" applyFont="1" applyFill="1" applyBorder="1" applyAlignment="1">
      <alignment horizontal="center" vertical="top" wrapText="1"/>
    </xf>
    <xf numFmtId="0" fontId="27" fillId="7" borderId="7" xfId="0" applyFont="1" applyFill="1" applyBorder="1" applyAlignment="1">
      <alignment horizontal="center" vertical="top" wrapText="1"/>
    </xf>
    <xf numFmtId="0" fontId="48" fillId="0" borderId="2" xfId="0" applyFont="1" applyFill="1" applyBorder="1" applyAlignment="1">
      <alignment horizontal="left" vertical="center" wrapText="1"/>
    </xf>
    <xf numFmtId="41" fontId="48" fillId="0" borderId="1" xfId="0" applyNumberFormat="1" applyFont="1" applyFill="1" applyBorder="1" applyAlignment="1">
      <alignment horizontal="center" vertical="top"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center" vertical="top" wrapText="1"/>
    </xf>
    <xf numFmtId="41" fontId="43" fillId="0" borderId="1" xfId="0" applyNumberFormat="1" applyFont="1" applyFill="1" applyBorder="1" applyAlignment="1">
      <alignment horizontal="center" vertical="top" wrapText="1"/>
    </xf>
    <xf numFmtId="0" fontId="43" fillId="0" borderId="0" xfId="0" applyFont="1" applyFill="1" applyBorder="1" applyAlignment="1">
      <alignment horizontal="center" vertical="center" wrapText="1"/>
    </xf>
    <xf numFmtId="0" fontId="49" fillId="0" borderId="1" xfId="0" applyFont="1" applyFill="1" applyBorder="1" applyAlignment="1">
      <alignment horizontal="center" vertical="top" wrapText="1"/>
    </xf>
    <xf numFmtId="41" fontId="50" fillId="0" borderId="1" xfId="0" applyNumberFormat="1" applyFont="1" applyFill="1" applyBorder="1" applyAlignment="1">
      <alignment horizontal="center" vertical="top"/>
    </xf>
    <xf numFmtId="0" fontId="49" fillId="0" borderId="1" xfId="0" applyFont="1" applyFill="1" applyBorder="1" applyAlignment="1">
      <alignment horizontal="center" vertical="top"/>
    </xf>
    <xf numFmtId="41" fontId="49" fillId="0" borderId="1" xfId="0" applyNumberFormat="1" applyFont="1" applyFill="1" applyBorder="1" applyAlignment="1">
      <alignment horizontal="center" vertical="top" wrapText="1"/>
    </xf>
    <xf numFmtId="0" fontId="49" fillId="0" borderId="0" xfId="0" applyFont="1" applyFill="1" applyBorder="1" applyAlignment="1">
      <alignment horizontal="left" wrapText="1"/>
    </xf>
    <xf numFmtId="0" fontId="43" fillId="0" borderId="0" xfId="0" applyFont="1" applyFill="1" applyBorder="1" applyAlignment="1">
      <alignment horizontal="left" wrapText="1"/>
    </xf>
    <xf numFmtId="0" fontId="54" fillId="0" borderId="1" xfId="0" applyFont="1" applyFill="1" applyBorder="1" applyAlignment="1">
      <alignment horizontal="left" vertical="top" wrapText="1"/>
    </xf>
    <xf numFmtId="0" fontId="54" fillId="0" borderId="1" xfId="0" applyFont="1" applyFill="1" applyBorder="1" applyAlignment="1">
      <alignment horizontal="left" vertical="center" wrapText="1"/>
    </xf>
    <xf numFmtId="0" fontId="54" fillId="0" borderId="1" xfId="0" applyFont="1" applyFill="1" applyBorder="1" applyAlignment="1">
      <alignment horizontal="center" vertical="top" wrapText="1"/>
    </xf>
    <xf numFmtId="166" fontId="54" fillId="0" borderId="1" xfId="1" applyNumberFormat="1" applyFont="1" applyFill="1" applyBorder="1" applyAlignment="1">
      <alignment horizontal="center" vertical="top" wrapText="1"/>
    </xf>
    <xf numFmtId="166" fontId="54" fillId="0" borderId="1" xfId="0" applyNumberFormat="1" applyFont="1" applyFill="1" applyBorder="1" applyAlignment="1">
      <alignment horizontal="center" vertical="top" wrapText="1"/>
    </xf>
    <xf numFmtId="0" fontId="54" fillId="0" borderId="0" xfId="0" applyFont="1" applyFill="1" applyBorder="1" applyAlignment="1">
      <alignment horizontal="left" wrapText="1"/>
    </xf>
    <xf numFmtId="0" fontId="68" fillId="0" borderId="1" xfId="0" applyFont="1" applyFill="1" applyBorder="1" applyAlignment="1">
      <alignment horizontal="left" vertical="top" wrapText="1"/>
    </xf>
    <xf numFmtId="0" fontId="68" fillId="0" borderId="1" xfId="0" applyFont="1" applyFill="1" applyBorder="1" applyAlignment="1">
      <alignment horizontal="left" vertical="center" wrapText="1"/>
    </xf>
    <xf numFmtId="0" fontId="68" fillId="0" borderId="1" xfId="0" applyFont="1" applyFill="1" applyBorder="1" applyAlignment="1">
      <alignment horizontal="center" vertical="top" wrapText="1"/>
    </xf>
    <xf numFmtId="0" fontId="68" fillId="0" borderId="1" xfId="0" applyNumberFormat="1" applyFont="1" applyFill="1" applyBorder="1" applyAlignment="1">
      <alignment horizontal="center" vertical="top" wrapText="1"/>
    </xf>
    <xf numFmtId="0" fontId="68" fillId="0" borderId="0" xfId="0" applyFont="1" applyFill="1" applyBorder="1" applyAlignment="1">
      <alignment horizontal="left" wrapText="1"/>
    </xf>
    <xf numFmtId="41" fontId="68" fillId="0" borderId="1" xfId="0" applyNumberFormat="1" applyFont="1" applyFill="1" applyBorder="1" applyAlignment="1">
      <alignment horizontal="center" vertical="top" wrapText="1"/>
    </xf>
    <xf numFmtId="0" fontId="48" fillId="0" borderId="5" xfId="0" applyFont="1" applyFill="1" applyBorder="1"/>
    <xf numFmtId="0" fontId="48" fillId="0" borderId="6" xfId="0" applyFont="1" applyFill="1" applyBorder="1"/>
    <xf numFmtId="0" fontId="48" fillId="0" borderId="6" xfId="0" applyFont="1" applyFill="1" applyBorder="1" applyAlignment="1">
      <alignment horizontal="left" vertical="center" wrapText="1"/>
    </xf>
    <xf numFmtId="0" fontId="48" fillId="0" borderId="6" xfId="0" applyFont="1" applyFill="1" applyBorder="1" applyAlignment="1">
      <alignment horizontal="center" vertical="top" wrapText="1"/>
    </xf>
    <xf numFmtId="0" fontId="48" fillId="0" borderId="7" xfId="0" applyFont="1" applyFill="1" applyBorder="1"/>
    <xf numFmtId="0" fontId="43" fillId="0" borderId="4" xfId="0" applyFont="1" applyFill="1" applyBorder="1" applyAlignment="1">
      <alignment horizontal="left" vertical="center" wrapText="1"/>
    </xf>
    <xf numFmtId="0" fontId="43" fillId="0" borderId="4" xfId="0" applyFont="1" applyFill="1" applyBorder="1" applyAlignment="1">
      <alignment horizontal="center" vertical="top" wrapText="1"/>
    </xf>
    <xf numFmtId="41" fontId="43" fillId="0" borderId="4" xfId="0" applyNumberFormat="1" applyFont="1" applyFill="1" applyBorder="1" applyAlignment="1">
      <alignment horizontal="center" vertical="top" wrapText="1"/>
    </xf>
    <xf numFmtId="41" fontId="27" fillId="0" borderId="4" xfId="0" applyNumberFormat="1" applyFont="1" applyFill="1" applyBorder="1" applyAlignment="1">
      <alignment horizontal="center" vertical="top" wrapText="1"/>
    </xf>
    <xf numFmtId="0" fontId="27" fillId="0" borderId="18" xfId="0" applyFont="1" applyFill="1" applyBorder="1" applyAlignment="1">
      <alignment horizontal="left" vertical="top" wrapText="1"/>
    </xf>
    <xf numFmtId="3" fontId="27" fillId="0" borderId="1" xfId="0" applyNumberFormat="1" applyFont="1" applyFill="1" applyBorder="1" applyAlignment="1">
      <alignment horizontal="center" vertical="top" wrapText="1"/>
    </xf>
    <xf numFmtId="2" fontId="27" fillId="0" borderId="1" xfId="0" applyNumberFormat="1" applyFont="1" applyFill="1" applyBorder="1" applyAlignment="1">
      <alignment horizontal="center" vertical="top" wrapText="1"/>
    </xf>
    <xf numFmtId="0" fontId="27" fillId="0" borderId="1" xfId="0" applyFont="1" applyFill="1" applyBorder="1" applyAlignment="1">
      <alignment vertical="top" wrapText="1"/>
    </xf>
    <xf numFmtId="0" fontId="27" fillId="0" borderId="2" xfId="0" applyFont="1" applyFill="1" applyBorder="1" applyAlignment="1">
      <alignment horizontal="center" vertical="top" wrapText="1"/>
    </xf>
    <xf numFmtId="41" fontId="27" fillId="0" borderId="2" xfId="0" applyNumberFormat="1" applyFont="1" applyFill="1" applyBorder="1" applyAlignment="1">
      <alignment horizontal="center" vertical="top" wrapText="1"/>
    </xf>
    <xf numFmtId="0" fontId="27" fillId="0" borderId="5" xfId="0" applyFont="1" applyFill="1" applyBorder="1"/>
    <xf numFmtId="0" fontId="48" fillId="0" borderId="6" xfId="0" applyFont="1" applyFill="1" applyBorder="1" applyAlignment="1">
      <alignment horizontal="left" vertical="top" wrapText="1"/>
    </xf>
    <xf numFmtId="0" fontId="27" fillId="0" borderId="6" xfId="0" applyFont="1" applyFill="1" applyBorder="1" applyAlignment="1">
      <alignment horizontal="center" vertical="top" wrapText="1"/>
    </xf>
    <xf numFmtId="41" fontId="27" fillId="0" borderId="6" xfId="0" applyNumberFormat="1" applyFont="1" applyFill="1" applyBorder="1" applyAlignment="1">
      <alignment horizontal="center" vertical="top" wrapText="1"/>
    </xf>
    <xf numFmtId="0" fontId="27" fillId="0" borderId="7" xfId="0" applyFont="1" applyFill="1" applyBorder="1" applyAlignment="1">
      <alignment horizontal="center" vertical="top" wrapText="1"/>
    </xf>
    <xf numFmtId="0" fontId="27" fillId="0" borderId="1" xfId="0" applyFont="1" applyFill="1" applyBorder="1" applyAlignment="1">
      <alignment horizontal="left" wrapText="1"/>
    </xf>
    <xf numFmtId="41" fontId="27" fillId="0" borderId="1" xfId="0" applyNumberFormat="1" applyFont="1" applyFill="1" applyBorder="1" applyAlignment="1">
      <alignment horizontal="left" wrapText="1"/>
    </xf>
    <xf numFmtId="0" fontId="48" fillId="0" borderId="2" xfId="0" applyFont="1" applyFill="1" applyBorder="1" applyAlignment="1">
      <alignment horizontal="center" vertical="top" wrapText="1"/>
    </xf>
    <xf numFmtId="0" fontId="48" fillId="0" borderId="5" xfId="0" applyFont="1" applyFill="1" applyBorder="1" applyAlignment="1">
      <alignment horizontal="center" vertical="top" wrapText="1"/>
    </xf>
    <xf numFmtId="0" fontId="48" fillId="0" borderId="7" xfId="0" applyFont="1" applyFill="1" applyBorder="1" applyAlignment="1">
      <alignment horizontal="center" vertical="top" wrapText="1"/>
    </xf>
    <xf numFmtId="0" fontId="27" fillId="5" borderId="3" xfId="0" applyFont="1" applyFill="1" applyBorder="1" applyAlignment="1">
      <alignment horizontal="left" vertical="top" wrapText="1"/>
    </xf>
    <xf numFmtId="0" fontId="48" fillId="5" borderId="3" xfId="0" applyFont="1" applyFill="1" applyBorder="1" applyAlignment="1">
      <alignment horizontal="left" vertical="top" wrapText="1"/>
    </xf>
    <xf numFmtId="41" fontId="27" fillId="5" borderId="1" xfId="0" applyNumberFormat="1" applyFont="1" applyFill="1" applyBorder="1" applyAlignment="1">
      <alignment horizontal="center" vertical="top" wrapText="1"/>
    </xf>
    <xf numFmtId="0" fontId="0" fillId="0" borderId="1" xfId="0" applyFont="1" applyFill="1" applyBorder="1" applyAlignment="1">
      <alignment horizontal="left" vertical="center" wrapText="1"/>
    </xf>
    <xf numFmtId="0" fontId="48" fillId="5" borderId="2" xfId="0" applyFont="1" applyFill="1" applyBorder="1" applyAlignment="1">
      <alignment horizontal="left" vertical="center" wrapText="1"/>
    </xf>
    <xf numFmtId="0" fontId="48" fillId="5" borderId="2" xfId="0" applyFont="1" applyFill="1" applyBorder="1" applyAlignment="1">
      <alignment horizontal="center" vertical="top" wrapText="1"/>
    </xf>
    <xf numFmtId="41" fontId="27" fillId="5" borderId="2" xfId="0" applyNumberFormat="1" applyFont="1" applyFill="1" applyBorder="1" applyAlignment="1">
      <alignment horizontal="center" vertical="top" wrapText="1"/>
    </xf>
    <xf numFmtId="0" fontId="27" fillId="5" borderId="0" xfId="0" applyFont="1" applyFill="1" applyBorder="1" applyAlignment="1">
      <alignment horizontal="left" wrapText="1"/>
    </xf>
    <xf numFmtId="0" fontId="48" fillId="5" borderId="0" xfId="0" applyFont="1" applyFill="1"/>
    <xf numFmtId="0" fontId="19" fillId="7" borderId="1" xfId="0" applyFont="1" applyFill="1" applyBorder="1" applyAlignment="1">
      <alignment horizontal="left" vertical="center"/>
    </xf>
    <xf numFmtId="0" fontId="48" fillId="7" borderId="1" xfId="0" applyFont="1" applyFill="1" applyBorder="1" applyAlignment="1">
      <alignment horizontal="left" vertical="top"/>
    </xf>
    <xf numFmtId="0" fontId="70" fillId="7" borderId="2" xfId="0" applyFont="1" applyFill="1" applyBorder="1" applyAlignment="1">
      <alignment horizontal="left" vertical="center"/>
    </xf>
    <xf numFmtId="0" fontId="19" fillId="7" borderId="2" xfId="0" applyFont="1" applyFill="1" applyBorder="1" applyAlignment="1">
      <alignment horizontal="left" vertical="center"/>
    </xf>
    <xf numFmtId="0" fontId="43" fillId="0" borderId="4" xfId="0" applyFont="1" applyFill="1" applyBorder="1" applyAlignment="1">
      <alignment horizontal="left" wrapText="1"/>
    </xf>
    <xf numFmtId="0" fontId="48" fillId="7" borderId="1" xfId="0" applyFont="1" applyFill="1" applyBorder="1"/>
    <xf numFmtId="41" fontId="27" fillId="7" borderId="6" xfId="0" applyNumberFormat="1" applyFont="1" applyFill="1" applyBorder="1" applyAlignment="1">
      <alignment horizontal="center" vertical="top" wrapText="1"/>
    </xf>
    <xf numFmtId="0" fontId="27" fillId="7" borderId="1" xfId="0" applyFont="1" applyFill="1" applyBorder="1" applyAlignment="1">
      <alignment horizontal="center" vertical="top" wrapText="1"/>
    </xf>
    <xf numFmtId="3" fontId="0" fillId="0" borderId="1" xfId="0" applyNumberFormat="1" applyFont="1" applyFill="1" applyBorder="1" applyAlignment="1">
      <alignment horizontal="center" vertical="center" wrapText="1"/>
    </xf>
    <xf numFmtId="3" fontId="0" fillId="0" borderId="1" xfId="0" applyNumberFormat="1" applyFont="1" applyFill="1" applyBorder="1"/>
    <xf numFmtId="0" fontId="48" fillId="0" borderId="1" xfId="0" applyFont="1" applyFill="1" applyBorder="1" applyAlignment="1">
      <alignment horizontal="center" vertical="center" wrapText="1"/>
    </xf>
    <xf numFmtId="41" fontId="48" fillId="0" borderId="1" xfId="0" applyNumberFormat="1" applyFont="1" applyFill="1" applyBorder="1" applyAlignment="1">
      <alignment horizontal="center" vertical="center" wrapText="1"/>
    </xf>
    <xf numFmtId="0" fontId="35" fillId="0" borderId="2" xfId="0" applyFont="1" applyFill="1" applyBorder="1" applyAlignment="1">
      <alignment horizontal="left" vertical="top" wrapText="1"/>
    </xf>
    <xf numFmtId="0" fontId="35" fillId="0" borderId="4" xfId="0" applyFont="1" applyFill="1" applyBorder="1" applyAlignment="1">
      <alignment horizontal="left" vertical="top" wrapText="1"/>
    </xf>
    <xf numFmtId="0" fontId="48"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8" fillId="0" borderId="7" xfId="0" applyFont="1" applyFill="1" applyBorder="1" applyAlignment="1">
      <alignment horizontal="center" vertical="center" wrapText="1"/>
    </xf>
    <xf numFmtId="0" fontId="48" fillId="0" borderId="1" xfId="0" applyFont="1" applyFill="1" applyBorder="1" applyAlignment="1">
      <alignment horizontal="center" vertical="top" wrapText="1"/>
    </xf>
    <xf numFmtId="0" fontId="35" fillId="7" borderId="1" xfId="0" applyFont="1" applyFill="1" applyBorder="1" applyAlignment="1">
      <alignment horizontal="right" vertical="center" wrapText="1"/>
    </xf>
    <xf numFmtId="41" fontId="35" fillId="0" borderId="1" xfId="0" applyNumberFormat="1" applyFont="1" applyFill="1" applyBorder="1" applyAlignment="1">
      <alignment horizontal="right" vertical="top" wrapText="1"/>
    </xf>
    <xf numFmtId="41" fontId="35" fillId="5" borderId="0" xfId="0" applyNumberFormat="1" applyFont="1" applyFill="1" applyAlignment="1">
      <alignment horizontal="right" vertical="top" wrapText="1"/>
    </xf>
    <xf numFmtId="0" fontId="35" fillId="0" borderId="1" xfId="0" applyFont="1" applyFill="1" applyBorder="1" applyAlignment="1">
      <alignment horizontal="right" vertical="top" wrapText="1"/>
    </xf>
    <xf numFmtId="41" fontId="35" fillId="5" borderId="1" xfId="0" applyNumberFormat="1" applyFont="1" applyFill="1" applyBorder="1" applyAlignment="1">
      <alignment horizontal="right" vertical="top" wrapText="1"/>
    </xf>
    <xf numFmtId="0" fontId="35" fillId="0" borderId="0" xfId="0" applyFont="1" applyFill="1" applyAlignment="1">
      <alignment horizontal="right" vertical="top" wrapText="1"/>
    </xf>
    <xf numFmtId="0" fontId="35" fillId="5" borderId="0" xfId="0" applyFont="1" applyFill="1" applyAlignment="1">
      <alignment horizontal="right" vertical="top" wrapText="1"/>
    </xf>
    <xf numFmtId="0" fontId="35" fillId="5" borderId="1" xfId="0" applyFont="1" applyFill="1" applyBorder="1" applyAlignment="1">
      <alignment horizontal="right" vertical="top" wrapText="1"/>
    </xf>
    <xf numFmtId="41" fontId="0" fillId="0" borderId="1" xfId="2" applyFont="1" applyFill="1" applyBorder="1" applyAlignment="1">
      <alignment horizontal="left" vertical="top" wrapText="1"/>
    </xf>
    <xf numFmtId="41" fontId="35" fillId="0" borderId="2" xfId="0" applyNumberFormat="1" applyFont="1" applyFill="1" applyBorder="1" applyAlignment="1">
      <alignment horizontal="right" vertical="top" wrapText="1"/>
    </xf>
    <xf numFmtId="0" fontId="35" fillId="0" borderId="2" xfId="0" applyFont="1" applyFill="1" applyBorder="1" applyAlignment="1">
      <alignment horizontal="right" vertical="top" wrapText="1"/>
    </xf>
    <xf numFmtId="41" fontId="35" fillId="0" borderId="4" xfId="0" applyNumberFormat="1" applyFont="1" applyFill="1" applyBorder="1" applyAlignment="1">
      <alignment horizontal="right" vertical="top" wrapText="1"/>
    </xf>
    <xf numFmtId="0" fontId="35" fillId="0" borderId="4" xfId="0" applyFont="1" applyFill="1" applyBorder="1" applyAlignment="1">
      <alignment horizontal="right" vertical="top" wrapText="1"/>
    </xf>
    <xf numFmtId="0" fontId="0" fillId="0" borderId="1" xfId="0" applyBorder="1" applyAlignment="1">
      <alignment wrapText="1"/>
    </xf>
    <xf numFmtId="166" fontId="0" fillId="0" borderId="1" xfId="1" applyNumberFormat="1" applyFont="1" applyBorder="1"/>
    <xf numFmtId="0" fontId="48" fillId="0" borderId="1" xfId="0" applyFont="1" applyFill="1" applyBorder="1"/>
    <xf numFmtId="0" fontId="43" fillId="7" borderId="1" xfId="0" applyFont="1" applyFill="1" applyBorder="1" applyAlignment="1">
      <alignment horizontal="left" vertical="top" wrapText="1"/>
    </xf>
    <xf numFmtId="0" fontId="43" fillId="7" borderId="1" xfId="0" applyFont="1" applyFill="1" applyBorder="1" applyAlignment="1">
      <alignment horizontal="left" vertical="center" wrapText="1"/>
    </xf>
    <xf numFmtId="0" fontId="43" fillId="7" borderId="1" xfId="0" applyFont="1" applyFill="1" applyBorder="1" applyAlignment="1">
      <alignment horizontal="center" vertical="top" wrapText="1"/>
    </xf>
    <xf numFmtId="41" fontId="43" fillId="7" borderId="1" xfId="0" applyNumberFormat="1" applyFont="1" applyFill="1" applyBorder="1" applyAlignment="1">
      <alignment horizontal="center" vertical="top" wrapText="1"/>
    </xf>
    <xf numFmtId="166" fontId="43" fillId="7" borderId="0" xfId="0" applyNumberFormat="1" applyFont="1" applyFill="1"/>
    <xf numFmtId="0" fontId="19" fillId="0" borderId="1" xfId="0" applyFont="1" applyBorder="1"/>
    <xf numFmtId="0" fontId="43" fillId="0" borderId="1" xfId="0" applyFont="1" applyFill="1" applyBorder="1"/>
    <xf numFmtId="166" fontId="0" fillId="0" borderId="4" xfId="1" applyNumberFormat="1" applyFont="1" applyBorder="1"/>
    <xf numFmtId="0" fontId="68" fillId="0" borderId="5" xfId="0" applyFont="1" applyFill="1" applyBorder="1" applyAlignment="1">
      <alignment horizontal="left" vertical="top" wrapText="1"/>
    </xf>
    <xf numFmtId="0" fontId="68" fillId="0" borderId="7" xfId="0" applyFont="1" applyFill="1" applyBorder="1" applyAlignment="1">
      <alignment horizontal="left" vertical="top" wrapText="1"/>
    </xf>
    <xf numFmtId="0" fontId="43" fillId="7" borderId="1" xfId="0" applyNumberFormat="1" applyFont="1" applyFill="1" applyBorder="1" applyAlignment="1">
      <alignment horizontal="center" vertical="top" wrapText="1"/>
    </xf>
    <xf numFmtId="0" fontId="27" fillId="0" borderId="19" xfId="0" applyFont="1" applyFill="1" applyBorder="1"/>
    <xf numFmtId="0" fontId="27" fillId="0" borderId="10" xfId="0" applyFont="1" applyFill="1" applyBorder="1"/>
    <xf numFmtId="0" fontId="43" fillId="0" borderId="5" xfId="0" applyFont="1" applyFill="1" applyBorder="1" applyAlignment="1">
      <alignment horizontal="center" vertical="center" wrapText="1"/>
    </xf>
    <xf numFmtId="0" fontId="48" fillId="0" borderId="1" xfId="0" applyFont="1" applyFill="1" applyBorder="1" applyAlignment="1">
      <alignment horizontal="left" vertical="center" wrapText="1" indent="1"/>
    </xf>
    <xf numFmtId="0" fontId="43" fillId="0" borderId="7" xfId="0" applyFont="1" applyFill="1" applyBorder="1" applyAlignment="1">
      <alignment horizontal="left" vertical="center" wrapText="1"/>
    </xf>
    <xf numFmtId="0" fontId="27" fillId="0" borderId="1" xfId="0" applyFont="1" applyFill="1" applyBorder="1" applyAlignment="1">
      <alignment horizontal="left" vertical="center" wrapText="1" indent="1"/>
    </xf>
    <xf numFmtId="166" fontId="27" fillId="0" borderId="1" xfId="1" applyNumberFormat="1" applyFont="1" applyFill="1" applyBorder="1" applyAlignment="1">
      <alignment horizontal="center" vertical="center"/>
    </xf>
    <xf numFmtId="0" fontId="3" fillId="0" borderId="2" xfId="0" applyFont="1" applyFill="1" applyBorder="1" applyAlignment="1">
      <alignment horizontal="left" vertical="top" wrapText="1"/>
    </xf>
    <xf numFmtId="0" fontId="35" fillId="0" borderId="2" xfId="0" applyFont="1" applyFill="1" applyBorder="1" applyAlignment="1">
      <alignment horizontal="left" vertical="top" wrapText="1"/>
    </xf>
    <xf numFmtId="0" fontId="35" fillId="0" borderId="4" xfId="0" applyFont="1" applyFill="1" applyBorder="1" applyAlignment="1">
      <alignment horizontal="left" vertical="top" wrapText="1"/>
    </xf>
    <xf numFmtId="0" fontId="35" fillId="7" borderId="7"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35" fillId="0" borderId="0" xfId="0" applyFont="1" applyFill="1" applyBorder="1" applyAlignment="1">
      <alignment horizontal="left" vertical="top" wrapText="1"/>
    </xf>
    <xf numFmtId="1" fontId="8" fillId="0" borderId="1" xfId="0" applyNumberFormat="1" applyFont="1" applyFill="1" applyBorder="1" applyAlignment="1">
      <alignment horizontal="center" vertical="center" wrapText="1"/>
    </xf>
    <xf numFmtId="0" fontId="3" fillId="0" borderId="2" xfId="0" applyFont="1" applyFill="1" applyBorder="1" applyAlignment="1">
      <alignment horizontal="left" vertical="top" wrapText="1"/>
    </xf>
    <xf numFmtId="0" fontId="33" fillId="0" borderId="1" xfId="0"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22" xfId="0" applyNumberFormat="1" applyFont="1" applyFill="1" applyBorder="1" applyAlignment="1">
      <alignment horizontal="center" vertical="center" wrapText="1"/>
    </xf>
    <xf numFmtId="3" fontId="20" fillId="0" borderId="10" xfId="0" applyNumberFormat="1" applyFont="1" applyFill="1" applyBorder="1" applyAlignment="1">
      <alignment horizontal="center" vertical="center" wrapText="1"/>
    </xf>
    <xf numFmtId="3" fontId="20" fillId="0" borderId="1" xfId="0" applyNumberFormat="1" applyFont="1" applyFill="1" applyBorder="1" applyAlignment="1">
      <alignment horizontal="center" vertical="center" wrapText="1"/>
    </xf>
    <xf numFmtId="3" fontId="20" fillId="0" borderId="5" xfId="0" applyNumberFormat="1" applyFont="1" applyFill="1" applyBorder="1" applyAlignment="1">
      <alignment horizontal="center" vertical="center" wrapText="1"/>
    </xf>
    <xf numFmtId="3" fontId="20" fillId="0" borderId="6" xfId="0" applyNumberFormat="1" applyFont="1" applyFill="1" applyBorder="1" applyAlignment="1">
      <alignment horizontal="center" vertical="center" wrapText="1"/>
    </xf>
    <xf numFmtId="3" fontId="20" fillId="0" borderId="7" xfId="0" applyNumberFormat="1" applyFont="1" applyFill="1" applyBorder="1" applyAlignment="1">
      <alignment horizontal="center" vertical="center" wrapText="1"/>
    </xf>
    <xf numFmtId="3" fontId="43" fillId="0" borderId="5" xfId="0" applyNumberFormat="1"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3" fontId="43" fillId="0" borderId="7" xfId="0" applyNumberFormat="1"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 xfId="0" applyFont="1" applyFill="1" applyBorder="1" applyAlignment="1">
      <alignment horizontal="center" vertical="center" wrapText="1"/>
    </xf>
    <xf numFmtId="41" fontId="20" fillId="0" borderId="19" xfId="0" applyNumberFormat="1" applyFont="1" applyFill="1" applyBorder="1" applyAlignment="1">
      <alignment horizontal="center" vertical="center" wrapText="1"/>
    </xf>
    <xf numFmtId="41" fontId="20" fillId="0" borderId="22" xfId="0" applyNumberFormat="1" applyFont="1" applyFill="1" applyBorder="1" applyAlignment="1">
      <alignment horizontal="center" vertical="center" wrapText="1"/>
    </xf>
    <xf numFmtId="41" fontId="20" fillId="0" borderId="10" xfId="0" applyNumberFormat="1" applyFont="1" applyFill="1" applyBorder="1" applyAlignment="1">
      <alignment horizontal="center" vertical="center" wrapText="1"/>
    </xf>
    <xf numFmtId="3" fontId="0" fillId="0" borderId="1" xfId="0" applyNumberFormat="1" applyFont="1" applyFill="1" applyBorder="1" applyAlignment="1">
      <alignment horizontal="left" vertical="top" wrapText="1"/>
    </xf>
    <xf numFmtId="0" fontId="19" fillId="8" borderId="18"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9" fillId="8" borderId="1" xfId="0" applyFont="1" applyFill="1" applyBorder="1" applyAlignment="1">
      <alignment horizontal="center" vertical="center" wrapText="1"/>
    </xf>
    <xf numFmtId="41" fontId="0" fillId="0" borderId="1" xfId="2" applyFont="1" applyFill="1" applyBorder="1" applyAlignment="1">
      <alignment horizontal="left" vertical="top" wrapText="1"/>
    </xf>
    <xf numFmtId="41" fontId="0" fillId="0" borderId="1" xfId="2"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41" fontId="0" fillId="0" borderId="2" xfId="2" applyNumberFormat="1" applyFont="1" applyFill="1" applyBorder="1" applyAlignment="1">
      <alignment horizontal="left" vertical="top" wrapText="1"/>
    </xf>
    <xf numFmtId="41" fontId="0" fillId="0" borderId="3" xfId="2" applyNumberFormat="1" applyFont="1" applyFill="1" applyBorder="1" applyAlignment="1">
      <alignment horizontal="left" vertical="top" wrapText="1"/>
    </xf>
    <xf numFmtId="41" fontId="0" fillId="0" borderId="4" xfId="2" applyNumberFormat="1" applyFont="1" applyFill="1" applyBorder="1" applyAlignment="1">
      <alignment horizontal="left" vertical="top" wrapText="1"/>
    </xf>
    <xf numFmtId="3" fontId="38" fillId="0" borderId="1" xfId="0" applyNumberFormat="1" applyFont="1" applyFill="1" applyBorder="1" applyAlignment="1">
      <alignment horizontal="left" vertical="top" wrapText="1"/>
    </xf>
    <xf numFmtId="41" fontId="27" fillId="0" borderId="1" xfId="0" applyNumberFormat="1" applyFont="1" applyFill="1" applyBorder="1" applyAlignment="1">
      <alignment horizontal="left" vertical="top" wrapText="1"/>
    </xf>
    <xf numFmtId="3" fontId="27" fillId="0" borderId="1" xfId="0" applyNumberFormat="1" applyFont="1" applyFill="1" applyBorder="1" applyAlignment="1">
      <alignment horizontal="left" vertical="top" wrapText="1"/>
    </xf>
    <xf numFmtId="41" fontId="38" fillId="0" borderId="1" xfId="0" applyNumberFormat="1" applyFont="1" applyFill="1" applyBorder="1" applyAlignment="1">
      <alignment horizontal="left" vertical="top" wrapText="1"/>
    </xf>
    <xf numFmtId="41" fontId="27" fillId="0" borderId="1" xfId="2" applyFont="1" applyFill="1" applyBorder="1" applyAlignment="1">
      <alignment horizontal="left" vertical="top" wrapText="1"/>
    </xf>
    <xf numFmtId="41" fontId="0" fillId="0" borderId="1" xfId="1"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quotePrefix="1" applyNumberFormat="1" applyFont="1" applyFill="1" applyBorder="1" applyAlignment="1">
      <alignment horizontal="left" vertical="top" wrapText="1"/>
    </xf>
    <xf numFmtId="41" fontId="27" fillId="0" borderId="1" xfId="2" applyNumberFormat="1" applyFont="1" applyFill="1" applyBorder="1" applyAlignment="1">
      <alignment horizontal="left" vertical="top" wrapText="1"/>
    </xf>
    <xf numFmtId="41" fontId="37" fillId="0" borderId="1" xfId="2" applyFont="1" applyFill="1" applyBorder="1" applyAlignment="1">
      <alignment horizontal="left" vertical="top" wrapText="1"/>
    </xf>
    <xf numFmtId="41" fontId="0" fillId="0" borderId="1" xfId="2" quotePrefix="1" applyFont="1" applyFill="1" applyBorder="1" applyAlignment="1">
      <alignment horizontal="left" vertical="top" wrapText="1"/>
    </xf>
    <xf numFmtId="41" fontId="37" fillId="0" borderId="1" xfId="0" applyNumberFormat="1" applyFont="1" applyFill="1" applyBorder="1" applyAlignment="1">
      <alignment horizontal="left" vertical="top" wrapText="1"/>
    </xf>
    <xf numFmtId="41" fontId="37" fillId="0" borderId="1" xfId="2" applyNumberFormat="1" applyFont="1" applyFill="1" applyBorder="1" applyAlignment="1">
      <alignment horizontal="left" vertical="top" wrapText="1"/>
    </xf>
    <xf numFmtId="3" fontId="27" fillId="0" borderId="1" xfId="16" applyNumberFormat="1" applyFont="1" applyFill="1" applyBorder="1" applyAlignment="1">
      <alignment horizontal="left" vertical="top" wrapText="1"/>
    </xf>
    <xf numFmtId="9" fontId="27" fillId="0" borderId="1" xfId="6" applyFont="1" applyFill="1" applyBorder="1" applyAlignment="1">
      <alignment horizontal="left" vertical="top" wrapText="1"/>
    </xf>
    <xf numFmtId="0" fontId="27" fillId="0" borderId="0" xfId="0" applyFont="1" applyBorder="1" applyAlignment="1">
      <alignment horizontal="left" vertical="top" wrapText="1"/>
    </xf>
    <xf numFmtId="0" fontId="48" fillId="3" borderId="0" xfId="0" applyFont="1" applyFill="1" applyBorder="1" applyAlignment="1">
      <alignment horizontal="center" vertical="center" wrapText="1"/>
    </xf>
    <xf numFmtId="0" fontId="43" fillId="5" borderId="0"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9" fontId="21" fillId="0" borderId="1" xfId="7" applyFont="1" applyFill="1" applyBorder="1" applyAlignment="1" applyProtection="1">
      <alignment horizontal="center" vertical="center" wrapText="1"/>
      <protection locked="0"/>
    </xf>
    <xf numFmtId="0" fontId="21" fillId="0" borderId="1" xfId="3" applyFont="1" applyFill="1" applyBorder="1" applyAlignment="1" applyProtection="1">
      <alignment horizontal="center" vertical="center" wrapText="1"/>
      <protection locked="0"/>
    </xf>
    <xf numFmtId="0" fontId="11" fillId="0" borderId="5"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21" fillId="0" borderId="5" xfId="3" applyFont="1" applyFill="1" applyBorder="1" applyAlignment="1" applyProtection="1">
      <alignment horizontal="center" vertical="center" wrapText="1"/>
      <protection locked="0"/>
    </xf>
    <xf numFmtId="0" fontId="21" fillId="0" borderId="6" xfId="3" applyFont="1" applyFill="1" applyBorder="1" applyAlignment="1" applyProtection="1">
      <alignment horizontal="center" vertical="center" wrapText="1"/>
      <protection locked="0"/>
    </xf>
    <xf numFmtId="0" fontId="21" fillId="0" borderId="7" xfId="3" applyFont="1" applyFill="1" applyBorder="1" applyAlignment="1" applyProtection="1">
      <alignment horizontal="center" vertical="center" wrapText="1"/>
      <protection locked="0"/>
    </xf>
    <xf numFmtId="0" fontId="21" fillId="0" borderId="1" xfId="3" applyNumberFormat="1" applyFont="1" applyFill="1" applyBorder="1" applyAlignment="1" applyProtection="1">
      <alignment horizontal="center" vertical="center" wrapText="1"/>
      <protection locked="0"/>
    </xf>
    <xf numFmtId="0" fontId="21" fillId="0" borderId="5" xfId="3" applyNumberFormat="1" applyFont="1" applyFill="1" applyBorder="1" applyAlignment="1" applyProtection="1">
      <alignment horizontal="center" vertical="center" wrapText="1"/>
      <protection locked="0"/>
    </xf>
    <xf numFmtId="0" fontId="21" fillId="0" borderId="7"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21" fillId="0" borderId="2" xfId="3" applyFont="1" applyFill="1" applyBorder="1" applyAlignment="1" applyProtection="1">
      <alignment horizontal="center" vertical="center" wrapText="1"/>
      <protection locked="0"/>
    </xf>
    <xf numFmtId="0" fontId="21" fillId="0" borderId="4" xfId="3" applyFont="1" applyFill="1" applyBorder="1" applyAlignment="1" applyProtection="1">
      <alignment horizontal="center" vertical="center" wrapText="1"/>
      <protection locked="0"/>
    </xf>
    <xf numFmtId="0" fontId="22" fillId="0" borderId="2" xfId="3" applyNumberFormat="1" applyFont="1" applyFill="1" applyBorder="1" applyAlignment="1" applyProtection="1">
      <alignment horizontal="center" vertical="center" wrapText="1"/>
      <protection locked="0"/>
    </xf>
    <xf numFmtId="0" fontId="22" fillId="0" borderId="4" xfId="3" applyNumberFormat="1" applyFont="1" applyFill="1" applyBorder="1" applyAlignment="1" applyProtection="1">
      <alignment horizontal="center" vertical="center" wrapText="1"/>
      <protection locked="0"/>
    </xf>
    <xf numFmtId="0" fontId="22" fillId="0" borderId="1" xfId="3" applyFont="1" applyFill="1" applyBorder="1" applyAlignment="1" applyProtection="1">
      <alignment horizontal="center" vertical="center" wrapText="1"/>
      <protection locked="0"/>
    </xf>
    <xf numFmtId="0" fontId="22" fillId="0" borderId="1" xfId="3" applyNumberFormat="1" applyFont="1" applyFill="1" applyBorder="1" applyAlignment="1" applyProtection="1">
      <alignment horizontal="center" vertical="center" wrapText="1"/>
      <protection locked="0"/>
    </xf>
    <xf numFmtId="0" fontId="3" fillId="0" borderId="2" xfId="5" applyNumberFormat="1" applyFont="1" applyBorder="1" applyAlignment="1" applyProtection="1">
      <alignment horizontal="center" vertical="top" wrapText="1"/>
      <protection locked="0"/>
    </xf>
    <xf numFmtId="0" fontId="27" fillId="0" borderId="3" xfId="0" applyFont="1" applyBorder="1"/>
    <xf numFmtId="0" fontId="27" fillId="0" borderId="4" xfId="0" applyFont="1" applyBorder="1"/>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3" fillId="0" borderId="4" xfId="5" applyNumberFormat="1" applyFont="1" applyBorder="1" applyAlignment="1" applyProtection="1">
      <alignment horizontal="left" vertical="top" wrapText="1"/>
      <protection locked="0"/>
    </xf>
    <xf numFmtId="9" fontId="22" fillId="0" borderId="1" xfId="7" applyFont="1" applyFill="1" applyBorder="1" applyAlignment="1" applyProtection="1">
      <alignment horizontal="center" vertical="center" wrapText="1"/>
      <protection locked="0"/>
    </xf>
    <xf numFmtId="0" fontId="22" fillId="0" borderId="5" xfId="3" applyFont="1" applyFill="1" applyBorder="1" applyAlignment="1" applyProtection="1">
      <alignment horizontal="center" vertical="center" wrapText="1"/>
      <protection locked="0"/>
    </xf>
    <xf numFmtId="0" fontId="22" fillId="0" borderId="6" xfId="3" applyFont="1" applyFill="1" applyBorder="1" applyAlignment="1" applyProtection="1">
      <alignment horizontal="center" vertical="center" wrapText="1"/>
      <protection locked="0"/>
    </xf>
    <xf numFmtId="0" fontId="22" fillId="0" borderId="7" xfId="3" applyFont="1" applyFill="1" applyBorder="1" applyAlignment="1" applyProtection="1">
      <alignment horizontal="center" vertical="center" wrapText="1"/>
      <protection locked="0"/>
    </xf>
    <xf numFmtId="0" fontId="27" fillId="0" borderId="3" xfId="0" applyFont="1" applyBorder="1" applyAlignment="1">
      <alignment wrapText="1"/>
    </xf>
    <xf numFmtId="0" fontId="27" fillId="0" borderId="4" xfId="0" applyFont="1" applyBorder="1" applyAlignment="1">
      <alignment wrapText="1"/>
    </xf>
    <xf numFmtId="0" fontId="3" fillId="0" borderId="2" xfId="0" quotePrefix="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43" fontId="3" fillId="0" borderId="2" xfId="1" applyFont="1" applyFill="1" applyBorder="1" applyAlignment="1">
      <alignment horizontal="left" vertical="top" wrapText="1"/>
    </xf>
    <xf numFmtId="0" fontId="12" fillId="0" borderId="1" xfId="3" applyFont="1" applyFill="1" applyBorder="1" applyAlignment="1" applyProtection="1">
      <alignment horizontal="center" vertical="center" wrapText="1"/>
      <protection locked="0"/>
    </xf>
    <xf numFmtId="0" fontId="12" fillId="0" borderId="1" xfId="3" applyNumberFormat="1" applyFont="1" applyFill="1" applyBorder="1" applyAlignment="1" applyProtection="1">
      <alignment horizontal="center" vertical="center" wrapText="1"/>
      <protection locked="0"/>
    </xf>
    <xf numFmtId="9" fontId="12" fillId="0" borderId="1" xfId="7" applyFont="1" applyFill="1" applyBorder="1" applyAlignment="1" applyProtection="1">
      <alignment horizontal="center" vertical="center" wrapText="1"/>
      <protection locked="0"/>
    </xf>
    <xf numFmtId="0" fontId="23" fillId="0" borderId="5"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47" fillId="0" borderId="1" xfId="3" applyNumberFormat="1" applyFont="1" applyFill="1" applyBorder="1" applyAlignment="1" applyProtection="1">
      <alignment horizontal="center" vertical="center" wrapText="1"/>
      <protection locked="0"/>
    </xf>
    <xf numFmtId="0" fontId="12" fillId="0" borderId="2" xfId="3" applyNumberFormat="1" applyFont="1" applyFill="1" applyBorder="1" applyAlignment="1" applyProtection="1">
      <alignment horizontal="center" vertical="center" wrapText="1"/>
      <protection locked="0"/>
    </xf>
    <xf numFmtId="0" fontId="12" fillId="0" borderId="4" xfId="3" applyNumberFormat="1" applyFont="1" applyFill="1" applyBorder="1" applyAlignment="1" applyProtection="1">
      <alignment horizontal="center" vertical="center" wrapText="1"/>
      <protection locked="0"/>
    </xf>
    <xf numFmtId="0" fontId="12" fillId="0" borderId="5" xfId="3" applyFont="1" applyFill="1" applyBorder="1" applyAlignment="1" applyProtection="1">
      <alignment horizontal="center" vertical="center" wrapText="1"/>
      <protection locked="0"/>
    </xf>
    <xf numFmtId="0" fontId="12" fillId="0" borderId="6" xfId="3" applyFont="1" applyFill="1" applyBorder="1" applyAlignment="1" applyProtection="1">
      <alignment horizontal="center" vertical="center" wrapText="1"/>
      <protection locked="0"/>
    </xf>
    <xf numFmtId="0" fontId="12" fillId="0" borderId="7" xfId="3" applyFont="1" applyFill="1" applyBorder="1" applyAlignment="1" applyProtection="1">
      <alignment horizontal="center" vertical="center" wrapText="1"/>
      <protection locked="0"/>
    </xf>
    <xf numFmtId="0" fontId="30" fillId="0" borderId="1" xfId="3" applyNumberFormat="1" applyFont="1" applyFill="1" applyBorder="1" applyAlignment="1" applyProtection="1">
      <alignment horizontal="center" vertical="center" wrapText="1"/>
      <protection locked="0"/>
    </xf>
    <xf numFmtId="0" fontId="30" fillId="0" borderId="5" xfId="3" applyFont="1" applyFill="1" applyBorder="1" applyAlignment="1" applyProtection="1">
      <alignment horizontal="center" vertical="center" wrapText="1"/>
      <protection locked="0"/>
    </xf>
    <xf numFmtId="0" fontId="30" fillId="0" borderId="6" xfId="3" applyFont="1" applyFill="1" applyBorder="1" applyAlignment="1" applyProtection="1">
      <alignment horizontal="center" vertical="center" wrapText="1"/>
      <protection locked="0"/>
    </xf>
    <xf numFmtId="0" fontId="30" fillId="0" borderId="7" xfId="3" applyFont="1" applyFill="1" applyBorder="1" applyAlignment="1" applyProtection="1">
      <alignment horizontal="center" vertical="center" wrapText="1"/>
      <protection locked="0"/>
    </xf>
    <xf numFmtId="0" fontId="30" fillId="0" borderId="1" xfId="3" applyFont="1" applyFill="1" applyBorder="1" applyAlignment="1" applyProtection="1">
      <alignment horizontal="center" vertical="center" wrapText="1"/>
      <protection locked="0"/>
    </xf>
    <xf numFmtId="0" fontId="30" fillId="0" borderId="18" xfId="3" applyNumberFormat="1" applyFont="1" applyFill="1" applyBorder="1" applyAlignment="1" applyProtection="1">
      <alignment horizontal="center" vertical="center" wrapText="1"/>
      <protection locked="0"/>
    </xf>
    <xf numFmtId="0" fontId="30" fillId="0" borderId="19" xfId="3" applyNumberFormat="1" applyFont="1" applyFill="1" applyBorder="1" applyAlignment="1" applyProtection="1">
      <alignment horizontal="center" vertical="center" wrapText="1"/>
      <protection locked="0"/>
    </xf>
    <xf numFmtId="0" fontId="3" fillId="0" borderId="2" xfId="0" applyFont="1" applyFill="1" applyBorder="1" applyAlignment="1">
      <alignment horizontal="justify" vertical="top" wrapText="1"/>
    </xf>
    <xf numFmtId="0" fontId="3" fillId="0" borderId="4" xfId="0" applyFont="1" applyFill="1" applyBorder="1" applyAlignment="1">
      <alignment horizontal="justify" vertical="top"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9" fontId="30" fillId="0" borderId="2" xfId="7" applyFont="1" applyFill="1" applyBorder="1" applyAlignment="1" applyProtection="1">
      <alignment horizontal="center" vertical="center" wrapText="1"/>
      <protection locked="0"/>
    </xf>
    <xf numFmtId="9" fontId="30" fillId="0" borderId="4" xfId="7" applyFont="1" applyFill="1" applyBorder="1" applyAlignment="1" applyProtection="1">
      <alignment horizontal="center" vertical="center" wrapText="1"/>
      <protection locked="0"/>
    </xf>
    <xf numFmtId="0" fontId="3" fillId="0" borderId="2"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3" fontId="3" fillId="0" borderId="4"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69" fillId="7" borderId="5" xfId="0" applyFont="1" applyFill="1" applyBorder="1" applyAlignment="1">
      <alignment horizontal="center" vertical="center" wrapText="1"/>
    </xf>
    <xf numFmtId="0" fontId="69" fillId="7" borderId="7"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35" fillId="0" borderId="2" xfId="0" applyFont="1" applyFill="1" applyBorder="1" applyAlignment="1">
      <alignment horizontal="left" vertical="top" wrapText="1"/>
    </xf>
    <xf numFmtId="0" fontId="35" fillId="0" borderId="4" xfId="0" applyFont="1" applyFill="1" applyBorder="1" applyAlignment="1">
      <alignment horizontal="left" vertical="top" wrapText="1"/>
    </xf>
    <xf numFmtId="0" fontId="33" fillId="0" borderId="5" xfId="0" applyFont="1" applyFill="1" applyBorder="1" applyAlignment="1">
      <alignment horizontal="center" vertical="center" wrapText="1"/>
    </xf>
    <xf numFmtId="0" fontId="33" fillId="0" borderId="7" xfId="0" applyFont="1" applyFill="1" applyBorder="1" applyAlignment="1">
      <alignment horizontal="center" vertical="center" wrapText="1"/>
    </xf>
    <xf numFmtId="0" fontId="34" fillId="7" borderId="5" xfId="0" applyFont="1" applyFill="1" applyBorder="1" applyAlignment="1">
      <alignment horizontal="center" vertical="center" wrapText="1"/>
    </xf>
    <xf numFmtId="0" fontId="34" fillId="7" borderId="7" xfId="0" applyFont="1" applyFill="1" applyBorder="1" applyAlignment="1">
      <alignment horizontal="center" vertical="center" wrapText="1"/>
    </xf>
    <xf numFmtId="0" fontId="35" fillId="7" borderId="5" xfId="0" applyFont="1" applyFill="1" applyBorder="1" applyAlignment="1">
      <alignment horizontal="center" vertical="center" wrapText="1"/>
    </xf>
    <xf numFmtId="0" fontId="35" fillId="7" borderId="7"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43" fillId="7" borderId="5" xfId="0" applyFont="1" applyFill="1" applyBorder="1" applyAlignment="1">
      <alignment horizontal="left" vertical="center" wrapText="1"/>
    </xf>
    <xf numFmtId="0" fontId="43" fillId="7" borderId="7" xfId="0" applyFont="1" applyFill="1" applyBorder="1" applyAlignment="1">
      <alignment horizontal="left" vertical="center" wrapText="1"/>
    </xf>
    <xf numFmtId="0" fontId="43" fillId="7" borderId="6"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3" fillId="7" borderId="5" xfId="0" applyFont="1" applyFill="1" applyBorder="1" applyAlignment="1">
      <alignment horizontal="center" vertical="center" wrapText="1"/>
    </xf>
    <xf numFmtId="0" fontId="43" fillId="7" borderId="7"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5" borderId="5" xfId="0" applyFont="1" applyFill="1" applyBorder="1" applyAlignment="1">
      <alignment horizontal="left" vertical="top" wrapText="1"/>
    </xf>
    <xf numFmtId="0" fontId="48" fillId="5" borderId="6" xfId="0" applyFont="1" applyFill="1" applyBorder="1" applyAlignment="1">
      <alignment horizontal="left" vertical="top" wrapText="1"/>
    </xf>
    <xf numFmtId="0" fontId="48" fillId="5" borderId="7" xfId="0" applyFont="1" applyFill="1" applyBorder="1" applyAlignment="1">
      <alignment horizontal="left" vertical="top" wrapText="1"/>
    </xf>
    <xf numFmtId="0" fontId="68" fillId="0" borderId="5" xfId="0" applyFont="1" applyFill="1" applyBorder="1" applyAlignment="1">
      <alignment horizontal="center" vertical="center" wrapText="1"/>
    </xf>
    <xf numFmtId="0" fontId="68" fillId="0" borderId="7" xfId="0" applyFont="1" applyFill="1" applyBorder="1" applyAlignment="1">
      <alignment horizontal="center" vertical="center" wrapText="1"/>
    </xf>
    <xf numFmtId="0" fontId="48" fillId="0" borderId="1" xfId="0" applyFont="1" applyFill="1" applyBorder="1" applyAlignment="1">
      <alignment horizontal="center" vertical="top" wrapText="1"/>
    </xf>
    <xf numFmtId="0" fontId="33" fillId="0" borderId="6" xfId="0" applyFont="1" applyFill="1" applyBorder="1" applyAlignment="1">
      <alignment horizontal="center" vertical="center" wrapText="1"/>
    </xf>
    <xf numFmtId="0" fontId="34" fillId="7" borderId="6" xfId="0" applyFont="1" applyFill="1" applyBorder="1" applyAlignment="1">
      <alignment horizontal="center" vertical="center" wrapText="1"/>
    </xf>
    <xf numFmtId="0" fontId="35" fillId="0" borderId="2" xfId="0" applyFont="1" applyFill="1" applyBorder="1" applyAlignment="1">
      <alignment horizontal="center" vertical="top" wrapText="1"/>
    </xf>
    <xf numFmtId="0" fontId="35" fillId="0" borderId="4" xfId="0" applyFont="1" applyFill="1" applyBorder="1" applyAlignment="1">
      <alignment horizontal="center" vertical="top" wrapText="1"/>
    </xf>
    <xf numFmtId="0" fontId="35" fillId="15" borderId="1" xfId="0" applyFont="1" applyFill="1" applyBorder="1" applyAlignment="1">
      <alignment horizontal="left" vertical="top" wrapText="1"/>
    </xf>
    <xf numFmtId="0" fontId="35" fillId="15" borderId="2" xfId="0" applyFont="1" applyFill="1" applyBorder="1" applyAlignment="1">
      <alignment horizontal="left" vertical="top" wrapText="1"/>
    </xf>
    <xf numFmtId="0" fontId="35" fillId="15" borderId="4" xfId="0" applyFont="1" applyFill="1" applyBorder="1" applyAlignment="1">
      <alignment horizontal="left" vertical="top" wrapText="1"/>
    </xf>
  </cellXfs>
  <cellStyles count="23">
    <cellStyle name="Comma" xfId="1" builtinId="3"/>
    <cellStyle name="Comma [0]" xfId="2" builtinId="6"/>
    <cellStyle name="Comma [0] 2" xfId="10"/>
    <cellStyle name="Comma [0] 2 2" xfId="17"/>
    <cellStyle name="Comma [0] 3" xfId="11"/>
    <cellStyle name="Comma [0] 3 2" xfId="22"/>
    <cellStyle name="Comma [0] 4" xfId="21"/>
    <cellStyle name="Comma 2" xfId="20"/>
    <cellStyle name="Comma 3" xfId="14"/>
    <cellStyle name="Comma 6" xfId="12"/>
    <cellStyle name="Currency" xfId="18" builtinId="4"/>
    <cellStyle name="Currency [0] 2" xfId="9"/>
    <cellStyle name="Normal" xfId="0" builtinId="0"/>
    <cellStyle name="Normal 10" xfId="8"/>
    <cellStyle name="Normal 2" xfId="3"/>
    <cellStyle name="Normal 2 2" xfId="16"/>
    <cellStyle name="Normal 2 3" xfId="15"/>
    <cellStyle name="Normal 3" xfId="4"/>
    <cellStyle name="Normal 4" xfId="5"/>
    <cellStyle name="Normal 5" xfId="19"/>
    <cellStyle name="Percent" xfId="6" builtinId="5"/>
    <cellStyle name="Percent 2" xfId="7"/>
    <cellStyle name="Percent 3" xfId="1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k-Bambang\AppData\Roaming\Microsoft\Excel\x%20dari%20misi%20ke%20misi%20tabel%20Permen%2054_4%20Mis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x%20renstra%20SKPD%202014-2018\x%20Kantor\perubh%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x%20renstra%20SKPD%202014-2018\x%20Setda\x%20Bagian%20Pemerintahan%20Des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20lampiran%20anggaran%20misi%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xxx\x%20dari%20misi%20ke%20misi%20tabel%20Permen%2054_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isi misi"/>
      <sheetName val="TABEL PER URUSAN"/>
      <sheetName val="TABEL PER ASPEK"/>
      <sheetName val="matrik 1_ok"/>
      <sheetName val="matrik 2_ok"/>
      <sheetName val="matrik 3_ok"/>
      <sheetName val="matrik 4_ok"/>
      <sheetName val="matrik 5 _ok"/>
      <sheetName val="matrik 6_ok"/>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URUSAN"/>
      <sheetName val="note"/>
      <sheetName val="program"/>
      <sheetName val="bu in misi 6 suplemen"/>
      <sheetName val="program kegiatan"/>
      <sheetName val="tabel BAB 5"/>
    </sheetNames>
    <sheetDataSet>
      <sheetData sheetId="0" refreshError="1"/>
      <sheetData sheetId="1" refreshError="1"/>
      <sheetData sheetId="2" refreshError="1"/>
      <sheetData sheetId="3" refreshError="1"/>
      <sheetData sheetId="4" refreshError="1"/>
      <sheetData sheetId="5" refreshError="1"/>
      <sheetData sheetId="6" refreshError="1">
        <row r="5">
          <cell r="B5" t="str">
            <v>URUSAN</v>
          </cell>
          <cell r="P5" t="str">
            <v>PROGRAM</v>
          </cell>
          <cell r="V5" t="str">
            <v>KONDISI AWAL KINERJA</v>
          </cell>
          <cell r="X5" t="str">
            <v>TARGET INDIKATOR SASARAN MISI</v>
          </cell>
          <cell r="AC5" t="str">
            <v>KONDISI AKHIR RPJMD</v>
          </cell>
          <cell r="AD5" t="str">
            <v>TARGET TAHUN</v>
          </cell>
          <cell r="AE5" t="str">
            <v>SKPD</v>
          </cell>
        </row>
        <row r="6">
          <cell r="P6" t="str">
            <v>KODE URUSAN   / PROGRAM</v>
          </cell>
          <cell r="V6">
            <v>2012</v>
          </cell>
          <cell r="W6">
            <v>2013</v>
          </cell>
          <cell r="X6">
            <v>2014</v>
          </cell>
          <cell r="Y6">
            <v>2015</v>
          </cell>
          <cell r="Z6">
            <v>2016</v>
          </cell>
          <cell r="AA6">
            <v>2017</v>
          </cell>
          <cell r="AB6">
            <v>2018</v>
          </cell>
          <cell r="AD6">
            <v>2019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53">
          <cell r="H53">
            <v>13500000</v>
          </cell>
        </row>
        <row r="54">
          <cell r="H54">
            <v>49946000</v>
          </cell>
        </row>
        <row r="56">
          <cell r="H56">
            <v>14398500</v>
          </cell>
        </row>
        <row r="79">
          <cell r="H79">
            <v>34062000</v>
          </cell>
        </row>
        <row r="95">
          <cell r="H95">
            <v>20000000</v>
          </cell>
        </row>
        <row r="96">
          <cell r="H96">
            <v>20000000</v>
          </cell>
        </row>
        <row r="98">
          <cell r="I98">
            <v>23509000</v>
          </cell>
        </row>
        <row r="99">
          <cell r="H99">
            <v>74241500</v>
          </cell>
        </row>
        <row r="100">
          <cell r="H100">
            <v>19344000</v>
          </cell>
        </row>
        <row r="115">
          <cell r="H115">
            <v>4996000</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daran"/>
      <sheetName val="pemb desa"/>
    </sheetNames>
    <sheetDataSet>
      <sheetData sheetId="0" refreshError="1"/>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visi misi"/>
      <sheetName val="TABEL PER ASPEK (1)"/>
      <sheetName val="TABEL PER ASPEK (2)"/>
      <sheetName val="TABEL PER ASPEK (3)"/>
      <sheetName val="TABEL PER URUSAN"/>
      <sheetName val="program"/>
      <sheetName val="jangan dihapus 2"/>
      <sheetName val="TABEL ANGGARAN"/>
      <sheetName val="Sheet2"/>
      <sheetName val="matrik MISI 1"/>
      <sheetName val="matrik MISI 2"/>
      <sheetName val="matrik MISI 3.1"/>
      <sheetName val="matrik MISI 3"/>
      <sheetName val="matrik MISI 4"/>
      <sheetName val="matrik MISI 5"/>
      <sheetName val="matrik MISI 6"/>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Sheet1"/>
      <sheetName val="cover"/>
      <sheetName val="Shee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6">
          <cell r="B6" t="str">
            <v>PERTANIAN</v>
          </cell>
        </row>
        <row r="7">
          <cell r="P7" t="str">
            <v>2.01.</v>
          </cell>
          <cell r="Q7" t="str">
            <v>xx</v>
          </cell>
          <cell r="R7">
            <v>18</v>
          </cell>
          <cell r="S7" t="str">
            <v>Program Peningkatan Penerapan Teknologi Pertanian / Peternakan / Perkebunan</v>
          </cell>
          <cell r="AF7" t="str">
            <v>DINTANBUNHUT</v>
          </cell>
        </row>
        <row r="12">
          <cell r="P12" t="str">
            <v>2.01</v>
          </cell>
          <cell r="Q12" t="str">
            <v>xx</v>
          </cell>
          <cell r="R12">
            <v>17</v>
          </cell>
          <cell r="S12" t="str">
            <v>Program Peningkatan Pemasaran hasil produksi pertanian/perkebunan</v>
          </cell>
          <cell r="AF12" t="str">
            <v>DINTANBUNHUT</v>
          </cell>
        </row>
        <row r="13">
          <cell r="P13" t="str">
            <v>2.01</v>
          </cell>
          <cell r="Q13" t="str">
            <v>xx</v>
          </cell>
          <cell r="R13">
            <v>19</v>
          </cell>
          <cell r="S13" t="str">
            <v>Program peningkatan produksi pertanian/perkebunan</v>
          </cell>
          <cell r="AF13" t="str">
            <v>DINTANBUNHUT</v>
          </cell>
        </row>
        <row r="14">
          <cell r="P14" t="str">
            <v>2.01</v>
          </cell>
          <cell r="Q14" t="str">
            <v>xx</v>
          </cell>
          <cell r="R14">
            <v>21</v>
          </cell>
          <cell r="S14" t="str">
            <v>Program pencegahan dan penanggulangan penyakit ternak</v>
          </cell>
          <cell r="AF14" t="str">
            <v>DINAKAN</v>
          </cell>
        </row>
        <row r="26">
          <cell r="R26">
            <v>22</v>
          </cell>
          <cell r="S26" t="str">
            <v>Program Peningkatan Produksi Hasil peternakan</v>
          </cell>
          <cell r="AF26" t="str">
            <v>DINAKAN</v>
          </cell>
        </row>
        <row r="35">
          <cell r="P35" t="str">
            <v>2.01.</v>
          </cell>
          <cell r="Q35" t="str">
            <v>xx</v>
          </cell>
          <cell r="R35">
            <v>20</v>
          </cell>
          <cell r="S35" t="str">
            <v>Program Pemberdayaan Penyuluh Pertanian, Perikanan dan Kehutanan</v>
          </cell>
          <cell r="AF35" t="str">
            <v>BAPELUH</v>
          </cell>
        </row>
        <row r="37">
          <cell r="P37" t="str">
            <v>2.01.</v>
          </cell>
          <cell r="Q37" t="str">
            <v>xx</v>
          </cell>
          <cell r="R37">
            <v>25</v>
          </cell>
          <cell r="S37" t="str">
            <v>Program Pemberdayaan Petani</v>
          </cell>
          <cell r="AF37" t="str">
            <v>BAPELUH</v>
          </cell>
        </row>
        <row r="46">
          <cell r="P46" t="str">
            <v>2.01</v>
          </cell>
          <cell r="Q46" t="str">
            <v>xx</v>
          </cell>
          <cell r="R46">
            <v>27</v>
          </cell>
          <cell r="S46" t="str">
            <v>Program Pengembangan Agribisnis</v>
          </cell>
          <cell r="AF46" t="str">
            <v>DINTANBUNHUT</v>
          </cell>
        </row>
        <row r="47">
          <cell r="B47" t="str">
            <v>KELAUTAN DAN PERIKANAN</v>
          </cell>
        </row>
        <row r="48">
          <cell r="P48" t="str">
            <v>2.05</v>
          </cell>
          <cell r="Q48" t="str">
            <v>xx</v>
          </cell>
          <cell r="R48">
            <v>20</v>
          </cell>
          <cell r="S48" t="str">
            <v>Program Pengembangan Budidaya Perikanan</v>
          </cell>
          <cell r="AF48" t="str">
            <v>DINAKAN</v>
          </cell>
        </row>
        <row r="55">
          <cell r="P55" t="str">
            <v>2.05</v>
          </cell>
          <cell r="Q55" t="str">
            <v>xx</v>
          </cell>
          <cell r="R55">
            <v>23</v>
          </cell>
          <cell r="S55" t="str">
            <v>Program Optimalisasi pengelolaan dan Pemasaran Produksi Perikanan</v>
          </cell>
          <cell r="AF55" t="str">
            <v>DINAKAN</v>
          </cell>
        </row>
        <row r="57">
          <cell r="P57" t="str">
            <v>2.05</v>
          </cell>
          <cell r="Q57" t="str">
            <v>xx</v>
          </cell>
          <cell r="R57">
            <v>24</v>
          </cell>
          <cell r="S57" t="str">
            <v>Program Pengembangan Kawasan budidaya air tawar</v>
          </cell>
          <cell r="AF57" t="str">
            <v>DINAKAN</v>
          </cell>
        </row>
        <row r="58">
          <cell r="P58" t="str">
            <v>2.05</v>
          </cell>
          <cell r="Q58" t="str">
            <v>xx</v>
          </cell>
          <cell r="R58">
            <v>21</v>
          </cell>
          <cell r="S58" t="str">
            <v>Program Pengembangan Perikanan Tangkap</v>
          </cell>
          <cell r="AF58" t="str">
            <v>DINAKAN</v>
          </cell>
        </row>
        <row r="68">
          <cell r="B68" t="str">
            <v>PARIWISATA</v>
          </cell>
        </row>
        <row r="69">
          <cell r="P69" t="str">
            <v>2.04</v>
          </cell>
          <cell r="Q69" t="str">
            <v>xx</v>
          </cell>
          <cell r="R69">
            <v>16</v>
          </cell>
          <cell r="S69" t="str">
            <v xml:space="preserve">Program Pengembangan destinasi Wisata </v>
          </cell>
          <cell r="AF69" t="str">
            <v>DISBUDPARPORA</v>
          </cell>
        </row>
        <row r="72">
          <cell r="P72" t="str">
            <v>2.04</v>
          </cell>
          <cell r="Q72" t="str">
            <v>xx</v>
          </cell>
          <cell r="S72" t="str">
            <v xml:space="preserve">Program Pengembangan Produk Wisata </v>
          </cell>
          <cell r="AF72" t="str">
            <v>DISBUDPARPORA</v>
          </cell>
        </row>
        <row r="74">
          <cell r="P74" t="str">
            <v>2.04</v>
          </cell>
          <cell r="Q74" t="str">
            <v>xx</v>
          </cell>
          <cell r="R74">
            <v>17</v>
          </cell>
          <cell r="S74" t="str">
            <v xml:space="preserve">Program Pengembangan Kemitraan </v>
          </cell>
          <cell r="AF74" t="str">
            <v>DISBUDPARPORA</v>
          </cell>
        </row>
        <row r="75">
          <cell r="B75" t="str">
            <v>PERINDUSTRIAN</v>
          </cell>
        </row>
        <row r="76">
          <cell r="P76" t="str">
            <v>2.07</v>
          </cell>
          <cell r="Q76" t="str">
            <v>xx</v>
          </cell>
          <cell r="R76">
            <v>16</v>
          </cell>
          <cell r="S76" t="str">
            <v>Program Industri Kecil dan Menengah</v>
          </cell>
          <cell r="AF76" t="str">
            <v>DISPERINDAGKOP DAN UMKM</v>
          </cell>
        </row>
        <row r="79">
          <cell r="B79" t="str">
            <v>PERDAGANGAN</v>
          </cell>
        </row>
        <row r="80">
          <cell r="P80" t="str">
            <v>2.06</v>
          </cell>
          <cell r="Q80" t="str">
            <v>xx</v>
          </cell>
          <cell r="R80">
            <v>21</v>
          </cell>
          <cell r="S80" t="str">
            <v>Program Peningkatan Sarana dan Prasarana Lainnya</v>
          </cell>
          <cell r="AF80" t="str">
            <v>DISPERINDAGKOP DAN UMKM</v>
          </cell>
        </row>
        <row r="81">
          <cell r="P81" t="str">
            <v>2.06</v>
          </cell>
          <cell r="Q81" t="str">
            <v>xx</v>
          </cell>
          <cell r="R81">
            <v>20</v>
          </cell>
          <cell r="S81" t="str">
            <v>Program Pengelolaan Pasar Daerah</v>
          </cell>
          <cell r="AF81" t="str">
            <v>DISPERINDAGKOP DAN UMKM</v>
          </cell>
        </row>
        <row r="83">
          <cell r="P83" t="str">
            <v>2.06</v>
          </cell>
          <cell r="Q83" t="str">
            <v>xx</v>
          </cell>
          <cell r="R83">
            <v>17</v>
          </cell>
          <cell r="S83" t="str">
            <v>Program Peningkatan dan pengembangan  ekspor</v>
          </cell>
          <cell r="AF83" t="str">
            <v>DISPERINDAGKOP DAN UMKM</v>
          </cell>
        </row>
        <row r="85">
          <cell r="P85" t="str">
            <v>2.06</v>
          </cell>
          <cell r="Q85" t="str">
            <v>xx</v>
          </cell>
          <cell r="R85">
            <v>19</v>
          </cell>
          <cell r="S85" t="str">
            <v>Pembinaan pedagang Kaki lima dan Asongan</v>
          </cell>
          <cell r="AF85" t="str">
            <v>DISPERINDAGKOP DAN UMKM</v>
          </cell>
        </row>
        <row r="87">
          <cell r="P87" t="str">
            <v>2.06</v>
          </cell>
          <cell r="Q87" t="str">
            <v>xx</v>
          </cell>
          <cell r="R87">
            <v>15</v>
          </cell>
          <cell r="S87" t="str">
            <v>Perlindungan Konsumen</v>
          </cell>
          <cell r="AF87" t="str">
            <v>DISPERINDAGKOP DAN UMKM</v>
          </cell>
        </row>
        <row r="100">
          <cell r="B100" t="str">
            <v>KEHUTANAN</v>
          </cell>
        </row>
        <row r="101">
          <cell r="P101" t="str">
            <v>2.02</v>
          </cell>
          <cell r="Q101" t="str">
            <v>xx</v>
          </cell>
          <cell r="R101">
            <v>16</v>
          </cell>
          <cell r="S101" t="str">
            <v>Program Rehabilitasi Hutan dan Lahan</v>
          </cell>
          <cell r="AF101" t="str">
            <v>DINTANBUNHUT</v>
          </cell>
        </row>
        <row r="103">
          <cell r="P103" t="str">
            <v>2.02</v>
          </cell>
          <cell r="Q103" t="str">
            <v>xx</v>
          </cell>
          <cell r="R103">
            <v>17</v>
          </cell>
          <cell r="S103" t="str">
            <v>Program Perlindungan dan Konservasi Sumber Daya Hutan</v>
          </cell>
          <cell r="AF103" t="str">
            <v>DINTANBUNHUT</v>
          </cell>
        </row>
        <row r="104">
          <cell r="P104" t="str">
            <v>2.02</v>
          </cell>
          <cell r="Q104" t="str">
            <v>xx</v>
          </cell>
          <cell r="R104">
            <v>19</v>
          </cell>
          <cell r="S104" t="str">
            <v>Program Pembinaan dan Penertiban Industri Hasil Hutan</v>
          </cell>
          <cell r="AF104" t="str">
            <v>DINTANBUNHUT</v>
          </cell>
        </row>
      </sheetData>
      <sheetData sheetId="10">
        <row r="52">
          <cell r="B52" t="str">
            <v>TRANSMIGRASI</v>
          </cell>
        </row>
        <row r="53">
          <cell r="P53">
            <v>2.08</v>
          </cell>
          <cell r="Q53" t="str">
            <v>xx</v>
          </cell>
          <cell r="R53">
            <v>15</v>
          </cell>
          <cell r="S53" t="str">
            <v>Program Pengembangan Wilayah Transmigrasi</v>
          </cell>
          <cell r="AE53" t="str">
            <v>Disnakertran</v>
          </cell>
        </row>
      </sheetData>
      <sheetData sheetId="11">
        <row r="6">
          <cell r="B6" t="str">
            <v>PEKERJAAN UMUM</v>
          </cell>
        </row>
        <row r="7">
          <cell r="P7">
            <v>1.03</v>
          </cell>
          <cell r="Q7" t="str">
            <v>xx</v>
          </cell>
          <cell r="R7">
            <v>15</v>
          </cell>
          <cell r="S7" t="str">
            <v>Program Pembangunan Jalan dan Jembatan</v>
          </cell>
          <cell r="AE7" t="str">
            <v>DPU</v>
          </cell>
        </row>
        <row r="10">
          <cell r="P10">
            <v>1.03</v>
          </cell>
          <cell r="Q10" t="str">
            <v>xx</v>
          </cell>
          <cell r="R10">
            <v>18</v>
          </cell>
          <cell r="S10" t="str">
            <v>Program rehabilitasi/ pemeliharaan Jalan dan Jembatan</v>
          </cell>
          <cell r="AE10" t="str">
            <v>DPU</v>
          </cell>
        </row>
        <row r="16">
          <cell r="P16">
            <v>1.03</v>
          </cell>
          <cell r="Q16" t="str">
            <v>xx</v>
          </cell>
          <cell r="R16">
            <v>22</v>
          </cell>
          <cell r="AE16" t="str">
            <v>DPU</v>
          </cell>
        </row>
        <row r="17">
          <cell r="AE17" t="str">
            <v>DPU</v>
          </cell>
        </row>
        <row r="18">
          <cell r="P18">
            <v>1.03</v>
          </cell>
          <cell r="Q18" t="str">
            <v>xx</v>
          </cell>
          <cell r="R18">
            <v>23</v>
          </cell>
          <cell r="S18" t="str">
            <v xml:space="preserve">Program peningkatan sarana dan prasarana kebinamargaan </v>
          </cell>
          <cell r="AE18" t="str">
            <v>DPU/Pemerintahan Umum</v>
          </cell>
        </row>
        <row r="22">
          <cell r="P22">
            <v>1.03</v>
          </cell>
          <cell r="Q22" t="str">
            <v>xx</v>
          </cell>
          <cell r="R22">
            <v>26</v>
          </cell>
          <cell r="S22" t="str">
            <v>Program pengembangan, pengelolaan dan konversi sungai, danau dan sumber daya air lainnya</v>
          </cell>
        </row>
        <row r="23">
          <cell r="P23">
            <v>1.03</v>
          </cell>
          <cell r="Q23" t="str">
            <v>xx</v>
          </cell>
          <cell r="R23">
            <v>24</v>
          </cell>
          <cell r="S23" t="str">
            <v>Program pengembangan dan pengelolaan jaringan irigasi, rawa dan jaringan pengairan lainnya</v>
          </cell>
        </row>
        <row r="24">
          <cell r="B24" t="str">
            <v>PERUMAHAN RAKYAT</v>
          </cell>
        </row>
        <row r="25">
          <cell r="P25">
            <v>1.04</v>
          </cell>
          <cell r="Q25" t="str">
            <v>xx</v>
          </cell>
          <cell r="R25">
            <v>15</v>
          </cell>
          <cell r="S25" t="str">
            <v>Program Pengembangan Perumahan</v>
          </cell>
          <cell r="AE25" t="str">
            <v>DPU</v>
          </cell>
        </row>
        <row r="27">
          <cell r="P27">
            <v>1.04</v>
          </cell>
          <cell r="Q27" t="str">
            <v>xx</v>
          </cell>
          <cell r="R27">
            <v>16</v>
          </cell>
          <cell r="S27" t="str">
            <v>Program Lingkungan Sehat Perumahan</v>
          </cell>
          <cell r="AE27" t="str">
            <v>DPU</v>
          </cell>
        </row>
        <row r="34">
          <cell r="P34">
            <v>1.04</v>
          </cell>
          <cell r="Q34" t="str">
            <v>xx</v>
          </cell>
          <cell r="R34">
            <v>18</v>
          </cell>
          <cell r="S34" t="str">
            <v>Program peningkatan kesiagaan dan pencegahan bahaya kebakaran</v>
          </cell>
          <cell r="AE34" t="str">
            <v>DPU</v>
          </cell>
        </row>
        <row r="38">
          <cell r="B38" t="str">
            <v>PENATAAN RUANG</v>
          </cell>
        </row>
        <row r="39">
          <cell r="P39">
            <v>1.05</v>
          </cell>
          <cell r="Q39" t="str">
            <v>xx</v>
          </cell>
          <cell r="R39">
            <v>15</v>
          </cell>
          <cell r="S39" t="str">
            <v>Program Perencanaan Tata Ruang</v>
          </cell>
          <cell r="AE39" t="str">
            <v>DPU/BAPPEDA/KP3M</v>
          </cell>
        </row>
        <row r="41">
          <cell r="P41">
            <v>1.05</v>
          </cell>
          <cell r="Q41" t="str">
            <v>xx</v>
          </cell>
          <cell r="R41">
            <v>16</v>
          </cell>
          <cell r="S41" t="str">
            <v>Program Pemanfaatan Ruang</v>
          </cell>
          <cell r="AE41" t="str">
            <v>DPU/BAPPEDA/KP3M</v>
          </cell>
        </row>
        <row r="42">
          <cell r="P42">
            <v>1.05</v>
          </cell>
          <cell r="Q42" t="str">
            <v>xx</v>
          </cell>
          <cell r="R42">
            <v>17</v>
          </cell>
          <cell r="S42" t="str">
            <v>Program Pengendalian Pemanfaatan Ruang</v>
          </cell>
          <cell r="AE42" t="str">
            <v>DPU/BAPPEDA/KP3M/               SATPOL PP</v>
          </cell>
        </row>
        <row r="46">
          <cell r="P46">
            <v>1.08</v>
          </cell>
          <cell r="Q46" t="str">
            <v>xx</v>
          </cell>
          <cell r="R46">
            <v>24</v>
          </cell>
          <cell r="S46" t="str">
            <v>Program Pengelolaan ruang terbuka hijau (RTH)</v>
          </cell>
          <cell r="AE46" t="str">
            <v>BLH/DPU/BAPPEDA</v>
          </cell>
        </row>
        <row r="48">
          <cell r="P48">
            <v>1.08</v>
          </cell>
          <cell r="Q48" t="str">
            <v>xx</v>
          </cell>
          <cell r="R48">
            <v>20</v>
          </cell>
          <cell r="S48" t="str">
            <v>Program Peningkatan Pengendalian Polusi</v>
          </cell>
          <cell r="AE48" t="str">
            <v>DPU</v>
          </cell>
        </row>
        <row r="49">
          <cell r="P49">
            <v>1.03</v>
          </cell>
          <cell r="Q49" t="str">
            <v>xx</v>
          </cell>
          <cell r="R49">
            <v>31</v>
          </cell>
          <cell r="S49" t="str">
            <v>Pengembangan Prasarana Perkotaan</v>
          </cell>
          <cell r="AE49" t="str">
            <v>DPU</v>
          </cell>
        </row>
        <row r="50">
          <cell r="B50" t="str">
            <v>LINGKUNGAN HIDUP</v>
          </cell>
        </row>
        <row r="51">
          <cell r="P51">
            <v>1.08</v>
          </cell>
          <cell r="Q51" t="str">
            <v>xx</v>
          </cell>
          <cell r="R51">
            <v>15</v>
          </cell>
          <cell r="S51" t="str">
            <v>Program Pengembangan Kinerja Pengelolaan Persampahan</v>
          </cell>
          <cell r="AE51" t="str">
            <v>DPU</v>
          </cell>
        </row>
        <row r="57">
          <cell r="P57">
            <v>1.08</v>
          </cell>
          <cell r="Q57" t="str">
            <v>xx</v>
          </cell>
          <cell r="R57">
            <v>16</v>
          </cell>
          <cell r="S57" t="str">
            <v>Program Pengendalian Pencemaran dan Perusakan Lingkungan Hidup</v>
          </cell>
          <cell r="AE57" t="str">
            <v>BLH</v>
          </cell>
        </row>
        <row r="58">
          <cell r="P58">
            <v>1.08</v>
          </cell>
          <cell r="Q58" t="str">
            <v>xx</v>
          </cell>
          <cell r="R58">
            <v>17</v>
          </cell>
          <cell r="S58" t="str">
            <v>Program Perlindungan dan Konservasi Sumber Daya Alam</v>
          </cell>
          <cell r="AE58" t="str">
            <v>BLH</v>
          </cell>
        </row>
        <row r="59">
          <cell r="P59">
            <v>1.08</v>
          </cell>
          <cell r="Q59" t="str">
            <v>xx</v>
          </cell>
          <cell r="R59">
            <v>18</v>
          </cell>
          <cell r="S59" t="str">
            <v>Program  Rehabilitasi dan Pemulihan Cadangan Sumber daya Alam</v>
          </cell>
          <cell r="AE59" t="str">
            <v>BLH</v>
          </cell>
        </row>
        <row r="60">
          <cell r="P60">
            <v>1.08</v>
          </cell>
          <cell r="Q60" t="str">
            <v>xx</v>
          </cell>
          <cell r="R60">
            <v>19</v>
          </cell>
          <cell r="S60" t="str">
            <v>Program Peningkatan Kualitas dan Akses Informasi Sumber Daya Alam dan Lingkungan Hidup</v>
          </cell>
          <cell r="AE60" t="str">
            <v>BLH</v>
          </cell>
        </row>
        <row r="63">
          <cell r="B63" t="str">
            <v>ENERGI DAN ESDM</v>
          </cell>
        </row>
        <row r="64">
          <cell r="P64" t="str">
            <v>2.03</v>
          </cell>
          <cell r="Q64" t="str">
            <v>xx</v>
          </cell>
          <cell r="R64">
            <v>15</v>
          </cell>
          <cell r="S64" t="str">
            <v>Program pembinaan dan pengawasan bidang pertambangan</v>
          </cell>
          <cell r="AE64" t="str">
            <v>DPU/ Perekonomian</v>
          </cell>
        </row>
        <row r="67">
          <cell r="B67" t="str">
            <v>PERHUBUNGAN</v>
          </cell>
        </row>
        <row r="68">
          <cell r="P68" t="str">
            <v>1.07</v>
          </cell>
          <cell r="Q68" t="str">
            <v>xx</v>
          </cell>
          <cell r="R68">
            <v>16</v>
          </cell>
          <cell r="S68" t="str">
            <v>Program Rehabilitasi dan Pemeliharaan Prasarana dan Fasilitas LLAJ</v>
          </cell>
          <cell r="AE68" t="str">
            <v>DISHUBKOMINFO</v>
          </cell>
        </row>
        <row r="69">
          <cell r="P69" t="str">
            <v>1.07</v>
          </cell>
          <cell r="Q69" t="str">
            <v>xx</v>
          </cell>
          <cell r="R69">
            <v>18</v>
          </cell>
          <cell r="S69" t="str">
            <v>Program Pembangunan  Sarana dan Prasarana Perhubungan</v>
          </cell>
          <cell r="AE69" t="str">
            <v>DISHUBKOMINFO</v>
          </cell>
        </row>
        <row r="72">
          <cell r="P72" t="str">
            <v>1.07</v>
          </cell>
          <cell r="Q72" t="str">
            <v>xx</v>
          </cell>
          <cell r="R72">
            <v>17</v>
          </cell>
          <cell r="S72" t="str">
            <v>Program peningkatan pelayanan angkutan</v>
          </cell>
          <cell r="AE72" t="str">
            <v>DISHUBKOMINFO</v>
          </cell>
        </row>
        <row r="73">
          <cell r="AE73" t="str">
            <v>DISHUBKOMINFO</v>
          </cell>
        </row>
      </sheetData>
      <sheetData sheetId="12" refreshError="1"/>
      <sheetData sheetId="13">
        <row r="8">
          <cell r="B8" t="str">
            <v>PENDIDIKAN</v>
          </cell>
        </row>
        <row r="9">
          <cell r="P9">
            <v>1.01</v>
          </cell>
          <cell r="Q9" t="str">
            <v>xx</v>
          </cell>
          <cell r="R9">
            <v>15</v>
          </cell>
          <cell r="S9" t="str">
            <v>Pendidikan anak usia dini, Wajib belajar pendidikan dasar, Pendidikan menengah , dan Pendidikan nonformal</v>
          </cell>
          <cell r="AE9" t="str">
            <v>Dinas Pendidikan</v>
          </cell>
        </row>
        <row r="11">
          <cell r="P11">
            <v>1.01</v>
          </cell>
          <cell r="Q11" t="str">
            <v>xx</v>
          </cell>
          <cell r="R11">
            <v>20</v>
          </cell>
          <cell r="S11" t="str">
            <v>Program peningkatan mutu pendidik dan tenaga kependidikan</v>
          </cell>
          <cell r="AE11" t="str">
            <v>Dinas Pendidikan</v>
          </cell>
        </row>
        <row r="12">
          <cell r="P12">
            <v>1.01</v>
          </cell>
          <cell r="Q12" t="str">
            <v>xx</v>
          </cell>
          <cell r="R12">
            <v>22</v>
          </cell>
          <cell r="S12" t="str">
            <v>Program manajemen pelayanan pendidikan</v>
          </cell>
          <cell r="AE12" t="str">
            <v>Dinas Pendidikan</v>
          </cell>
        </row>
        <row r="20">
          <cell r="P20">
            <v>1.01</v>
          </cell>
          <cell r="Q20" t="str">
            <v>xx</v>
          </cell>
          <cell r="R20">
            <v>16</v>
          </cell>
          <cell r="S20" t="str">
            <v>Program wajib belajar pendidikan dasar sembilan tahun</v>
          </cell>
          <cell r="AE20" t="str">
            <v>Dinas Pendidikan</v>
          </cell>
        </row>
        <row r="34">
          <cell r="P34">
            <v>1.01</v>
          </cell>
          <cell r="Q34" t="str">
            <v>xx</v>
          </cell>
          <cell r="R34">
            <v>17</v>
          </cell>
          <cell r="S34" t="str">
            <v xml:space="preserve">Program pendidikan menengah </v>
          </cell>
          <cell r="AE34" t="str">
            <v>Dinas Pendidikan</v>
          </cell>
        </row>
        <row r="45">
          <cell r="P45">
            <v>1.01</v>
          </cell>
          <cell r="Q45" t="str">
            <v>xx</v>
          </cell>
          <cell r="R45">
            <v>18</v>
          </cell>
          <cell r="S45" t="str">
            <v>Program Pendidikan Non Formal</v>
          </cell>
          <cell r="AE45" t="str">
            <v>Dinas Pendidikan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visi misi"/>
      <sheetName val="TABEL PER URUSAN"/>
      <sheetName val="TABEL PER ASPEK"/>
      <sheetName val="matrik 1_ok"/>
      <sheetName val="matrik 2_ok"/>
      <sheetName val="matrik 3_ok"/>
      <sheetName val="program"/>
      <sheetName val="matrik 4_ok"/>
      <sheetName val="matrik 5 _ok"/>
      <sheetName val="matrik 6_ok"/>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URUSAN"/>
      <sheetName val="note"/>
      <sheetName val="bu in misi 6 suplemen"/>
      <sheetName val="program kegiatan"/>
      <sheetName val="tabel BAB 5"/>
    </sheetNames>
    <sheetDataSet>
      <sheetData sheetId="0"/>
      <sheetData sheetId="1"/>
      <sheetData sheetId="2"/>
      <sheetData sheetId="3">
        <row r="3">
          <cell r="C3" t="str">
            <v>TUJUAN</v>
          </cell>
          <cell r="E3" t="str">
            <v>SASARAN</v>
          </cell>
          <cell r="I3" t="str">
            <v>ARAH KEBIJAKAN</v>
          </cell>
        </row>
        <row r="4">
          <cell r="C4">
            <v>0</v>
          </cell>
          <cell r="E4">
            <v>0</v>
          </cell>
        </row>
      </sheetData>
      <sheetData sheetId="4">
        <row r="3">
          <cell r="C3" t="str">
            <v>TUJUAN</v>
          </cell>
        </row>
      </sheetData>
      <sheetData sheetId="5">
        <row r="3">
          <cell r="C3" t="str">
            <v>TUJUAN</v>
          </cell>
        </row>
      </sheetData>
      <sheetData sheetId="6"/>
      <sheetData sheetId="7">
        <row r="5">
          <cell r="C5" t="str">
            <v>TUJUAN</v>
          </cell>
        </row>
      </sheetData>
      <sheetData sheetId="8">
        <row r="3">
          <cell r="C3" t="str">
            <v>TUJUAN</v>
          </cell>
        </row>
      </sheetData>
      <sheetData sheetId="9">
        <row r="3">
          <cell r="C3" t="str">
            <v>TUJUAN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AF1498"/>
  <sheetViews>
    <sheetView showGridLines="0" zoomScale="110" zoomScaleNormal="110" workbookViewId="0">
      <pane xSplit="6" ySplit="8" topLeftCell="G656" activePane="bottomRight" state="frozen"/>
      <selection pane="topRight" activeCell="G1" sqref="G1"/>
      <selection pane="bottomLeft" activeCell="A9" sqref="A9"/>
      <selection pane="bottomRight" activeCell="M656" sqref="M656"/>
    </sheetView>
  </sheetViews>
  <sheetFormatPr defaultRowHeight="15"/>
  <cols>
    <col min="1" max="1" width="3.5703125" style="154" customWidth="1"/>
    <col min="2" max="2" width="14.5703125" style="154" customWidth="1"/>
    <col min="3" max="3" width="4.7109375" style="432" customWidth="1"/>
    <col min="4" max="5" width="4.7109375" style="166" customWidth="1"/>
    <col min="6" max="6" width="15" style="433" customWidth="1"/>
    <col min="7" max="7" width="20.7109375" style="154" customWidth="1"/>
    <col min="8" max="10" width="10.7109375" style="154" hidden="1" customWidth="1"/>
    <col min="11" max="11" width="20.7109375" style="154" customWidth="1"/>
    <col min="12" max="12" width="10.7109375" style="154" hidden="1" customWidth="1"/>
    <col min="13" max="13" width="20.7109375" style="154" customWidth="1"/>
    <col min="14" max="14" width="10.7109375" style="154" hidden="1" customWidth="1"/>
    <col min="15" max="15" width="20.7109375" style="154" customWidth="1"/>
    <col min="16" max="16" width="10.7109375" style="154" hidden="1" customWidth="1"/>
    <col min="17" max="17" width="20.7109375" style="154" customWidth="1"/>
    <col min="18" max="18" width="10.7109375" style="154" hidden="1" customWidth="1"/>
    <col min="19" max="19" width="20.7109375" style="154" customWidth="1"/>
    <col min="20" max="20" width="10.7109375" style="154" hidden="1" customWidth="1"/>
    <col min="21" max="21" width="20.7109375" style="154" hidden="1" customWidth="1"/>
    <col min="22" max="22" width="10.7109375" style="154" customWidth="1"/>
    <col min="23" max="23" width="20.7109375" style="154" customWidth="1"/>
    <col min="24" max="24" width="15.7109375" style="154" customWidth="1"/>
    <col min="25" max="16384" width="9.140625" style="154"/>
  </cols>
  <sheetData>
    <row r="1" spans="1:32">
      <c r="B1" s="46"/>
    </row>
    <row r="2" spans="1:32" s="771" customFormat="1" ht="15.75">
      <c r="C2" s="772"/>
      <c r="D2" s="773"/>
      <c r="E2" s="773"/>
      <c r="F2" s="774"/>
      <c r="K2" s="771">
        <f>'IKD dan anggaran'!M11</f>
        <v>0</v>
      </c>
      <c r="M2" s="775">
        <f>'IKD dan anggaran'!O11</f>
        <v>-0.25</v>
      </c>
      <c r="N2" s="775"/>
      <c r="O2" s="775">
        <f>'IKD dan anggaran'!Q11</f>
        <v>-0.1199951171875</v>
      </c>
      <c r="P2" s="775"/>
      <c r="Q2" s="775">
        <f>'IKD dan anggaran'!S11</f>
        <v>-0.32000732421875</v>
      </c>
      <c r="R2" s="775"/>
      <c r="S2" s="775">
        <f>'IKD dan anggaran'!U11</f>
        <v>0.169921875</v>
      </c>
    </row>
    <row r="3" spans="1:32" s="386" customFormat="1" ht="15" customHeight="1">
      <c r="B3" s="1111" t="str">
        <f>'[1]matrik 4_ok'!B5</f>
        <v>URUSAN</v>
      </c>
      <c r="C3" s="1114" t="str">
        <f>'[1]matrik 4_ok'!P5</f>
        <v>PROGRAM</v>
      </c>
      <c r="D3" s="1115"/>
      <c r="E3" s="1115"/>
      <c r="F3" s="1116"/>
      <c r="G3" s="1117" t="s">
        <v>2139</v>
      </c>
      <c r="H3" s="1128" t="str">
        <f>'[1]matrik 4_ok'!V5</f>
        <v>KONDISI AWAL KINERJA</v>
      </c>
      <c r="I3" s="1128"/>
      <c r="J3" s="1114" t="str">
        <f>'[1]matrik 4_ok'!X5</f>
        <v>TARGET INDIKATOR SASARAN MISI</v>
      </c>
      <c r="K3" s="1115"/>
      <c r="L3" s="1115"/>
      <c r="M3" s="1115"/>
      <c r="N3" s="1115"/>
      <c r="O3" s="1115"/>
      <c r="P3" s="1115"/>
      <c r="Q3" s="1115"/>
      <c r="R3" s="1115"/>
      <c r="S3" s="387"/>
      <c r="T3" s="1114" t="str">
        <f>'[1]matrik 4_ok'!AC5</f>
        <v>KONDISI AKHIR RPJMD</v>
      </c>
      <c r="U3" s="1116"/>
      <c r="V3" s="1111" t="str">
        <f>'[1]matrik 4_ok'!AD5</f>
        <v>TARGET TAHUN</v>
      </c>
      <c r="W3" s="1117"/>
      <c r="X3" s="1120" t="str">
        <f>'[1]matrik 4_ok'!AE5</f>
        <v>SKPD</v>
      </c>
    </row>
    <row r="4" spans="1:32" s="386" customFormat="1">
      <c r="B4" s="1112"/>
      <c r="C4" s="1111" t="str">
        <f>'[1]matrik 4_ok'!P6</f>
        <v>KODE URUSAN   / PROGRAM</v>
      </c>
      <c r="D4" s="1123"/>
      <c r="E4" s="1123"/>
      <c r="F4" s="1117"/>
      <c r="G4" s="1118"/>
      <c r="H4" s="1120">
        <f>'[1]matrik 4_ok'!V6</f>
        <v>2012</v>
      </c>
      <c r="I4" s="1120">
        <f>'[1]matrik 4_ok'!W6</f>
        <v>2013</v>
      </c>
      <c r="J4" s="1114">
        <f>'[1]matrik 4_ok'!X6</f>
        <v>2014</v>
      </c>
      <c r="K4" s="1116"/>
      <c r="L4" s="1114">
        <f>'[1]matrik 4_ok'!Y6</f>
        <v>2015</v>
      </c>
      <c r="M4" s="1116"/>
      <c r="N4" s="1114">
        <f>'[1]matrik 4_ok'!Z6</f>
        <v>2016</v>
      </c>
      <c r="O4" s="1116"/>
      <c r="P4" s="1114">
        <f>'[1]matrik 4_ok'!AA6</f>
        <v>2017</v>
      </c>
      <c r="Q4" s="1116"/>
      <c r="R4" s="1114">
        <f>'[1]matrik 4_ok'!AB6</f>
        <v>2018</v>
      </c>
      <c r="S4" s="1116"/>
      <c r="T4" s="1114">
        <v>2018</v>
      </c>
      <c r="U4" s="1116"/>
      <c r="V4" s="1112">
        <f>'[1]matrik 4_ok'!AD6</f>
        <v>2019</v>
      </c>
      <c r="W4" s="1118"/>
      <c r="X4" s="1121"/>
    </row>
    <row r="5" spans="1:32" s="386" customFormat="1">
      <c r="B5" s="1113"/>
      <c r="C5" s="1113"/>
      <c r="D5" s="1124"/>
      <c r="E5" s="1124"/>
      <c r="F5" s="1119"/>
      <c r="G5" s="1119"/>
      <c r="H5" s="1122"/>
      <c r="I5" s="1122"/>
      <c r="J5" s="388" t="s">
        <v>1799</v>
      </c>
      <c r="K5" s="388" t="s">
        <v>1802</v>
      </c>
      <c r="L5" s="388" t="s">
        <v>1799</v>
      </c>
      <c r="M5" s="388" t="s">
        <v>1802</v>
      </c>
      <c r="N5" s="388" t="s">
        <v>1799</v>
      </c>
      <c r="O5" s="388" t="s">
        <v>1802</v>
      </c>
      <c r="P5" s="388" t="s">
        <v>1799</v>
      </c>
      <c r="Q5" s="388" t="s">
        <v>1802</v>
      </c>
      <c r="R5" s="388" t="s">
        <v>1799</v>
      </c>
      <c r="S5" s="388" t="s">
        <v>1802</v>
      </c>
      <c r="T5" s="388" t="s">
        <v>1799</v>
      </c>
      <c r="U5" s="388" t="s">
        <v>1802</v>
      </c>
      <c r="V5" s="388" t="s">
        <v>1799</v>
      </c>
      <c r="W5" s="388" t="s">
        <v>1802</v>
      </c>
      <c r="X5" s="1122"/>
    </row>
    <row r="6" spans="1:32" s="389" customFormat="1">
      <c r="B6" s="396">
        <v>1</v>
      </c>
      <c r="C6" s="1125">
        <v>2</v>
      </c>
      <c r="D6" s="1126"/>
      <c r="E6" s="1126"/>
      <c r="F6" s="1127"/>
      <c r="G6" s="400">
        <v>3</v>
      </c>
      <c r="H6" s="390">
        <v>7</v>
      </c>
      <c r="I6" s="390">
        <v>8</v>
      </c>
      <c r="J6" s="390">
        <v>9</v>
      </c>
      <c r="K6" s="390">
        <v>10</v>
      </c>
      <c r="L6" s="390">
        <v>11</v>
      </c>
      <c r="M6" s="390">
        <v>12</v>
      </c>
      <c r="N6" s="390">
        <v>13</v>
      </c>
      <c r="O6" s="390">
        <v>14</v>
      </c>
      <c r="P6" s="390">
        <v>15</v>
      </c>
      <c r="Q6" s="390">
        <v>16</v>
      </c>
      <c r="R6" s="390">
        <v>17</v>
      </c>
      <c r="S6" s="390">
        <v>18</v>
      </c>
      <c r="T6" s="390">
        <v>17</v>
      </c>
      <c r="U6" s="390">
        <v>18</v>
      </c>
      <c r="V6" s="390">
        <v>21</v>
      </c>
      <c r="W6" s="390">
        <v>22</v>
      </c>
      <c r="X6" s="390">
        <v>19</v>
      </c>
    </row>
    <row r="7" spans="1:32" s="169" customFormat="1">
      <c r="B7" s="171"/>
      <c r="C7" s="171"/>
      <c r="D7" s="172"/>
      <c r="E7" s="172"/>
      <c r="F7" s="173"/>
      <c r="G7" s="173"/>
      <c r="H7" s="170"/>
      <c r="I7" s="170"/>
      <c r="J7" s="170"/>
      <c r="K7" s="170"/>
      <c r="L7" s="170"/>
      <c r="M7" s="170"/>
      <c r="N7" s="170"/>
      <c r="O7" s="170"/>
      <c r="P7" s="170"/>
      <c r="Q7" s="170"/>
      <c r="R7" s="170"/>
      <c r="S7" s="170"/>
      <c r="T7" s="170"/>
      <c r="U7" s="170"/>
      <c r="V7" s="170"/>
      <c r="W7" s="170"/>
      <c r="X7" s="170"/>
    </row>
    <row r="8" spans="1:32" s="391" customFormat="1" ht="30">
      <c r="B8" s="397" t="s">
        <v>1800</v>
      </c>
      <c r="C8" s="392"/>
      <c r="D8" s="393"/>
      <c r="E8" s="393"/>
      <c r="F8" s="394"/>
      <c r="G8" s="394"/>
      <c r="H8" s="395"/>
      <c r="I8" s="395"/>
      <c r="J8" s="395"/>
      <c r="K8" s="395"/>
      <c r="L8" s="395"/>
      <c r="M8" s="395"/>
      <c r="N8" s="395"/>
      <c r="O8" s="395"/>
      <c r="P8" s="395"/>
      <c r="Q8" s="395"/>
      <c r="R8" s="395"/>
      <c r="S8" s="395"/>
      <c r="T8" s="395"/>
      <c r="U8" s="395"/>
      <c r="V8" s="395"/>
      <c r="W8" s="395"/>
      <c r="X8" s="395"/>
    </row>
    <row r="9" spans="1:32">
      <c r="A9" s="165">
        <v>1</v>
      </c>
      <c r="B9" s="62" t="str">
        <f>'matrik MISI 4'!B8</f>
        <v>PENDIDIKAN</v>
      </c>
      <c r="C9" s="56"/>
      <c r="D9" s="57"/>
      <c r="E9" s="57"/>
      <c r="F9" s="58"/>
      <c r="G9" s="58"/>
      <c r="H9" s="52"/>
      <c r="I9" s="52"/>
      <c r="J9" s="52"/>
      <c r="K9" s="52"/>
      <c r="L9" s="52"/>
      <c r="M9" s="52"/>
      <c r="N9" s="52"/>
      <c r="O9" s="52"/>
      <c r="P9" s="52"/>
      <c r="Q9" s="52"/>
      <c r="R9" s="52"/>
      <c r="S9" s="52"/>
      <c r="T9" s="52"/>
      <c r="U9" s="52"/>
      <c r="V9" s="52"/>
      <c r="W9" s="52"/>
      <c r="X9" s="52"/>
      <c r="Y9" s="165"/>
      <c r="Z9" s="165"/>
      <c r="AA9" s="165"/>
      <c r="AB9" s="165"/>
      <c r="AC9" s="165"/>
      <c r="AD9" s="165"/>
      <c r="AE9" s="165"/>
      <c r="AF9" s="165"/>
    </row>
    <row r="10" spans="1:32" ht="135" hidden="1">
      <c r="A10" s="165"/>
      <c r="B10" s="48"/>
      <c r="C10" s="62">
        <f>'matrik MISI 4'!J9</f>
        <v>1.01</v>
      </c>
      <c r="D10" s="63" t="str">
        <f>'matrik MISI 4'!K9</f>
        <v>xx</v>
      </c>
      <c r="E10" s="63">
        <f>'matrik MISI 4'!L9</f>
        <v>15</v>
      </c>
      <c r="F10" s="64" t="str">
        <f>'matrik MISI 4'!M9</f>
        <v>Pendidikan anak usia dini, Wajib belajar pendidikan dasar, Pendidikan menengah , dan Pendidikan nonformal</v>
      </c>
      <c r="G10" s="58"/>
      <c r="H10" s="52"/>
      <c r="I10" s="52"/>
      <c r="J10" s="52"/>
      <c r="K10" s="52"/>
      <c r="L10" s="52"/>
      <c r="M10" s="52"/>
      <c r="N10" s="52"/>
      <c r="O10" s="52"/>
      <c r="P10" s="52"/>
      <c r="Q10" s="52"/>
      <c r="R10" s="52"/>
      <c r="S10" s="52"/>
      <c r="T10" s="52"/>
      <c r="U10" s="52"/>
      <c r="V10" s="52"/>
      <c r="W10" s="52"/>
      <c r="X10" s="52" t="str">
        <f>'matrik MISI 4'!X9</f>
        <v>Dinas Pendidikan</v>
      </c>
      <c r="Y10" s="165"/>
      <c r="Z10" s="165"/>
      <c r="AA10" s="165"/>
      <c r="AB10" s="165"/>
      <c r="AC10" s="165"/>
      <c r="AD10" s="165"/>
      <c r="AE10" s="165"/>
      <c r="AF10" s="165"/>
    </row>
    <row r="11" spans="1:32" s="540" customFormat="1" ht="60" hidden="1">
      <c r="B11" s="545"/>
      <c r="C11" s="545"/>
      <c r="D11" s="546"/>
      <c r="E11" s="546"/>
      <c r="F11" s="547"/>
      <c r="G11" s="548" t="s">
        <v>2140</v>
      </c>
      <c r="H11" s="549">
        <v>0</v>
      </c>
      <c r="I11" s="549">
        <v>0</v>
      </c>
      <c r="J11" s="549">
        <v>0</v>
      </c>
      <c r="K11" s="549">
        <v>0</v>
      </c>
      <c r="L11" s="549"/>
      <c r="M11" s="549"/>
      <c r="N11" s="549">
        <v>10</v>
      </c>
      <c r="O11" s="549">
        <v>50000000</v>
      </c>
      <c r="P11" s="549">
        <v>10</v>
      </c>
      <c r="Q11" s="549">
        <v>50000000</v>
      </c>
      <c r="R11" s="549">
        <v>0</v>
      </c>
      <c r="S11" s="549">
        <v>0</v>
      </c>
      <c r="T11" s="549">
        <v>0</v>
      </c>
      <c r="U11" s="549">
        <v>0</v>
      </c>
      <c r="V11" s="550"/>
      <c r="W11" s="550"/>
      <c r="X11" s="550"/>
    </row>
    <row r="12" spans="1:32" s="540" customFormat="1" ht="60" hidden="1">
      <c r="B12" s="545"/>
      <c r="C12" s="545"/>
      <c r="D12" s="546"/>
      <c r="E12" s="546"/>
      <c r="F12" s="547"/>
      <c r="G12" s="548" t="s">
        <v>2141</v>
      </c>
      <c r="H12" s="549">
        <v>0</v>
      </c>
      <c r="I12" s="549">
        <v>0</v>
      </c>
      <c r="J12" s="549">
        <v>0</v>
      </c>
      <c r="K12" s="549">
        <v>0</v>
      </c>
      <c r="L12" s="549"/>
      <c r="M12" s="551"/>
      <c r="N12" s="549">
        <v>150</v>
      </c>
      <c r="O12" s="549">
        <f>N12*500000</f>
        <v>75000000</v>
      </c>
      <c r="P12" s="549">
        <v>150</v>
      </c>
      <c r="Q12" s="549">
        <f>P12*500000</f>
        <v>75000000</v>
      </c>
      <c r="R12" s="549">
        <v>150</v>
      </c>
      <c r="S12" s="549">
        <f>R12*500000</f>
        <v>75000000</v>
      </c>
      <c r="T12" s="549">
        <v>150</v>
      </c>
      <c r="U12" s="549">
        <f>T12*500000</f>
        <v>75000000</v>
      </c>
      <c r="V12" s="550"/>
      <c r="W12" s="550"/>
      <c r="X12" s="550"/>
    </row>
    <row r="13" spans="1:32" s="540" customFormat="1" ht="135" hidden="1">
      <c r="B13" s="545"/>
      <c r="C13" s="545"/>
      <c r="D13" s="546"/>
      <c r="E13" s="546"/>
      <c r="F13" s="547"/>
      <c r="G13" s="552" t="s">
        <v>2142</v>
      </c>
      <c r="H13" s="549">
        <v>0</v>
      </c>
      <c r="I13" s="549">
        <v>0</v>
      </c>
      <c r="J13" s="549">
        <v>0</v>
      </c>
      <c r="K13" s="549">
        <v>0</v>
      </c>
      <c r="L13" s="549"/>
      <c r="M13" s="549"/>
      <c r="N13" s="549">
        <v>2500</v>
      </c>
      <c r="O13" s="549">
        <f>N13*20000</f>
        <v>50000000</v>
      </c>
      <c r="P13" s="549">
        <v>2500</v>
      </c>
      <c r="Q13" s="549">
        <f>P13*20000</f>
        <v>50000000</v>
      </c>
      <c r="R13" s="549">
        <v>2500</v>
      </c>
      <c r="S13" s="549">
        <f>R13*20000</f>
        <v>50000000</v>
      </c>
      <c r="T13" s="549">
        <v>2500</v>
      </c>
      <c r="U13" s="549">
        <f>T13*20000</f>
        <v>50000000</v>
      </c>
      <c r="V13" s="550"/>
      <c r="W13" s="550"/>
      <c r="X13" s="550"/>
    </row>
    <row r="14" spans="1:32" s="540" customFormat="1" ht="90" hidden="1">
      <c r="B14" s="545"/>
      <c r="C14" s="545"/>
      <c r="D14" s="546"/>
      <c r="E14" s="546"/>
      <c r="F14" s="547"/>
      <c r="G14" s="548" t="s">
        <v>2143</v>
      </c>
      <c r="H14" s="549">
        <v>0</v>
      </c>
      <c r="I14" s="549">
        <v>0</v>
      </c>
      <c r="J14" s="549">
        <v>0</v>
      </c>
      <c r="K14" s="549">
        <v>0</v>
      </c>
      <c r="L14" s="549">
        <v>0</v>
      </c>
      <c r="M14" s="549">
        <v>0</v>
      </c>
      <c r="N14" s="549">
        <v>40</v>
      </c>
      <c r="O14" s="549">
        <v>10000000</v>
      </c>
      <c r="P14" s="549">
        <v>40</v>
      </c>
      <c r="Q14" s="549">
        <v>10000000</v>
      </c>
      <c r="R14" s="549">
        <v>40</v>
      </c>
      <c r="S14" s="549">
        <v>10000000</v>
      </c>
      <c r="T14" s="549">
        <v>40</v>
      </c>
      <c r="U14" s="549">
        <v>10000000</v>
      </c>
      <c r="V14" s="550"/>
      <c r="W14" s="550"/>
      <c r="X14" s="550"/>
    </row>
    <row r="15" spans="1:32" s="540" customFormat="1" ht="45" hidden="1">
      <c r="B15" s="545"/>
      <c r="C15" s="545"/>
      <c r="D15" s="546"/>
      <c r="E15" s="546"/>
      <c r="F15" s="547"/>
      <c r="G15" s="548" t="s">
        <v>1118</v>
      </c>
      <c r="H15" s="553">
        <v>65.66</v>
      </c>
      <c r="I15" s="553">
        <v>70.28</v>
      </c>
      <c r="J15" s="553">
        <v>65.709999999999994</v>
      </c>
      <c r="K15" s="550"/>
      <c r="L15" s="553">
        <v>65.759999999999991</v>
      </c>
      <c r="M15" s="550"/>
      <c r="N15" s="553">
        <v>65.809999999999988</v>
      </c>
      <c r="O15" s="550"/>
      <c r="P15" s="553">
        <v>65.859999999999985</v>
      </c>
      <c r="Q15" s="550"/>
      <c r="R15" s="553">
        <v>65.909999999999982</v>
      </c>
      <c r="S15" s="550"/>
      <c r="T15" s="553">
        <v>65.909999999999982</v>
      </c>
      <c r="U15" s="550"/>
      <c r="V15" s="550"/>
      <c r="W15" s="550"/>
      <c r="X15" s="550"/>
    </row>
    <row r="16" spans="1:32" s="540" customFormat="1" ht="60" hidden="1">
      <c r="B16" s="545"/>
      <c r="C16" s="545"/>
      <c r="D16" s="546"/>
      <c r="E16" s="546"/>
      <c r="F16" s="547"/>
      <c r="G16" s="548" t="s">
        <v>1125</v>
      </c>
      <c r="H16" s="553">
        <v>32.32</v>
      </c>
      <c r="I16" s="553">
        <v>28.5</v>
      </c>
      <c r="J16" s="553">
        <f>H16+0.04</f>
        <v>32.36</v>
      </c>
      <c r="K16" s="550"/>
      <c r="L16" s="553">
        <f>J16+0.04</f>
        <v>32.4</v>
      </c>
      <c r="M16" s="550"/>
      <c r="N16" s="553">
        <f>L16+0.04</f>
        <v>32.44</v>
      </c>
      <c r="O16" s="550"/>
      <c r="P16" s="553">
        <f>N16+0.04</f>
        <v>32.479999999999997</v>
      </c>
      <c r="Q16" s="550"/>
      <c r="R16" s="553">
        <f>P16+0.04</f>
        <v>32.519999999999996</v>
      </c>
      <c r="S16" s="550"/>
      <c r="T16" s="553">
        <f>R16+0.04</f>
        <v>32.559999999999995</v>
      </c>
      <c r="U16" s="550"/>
      <c r="V16" s="550"/>
      <c r="W16" s="550"/>
      <c r="X16" s="550"/>
    </row>
    <row r="17" spans="1:32" s="540" customFormat="1" ht="60" hidden="1">
      <c r="B17" s="545"/>
      <c r="C17" s="545"/>
      <c r="D17" s="546"/>
      <c r="E17" s="546"/>
      <c r="F17" s="547"/>
      <c r="G17" s="548" t="s">
        <v>1123</v>
      </c>
      <c r="H17" s="553">
        <v>48.611937338885589</v>
      </c>
      <c r="I17" s="554" t="s">
        <v>743</v>
      </c>
      <c r="J17" s="553">
        <v>48.61</v>
      </c>
      <c r="K17" s="550"/>
      <c r="L17" s="555">
        <f>J17+0.03</f>
        <v>48.64</v>
      </c>
      <c r="M17" s="550"/>
      <c r="N17" s="555">
        <f>L17+0.03</f>
        <v>48.67</v>
      </c>
      <c r="O17" s="550"/>
      <c r="P17" s="555">
        <f>N17+0.03</f>
        <v>48.7</v>
      </c>
      <c r="Q17" s="550"/>
      <c r="R17" s="555">
        <f>P17+0.03</f>
        <v>48.730000000000004</v>
      </c>
      <c r="S17" s="550"/>
      <c r="T17" s="555">
        <f>R17+0.03</f>
        <v>48.760000000000005</v>
      </c>
      <c r="U17" s="550"/>
      <c r="V17" s="550"/>
      <c r="W17" s="550"/>
      <c r="X17" s="550"/>
    </row>
    <row r="18" spans="1:32" s="540" customFormat="1" ht="60" hidden="1">
      <c r="B18" s="545"/>
      <c r="C18" s="545"/>
      <c r="D18" s="546"/>
      <c r="E18" s="546"/>
      <c r="F18" s="547"/>
      <c r="G18" s="548" t="s">
        <v>1125</v>
      </c>
      <c r="H18" s="553">
        <v>49.071503263260375</v>
      </c>
      <c r="I18" s="554" t="s">
        <v>743</v>
      </c>
      <c r="J18" s="553">
        <v>49.07</v>
      </c>
      <c r="K18" s="550"/>
      <c r="L18" s="555">
        <f>J18+0.02</f>
        <v>49.09</v>
      </c>
      <c r="M18" s="550"/>
      <c r="N18" s="555">
        <f>L18+0.02</f>
        <v>49.110000000000007</v>
      </c>
      <c r="O18" s="550"/>
      <c r="P18" s="555">
        <f>N18+0.02</f>
        <v>49.13000000000001</v>
      </c>
      <c r="Q18" s="550"/>
      <c r="R18" s="555">
        <f>P18+0.02</f>
        <v>49.150000000000013</v>
      </c>
      <c r="S18" s="550"/>
      <c r="T18" s="555">
        <f>R18+0.02</f>
        <v>49.170000000000016</v>
      </c>
      <c r="U18" s="550"/>
      <c r="V18" s="550"/>
      <c r="W18" s="550"/>
      <c r="X18" s="550"/>
    </row>
    <row r="19" spans="1:32" s="540" customFormat="1" ht="30" hidden="1">
      <c r="B19" s="545"/>
      <c r="C19" s="545"/>
      <c r="D19" s="546"/>
      <c r="E19" s="546"/>
      <c r="F19" s="547"/>
      <c r="G19" s="548" t="s">
        <v>1127</v>
      </c>
      <c r="H19" s="554" t="s">
        <v>1128</v>
      </c>
      <c r="I19" s="554" t="s">
        <v>743</v>
      </c>
      <c r="J19" s="554" t="s">
        <v>1128</v>
      </c>
      <c r="K19" s="550"/>
      <c r="L19" s="554" t="s">
        <v>2156</v>
      </c>
      <c r="M19" s="550"/>
      <c r="N19" s="554" t="s">
        <v>2156</v>
      </c>
      <c r="O19" s="550"/>
      <c r="P19" s="554" t="s">
        <v>2157</v>
      </c>
      <c r="Q19" s="550"/>
      <c r="R19" s="554" t="s">
        <v>2157</v>
      </c>
      <c r="S19" s="550"/>
      <c r="T19" s="554" t="s">
        <v>2157</v>
      </c>
      <c r="U19" s="550"/>
      <c r="V19" s="550"/>
      <c r="W19" s="550"/>
      <c r="X19" s="550"/>
    </row>
    <row r="20" spans="1:32" ht="60" hidden="1">
      <c r="A20" s="165"/>
      <c r="B20" s="48"/>
      <c r="C20" s="48"/>
      <c r="D20" s="49"/>
      <c r="E20" s="49"/>
      <c r="F20" s="50"/>
      <c r="G20" s="401" t="s">
        <v>2158</v>
      </c>
      <c r="H20" s="233">
        <v>95.6</v>
      </c>
      <c r="I20" s="233">
        <v>100</v>
      </c>
      <c r="J20" s="233">
        <v>99</v>
      </c>
      <c r="K20" s="252">
        <v>10000000</v>
      </c>
      <c r="L20" s="252">
        <v>1</v>
      </c>
      <c r="M20" s="252">
        <v>10000000</v>
      </c>
      <c r="N20" s="252">
        <v>1</v>
      </c>
      <c r="O20" s="252">
        <v>15000000</v>
      </c>
      <c r="P20" s="252">
        <v>1</v>
      </c>
      <c r="Q20" s="250">
        <v>15000000</v>
      </c>
      <c r="R20" s="252">
        <v>1</v>
      </c>
      <c r="S20" s="250">
        <v>15000000</v>
      </c>
      <c r="T20" s="252">
        <v>1</v>
      </c>
      <c r="U20" s="250">
        <v>15000000</v>
      </c>
      <c r="V20" s="52"/>
      <c r="W20" s="52"/>
      <c r="X20" s="52"/>
      <c r="Y20" s="165"/>
      <c r="Z20" s="165"/>
      <c r="AA20" s="165"/>
      <c r="AB20" s="165"/>
      <c r="AC20" s="165"/>
      <c r="AD20" s="165"/>
      <c r="AE20" s="165"/>
      <c r="AF20" s="165"/>
    </row>
    <row r="21" spans="1:32" ht="30" hidden="1">
      <c r="A21" s="165"/>
      <c r="B21" s="48"/>
      <c r="C21" s="48"/>
      <c r="D21" s="49"/>
      <c r="E21" s="49"/>
      <c r="F21" s="50"/>
      <c r="G21" s="762" t="s">
        <v>4683</v>
      </c>
      <c r="H21" s="233"/>
      <c r="I21" s="233"/>
      <c r="J21" s="233"/>
      <c r="K21" s="742">
        <v>250000000</v>
      </c>
      <c r="L21" s="742"/>
      <c r="M21" s="742">
        <v>250000000</v>
      </c>
      <c r="N21" s="742"/>
      <c r="O21" s="742">
        <v>250000000</v>
      </c>
      <c r="P21" s="742"/>
      <c r="Q21" s="742">
        <v>250000000</v>
      </c>
      <c r="R21" s="742"/>
      <c r="S21" s="742">
        <v>250000000</v>
      </c>
      <c r="T21" s="742"/>
      <c r="U21" s="740"/>
      <c r="V21" s="52"/>
      <c r="W21" s="52"/>
      <c r="X21" s="52"/>
      <c r="Y21" s="165"/>
      <c r="Z21" s="165"/>
      <c r="AA21" s="165"/>
      <c r="AB21" s="165"/>
      <c r="AC21" s="165"/>
      <c r="AD21" s="165"/>
      <c r="AE21" s="165"/>
      <c r="AF21" s="165"/>
    </row>
    <row r="22" spans="1:32" ht="60" hidden="1">
      <c r="A22" s="165"/>
      <c r="B22" s="48"/>
      <c r="C22" s="48"/>
      <c r="D22" s="49"/>
      <c r="E22" s="49"/>
      <c r="F22" s="50"/>
      <c r="G22" s="401" t="s">
        <v>2159</v>
      </c>
      <c r="H22" s="233">
        <v>0</v>
      </c>
      <c r="I22" s="233">
        <v>100</v>
      </c>
      <c r="J22" s="233">
        <v>99</v>
      </c>
      <c r="K22" s="252">
        <v>600000000</v>
      </c>
      <c r="L22" s="252">
        <v>1</v>
      </c>
      <c r="M22" s="252">
        <v>300000000</v>
      </c>
      <c r="N22" s="252">
        <v>1</v>
      </c>
      <c r="O22" s="252">
        <v>300000000</v>
      </c>
      <c r="P22" s="252">
        <v>1</v>
      </c>
      <c r="Q22" s="250">
        <v>300000000</v>
      </c>
      <c r="R22" s="252">
        <v>1</v>
      </c>
      <c r="S22" s="250">
        <v>300000000</v>
      </c>
      <c r="T22" s="252">
        <v>1</v>
      </c>
      <c r="U22" s="250">
        <v>300000000</v>
      </c>
      <c r="V22" s="52"/>
      <c r="W22" s="52"/>
      <c r="X22" s="52"/>
      <c r="Y22" s="165"/>
      <c r="Z22" s="165"/>
      <c r="AA22" s="165"/>
      <c r="AB22" s="165"/>
      <c r="AC22" s="165"/>
      <c r="AD22" s="165"/>
      <c r="AE22" s="165"/>
      <c r="AF22" s="165"/>
    </row>
    <row r="23" spans="1:32" ht="75" hidden="1">
      <c r="A23" s="165"/>
      <c r="B23" s="48"/>
      <c r="C23" s="66"/>
      <c r="D23" s="67"/>
      <c r="E23" s="67"/>
      <c r="F23" s="68"/>
      <c r="G23" s="401" t="s">
        <v>2160</v>
      </c>
      <c r="H23" s="233">
        <v>0</v>
      </c>
      <c r="I23" s="233">
        <v>100</v>
      </c>
      <c r="J23" s="233">
        <v>99</v>
      </c>
      <c r="K23" s="252">
        <v>400000000</v>
      </c>
      <c r="L23" s="252">
        <v>1</v>
      </c>
      <c r="M23" s="252">
        <v>200000000</v>
      </c>
      <c r="N23" s="252">
        <v>1</v>
      </c>
      <c r="O23" s="252">
        <v>200000000</v>
      </c>
      <c r="P23" s="252">
        <v>1</v>
      </c>
      <c r="Q23" s="250">
        <v>200000000</v>
      </c>
      <c r="R23" s="252">
        <v>1</v>
      </c>
      <c r="S23" s="250">
        <v>200000000</v>
      </c>
      <c r="T23" s="252">
        <v>1</v>
      </c>
      <c r="U23" s="250">
        <v>200000000</v>
      </c>
      <c r="V23" s="52"/>
      <c r="W23" s="52"/>
      <c r="X23" s="52"/>
      <c r="Y23" s="165"/>
      <c r="Z23" s="165"/>
      <c r="AA23" s="165"/>
      <c r="AB23" s="165"/>
      <c r="AC23" s="165"/>
      <c r="AD23" s="165"/>
      <c r="AE23" s="165"/>
      <c r="AF23" s="165"/>
    </row>
    <row r="24" spans="1:32" ht="75" hidden="1">
      <c r="A24" s="165"/>
      <c r="B24" s="48"/>
      <c r="C24" s="62">
        <f>'matrik MISI 4'!J20</f>
        <v>1.01</v>
      </c>
      <c r="D24" s="63" t="str">
        <f>'matrik MISI 4'!K20</f>
        <v>xx</v>
      </c>
      <c r="E24" s="63">
        <f>'matrik MISI 4'!L20</f>
        <v>16</v>
      </c>
      <c r="F24" s="64" t="str">
        <f>'matrik MISI 4'!M20</f>
        <v>Program wajib belajar pendidikan dasar sembilan tahun</v>
      </c>
      <c r="G24" s="58"/>
      <c r="H24" s="52"/>
      <c r="I24" s="52"/>
      <c r="J24" s="52"/>
      <c r="K24" s="52"/>
      <c r="L24" s="52"/>
      <c r="M24" s="52"/>
      <c r="N24" s="52"/>
      <c r="O24" s="52"/>
      <c r="P24" s="52"/>
      <c r="Q24" s="52"/>
      <c r="R24" s="52"/>
      <c r="S24" s="52"/>
      <c r="T24" s="52"/>
      <c r="U24" s="52"/>
      <c r="V24" s="52"/>
      <c r="W24" s="52"/>
      <c r="X24" s="52" t="str">
        <f>'matrik MISI 4'!X20</f>
        <v>Dinas Pendidikan</v>
      </c>
      <c r="Y24" s="165"/>
      <c r="Z24" s="165"/>
      <c r="AA24" s="165"/>
      <c r="AB24" s="165"/>
      <c r="AC24" s="165"/>
      <c r="AD24" s="165"/>
      <c r="AE24" s="165"/>
      <c r="AF24" s="165"/>
    </row>
    <row r="25" spans="1:32" ht="60" hidden="1">
      <c r="A25" s="165"/>
      <c r="B25" s="48"/>
      <c r="C25" s="48"/>
      <c r="D25" s="49"/>
      <c r="E25" s="49"/>
      <c r="F25" s="50"/>
      <c r="G25" s="58" t="s">
        <v>2144</v>
      </c>
      <c r="H25" s="252">
        <v>0</v>
      </c>
      <c r="I25" s="252">
        <v>0</v>
      </c>
      <c r="J25" s="252">
        <v>0</v>
      </c>
      <c r="K25" s="252">
        <v>0</v>
      </c>
      <c r="L25" s="252">
        <v>2</v>
      </c>
      <c r="M25" s="252">
        <v>15000000</v>
      </c>
      <c r="N25" s="252">
        <v>2</v>
      </c>
      <c r="O25" s="252">
        <v>15000000</v>
      </c>
      <c r="P25" s="252">
        <v>2</v>
      </c>
      <c r="Q25" s="252">
        <v>15000000</v>
      </c>
      <c r="R25" s="252">
        <v>0</v>
      </c>
      <c r="S25" s="252">
        <v>0</v>
      </c>
      <c r="T25" s="252">
        <v>0</v>
      </c>
      <c r="U25" s="252">
        <v>0</v>
      </c>
      <c r="V25" s="52"/>
      <c r="W25" s="52"/>
      <c r="X25" s="52"/>
      <c r="Y25" s="165"/>
      <c r="Z25" s="165"/>
      <c r="AA25" s="165"/>
      <c r="AB25" s="165"/>
      <c r="AC25" s="165"/>
      <c r="AD25" s="165"/>
      <c r="AE25" s="165"/>
      <c r="AF25" s="165"/>
    </row>
    <row r="26" spans="1:32" ht="60" hidden="1">
      <c r="A26" s="165"/>
      <c r="B26" s="48"/>
      <c r="C26" s="48"/>
      <c r="D26" s="49"/>
      <c r="E26" s="49"/>
      <c r="F26" s="50"/>
      <c r="G26" s="58" t="s">
        <v>2145</v>
      </c>
      <c r="H26" s="252">
        <v>0</v>
      </c>
      <c r="I26" s="252">
        <v>0</v>
      </c>
      <c r="J26" s="252">
        <v>0</v>
      </c>
      <c r="K26" s="252">
        <v>0</v>
      </c>
      <c r="L26" s="252"/>
      <c r="M26" s="252"/>
      <c r="N26" s="252">
        <v>150</v>
      </c>
      <c r="O26" s="252">
        <f>N26*500000</f>
        <v>75000000</v>
      </c>
      <c r="P26" s="252">
        <v>150</v>
      </c>
      <c r="Q26" s="252">
        <f>P26*500000</f>
        <v>75000000</v>
      </c>
      <c r="R26" s="252">
        <v>150</v>
      </c>
      <c r="S26" s="252">
        <f>R26*500000</f>
        <v>75000000</v>
      </c>
      <c r="T26" s="252">
        <v>150</v>
      </c>
      <c r="U26" s="252">
        <f>T26*500000</f>
        <v>75000000</v>
      </c>
      <c r="V26" s="52"/>
      <c r="W26" s="52"/>
      <c r="X26" s="52"/>
      <c r="Y26" s="165"/>
      <c r="Z26" s="165"/>
      <c r="AA26" s="165"/>
      <c r="AB26" s="165"/>
      <c r="AC26" s="165"/>
      <c r="AD26" s="165"/>
      <c r="AE26" s="165"/>
      <c r="AF26" s="165"/>
    </row>
    <row r="27" spans="1:32" ht="75" hidden="1">
      <c r="A27" s="165"/>
      <c r="B27" s="48"/>
      <c r="C27" s="48"/>
      <c r="D27" s="49"/>
      <c r="E27" s="49"/>
      <c r="F27" s="50"/>
      <c r="G27" s="58" t="s">
        <v>2146</v>
      </c>
      <c r="H27" s="252">
        <v>0</v>
      </c>
      <c r="I27" s="252">
        <v>0</v>
      </c>
      <c r="J27" s="252">
        <v>0</v>
      </c>
      <c r="K27" s="252">
        <v>0</v>
      </c>
      <c r="L27" s="252"/>
      <c r="M27" s="252"/>
      <c r="N27" s="252">
        <v>35</v>
      </c>
      <c r="O27" s="252">
        <v>10000000</v>
      </c>
      <c r="P27" s="252">
        <v>35</v>
      </c>
      <c r="Q27" s="252">
        <v>10000000</v>
      </c>
      <c r="R27" s="252">
        <v>0</v>
      </c>
      <c r="S27" s="252">
        <v>0</v>
      </c>
      <c r="T27" s="252">
        <v>0</v>
      </c>
      <c r="U27" s="252">
        <v>0</v>
      </c>
      <c r="V27" s="52"/>
      <c r="W27" s="52"/>
      <c r="X27" s="52"/>
      <c r="Y27" s="165"/>
      <c r="Z27" s="165"/>
      <c r="AA27" s="165"/>
      <c r="AB27" s="165"/>
      <c r="AC27" s="165"/>
      <c r="AD27" s="165"/>
      <c r="AE27" s="165"/>
      <c r="AF27" s="165"/>
    </row>
    <row r="28" spans="1:32" ht="75" hidden="1">
      <c r="A28" s="165"/>
      <c r="B28" s="48"/>
      <c r="C28" s="48"/>
      <c r="D28" s="49"/>
      <c r="E28" s="49"/>
      <c r="F28" s="50"/>
      <c r="G28" s="58" t="s">
        <v>2147</v>
      </c>
      <c r="H28" s="252">
        <v>0</v>
      </c>
      <c r="I28" s="252">
        <v>0</v>
      </c>
      <c r="J28" s="252">
        <v>0</v>
      </c>
      <c r="K28" s="252">
        <v>0</v>
      </c>
      <c r="L28" s="252"/>
      <c r="M28" s="252"/>
      <c r="N28" s="252">
        <v>50</v>
      </c>
      <c r="O28" s="252">
        <f>N28*500000</f>
        <v>25000000</v>
      </c>
      <c r="P28" s="252">
        <v>55</v>
      </c>
      <c r="Q28" s="252">
        <f>P28*500000</f>
        <v>27500000</v>
      </c>
      <c r="R28" s="252">
        <v>0</v>
      </c>
      <c r="S28" s="252">
        <v>0</v>
      </c>
      <c r="T28" s="252">
        <v>0</v>
      </c>
      <c r="U28" s="252">
        <v>0</v>
      </c>
      <c r="V28" s="52"/>
      <c r="W28" s="52"/>
      <c r="X28" s="52"/>
      <c r="Y28" s="165"/>
      <c r="Z28" s="165"/>
      <c r="AA28" s="165"/>
      <c r="AB28" s="165"/>
      <c r="AC28" s="165"/>
      <c r="AD28" s="165"/>
      <c r="AE28" s="165"/>
      <c r="AF28" s="165"/>
    </row>
    <row r="29" spans="1:32" ht="135" hidden="1">
      <c r="A29" s="165"/>
      <c r="B29" s="48"/>
      <c r="C29" s="48"/>
      <c r="D29" s="49"/>
      <c r="E29" s="49"/>
      <c r="F29" s="50"/>
      <c r="G29" s="401" t="s">
        <v>2148</v>
      </c>
      <c r="H29" s="252">
        <v>0</v>
      </c>
      <c r="I29" s="252">
        <v>0</v>
      </c>
      <c r="J29" s="252">
        <v>0</v>
      </c>
      <c r="K29" s="252">
        <v>0</v>
      </c>
      <c r="L29" s="252">
        <v>0</v>
      </c>
      <c r="M29" s="252">
        <v>0</v>
      </c>
      <c r="N29" s="252">
        <v>2000</v>
      </c>
      <c r="O29" s="252">
        <f>N29*20000</f>
        <v>40000000</v>
      </c>
      <c r="P29" s="252">
        <v>2000</v>
      </c>
      <c r="Q29" s="252">
        <f>P29*20000</f>
        <v>40000000</v>
      </c>
      <c r="R29" s="252">
        <v>2000</v>
      </c>
      <c r="S29" s="252">
        <f>R29*20000</f>
        <v>40000000</v>
      </c>
      <c r="T29" s="252">
        <v>2000</v>
      </c>
      <c r="U29" s="252">
        <f>T29*20000</f>
        <v>40000000</v>
      </c>
      <c r="V29" s="52"/>
      <c r="W29" s="52"/>
      <c r="X29" s="52"/>
      <c r="Y29" s="165"/>
      <c r="Z29" s="165"/>
      <c r="AA29" s="165"/>
      <c r="AB29" s="165"/>
      <c r="AC29" s="165"/>
      <c r="AD29" s="165"/>
      <c r="AE29" s="165"/>
      <c r="AF29" s="165"/>
    </row>
    <row r="30" spans="1:32" ht="135" hidden="1">
      <c r="A30" s="165"/>
      <c r="B30" s="48"/>
      <c r="C30" s="48"/>
      <c r="D30" s="49"/>
      <c r="E30" s="49"/>
      <c r="F30" s="50"/>
      <c r="G30" s="401" t="s">
        <v>2149</v>
      </c>
      <c r="H30" s="252">
        <v>0</v>
      </c>
      <c r="I30" s="252">
        <v>0</v>
      </c>
      <c r="J30" s="252">
        <v>0</v>
      </c>
      <c r="K30" s="252">
        <v>0</v>
      </c>
      <c r="L30" s="252"/>
      <c r="M30" s="252"/>
      <c r="N30" s="252">
        <v>2000</v>
      </c>
      <c r="O30" s="252">
        <f>N30*25000</f>
        <v>50000000</v>
      </c>
      <c r="P30" s="252">
        <v>2000</v>
      </c>
      <c r="Q30" s="252">
        <f>P30*25000</f>
        <v>50000000</v>
      </c>
      <c r="R30" s="252">
        <v>2000</v>
      </c>
      <c r="S30" s="252">
        <f>R30*25000</f>
        <v>50000000</v>
      </c>
      <c r="T30" s="252">
        <v>2000</v>
      </c>
      <c r="U30" s="252">
        <f>T30*25000</f>
        <v>50000000</v>
      </c>
      <c r="V30" s="52"/>
      <c r="W30" s="52"/>
      <c r="X30" s="52"/>
      <c r="Y30" s="165"/>
      <c r="Z30" s="165"/>
      <c r="AA30" s="165"/>
      <c r="AB30" s="165"/>
      <c r="AC30" s="165"/>
      <c r="AD30" s="165"/>
      <c r="AE30" s="165"/>
      <c r="AF30" s="165"/>
    </row>
    <row r="31" spans="1:32" ht="30" hidden="1">
      <c r="A31" s="165"/>
      <c r="B31" s="48"/>
      <c r="C31" s="48"/>
      <c r="D31" s="49"/>
      <c r="E31" s="49"/>
      <c r="F31" s="50"/>
      <c r="G31" s="58" t="s">
        <v>2001</v>
      </c>
      <c r="H31" s="233">
        <v>103.5</v>
      </c>
      <c r="I31" s="233">
        <v>104</v>
      </c>
      <c r="J31" s="233">
        <v>103.55</v>
      </c>
      <c r="K31" s="52"/>
      <c r="L31" s="233">
        <v>103.58</v>
      </c>
      <c r="M31" s="52"/>
      <c r="N31" s="233">
        <v>103.61</v>
      </c>
      <c r="O31" s="52"/>
      <c r="P31" s="233">
        <v>103.64</v>
      </c>
      <c r="Q31" s="52"/>
      <c r="R31" s="233">
        <v>103.67</v>
      </c>
      <c r="S31" s="52"/>
      <c r="T31" s="233">
        <v>103.67</v>
      </c>
      <c r="U31" s="52"/>
      <c r="V31" s="52"/>
      <c r="W31" s="52"/>
      <c r="X31" s="52"/>
      <c r="Y31" s="165"/>
      <c r="Z31" s="165"/>
      <c r="AA31" s="165"/>
      <c r="AB31" s="165"/>
      <c r="AC31" s="165"/>
      <c r="AD31" s="165"/>
      <c r="AE31" s="165"/>
      <c r="AF31" s="165"/>
    </row>
    <row r="32" spans="1:32" ht="30" hidden="1">
      <c r="A32" s="165"/>
      <c r="B32" s="48"/>
      <c r="C32" s="48"/>
      <c r="D32" s="49"/>
      <c r="E32" s="49"/>
      <c r="F32" s="50"/>
      <c r="G32" s="58" t="s">
        <v>2002</v>
      </c>
      <c r="H32" s="233">
        <v>95.4</v>
      </c>
      <c r="I32" s="233">
        <v>95.45</v>
      </c>
      <c r="J32" s="233">
        <v>95.42</v>
      </c>
      <c r="K32" s="52"/>
      <c r="L32" s="233">
        <v>95.45</v>
      </c>
      <c r="M32" s="52"/>
      <c r="N32" s="233">
        <v>95.48</v>
      </c>
      <c r="O32" s="52"/>
      <c r="P32" s="233">
        <v>95.51</v>
      </c>
      <c r="Q32" s="52"/>
      <c r="R32" s="233">
        <v>95.54</v>
      </c>
      <c r="S32" s="52"/>
      <c r="T32" s="233">
        <v>95.54</v>
      </c>
      <c r="U32" s="52"/>
      <c r="V32" s="52"/>
      <c r="W32" s="52"/>
      <c r="X32" s="52"/>
      <c r="Y32" s="165"/>
      <c r="Z32" s="165"/>
      <c r="AA32" s="165"/>
      <c r="AB32" s="165"/>
      <c r="AC32" s="165"/>
      <c r="AD32" s="165"/>
      <c r="AE32" s="165"/>
      <c r="AF32" s="165"/>
    </row>
    <row r="33" spans="1:32" ht="30" hidden="1">
      <c r="A33" s="165"/>
      <c r="B33" s="48"/>
      <c r="C33" s="48"/>
      <c r="D33" s="49"/>
      <c r="E33" s="49"/>
      <c r="F33" s="50"/>
      <c r="G33" s="58" t="s">
        <v>2003</v>
      </c>
      <c r="H33" s="233">
        <v>96</v>
      </c>
      <c r="I33" s="233">
        <v>98.89</v>
      </c>
      <c r="J33" s="233">
        <v>96.03</v>
      </c>
      <c r="K33" s="252"/>
      <c r="L33" s="233">
        <v>96.06</v>
      </c>
      <c r="M33" s="252"/>
      <c r="N33" s="233">
        <v>96.09</v>
      </c>
      <c r="O33" s="252"/>
      <c r="P33" s="233">
        <v>96.12</v>
      </c>
      <c r="Q33" s="252"/>
      <c r="R33" s="233">
        <v>96.15</v>
      </c>
      <c r="S33" s="252"/>
      <c r="T33" s="233">
        <v>96.15</v>
      </c>
      <c r="U33" s="252"/>
      <c r="V33" s="52"/>
      <c r="W33" s="52"/>
      <c r="X33" s="52"/>
      <c r="Y33" s="165"/>
      <c r="Z33" s="165"/>
      <c r="AA33" s="165"/>
      <c r="AB33" s="165"/>
      <c r="AC33" s="165"/>
      <c r="AD33" s="165"/>
      <c r="AE33" s="165"/>
      <c r="AF33" s="165"/>
    </row>
    <row r="34" spans="1:32" ht="30" hidden="1">
      <c r="A34" s="165"/>
      <c r="B34" s="48"/>
      <c r="C34" s="48"/>
      <c r="D34" s="49"/>
      <c r="E34" s="49"/>
      <c r="F34" s="50"/>
      <c r="G34" s="58" t="s">
        <v>2004</v>
      </c>
      <c r="H34" s="233">
        <v>83.63</v>
      </c>
      <c r="I34" s="233">
        <v>84.54</v>
      </c>
      <c r="J34" s="233">
        <v>83.66</v>
      </c>
      <c r="K34" s="252"/>
      <c r="L34" s="233">
        <v>83.69</v>
      </c>
      <c r="M34" s="252"/>
      <c r="N34" s="233">
        <v>83.72</v>
      </c>
      <c r="O34" s="252"/>
      <c r="P34" s="233">
        <v>83.75</v>
      </c>
      <c r="Q34" s="252"/>
      <c r="R34" s="233">
        <v>83.78</v>
      </c>
      <c r="S34" s="252"/>
      <c r="T34" s="233">
        <v>83.78</v>
      </c>
      <c r="U34" s="252"/>
      <c r="V34" s="52"/>
      <c r="W34" s="52"/>
      <c r="X34" s="52"/>
      <c r="Y34" s="165"/>
      <c r="Z34" s="165"/>
      <c r="AA34" s="165"/>
      <c r="AB34" s="165"/>
      <c r="AC34" s="165"/>
      <c r="AD34" s="165"/>
      <c r="AE34" s="165"/>
      <c r="AF34" s="165"/>
    </row>
    <row r="35" spans="1:32" ht="45" hidden="1">
      <c r="A35" s="165"/>
      <c r="B35" s="48"/>
      <c r="C35" s="48"/>
      <c r="D35" s="49"/>
      <c r="E35" s="49"/>
      <c r="F35" s="50"/>
      <c r="G35" s="58" t="s">
        <v>1137</v>
      </c>
      <c r="H35" s="233">
        <v>95.34094966083542</v>
      </c>
      <c r="I35" s="233">
        <v>98</v>
      </c>
      <c r="J35" s="233">
        <v>95.37</v>
      </c>
      <c r="K35" s="252"/>
      <c r="L35" s="233">
        <v>95.4</v>
      </c>
      <c r="M35" s="252"/>
      <c r="N35" s="233">
        <v>95.43</v>
      </c>
      <c r="O35" s="252"/>
      <c r="P35" s="233">
        <v>95.47</v>
      </c>
      <c r="Q35" s="252"/>
      <c r="R35" s="233">
        <v>95.5</v>
      </c>
      <c r="S35" s="252"/>
      <c r="T35" s="233">
        <v>95.5</v>
      </c>
      <c r="U35" s="252"/>
      <c r="V35" s="52"/>
      <c r="W35" s="52"/>
      <c r="X35" s="52"/>
      <c r="Y35" s="165"/>
      <c r="Z35" s="165"/>
      <c r="AA35" s="165"/>
      <c r="AB35" s="165"/>
      <c r="AC35" s="165"/>
      <c r="AD35" s="165"/>
      <c r="AE35" s="165"/>
      <c r="AF35" s="165"/>
    </row>
    <row r="36" spans="1:32" ht="60" hidden="1">
      <c r="A36" s="165"/>
      <c r="B36" s="48"/>
      <c r="C36" s="48"/>
      <c r="D36" s="49"/>
      <c r="E36" s="49"/>
      <c r="F36" s="50"/>
      <c r="G36" s="58" t="s">
        <v>2005</v>
      </c>
      <c r="H36" s="233">
        <v>48.594462811443769</v>
      </c>
      <c r="I36" s="234">
        <v>0</v>
      </c>
      <c r="J36" s="233">
        <v>48.59</v>
      </c>
      <c r="K36" s="252"/>
      <c r="L36" s="233">
        <v>48.61</v>
      </c>
      <c r="M36" s="252"/>
      <c r="N36" s="233">
        <v>48.63</v>
      </c>
      <c r="O36" s="252"/>
      <c r="P36" s="233">
        <v>48.65</v>
      </c>
      <c r="Q36" s="252"/>
      <c r="R36" s="233">
        <v>48.67</v>
      </c>
      <c r="S36" s="252"/>
      <c r="T36" s="233">
        <v>48.67</v>
      </c>
      <c r="U36" s="252"/>
      <c r="V36" s="52"/>
      <c r="W36" s="52"/>
      <c r="X36" s="52"/>
      <c r="Y36" s="165"/>
      <c r="Z36" s="165"/>
      <c r="AA36" s="165"/>
      <c r="AB36" s="165"/>
      <c r="AC36" s="165"/>
      <c r="AD36" s="165"/>
      <c r="AE36" s="165"/>
      <c r="AF36" s="165"/>
    </row>
    <row r="37" spans="1:32" ht="30" hidden="1">
      <c r="A37" s="165"/>
      <c r="B37" s="48"/>
      <c r="C37" s="48"/>
      <c r="D37" s="49"/>
      <c r="E37" s="49"/>
      <c r="F37" s="50"/>
      <c r="G37" s="58" t="s">
        <v>1140</v>
      </c>
      <c r="H37" s="233">
        <v>21.06</v>
      </c>
      <c r="I37" s="233">
        <v>0</v>
      </c>
      <c r="J37" s="233">
        <v>21.06</v>
      </c>
      <c r="K37" s="252"/>
      <c r="L37" s="233">
        <v>21.08</v>
      </c>
      <c r="M37" s="252"/>
      <c r="N37" s="233">
        <v>21.1</v>
      </c>
      <c r="O37" s="252"/>
      <c r="P37" s="233">
        <v>21.12</v>
      </c>
      <c r="Q37" s="252"/>
      <c r="R37" s="233">
        <v>21.14</v>
      </c>
      <c r="S37" s="252"/>
      <c r="T37" s="233">
        <v>21.14</v>
      </c>
      <c r="U37" s="252"/>
      <c r="V37" s="52"/>
      <c r="W37" s="52"/>
      <c r="X37" s="52"/>
      <c r="Y37" s="165"/>
      <c r="Z37" s="165"/>
      <c r="AA37" s="165"/>
      <c r="AB37" s="165"/>
      <c r="AC37" s="165"/>
      <c r="AD37" s="165"/>
      <c r="AE37" s="165"/>
      <c r="AF37" s="165"/>
    </row>
    <row r="38" spans="1:32" ht="30" hidden="1">
      <c r="A38" s="165"/>
      <c r="B38" s="48"/>
      <c r="C38" s="48"/>
      <c r="D38" s="49"/>
      <c r="E38" s="49"/>
      <c r="F38" s="50"/>
      <c r="G38" s="58" t="s">
        <v>1143</v>
      </c>
      <c r="H38" s="233">
        <v>31.9</v>
      </c>
      <c r="I38" s="233">
        <v>0</v>
      </c>
      <c r="J38" s="233">
        <v>31.9</v>
      </c>
      <c r="K38" s="252"/>
      <c r="L38" s="233">
        <v>31.92</v>
      </c>
      <c r="M38" s="252"/>
      <c r="N38" s="233">
        <v>31.94</v>
      </c>
      <c r="O38" s="252"/>
      <c r="P38" s="233">
        <v>31.96</v>
      </c>
      <c r="Q38" s="252"/>
      <c r="R38" s="233">
        <v>31.98</v>
      </c>
      <c r="S38" s="252"/>
      <c r="T38" s="233">
        <v>31.98</v>
      </c>
      <c r="U38" s="252"/>
      <c r="V38" s="52"/>
      <c r="W38" s="52"/>
      <c r="X38" s="52"/>
      <c r="Y38" s="165"/>
      <c r="Z38" s="165"/>
      <c r="AA38" s="165"/>
      <c r="AB38" s="165"/>
      <c r="AC38" s="165"/>
      <c r="AD38" s="165"/>
      <c r="AE38" s="165"/>
      <c r="AF38" s="165"/>
    </row>
    <row r="39" spans="1:32" ht="75" hidden="1">
      <c r="A39" s="165"/>
      <c r="B39" s="48"/>
      <c r="C39" s="48"/>
      <c r="D39" s="49"/>
      <c r="E39" s="49"/>
      <c r="F39" s="50"/>
      <c r="G39" s="58" t="s">
        <v>1145</v>
      </c>
      <c r="H39" s="233"/>
      <c r="I39" s="233"/>
      <c r="J39" s="233"/>
      <c r="K39" s="252"/>
      <c r="L39" s="233"/>
      <c r="M39" s="252"/>
      <c r="N39" s="233"/>
      <c r="O39" s="252"/>
      <c r="P39" s="233"/>
      <c r="Q39" s="252"/>
      <c r="R39" s="233"/>
      <c r="S39" s="252"/>
      <c r="T39" s="233"/>
      <c r="U39" s="252"/>
      <c r="V39" s="52"/>
      <c r="W39" s="52"/>
      <c r="X39" s="52"/>
      <c r="Y39" s="165"/>
      <c r="Z39" s="165"/>
      <c r="AA39" s="165"/>
      <c r="AB39" s="165"/>
      <c r="AC39" s="165"/>
      <c r="AD39" s="165"/>
      <c r="AE39" s="165"/>
      <c r="AF39" s="165"/>
    </row>
    <row r="40" spans="1:32" ht="45" hidden="1">
      <c r="A40" s="165"/>
      <c r="B40" s="48"/>
      <c r="C40" s="48"/>
      <c r="D40" s="49"/>
      <c r="E40" s="49"/>
      <c r="F40" s="50"/>
      <c r="G40" s="58" t="s">
        <v>2161</v>
      </c>
      <c r="H40" s="233">
        <v>99.37</v>
      </c>
      <c r="I40" s="233">
        <v>0</v>
      </c>
      <c r="J40" s="233">
        <v>99.37</v>
      </c>
      <c r="K40" s="252"/>
      <c r="L40" s="233">
        <f>J40+0.03</f>
        <v>99.4</v>
      </c>
      <c r="M40" s="252"/>
      <c r="N40" s="233">
        <f>L40+0.03</f>
        <v>99.43</v>
      </c>
      <c r="O40" s="252"/>
      <c r="P40" s="233">
        <f>N40+0.03</f>
        <v>99.460000000000008</v>
      </c>
      <c r="Q40" s="252"/>
      <c r="R40" s="233">
        <f>P40+0.03</f>
        <v>99.490000000000009</v>
      </c>
      <c r="S40" s="252"/>
      <c r="T40" s="233">
        <f>R40+0.03</f>
        <v>99.52000000000001</v>
      </c>
      <c r="U40" s="252"/>
      <c r="V40" s="52"/>
      <c r="W40" s="52"/>
      <c r="X40" s="52"/>
      <c r="Y40" s="165"/>
      <c r="Z40" s="165"/>
      <c r="AA40" s="165"/>
      <c r="AB40" s="165"/>
      <c r="AC40" s="165"/>
      <c r="AD40" s="165"/>
      <c r="AE40" s="165"/>
      <c r="AF40" s="165"/>
    </row>
    <row r="41" spans="1:32" ht="45" hidden="1">
      <c r="A41" s="165"/>
      <c r="B41" s="48"/>
      <c r="C41" s="48"/>
      <c r="D41" s="49"/>
      <c r="E41" s="49"/>
      <c r="F41" s="50"/>
      <c r="G41" s="58" t="s">
        <v>2162</v>
      </c>
      <c r="H41" s="233">
        <v>99.25</v>
      </c>
      <c r="I41" s="233">
        <v>0</v>
      </c>
      <c r="J41" s="233">
        <v>99.25</v>
      </c>
      <c r="K41" s="252"/>
      <c r="L41" s="233">
        <f>J41+0.03</f>
        <v>99.28</v>
      </c>
      <c r="M41" s="252"/>
      <c r="N41" s="233">
        <f>L41+0.03</f>
        <v>99.31</v>
      </c>
      <c r="O41" s="252"/>
      <c r="P41" s="233">
        <f>N41+0.03</f>
        <v>99.34</v>
      </c>
      <c r="Q41" s="252"/>
      <c r="R41" s="233">
        <f>P41+0.03</f>
        <v>99.37</v>
      </c>
      <c r="S41" s="252"/>
      <c r="T41" s="233">
        <f>R41+0.03</f>
        <v>99.4</v>
      </c>
      <c r="U41" s="252"/>
      <c r="V41" s="52"/>
      <c r="W41" s="52"/>
      <c r="X41" s="52"/>
      <c r="Y41" s="165"/>
      <c r="Z41" s="165"/>
      <c r="AA41" s="165"/>
      <c r="AB41" s="165"/>
      <c r="AC41" s="165"/>
      <c r="AD41" s="165"/>
      <c r="AE41" s="165"/>
      <c r="AF41" s="165"/>
    </row>
    <row r="42" spans="1:32" ht="45" hidden="1">
      <c r="A42" s="165"/>
      <c r="B42" s="48"/>
      <c r="C42" s="48"/>
      <c r="D42" s="49"/>
      <c r="E42" s="49"/>
      <c r="F42" s="50"/>
      <c r="G42" s="58" t="s">
        <v>2163</v>
      </c>
      <c r="H42" s="233">
        <v>99.68</v>
      </c>
      <c r="I42" s="233">
        <v>100</v>
      </c>
      <c r="J42" s="233">
        <v>99.5</v>
      </c>
      <c r="K42" s="252">
        <v>1722360000</v>
      </c>
      <c r="L42" s="252">
        <f>K42/30000</f>
        <v>57412</v>
      </c>
      <c r="M42" s="252">
        <v>1722360000</v>
      </c>
      <c r="N42" s="252">
        <f>O42/30000</f>
        <v>58000</v>
      </c>
      <c r="O42" s="252">
        <v>1740000000</v>
      </c>
      <c r="P42" s="252">
        <f>Q42/30000</f>
        <v>58500</v>
      </c>
      <c r="Q42" s="252">
        <v>1755000000</v>
      </c>
      <c r="R42" s="252">
        <f>S42/300000</f>
        <v>5900</v>
      </c>
      <c r="S42" s="252">
        <v>1770000000</v>
      </c>
      <c r="T42" s="252">
        <f>U42/300000</f>
        <v>5900</v>
      </c>
      <c r="U42" s="252">
        <v>1770000000</v>
      </c>
      <c r="V42" s="52"/>
      <c r="W42" s="52"/>
      <c r="X42" s="52"/>
      <c r="Y42" s="165"/>
      <c r="Z42" s="165"/>
      <c r="AA42" s="165"/>
      <c r="AB42" s="165"/>
      <c r="AC42" s="165"/>
      <c r="AD42" s="165"/>
      <c r="AE42" s="165"/>
      <c r="AF42" s="165"/>
    </row>
    <row r="43" spans="1:32" ht="45" hidden="1">
      <c r="A43" s="165"/>
      <c r="B43" s="48"/>
      <c r="C43" s="48"/>
      <c r="D43" s="49"/>
      <c r="E43" s="49"/>
      <c r="F43" s="50"/>
      <c r="G43" s="58" t="s">
        <v>2164</v>
      </c>
      <c r="H43" s="233">
        <v>96.18</v>
      </c>
      <c r="I43" s="233">
        <v>100</v>
      </c>
      <c r="J43" s="233">
        <v>96</v>
      </c>
      <c r="K43" s="252">
        <v>1568950000</v>
      </c>
      <c r="L43" s="252">
        <f>M43/50000</f>
        <v>31379</v>
      </c>
      <c r="M43" s="252">
        <v>1568950000</v>
      </c>
      <c r="N43" s="252">
        <f>O43/50000</f>
        <v>31379</v>
      </c>
      <c r="O43" s="252">
        <v>1568950000</v>
      </c>
      <c r="P43" s="252">
        <f>Q43/50000</f>
        <v>31379</v>
      </c>
      <c r="Q43" s="252">
        <v>1568950000</v>
      </c>
      <c r="R43" s="252">
        <f>S43/50000</f>
        <v>31379</v>
      </c>
      <c r="S43" s="252">
        <v>1568950000</v>
      </c>
      <c r="T43" s="252">
        <f>U43/50000</f>
        <v>31379</v>
      </c>
      <c r="U43" s="252">
        <v>1568950000</v>
      </c>
      <c r="V43" s="52"/>
      <c r="W43" s="52"/>
      <c r="X43" s="52"/>
      <c r="Y43" s="165"/>
      <c r="Z43" s="165"/>
      <c r="AA43" s="165"/>
      <c r="AB43" s="165"/>
      <c r="AC43" s="165"/>
      <c r="AD43" s="165"/>
      <c r="AE43" s="165"/>
      <c r="AF43" s="165"/>
    </row>
    <row r="44" spans="1:32" ht="45" hidden="1">
      <c r="A44" s="165"/>
      <c r="B44" s="48"/>
      <c r="C44" s="48"/>
      <c r="D44" s="49"/>
      <c r="E44" s="49"/>
      <c r="F44" s="50"/>
      <c r="G44" s="58" t="s">
        <v>2165</v>
      </c>
      <c r="H44" s="233">
        <v>97.74</v>
      </c>
      <c r="I44" s="233">
        <v>100</v>
      </c>
      <c r="J44" s="233">
        <v>97.5</v>
      </c>
      <c r="K44" s="252">
        <v>60000000</v>
      </c>
      <c r="L44" s="252">
        <v>4</v>
      </c>
      <c r="M44" s="252">
        <v>60000000</v>
      </c>
      <c r="N44" s="252">
        <v>4</v>
      </c>
      <c r="O44" s="252">
        <v>60000000</v>
      </c>
      <c r="P44" s="252">
        <v>4</v>
      </c>
      <c r="Q44" s="252">
        <v>60000000</v>
      </c>
      <c r="R44" s="252">
        <v>4</v>
      </c>
      <c r="S44" s="252">
        <v>60000000</v>
      </c>
      <c r="T44" s="252">
        <v>4</v>
      </c>
      <c r="U44" s="252">
        <v>60000000</v>
      </c>
      <c r="V44" s="52"/>
      <c r="W44" s="52"/>
      <c r="X44" s="52"/>
      <c r="Y44" s="165"/>
      <c r="Z44" s="165"/>
      <c r="AA44" s="165"/>
      <c r="AB44" s="165"/>
      <c r="AC44" s="165"/>
      <c r="AD44" s="165"/>
      <c r="AE44" s="165"/>
      <c r="AF44" s="165"/>
    </row>
    <row r="45" spans="1:32" ht="60" hidden="1">
      <c r="A45" s="165"/>
      <c r="B45" s="48"/>
      <c r="C45" s="48"/>
      <c r="D45" s="49"/>
      <c r="E45" s="49"/>
      <c r="F45" s="50"/>
      <c r="G45" s="58" t="s">
        <v>2166</v>
      </c>
      <c r="H45" s="233">
        <v>96.4</v>
      </c>
      <c r="I45" s="233">
        <v>100</v>
      </c>
      <c r="J45" s="233">
        <v>96.5</v>
      </c>
      <c r="K45" s="252">
        <v>40000000</v>
      </c>
      <c r="L45" s="252">
        <v>4</v>
      </c>
      <c r="M45" s="252">
        <v>60000000</v>
      </c>
      <c r="N45" s="252">
        <v>4</v>
      </c>
      <c r="O45" s="252">
        <v>60000000</v>
      </c>
      <c r="P45" s="252">
        <v>4</v>
      </c>
      <c r="Q45" s="252">
        <v>60000000</v>
      </c>
      <c r="R45" s="252">
        <v>4</v>
      </c>
      <c r="S45" s="252">
        <v>60000000</v>
      </c>
      <c r="T45" s="252">
        <v>4</v>
      </c>
      <c r="U45" s="252">
        <v>60000000</v>
      </c>
      <c r="V45" s="52"/>
      <c r="W45" s="52"/>
      <c r="X45" s="52"/>
      <c r="Y45" s="165"/>
      <c r="Z45" s="165"/>
      <c r="AA45" s="165"/>
      <c r="AB45" s="165"/>
      <c r="AC45" s="165"/>
      <c r="AD45" s="165"/>
      <c r="AE45" s="165"/>
      <c r="AF45" s="165"/>
    </row>
    <row r="46" spans="1:32" ht="30" hidden="1">
      <c r="A46" s="165"/>
      <c r="B46" s="48"/>
      <c r="C46" s="48"/>
      <c r="D46" s="49"/>
      <c r="E46" s="49"/>
      <c r="F46" s="50"/>
      <c r="G46" s="58" t="s">
        <v>2167</v>
      </c>
      <c r="H46" s="233">
        <v>69.599999999999994</v>
      </c>
      <c r="I46" s="233">
        <v>100</v>
      </c>
      <c r="J46" s="233">
        <v>71.2</v>
      </c>
      <c r="K46" s="252">
        <v>20000000</v>
      </c>
      <c r="L46" s="252">
        <v>105</v>
      </c>
      <c r="M46" s="252">
        <v>35281650</v>
      </c>
      <c r="N46" s="252">
        <v>105</v>
      </c>
      <c r="O46" s="252">
        <v>35281650</v>
      </c>
      <c r="P46" s="252">
        <v>105</v>
      </c>
      <c r="Q46" s="252">
        <v>35281650</v>
      </c>
      <c r="R46" s="252">
        <v>105</v>
      </c>
      <c r="S46" s="252">
        <v>35281650</v>
      </c>
      <c r="T46" s="252">
        <v>105</v>
      </c>
      <c r="U46" s="252">
        <v>35281650</v>
      </c>
      <c r="V46" s="52"/>
      <c r="W46" s="52"/>
      <c r="X46" s="52"/>
      <c r="Y46" s="165"/>
      <c r="Z46" s="165"/>
      <c r="AA46" s="165"/>
      <c r="AB46" s="165"/>
      <c r="AC46" s="165"/>
      <c r="AD46" s="165"/>
      <c r="AE46" s="165"/>
      <c r="AF46" s="165"/>
    </row>
    <row r="47" spans="1:32" ht="45" hidden="1">
      <c r="A47" s="165"/>
      <c r="B47" s="48"/>
      <c r="C47" s="48"/>
      <c r="D47" s="49"/>
      <c r="E47" s="49"/>
      <c r="F47" s="50"/>
      <c r="G47" s="58" t="s">
        <v>2168</v>
      </c>
      <c r="H47" s="233"/>
      <c r="I47" s="233"/>
      <c r="J47" s="233"/>
      <c r="K47" s="252"/>
      <c r="L47" s="252"/>
      <c r="M47" s="252">
        <v>79650000</v>
      </c>
      <c r="N47" s="252"/>
      <c r="O47" s="252"/>
      <c r="P47" s="252"/>
      <c r="Q47" s="252"/>
      <c r="R47" s="252"/>
      <c r="S47" s="252"/>
      <c r="T47" s="252"/>
      <c r="U47" s="252"/>
      <c r="V47" s="52"/>
      <c r="W47" s="52"/>
      <c r="X47" s="52"/>
      <c r="Y47" s="165"/>
      <c r="Z47" s="165"/>
      <c r="AA47" s="165"/>
      <c r="AB47" s="165"/>
      <c r="AC47" s="165"/>
      <c r="AD47" s="165"/>
      <c r="AE47" s="165"/>
      <c r="AF47" s="165"/>
    </row>
    <row r="48" spans="1:32" ht="45" hidden="1">
      <c r="A48" s="165"/>
      <c r="B48" s="48"/>
      <c r="C48" s="48"/>
      <c r="D48" s="49"/>
      <c r="E48" s="49"/>
      <c r="F48" s="50"/>
      <c r="G48" s="58" t="s">
        <v>1209</v>
      </c>
      <c r="H48" s="233">
        <v>94.809186374114233</v>
      </c>
      <c r="I48" s="252">
        <v>0</v>
      </c>
      <c r="J48" s="233">
        <f>H48+0.01</f>
        <v>94.819186374114238</v>
      </c>
      <c r="K48" s="252"/>
      <c r="L48" s="233">
        <f>J48+0.01</f>
        <v>94.829186374114244</v>
      </c>
      <c r="M48" s="252"/>
      <c r="N48" s="233">
        <f>L48+0.01</f>
        <v>94.839186374114249</v>
      </c>
      <c r="O48" s="252"/>
      <c r="P48" s="233">
        <f>N48+0.01</f>
        <v>94.849186374114254</v>
      </c>
      <c r="Q48" s="252"/>
      <c r="R48" s="233">
        <f>P48+0.01</f>
        <v>94.859186374114259</v>
      </c>
      <c r="S48" s="252"/>
      <c r="T48" s="233">
        <f>R48+0.01</f>
        <v>94.869186374114264</v>
      </c>
      <c r="U48" s="252"/>
      <c r="V48" s="52"/>
      <c r="W48" s="52"/>
      <c r="X48" s="52"/>
      <c r="Y48" s="165"/>
      <c r="Z48" s="165"/>
      <c r="AA48" s="165"/>
      <c r="AB48" s="165"/>
      <c r="AC48" s="165"/>
      <c r="AD48" s="165"/>
      <c r="AE48" s="165"/>
      <c r="AF48" s="165"/>
    </row>
    <row r="49" spans="1:32" ht="30" hidden="1">
      <c r="A49" s="165"/>
      <c r="B49" s="48"/>
      <c r="C49" s="48"/>
      <c r="D49" s="49"/>
      <c r="E49" s="49"/>
      <c r="F49" s="50"/>
      <c r="G49" s="58" t="s">
        <v>1211</v>
      </c>
      <c r="H49" s="233">
        <v>0.20430536176998204</v>
      </c>
      <c r="I49" s="233">
        <v>0.1</v>
      </c>
      <c r="J49" s="233">
        <f>H49-0.02</f>
        <v>0.18430536176998205</v>
      </c>
      <c r="K49" s="252"/>
      <c r="L49" s="233">
        <f>J49-0.01</f>
        <v>0.17430536176998204</v>
      </c>
      <c r="M49" s="252"/>
      <c r="N49" s="233">
        <f>L49-0.01</f>
        <v>0.16430536176998203</v>
      </c>
      <c r="O49" s="252"/>
      <c r="P49" s="233">
        <f>N49-0.01</f>
        <v>0.15430536176998202</v>
      </c>
      <c r="Q49" s="252"/>
      <c r="R49" s="233">
        <f>P49-0.01</f>
        <v>0.14430536176998202</v>
      </c>
      <c r="S49" s="252"/>
      <c r="T49" s="233">
        <f>R49-0.01</f>
        <v>0.13430536176998201</v>
      </c>
      <c r="U49" s="252"/>
      <c r="V49" s="52"/>
      <c r="W49" s="52"/>
      <c r="X49" s="52"/>
      <c r="Y49" s="165"/>
      <c r="Z49" s="165"/>
      <c r="AA49" s="165"/>
      <c r="AB49" s="165"/>
      <c r="AC49" s="165"/>
      <c r="AD49" s="165"/>
      <c r="AE49" s="165"/>
      <c r="AF49" s="165"/>
    </row>
    <row r="50" spans="1:32" ht="30" hidden="1">
      <c r="A50" s="165"/>
      <c r="B50" s="48"/>
      <c r="C50" s="48"/>
      <c r="D50" s="49"/>
      <c r="E50" s="49"/>
      <c r="F50" s="50"/>
      <c r="G50" s="58" t="s">
        <v>1213</v>
      </c>
      <c r="H50" s="233">
        <v>0.44489263257800449</v>
      </c>
      <c r="I50" s="233">
        <v>1.2</v>
      </c>
      <c r="J50" s="233">
        <v>0.43</v>
      </c>
      <c r="K50" s="252"/>
      <c r="L50" s="233">
        <f>J50-0.01</f>
        <v>0.42</v>
      </c>
      <c r="M50" s="252"/>
      <c r="N50" s="233">
        <f>L50-0.01</f>
        <v>0.41</v>
      </c>
      <c r="O50" s="252"/>
      <c r="P50" s="233">
        <f>N50-0.01</f>
        <v>0.39999999999999997</v>
      </c>
      <c r="Q50" s="252"/>
      <c r="R50" s="233">
        <f>P50-0.01</f>
        <v>0.38999999999999996</v>
      </c>
      <c r="S50" s="252"/>
      <c r="T50" s="233">
        <f>R50-0.01</f>
        <v>0.37999999999999995</v>
      </c>
      <c r="U50" s="252"/>
      <c r="V50" s="52"/>
      <c r="W50" s="52"/>
      <c r="X50" s="52"/>
      <c r="Y50" s="165"/>
      <c r="Z50" s="165"/>
      <c r="AA50" s="165"/>
      <c r="AB50" s="165"/>
      <c r="AC50" s="165"/>
      <c r="AD50" s="165"/>
      <c r="AE50" s="165"/>
      <c r="AF50" s="165"/>
    </row>
    <row r="51" spans="1:32" ht="45" hidden="1">
      <c r="A51" s="165"/>
      <c r="B51" s="48"/>
      <c r="C51" s="48"/>
      <c r="D51" s="49"/>
      <c r="E51" s="49"/>
      <c r="F51" s="50"/>
      <c r="G51" s="58" t="s">
        <v>2186</v>
      </c>
      <c r="H51" s="233">
        <v>73.23</v>
      </c>
      <c r="I51" s="233">
        <v>100</v>
      </c>
      <c r="J51" s="233">
        <v>99</v>
      </c>
      <c r="K51" s="252">
        <v>39989000</v>
      </c>
      <c r="L51" s="252">
        <v>2</v>
      </c>
      <c r="M51" s="252">
        <v>95000000</v>
      </c>
      <c r="N51" s="252">
        <v>2</v>
      </c>
      <c r="O51" s="252">
        <v>40000000</v>
      </c>
      <c r="P51" s="252">
        <v>2</v>
      </c>
      <c r="Q51" s="252">
        <v>50000000</v>
      </c>
      <c r="R51" s="252">
        <v>2</v>
      </c>
      <c r="S51" s="252">
        <v>55000000</v>
      </c>
      <c r="T51" s="252">
        <v>2</v>
      </c>
      <c r="U51" s="252">
        <v>55000000</v>
      </c>
      <c r="V51" s="52"/>
      <c r="W51" s="52"/>
      <c r="X51" s="52"/>
      <c r="Y51" s="165"/>
      <c r="Z51" s="165"/>
      <c r="AA51" s="165"/>
      <c r="AB51" s="165"/>
      <c r="AC51" s="165"/>
      <c r="AD51" s="165"/>
      <c r="AE51" s="165"/>
      <c r="AF51" s="165"/>
    </row>
    <row r="52" spans="1:32" ht="30" hidden="1">
      <c r="A52" s="165"/>
      <c r="B52" s="48"/>
      <c r="C52" s="48"/>
      <c r="D52" s="49"/>
      <c r="E52" s="49"/>
      <c r="F52" s="50"/>
      <c r="G52" s="58" t="s">
        <v>2187</v>
      </c>
      <c r="H52" s="233">
        <v>52.72</v>
      </c>
      <c r="I52" s="233">
        <v>100</v>
      </c>
      <c r="J52" s="233">
        <v>99</v>
      </c>
      <c r="K52" s="252">
        <v>40000000</v>
      </c>
      <c r="L52" s="252">
        <v>5</v>
      </c>
      <c r="M52" s="252">
        <v>39997000</v>
      </c>
      <c r="N52" s="252">
        <v>5</v>
      </c>
      <c r="O52" s="252">
        <v>40000000</v>
      </c>
      <c r="P52" s="252">
        <v>5</v>
      </c>
      <c r="Q52" s="252">
        <v>40000000</v>
      </c>
      <c r="R52" s="252">
        <v>5</v>
      </c>
      <c r="S52" s="252">
        <v>40000000</v>
      </c>
      <c r="T52" s="252">
        <v>5</v>
      </c>
      <c r="U52" s="252">
        <v>40000000</v>
      </c>
      <c r="V52" s="52"/>
      <c r="W52" s="52"/>
      <c r="X52" s="52"/>
      <c r="Y52" s="165"/>
      <c r="Z52" s="165"/>
      <c r="AA52" s="165"/>
      <c r="AB52" s="165"/>
      <c r="AC52" s="165"/>
      <c r="AD52" s="165"/>
      <c r="AE52" s="165"/>
      <c r="AF52" s="165"/>
    </row>
    <row r="53" spans="1:32" ht="75" hidden="1">
      <c r="A53" s="165"/>
      <c r="B53" s="48"/>
      <c r="C53" s="48"/>
      <c r="D53" s="49"/>
      <c r="E53" s="49"/>
      <c r="F53" s="50"/>
      <c r="G53" s="58" t="s">
        <v>2188</v>
      </c>
      <c r="H53" s="233">
        <v>0</v>
      </c>
      <c r="I53" s="233">
        <v>100</v>
      </c>
      <c r="J53" s="233">
        <v>99</v>
      </c>
      <c r="K53" s="252">
        <v>23000000</v>
      </c>
      <c r="L53" s="252">
        <v>2</v>
      </c>
      <c r="M53" s="252">
        <v>23000000</v>
      </c>
      <c r="N53" s="252">
        <v>2</v>
      </c>
      <c r="O53" s="252">
        <v>30000000</v>
      </c>
      <c r="P53" s="252">
        <v>2</v>
      </c>
      <c r="Q53" s="252">
        <v>35000000</v>
      </c>
      <c r="R53" s="252">
        <v>2</v>
      </c>
      <c r="S53" s="252">
        <v>40000000</v>
      </c>
      <c r="T53" s="252">
        <v>2</v>
      </c>
      <c r="U53" s="252">
        <v>40000000</v>
      </c>
      <c r="V53" s="52"/>
      <c r="W53" s="52"/>
      <c r="X53" s="52"/>
      <c r="Y53" s="165"/>
      <c r="Z53" s="165"/>
      <c r="AA53" s="165"/>
      <c r="AB53" s="165"/>
      <c r="AC53" s="165"/>
      <c r="AD53" s="165"/>
      <c r="AE53" s="165"/>
      <c r="AF53" s="165"/>
    </row>
    <row r="54" spans="1:32" ht="45" hidden="1">
      <c r="A54" s="165"/>
      <c r="B54" s="48"/>
      <c r="C54" s="48"/>
      <c r="D54" s="49"/>
      <c r="E54" s="49"/>
      <c r="F54" s="50"/>
      <c r="G54" s="58" t="s">
        <v>2189</v>
      </c>
      <c r="H54" s="233">
        <v>97.65</v>
      </c>
      <c r="I54" s="233">
        <v>100</v>
      </c>
      <c r="J54" s="233">
        <v>99</v>
      </c>
      <c r="K54" s="252">
        <v>50000000</v>
      </c>
      <c r="L54" s="252">
        <v>100</v>
      </c>
      <c r="M54" s="252">
        <v>100000000</v>
      </c>
      <c r="N54" s="252">
        <v>100</v>
      </c>
      <c r="O54" s="252">
        <v>50000000</v>
      </c>
      <c r="P54" s="252">
        <v>100</v>
      </c>
      <c r="Q54" s="252">
        <v>50000000</v>
      </c>
      <c r="R54" s="252">
        <v>115</v>
      </c>
      <c r="S54" s="252">
        <v>50000000</v>
      </c>
      <c r="T54" s="252">
        <v>115</v>
      </c>
      <c r="U54" s="252">
        <v>50000000</v>
      </c>
      <c r="V54" s="52"/>
      <c r="W54" s="52"/>
      <c r="X54" s="52"/>
      <c r="Y54" s="165"/>
      <c r="Z54" s="165"/>
      <c r="AA54" s="165"/>
      <c r="AB54" s="165"/>
      <c r="AC54" s="165"/>
      <c r="AD54" s="165"/>
      <c r="AE54" s="165"/>
      <c r="AF54" s="165"/>
    </row>
    <row r="55" spans="1:32" ht="45" hidden="1">
      <c r="A55" s="165"/>
      <c r="B55" s="48"/>
      <c r="C55" s="48"/>
      <c r="D55" s="49"/>
      <c r="E55" s="49"/>
      <c r="F55" s="50"/>
      <c r="G55" s="58" t="s">
        <v>2190</v>
      </c>
      <c r="H55" s="233">
        <v>100</v>
      </c>
      <c r="I55" s="233">
        <v>100</v>
      </c>
      <c r="J55" s="233">
        <v>99</v>
      </c>
      <c r="K55" s="252">
        <v>15000000</v>
      </c>
      <c r="L55" s="252">
        <v>100</v>
      </c>
      <c r="M55" s="252">
        <v>30000000</v>
      </c>
      <c r="N55" s="252">
        <v>100</v>
      </c>
      <c r="O55" s="252">
        <v>17000000</v>
      </c>
      <c r="P55" s="252">
        <v>100</v>
      </c>
      <c r="Q55" s="252">
        <v>19000000</v>
      </c>
      <c r="R55" s="252">
        <v>100</v>
      </c>
      <c r="S55" s="252">
        <v>20000000</v>
      </c>
      <c r="T55" s="252">
        <v>100</v>
      </c>
      <c r="U55" s="252">
        <v>20000000</v>
      </c>
      <c r="V55" s="52"/>
      <c r="W55" s="52"/>
      <c r="X55" s="52"/>
      <c r="Y55" s="165"/>
      <c r="Z55" s="165"/>
      <c r="AA55" s="165"/>
      <c r="AB55" s="165"/>
      <c r="AC55" s="165"/>
      <c r="AD55" s="165"/>
      <c r="AE55" s="165"/>
      <c r="AF55" s="165"/>
    </row>
    <row r="56" spans="1:32" ht="45" hidden="1">
      <c r="A56" s="165"/>
      <c r="B56" s="48"/>
      <c r="C56" s="48"/>
      <c r="D56" s="49"/>
      <c r="E56" s="49"/>
      <c r="F56" s="50"/>
      <c r="G56" s="58" t="s">
        <v>2191</v>
      </c>
      <c r="H56" s="233">
        <v>100</v>
      </c>
      <c r="I56" s="233">
        <v>100</v>
      </c>
      <c r="J56" s="233">
        <v>99</v>
      </c>
      <c r="K56" s="252">
        <v>10000000</v>
      </c>
      <c r="L56" s="252">
        <v>100</v>
      </c>
      <c r="M56" s="252">
        <v>10000000</v>
      </c>
      <c r="N56" s="252">
        <v>100</v>
      </c>
      <c r="O56" s="252">
        <v>20000000</v>
      </c>
      <c r="P56" s="252">
        <v>100</v>
      </c>
      <c r="Q56" s="252">
        <v>22000000</v>
      </c>
      <c r="R56" s="252">
        <v>115</v>
      </c>
      <c r="S56" s="252">
        <v>25000000</v>
      </c>
      <c r="T56" s="252">
        <v>115</v>
      </c>
      <c r="U56" s="252">
        <v>25000000</v>
      </c>
      <c r="V56" s="52"/>
      <c r="W56" s="52"/>
      <c r="X56" s="52"/>
      <c r="Y56" s="165"/>
      <c r="Z56" s="165"/>
      <c r="AA56" s="165"/>
      <c r="AB56" s="165"/>
      <c r="AC56" s="165"/>
      <c r="AD56" s="165"/>
      <c r="AE56" s="165"/>
      <c r="AF56" s="165"/>
    </row>
    <row r="57" spans="1:32" ht="60" hidden="1">
      <c r="A57" s="165"/>
      <c r="B57" s="48"/>
      <c r="C57" s="48"/>
      <c r="D57" s="49"/>
      <c r="E57" s="49"/>
      <c r="F57" s="50"/>
      <c r="G57" s="58" t="s">
        <v>2192</v>
      </c>
      <c r="H57" s="233">
        <v>100</v>
      </c>
      <c r="I57" s="233">
        <v>100</v>
      </c>
      <c r="J57" s="233">
        <v>99</v>
      </c>
      <c r="K57" s="252">
        <v>38400000</v>
      </c>
      <c r="L57" s="252">
        <v>480</v>
      </c>
      <c r="M57" s="252">
        <v>86400000</v>
      </c>
      <c r="N57" s="252">
        <v>235</v>
      </c>
      <c r="O57" s="252">
        <v>42300000</v>
      </c>
      <c r="P57" s="252">
        <v>235</v>
      </c>
      <c r="Q57" s="252">
        <v>42300000</v>
      </c>
      <c r="R57" s="252">
        <v>235</v>
      </c>
      <c r="S57" s="252">
        <v>42300000</v>
      </c>
      <c r="T57" s="252">
        <v>235</v>
      </c>
      <c r="U57" s="252">
        <v>42300000</v>
      </c>
      <c r="V57" s="52"/>
      <c r="W57" s="52"/>
      <c r="X57" s="52"/>
      <c r="Y57" s="165"/>
      <c r="Z57" s="165"/>
      <c r="AA57" s="165"/>
      <c r="AB57" s="165"/>
      <c r="AC57" s="165"/>
      <c r="AD57" s="165"/>
      <c r="AE57" s="165"/>
      <c r="AF57" s="165"/>
    </row>
    <row r="58" spans="1:32" ht="45" hidden="1">
      <c r="A58" s="165"/>
      <c r="B58" s="48"/>
      <c r="C58" s="48"/>
      <c r="D58" s="49"/>
      <c r="E58" s="49"/>
      <c r="F58" s="50"/>
      <c r="G58" s="58" t="s">
        <v>2193</v>
      </c>
      <c r="H58" s="233">
        <v>0</v>
      </c>
      <c r="I58" s="233">
        <v>100</v>
      </c>
      <c r="J58" s="233">
        <v>99</v>
      </c>
      <c r="K58" s="252">
        <v>80000000</v>
      </c>
      <c r="L58" s="252">
        <v>576</v>
      </c>
      <c r="M58" s="252">
        <v>76000000</v>
      </c>
      <c r="N58" s="252">
        <v>576</v>
      </c>
      <c r="O58" s="252">
        <v>80000000</v>
      </c>
      <c r="P58" s="252">
        <v>576</v>
      </c>
      <c r="Q58" s="252">
        <v>80000000</v>
      </c>
      <c r="R58" s="252">
        <v>576</v>
      </c>
      <c r="S58" s="252">
        <v>80000000</v>
      </c>
      <c r="T58" s="252">
        <v>576</v>
      </c>
      <c r="U58" s="252">
        <v>80000000</v>
      </c>
      <c r="V58" s="52"/>
      <c r="W58" s="52"/>
      <c r="X58" s="52"/>
      <c r="Y58" s="165"/>
      <c r="Z58" s="165"/>
      <c r="AA58" s="165"/>
      <c r="AB58" s="165"/>
      <c r="AC58" s="165"/>
      <c r="AD58" s="165"/>
      <c r="AE58" s="165"/>
      <c r="AF58" s="165"/>
    </row>
    <row r="59" spans="1:32" ht="60" hidden="1">
      <c r="A59" s="165"/>
      <c r="B59" s="48"/>
      <c r="C59" s="48"/>
      <c r="D59" s="49"/>
      <c r="E59" s="49"/>
      <c r="F59" s="50"/>
      <c r="G59" s="58" t="s">
        <v>2194</v>
      </c>
      <c r="H59" s="233">
        <v>0</v>
      </c>
      <c r="I59" s="233">
        <v>100</v>
      </c>
      <c r="J59" s="233">
        <v>99</v>
      </c>
      <c r="K59" s="252">
        <v>43200000</v>
      </c>
      <c r="L59" s="252"/>
      <c r="M59" s="252">
        <v>0</v>
      </c>
      <c r="N59" s="252"/>
      <c r="O59" s="252">
        <v>0</v>
      </c>
      <c r="P59" s="252"/>
      <c r="Q59" s="252">
        <v>0</v>
      </c>
      <c r="R59" s="252"/>
      <c r="S59" s="252">
        <v>0</v>
      </c>
      <c r="T59" s="252"/>
      <c r="U59" s="252">
        <v>0</v>
      </c>
      <c r="V59" s="52"/>
      <c r="W59" s="52"/>
      <c r="X59" s="52"/>
      <c r="Y59" s="165"/>
      <c r="Z59" s="165"/>
      <c r="AA59" s="165"/>
      <c r="AB59" s="165"/>
      <c r="AC59" s="165"/>
      <c r="AD59" s="165"/>
      <c r="AE59" s="165"/>
      <c r="AF59" s="165"/>
    </row>
    <row r="60" spans="1:32" ht="60" hidden="1">
      <c r="A60" s="165"/>
      <c r="B60" s="48"/>
      <c r="C60" s="48"/>
      <c r="D60" s="49"/>
      <c r="E60" s="49"/>
      <c r="F60" s="50"/>
      <c r="G60" s="58" t="s">
        <v>2195</v>
      </c>
      <c r="H60" s="233">
        <v>0</v>
      </c>
      <c r="I60" s="233">
        <v>100</v>
      </c>
      <c r="J60" s="233">
        <v>99</v>
      </c>
      <c r="K60" s="252">
        <v>17500000</v>
      </c>
      <c r="L60" s="252">
        <v>100</v>
      </c>
      <c r="M60" s="252">
        <v>25000000</v>
      </c>
      <c r="N60" s="252">
        <v>100</v>
      </c>
      <c r="O60" s="252">
        <v>18000000</v>
      </c>
      <c r="P60" s="252">
        <v>100</v>
      </c>
      <c r="Q60" s="252">
        <v>20000000</v>
      </c>
      <c r="R60" s="252">
        <v>100</v>
      </c>
      <c r="S60" s="252">
        <v>20000000</v>
      </c>
      <c r="T60" s="252">
        <v>100</v>
      </c>
      <c r="U60" s="252">
        <v>20000000</v>
      </c>
      <c r="V60" s="52"/>
      <c r="W60" s="52"/>
      <c r="X60" s="52"/>
      <c r="Y60" s="165"/>
      <c r="Z60" s="165"/>
      <c r="AA60" s="165"/>
      <c r="AB60" s="165"/>
      <c r="AC60" s="165"/>
      <c r="AD60" s="165"/>
      <c r="AE60" s="165"/>
      <c r="AF60" s="165"/>
    </row>
    <row r="61" spans="1:32" ht="60" hidden="1">
      <c r="A61" s="165"/>
      <c r="B61" s="48"/>
      <c r="C61" s="48"/>
      <c r="D61" s="49"/>
      <c r="E61" s="49"/>
      <c r="F61" s="50"/>
      <c r="G61" s="58" t="s">
        <v>2196</v>
      </c>
      <c r="H61" s="233">
        <v>75.02</v>
      </c>
      <c r="I61" s="233">
        <v>100</v>
      </c>
      <c r="J61" s="233">
        <v>99</v>
      </c>
      <c r="K61" s="252">
        <v>20000000</v>
      </c>
      <c r="L61" s="252">
        <v>20</v>
      </c>
      <c r="M61" s="252">
        <v>47595000</v>
      </c>
      <c r="N61" s="252">
        <v>20</v>
      </c>
      <c r="O61" s="252">
        <v>50000000</v>
      </c>
      <c r="P61" s="252">
        <v>20</v>
      </c>
      <c r="Q61" s="252">
        <v>50000000</v>
      </c>
      <c r="R61" s="252">
        <v>20</v>
      </c>
      <c r="S61" s="252">
        <v>50000000</v>
      </c>
      <c r="T61" s="252">
        <v>20</v>
      </c>
      <c r="U61" s="252">
        <v>50000000</v>
      </c>
      <c r="V61" s="52"/>
      <c r="W61" s="52"/>
      <c r="X61" s="52"/>
      <c r="Y61" s="165"/>
      <c r="Z61" s="165"/>
      <c r="AA61" s="165"/>
      <c r="AB61" s="165"/>
      <c r="AC61" s="165"/>
      <c r="AD61" s="165"/>
      <c r="AE61" s="165"/>
      <c r="AF61" s="165"/>
    </row>
    <row r="62" spans="1:32" ht="45" hidden="1">
      <c r="A62" s="165"/>
      <c r="B62" s="48"/>
      <c r="C62" s="48"/>
      <c r="D62" s="49"/>
      <c r="E62" s="49"/>
      <c r="F62" s="50"/>
      <c r="G62" s="58" t="s">
        <v>2197</v>
      </c>
      <c r="H62" s="233">
        <v>100</v>
      </c>
      <c r="I62" s="233">
        <v>100</v>
      </c>
      <c r="J62" s="233">
        <v>99</v>
      </c>
      <c r="K62" s="252">
        <v>39040000</v>
      </c>
      <c r="L62" s="252">
        <v>4</v>
      </c>
      <c r="M62" s="252">
        <v>40000000</v>
      </c>
      <c r="N62" s="252">
        <v>4</v>
      </c>
      <c r="O62" s="252">
        <v>40000000</v>
      </c>
      <c r="P62" s="252">
        <v>4</v>
      </c>
      <c r="Q62" s="252">
        <v>40000000</v>
      </c>
      <c r="R62" s="252">
        <v>4</v>
      </c>
      <c r="S62" s="252">
        <v>40000000</v>
      </c>
      <c r="T62" s="252">
        <v>4</v>
      </c>
      <c r="U62" s="252">
        <v>40000000</v>
      </c>
      <c r="V62" s="52"/>
      <c r="W62" s="52"/>
      <c r="X62" s="52"/>
      <c r="Y62" s="165"/>
      <c r="Z62" s="165"/>
      <c r="AA62" s="165"/>
      <c r="AB62" s="165"/>
      <c r="AC62" s="165"/>
      <c r="AD62" s="165"/>
      <c r="AE62" s="165"/>
      <c r="AF62" s="165"/>
    </row>
    <row r="63" spans="1:32" ht="60" hidden="1">
      <c r="A63" s="165"/>
      <c r="B63" s="48"/>
      <c r="C63" s="48"/>
      <c r="D63" s="49"/>
      <c r="E63" s="49"/>
      <c r="F63" s="50"/>
      <c r="G63" s="58" t="s">
        <v>2198</v>
      </c>
      <c r="H63" s="233">
        <v>55.06</v>
      </c>
      <c r="I63" s="233">
        <v>100</v>
      </c>
      <c r="J63" s="233">
        <v>90</v>
      </c>
      <c r="K63" s="252">
        <v>20000000</v>
      </c>
      <c r="L63" s="252">
        <v>3</v>
      </c>
      <c r="M63" s="252">
        <v>10000000</v>
      </c>
      <c r="N63" s="252">
        <v>3</v>
      </c>
      <c r="O63" s="252">
        <v>15000000</v>
      </c>
      <c r="P63" s="252">
        <v>3</v>
      </c>
      <c r="Q63" s="252">
        <v>15000000</v>
      </c>
      <c r="R63" s="252">
        <v>3</v>
      </c>
      <c r="S63" s="252">
        <v>15000000</v>
      </c>
      <c r="T63" s="252">
        <v>3</v>
      </c>
      <c r="U63" s="252">
        <v>15000000</v>
      </c>
      <c r="V63" s="52"/>
      <c r="W63" s="52"/>
      <c r="X63" s="52"/>
      <c r="Y63" s="165"/>
      <c r="Z63" s="165"/>
      <c r="AA63" s="165"/>
      <c r="AB63" s="165"/>
      <c r="AC63" s="165"/>
      <c r="AD63" s="165"/>
      <c r="AE63" s="165"/>
      <c r="AF63" s="165"/>
    </row>
    <row r="64" spans="1:32" ht="45" hidden="1">
      <c r="A64" s="165"/>
      <c r="B64" s="48"/>
      <c r="C64" s="48"/>
      <c r="D64" s="49"/>
      <c r="E64" s="49"/>
      <c r="F64" s="50"/>
      <c r="G64" s="58" t="s">
        <v>2199</v>
      </c>
      <c r="H64" s="233">
        <v>100</v>
      </c>
      <c r="I64" s="233">
        <v>100</v>
      </c>
      <c r="J64" s="233">
        <v>99</v>
      </c>
      <c r="K64" s="252">
        <v>34770000</v>
      </c>
      <c r="L64" s="252">
        <v>2</v>
      </c>
      <c r="M64" s="252">
        <v>34325000</v>
      </c>
      <c r="N64" s="252">
        <v>2</v>
      </c>
      <c r="O64" s="252">
        <v>35000000</v>
      </c>
      <c r="P64" s="252">
        <v>2</v>
      </c>
      <c r="Q64" s="252">
        <v>35000000</v>
      </c>
      <c r="R64" s="252">
        <v>2</v>
      </c>
      <c r="S64" s="252">
        <v>35000000</v>
      </c>
      <c r="T64" s="252">
        <v>2</v>
      </c>
      <c r="U64" s="252">
        <v>35000000</v>
      </c>
      <c r="V64" s="52"/>
      <c r="W64" s="52"/>
      <c r="X64" s="52"/>
      <c r="Y64" s="165"/>
      <c r="Z64" s="165"/>
      <c r="AA64" s="165"/>
      <c r="AB64" s="165"/>
      <c r="AC64" s="165"/>
      <c r="AD64" s="165"/>
      <c r="AE64" s="165"/>
      <c r="AF64" s="165"/>
    </row>
    <row r="65" spans="1:32" ht="45" hidden="1">
      <c r="A65" s="165"/>
      <c r="B65" s="48"/>
      <c r="C65" s="48"/>
      <c r="D65" s="49"/>
      <c r="E65" s="49"/>
      <c r="F65" s="50"/>
      <c r="G65" s="58" t="s">
        <v>2200</v>
      </c>
      <c r="H65" s="233">
        <v>97.09</v>
      </c>
      <c r="I65" s="233">
        <v>100</v>
      </c>
      <c r="J65" s="233">
        <v>99</v>
      </c>
      <c r="K65" s="252">
        <v>19244500</v>
      </c>
      <c r="L65" s="252">
        <v>20</v>
      </c>
      <c r="M65" s="252">
        <v>21745000</v>
      </c>
      <c r="N65" s="252">
        <v>20</v>
      </c>
      <c r="O65" s="252">
        <v>25000000</v>
      </c>
      <c r="P65" s="252">
        <v>20</v>
      </c>
      <c r="Q65" s="252">
        <v>25000000</v>
      </c>
      <c r="R65" s="252">
        <v>20</v>
      </c>
      <c r="S65" s="252">
        <v>30000000</v>
      </c>
      <c r="T65" s="252">
        <v>20</v>
      </c>
      <c r="U65" s="252">
        <v>30000000</v>
      </c>
      <c r="V65" s="52"/>
      <c r="W65" s="52"/>
      <c r="X65" s="52"/>
      <c r="Y65" s="165"/>
      <c r="Z65" s="165"/>
      <c r="AA65" s="165"/>
      <c r="AB65" s="165"/>
      <c r="AC65" s="165"/>
      <c r="AD65" s="165"/>
      <c r="AE65" s="165"/>
      <c r="AF65" s="165"/>
    </row>
    <row r="66" spans="1:32" ht="45" hidden="1">
      <c r="A66" s="165"/>
      <c r="B66" s="48"/>
      <c r="C66" s="48"/>
      <c r="D66" s="49"/>
      <c r="E66" s="49"/>
      <c r="F66" s="50"/>
      <c r="G66" s="401" t="s">
        <v>2202</v>
      </c>
      <c r="H66" s="233">
        <v>97.79</v>
      </c>
      <c r="I66" s="233">
        <v>100</v>
      </c>
      <c r="J66" s="233">
        <v>99</v>
      </c>
      <c r="K66" s="252">
        <v>73889300</v>
      </c>
      <c r="L66" s="252">
        <v>100</v>
      </c>
      <c r="M66" s="252">
        <v>110409000</v>
      </c>
      <c r="N66" s="252">
        <v>100</v>
      </c>
      <c r="O66" s="252">
        <v>112500000</v>
      </c>
      <c r="P66" s="252">
        <v>100</v>
      </c>
      <c r="Q66" s="252">
        <v>112500000</v>
      </c>
      <c r="R66" s="252">
        <v>100</v>
      </c>
      <c r="S66" s="252">
        <v>112500000</v>
      </c>
      <c r="T66" s="252">
        <v>100</v>
      </c>
      <c r="U66" s="252">
        <v>112500000</v>
      </c>
      <c r="V66" s="52"/>
      <c r="W66" s="52"/>
      <c r="X66" s="52"/>
      <c r="Y66" s="165"/>
      <c r="Z66" s="165"/>
      <c r="AA66" s="165"/>
      <c r="AB66" s="165"/>
      <c r="AC66" s="165"/>
      <c r="AD66" s="165"/>
      <c r="AE66" s="165"/>
      <c r="AF66" s="165"/>
    </row>
    <row r="67" spans="1:32" ht="45" hidden="1">
      <c r="A67" s="165"/>
      <c r="B67" s="48"/>
      <c r="C67" s="48"/>
      <c r="D67" s="49"/>
      <c r="E67" s="49"/>
      <c r="F67" s="50"/>
      <c r="G67" s="401" t="s">
        <v>2203</v>
      </c>
      <c r="H67" s="233">
        <v>57.68</v>
      </c>
      <c r="I67" s="233">
        <v>100</v>
      </c>
      <c r="J67" s="233">
        <v>92</v>
      </c>
      <c r="K67" s="252">
        <v>49505000</v>
      </c>
      <c r="L67" s="252">
        <v>25</v>
      </c>
      <c r="M67" s="252">
        <v>46913000</v>
      </c>
      <c r="N67" s="252">
        <v>25</v>
      </c>
      <c r="O67" s="252">
        <v>50000000</v>
      </c>
      <c r="P67" s="252">
        <v>25</v>
      </c>
      <c r="Q67" s="252">
        <v>50000000</v>
      </c>
      <c r="R67" s="252">
        <v>25</v>
      </c>
      <c r="S67" s="252">
        <v>50000000</v>
      </c>
      <c r="T67" s="252">
        <v>25</v>
      </c>
      <c r="U67" s="252">
        <v>50000000</v>
      </c>
      <c r="V67" s="52"/>
      <c r="W67" s="52"/>
      <c r="X67" s="52"/>
      <c r="Y67" s="165"/>
      <c r="Z67" s="165"/>
      <c r="AA67" s="165"/>
      <c r="AB67" s="165"/>
      <c r="AC67" s="165"/>
      <c r="AD67" s="165"/>
      <c r="AE67" s="165"/>
      <c r="AF67" s="165"/>
    </row>
    <row r="68" spans="1:32" ht="45" hidden="1">
      <c r="A68" s="165"/>
      <c r="B68" s="48"/>
      <c r="C68" s="48"/>
      <c r="D68" s="49"/>
      <c r="E68" s="49"/>
      <c r="F68" s="50"/>
      <c r="G68" s="401" t="s">
        <v>2204</v>
      </c>
      <c r="H68" s="233">
        <v>94.22</v>
      </c>
      <c r="I68" s="233">
        <v>100</v>
      </c>
      <c r="J68" s="233">
        <v>99</v>
      </c>
      <c r="K68" s="252">
        <v>46999750</v>
      </c>
      <c r="L68" s="252">
        <v>20</v>
      </c>
      <c r="M68" s="252">
        <v>46940000</v>
      </c>
      <c r="N68" s="252">
        <v>20</v>
      </c>
      <c r="O68" s="252">
        <v>50000000</v>
      </c>
      <c r="P68" s="252">
        <v>20</v>
      </c>
      <c r="Q68" s="252">
        <v>50000000</v>
      </c>
      <c r="R68" s="252">
        <v>20</v>
      </c>
      <c r="S68" s="252">
        <v>50000000</v>
      </c>
      <c r="T68" s="252">
        <v>20</v>
      </c>
      <c r="U68" s="252">
        <v>50000000</v>
      </c>
      <c r="V68" s="52"/>
      <c r="W68" s="52"/>
      <c r="X68" s="52"/>
      <c r="Y68" s="165"/>
      <c r="Z68" s="165"/>
      <c r="AA68" s="165"/>
      <c r="AB68" s="165"/>
      <c r="AC68" s="165"/>
      <c r="AD68" s="165"/>
      <c r="AE68" s="165"/>
      <c r="AF68" s="165"/>
    </row>
    <row r="69" spans="1:32" ht="30" hidden="1">
      <c r="A69" s="165"/>
      <c r="B69" s="48"/>
      <c r="C69" s="48"/>
      <c r="D69" s="49"/>
      <c r="E69" s="49"/>
      <c r="F69" s="50"/>
      <c r="G69" s="401" t="s">
        <v>2205</v>
      </c>
      <c r="H69" s="233">
        <v>99.17</v>
      </c>
      <c r="I69" s="233">
        <v>100</v>
      </c>
      <c r="J69" s="233">
        <v>99</v>
      </c>
      <c r="K69" s="252">
        <v>125575000</v>
      </c>
      <c r="L69" s="252">
        <v>1250</v>
      </c>
      <c r="M69" s="252">
        <v>124249000</v>
      </c>
      <c r="N69" s="252">
        <v>1255</v>
      </c>
      <c r="O69" s="252">
        <v>126000000</v>
      </c>
      <c r="P69" s="252">
        <v>1255</v>
      </c>
      <c r="Q69" s="252">
        <v>126000000</v>
      </c>
      <c r="R69" s="252">
        <v>1255</v>
      </c>
      <c r="S69" s="252">
        <v>126000000</v>
      </c>
      <c r="T69" s="252">
        <v>1255</v>
      </c>
      <c r="U69" s="252">
        <v>126000000</v>
      </c>
      <c r="V69" s="52"/>
      <c r="W69" s="52"/>
      <c r="X69" s="52"/>
      <c r="Y69" s="165"/>
      <c r="Z69" s="165"/>
      <c r="AA69" s="165"/>
      <c r="AB69" s="165"/>
      <c r="AC69" s="165"/>
      <c r="AD69" s="165"/>
      <c r="AE69" s="165"/>
      <c r="AF69" s="165"/>
    </row>
    <row r="70" spans="1:32" ht="45" hidden="1">
      <c r="A70" s="165"/>
      <c r="B70" s="48"/>
      <c r="C70" s="48"/>
      <c r="D70" s="49"/>
      <c r="E70" s="49"/>
      <c r="F70" s="50"/>
      <c r="G70" s="401" t="s">
        <v>2206</v>
      </c>
      <c r="H70" s="233">
        <v>0</v>
      </c>
      <c r="I70" s="233">
        <v>0</v>
      </c>
      <c r="J70" s="233">
        <v>0</v>
      </c>
      <c r="K70" s="252">
        <v>35000000</v>
      </c>
      <c r="L70" s="252">
        <v>0</v>
      </c>
      <c r="M70" s="252">
        <v>35000000</v>
      </c>
      <c r="N70" s="252">
        <v>0</v>
      </c>
      <c r="O70" s="252">
        <v>0</v>
      </c>
      <c r="P70" s="252">
        <v>0</v>
      </c>
      <c r="Q70" s="252">
        <v>0</v>
      </c>
      <c r="R70" s="252">
        <v>0</v>
      </c>
      <c r="S70" s="252">
        <v>0</v>
      </c>
      <c r="T70" s="252">
        <v>0</v>
      </c>
      <c r="U70" s="252">
        <v>0</v>
      </c>
      <c r="V70" s="52"/>
      <c r="W70" s="52"/>
      <c r="X70" s="52"/>
      <c r="Y70" s="165"/>
      <c r="Z70" s="165"/>
      <c r="AA70" s="165"/>
      <c r="AB70" s="165"/>
      <c r="AC70" s="165"/>
      <c r="AD70" s="165"/>
      <c r="AE70" s="165"/>
      <c r="AF70" s="165"/>
    </row>
    <row r="71" spans="1:32" ht="45" hidden="1">
      <c r="A71" s="165"/>
      <c r="B71" s="48"/>
      <c r="C71" s="48"/>
      <c r="D71" s="49"/>
      <c r="E71" s="49"/>
      <c r="F71" s="50"/>
      <c r="G71" s="401" t="s">
        <v>2207</v>
      </c>
      <c r="H71" s="233">
        <v>97.07</v>
      </c>
      <c r="I71" s="233">
        <v>100</v>
      </c>
      <c r="J71" s="233">
        <v>96</v>
      </c>
      <c r="K71" s="252">
        <v>400000000</v>
      </c>
      <c r="L71" s="252">
        <f>11799+9502+2347+2830</f>
        <v>26478</v>
      </c>
      <c r="M71" s="252">
        <v>400000000</v>
      </c>
      <c r="N71" s="252">
        <f>11799+9502+2347+2830</f>
        <v>26478</v>
      </c>
      <c r="O71" s="252">
        <v>400000000</v>
      </c>
      <c r="P71" s="252">
        <f>11799+9502+2347+2830</f>
        <v>26478</v>
      </c>
      <c r="Q71" s="252">
        <v>400000000</v>
      </c>
      <c r="R71" s="252">
        <f>11799+9502+2347+2830</f>
        <v>26478</v>
      </c>
      <c r="S71" s="252">
        <v>400000000</v>
      </c>
      <c r="T71" s="252">
        <f>11799+9502+2347+2830</f>
        <v>26478</v>
      </c>
      <c r="U71" s="252">
        <v>400000000</v>
      </c>
      <c r="V71" s="52"/>
      <c r="W71" s="52"/>
      <c r="X71" s="52"/>
      <c r="Y71" s="165"/>
      <c r="Z71" s="165"/>
      <c r="AA71" s="165"/>
      <c r="AB71" s="165"/>
      <c r="AC71" s="165"/>
      <c r="AD71" s="165"/>
      <c r="AE71" s="165"/>
      <c r="AF71" s="165"/>
    </row>
    <row r="72" spans="1:32" ht="30" hidden="1">
      <c r="A72" s="165"/>
      <c r="B72" s="48"/>
      <c r="C72" s="48"/>
      <c r="D72" s="49"/>
      <c r="E72" s="49"/>
      <c r="F72" s="50"/>
      <c r="G72" s="401" t="s">
        <v>2208</v>
      </c>
      <c r="H72" s="233">
        <v>70.680000000000007</v>
      </c>
      <c r="I72" s="233">
        <v>100</v>
      </c>
      <c r="J72" s="233">
        <v>99</v>
      </c>
      <c r="K72" s="252">
        <v>15000000</v>
      </c>
      <c r="L72" s="252">
        <v>3</v>
      </c>
      <c r="M72" s="252">
        <v>13875000</v>
      </c>
      <c r="N72" s="252">
        <v>3</v>
      </c>
      <c r="O72" s="252">
        <v>15000000</v>
      </c>
      <c r="P72" s="252">
        <v>3</v>
      </c>
      <c r="Q72" s="252">
        <v>15000000</v>
      </c>
      <c r="R72" s="252">
        <v>3</v>
      </c>
      <c r="S72" s="252">
        <v>15000000</v>
      </c>
      <c r="T72" s="252">
        <v>3</v>
      </c>
      <c r="U72" s="252">
        <v>15000000</v>
      </c>
      <c r="V72" s="52"/>
      <c r="W72" s="52"/>
      <c r="X72" s="52"/>
      <c r="Y72" s="165"/>
      <c r="Z72" s="165"/>
      <c r="AA72" s="165"/>
      <c r="AB72" s="165"/>
      <c r="AC72" s="165"/>
      <c r="AD72" s="165"/>
      <c r="AE72" s="165"/>
      <c r="AF72" s="165"/>
    </row>
    <row r="73" spans="1:32" ht="45" hidden="1">
      <c r="A73" s="165"/>
      <c r="B73" s="48"/>
      <c r="C73" s="48"/>
      <c r="D73" s="49"/>
      <c r="E73" s="49"/>
      <c r="F73" s="50"/>
      <c r="G73" s="401" t="s">
        <v>2209</v>
      </c>
      <c r="H73" s="233">
        <v>98.96</v>
      </c>
      <c r="I73" s="233">
        <v>100</v>
      </c>
      <c r="J73" s="233">
        <v>99</v>
      </c>
      <c r="K73" s="252">
        <v>300000000</v>
      </c>
      <c r="L73" s="252">
        <v>9</v>
      </c>
      <c r="M73" s="252">
        <v>248055000</v>
      </c>
      <c r="N73" s="252">
        <v>9</v>
      </c>
      <c r="O73" s="252">
        <f>N73*25000000</f>
        <v>225000000</v>
      </c>
      <c r="P73" s="252">
        <v>9</v>
      </c>
      <c r="Q73" s="252">
        <f>P73*25000000</f>
        <v>225000000</v>
      </c>
      <c r="R73" s="252">
        <v>9</v>
      </c>
      <c r="S73" s="252">
        <f>R73*25000000</f>
        <v>225000000</v>
      </c>
      <c r="T73" s="252">
        <v>9</v>
      </c>
      <c r="U73" s="252">
        <f>T73*25000000</f>
        <v>225000000</v>
      </c>
      <c r="V73" s="52"/>
      <c r="W73" s="52"/>
      <c r="X73" s="52"/>
      <c r="Y73" s="165"/>
      <c r="Z73" s="165"/>
      <c r="AA73" s="165"/>
      <c r="AB73" s="165"/>
      <c r="AC73" s="165"/>
      <c r="AD73" s="165"/>
      <c r="AE73" s="165"/>
      <c r="AF73" s="165"/>
    </row>
    <row r="74" spans="1:32" ht="45" hidden="1">
      <c r="A74" s="165"/>
      <c r="B74" s="48"/>
      <c r="C74" s="48"/>
      <c r="D74" s="49"/>
      <c r="E74" s="49"/>
      <c r="F74" s="50"/>
      <c r="G74" s="401" t="s">
        <v>2210</v>
      </c>
      <c r="H74" s="233"/>
      <c r="I74" s="233">
        <v>100</v>
      </c>
      <c r="J74" s="233">
        <v>99</v>
      </c>
      <c r="K74" s="252">
        <v>50000000</v>
      </c>
      <c r="L74" s="252">
        <v>0</v>
      </c>
      <c r="M74" s="252">
        <v>0</v>
      </c>
      <c r="N74" s="252">
        <v>1</v>
      </c>
      <c r="O74" s="252">
        <v>30000000</v>
      </c>
      <c r="P74" s="252">
        <v>1</v>
      </c>
      <c r="Q74" s="252">
        <v>30000000</v>
      </c>
      <c r="R74" s="252">
        <v>1</v>
      </c>
      <c r="S74" s="252">
        <v>30000000</v>
      </c>
      <c r="T74" s="252">
        <v>1</v>
      </c>
      <c r="U74" s="252">
        <v>30000000</v>
      </c>
      <c r="V74" s="52"/>
      <c r="W74" s="52"/>
      <c r="X74" s="52"/>
      <c r="Y74" s="165"/>
      <c r="Z74" s="165"/>
      <c r="AA74" s="165"/>
      <c r="AB74" s="165"/>
      <c r="AC74" s="165"/>
      <c r="AD74" s="165"/>
      <c r="AE74" s="165"/>
      <c r="AF74" s="165"/>
    </row>
    <row r="75" spans="1:32" ht="45" hidden="1">
      <c r="A75" s="165"/>
      <c r="B75" s="48"/>
      <c r="C75" s="48"/>
      <c r="D75" s="49"/>
      <c r="E75" s="49"/>
      <c r="F75" s="50"/>
      <c r="G75" s="401" t="s">
        <v>2211</v>
      </c>
      <c r="H75" s="233">
        <v>0</v>
      </c>
      <c r="I75" s="233">
        <v>100</v>
      </c>
      <c r="J75" s="233">
        <v>99</v>
      </c>
      <c r="K75" s="252">
        <v>50000000</v>
      </c>
      <c r="L75" s="252">
        <v>245</v>
      </c>
      <c r="M75" s="252">
        <v>50000000</v>
      </c>
      <c r="N75" s="252">
        <f>L75+50</f>
        <v>295</v>
      </c>
      <c r="O75" s="252">
        <f>N75*200000</f>
        <v>59000000</v>
      </c>
      <c r="P75" s="252">
        <f>N75+50</f>
        <v>345</v>
      </c>
      <c r="Q75" s="252">
        <f>P75*200000</f>
        <v>69000000</v>
      </c>
      <c r="R75" s="252">
        <f>P75+50</f>
        <v>395</v>
      </c>
      <c r="S75" s="252">
        <f>R75*200000</f>
        <v>79000000</v>
      </c>
      <c r="T75" s="252">
        <f>R75+50</f>
        <v>445</v>
      </c>
      <c r="U75" s="252">
        <f>T75*200000</f>
        <v>89000000</v>
      </c>
      <c r="V75" s="52"/>
      <c r="W75" s="52"/>
      <c r="X75" s="52"/>
      <c r="Y75" s="165"/>
      <c r="Z75" s="165"/>
      <c r="AA75" s="165"/>
      <c r="AB75" s="165"/>
      <c r="AC75" s="165"/>
      <c r="AD75" s="165"/>
      <c r="AE75" s="165"/>
      <c r="AF75" s="165"/>
    </row>
    <row r="76" spans="1:32" ht="45" hidden="1">
      <c r="A76" s="165"/>
      <c r="B76" s="48"/>
      <c r="C76" s="48"/>
      <c r="D76" s="49"/>
      <c r="E76" s="49"/>
      <c r="F76" s="50"/>
      <c r="G76" s="401" t="s">
        <v>2212</v>
      </c>
      <c r="H76" s="233">
        <v>0</v>
      </c>
      <c r="I76" s="233">
        <v>0</v>
      </c>
      <c r="J76" s="233">
        <v>0</v>
      </c>
      <c r="K76" s="252">
        <v>0</v>
      </c>
      <c r="L76" s="252">
        <v>2</v>
      </c>
      <c r="M76" s="252">
        <v>25000000</v>
      </c>
      <c r="N76" s="252">
        <v>2</v>
      </c>
      <c r="O76" s="252">
        <v>25000000</v>
      </c>
      <c r="P76" s="252">
        <v>2</v>
      </c>
      <c r="Q76" s="252">
        <v>25000000</v>
      </c>
      <c r="R76" s="252">
        <v>2</v>
      </c>
      <c r="S76" s="252">
        <v>25000000</v>
      </c>
      <c r="T76" s="252">
        <v>2</v>
      </c>
      <c r="U76" s="252">
        <v>25000000</v>
      </c>
      <c r="V76" s="52"/>
      <c r="W76" s="52"/>
      <c r="X76" s="52"/>
      <c r="Y76" s="165"/>
      <c r="Z76" s="165"/>
      <c r="AA76" s="165"/>
      <c r="AB76" s="165"/>
      <c r="AC76" s="165"/>
      <c r="AD76" s="165"/>
      <c r="AE76" s="165"/>
      <c r="AF76" s="165"/>
    </row>
    <row r="77" spans="1:32" ht="60" hidden="1">
      <c r="A77" s="165"/>
      <c r="B77" s="48"/>
      <c r="C77" s="48"/>
      <c r="D77" s="49"/>
      <c r="E77" s="49"/>
      <c r="F77" s="50"/>
      <c r="G77" s="402" t="s">
        <v>2213</v>
      </c>
      <c r="H77" s="233">
        <v>99.04</v>
      </c>
      <c r="I77" s="233">
        <v>100</v>
      </c>
      <c r="J77" s="233">
        <v>98</v>
      </c>
      <c r="K77" s="252">
        <v>624000000</v>
      </c>
      <c r="L77" s="252">
        <v>11799</v>
      </c>
      <c r="M77" s="252">
        <v>624000000</v>
      </c>
      <c r="N77" s="252">
        <v>11799</v>
      </c>
      <c r="O77" s="252">
        <v>624000000</v>
      </c>
      <c r="P77" s="252">
        <v>11799</v>
      </c>
      <c r="Q77" s="252">
        <v>624000000</v>
      </c>
      <c r="R77" s="252">
        <v>11799</v>
      </c>
      <c r="S77" s="252">
        <v>624000000</v>
      </c>
      <c r="T77" s="252">
        <v>11799</v>
      </c>
      <c r="U77" s="252">
        <v>624000000</v>
      </c>
      <c r="V77" s="52"/>
      <c r="W77" s="52"/>
      <c r="X77" s="52"/>
      <c r="Y77" s="165"/>
      <c r="Z77" s="165"/>
      <c r="AA77" s="165"/>
      <c r="AB77" s="165"/>
      <c r="AC77" s="165"/>
      <c r="AD77" s="165"/>
      <c r="AE77" s="165"/>
      <c r="AF77" s="165"/>
    </row>
    <row r="78" spans="1:32" ht="60" hidden="1">
      <c r="A78" s="165"/>
      <c r="B78" s="48"/>
      <c r="C78" s="48"/>
      <c r="D78" s="49"/>
      <c r="E78" s="49"/>
      <c r="F78" s="50"/>
      <c r="G78" s="402" t="s">
        <v>2214</v>
      </c>
      <c r="H78" s="233">
        <v>99.52</v>
      </c>
      <c r="I78" s="233">
        <v>100</v>
      </c>
      <c r="J78" s="233">
        <v>98</v>
      </c>
      <c r="K78" s="252">
        <v>290000000</v>
      </c>
      <c r="L78" s="252">
        <v>9502</v>
      </c>
      <c r="M78" s="252">
        <v>290000000</v>
      </c>
      <c r="N78" s="252">
        <v>9502</v>
      </c>
      <c r="O78" s="252">
        <v>290000000</v>
      </c>
      <c r="P78" s="252">
        <v>9502</v>
      </c>
      <c r="Q78" s="252">
        <v>290000000</v>
      </c>
      <c r="R78" s="252">
        <v>9502</v>
      </c>
      <c r="S78" s="252">
        <v>290000000</v>
      </c>
      <c r="T78" s="252">
        <v>9502</v>
      </c>
      <c r="U78" s="252">
        <v>290000000</v>
      </c>
      <c r="V78" s="52"/>
      <c r="W78" s="52"/>
      <c r="X78" s="52"/>
      <c r="Y78" s="165"/>
      <c r="Z78" s="165"/>
      <c r="AA78" s="165"/>
      <c r="AB78" s="165"/>
      <c r="AC78" s="165"/>
      <c r="AD78" s="165"/>
      <c r="AE78" s="165"/>
      <c r="AF78" s="165"/>
    </row>
    <row r="79" spans="1:32" ht="45" hidden="1">
      <c r="A79" s="165"/>
      <c r="B79" s="48"/>
      <c r="C79" s="48"/>
      <c r="D79" s="49"/>
      <c r="E79" s="49"/>
      <c r="F79" s="50"/>
      <c r="G79" s="58" t="s">
        <v>2018</v>
      </c>
      <c r="H79" s="233">
        <v>85.01</v>
      </c>
      <c r="I79" s="233">
        <v>90</v>
      </c>
      <c r="J79" s="233">
        <f>H79+1.412</f>
        <v>86.422000000000011</v>
      </c>
      <c r="K79" s="52"/>
      <c r="L79" s="233">
        <f>J79+1.412</f>
        <v>87.834000000000017</v>
      </c>
      <c r="M79" s="52"/>
      <c r="N79" s="233">
        <f>L79+1.412</f>
        <v>89.246000000000024</v>
      </c>
      <c r="O79" s="52"/>
      <c r="P79" s="233">
        <f>N79+1.412</f>
        <v>90.65800000000003</v>
      </c>
      <c r="Q79" s="52"/>
      <c r="R79" s="233">
        <f>P79+1.412</f>
        <v>92.070000000000036</v>
      </c>
      <c r="S79" s="52"/>
      <c r="T79" s="233">
        <f>R79+1.412</f>
        <v>93.482000000000042</v>
      </c>
      <c r="U79" s="52"/>
      <c r="V79" s="52"/>
      <c r="W79" s="52"/>
      <c r="X79" s="52"/>
      <c r="Y79" s="165"/>
      <c r="Z79" s="165"/>
      <c r="AA79" s="165"/>
      <c r="AB79" s="165"/>
      <c r="AC79" s="165"/>
      <c r="AD79" s="165"/>
      <c r="AE79" s="165"/>
      <c r="AF79" s="165"/>
    </row>
    <row r="80" spans="1:32" ht="45" hidden="1">
      <c r="A80" s="165"/>
      <c r="B80" s="48"/>
      <c r="C80" s="48"/>
      <c r="D80" s="49"/>
      <c r="E80" s="49"/>
      <c r="F80" s="50"/>
      <c r="G80" s="58" t="s">
        <v>2266</v>
      </c>
      <c r="H80" s="233">
        <v>87.35</v>
      </c>
      <c r="I80" s="233">
        <v>87.32</v>
      </c>
      <c r="J80" s="233">
        <f>H80+0.98</f>
        <v>88.33</v>
      </c>
      <c r="K80" s="52"/>
      <c r="L80" s="233">
        <f>J80+0.98</f>
        <v>89.31</v>
      </c>
      <c r="M80" s="52"/>
      <c r="N80" s="233">
        <f>L80+0.98</f>
        <v>90.29</v>
      </c>
      <c r="O80" s="52"/>
      <c r="P80" s="233">
        <f>N80+0.98</f>
        <v>91.27000000000001</v>
      </c>
      <c r="Q80" s="52"/>
      <c r="R80" s="233">
        <f>P80+0.98</f>
        <v>92.250000000000014</v>
      </c>
      <c r="S80" s="52"/>
      <c r="T80" s="233">
        <f>R80+0.98</f>
        <v>93.230000000000018</v>
      </c>
      <c r="U80" s="52"/>
      <c r="V80" s="52"/>
      <c r="W80" s="52"/>
      <c r="X80" s="52"/>
      <c r="Y80" s="165"/>
      <c r="Z80" s="165"/>
      <c r="AA80" s="165"/>
      <c r="AB80" s="165"/>
      <c r="AC80" s="165"/>
      <c r="AD80" s="165"/>
      <c r="AE80" s="165"/>
      <c r="AF80" s="165"/>
    </row>
    <row r="81" spans="1:32" ht="75" hidden="1">
      <c r="A81" s="165"/>
      <c r="B81" s="48"/>
      <c r="C81" s="48"/>
      <c r="D81" s="49"/>
      <c r="E81" s="49"/>
      <c r="F81" s="50"/>
      <c r="G81" s="58" t="s">
        <v>2020</v>
      </c>
      <c r="H81" s="233">
        <v>60</v>
      </c>
      <c r="I81" s="233">
        <v>80</v>
      </c>
      <c r="J81" s="233">
        <f>H81+1.7483</f>
        <v>61.7483</v>
      </c>
      <c r="K81" s="252"/>
      <c r="L81" s="233">
        <f>J81+1.7483</f>
        <v>63.496600000000001</v>
      </c>
      <c r="M81" s="252"/>
      <c r="N81" s="233">
        <f>L81+1.7483</f>
        <v>65.244900000000001</v>
      </c>
      <c r="O81" s="252"/>
      <c r="P81" s="233">
        <f>N81+1.7483</f>
        <v>66.993200000000002</v>
      </c>
      <c r="Q81" s="252"/>
      <c r="R81" s="233">
        <f>P81+1.7483</f>
        <v>68.741500000000002</v>
      </c>
      <c r="S81" s="252"/>
      <c r="T81" s="233">
        <f>R81+1.7483</f>
        <v>70.489800000000002</v>
      </c>
      <c r="U81" s="252"/>
      <c r="V81" s="52"/>
      <c r="W81" s="52"/>
      <c r="X81" s="52"/>
      <c r="Y81" s="165"/>
      <c r="Z81" s="165"/>
      <c r="AA81" s="165"/>
      <c r="AB81" s="165"/>
      <c r="AC81" s="165"/>
      <c r="AD81" s="165"/>
      <c r="AE81" s="165"/>
      <c r="AF81" s="165"/>
    </row>
    <row r="82" spans="1:32" ht="75" hidden="1">
      <c r="A82" s="165"/>
      <c r="B82" s="48"/>
      <c r="C82" s="48"/>
      <c r="D82" s="49"/>
      <c r="E82" s="49"/>
      <c r="F82" s="50"/>
      <c r="G82" s="58" t="s">
        <v>2021</v>
      </c>
      <c r="H82" s="233">
        <v>75.239999999999995</v>
      </c>
      <c r="I82" s="233">
        <v>80</v>
      </c>
      <c r="J82" s="233">
        <f>H82+0.95</f>
        <v>76.19</v>
      </c>
      <c r="K82" s="233"/>
      <c r="L82" s="233">
        <f>J82+0.95</f>
        <v>77.14</v>
      </c>
      <c r="M82" s="233"/>
      <c r="N82" s="233">
        <f>L82+0.95</f>
        <v>78.09</v>
      </c>
      <c r="O82" s="252"/>
      <c r="P82" s="233">
        <f>N82+0.95</f>
        <v>79.040000000000006</v>
      </c>
      <c r="Q82" s="252"/>
      <c r="R82" s="233">
        <f>P82+0.95</f>
        <v>79.990000000000009</v>
      </c>
      <c r="S82" s="252"/>
      <c r="T82" s="233">
        <f>R82+0.95</f>
        <v>80.940000000000012</v>
      </c>
      <c r="U82" s="252"/>
      <c r="V82" s="52"/>
      <c r="W82" s="52"/>
      <c r="X82" s="52"/>
      <c r="Y82" s="165"/>
      <c r="Z82" s="165"/>
      <c r="AA82" s="165"/>
      <c r="AB82" s="165"/>
      <c r="AC82" s="165"/>
      <c r="AD82" s="165"/>
      <c r="AE82" s="165"/>
      <c r="AF82" s="165"/>
    </row>
    <row r="83" spans="1:32" ht="180" hidden="1">
      <c r="A83" s="165"/>
      <c r="B83" s="48"/>
      <c r="C83" s="48"/>
      <c r="D83" s="49"/>
      <c r="E83" s="49"/>
      <c r="F83" s="50"/>
      <c r="G83" s="58" t="s">
        <v>4217</v>
      </c>
      <c r="H83" s="233">
        <v>100</v>
      </c>
      <c r="I83" s="233">
        <v>100</v>
      </c>
      <c r="J83" s="233">
        <v>100</v>
      </c>
      <c r="K83" s="252"/>
      <c r="L83" s="233">
        <v>100</v>
      </c>
      <c r="M83" s="252"/>
      <c r="N83" s="233">
        <v>100</v>
      </c>
      <c r="O83" s="252"/>
      <c r="P83" s="233">
        <v>100</v>
      </c>
      <c r="Q83" s="252"/>
      <c r="R83" s="233">
        <v>100</v>
      </c>
      <c r="S83" s="252"/>
      <c r="T83" s="233">
        <v>100</v>
      </c>
      <c r="U83" s="252"/>
      <c r="V83" s="52"/>
      <c r="W83" s="52"/>
      <c r="X83" s="52"/>
      <c r="Y83" s="165"/>
      <c r="Z83" s="165"/>
      <c r="AA83" s="165"/>
      <c r="AB83" s="165"/>
      <c r="AC83" s="165"/>
      <c r="AD83" s="165"/>
      <c r="AE83" s="165"/>
      <c r="AF83" s="165"/>
    </row>
    <row r="84" spans="1:32" ht="255" hidden="1">
      <c r="A84" s="165"/>
      <c r="B84" s="48"/>
      <c r="C84" s="48"/>
      <c r="D84" s="49"/>
      <c r="E84" s="49"/>
      <c r="F84" s="50"/>
      <c r="G84" s="58" t="s">
        <v>2321</v>
      </c>
      <c r="H84" s="233">
        <v>86.69</v>
      </c>
      <c r="I84" s="233">
        <v>91.29</v>
      </c>
      <c r="J84" s="233">
        <f>H84+0.294</f>
        <v>86.983999999999995</v>
      </c>
      <c r="K84" s="252"/>
      <c r="L84" s="233">
        <f>J84+0.294</f>
        <v>87.277999999999992</v>
      </c>
      <c r="M84" s="252"/>
      <c r="N84" s="233">
        <f>L84+0.294</f>
        <v>87.571999999999989</v>
      </c>
      <c r="O84" s="252"/>
      <c r="P84" s="233">
        <f>N84+0.294</f>
        <v>87.865999999999985</v>
      </c>
      <c r="Q84" s="252"/>
      <c r="R84" s="233">
        <f>P84+0.294</f>
        <v>88.159999999999982</v>
      </c>
      <c r="S84" s="252"/>
      <c r="T84" s="233">
        <f>R84+0.294</f>
        <v>88.453999999999979</v>
      </c>
      <c r="U84" s="252"/>
      <c r="V84" s="52"/>
      <c r="W84" s="52"/>
      <c r="X84" s="52"/>
      <c r="Y84" s="165"/>
      <c r="Z84" s="165"/>
      <c r="AA84" s="165"/>
      <c r="AB84" s="165"/>
      <c r="AC84" s="165"/>
      <c r="AD84" s="165"/>
      <c r="AE84" s="165"/>
      <c r="AF84" s="165"/>
    </row>
    <row r="85" spans="1:32" ht="195" hidden="1">
      <c r="A85" s="165"/>
      <c r="B85" s="48"/>
      <c r="C85" s="48"/>
      <c r="D85" s="49"/>
      <c r="E85" s="49"/>
      <c r="F85" s="50"/>
      <c r="G85" s="58" t="s">
        <v>4218</v>
      </c>
      <c r="H85" s="233">
        <v>70</v>
      </c>
      <c r="I85" s="233">
        <v>80.48</v>
      </c>
      <c r="J85" s="233">
        <f>H85+1.904</f>
        <v>71.903999999999996</v>
      </c>
      <c r="K85" s="252"/>
      <c r="L85" s="233">
        <f>J85+1.904</f>
        <v>73.807999999999993</v>
      </c>
      <c r="M85" s="252"/>
      <c r="N85" s="233">
        <f>L85+1.904</f>
        <v>75.711999999999989</v>
      </c>
      <c r="O85" s="252"/>
      <c r="P85" s="233">
        <f>N85+1.904</f>
        <v>77.615999999999985</v>
      </c>
      <c r="Q85" s="252"/>
      <c r="R85" s="233">
        <f>P85+1.904</f>
        <v>79.519999999999982</v>
      </c>
      <c r="S85" s="252"/>
      <c r="T85" s="233">
        <f>R85+1.904</f>
        <v>81.423999999999978</v>
      </c>
      <c r="U85" s="252"/>
      <c r="V85" s="52"/>
      <c r="W85" s="52"/>
      <c r="X85" s="52"/>
      <c r="Y85" s="165"/>
      <c r="Z85" s="165"/>
      <c r="AA85" s="165"/>
      <c r="AB85" s="165"/>
      <c r="AC85" s="165"/>
      <c r="AD85" s="165"/>
      <c r="AE85" s="165"/>
      <c r="AF85" s="165"/>
    </row>
    <row r="86" spans="1:32" ht="210" hidden="1">
      <c r="A86" s="165"/>
      <c r="B86" s="48"/>
      <c r="C86" s="48"/>
      <c r="D86" s="49"/>
      <c r="E86" s="49"/>
      <c r="F86" s="50"/>
      <c r="G86" s="58" t="s">
        <v>4219</v>
      </c>
      <c r="H86" s="233">
        <v>98.38</v>
      </c>
      <c r="I86" s="233">
        <v>99.12</v>
      </c>
      <c r="J86" s="233">
        <f>H86+0.294</f>
        <v>98.673999999999992</v>
      </c>
      <c r="K86" s="252"/>
      <c r="L86" s="233">
        <f>J86+0.294</f>
        <v>98.967999999999989</v>
      </c>
      <c r="M86" s="252"/>
      <c r="N86" s="233">
        <f>L86+0.294</f>
        <v>99.261999999999986</v>
      </c>
      <c r="O86" s="252"/>
      <c r="P86" s="233">
        <f>N86+0.294</f>
        <v>99.555999999999983</v>
      </c>
      <c r="Q86" s="252"/>
      <c r="R86" s="233">
        <f>P86+0.294</f>
        <v>99.84999999999998</v>
      </c>
      <c r="S86" s="252"/>
      <c r="T86" s="233">
        <f>R86+0.294</f>
        <v>100.14399999999998</v>
      </c>
      <c r="U86" s="252"/>
      <c r="V86" s="52"/>
      <c r="W86" s="52"/>
      <c r="X86" s="52"/>
      <c r="Y86" s="165"/>
      <c r="Z86" s="165"/>
      <c r="AA86" s="165"/>
      <c r="AB86" s="165"/>
      <c r="AC86" s="165"/>
      <c r="AD86" s="165"/>
      <c r="AE86" s="165"/>
      <c r="AF86" s="165"/>
    </row>
    <row r="87" spans="1:32" ht="45" hidden="1">
      <c r="A87" s="165"/>
      <c r="B87" s="48"/>
      <c r="C87" s="48"/>
      <c r="D87" s="49"/>
      <c r="E87" s="49"/>
      <c r="F87" s="50"/>
      <c r="G87" s="58" t="s">
        <v>2267</v>
      </c>
      <c r="H87" s="233">
        <v>0</v>
      </c>
      <c r="I87" s="233">
        <v>100</v>
      </c>
      <c r="J87" s="233">
        <v>98</v>
      </c>
      <c r="K87" s="252">
        <v>400000000</v>
      </c>
      <c r="L87" s="252">
        <v>0</v>
      </c>
      <c r="M87" s="252">
        <v>0</v>
      </c>
      <c r="N87" s="252">
        <v>3</v>
      </c>
      <c r="O87" s="252">
        <v>100000000</v>
      </c>
      <c r="P87" s="252">
        <v>3</v>
      </c>
      <c r="Q87" s="252">
        <v>100000000</v>
      </c>
      <c r="R87" s="252">
        <v>3</v>
      </c>
      <c r="S87" s="252">
        <v>100000000</v>
      </c>
      <c r="T87" s="252">
        <v>3</v>
      </c>
      <c r="U87" s="252">
        <v>100000000</v>
      </c>
      <c r="V87" s="52"/>
      <c r="W87" s="52"/>
      <c r="X87" s="52"/>
      <c r="Y87" s="165"/>
      <c r="Z87" s="165"/>
      <c r="AA87" s="165"/>
      <c r="AB87" s="165"/>
      <c r="AC87" s="165"/>
      <c r="AD87" s="165"/>
      <c r="AE87" s="165"/>
      <c r="AF87" s="165"/>
    </row>
    <row r="88" spans="1:32" ht="30" hidden="1">
      <c r="A88" s="165"/>
      <c r="B88" s="48"/>
      <c r="C88" s="48"/>
      <c r="D88" s="49"/>
      <c r="E88" s="49"/>
      <c r="F88" s="50"/>
      <c r="G88" s="58" t="s">
        <v>2268</v>
      </c>
      <c r="H88" s="233">
        <v>94.71</v>
      </c>
      <c r="I88" s="233">
        <v>100</v>
      </c>
      <c r="J88" s="233">
        <v>98</v>
      </c>
      <c r="K88" s="252">
        <v>150000000</v>
      </c>
      <c r="L88" s="252">
        <v>0</v>
      </c>
      <c r="M88" s="252">
        <v>0</v>
      </c>
      <c r="N88" s="252">
        <v>2</v>
      </c>
      <c r="O88" s="252">
        <v>300000000</v>
      </c>
      <c r="P88" s="252">
        <v>2</v>
      </c>
      <c r="Q88" s="252">
        <v>300000000</v>
      </c>
      <c r="R88" s="252">
        <v>2</v>
      </c>
      <c r="S88" s="252">
        <v>300000000</v>
      </c>
      <c r="T88" s="252">
        <v>2</v>
      </c>
      <c r="U88" s="252">
        <v>300000000</v>
      </c>
      <c r="V88" s="52"/>
      <c r="W88" s="52"/>
      <c r="X88" s="52"/>
      <c r="Y88" s="165"/>
      <c r="Z88" s="165"/>
      <c r="AA88" s="165"/>
      <c r="AB88" s="165"/>
      <c r="AC88" s="165"/>
      <c r="AD88" s="165"/>
      <c r="AE88" s="165"/>
      <c r="AF88" s="165"/>
    </row>
    <row r="89" spans="1:32" ht="45" hidden="1">
      <c r="A89" s="165"/>
      <c r="B89" s="48"/>
      <c r="C89" s="48"/>
      <c r="D89" s="49"/>
      <c r="E89" s="49"/>
      <c r="F89" s="50"/>
      <c r="G89" s="58" t="s">
        <v>2269</v>
      </c>
      <c r="H89" s="233">
        <v>83.97</v>
      </c>
      <c r="I89" s="233">
        <v>100</v>
      </c>
      <c r="J89" s="233">
        <v>98</v>
      </c>
      <c r="K89" s="252">
        <v>77543900</v>
      </c>
      <c r="L89" s="252">
        <v>100</v>
      </c>
      <c r="M89" s="252">
        <v>77544000</v>
      </c>
      <c r="N89" s="252">
        <v>100</v>
      </c>
      <c r="O89" s="252">
        <v>80000000</v>
      </c>
      <c r="P89" s="252">
        <v>100</v>
      </c>
      <c r="Q89" s="252">
        <v>90000000</v>
      </c>
      <c r="R89" s="252">
        <v>100</v>
      </c>
      <c r="S89" s="252">
        <v>95000000</v>
      </c>
      <c r="T89" s="252">
        <v>100</v>
      </c>
      <c r="U89" s="252">
        <v>95000000</v>
      </c>
      <c r="V89" s="52"/>
      <c r="W89" s="52"/>
      <c r="X89" s="52"/>
      <c r="Y89" s="165"/>
      <c r="Z89" s="165"/>
      <c r="AA89" s="165"/>
      <c r="AB89" s="165"/>
      <c r="AC89" s="165"/>
      <c r="AD89" s="165"/>
      <c r="AE89" s="165"/>
      <c r="AF89" s="165"/>
    </row>
    <row r="90" spans="1:32" ht="45" hidden="1">
      <c r="A90" s="165"/>
      <c r="B90" s="48"/>
      <c r="C90" s="48"/>
      <c r="D90" s="49"/>
      <c r="E90" s="49"/>
      <c r="F90" s="50"/>
      <c r="G90" s="58" t="s">
        <v>2270</v>
      </c>
      <c r="H90" s="233">
        <v>94.97</v>
      </c>
      <c r="I90" s="233">
        <v>100</v>
      </c>
      <c r="J90" s="233">
        <v>97</v>
      </c>
      <c r="K90" s="252">
        <v>1266096000</v>
      </c>
      <c r="L90" s="252">
        <v>100</v>
      </c>
      <c r="M90" s="252">
        <v>1155581600</v>
      </c>
      <c r="N90" s="252">
        <v>100</v>
      </c>
      <c r="O90" s="252">
        <v>1500000000</v>
      </c>
      <c r="P90" s="252">
        <v>100</v>
      </c>
      <c r="Q90" s="252">
        <v>1750000000</v>
      </c>
      <c r="R90" s="252">
        <v>100</v>
      </c>
      <c r="S90" s="252">
        <v>1900000000</v>
      </c>
      <c r="T90" s="252">
        <v>100</v>
      </c>
      <c r="U90" s="252">
        <v>1900000000</v>
      </c>
      <c r="V90" s="52"/>
      <c r="W90" s="52"/>
      <c r="X90" s="52"/>
      <c r="Y90" s="165"/>
      <c r="Z90" s="165"/>
      <c r="AA90" s="165"/>
      <c r="AB90" s="165"/>
      <c r="AC90" s="165"/>
      <c r="AD90" s="165"/>
      <c r="AE90" s="165"/>
      <c r="AF90" s="165"/>
    </row>
    <row r="91" spans="1:32" ht="45" hidden="1">
      <c r="A91" s="165"/>
      <c r="B91" s="48"/>
      <c r="C91" s="48"/>
      <c r="D91" s="49"/>
      <c r="E91" s="49"/>
      <c r="F91" s="50"/>
      <c r="G91" s="58" t="s">
        <v>2271</v>
      </c>
      <c r="H91" s="233">
        <v>88.41</v>
      </c>
      <c r="I91" s="233">
        <v>100</v>
      </c>
      <c r="J91" s="233">
        <v>98</v>
      </c>
      <c r="K91" s="252">
        <v>225000000</v>
      </c>
      <c r="L91" s="252">
        <v>5</v>
      </c>
      <c r="M91" s="252">
        <f>L91*50000000</f>
        <v>250000000</v>
      </c>
      <c r="N91" s="252">
        <v>5</v>
      </c>
      <c r="O91" s="252">
        <f>N91*50000000</f>
        <v>250000000</v>
      </c>
      <c r="P91" s="252">
        <v>5</v>
      </c>
      <c r="Q91" s="252">
        <f>P91*50000000</f>
        <v>250000000</v>
      </c>
      <c r="R91" s="252">
        <v>5</v>
      </c>
      <c r="S91" s="252">
        <f>R91*50000000</f>
        <v>250000000</v>
      </c>
      <c r="T91" s="252">
        <v>5</v>
      </c>
      <c r="U91" s="252">
        <f>T91*50000000</f>
        <v>250000000</v>
      </c>
      <c r="V91" s="52"/>
      <c r="W91" s="52"/>
      <c r="X91" s="52"/>
      <c r="Y91" s="165"/>
      <c r="Z91" s="165"/>
      <c r="AA91" s="165"/>
      <c r="AB91" s="165"/>
      <c r="AC91" s="165"/>
      <c r="AD91" s="165"/>
      <c r="AE91" s="165"/>
      <c r="AF91" s="165"/>
    </row>
    <row r="92" spans="1:32" ht="30" hidden="1">
      <c r="A92" s="165"/>
      <c r="B92" s="48"/>
      <c r="C92" s="48"/>
      <c r="D92" s="49"/>
      <c r="E92" s="49"/>
      <c r="F92" s="50"/>
      <c r="G92" s="58" t="s">
        <v>2272</v>
      </c>
      <c r="H92" s="233">
        <v>94.3</v>
      </c>
      <c r="I92" s="233">
        <v>100</v>
      </c>
      <c r="J92" s="233">
        <v>98</v>
      </c>
      <c r="K92" s="252">
        <v>480000000</v>
      </c>
      <c r="L92" s="252">
        <v>16</v>
      </c>
      <c r="M92" s="252">
        <v>480000000</v>
      </c>
      <c r="N92" s="252">
        <v>16</v>
      </c>
      <c r="O92" s="252">
        <v>480000000</v>
      </c>
      <c r="P92" s="252">
        <v>16</v>
      </c>
      <c r="Q92" s="252">
        <v>480000000</v>
      </c>
      <c r="R92" s="252">
        <v>16</v>
      </c>
      <c r="S92" s="252">
        <v>480000000</v>
      </c>
      <c r="T92" s="252">
        <v>16</v>
      </c>
      <c r="U92" s="252">
        <v>480000000</v>
      </c>
      <c r="V92" s="52"/>
      <c r="W92" s="52"/>
      <c r="X92" s="52"/>
      <c r="Y92" s="165"/>
      <c r="Z92" s="165"/>
      <c r="AA92" s="165"/>
      <c r="AB92" s="165"/>
      <c r="AC92" s="165"/>
      <c r="AD92" s="165"/>
      <c r="AE92" s="165"/>
      <c r="AF92" s="165"/>
    </row>
    <row r="93" spans="1:32" ht="45" hidden="1">
      <c r="A93" s="165"/>
      <c r="B93" s="48"/>
      <c r="C93" s="48"/>
      <c r="D93" s="49"/>
      <c r="E93" s="49"/>
      <c r="F93" s="50"/>
      <c r="G93" s="58" t="s">
        <v>2273</v>
      </c>
      <c r="H93" s="233">
        <v>94.71</v>
      </c>
      <c r="I93" s="233">
        <v>100</v>
      </c>
      <c r="J93" s="233">
        <v>97</v>
      </c>
      <c r="K93" s="252">
        <v>240000000</v>
      </c>
      <c r="L93" s="252">
        <v>4</v>
      </c>
      <c r="M93" s="252">
        <v>480000000</v>
      </c>
      <c r="N93" s="252">
        <v>4</v>
      </c>
      <c r="O93" s="252">
        <v>480000000</v>
      </c>
      <c r="P93" s="252">
        <v>4</v>
      </c>
      <c r="Q93" s="252">
        <v>480000000</v>
      </c>
      <c r="R93" s="252">
        <v>4</v>
      </c>
      <c r="S93" s="252">
        <v>480000000</v>
      </c>
      <c r="T93" s="252">
        <v>4</v>
      </c>
      <c r="U93" s="252">
        <v>480000000</v>
      </c>
      <c r="V93" s="52"/>
      <c r="W93" s="52"/>
      <c r="X93" s="52"/>
      <c r="Y93" s="165"/>
      <c r="Z93" s="165"/>
      <c r="AA93" s="165"/>
      <c r="AB93" s="165"/>
      <c r="AC93" s="165"/>
      <c r="AD93" s="165"/>
      <c r="AE93" s="165"/>
      <c r="AF93" s="165"/>
    </row>
    <row r="94" spans="1:32" ht="45" hidden="1">
      <c r="A94" s="165"/>
      <c r="B94" s="48"/>
      <c r="C94" s="48"/>
      <c r="D94" s="49"/>
      <c r="E94" s="49"/>
      <c r="F94" s="50"/>
      <c r="G94" s="58" t="s">
        <v>2274</v>
      </c>
      <c r="H94" s="233">
        <v>97.29</v>
      </c>
      <c r="I94" s="233">
        <v>100</v>
      </c>
      <c r="J94" s="233">
        <v>97</v>
      </c>
      <c r="K94" s="252">
        <v>80000000</v>
      </c>
      <c r="L94" s="252">
        <v>10</v>
      </c>
      <c r="M94" s="252">
        <v>100000000</v>
      </c>
      <c r="N94" s="252">
        <v>16</v>
      </c>
      <c r="O94" s="252">
        <v>160000000</v>
      </c>
      <c r="P94" s="252">
        <v>16</v>
      </c>
      <c r="Q94" s="252">
        <v>160000000</v>
      </c>
      <c r="R94" s="252">
        <v>16</v>
      </c>
      <c r="S94" s="252">
        <v>160000000</v>
      </c>
      <c r="T94" s="252">
        <v>16</v>
      </c>
      <c r="U94" s="252">
        <v>160000000</v>
      </c>
      <c r="V94" s="52"/>
      <c r="W94" s="52"/>
      <c r="X94" s="52"/>
      <c r="Y94" s="165"/>
      <c r="Z94" s="165"/>
      <c r="AA94" s="165"/>
      <c r="AB94" s="165"/>
      <c r="AC94" s="165"/>
      <c r="AD94" s="165"/>
      <c r="AE94" s="165"/>
      <c r="AF94" s="165"/>
    </row>
    <row r="95" spans="1:32" ht="45" hidden="1">
      <c r="A95" s="165"/>
      <c r="B95" s="48"/>
      <c r="C95" s="48"/>
      <c r="D95" s="49"/>
      <c r="E95" s="49"/>
      <c r="F95" s="50"/>
      <c r="G95" s="58" t="s">
        <v>2275</v>
      </c>
      <c r="H95" s="233">
        <v>97.5</v>
      </c>
      <c r="I95" s="233">
        <v>100</v>
      </c>
      <c r="J95" s="233">
        <v>98</v>
      </c>
      <c r="K95" s="252">
        <v>70000000</v>
      </c>
      <c r="L95" s="252">
        <v>4</v>
      </c>
      <c r="M95" s="252">
        <v>80000000</v>
      </c>
      <c r="N95" s="252">
        <v>4</v>
      </c>
      <c r="O95" s="252">
        <v>80000000</v>
      </c>
      <c r="P95" s="252">
        <v>4</v>
      </c>
      <c r="Q95" s="252">
        <v>80000000</v>
      </c>
      <c r="R95" s="252">
        <v>4</v>
      </c>
      <c r="S95" s="252">
        <v>80000000</v>
      </c>
      <c r="T95" s="252">
        <v>4</v>
      </c>
      <c r="U95" s="252">
        <v>80000000</v>
      </c>
      <c r="V95" s="52"/>
      <c r="W95" s="52"/>
      <c r="X95" s="52"/>
      <c r="Y95" s="165"/>
      <c r="Z95" s="165"/>
      <c r="AA95" s="165"/>
      <c r="AB95" s="165"/>
      <c r="AC95" s="165"/>
      <c r="AD95" s="165"/>
      <c r="AE95" s="165"/>
      <c r="AF95" s="165"/>
    </row>
    <row r="96" spans="1:32" ht="45" hidden="1">
      <c r="A96" s="165"/>
      <c r="B96" s="48"/>
      <c r="C96" s="48"/>
      <c r="D96" s="49"/>
      <c r="E96" s="49"/>
      <c r="F96" s="50"/>
      <c r="G96" s="58" t="s">
        <v>2276</v>
      </c>
      <c r="H96" s="233">
        <v>96.62</v>
      </c>
      <c r="I96" s="233">
        <v>100</v>
      </c>
      <c r="J96" s="233">
        <v>99</v>
      </c>
      <c r="K96" s="252">
        <v>8000000</v>
      </c>
      <c r="L96" s="252">
        <v>200</v>
      </c>
      <c r="M96" s="252">
        <v>8000000</v>
      </c>
      <c r="N96" s="252">
        <v>400</v>
      </c>
      <c r="O96" s="252">
        <v>16000000</v>
      </c>
      <c r="P96" s="252">
        <v>800</v>
      </c>
      <c r="Q96" s="252">
        <v>32000000</v>
      </c>
      <c r="R96" s="252">
        <v>800</v>
      </c>
      <c r="S96" s="252">
        <v>32000000</v>
      </c>
      <c r="T96" s="252">
        <v>800</v>
      </c>
      <c r="U96" s="252">
        <v>32000000</v>
      </c>
      <c r="V96" s="52"/>
      <c r="W96" s="52"/>
      <c r="X96" s="52"/>
      <c r="Y96" s="165"/>
      <c r="Z96" s="165"/>
      <c r="AA96" s="165"/>
      <c r="AB96" s="165"/>
      <c r="AC96" s="165"/>
      <c r="AD96" s="165"/>
      <c r="AE96" s="165"/>
      <c r="AF96" s="165"/>
    </row>
    <row r="97" spans="1:32" ht="30" hidden="1">
      <c r="A97" s="165"/>
      <c r="B97" s="48"/>
      <c r="C97" s="48"/>
      <c r="D97" s="49"/>
      <c r="E97" s="49"/>
      <c r="F97" s="50"/>
      <c r="G97" s="58" t="s">
        <v>2277</v>
      </c>
      <c r="H97" s="233">
        <v>99.56</v>
      </c>
      <c r="I97" s="233">
        <v>100</v>
      </c>
      <c r="J97" s="233">
        <v>99</v>
      </c>
      <c r="K97" s="252">
        <v>60000000</v>
      </c>
      <c r="L97" s="252">
        <v>10</v>
      </c>
      <c r="M97" s="252">
        <v>200000000</v>
      </c>
      <c r="N97" s="252">
        <v>8</v>
      </c>
      <c r="O97" s="252">
        <v>160000000</v>
      </c>
      <c r="P97" s="252">
        <v>8</v>
      </c>
      <c r="Q97" s="252">
        <v>160000000</v>
      </c>
      <c r="R97" s="252">
        <v>8</v>
      </c>
      <c r="S97" s="252">
        <v>160000000</v>
      </c>
      <c r="T97" s="252">
        <v>8</v>
      </c>
      <c r="U97" s="252">
        <v>160000000</v>
      </c>
      <c r="V97" s="52"/>
      <c r="W97" s="52"/>
      <c r="X97" s="52"/>
      <c r="Y97" s="165"/>
      <c r="Z97" s="165"/>
      <c r="AA97" s="165"/>
      <c r="AB97" s="165"/>
      <c r="AC97" s="165"/>
      <c r="AD97" s="165"/>
      <c r="AE97" s="165"/>
      <c r="AF97" s="165"/>
    </row>
    <row r="98" spans="1:32" ht="60" hidden="1">
      <c r="A98" s="165"/>
      <c r="B98" s="48"/>
      <c r="C98" s="48"/>
      <c r="D98" s="49"/>
      <c r="E98" s="49"/>
      <c r="F98" s="50"/>
      <c r="G98" s="58" t="s">
        <v>2278</v>
      </c>
      <c r="H98" s="233">
        <v>97.62</v>
      </c>
      <c r="I98" s="233">
        <v>100</v>
      </c>
      <c r="J98" s="233">
        <v>99</v>
      </c>
      <c r="K98" s="252">
        <v>8696360000</v>
      </c>
      <c r="L98" s="252">
        <v>100</v>
      </c>
      <c r="M98" s="252">
        <v>8696360000</v>
      </c>
      <c r="N98" s="252">
        <v>110</v>
      </c>
      <c r="O98" s="252">
        <v>9000000000</v>
      </c>
      <c r="P98" s="252">
        <v>160</v>
      </c>
      <c r="Q98" s="252">
        <v>11000000000</v>
      </c>
      <c r="R98" s="252">
        <v>170</v>
      </c>
      <c r="S98" s="252">
        <v>12000000000</v>
      </c>
      <c r="T98" s="252">
        <v>170</v>
      </c>
      <c r="U98" s="252">
        <v>12000000000</v>
      </c>
      <c r="V98" s="52"/>
      <c r="W98" s="52"/>
      <c r="X98" s="52"/>
      <c r="Y98" s="165"/>
      <c r="Z98" s="165"/>
      <c r="AA98" s="165"/>
      <c r="AB98" s="165"/>
      <c r="AC98" s="165"/>
      <c r="AD98" s="165"/>
      <c r="AE98" s="165"/>
      <c r="AF98" s="165"/>
    </row>
    <row r="99" spans="1:32" ht="60" hidden="1">
      <c r="A99" s="165"/>
      <c r="B99" s="48"/>
      <c r="C99" s="48"/>
      <c r="D99" s="49"/>
      <c r="E99" s="49"/>
      <c r="F99" s="50"/>
      <c r="G99" s="58" t="s">
        <v>2279</v>
      </c>
      <c r="H99" s="233">
        <v>0</v>
      </c>
      <c r="I99" s="233">
        <v>100</v>
      </c>
      <c r="J99" s="233">
        <v>98</v>
      </c>
      <c r="K99" s="252">
        <v>304000000</v>
      </c>
      <c r="L99" s="252"/>
      <c r="M99" s="252">
        <v>0</v>
      </c>
      <c r="N99" s="252"/>
      <c r="O99" s="252">
        <v>0</v>
      </c>
      <c r="P99" s="252"/>
      <c r="Q99" s="252">
        <v>0</v>
      </c>
      <c r="R99" s="252"/>
      <c r="S99" s="252">
        <v>0</v>
      </c>
      <c r="T99" s="252"/>
      <c r="U99" s="252">
        <v>0</v>
      </c>
      <c r="V99" s="52"/>
      <c r="W99" s="52"/>
      <c r="X99" s="52"/>
      <c r="Y99" s="165"/>
      <c r="Z99" s="165"/>
      <c r="AA99" s="165"/>
      <c r="AB99" s="165"/>
      <c r="AC99" s="165"/>
      <c r="AD99" s="165"/>
      <c r="AE99" s="165"/>
      <c r="AF99" s="165"/>
    </row>
    <row r="100" spans="1:32" ht="60" hidden="1">
      <c r="A100" s="165"/>
      <c r="B100" s="48"/>
      <c r="C100" s="48"/>
      <c r="D100" s="49"/>
      <c r="E100" s="49"/>
      <c r="F100" s="50"/>
      <c r="G100" s="58" t="s">
        <v>2280</v>
      </c>
      <c r="H100" s="233">
        <v>0</v>
      </c>
      <c r="I100" s="233">
        <v>100</v>
      </c>
      <c r="J100" s="233">
        <v>97</v>
      </c>
      <c r="K100" s="252">
        <v>152000000</v>
      </c>
      <c r="L100" s="252"/>
      <c r="M100" s="252">
        <v>0</v>
      </c>
      <c r="N100" s="252"/>
      <c r="O100" s="252">
        <v>0</v>
      </c>
      <c r="P100" s="252"/>
      <c r="Q100" s="252">
        <v>0</v>
      </c>
      <c r="R100" s="252"/>
      <c r="S100" s="252">
        <v>0</v>
      </c>
      <c r="T100" s="252"/>
      <c r="U100" s="252">
        <v>0</v>
      </c>
      <c r="V100" s="52"/>
      <c r="W100" s="52"/>
      <c r="X100" s="52"/>
      <c r="Y100" s="165"/>
      <c r="Z100" s="165"/>
      <c r="AA100" s="165"/>
      <c r="AB100" s="165"/>
      <c r="AC100" s="165"/>
      <c r="AD100" s="165"/>
      <c r="AE100" s="165"/>
      <c r="AF100" s="165"/>
    </row>
    <row r="101" spans="1:32" ht="45" hidden="1">
      <c r="A101" s="165"/>
      <c r="B101" s="48"/>
      <c r="C101" s="48"/>
      <c r="D101" s="49"/>
      <c r="E101" s="49"/>
      <c r="F101" s="50"/>
      <c r="G101" s="58" t="s">
        <v>2281</v>
      </c>
      <c r="H101" s="233">
        <v>0</v>
      </c>
      <c r="I101" s="233">
        <v>100</v>
      </c>
      <c r="J101" s="233">
        <v>97</v>
      </c>
      <c r="K101" s="252">
        <v>470000000</v>
      </c>
      <c r="L101" s="252"/>
      <c r="M101" s="252">
        <v>0</v>
      </c>
      <c r="N101" s="252"/>
      <c r="O101" s="252">
        <v>0</v>
      </c>
      <c r="P101" s="252"/>
      <c r="Q101" s="252">
        <v>0</v>
      </c>
      <c r="R101" s="252"/>
      <c r="S101" s="252">
        <v>0</v>
      </c>
      <c r="T101" s="252"/>
      <c r="U101" s="252">
        <v>0</v>
      </c>
      <c r="V101" s="52"/>
      <c r="W101" s="52"/>
      <c r="X101" s="52"/>
      <c r="Y101" s="165"/>
      <c r="Z101" s="165"/>
      <c r="AA101" s="165"/>
      <c r="AB101" s="165"/>
      <c r="AC101" s="165"/>
      <c r="AD101" s="165"/>
      <c r="AE101" s="165"/>
      <c r="AF101" s="165"/>
    </row>
    <row r="102" spans="1:32" ht="60" hidden="1">
      <c r="A102" s="165"/>
      <c r="B102" s="48"/>
      <c r="C102" s="48"/>
      <c r="D102" s="49"/>
      <c r="E102" s="49"/>
      <c r="F102" s="50"/>
      <c r="G102" s="58" t="s">
        <v>2282</v>
      </c>
      <c r="H102" s="233">
        <v>0</v>
      </c>
      <c r="I102" s="233">
        <v>100</v>
      </c>
      <c r="J102" s="233">
        <v>97</v>
      </c>
      <c r="K102" s="252">
        <v>188000000</v>
      </c>
      <c r="L102" s="252"/>
      <c r="M102" s="252">
        <v>0</v>
      </c>
      <c r="N102" s="252"/>
      <c r="O102" s="252">
        <v>0</v>
      </c>
      <c r="P102" s="252"/>
      <c r="Q102" s="252">
        <v>0</v>
      </c>
      <c r="R102" s="252"/>
      <c r="S102" s="252">
        <v>0</v>
      </c>
      <c r="T102" s="252"/>
      <c r="U102" s="252">
        <v>0</v>
      </c>
      <c r="V102" s="52"/>
      <c r="W102" s="52"/>
      <c r="X102" s="52"/>
      <c r="Y102" s="165"/>
      <c r="Z102" s="165"/>
      <c r="AA102" s="165"/>
      <c r="AB102" s="165"/>
      <c r="AC102" s="165"/>
      <c r="AD102" s="165"/>
      <c r="AE102" s="165"/>
      <c r="AF102" s="165"/>
    </row>
    <row r="103" spans="1:32" ht="45" hidden="1">
      <c r="A103" s="165"/>
      <c r="B103" s="48"/>
      <c r="C103" s="48"/>
      <c r="D103" s="49"/>
      <c r="E103" s="49"/>
      <c r="F103" s="50"/>
      <c r="G103" s="58" t="s">
        <v>2283</v>
      </c>
      <c r="H103" s="233">
        <v>0</v>
      </c>
      <c r="I103" s="233">
        <v>100</v>
      </c>
      <c r="J103" s="233">
        <v>97</v>
      </c>
      <c r="K103" s="252">
        <v>185850000</v>
      </c>
      <c r="L103" s="252"/>
      <c r="M103" s="252">
        <v>0</v>
      </c>
      <c r="N103" s="252"/>
      <c r="O103" s="252">
        <v>0</v>
      </c>
      <c r="P103" s="252"/>
      <c r="Q103" s="252">
        <v>0</v>
      </c>
      <c r="R103" s="252"/>
      <c r="S103" s="252">
        <v>0</v>
      </c>
      <c r="T103" s="252"/>
      <c r="U103" s="252">
        <v>0</v>
      </c>
      <c r="V103" s="52"/>
      <c r="W103" s="52"/>
      <c r="X103" s="52"/>
      <c r="Y103" s="165"/>
      <c r="Z103" s="165"/>
      <c r="AA103" s="165"/>
      <c r="AB103" s="165"/>
      <c r="AC103" s="165"/>
      <c r="AD103" s="165"/>
      <c r="AE103" s="165"/>
      <c r="AF103" s="165"/>
    </row>
    <row r="104" spans="1:32" ht="30" hidden="1">
      <c r="A104" s="165"/>
      <c r="B104" s="48"/>
      <c r="C104" s="48"/>
      <c r="D104" s="49"/>
      <c r="E104" s="49"/>
      <c r="F104" s="50"/>
      <c r="G104" s="58" t="s">
        <v>2284</v>
      </c>
      <c r="H104" s="233">
        <v>0</v>
      </c>
      <c r="I104" s="233">
        <v>100</v>
      </c>
      <c r="J104" s="233">
        <v>97</v>
      </c>
      <c r="K104" s="252">
        <v>20650000</v>
      </c>
      <c r="L104" s="252"/>
      <c r="M104" s="252">
        <v>0</v>
      </c>
      <c r="N104" s="252"/>
      <c r="O104" s="252">
        <v>0</v>
      </c>
      <c r="P104" s="252"/>
      <c r="Q104" s="252">
        <v>0</v>
      </c>
      <c r="R104" s="252"/>
      <c r="S104" s="252">
        <v>0</v>
      </c>
      <c r="T104" s="252"/>
      <c r="U104" s="252">
        <v>0</v>
      </c>
      <c r="V104" s="52"/>
      <c r="W104" s="52"/>
      <c r="X104" s="52"/>
      <c r="Y104" s="165"/>
      <c r="Z104" s="165"/>
      <c r="AA104" s="165"/>
      <c r="AB104" s="165"/>
      <c r="AC104" s="165"/>
      <c r="AD104" s="165"/>
      <c r="AE104" s="165"/>
      <c r="AF104" s="165"/>
    </row>
    <row r="105" spans="1:32" ht="45" hidden="1">
      <c r="A105" s="165"/>
      <c r="B105" s="48"/>
      <c r="C105" s="48"/>
      <c r="D105" s="49"/>
      <c r="E105" s="49"/>
      <c r="F105" s="50"/>
      <c r="G105" s="58" t="s">
        <v>2285</v>
      </c>
      <c r="H105" s="233">
        <v>0</v>
      </c>
      <c r="I105" s="233">
        <v>100</v>
      </c>
      <c r="J105" s="233">
        <v>97</v>
      </c>
      <c r="K105" s="252">
        <v>672000000</v>
      </c>
      <c r="L105" s="252"/>
      <c r="M105" s="252">
        <v>0</v>
      </c>
      <c r="N105" s="252"/>
      <c r="O105" s="252">
        <v>0</v>
      </c>
      <c r="P105" s="252"/>
      <c r="Q105" s="252">
        <v>0</v>
      </c>
      <c r="R105" s="252"/>
      <c r="S105" s="252">
        <v>0</v>
      </c>
      <c r="T105" s="252"/>
      <c r="U105" s="252">
        <v>0</v>
      </c>
      <c r="V105" s="52"/>
      <c r="W105" s="52"/>
      <c r="X105" s="52"/>
      <c r="Y105" s="165"/>
      <c r="Z105" s="165"/>
      <c r="AA105" s="165"/>
      <c r="AB105" s="165"/>
      <c r="AC105" s="165"/>
      <c r="AD105" s="165"/>
      <c r="AE105" s="165"/>
      <c r="AF105" s="165"/>
    </row>
    <row r="106" spans="1:32" ht="45" hidden="1">
      <c r="A106" s="165"/>
      <c r="B106" s="48"/>
      <c r="C106" s="48"/>
      <c r="D106" s="49"/>
      <c r="E106" s="49"/>
      <c r="F106" s="50"/>
      <c r="G106" s="58" t="s">
        <v>2286</v>
      </c>
      <c r="H106" s="233">
        <v>0</v>
      </c>
      <c r="I106" s="233">
        <v>100</v>
      </c>
      <c r="J106" s="233">
        <v>98</v>
      </c>
      <c r="K106" s="252">
        <v>60000000</v>
      </c>
      <c r="L106" s="252">
        <v>9</v>
      </c>
      <c r="M106" s="252">
        <v>270000000</v>
      </c>
      <c r="N106" s="252">
        <v>4</v>
      </c>
      <c r="O106" s="252">
        <v>120000000</v>
      </c>
      <c r="P106" s="252">
        <v>10</v>
      </c>
      <c r="Q106" s="252">
        <v>300000000</v>
      </c>
      <c r="R106" s="252">
        <v>10</v>
      </c>
      <c r="S106" s="252">
        <v>300000000</v>
      </c>
      <c r="T106" s="252">
        <v>10</v>
      </c>
      <c r="U106" s="252">
        <v>300000000</v>
      </c>
      <c r="V106" s="52"/>
      <c r="W106" s="52"/>
      <c r="X106" s="52"/>
      <c r="Y106" s="165"/>
      <c r="Z106" s="165"/>
      <c r="AA106" s="165"/>
      <c r="AB106" s="165"/>
      <c r="AC106" s="165"/>
      <c r="AD106" s="165"/>
      <c r="AE106" s="165"/>
      <c r="AF106" s="165"/>
    </row>
    <row r="107" spans="1:32" ht="45" hidden="1">
      <c r="A107" s="165"/>
      <c r="B107" s="48"/>
      <c r="C107" s="48"/>
      <c r="D107" s="49"/>
      <c r="E107" s="49"/>
      <c r="F107" s="50"/>
      <c r="G107" s="58" t="s">
        <v>2287</v>
      </c>
      <c r="H107" s="233">
        <v>100</v>
      </c>
      <c r="I107" s="233">
        <v>100</v>
      </c>
      <c r="J107" s="233">
        <v>99</v>
      </c>
      <c r="K107" s="252">
        <v>8000000</v>
      </c>
      <c r="L107" s="252">
        <v>3</v>
      </c>
      <c r="M107" s="252">
        <v>24000000</v>
      </c>
      <c r="N107" s="252">
        <v>3</v>
      </c>
      <c r="O107" s="252">
        <v>24000000</v>
      </c>
      <c r="P107" s="252">
        <v>3</v>
      </c>
      <c r="Q107" s="252">
        <v>24000000</v>
      </c>
      <c r="R107" s="252">
        <v>3</v>
      </c>
      <c r="S107" s="252">
        <v>24000000</v>
      </c>
      <c r="T107" s="252">
        <v>3</v>
      </c>
      <c r="U107" s="252">
        <v>24000000</v>
      </c>
      <c r="V107" s="52"/>
      <c r="W107" s="52"/>
      <c r="X107" s="52"/>
      <c r="Y107" s="165"/>
      <c r="Z107" s="165"/>
      <c r="AA107" s="165"/>
      <c r="AB107" s="165"/>
      <c r="AC107" s="165"/>
      <c r="AD107" s="165"/>
      <c r="AE107" s="165"/>
      <c r="AF107" s="165"/>
    </row>
    <row r="108" spans="1:32" ht="45" hidden="1">
      <c r="A108" s="165"/>
      <c r="B108" s="48"/>
      <c r="C108" s="48"/>
      <c r="D108" s="49"/>
      <c r="E108" s="49"/>
      <c r="F108" s="50"/>
      <c r="G108" s="58" t="s">
        <v>2288</v>
      </c>
      <c r="H108" s="233">
        <v>99</v>
      </c>
      <c r="I108" s="233">
        <v>100</v>
      </c>
      <c r="J108" s="233">
        <v>99</v>
      </c>
      <c r="K108" s="252">
        <v>40000000</v>
      </c>
      <c r="L108" s="252">
        <v>2</v>
      </c>
      <c r="M108" s="252">
        <v>80000000</v>
      </c>
      <c r="N108" s="252">
        <v>2</v>
      </c>
      <c r="O108" s="252">
        <v>80000000</v>
      </c>
      <c r="P108" s="252">
        <v>2</v>
      </c>
      <c r="Q108" s="252">
        <v>80000000</v>
      </c>
      <c r="R108" s="252">
        <v>2</v>
      </c>
      <c r="S108" s="252">
        <v>80000000</v>
      </c>
      <c r="T108" s="252">
        <v>2</v>
      </c>
      <c r="U108" s="252">
        <v>80000000</v>
      </c>
      <c r="V108" s="52"/>
      <c r="W108" s="52"/>
      <c r="X108" s="52"/>
      <c r="Y108" s="165"/>
      <c r="Z108" s="165"/>
      <c r="AA108" s="165"/>
      <c r="AB108" s="165"/>
      <c r="AC108" s="165"/>
      <c r="AD108" s="165"/>
      <c r="AE108" s="165"/>
      <c r="AF108" s="165"/>
    </row>
    <row r="109" spans="1:32" ht="60" hidden="1">
      <c r="A109" s="165"/>
      <c r="B109" s="48"/>
      <c r="C109" s="48"/>
      <c r="D109" s="49"/>
      <c r="E109" s="49"/>
      <c r="F109" s="50"/>
      <c r="G109" s="58" t="s">
        <v>2289</v>
      </c>
      <c r="H109" s="233">
        <v>0</v>
      </c>
      <c r="I109" s="233">
        <v>100</v>
      </c>
      <c r="J109" s="233">
        <v>97</v>
      </c>
      <c r="K109" s="252">
        <v>766775000</v>
      </c>
      <c r="L109" s="252"/>
      <c r="M109" s="252">
        <v>0</v>
      </c>
      <c r="N109" s="252"/>
      <c r="O109" s="252">
        <v>0</v>
      </c>
      <c r="P109" s="252"/>
      <c r="Q109" s="252">
        <v>0</v>
      </c>
      <c r="R109" s="252"/>
      <c r="S109" s="252">
        <v>0</v>
      </c>
      <c r="T109" s="252"/>
      <c r="U109" s="252">
        <v>0</v>
      </c>
      <c r="V109" s="52"/>
      <c r="W109" s="52"/>
      <c r="X109" s="52"/>
      <c r="Y109" s="165"/>
      <c r="Z109" s="165"/>
      <c r="AA109" s="165"/>
      <c r="AB109" s="165"/>
      <c r="AC109" s="165"/>
      <c r="AD109" s="165"/>
      <c r="AE109" s="165"/>
      <c r="AF109" s="165"/>
    </row>
    <row r="110" spans="1:32" ht="60" hidden="1">
      <c r="A110" s="165"/>
      <c r="B110" s="48"/>
      <c r="C110" s="48"/>
      <c r="D110" s="49"/>
      <c r="E110" s="49"/>
      <c r="F110" s="50"/>
      <c r="G110" s="58" t="s">
        <v>2290</v>
      </c>
      <c r="H110" s="233">
        <v>0</v>
      </c>
      <c r="I110" s="233">
        <v>100</v>
      </c>
      <c r="J110" s="233">
        <v>97</v>
      </c>
      <c r="K110" s="252">
        <v>313200000</v>
      </c>
      <c r="L110" s="252"/>
      <c r="M110" s="252">
        <v>0</v>
      </c>
      <c r="N110" s="252"/>
      <c r="O110" s="252">
        <v>0</v>
      </c>
      <c r="P110" s="252"/>
      <c r="Q110" s="252">
        <v>0</v>
      </c>
      <c r="R110" s="252"/>
      <c r="S110" s="252">
        <v>0</v>
      </c>
      <c r="T110" s="252"/>
      <c r="U110" s="252">
        <v>0</v>
      </c>
      <c r="V110" s="52"/>
      <c r="W110" s="52"/>
      <c r="X110" s="52"/>
      <c r="Y110" s="165"/>
      <c r="Z110" s="165"/>
      <c r="AA110" s="165"/>
      <c r="AB110" s="165"/>
      <c r="AC110" s="165"/>
      <c r="AD110" s="165"/>
      <c r="AE110" s="165"/>
      <c r="AF110" s="165"/>
    </row>
    <row r="111" spans="1:32" ht="60" hidden="1">
      <c r="A111" s="165"/>
      <c r="B111" s="48"/>
      <c r="C111" s="48"/>
      <c r="D111" s="49"/>
      <c r="E111" s="49"/>
      <c r="F111" s="50"/>
      <c r="G111" s="58" t="s">
        <v>2291</v>
      </c>
      <c r="H111" s="233">
        <v>0</v>
      </c>
      <c r="I111" s="233">
        <v>100</v>
      </c>
      <c r="J111" s="233">
        <v>97</v>
      </c>
      <c r="K111" s="252">
        <v>25025000</v>
      </c>
      <c r="L111" s="252"/>
      <c r="M111" s="252">
        <v>0</v>
      </c>
      <c r="N111" s="252"/>
      <c r="O111" s="252">
        <v>0</v>
      </c>
      <c r="P111" s="252"/>
      <c r="Q111" s="252">
        <v>0</v>
      </c>
      <c r="R111" s="252"/>
      <c r="S111" s="252">
        <v>0</v>
      </c>
      <c r="T111" s="252"/>
      <c r="U111" s="252">
        <v>0</v>
      </c>
      <c r="V111" s="52"/>
      <c r="W111" s="52"/>
      <c r="X111" s="52"/>
      <c r="Y111" s="165"/>
      <c r="Z111" s="165"/>
      <c r="AA111" s="165"/>
      <c r="AB111" s="165"/>
      <c r="AC111" s="165"/>
      <c r="AD111" s="165"/>
      <c r="AE111" s="165"/>
      <c r="AF111" s="165"/>
    </row>
    <row r="112" spans="1:32" ht="45" hidden="1">
      <c r="A112" s="165"/>
      <c r="B112" s="48"/>
      <c r="C112" s="48"/>
      <c r="D112" s="49"/>
      <c r="E112" s="49"/>
      <c r="F112" s="50"/>
      <c r="G112" s="58" t="s">
        <v>2292</v>
      </c>
      <c r="H112" s="233">
        <v>0</v>
      </c>
      <c r="I112" s="233">
        <v>100</v>
      </c>
      <c r="J112" s="233">
        <v>99</v>
      </c>
      <c r="K112" s="252">
        <v>51895000</v>
      </c>
      <c r="L112" s="252">
        <v>1</v>
      </c>
      <c r="M112" s="252">
        <v>52000000</v>
      </c>
      <c r="N112" s="252">
        <v>1</v>
      </c>
      <c r="O112" s="252">
        <v>52000000</v>
      </c>
      <c r="P112" s="252">
        <v>1</v>
      </c>
      <c r="Q112" s="252">
        <v>52000000</v>
      </c>
      <c r="R112" s="252">
        <v>1</v>
      </c>
      <c r="S112" s="252">
        <v>52000000</v>
      </c>
      <c r="T112" s="252">
        <v>1</v>
      </c>
      <c r="U112" s="252">
        <v>52000000</v>
      </c>
      <c r="V112" s="52"/>
      <c r="W112" s="52"/>
      <c r="X112" s="52"/>
      <c r="Y112" s="165"/>
      <c r="Z112" s="165"/>
      <c r="AA112" s="165"/>
      <c r="AB112" s="165"/>
      <c r="AC112" s="165"/>
      <c r="AD112" s="165"/>
      <c r="AE112" s="165"/>
      <c r="AF112" s="165"/>
    </row>
    <row r="113" spans="1:32" ht="30" hidden="1">
      <c r="A113" s="165"/>
      <c r="B113" s="48"/>
      <c r="C113" s="48"/>
      <c r="D113" s="49"/>
      <c r="E113" s="49"/>
      <c r="F113" s="50"/>
      <c r="G113" s="58" t="s">
        <v>2293</v>
      </c>
      <c r="H113" s="233">
        <v>0</v>
      </c>
      <c r="I113" s="233">
        <v>100</v>
      </c>
      <c r="J113" s="233">
        <v>99</v>
      </c>
      <c r="K113" s="252">
        <v>77543900</v>
      </c>
      <c r="L113" s="252">
        <v>100</v>
      </c>
      <c r="M113" s="252">
        <v>80000000</v>
      </c>
      <c r="N113" s="252">
        <v>100</v>
      </c>
      <c r="O113" s="252">
        <v>90000000</v>
      </c>
      <c r="P113" s="252">
        <v>100</v>
      </c>
      <c r="Q113" s="252">
        <v>95000000</v>
      </c>
      <c r="R113" s="252">
        <v>100</v>
      </c>
      <c r="S113" s="252">
        <v>100000000</v>
      </c>
      <c r="T113" s="252">
        <v>100</v>
      </c>
      <c r="U113" s="252">
        <v>100000000</v>
      </c>
      <c r="V113" s="52"/>
      <c r="W113" s="52"/>
      <c r="X113" s="52"/>
      <c r="Y113" s="165"/>
      <c r="Z113" s="165"/>
      <c r="AA113" s="165"/>
      <c r="AB113" s="165"/>
      <c r="AC113" s="165"/>
      <c r="AD113" s="165"/>
      <c r="AE113" s="165"/>
      <c r="AF113" s="165"/>
    </row>
    <row r="114" spans="1:32" ht="30" hidden="1">
      <c r="A114" s="165"/>
      <c r="B114" s="48"/>
      <c r="C114" s="48"/>
      <c r="D114" s="49"/>
      <c r="E114" s="49"/>
      <c r="F114" s="50"/>
      <c r="G114" s="58" t="s">
        <v>2294</v>
      </c>
      <c r="H114" s="233">
        <v>100</v>
      </c>
      <c r="I114" s="233">
        <v>0</v>
      </c>
      <c r="J114" s="233">
        <v>0</v>
      </c>
      <c r="K114" s="252">
        <v>0</v>
      </c>
      <c r="L114" s="252">
        <v>1</v>
      </c>
      <c r="M114" s="252">
        <v>50000000</v>
      </c>
      <c r="N114" s="252">
        <v>1</v>
      </c>
      <c r="O114" s="252">
        <v>50000000</v>
      </c>
      <c r="P114" s="252">
        <v>1</v>
      </c>
      <c r="Q114" s="252">
        <v>50000000</v>
      </c>
      <c r="R114" s="252">
        <v>1</v>
      </c>
      <c r="S114" s="252">
        <v>50000000</v>
      </c>
      <c r="T114" s="252">
        <v>1</v>
      </c>
      <c r="U114" s="252">
        <v>50000000</v>
      </c>
      <c r="V114" s="52"/>
      <c r="W114" s="52"/>
      <c r="X114" s="52"/>
      <c r="Y114" s="165"/>
      <c r="Z114" s="165"/>
      <c r="AA114" s="165"/>
      <c r="AB114" s="165"/>
      <c r="AC114" s="165"/>
      <c r="AD114" s="165"/>
      <c r="AE114" s="165"/>
      <c r="AF114" s="165"/>
    </row>
    <row r="115" spans="1:32" ht="45" hidden="1">
      <c r="A115" s="165"/>
      <c r="B115" s="48"/>
      <c r="C115" s="66"/>
      <c r="D115" s="67"/>
      <c r="E115" s="67"/>
      <c r="F115" s="68"/>
      <c r="G115" s="58" t="s">
        <v>2295</v>
      </c>
      <c r="H115" s="233">
        <v>99.37</v>
      </c>
      <c r="I115" s="233">
        <v>0</v>
      </c>
      <c r="J115" s="233">
        <v>0</v>
      </c>
      <c r="K115" s="252">
        <v>0</v>
      </c>
      <c r="L115" s="252">
        <v>1</v>
      </c>
      <c r="M115" s="252">
        <v>90000000</v>
      </c>
      <c r="N115" s="252">
        <v>1</v>
      </c>
      <c r="O115" s="252">
        <v>90000000</v>
      </c>
      <c r="P115" s="252">
        <v>0</v>
      </c>
      <c r="Q115" s="252">
        <v>0</v>
      </c>
      <c r="R115" s="252">
        <v>0</v>
      </c>
      <c r="S115" s="252">
        <v>0</v>
      </c>
      <c r="T115" s="252">
        <v>0</v>
      </c>
      <c r="U115" s="252">
        <v>0</v>
      </c>
      <c r="V115" s="52"/>
      <c r="W115" s="52"/>
      <c r="X115" s="52"/>
      <c r="Y115" s="165"/>
      <c r="Z115" s="165"/>
      <c r="AA115" s="165"/>
      <c r="AB115" s="165"/>
      <c r="AC115" s="165"/>
      <c r="AD115" s="165"/>
      <c r="AE115" s="165"/>
      <c r="AF115" s="165"/>
    </row>
    <row r="116" spans="1:32" ht="45" hidden="1">
      <c r="A116" s="165"/>
      <c r="B116" s="48"/>
      <c r="C116" s="62">
        <f>'matrik MISI 4'!J32</f>
        <v>1.01</v>
      </c>
      <c r="D116" s="63" t="str">
        <f>'matrik MISI 4'!K32</f>
        <v>xx</v>
      </c>
      <c r="E116" s="63">
        <f>'matrik MISI 4'!L32</f>
        <v>17</v>
      </c>
      <c r="F116" s="64" t="str">
        <f>'matrik MISI 4'!M32</f>
        <v xml:space="preserve">Program pendidikan menengah </v>
      </c>
      <c r="G116" s="58"/>
      <c r="H116" s="52"/>
      <c r="I116" s="52"/>
      <c r="J116" s="52"/>
      <c r="K116" s="52"/>
      <c r="L116" s="52"/>
      <c r="M116" s="52"/>
      <c r="N116" s="52"/>
      <c r="O116" s="52"/>
      <c r="P116" s="52"/>
      <c r="Q116" s="52"/>
      <c r="R116" s="52"/>
      <c r="S116" s="52"/>
      <c r="T116" s="52"/>
      <c r="U116" s="52"/>
      <c r="V116" s="52"/>
      <c r="W116" s="52"/>
      <c r="X116" s="52" t="str">
        <f>'matrik MISI 4'!X32</f>
        <v>Dinas Pendidikan</v>
      </c>
      <c r="Y116" s="165"/>
      <c r="Z116" s="165"/>
      <c r="AA116" s="165"/>
      <c r="AB116" s="165"/>
      <c r="AC116" s="165"/>
      <c r="AD116" s="165"/>
      <c r="AE116" s="165"/>
      <c r="AF116" s="165"/>
    </row>
    <row r="117" spans="1:32" ht="75" hidden="1">
      <c r="A117" s="165"/>
      <c r="B117" s="48"/>
      <c r="C117" s="62"/>
      <c r="D117" s="63"/>
      <c r="E117" s="63"/>
      <c r="F117" s="64"/>
      <c r="G117" s="58" t="s">
        <v>2150</v>
      </c>
      <c r="H117" s="252">
        <v>0</v>
      </c>
      <c r="I117" s="252">
        <v>0</v>
      </c>
      <c r="J117" s="252">
        <v>0</v>
      </c>
      <c r="K117" s="252">
        <v>0</v>
      </c>
      <c r="L117" s="252"/>
      <c r="M117" s="252"/>
      <c r="N117" s="252">
        <v>35</v>
      </c>
      <c r="O117" s="252">
        <v>10000000</v>
      </c>
      <c r="P117" s="252">
        <v>35</v>
      </c>
      <c r="Q117" s="252">
        <v>10000000</v>
      </c>
      <c r="R117" s="252">
        <v>0</v>
      </c>
      <c r="S117" s="252">
        <v>0</v>
      </c>
      <c r="T117" s="252">
        <v>0</v>
      </c>
      <c r="U117" s="252">
        <v>0</v>
      </c>
      <c r="V117" s="52"/>
      <c r="W117" s="52"/>
      <c r="X117" s="52"/>
      <c r="Y117" s="165"/>
      <c r="Z117" s="165"/>
      <c r="AA117" s="165"/>
      <c r="AB117" s="165"/>
      <c r="AC117" s="165"/>
      <c r="AD117" s="165"/>
      <c r="AE117" s="165"/>
      <c r="AF117" s="165"/>
    </row>
    <row r="118" spans="1:32" ht="75" hidden="1">
      <c r="A118" s="165"/>
      <c r="B118" s="48"/>
      <c r="C118" s="48"/>
      <c r="D118" s="49"/>
      <c r="E118" s="49"/>
      <c r="F118" s="50"/>
      <c r="G118" s="58" t="s">
        <v>2151</v>
      </c>
      <c r="H118" s="252">
        <v>0</v>
      </c>
      <c r="I118" s="252">
        <v>0</v>
      </c>
      <c r="J118" s="252">
        <v>0</v>
      </c>
      <c r="K118" s="252">
        <v>0</v>
      </c>
      <c r="L118" s="252"/>
      <c r="M118" s="252"/>
      <c r="N118" s="252">
        <v>50</v>
      </c>
      <c r="O118" s="252">
        <f>N118*500000</f>
        <v>25000000</v>
      </c>
      <c r="P118" s="252"/>
      <c r="Q118" s="252"/>
      <c r="R118" s="252"/>
      <c r="S118" s="252"/>
      <c r="T118" s="252"/>
      <c r="U118" s="252"/>
      <c r="V118" s="52"/>
      <c r="W118" s="52"/>
      <c r="X118" s="52"/>
      <c r="Y118" s="165"/>
      <c r="Z118" s="165"/>
      <c r="AA118" s="165"/>
      <c r="AB118" s="165"/>
      <c r="AC118" s="165"/>
      <c r="AD118" s="165"/>
      <c r="AE118" s="165"/>
      <c r="AF118" s="165"/>
    </row>
    <row r="119" spans="1:32" ht="135" hidden="1">
      <c r="A119" s="165"/>
      <c r="B119" s="48"/>
      <c r="C119" s="48"/>
      <c r="D119" s="49"/>
      <c r="E119" s="49"/>
      <c r="F119" s="50"/>
      <c r="G119" s="401" t="s">
        <v>2152</v>
      </c>
      <c r="H119" s="252">
        <v>0</v>
      </c>
      <c r="I119" s="252">
        <v>0</v>
      </c>
      <c r="J119" s="252">
        <v>0</v>
      </c>
      <c r="K119" s="252">
        <v>0</v>
      </c>
      <c r="L119" s="252"/>
      <c r="M119" s="252"/>
      <c r="N119" s="252">
        <v>2000</v>
      </c>
      <c r="O119" s="252">
        <f>N119*25000</f>
        <v>50000000</v>
      </c>
      <c r="P119" s="252">
        <v>2000</v>
      </c>
      <c r="Q119" s="252">
        <f>P119*25000</f>
        <v>50000000</v>
      </c>
      <c r="R119" s="252">
        <v>2000</v>
      </c>
      <c r="S119" s="252">
        <f>R119*25000</f>
        <v>50000000</v>
      </c>
      <c r="T119" s="252">
        <v>2000</v>
      </c>
      <c r="U119" s="252">
        <f>T119*25000</f>
        <v>50000000</v>
      </c>
      <c r="V119" s="52"/>
      <c r="W119" s="52"/>
      <c r="X119" s="52"/>
      <c r="Y119" s="165"/>
      <c r="Z119" s="165"/>
      <c r="AA119" s="165"/>
      <c r="AB119" s="165"/>
      <c r="AC119" s="165"/>
      <c r="AD119" s="165"/>
      <c r="AE119" s="165"/>
      <c r="AF119" s="165"/>
    </row>
    <row r="120" spans="1:32" ht="45" hidden="1">
      <c r="A120" s="165"/>
      <c r="B120" s="48"/>
      <c r="C120" s="48"/>
      <c r="D120" s="49"/>
      <c r="E120" s="49"/>
      <c r="F120" s="50"/>
      <c r="G120" s="58" t="s">
        <v>2006</v>
      </c>
      <c r="H120" s="233">
        <v>56.56</v>
      </c>
      <c r="I120" s="233">
        <v>44.56</v>
      </c>
      <c r="J120" s="233">
        <f>H120+0.1</f>
        <v>56.660000000000004</v>
      </c>
      <c r="K120" s="52"/>
      <c r="L120" s="233">
        <f>J120+0.1</f>
        <v>56.760000000000005</v>
      </c>
      <c r="M120" s="52"/>
      <c r="N120" s="233">
        <f>L120+0.1</f>
        <v>56.860000000000007</v>
      </c>
      <c r="O120" s="52"/>
      <c r="P120" s="233">
        <f>N120+0.1</f>
        <v>56.960000000000008</v>
      </c>
      <c r="Q120" s="52"/>
      <c r="R120" s="233">
        <f>P120+0.1</f>
        <v>57.060000000000009</v>
      </c>
      <c r="S120" s="52"/>
      <c r="T120" s="233">
        <f>R120+0.1</f>
        <v>57.160000000000011</v>
      </c>
      <c r="U120" s="52"/>
      <c r="V120" s="52"/>
      <c r="W120" s="52"/>
      <c r="X120" s="52"/>
      <c r="Y120" s="165"/>
      <c r="Z120" s="165"/>
      <c r="AA120" s="165"/>
      <c r="AB120" s="165"/>
      <c r="AC120" s="165"/>
      <c r="AD120" s="165"/>
      <c r="AE120" s="165"/>
      <c r="AF120" s="165"/>
    </row>
    <row r="121" spans="1:32" ht="45" hidden="1">
      <c r="A121" s="165"/>
      <c r="B121" s="48"/>
      <c r="C121" s="48"/>
      <c r="D121" s="49"/>
      <c r="E121" s="49"/>
      <c r="F121" s="50"/>
      <c r="G121" s="58" t="s">
        <v>2007</v>
      </c>
      <c r="H121" s="233">
        <v>39.549999999999997</v>
      </c>
      <c r="I121" s="233">
        <v>30.94</v>
      </c>
      <c r="J121" s="233">
        <f>H121+0.1</f>
        <v>39.65</v>
      </c>
      <c r="K121" s="252"/>
      <c r="L121" s="233">
        <f>J121+0.1</f>
        <v>39.75</v>
      </c>
      <c r="M121" s="252"/>
      <c r="N121" s="233">
        <f>L121+0.1</f>
        <v>39.85</v>
      </c>
      <c r="O121" s="252"/>
      <c r="P121" s="233">
        <f>N121+0.1</f>
        <v>39.950000000000003</v>
      </c>
      <c r="Q121" s="252"/>
      <c r="R121" s="233">
        <f>P121+0.1</f>
        <v>40.050000000000004</v>
      </c>
      <c r="S121" s="252"/>
      <c r="T121" s="233">
        <f>R121+0.1</f>
        <v>40.150000000000006</v>
      </c>
      <c r="U121" s="252"/>
      <c r="V121" s="52"/>
      <c r="W121" s="52"/>
      <c r="X121" s="52"/>
      <c r="Y121" s="165"/>
      <c r="Z121" s="165"/>
      <c r="AA121" s="165"/>
      <c r="AB121" s="165"/>
      <c r="AC121" s="165"/>
      <c r="AD121" s="165"/>
      <c r="AE121" s="165"/>
      <c r="AF121" s="165"/>
    </row>
    <row r="122" spans="1:32" ht="60" hidden="1">
      <c r="A122" s="165"/>
      <c r="B122" s="48"/>
      <c r="C122" s="48"/>
      <c r="D122" s="49"/>
      <c r="E122" s="49"/>
      <c r="F122" s="50"/>
      <c r="G122" s="58" t="s">
        <v>1156</v>
      </c>
      <c r="H122" s="233">
        <v>65.479140850888058</v>
      </c>
      <c r="I122" s="233">
        <v>82.72</v>
      </c>
      <c r="J122" s="233">
        <f>H122+0.09</f>
        <v>65.569140850888061</v>
      </c>
      <c r="K122" s="252"/>
      <c r="L122" s="233">
        <f>J122+0.09</f>
        <v>65.659140850888065</v>
      </c>
      <c r="M122" s="252"/>
      <c r="N122" s="233">
        <f>L122+0.09</f>
        <v>65.749140850888068</v>
      </c>
      <c r="O122" s="252"/>
      <c r="P122" s="233">
        <f>N122+0.09</f>
        <v>65.839140850888072</v>
      </c>
      <c r="Q122" s="252"/>
      <c r="R122" s="233">
        <f>P122+0.09</f>
        <v>65.929140850888075</v>
      </c>
      <c r="S122" s="252"/>
      <c r="T122" s="233">
        <f>R122+0.09</f>
        <v>66.019140850888078</v>
      </c>
      <c r="U122" s="252"/>
      <c r="V122" s="52"/>
      <c r="W122" s="52"/>
      <c r="X122" s="52"/>
      <c r="Y122" s="165"/>
      <c r="Z122" s="165"/>
      <c r="AA122" s="165"/>
      <c r="AB122" s="165"/>
      <c r="AC122" s="165"/>
      <c r="AD122" s="165"/>
      <c r="AE122" s="165"/>
      <c r="AF122" s="165"/>
    </row>
    <row r="123" spans="1:32" ht="60" hidden="1">
      <c r="A123" s="165"/>
      <c r="B123" s="48"/>
      <c r="C123" s="48"/>
      <c r="D123" s="49"/>
      <c r="E123" s="49"/>
      <c r="F123" s="50"/>
      <c r="G123" s="58" t="s">
        <v>2008</v>
      </c>
      <c r="H123" s="233">
        <v>51.247836525040483</v>
      </c>
      <c r="I123" s="233">
        <v>0</v>
      </c>
      <c r="J123" s="233">
        <v>51.25</v>
      </c>
      <c r="K123" s="252"/>
      <c r="L123" s="233">
        <f>J123-0.08</f>
        <v>51.17</v>
      </c>
      <c r="M123" s="252"/>
      <c r="N123" s="233">
        <f>L123-0.08</f>
        <v>51.09</v>
      </c>
      <c r="O123" s="252"/>
      <c r="P123" s="233">
        <f>N123-0.08</f>
        <v>51.010000000000005</v>
      </c>
      <c r="Q123" s="252"/>
      <c r="R123" s="233">
        <f>P123-0.08</f>
        <v>50.930000000000007</v>
      </c>
      <c r="S123" s="252"/>
      <c r="T123" s="233">
        <f>R123-0.08</f>
        <v>50.850000000000009</v>
      </c>
      <c r="U123" s="252"/>
      <c r="V123" s="52"/>
      <c r="W123" s="52"/>
      <c r="X123" s="52"/>
      <c r="Y123" s="165"/>
      <c r="Z123" s="165"/>
      <c r="AA123" s="165"/>
      <c r="AB123" s="165"/>
      <c r="AC123" s="165"/>
      <c r="AD123" s="165"/>
      <c r="AE123" s="165"/>
      <c r="AF123" s="165"/>
    </row>
    <row r="124" spans="1:32" ht="30" hidden="1">
      <c r="A124" s="165"/>
      <c r="B124" s="48"/>
      <c r="C124" s="48"/>
      <c r="D124" s="49"/>
      <c r="E124" s="49"/>
      <c r="F124" s="50"/>
      <c r="G124" s="58" t="s">
        <v>1159</v>
      </c>
      <c r="H124" s="234" t="s">
        <v>1160</v>
      </c>
      <c r="I124" s="252">
        <v>0</v>
      </c>
      <c r="J124" s="234" t="s">
        <v>1160</v>
      </c>
      <c r="K124" s="252"/>
      <c r="L124" s="234" t="s">
        <v>2169</v>
      </c>
      <c r="M124" s="252"/>
      <c r="N124" s="234" t="s">
        <v>2169</v>
      </c>
      <c r="O124" s="252"/>
      <c r="P124" s="234" t="s">
        <v>2170</v>
      </c>
      <c r="Q124" s="252"/>
      <c r="R124" s="234" t="s">
        <v>2170</v>
      </c>
      <c r="S124" s="252"/>
      <c r="T124" s="234" t="s">
        <v>2170</v>
      </c>
      <c r="U124" s="252"/>
      <c r="V124" s="52"/>
      <c r="W124" s="52"/>
      <c r="X124" s="52"/>
      <c r="Y124" s="165"/>
      <c r="Z124" s="165"/>
      <c r="AA124" s="165"/>
      <c r="AB124" s="165"/>
      <c r="AC124" s="165"/>
      <c r="AD124" s="165"/>
      <c r="AE124" s="165"/>
      <c r="AF124" s="165"/>
    </row>
    <row r="125" spans="1:32" ht="30" hidden="1">
      <c r="A125" s="165"/>
      <c r="B125" s="48"/>
      <c r="C125" s="48"/>
      <c r="D125" s="49"/>
      <c r="E125" s="49"/>
      <c r="F125" s="50"/>
      <c r="G125" s="58" t="s">
        <v>1162</v>
      </c>
      <c r="H125" s="234" t="s">
        <v>1163</v>
      </c>
      <c r="I125" s="252">
        <v>0</v>
      </c>
      <c r="J125" s="234" t="s">
        <v>1163</v>
      </c>
      <c r="K125" s="252"/>
      <c r="L125" s="234" t="s">
        <v>1163</v>
      </c>
      <c r="M125" s="252"/>
      <c r="N125" s="234" t="s">
        <v>1163</v>
      </c>
      <c r="O125" s="252"/>
      <c r="P125" s="234" t="s">
        <v>1163</v>
      </c>
      <c r="Q125" s="252"/>
      <c r="R125" s="234" t="s">
        <v>1163</v>
      </c>
      <c r="S125" s="252"/>
      <c r="T125" s="234" t="s">
        <v>1163</v>
      </c>
      <c r="U125" s="252"/>
      <c r="V125" s="52"/>
      <c r="W125" s="52"/>
      <c r="X125" s="52"/>
      <c r="Y125" s="165"/>
      <c r="Z125" s="165"/>
      <c r="AA125" s="165"/>
      <c r="AB125" s="165"/>
      <c r="AC125" s="165"/>
      <c r="AD125" s="165"/>
      <c r="AE125" s="165"/>
      <c r="AF125" s="165"/>
    </row>
    <row r="126" spans="1:32" ht="90" hidden="1">
      <c r="A126" s="165"/>
      <c r="B126" s="48"/>
      <c r="C126" s="48"/>
      <c r="D126" s="49"/>
      <c r="E126" s="49"/>
      <c r="F126" s="50"/>
      <c r="G126" s="58" t="s">
        <v>1165</v>
      </c>
      <c r="H126" s="233"/>
      <c r="I126" s="252"/>
      <c r="J126" s="233"/>
      <c r="K126" s="252"/>
      <c r="L126" s="252"/>
      <c r="M126" s="252"/>
      <c r="N126" s="252"/>
      <c r="O126" s="252"/>
      <c r="P126" s="252"/>
      <c r="Q126" s="252"/>
      <c r="R126" s="252"/>
      <c r="S126" s="252"/>
      <c r="T126" s="252"/>
      <c r="U126" s="252"/>
      <c r="V126" s="52"/>
      <c r="W126" s="52"/>
      <c r="X126" s="52"/>
      <c r="Y126" s="165"/>
      <c r="Z126" s="165"/>
      <c r="AA126" s="165"/>
      <c r="AB126" s="165"/>
      <c r="AC126" s="165"/>
      <c r="AD126" s="165"/>
      <c r="AE126" s="165"/>
      <c r="AF126" s="165"/>
    </row>
    <row r="127" spans="1:32" ht="60" hidden="1">
      <c r="A127" s="165"/>
      <c r="B127" s="48"/>
      <c r="C127" s="48"/>
      <c r="D127" s="49"/>
      <c r="E127" s="49"/>
      <c r="F127" s="50"/>
      <c r="G127" s="58" t="s">
        <v>1167</v>
      </c>
      <c r="H127" s="233"/>
      <c r="I127" s="252"/>
      <c r="J127" s="233"/>
      <c r="K127" s="252"/>
      <c r="L127" s="252"/>
      <c r="M127" s="252"/>
      <c r="N127" s="252"/>
      <c r="O127" s="252"/>
      <c r="P127" s="252"/>
      <c r="Q127" s="252"/>
      <c r="R127" s="252"/>
      <c r="S127" s="252"/>
      <c r="T127" s="252"/>
      <c r="U127" s="252"/>
      <c r="V127" s="52"/>
      <c r="W127" s="52"/>
      <c r="X127" s="52"/>
      <c r="Y127" s="165"/>
      <c r="Z127" s="165"/>
      <c r="AA127" s="165"/>
      <c r="AB127" s="165"/>
      <c r="AC127" s="165"/>
      <c r="AD127" s="165"/>
      <c r="AE127" s="165"/>
      <c r="AF127" s="165"/>
    </row>
    <row r="128" spans="1:32" ht="45" hidden="1">
      <c r="A128" s="165"/>
      <c r="B128" s="48"/>
      <c r="C128" s="48"/>
      <c r="D128" s="49"/>
      <c r="E128" s="49"/>
      <c r="F128" s="50"/>
      <c r="G128" s="58" t="s">
        <v>2171</v>
      </c>
      <c r="H128" s="233">
        <v>43.89</v>
      </c>
      <c r="I128" s="252">
        <v>0</v>
      </c>
      <c r="J128" s="233">
        <v>43.89</v>
      </c>
      <c r="K128" s="252"/>
      <c r="L128" s="233">
        <f>J128+0.08</f>
        <v>43.97</v>
      </c>
      <c r="M128" s="252"/>
      <c r="N128" s="233">
        <f>L128+0.08</f>
        <v>44.05</v>
      </c>
      <c r="O128" s="252"/>
      <c r="P128" s="233">
        <f>N128+0.08</f>
        <v>44.129999999999995</v>
      </c>
      <c r="Q128" s="252"/>
      <c r="R128" s="233">
        <f>P128+0.08</f>
        <v>44.209999999999994</v>
      </c>
      <c r="S128" s="252"/>
      <c r="T128" s="233">
        <f>R128+0.08</f>
        <v>44.289999999999992</v>
      </c>
      <c r="U128" s="252"/>
      <c r="V128" s="52"/>
      <c r="W128" s="52"/>
      <c r="X128" s="52"/>
      <c r="Y128" s="165"/>
      <c r="Z128" s="165"/>
      <c r="AA128" s="165"/>
      <c r="AB128" s="165"/>
      <c r="AC128" s="165"/>
      <c r="AD128" s="165"/>
      <c r="AE128" s="165"/>
      <c r="AF128" s="165"/>
    </row>
    <row r="129" spans="1:32" ht="75" hidden="1">
      <c r="A129" s="165"/>
      <c r="B129" s="48"/>
      <c r="C129" s="48"/>
      <c r="D129" s="49"/>
      <c r="E129" s="49"/>
      <c r="F129" s="50"/>
      <c r="G129" s="401" t="s">
        <v>2172</v>
      </c>
      <c r="H129" s="233">
        <v>100</v>
      </c>
      <c r="I129" s="233">
        <v>100</v>
      </c>
      <c r="J129" s="233">
        <v>99</v>
      </c>
      <c r="K129" s="252">
        <v>188000000</v>
      </c>
      <c r="L129" s="252">
        <v>340</v>
      </c>
      <c r="M129" s="252">
        <v>340000000</v>
      </c>
      <c r="N129" s="252">
        <v>340</v>
      </c>
      <c r="O129" s="252">
        <v>340000000</v>
      </c>
      <c r="P129" s="252">
        <v>340</v>
      </c>
      <c r="Q129" s="252">
        <v>340000000</v>
      </c>
      <c r="R129" s="252">
        <v>340</v>
      </c>
      <c r="S129" s="252">
        <v>340000000</v>
      </c>
      <c r="T129" s="252">
        <v>340</v>
      </c>
      <c r="U129" s="252">
        <v>340000000</v>
      </c>
      <c r="V129" s="52"/>
      <c r="W129" s="52"/>
      <c r="X129" s="52"/>
      <c r="Y129" s="165"/>
      <c r="Z129" s="165"/>
      <c r="AA129" s="165"/>
      <c r="AB129" s="165"/>
      <c r="AC129" s="165"/>
      <c r="AD129" s="165"/>
      <c r="AE129" s="165"/>
      <c r="AF129" s="165"/>
    </row>
    <row r="130" spans="1:32" ht="45" hidden="1">
      <c r="A130" s="165"/>
      <c r="B130" s="48"/>
      <c r="C130" s="48"/>
      <c r="D130" s="49"/>
      <c r="E130" s="49"/>
      <c r="F130" s="50"/>
      <c r="G130" s="58" t="s">
        <v>2173</v>
      </c>
      <c r="H130" s="233">
        <v>99.99</v>
      </c>
      <c r="I130" s="233">
        <v>100</v>
      </c>
      <c r="J130" s="233">
        <v>99</v>
      </c>
      <c r="K130" s="252">
        <v>176800000</v>
      </c>
      <c r="L130" s="252">
        <v>36</v>
      </c>
      <c r="M130" s="252">
        <v>180000000</v>
      </c>
      <c r="N130" s="252">
        <v>36</v>
      </c>
      <c r="O130" s="252">
        <v>180000000</v>
      </c>
      <c r="P130" s="252">
        <v>36</v>
      </c>
      <c r="Q130" s="252">
        <v>180000000</v>
      </c>
      <c r="R130" s="252">
        <v>36</v>
      </c>
      <c r="S130" s="252">
        <v>180000000</v>
      </c>
      <c r="T130" s="252">
        <v>36</v>
      </c>
      <c r="U130" s="252">
        <v>180000000</v>
      </c>
      <c r="V130" s="52"/>
      <c r="W130" s="52"/>
      <c r="X130" s="52"/>
      <c r="Y130" s="165"/>
      <c r="Z130" s="165"/>
      <c r="AA130" s="165"/>
      <c r="AB130" s="165"/>
      <c r="AC130" s="165"/>
      <c r="AD130" s="165"/>
      <c r="AE130" s="165"/>
      <c r="AF130" s="165"/>
    </row>
    <row r="131" spans="1:32" ht="45" hidden="1">
      <c r="A131" s="165"/>
      <c r="B131" s="48"/>
      <c r="C131" s="48"/>
      <c r="D131" s="49"/>
      <c r="E131" s="49"/>
      <c r="F131" s="50"/>
      <c r="G131" s="58" t="s">
        <v>2174</v>
      </c>
      <c r="H131" s="233">
        <v>100</v>
      </c>
      <c r="I131" s="233">
        <v>100</v>
      </c>
      <c r="J131" s="233">
        <v>99</v>
      </c>
      <c r="K131" s="252">
        <v>180000000</v>
      </c>
      <c r="L131" s="252">
        <v>4</v>
      </c>
      <c r="M131" s="252">
        <v>400000000</v>
      </c>
      <c r="N131" s="252">
        <v>4</v>
      </c>
      <c r="O131" s="252">
        <v>400000000</v>
      </c>
      <c r="P131" s="252">
        <v>4</v>
      </c>
      <c r="Q131" s="252">
        <v>400000000</v>
      </c>
      <c r="R131" s="252">
        <v>4</v>
      </c>
      <c r="S131" s="252">
        <v>400000000</v>
      </c>
      <c r="T131" s="252">
        <v>4</v>
      </c>
      <c r="U131" s="252">
        <v>400000000</v>
      </c>
      <c r="V131" s="52"/>
      <c r="W131" s="52"/>
      <c r="X131" s="52"/>
      <c r="Y131" s="165"/>
      <c r="Z131" s="165"/>
      <c r="AA131" s="165"/>
      <c r="AB131" s="165"/>
      <c r="AC131" s="165"/>
      <c r="AD131" s="165"/>
      <c r="AE131" s="165"/>
      <c r="AF131" s="165"/>
    </row>
    <row r="132" spans="1:32" ht="60" hidden="1">
      <c r="A132" s="165"/>
      <c r="B132" s="48"/>
      <c r="C132" s="48"/>
      <c r="D132" s="49"/>
      <c r="E132" s="49"/>
      <c r="F132" s="50"/>
      <c r="G132" s="58" t="s">
        <v>2175</v>
      </c>
      <c r="H132" s="233">
        <v>100</v>
      </c>
      <c r="I132" s="233">
        <v>100</v>
      </c>
      <c r="J132" s="233">
        <v>99</v>
      </c>
      <c r="K132" s="252">
        <v>25000000</v>
      </c>
      <c r="L132" s="252">
        <v>4</v>
      </c>
      <c r="M132" s="252">
        <v>100000000</v>
      </c>
      <c r="N132" s="252">
        <v>4</v>
      </c>
      <c r="O132" s="252">
        <v>100000000</v>
      </c>
      <c r="P132" s="252">
        <v>4</v>
      </c>
      <c r="Q132" s="252">
        <v>100000000</v>
      </c>
      <c r="R132" s="252">
        <v>4</v>
      </c>
      <c r="S132" s="252">
        <v>100000000</v>
      </c>
      <c r="T132" s="252">
        <v>4</v>
      </c>
      <c r="U132" s="252">
        <v>100000000</v>
      </c>
      <c r="V132" s="52"/>
      <c r="W132" s="52"/>
      <c r="X132" s="52"/>
      <c r="Y132" s="165"/>
      <c r="Z132" s="165"/>
      <c r="AA132" s="165"/>
      <c r="AB132" s="165"/>
      <c r="AC132" s="165"/>
      <c r="AD132" s="165"/>
      <c r="AE132" s="165"/>
      <c r="AF132" s="165"/>
    </row>
    <row r="133" spans="1:32" ht="60" hidden="1">
      <c r="A133" s="165"/>
      <c r="B133" s="48"/>
      <c r="C133" s="48"/>
      <c r="D133" s="49"/>
      <c r="E133" s="49"/>
      <c r="F133" s="50"/>
      <c r="G133" s="58" t="s">
        <v>2176</v>
      </c>
      <c r="H133" s="233">
        <v>0</v>
      </c>
      <c r="I133" s="233">
        <v>0</v>
      </c>
      <c r="J133" s="233">
        <v>0</v>
      </c>
      <c r="K133" s="252">
        <v>0</v>
      </c>
      <c r="L133" s="252">
        <v>0</v>
      </c>
      <c r="M133" s="252">
        <v>0</v>
      </c>
      <c r="N133" s="252">
        <v>20000</v>
      </c>
      <c r="O133" s="252">
        <f>N133*75000</f>
        <v>1500000000</v>
      </c>
      <c r="P133" s="252">
        <v>0</v>
      </c>
      <c r="Q133" s="252">
        <v>0</v>
      </c>
      <c r="R133" s="252">
        <v>0</v>
      </c>
      <c r="S133" s="252">
        <v>0</v>
      </c>
      <c r="T133" s="252">
        <v>0</v>
      </c>
      <c r="U133" s="252">
        <v>0</v>
      </c>
      <c r="V133" s="52"/>
      <c r="W133" s="52"/>
      <c r="X133" s="52"/>
      <c r="Y133" s="165"/>
      <c r="Z133" s="165"/>
      <c r="AA133" s="165"/>
      <c r="AB133" s="165"/>
      <c r="AC133" s="165"/>
      <c r="AD133" s="165"/>
      <c r="AE133" s="165"/>
      <c r="AF133" s="165"/>
    </row>
    <row r="134" spans="1:32" ht="45" hidden="1">
      <c r="A134" s="165"/>
      <c r="B134" s="48"/>
      <c r="C134" s="48"/>
      <c r="D134" s="49"/>
      <c r="E134" s="49"/>
      <c r="F134" s="50"/>
      <c r="G134" s="58" t="s">
        <v>2177</v>
      </c>
      <c r="H134" s="233">
        <v>0</v>
      </c>
      <c r="I134" s="233">
        <v>0</v>
      </c>
      <c r="J134" s="233">
        <v>0</v>
      </c>
      <c r="K134" s="252">
        <v>0</v>
      </c>
      <c r="L134" s="252">
        <v>0</v>
      </c>
      <c r="M134" s="252">
        <v>0</v>
      </c>
      <c r="N134" s="252">
        <v>0</v>
      </c>
      <c r="O134" s="252">
        <v>0</v>
      </c>
      <c r="P134" s="252">
        <v>1</v>
      </c>
      <c r="Q134" s="252">
        <v>500000000</v>
      </c>
      <c r="R134" s="252">
        <v>0</v>
      </c>
      <c r="S134" s="252">
        <v>0</v>
      </c>
      <c r="T134" s="252">
        <v>0</v>
      </c>
      <c r="U134" s="252">
        <v>0</v>
      </c>
      <c r="V134" s="52"/>
      <c r="W134" s="52"/>
      <c r="X134" s="52"/>
      <c r="Y134" s="165"/>
      <c r="Z134" s="165"/>
      <c r="AA134" s="165"/>
      <c r="AB134" s="165"/>
      <c r="AC134" s="165"/>
      <c r="AD134" s="165"/>
      <c r="AE134" s="165"/>
      <c r="AF134" s="165"/>
    </row>
    <row r="135" spans="1:32" ht="60" hidden="1">
      <c r="A135" s="165"/>
      <c r="B135" s="48"/>
      <c r="C135" s="48"/>
      <c r="D135" s="49"/>
      <c r="E135" s="49"/>
      <c r="F135" s="50"/>
      <c r="G135" s="58" t="s">
        <v>2216</v>
      </c>
      <c r="H135" s="233">
        <v>75.02</v>
      </c>
      <c r="I135" s="233">
        <v>100</v>
      </c>
      <c r="J135" s="233">
        <v>98</v>
      </c>
      <c r="K135" s="252">
        <v>150000000</v>
      </c>
      <c r="L135" s="252">
        <v>30</v>
      </c>
      <c r="M135" s="252">
        <v>150000000</v>
      </c>
      <c r="N135" s="252">
        <v>30</v>
      </c>
      <c r="O135" s="252">
        <v>150000000</v>
      </c>
      <c r="P135" s="252">
        <v>30</v>
      </c>
      <c r="Q135" s="252">
        <v>150000000</v>
      </c>
      <c r="R135" s="252">
        <v>30</v>
      </c>
      <c r="S135" s="252">
        <v>150000000</v>
      </c>
      <c r="T135" s="252">
        <v>30</v>
      </c>
      <c r="U135" s="252">
        <v>150000000</v>
      </c>
      <c r="V135" s="52"/>
      <c r="W135" s="52"/>
      <c r="X135" s="52"/>
      <c r="Y135" s="165"/>
      <c r="Z135" s="165"/>
      <c r="AA135" s="165"/>
      <c r="AB135" s="165"/>
      <c r="AC135" s="165"/>
      <c r="AD135" s="165"/>
      <c r="AE135" s="165"/>
      <c r="AF135" s="165"/>
    </row>
    <row r="136" spans="1:32" ht="45" hidden="1">
      <c r="A136" s="165"/>
      <c r="B136" s="48"/>
      <c r="C136" s="48"/>
      <c r="D136" s="49"/>
      <c r="E136" s="49"/>
      <c r="F136" s="50"/>
      <c r="G136" s="58" t="s">
        <v>2217</v>
      </c>
      <c r="H136" s="233">
        <v>34.78</v>
      </c>
      <c r="I136" s="233">
        <v>100</v>
      </c>
      <c r="J136" s="233">
        <v>98</v>
      </c>
      <c r="K136" s="252">
        <v>75000000</v>
      </c>
      <c r="L136" s="252">
        <f>3*6*3</f>
        <v>54</v>
      </c>
      <c r="M136" s="252">
        <v>75000000</v>
      </c>
      <c r="N136" s="252">
        <v>54</v>
      </c>
      <c r="O136" s="252">
        <v>75000000</v>
      </c>
      <c r="P136" s="252">
        <v>54</v>
      </c>
      <c r="Q136" s="252">
        <v>75000000</v>
      </c>
      <c r="R136" s="252">
        <v>54</v>
      </c>
      <c r="S136" s="252">
        <v>75000000</v>
      </c>
      <c r="T136" s="252">
        <v>54</v>
      </c>
      <c r="U136" s="252">
        <v>75000000</v>
      </c>
      <c r="V136" s="52"/>
      <c r="W136" s="52"/>
      <c r="X136" s="52"/>
      <c r="Y136" s="165"/>
      <c r="Z136" s="165"/>
      <c r="AA136" s="165"/>
      <c r="AB136" s="165"/>
      <c r="AC136" s="165"/>
      <c r="AD136" s="165"/>
      <c r="AE136" s="165"/>
      <c r="AF136" s="165"/>
    </row>
    <row r="137" spans="1:32" ht="45" hidden="1">
      <c r="A137" s="165"/>
      <c r="B137" s="48"/>
      <c r="C137" s="48"/>
      <c r="D137" s="49"/>
      <c r="E137" s="49"/>
      <c r="F137" s="50"/>
      <c r="G137" s="58" t="s">
        <v>2218</v>
      </c>
      <c r="H137" s="233">
        <v>100</v>
      </c>
      <c r="I137" s="233">
        <v>100</v>
      </c>
      <c r="J137" s="233">
        <v>97</v>
      </c>
      <c r="K137" s="252">
        <v>40000000</v>
      </c>
      <c r="L137" s="252">
        <v>4</v>
      </c>
      <c r="M137" s="252">
        <v>80000000</v>
      </c>
      <c r="N137" s="252">
        <v>4</v>
      </c>
      <c r="O137" s="252">
        <v>80000000</v>
      </c>
      <c r="P137" s="252">
        <v>4</v>
      </c>
      <c r="Q137" s="252">
        <v>80000000</v>
      </c>
      <c r="R137" s="252">
        <v>4</v>
      </c>
      <c r="S137" s="252">
        <v>80000000</v>
      </c>
      <c r="T137" s="252">
        <v>4</v>
      </c>
      <c r="U137" s="252">
        <v>80000000</v>
      </c>
      <c r="V137" s="52"/>
      <c r="W137" s="52"/>
      <c r="X137" s="52"/>
      <c r="Y137" s="165"/>
      <c r="Z137" s="165"/>
      <c r="AA137" s="165"/>
      <c r="AB137" s="165"/>
      <c r="AC137" s="165"/>
      <c r="AD137" s="165"/>
      <c r="AE137" s="165"/>
      <c r="AF137" s="165"/>
    </row>
    <row r="138" spans="1:32" ht="45" hidden="1">
      <c r="A138" s="165"/>
      <c r="B138" s="48"/>
      <c r="C138" s="48"/>
      <c r="D138" s="49"/>
      <c r="E138" s="49"/>
      <c r="F138" s="50"/>
      <c r="G138" s="58" t="s">
        <v>2219</v>
      </c>
      <c r="H138" s="233">
        <v>0</v>
      </c>
      <c r="I138" s="233">
        <v>100</v>
      </c>
      <c r="J138" s="233">
        <v>97</v>
      </c>
      <c r="K138" s="252">
        <v>25000000</v>
      </c>
      <c r="L138" s="252">
        <v>2</v>
      </c>
      <c r="M138" s="252">
        <v>100000000</v>
      </c>
      <c r="N138" s="252">
        <v>2</v>
      </c>
      <c r="O138" s="252">
        <v>50000000</v>
      </c>
      <c r="P138" s="252">
        <v>2</v>
      </c>
      <c r="Q138" s="252">
        <v>50000000</v>
      </c>
      <c r="R138" s="252">
        <v>2</v>
      </c>
      <c r="S138" s="252">
        <v>50000000</v>
      </c>
      <c r="T138" s="252">
        <v>2</v>
      </c>
      <c r="U138" s="252">
        <v>50000000</v>
      </c>
      <c r="V138" s="52"/>
      <c r="W138" s="52"/>
      <c r="X138" s="52"/>
      <c r="Y138" s="165"/>
      <c r="Z138" s="165"/>
      <c r="AA138" s="165"/>
      <c r="AB138" s="165"/>
      <c r="AC138" s="165"/>
      <c r="AD138" s="165"/>
      <c r="AE138" s="165"/>
      <c r="AF138" s="165"/>
    </row>
    <row r="139" spans="1:32" ht="45" hidden="1">
      <c r="A139" s="165"/>
      <c r="B139" s="48"/>
      <c r="C139" s="48"/>
      <c r="D139" s="49"/>
      <c r="E139" s="49"/>
      <c r="F139" s="50"/>
      <c r="G139" s="58" t="s">
        <v>2220</v>
      </c>
      <c r="H139" s="233">
        <v>100</v>
      </c>
      <c r="I139" s="233">
        <v>100</v>
      </c>
      <c r="J139" s="233">
        <v>98</v>
      </c>
      <c r="K139" s="252">
        <v>22500000</v>
      </c>
      <c r="L139" s="252">
        <v>3</v>
      </c>
      <c r="M139" s="252">
        <v>37500000</v>
      </c>
      <c r="N139" s="252">
        <v>3</v>
      </c>
      <c r="O139" s="252">
        <v>37500000</v>
      </c>
      <c r="P139" s="252">
        <v>3</v>
      </c>
      <c r="Q139" s="252">
        <v>37500000</v>
      </c>
      <c r="R139" s="252">
        <v>3</v>
      </c>
      <c r="S139" s="252">
        <v>37500000</v>
      </c>
      <c r="T139" s="252">
        <v>3</v>
      </c>
      <c r="U139" s="252">
        <v>37500000</v>
      </c>
      <c r="V139" s="52"/>
      <c r="W139" s="52"/>
      <c r="X139" s="52"/>
      <c r="Y139" s="165"/>
      <c r="Z139" s="165"/>
      <c r="AA139" s="165"/>
      <c r="AB139" s="165"/>
      <c r="AC139" s="165"/>
      <c r="AD139" s="165"/>
      <c r="AE139" s="165"/>
      <c r="AF139" s="165"/>
    </row>
    <row r="140" spans="1:32" ht="60" hidden="1">
      <c r="A140" s="165"/>
      <c r="B140" s="48"/>
      <c r="C140" s="48"/>
      <c r="D140" s="49"/>
      <c r="E140" s="49"/>
      <c r="F140" s="50"/>
      <c r="G140" s="58" t="s">
        <v>2223</v>
      </c>
      <c r="H140" s="233">
        <v>100</v>
      </c>
      <c r="I140" s="233">
        <v>100</v>
      </c>
      <c r="J140" s="233">
        <v>98</v>
      </c>
      <c r="K140" s="252">
        <v>20000000</v>
      </c>
      <c r="L140" s="252">
        <v>2</v>
      </c>
      <c r="M140" s="252">
        <v>40000000</v>
      </c>
      <c r="N140" s="252">
        <v>2</v>
      </c>
      <c r="O140" s="252">
        <v>40000000</v>
      </c>
      <c r="P140" s="252">
        <v>2</v>
      </c>
      <c r="Q140" s="252">
        <v>40000000</v>
      </c>
      <c r="R140" s="252">
        <v>2</v>
      </c>
      <c r="S140" s="252">
        <v>40000000</v>
      </c>
      <c r="T140" s="252">
        <v>2</v>
      </c>
      <c r="U140" s="252">
        <v>40000000</v>
      </c>
      <c r="V140" s="52"/>
      <c r="W140" s="52"/>
      <c r="X140" s="52"/>
      <c r="Y140" s="165"/>
      <c r="Z140" s="165"/>
      <c r="AA140" s="165"/>
      <c r="AB140" s="165"/>
      <c r="AC140" s="165"/>
      <c r="AD140" s="165"/>
      <c r="AE140" s="165"/>
      <c r="AF140" s="165"/>
    </row>
    <row r="141" spans="1:32" ht="45" hidden="1">
      <c r="A141" s="165"/>
      <c r="B141" s="48"/>
      <c r="C141" s="48"/>
      <c r="D141" s="49"/>
      <c r="E141" s="49"/>
      <c r="F141" s="50"/>
      <c r="G141" s="58" t="s">
        <v>2224</v>
      </c>
      <c r="H141" s="233">
        <v>100</v>
      </c>
      <c r="I141" s="233">
        <v>100</v>
      </c>
      <c r="J141" s="233">
        <v>99</v>
      </c>
      <c r="K141" s="252">
        <v>15000000</v>
      </c>
      <c r="L141" s="252">
        <v>4</v>
      </c>
      <c r="M141" s="252">
        <v>14445000</v>
      </c>
      <c r="N141" s="252">
        <v>4</v>
      </c>
      <c r="O141" s="252">
        <v>15000000</v>
      </c>
      <c r="P141" s="252">
        <v>4</v>
      </c>
      <c r="Q141" s="252">
        <v>15000000</v>
      </c>
      <c r="R141" s="252">
        <v>4</v>
      </c>
      <c r="S141" s="252">
        <v>15000000</v>
      </c>
      <c r="T141" s="252">
        <v>4</v>
      </c>
      <c r="U141" s="252">
        <v>15000000</v>
      </c>
      <c r="V141" s="52"/>
      <c r="W141" s="52"/>
      <c r="X141" s="52"/>
      <c r="Y141" s="165"/>
      <c r="Z141" s="165"/>
      <c r="AA141" s="165"/>
      <c r="AB141" s="165"/>
      <c r="AC141" s="165"/>
      <c r="AD141" s="165"/>
      <c r="AE141" s="165"/>
      <c r="AF141" s="165"/>
    </row>
    <row r="142" spans="1:32" ht="45" hidden="1">
      <c r="A142" s="165"/>
      <c r="B142" s="48"/>
      <c r="C142" s="48"/>
      <c r="D142" s="49"/>
      <c r="E142" s="49"/>
      <c r="F142" s="50"/>
      <c r="G142" s="58" t="s">
        <v>2225</v>
      </c>
      <c r="H142" s="233">
        <v>0</v>
      </c>
      <c r="I142" s="233">
        <v>0</v>
      </c>
      <c r="J142" s="233">
        <v>0</v>
      </c>
      <c r="K142" s="252">
        <v>0</v>
      </c>
      <c r="L142" s="252">
        <v>1</v>
      </c>
      <c r="M142" s="252">
        <v>50000000</v>
      </c>
      <c r="N142" s="252">
        <v>1</v>
      </c>
      <c r="O142" s="252">
        <v>50000000</v>
      </c>
      <c r="P142" s="252">
        <v>1</v>
      </c>
      <c r="Q142" s="252">
        <v>50000000</v>
      </c>
      <c r="R142" s="252">
        <v>1</v>
      </c>
      <c r="S142" s="252">
        <v>50000000</v>
      </c>
      <c r="T142" s="252">
        <v>1</v>
      </c>
      <c r="U142" s="252">
        <v>50000000</v>
      </c>
      <c r="V142" s="52"/>
      <c r="W142" s="52"/>
      <c r="X142" s="52"/>
      <c r="Y142" s="165"/>
      <c r="Z142" s="165"/>
      <c r="AA142" s="165"/>
      <c r="AB142" s="165"/>
      <c r="AC142" s="165"/>
      <c r="AD142" s="165"/>
      <c r="AE142" s="165"/>
      <c r="AF142" s="165"/>
    </row>
    <row r="143" spans="1:32" ht="105" hidden="1">
      <c r="A143" s="165"/>
      <c r="B143" s="48"/>
      <c r="C143" s="48"/>
      <c r="D143" s="49"/>
      <c r="E143" s="49"/>
      <c r="F143" s="50"/>
      <c r="G143" s="58" t="s">
        <v>2226</v>
      </c>
      <c r="H143" s="233">
        <v>70.25</v>
      </c>
      <c r="I143" s="233">
        <v>100</v>
      </c>
      <c r="J143" s="233">
        <v>97</v>
      </c>
      <c r="K143" s="252">
        <v>100000000</v>
      </c>
      <c r="L143" s="252">
        <v>10</v>
      </c>
      <c r="M143" s="252">
        <v>100000000</v>
      </c>
      <c r="N143" s="252">
        <v>10</v>
      </c>
      <c r="O143" s="252">
        <v>100000000</v>
      </c>
      <c r="P143" s="252">
        <v>10</v>
      </c>
      <c r="Q143" s="252">
        <v>100000000</v>
      </c>
      <c r="R143" s="252">
        <v>10</v>
      </c>
      <c r="S143" s="252">
        <v>100000000</v>
      </c>
      <c r="T143" s="252">
        <v>10</v>
      </c>
      <c r="U143" s="252">
        <v>100000000</v>
      </c>
      <c r="V143" s="52"/>
      <c r="W143" s="52"/>
      <c r="X143" s="52"/>
      <c r="Y143" s="165"/>
      <c r="Z143" s="165"/>
      <c r="AA143" s="165"/>
      <c r="AB143" s="165"/>
      <c r="AC143" s="165"/>
      <c r="AD143" s="165"/>
      <c r="AE143" s="165"/>
      <c r="AF143" s="165"/>
    </row>
    <row r="144" spans="1:32" ht="75" hidden="1">
      <c r="A144" s="165"/>
      <c r="B144" s="48"/>
      <c r="C144" s="48"/>
      <c r="D144" s="49"/>
      <c r="E144" s="49"/>
      <c r="F144" s="50"/>
      <c r="G144" s="58" t="s">
        <v>2227</v>
      </c>
      <c r="H144" s="233">
        <v>99.06</v>
      </c>
      <c r="I144" s="233">
        <v>100</v>
      </c>
      <c r="J144" s="233">
        <v>98</v>
      </c>
      <c r="K144" s="252">
        <v>300000000</v>
      </c>
      <c r="L144" s="252">
        <v>5177</v>
      </c>
      <c r="M144" s="252">
        <v>300000000</v>
      </c>
      <c r="N144" s="252">
        <v>5177</v>
      </c>
      <c r="O144" s="252">
        <v>300000000</v>
      </c>
      <c r="P144" s="252">
        <v>5177</v>
      </c>
      <c r="Q144" s="252">
        <v>300000000</v>
      </c>
      <c r="R144" s="252">
        <v>5177</v>
      </c>
      <c r="S144" s="252">
        <v>300000000</v>
      </c>
      <c r="T144" s="252">
        <v>5177</v>
      </c>
      <c r="U144" s="252">
        <v>300000000</v>
      </c>
      <c r="V144" s="52"/>
      <c r="W144" s="52"/>
      <c r="X144" s="52"/>
      <c r="Y144" s="165"/>
      <c r="Z144" s="165"/>
      <c r="AA144" s="165"/>
      <c r="AB144" s="165"/>
      <c r="AC144" s="165"/>
      <c r="AD144" s="165"/>
      <c r="AE144" s="165"/>
      <c r="AF144" s="165"/>
    </row>
    <row r="145" spans="1:32" ht="45" hidden="1">
      <c r="A145" s="165"/>
      <c r="B145" s="48"/>
      <c r="C145" s="48"/>
      <c r="D145" s="49"/>
      <c r="E145" s="49"/>
      <c r="F145" s="50"/>
      <c r="G145" s="58" t="s">
        <v>1321</v>
      </c>
      <c r="H145" s="233">
        <v>95.31</v>
      </c>
      <c r="I145" s="233">
        <v>96.59</v>
      </c>
      <c r="J145" s="233">
        <v>96.59</v>
      </c>
      <c r="K145" s="233"/>
      <c r="L145" s="162">
        <f>J145+0.78</f>
        <v>97.37</v>
      </c>
      <c r="M145" s="52"/>
      <c r="N145" s="162">
        <f>L145+0.78</f>
        <v>98.15</v>
      </c>
      <c r="O145" s="52"/>
      <c r="P145" s="162">
        <f>N145+0.78</f>
        <v>98.93</v>
      </c>
      <c r="Q145" s="52"/>
      <c r="R145" s="162">
        <f>P145+0.78</f>
        <v>99.710000000000008</v>
      </c>
      <c r="S145" s="52"/>
      <c r="T145" s="162">
        <f>R145+0.78</f>
        <v>100.49000000000001</v>
      </c>
      <c r="U145" s="52"/>
      <c r="V145" s="52"/>
      <c r="W145" s="52"/>
      <c r="X145" s="52"/>
      <c r="Y145" s="165"/>
      <c r="Z145" s="165"/>
      <c r="AA145" s="165"/>
      <c r="AB145" s="165"/>
      <c r="AC145" s="165"/>
      <c r="AD145" s="165"/>
      <c r="AE145" s="165"/>
      <c r="AF145" s="165"/>
    </row>
    <row r="146" spans="1:32" ht="45" hidden="1">
      <c r="A146" s="165"/>
      <c r="B146" s="48"/>
      <c r="C146" s="48"/>
      <c r="D146" s="49"/>
      <c r="E146" s="49"/>
      <c r="F146" s="50"/>
      <c r="G146" s="58" t="s">
        <v>1323</v>
      </c>
      <c r="H146" s="233">
        <v>98.107255520504737</v>
      </c>
      <c r="I146" s="233">
        <v>96.59</v>
      </c>
      <c r="J146" s="233">
        <f>H146+0.64</f>
        <v>98.747255520504737</v>
      </c>
      <c r="K146" s="233"/>
      <c r="L146" s="233">
        <f>J146+0.64</f>
        <v>99.387255520504738</v>
      </c>
      <c r="M146" s="252"/>
      <c r="N146" s="233">
        <v>100</v>
      </c>
      <c r="O146" s="252"/>
      <c r="P146" s="233">
        <v>99.387255520504738</v>
      </c>
      <c r="Q146" s="252"/>
      <c r="R146" s="233">
        <v>99.387255520504738</v>
      </c>
      <c r="S146" s="252"/>
      <c r="T146" s="233">
        <v>99.387255520504738</v>
      </c>
      <c r="U146" s="252"/>
      <c r="V146" s="52"/>
      <c r="W146" s="52"/>
      <c r="X146" s="52"/>
      <c r="Y146" s="165"/>
      <c r="Z146" s="165"/>
      <c r="AA146" s="165"/>
      <c r="AB146" s="165"/>
      <c r="AC146" s="165"/>
      <c r="AD146" s="165"/>
      <c r="AE146" s="165"/>
      <c r="AF146" s="165"/>
    </row>
    <row r="147" spans="1:32" ht="75" hidden="1">
      <c r="A147" s="165"/>
      <c r="B147" s="48"/>
      <c r="C147" s="48"/>
      <c r="D147" s="49"/>
      <c r="E147" s="49"/>
      <c r="F147" s="50"/>
      <c r="G147" s="58" t="s">
        <v>1325</v>
      </c>
      <c r="H147" s="233">
        <v>80</v>
      </c>
      <c r="I147" s="233">
        <v>85</v>
      </c>
      <c r="J147" s="233">
        <v>74.069999999999993</v>
      </c>
      <c r="K147" s="233"/>
      <c r="L147" s="233">
        <f>J147+7.4</f>
        <v>81.47</v>
      </c>
      <c r="M147" s="252"/>
      <c r="N147" s="233">
        <f>L147+7.4</f>
        <v>88.87</v>
      </c>
      <c r="O147" s="252"/>
      <c r="P147" s="233">
        <f>N147+7.4</f>
        <v>96.27000000000001</v>
      </c>
      <c r="Q147" s="252"/>
      <c r="R147" s="233">
        <f>P147</f>
        <v>96.27000000000001</v>
      </c>
      <c r="S147" s="252"/>
      <c r="T147" s="233">
        <f>R147</f>
        <v>96.27000000000001</v>
      </c>
      <c r="U147" s="252"/>
      <c r="V147" s="52"/>
      <c r="W147" s="52"/>
      <c r="X147" s="52"/>
      <c r="Y147" s="165"/>
      <c r="Z147" s="165"/>
      <c r="AA147" s="165"/>
      <c r="AB147" s="165"/>
      <c r="AC147" s="165"/>
      <c r="AD147" s="165"/>
      <c r="AE147" s="165"/>
      <c r="AF147" s="165"/>
    </row>
    <row r="148" spans="1:32" ht="75" hidden="1">
      <c r="A148" s="165"/>
      <c r="B148" s="48"/>
      <c r="C148" s="48"/>
      <c r="D148" s="49"/>
      <c r="E148" s="49"/>
      <c r="F148" s="50"/>
      <c r="G148" s="58" t="s">
        <v>1327</v>
      </c>
      <c r="H148" s="233">
        <v>80</v>
      </c>
      <c r="I148" s="233">
        <v>85</v>
      </c>
      <c r="J148" s="233">
        <f>18/22*100</f>
        <v>81.818181818181827</v>
      </c>
      <c r="K148" s="233"/>
      <c r="L148" s="233">
        <f>J148+4.55</f>
        <v>86.368181818181824</v>
      </c>
      <c r="M148" s="252"/>
      <c r="N148" s="233">
        <f>L148+4.55</f>
        <v>90.918181818181822</v>
      </c>
      <c r="O148" s="252"/>
      <c r="P148" s="233">
        <f>N148+4.55</f>
        <v>95.468181818181819</v>
      </c>
      <c r="Q148" s="252"/>
      <c r="R148" s="233">
        <f>P148</f>
        <v>95.468181818181819</v>
      </c>
      <c r="S148" s="252"/>
      <c r="T148" s="233">
        <f>R148</f>
        <v>95.468181818181819</v>
      </c>
      <c r="U148" s="252"/>
      <c r="V148" s="52"/>
      <c r="W148" s="52"/>
      <c r="X148" s="52"/>
      <c r="Y148" s="165"/>
      <c r="Z148" s="165"/>
      <c r="AA148" s="165"/>
      <c r="AB148" s="165"/>
      <c r="AC148" s="165"/>
      <c r="AD148" s="165"/>
      <c r="AE148" s="165"/>
      <c r="AF148" s="165"/>
    </row>
    <row r="149" spans="1:32" ht="90" hidden="1">
      <c r="A149" s="165"/>
      <c r="B149" s="48"/>
      <c r="C149" s="48"/>
      <c r="D149" s="49"/>
      <c r="E149" s="49"/>
      <c r="F149" s="50"/>
      <c r="G149" s="58" t="s">
        <v>2296</v>
      </c>
      <c r="H149" s="233">
        <v>100</v>
      </c>
      <c r="I149" s="233">
        <v>100</v>
      </c>
      <c r="J149" s="233">
        <v>97</v>
      </c>
      <c r="K149" s="252">
        <v>140000000</v>
      </c>
      <c r="L149" s="252">
        <v>1</v>
      </c>
      <c r="M149" s="252">
        <v>140000000</v>
      </c>
      <c r="N149" s="252">
        <v>1</v>
      </c>
      <c r="O149" s="252">
        <v>140000000</v>
      </c>
      <c r="P149" s="252">
        <v>1</v>
      </c>
      <c r="Q149" s="252">
        <v>140000000</v>
      </c>
      <c r="R149" s="252">
        <v>1</v>
      </c>
      <c r="S149" s="252">
        <v>140000000</v>
      </c>
      <c r="T149" s="252">
        <v>1</v>
      </c>
      <c r="U149" s="252">
        <v>140000000</v>
      </c>
      <c r="V149" s="52"/>
      <c r="W149" s="52"/>
      <c r="X149" s="52"/>
      <c r="Y149" s="165"/>
      <c r="Z149" s="165"/>
      <c r="AA149" s="165"/>
      <c r="AB149" s="165"/>
      <c r="AC149" s="165"/>
      <c r="AD149" s="165"/>
      <c r="AE149" s="165"/>
      <c r="AF149" s="165"/>
    </row>
    <row r="150" spans="1:32" ht="45" hidden="1">
      <c r="A150" s="165"/>
      <c r="B150" s="48"/>
      <c r="C150" s="48"/>
      <c r="D150" s="49"/>
      <c r="E150" s="49"/>
      <c r="F150" s="50"/>
      <c r="G150" s="58" t="s">
        <v>2297</v>
      </c>
      <c r="H150" s="233">
        <v>100</v>
      </c>
      <c r="I150" s="233">
        <v>100</v>
      </c>
      <c r="J150" s="233">
        <v>97</v>
      </c>
      <c r="K150" s="252">
        <v>140000000</v>
      </c>
      <c r="L150" s="252">
        <v>1</v>
      </c>
      <c r="M150" s="252">
        <v>150000000</v>
      </c>
      <c r="N150" s="252">
        <v>1</v>
      </c>
      <c r="O150" s="252">
        <v>150000000</v>
      </c>
      <c r="P150" s="252">
        <v>1</v>
      </c>
      <c r="Q150" s="252">
        <v>150000000</v>
      </c>
      <c r="R150" s="252">
        <v>1</v>
      </c>
      <c r="S150" s="252">
        <v>150000000</v>
      </c>
      <c r="T150" s="252">
        <v>1</v>
      </c>
      <c r="U150" s="252">
        <v>150000000</v>
      </c>
      <c r="V150" s="52"/>
      <c r="W150" s="52"/>
      <c r="X150" s="52"/>
      <c r="Y150" s="165"/>
      <c r="Z150" s="165"/>
      <c r="AA150" s="165"/>
      <c r="AB150" s="165"/>
      <c r="AC150" s="165"/>
      <c r="AD150" s="165"/>
      <c r="AE150" s="165"/>
      <c r="AF150" s="165"/>
    </row>
    <row r="151" spans="1:32" ht="60" hidden="1">
      <c r="A151" s="165"/>
      <c r="B151" s="48"/>
      <c r="C151" s="48"/>
      <c r="D151" s="49"/>
      <c r="E151" s="49"/>
      <c r="F151" s="50"/>
      <c r="G151" s="58" t="s">
        <v>2298</v>
      </c>
      <c r="H151" s="233">
        <v>100</v>
      </c>
      <c r="I151" s="233">
        <v>100</v>
      </c>
      <c r="J151" s="233">
        <v>96</v>
      </c>
      <c r="K151" s="252">
        <v>320000000</v>
      </c>
      <c r="L151" s="252">
        <v>3</v>
      </c>
      <c r="M151" s="252">
        <v>300000000</v>
      </c>
      <c r="N151" s="252">
        <v>2</v>
      </c>
      <c r="O151" s="252">
        <v>200000000</v>
      </c>
      <c r="P151" s="252">
        <v>2</v>
      </c>
      <c r="Q151" s="252">
        <v>200000000</v>
      </c>
      <c r="R151" s="252">
        <v>2</v>
      </c>
      <c r="S151" s="252">
        <v>200000000</v>
      </c>
      <c r="T151" s="252">
        <v>2</v>
      </c>
      <c r="U151" s="252">
        <v>200000000</v>
      </c>
      <c r="V151" s="52"/>
      <c r="W151" s="52"/>
      <c r="X151" s="52"/>
      <c r="Y151" s="165"/>
      <c r="Z151" s="165"/>
      <c r="AA151" s="165"/>
      <c r="AB151" s="165"/>
      <c r="AC151" s="165"/>
      <c r="AD151" s="165"/>
      <c r="AE151" s="165"/>
      <c r="AF151" s="165"/>
    </row>
    <row r="152" spans="1:32" ht="60" hidden="1">
      <c r="A152" s="165"/>
      <c r="B152" s="48"/>
      <c r="C152" s="48"/>
      <c r="D152" s="49"/>
      <c r="E152" s="49"/>
      <c r="F152" s="50"/>
      <c r="G152" s="58" t="s">
        <v>2299</v>
      </c>
      <c r="H152" s="233">
        <v>0</v>
      </c>
      <c r="I152" s="233">
        <v>100</v>
      </c>
      <c r="J152" s="233">
        <v>95</v>
      </c>
      <c r="K152" s="252">
        <v>719900000</v>
      </c>
      <c r="L152" s="252">
        <v>0</v>
      </c>
      <c r="M152" s="252">
        <f>L152*100000000</f>
        <v>0</v>
      </c>
      <c r="N152" s="252">
        <v>2</v>
      </c>
      <c r="O152" s="252">
        <f>N152*100000000</f>
        <v>200000000</v>
      </c>
      <c r="P152" s="252">
        <v>1</v>
      </c>
      <c r="Q152" s="252">
        <f>P152*100000000</f>
        <v>100000000</v>
      </c>
      <c r="R152" s="252">
        <v>2</v>
      </c>
      <c r="S152" s="252">
        <f>R152*100000000</f>
        <v>200000000</v>
      </c>
      <c r="T152" s="252">
        <v>2</v>
      </c>
      <c r="U152" s="252">
        <f>T152*100000000</f>
        <v>200000000</v>
      </c>
      <c r="V152" s="52"/>
      <c r="W152" s="52"/>
      <c r="X152" s="52"/>
      <c r="Y152" s="165"/>
      <c r="Z152" s="165"/>
      <c r="AA152" s="165"/>
      <c r="AB152" s="165"/>
      <c r="AC152" s="165"/>
      <c r="AD152" s="165"/>
      <c r="AE152" s="165"/>
      <c r="AF152" s="165"/>
    </row>
    <row r="153" spans="1:32" ht="30" hidden="1">
      <c r="A153" s="165"/>
      <c r="B153" s="48"/>
      <c r="C153" s="48"/>
      <c r="D153" s="49"/>
      <c r="E153" s="49"/>
      <c r="F153" s="50"/>
      <c r="G153" s="58" t="s">
        <v>2300</v>
      </c>
      <c r="H153" s="233">
        <v>85.76</v>
      </c>
      <c r="I153" s="233">
        <v>100</v>
      </c>
      <c r="J153" s="233">
        <v>95</v>
      </c>
      <c r="K153" s="252">
        <v>65837000</v>
      </c>
      <c r="L153" s="252">
        <v>1</v>
      </c>
      <c r="M153" s="252">
        <v>60420000</v>
      </c>
      <c r="N153" s="252">
        <v>1</v>
      </c>
      <c r="O153" s="252">
        <v>60500000</v>
      </c>
      <c r="P153" s="252">
        <v>1</v>
      </c>
      <c r="Q153" s="252">
        <v>60500000</v>
      </c>
      <c r="R153" s="252">
        <v>1</v>
      </c>
      <c r="S153" s="252">
        <v>60500000</v>
      </c>
      <c r="T153" s="252">
        <v>1</v>
      </c>
      <c r="U153" s="252">
        <v>60500000</v>
      </c>
      <c r="V153" s="52"/>
      <c r="W153" s="52"/>
      <c r="X153" s="52"/>
      <c r="Y153" s="165"/>
      <c r="Z153" s="165"/>
      <c r="AA153" s="165"/>
      <c r="AB153" s="165"/>
      <c r="AC153" s="165"/>
      <c r="AD153" s="165"/>
      <c r="AE153" s="165"/>
      <c r="AF153" s="165"/>
    </row>
    <row r="154" spans="1:32" ht="30" hidden="1">
      <c r="A154" s="165"/>
      <c r="B154" s="48"/>
      <c r="C154" s="48"/>
      <c r="D154" s="49"/>
      <c r="E154" s="49"/>
      <c r="F154" s="50"/>
      <c r="G154" s="58" t="s">
        <v>2301</v>
      </c>
      <c r="H154" s="233">
        <v>0</v>
      </c>
      <c r="I154" s="233">
        <v>100</v>
      </c>
      <c r="J154" s="233">
        <v>95</v>
      </c>
      <c r="K154" s="252">
        <v>50000000</v>
      </c>
      <c r="L154" s="252">
        <v>6</v>
      </c>
      <c r="M154" s="252">
        <v>300000000</v>
      </c>
      <c r="N154" s="252">
        <v>6</v>
      </c>
      <c r="O154" s="252">
        <v>300000000</v>
      </c>
      <c r="P154" s="252">
        <v>6</v>
      </c>
      <c r="Q154" s="252">
        <v>300000000</v>
      </c>
      <c r="R154" s="252">
        <v>6</v>
      </c>
      <c r="S154" s="252">
        <v>300000000</v>
      </c>
      <c r="T154" s="252">
        <v>6</v>
      </c>
      <c r="U154" s="252">
        <v>300000000</v>
      </c>
      <c r="V154" s="52"/>
      <c r="W154" s="52"/>
      <c r="X154" s="52"/>
      <c r="Y154" s="165"/>
      <c r="Z154" s="165"/>
      <c r="AA154" s="165"/>
      <c r="AB154" s="165"/>
      <c r="AC154" s="165"/>
      <c r="AD154" s="165"/>
      <c r="AE154" s="165"/>
      <c r="AF154" s="165"/>
    </row>
    <row r="155" spans="1:32" ht="30" hidden="1">
      <c r="A155" s="165"/>
      <c r="B155" s="48"/>
      <c r="C155" s="48"/>
      <c r="D155" s="49"/>
      <c r="E155" s="49"/>
      <c r="F155" s="50"/>
      <c r="G155" s="58" t="s">
        <v>2302</v>
      </c>
      <c r="H155" s="233">
        <v>99.82</v>
      </c>
      <c r="I155" s="233">
        <v>100</v>
      </c>
      <c r="J155" s="233">
        <v>96</v>
      </c>
      <c r="K155" s="252">
        <v>50000000</v>
      </c>
      <c r="L155" s="252">
        <v>2</v>
      </c>
      <c r="M155" s="252">
        <v>100000000</v>
      </c>
      <c r="N155" s="252">
        <v>2</v>
      </c>
      <c r="O155" s="252">
        <v>100000000</v>
      </c>
      <c r="P155" s="252">
        <v>2</v>
      </c>
      <c r="Q155" s="252">
        <v>100000000</v>
      </c>
      <c r="R155" s="252">
        <v>2</v>
      </c>
      <c r="S155" s="252">
        <v>100000000</v>
      </c>
      <c r="T155" s="252">
        <v>2</v>
      </c>
      <c r="U155" s="252">
        <v>100000000</v>
      </c>
      <c r="V155" s="52"/>
      <c r="W155" s="52"/>
      <c r="X155" s="52"/>
      <c r="Y155" s="165"/>
      <c r="Z155" s="165"/>
      <c r="AA155" s="165"/>
      <c r="AB155" s="165"/>
      <c r="AC155" s="165"/>
      <c r="AD155" s="165"/>
      <c r="AE155" s="165"/>
      <c r="AF155" s="165"/>
    </row>
    <row r="156" spans="1:32" ht="30" hidden="1">
      <c r="A156" s="165"/>
      <c r="B156" s="48"/>
      <c r="C156" s="48"/>
      <c r="D156" s="49"/>
      <c r="E156" s="49"/>
      <c r="F156" s="50"/>
      <c r="G156" s="58" t="s">
        <v>2303</v>
      </c>
      <c r="H156" s="233"/>
      <c r="I156" s="233">
        <v>100</v>
      </c>
      <c r="J156" s="233">
        <v>99</v>
      </c>
      <c r="K156" s="252">
        <v>40000000</v>
      </c>
      <c r="L156" s="252">
        <v>2</v>
      </c>
      <c r="M156" s="252">
        <v>80000000</v>
      </c>
      <c r="N156" s="252">
        <v>2</v>
      </c>
      <c r="O156" s="252">
        <v>80000000</v>
      </c>
      <c r="P156" s="252">
        <v>2</v>
      </c>
      <c r="Q156" s="252">
        <v>80000000</v>
      </c>
      <c r="R156" s="252">
        <v>2</v>
      </c>
      <c r="S156" s="252">
        <v>80000000</v>
      </c>
      <c r="T156" s="252">
        <v>2</v>
      </c>
      <c r="U156" s="252">
        <v>80000000</v>
      </c>
      <c r="V156" s="52"/>
      <c r="W156" s="52"/>
      <c r="X156" s="52"/>
      <c r="Y156" s="165"/>
      <c r="Z156" s="165"/>
      <c r="AA156" s="165"/>
      <c r="AB156" s="165"/>
      <c r="AC156" s="165"/>
      <c r="AD156" s="165"/>
      <c r="AE156" s="165"/>
      <c r="AF156" s="165"/>
    </row>
    <row r="157" spans="1:32" ht="75" hidden="1">
      <c r="A157" s="165"/>
      <c r="B157" s="48"/>
      <c r="C157" s="48"/>
      <c r="D157" s="49"/>
      <c r="E157" s="49"/>
      <c r="F157" s="50"/>
      <c r="G157" s="58" t="s">
        <v>2304</v>
      </c>
      <c r="H157" s="233"/>
      <c r="I157" s="233">
        <v>100</v>
      </c>
      <c r="J157" s="233">
        <v>100</v>
      </c>
      <c r="K157" s="252">
        <v>11426120000</v>
      </c>
      <c r="L157" s="252">
        <v>100</v>
      </c>
      <c r="M157" s="252">
        <v>11426120000</v>
      </c>
      <c r="N157" s="252">
        <v>100</v>
      </c>
      <c r="O157" s="252">
        <v>11426120000</v>
      </c>
      <c r="P157" s="252">
        <v>100</v>
      </c>
      <c r="Q157" s="252">
        <v>11426120000</v>
      </c>
      <c r="R157" s="252">
        <v>100</v>
      </c>
      <c r="S157" s="252">
        <v>11426120000</v>
      </c>
      <c r="T157" s="252">
        <v>100</v>
      </c>
      <c r="U157" s="252">
        <v>11426120000</v>
      </c>
      <c r="V157" s="52"/>
      <c r="W157" s="52"/>
      <c r="X157" s="52"/>
      <c r="Y157" s="165"/>
      <c r="Z157" s="165"/>
      <c r="AA157" s="165"/>
      <c r="AB157" s="165"/>
      <c r="AC157" s="165"/>
      <c r="AD157" s="165"/>
      <c r="AE157" s="165"/>
      <c r="AF157" s="165"/>
    </row>
    <row r="158" spans="1:32" ht="75" hidden="1">
      <c r="A158" s="165"/>
      <c r="B158" s="48"/>
      <c r="C158" s="48"/>
      <c r="D158" s="49"/>
      <c r="E158" s="49"/>
      <c r="F158" s="50"/>
      <c r="G158" s="58" t="s">
        <v>2305</v>
      </c>
      <c r="H158" s="233"/>
      <c r="I158" s="233">
        <v>100</v>
      </c>
      <c r="J158" s="233">
        <v>100</v>
      </c>
      <c r="K158" s="252">
        <v>1470988100</v>
      </c>
      <c r="L158" s="252">
        <v>100</v>
      </c>
      <c r="M158" s="252">
        <v>1427500000</v>
      </c>
      <c r="N158" s="252">
        <v>100</v>
      </c>
      <c r="O158" s="252">
        <v>1427500000</v>
      </c>
      <c r="P158" s="252">
        <v>100</v>
      </c>
      <c r="Q158" s="252">
        <v>1427500000</v>
      </c>
      <c r="R158" s="252">
        <v>100</v>
      </c>
      <c r="S158" s="252">
        <v>1427500000</v>
      </c>
      <c r="T158" s="252">
        <v>100</v>
      </c>
      <c r="U158" s="252">
        <v>1427500000</v>
      </c>
      <c r="V158" s="52"/>
      <c r="W158" s="52"/>
      <c r="X158" s="52"/>
      <c r="Y158" s="165"/>
      <c r="Z158" s="165"/>
      <c r="AA158" s="165"/>
      <c r="AB158" s="165"/>
      <c r="AC158" s="165"/>
      <c r="AD158" s="165"/>
      <c r="AE158" s="165"/>
      <c r="AF158" s="165"/>
    </row>
    <row r="159" spans="1:32" ht="30" hidden="1">
      <c r="A159" s="165"/>
      <c r="B159" s="48"/>
      <c r="C159" s="48"/>
      <c r="D159" s="49"/>
      <c r="E159" s="49"/>
      <c r="F159" s="50"/>
      <c r="G159" s="58" t="s">
        <v>2306</v>
      </c>
      <c r="H159" s="233"/>
      <c r="I159" s="233">
        <v>100</v>
      </c>
      <c r="J159" s="233">
        <v>97</v>
      </c>
      <c r="K159" s="252">
        <v>100000000</v>
      </c>
      <c r="L159" s="252">
        <v>0</v>
      </c>
      <c r="M159" s="252">
        <v>0</v>
      </c>
      <c r="N159" s="252">
        <v>0</v>
      </c>
      <c r="O159" s="252">
        <v>0</v>
      </c>
      <c r="P159" s="252">
        <v>0</v>
      </c>
      <c r="Q159" s="252">
        <v>0</v>
      </c>
      <c r="R159" s="252">
        <v>0</v>
      </c>
      <c r="S159" s="252">
        <v>0</v>
      </c>
      <c r="T159" s="252">
        <v>0</v>
      </c>
      <c r="U159" s="252">
        <v>0</v>
      </c>
      <c r="V159" s="52"/>
      <c r="W159" s="52"/>
      <c r="X159" s="52"/>
      <c r="Y159" s="165"/>
      <c r="Z159" s="165"/>
      <c r="AA159" s="165"/>
      <c r="AB159" s="165"/>
      <c r="AC159" s="165"/>
      <c r="AD159" s="165"/>
      <c r="AE159" s="165"/>
      <c r="AF159" s="165"/>
    </row>
    <row r="160" spans="1:32" ht="45" hidden="1">
      <c r="A160" s="165"/>
      <c r="B160" s="48"/>
      <c r="C160" s="48"/>
      <c r="D160" s="49"/>
      <c r="E160" s="49"/>
      <c r="F160" s="50"/>
      <c r="G160" s="58" t="s">
        <v>2307</v>
      </c>
      <c r="H160" s="233"/>
      <c r="I160" s="233">
        <v>100</v>
      </c>
      <c r="J160" s="233">
        <v>97</v>
      </c>
      <c r="K160" s="252">
        <v>400000000</v>
      </c>
      <c r="L160" s="252">
        <v>4</v>
      </c>
      <c r="M160" s="252">
        <v>400000000</v>
      </c>
      <c r="N160" s="252">
        <v>4</v>
      </c>
      <c r="O160" s="252">
        <v>400000000</v>
      </c>
      <c r="P160" s="252">
        <v>4</v>
      </c>
      <c r="Q160" s="252">
        <v>400000000</v>
      </c>
      <c r="R160" s="252">
        <v>4</v>
      </c>
      <c r="S160" s="252">
        <v>400000000</v>
      </c>
      <c r="T160" s="252">
        <v>4</v>
      </c>
      <c r="U160" s="252">
        <v>400000000</v>
      </c>
      <c r="V160" s="52"/>
      <c r="W160" s="52"/>
      <c r="X160" s="52"/>
      <c r="Y160" s="165"/>
      <c r="Z160" s="165"/>
      <c r="AA160" s="165"/>
      <c r="AB160" s="165"/>
      <c r="AC160" s="165"/>
      <c r="AD160" s="165"/>
      <c r="AE160" s="165"/>
      <c r="AF160" s="165"/>
    </row>
    <row r="161" spans="1:32" ht="30" hidden="1">
      <c r="A161" s="165"/>
      <c r="B161" s="48"/>
      <c r="C161" s="66"/>
      <c r="D161" s="67"/>
      <c r="E161" s="67"/>
      <c r="F161" s="68"/>
      <c r="G161" s="58" t="s">
        <v>2308</v>
      </c>
      <c r="H161" s="233">
        <v>99</v>
      </c>
      <c r="I161" s="233">
        <v>100</v>
      </c>
      <c r="J161" s="233">
        <v>98</v>
      </c>
      <c r="K161" s="252">
        <v>100000000</v>
      </c>
      <c r="L161" s="252">
        <v>2</v>
      </c>
      <c r="M161" s="252">
        <v>100000000</v>
      </c>
      <c r="N161" s="252">
        <v>2</v>
      </c>
      <c r="O161" s="252">
        <v>100000000</v>
      </c>
      <c r="P161" s="252">
        <v>2</v>
      </c>
      <c r="Q161" s="252">
        <v>100000000</v>
      </c>
      <c r="R161" s="252">
        <v>2</v>
      </c>
      <c r="S161" s="252">
        <v>100000000</v>
      </c>
      <c r="T161" s="252">
        <v>2</v>
      </c>
      <c r="U161" s="252">
        <v>100000000</v>
      </c>
      <c r="V161" s="52"/>
      <c r="W161" s="52"/>
      <c r="X161" s="52"/>
      <c r="Y161" s="165"/>
      <c r="Z161" s="165"/>
      <c r="AA161" s="165"/>
      <c r="AB161" s="165"/>
      <c r="AC161" s="165"/>
      <c r="AD161" s="165"/>
      <c r="AE161" s="165"/>
      <c r="AF161" s="165"/>
    </row>
    <row r="162" spans="1:32" ht="45" hidden="1">
      <c r="A162" s="165"/>
      <c r="B162" s="48"/>
      <c r="C162" s="62">
        <f>'matrik MISI 4'!J43</f>
        <v>1.01</v>
      </c>
      <c r="D162" s="63" t="str">
        <f>'matrik MISI 4'!K43</f>
        <v>xx</v>
      </c>
      <c r="E162" s="63">
        <f>'matrik MISI 4'!L43</f>
        <v>18</v>
      </c>
      <c r="F162" s="64" t="str">
        <f>'matrik MISI 4'!M43</f>
        <v>Program Pendidikan Non Formal</v>
      </c>
      <c r="G162" s="58"/>
      <c r="H162" s="52"/>
      <c r="I162" s="52"/>
      <c r="J162" s="52"/>
      <c r="K162" s="52"/>
      <c r="L162" s="52"/>
      <c r="M162" s="52"/>
      <c r="N162" s="52"/>
      <c r="O162" s="52"/>
      <c r="P162" s="52"/>
      <c r="Q162" s="52"/>
      <c r="R162" s="52"/>
      <c r="S162" s="52"/>
      <c r="T162" s="52"/>
      <c r="U162" s="52"/>
      <c r="V162" s="52"/>
      <c r="W162" s="52"/>
      <c r="X162" s="52" t="str">
        <f>'matrik MISI 4'!X43</f>
        <v>Dinas Pendidikan</v>
      </c>
      <c r="Y162" s="165"/>
      <c r="Z162" s="165"/>
      <c r="AA162" s="165"/>
      <c r="AB162" s="165"/>
      <c r="AC162" s="165"/>
      <c r="AD162" s="165"/>
      <c r="AE162" s="165"/>
      <c r="AF162" s="165"/>
    </row>
    <row r="163" spans="1:32" ht="90" hidden="1">
      <c r="A163" s="165"/>
      <c r="B163" s="48"/>
      <c r="C163" s="62"/>
      <c r="D163" s="63"/>
      <c r="E163" s="63"/>
      <c r="F163" s="64"/>
      <c r="G163" s="58" t="s">
        <v>2153</v>
      </c>
      <c r="H163" s="252">
        <v>0</v>
      </c>
      <c r="I163" s="252">
        <v>0</v>
      </c>
      <c r="J163" s="252">
        <v>0</v>
      </c>
      <c r="K163" s="252">
        <v>0</v>
      </c>
      <c r="L163" s="252"/>
      <c r="M163" s="252"/>
      <c r="N163" s="252">
        <v>35</v>
      </c>
      <c r="O163" s="252">
        <v>10000000</v>
      </c>
      <c r="P163" s="252">
        <v>0</v>
      </c>
      <c r="Q163" s="252">
        <v>0</v>
      </c>
      <c r="R163" s="252">
        <v>0</v>
      </c>
      <c r="S163" s="252">
        <v>0</v>
      </c>
      <c r="T163" s="252">
        <v>0</v>
      </c>
      <c r="U163" s="252">
        <v>0</v>
      </c>
      <c r="V163" s="52"/>
      <c r="W163" s="52"/>
      <c r="X163" s="52"/>
      <c r="Y163" s="165"/>
      <c r="Z163" s="165"/>
      <c r="AA163" s="165"/>
      <c r="AB163" s="165"/>
      <c r="AC163" s="165"/>
      <c r="AD163" s="165"/>
      <c r="AE163" s="165"/>
      <c r="AF163" s="165"/>
    </row>
    <row r="164" spans="1:32" ht="90" hidden="1">
      <c r="A164" s="165"/>
      <c r="B164" s="48"/>
      <c r="C164" s="48"/>
      <c r="D164" s="49"/>
      <c r="E164" s="49"/>
      <c r="F164" s="50"/>
      <c r="G164" s="58" t="s">
        <v>2154</v>
      </c>
      <c r="H164" s="252">
        <v>0</v>
      </c>
      <c r="I164" s="252">
        <v>0</v>
      </c>
      <c r="J164" s="252">
        <v>0</v>
      </c>
      <c r="K164" s="252">
        <v>0</v>
      </c>
      <c r="L164" s="252"/>
      <c r="M164" s="252"/>
      <c r="N164" s="252">
        <v>50</v>
      </c>
      <c r="O164" s="252">
        <v>56250000</v>
      </c>
      <c r="P164" s="252">
        <v>50</v>
      </c>
      <c r="Q164" s="252">
        <v>56250000</v>
      </c>
      <c r="R164" s="252">
        <v>40</v>
      </c>
      <c r="S164" s="252">
        <v>40000000</v>
      </c>
      <c r="T164" s="252">
        <v>40</v>
      </c>
      <c r="U164" s="252">
        <v>40000000</v>
      </c>
      <c r="V164" s="52"/>
      <c r="W164" s="52"/>
      <c r="X164" s="52"/>
      <c r="Y164" s="165"/>
      <c r="Z164" s="165"/>
      <c r="AA164" s="165"/>
      <c r="AB164" s="165"/>
      <c r="AC164" s="165"/>
      <c r="AD164" s="165"/>
      <c r="AE164" s="165"/>
      <c r="AF164" s="165"/>
    </row>
    <row r="165" spans="1:32" ht="150" hidden="1">
      <c r="A165" s="165"/>
      <c r="B165" s="48"/>
      <c r="C165" s="48"/>
      <c r="D165" s="49"/>
      <c r="E165" s="49"/>
      <c r="F165" s="50"/>
      <c r="G165" s="401" t="s">
        <v>2155</v>
      </c>
      <c r="H165" s="252">
        <v>0</v>
      </c>
      <c r="I165" s="252">
        <v>0</v>
      </c>
      <c r="J165" s="252">
        <v>0</v>
      </c>
      <c r="K165" s="252">
        <v>0</v>
      </c>
      <c r="L165" s="252"/>
      <c r="M165" s="252"/>
      <c r="N165" s="252">
        <v>1225</v>
      </c>
      <c r="O165" s="252">
        <v>49000000</v>
      </c>
      <c r="P165" s="252">
        <v>1225</v>
      </c>
      <c r="Q165" s="252">
        <v>49000000</v>
      </c>
      <c r="R165" s="252">
        <v>1000</v>
      </c>
      <c r="S165" s="252">
        <v>40000000</v>
      </c>
      <c r="T165" s="252">
        <v>1000</v>
      </c>
      <c r="U165" s="252">
        <v>40000000</v>
      </c>
      <c r="V165" s="52"/>
      <c r="W165" s="52"/>
      <c r="X165" s="52"/>
      <c r="Y165" s="165"/>
      <c r="Z165" s="165"/>
      <c r="AA165" s="165"/>
      <c r="AB165" s="165"/>
      <c r="AC165" s="165"/>
      <c r="AD165" s="165"/>
      <c r="AE165" s="165"/>
      <c r="AF165" s="165"/>
    </row>
    <row r="166" spans="1:32" ht="45" hidden="1">
      <c r="A166" s="165"/>
      <c r="B166" s="48"/>
      <c r="C166" s="48"/>
      <c r="D166" s="49"/>
      <c r="E166" s="49"/>
      <c r="F166" s="50"/>
      <c r="G166" s="58" t="s">
        <v>2178</v>
      </c>
      <c r="H166" s="233">
        <v>97.82</v>
      </c>
      <c r="I166" s="233">
        <v>98.72</v>
      </c>
      <c r="J166" s="233">
        <v>97.9</v>
      </c>
      <c r="K166" s="52"/>
      <c r="L166" s="233">
        <v>98.09</v>
      </c>
      <c r="M166" s="52"/>
      <c r="N166" s="233">
        <v>98.36</v>
      </c>
      <c r="O166" s="52"/>
      <c r="P166" s="233">
        <v>98.63</v>
      </c>
      <c r="Q166" s="52"/>
      <c r="R166" s="233">
        <v>98.7</v>
      </c>
      <c r="S166" s="52"/>
      <c r="T166" s="233">
        <v>98.7</v>
      </c>
      <c r="U166" s="52"/>
      <c r="V166" s="52"/>
      <c r="W166" s="52"/>
      <c r="X166" s="52"/>
      <c r="Y166" s="165"/>
      <c r="Z166" s="165"/>
      <c r="AA166" s="165"/>
      <c r="AB166" s="165"/>
      <c r="AC166" s="165"/>
      <c r="AD166" s="165"/>
      <c r="AE166" s="165"/>
      <c r="AF166" s="165"/>
    </row>
    <row r="167" spans="1:32" ht="30" hidden="1">
      <c r="A167" s="165"/>
      <c r="B167" s="48"/>
      <c r="C167" s="48"/>
      <c r="D167" s="49"/>
      <c r="E167" s="49"/>
      <c r="F167" s="50"/>
      <c r="G167" s="58" t="s">
        <v>1175</v>
      </c>
      <c r="H167" s="233">
        <v>7.1</v>
      </c>
      <c r="I167" s="233">
        <v>7.1</v>
      </c>
      <c r="J167" s="233">
        <v>7.1</v>
      </c>
      <c r="K167" s="252"/>
      <c r="L167" s="233">
        <v>7.11</v>
      </c>
      <c r="M167" s="252"/>
      <c r="N167" s="233">
        <v>7.13</v>
      </c>
      <c r="O167" s="252"/>
      <c r="P167" s="233">
        <v>7.15</v>
      </c>
      <c r="Q167" s="252"/>
      <c r="R167" s="233">
        <v>7.17</v>
      </c>
      <c r="S167" s="252"/>
      <c r="T167" s="233">
        <v>7.17</v>
      </c>
      <c r="U167" s="252"/>
      <c r="V167" s="52"/>
      <c r="W167" s="52"/>
      <c r="X167" s="52"/>
      <c r="Y167" s="165"/>
      <c r="Z167" s="165"/>
      <c r="AA167" s="165"/>
      <c r="AB167" s="165"/>
      <c r="AC167" s="165"/>
      <c r="AD167" s="165"/>
      <c r="AE167" s="165"/>
      <c r="AF167" s="165"/>
    </row>
    <row r="168" spans="1:32" ht="105" hidden="1">
      <c r="A168" s="165"/>
      <c r="B168" s="48"/>
      <c r="C168" s="48"/>
      <c r="D168" s="49"/>
      <c r="E168" s="49"/>
      <c r="F168" s="50"/>
      <c r="G168" s="58" t="s">
        <v>2011</v>
      </c>
      <c r="H168" s="233">
        <v>5</v>
      </c>
      <c r="I168" s="233">
        <v>3</v>
      </c>
      <c r="J168" s="233">
        <v>4</v>
      </c>
      <c r="K168" s="252"/>
      <c r="L168" s="233">
        <v>5</v>
      </c>
      <c r="M168" s="252"/>
      <c r="N168" s="233">
        <v>4</v>
      </c>
      <c r="O168" s="252"/>
      <c r="P168" s="233">
        <v>3</v>
      </c>
      <c r="Q168" s="252"/>
      <c r="R168" s="233">
        <v>2</v>
      </c>
      <c r="S168" s="252"/>
      <c r="T168" s="233">
        <v>2</v>
      </c>
      <c r="U168" s="252"/>
      <c r="V168" s="52"/>
      <c r="W168" s="52"/>
      <c r="X168" s="52"/>
      <c r="Y168" s="165"/>
      <c r="Z168" s="165"/>
      <c r="AA168" s="165"/>
      <c r="AB168" s="165"/>
      <c r="AC168" s="165"/>
      <c r="AD168" s="165"/>
      <c r="AE168" s="165"/>
      <c r="AF168" s="165"/>
    </row>
    <row r="169" spans="1:32" ht="60" hidden="1">
      <c r="A169" s="165"/>
      <c r="B169" s="48"/>
      <c r="C169" s="48"/>
      <c r="D169" s="49"/>
      <c r="E169" s="49"/>
      <c r="F169" s="50"/>
      <c r="G169" s="58" t="s">
        <v>2012</v>
      </c>
      <c r="H169" s="233"/>
      <c r="I169" s="233"/>
      <c r="J169" s="233"/>
      <c r="K169" s="252"/>
      <c r="L169" s="233"/>
      <c r="M169" s="252"/>
      <c r="N169" s="233"/>
      <c r="O169" s="252"/>
      <c r="P169" s="233"/>
      <c r="Q169" s="252"/>
      <c r="R169" s="233"/>
      <c r="S169" s="252"/>
      <c r="T169" s="233"/>
      <c r="U169" s="252"/>
      <c r="V169" s="52"/>
      <c r="W169" s="52"/>
      <c r="X169" s="52"/>
      <c r="Y169" s="165"/>
      <c r="Z169" s="165"/>
      <c r="AA169" s="165"/>
      <c r="AB169" s="165"/>
      <c r="AC169" s="165"/>
      <c r="AD169" s="165"/>
      <c r="AE169" s="165"/>
      <c r="AF169" s="165"/>
    </row>
    <row r="170" spans="1:32" ht="60" hidden="1">
      <c r="A170" s="165"/>
      <c r="B170" s="48"/>
      <c r="C170" s="48"/>
      <c r="D170" s="49"/>
      <c r="E170" s="49"/>
      <c r="F170" s="50"/>
      <c r="G170" s="58" t="s">
        <v>2179</v>
      </c>
      <c r="H170" s="233">
        <v>100</v>
      </c>
      <c r="I170" s="233">
        <v>100</v>
      </c>
      <c r="J170" s="233">
        <v>99</v>
      </c>
      <c r="K170" s="252">
        <v>30000000</v>
      </c>
      <c r="L170" s="252">
        <v>1</v>
      </c>
      <c r="M170" s="252">
        <v>30000000</v>
      </c>
      <c r="N170" s="252">
        <v>1</v>
      </c>
      <c r="O170" s="252">
        <v>35000000</v>
      </c>
      <c r="P170" s="252">
        <v>1</v>
      </c>
      <c r="Q170" s="252">
        <v>40000000</v>
      </c>
      <c r="R170" s="252">
        <v>1</v>
      </c>
      <c r="S170" s="252">
        <v>40000000</v>
      </c>
      <c r="T170" s="252">
        <v>1</v>
      </c>
      <c r="U170" s="252">
        <v>40000000</v>
      </c>
      <c r="V170" s="52"/>
      <c r="W170" s="52"/>
      <c r="X170" s="52"/>
      <c r="Y170" s="165"/>
      <c r="Z170" s="165"/>
      <c r="AA170" s="165"/>
      <c r="AB170" s="165"/>
      <c r="AC170" s="165"/>
      <c r="AD170" s="165"/>
      <c r="AE170" s="165"/>
      <c r="AF170" s="165"/>
    </row>
    <row r="171" spans="1:32" ht="45" hidden="1">
      <c r="A171" s="165"/>
      <c r="B171" s="48"/>
      <c r="C171" s="48"/>
      <c r="D171" s="49"/>
      <c r="E171" s="49"/>
      <c r="F171" s="50"/>
      <c r="G171" s="58" t="s">
        <v>2180</v>
      </c>
      <c r="H171" s="233">
        <v>92.73</v>
      </c>
      <c r="I171" s="233">
        <v>100</v>
      </c>
      <c r="J171" s="233">
        <v>99</v>
      </c>
      <c r="K171" s="252">
        <v>117000000</v>
      </c>
      <c r="L171" s="252">
        <v>20</v>
      </c>
      <c r="M171" s="252">
        <v>125000000</v>
      </c>
      <c r="N171" s="252">
        <v>20</v>
      </c>
      <c r="O171" s="252">
        <v>125000000</v>
      </c>
      <c r="P171" s="252">
        <v>20</v>
      </c>
      <c r="Q171" s="252">
        <v>130000000</v>
      </c>
      <c r="R171" s="252">
        <v>20</v>
      </c>
      <c r="S171" s="252">
        <v>130000000</v>
      </c>
      <c r="T171" s="252">
        <v>20</v>
      </c>
      <c r="U171" s="252">
        <v>130000000</v>
      </c>
      <c r="V171" s="52"/>
      <c r="W171" s="52"/>
      <c r="X171" s="52"/>
      <c r="Y171" s="165"/>
      <c r="Z171" s="165"/>
      <c r="AA171" s="165"/>
      <c r="AB171" s="165"/>
      <c r="AC171" s="165"/>
      <c r="AD171" s="165"/>
      <c r="AE171" s="165"/>
      <c r="AF171" s="165"/>
    </row>
    <row r="172" spans="1:32" ht="60" hidden="1">
      <c r="A172" s="165"/>
      <c r="B172" s="48"/>
      <c r="C172" s="48"/>
      <c r="D172" s="49"/>
      <c r="E172" s="49"/>
      <c r="F172" s="50"/>
      <c r="G172" s="58" t="s">
        <v>2181</v>
      </c>
      <c r="H172" s="233">
        <v>100</v>
      </c>
      <c r="I172" s="233">
        <v>100</v>
      </c>
      <c r="J172" s="233">
        <v>99</v>
      </c>
      <c r="K172" s="252">
        <v>97200000</v>
      </c>
      <c r="L172" s="252">
        <v>20</v>
      </c>
      <c r="M172" s="252">
        <v>144000000</v>
      </c>
      <c r="N172" s="252">
        <v>20</v>
      </c>
      <c r="O172" s="252">
        <v>144000000</v>
      </c>
      <c r="P172" s="252">
        <v>20</v>
      </c>
      <c r="Q172" s="252">
        <v>144000000</v>
      </c>
      <c r="R172" s="252">
        <v>20</v>
      </c>
      <c r="S172" s="252">
        <v>168000000</v>
      </c>
      <c r="T172" s="252">
        <v>20</v>
      </c>
      <c r="U172" s="252">
        <v>168000000</v>
      </c>
      <c r="V172" s="52"/>
      <c r="W172" s="52"/>
      <c r="X172" s="52"/>
      <c r="Y172" s="165"/>
      <c r="Z172" s="165"/>
      <c r="AA172" s="165"/>
      <c r="AB172" s="165"/>
      <c r="AC172" s="165"/>
      <c r="AD172" s="165"/>
      <c r="AE172" s="165"/>
      <c r="AF172" s="165"/>
    </row>
    <row r="173" spans="1:32" ht="45" hidden="1">
      <c r="A173" s="165"/>
      <c r="B173" s="48"/>
      <c r="C173" s="48"/>
      <c r="D173" s="49"/>
      <c r="E173" s="49"/>
      <c r="F173" s="50"/>
      <c r="G173" s="58" t="s">
        <v>2182</v>
      </c>
      <c r="H173" s="233">
        <v>77.69</v>
      </c>
      <c r="I173" s="233">
        <v>100</v>
      </c>
      <c r="J173" s="233">
        <v>99</v>
      </c>
      <c r="K173" s="252">
        <v>13000000</v>
      </c>
      <c r="L173" s="252">
        <v>1</v>
      </c>
      <c r="M173" s="252">
        <v>17725000</v>
      </c>
      <c r="N173" s="252">
        <v>1</v>
      </c>
      <c r="O173" s="252">
        <v>20000000</v>
      </c>
      <c r="P173" s="252">
        <v>1</v>
      </c>
      <c r="Q173" s="252">
        <v>20000000</v>
      </c>
      <c r="R173" s="252">
        <v>1</v>
      </c>
      <c r="S173" s="252">
        <v>25000000</v>
      </c>
      <c r="T173" s="252">
        <v>1</v>
      </c>
      <c r="U173" s="252">
        <v>25000000</v>
      </c>
      <c r="V173" s="52"/>
      <c r="W173" s="52"/>
      <c r="X173" s="52"/>
      <c r="Y173" s="165"/>
      <c r="Z173" s="165"/>
      <c r="AA173" s="165"/>
      <c r="AB173" s="165"/>
      <c r="AC173" s="165"/>
      <c r="AD173" s="165"/>
      <c r="AE173" s="165"/>
      <c r="AF173" s="165"/>
    </row>
    <row r="174" spans="1:32" ht="45" hidden="1">
      <c r="A174" s="165"/>
      <c r="B174" s="48"/>
      <c r="C174" s="48"/>
      <c r="D174" s="49"/>
      <c r="E174" s="49"/>
      <c r="F174" s="50"/>
      <c r="G174" s="58" t="s">
        <v>2016</v>
      </c>
      <c r="H174" s="233">
        <v>90.39</v>
      </c>
      <c r="I174" s="233">
        <v>100</v>
      </c>
      <c r="J174" s="233">
        <v>81.56</v>
      </c>
      <c r="K174" s="52"/>
      <c r="L174" s="292">
        <f>J174+5.5</f>
        <v>87.06</v>
      </c>
      <c r="M174" s="52"/>
      <c r="N174" s="292">
        <f>L174+5.5</f>
        <v>92.56</v>
      </c>
      <c r="O174" s="52"/>
      <c r="P174" s="292">
        <f>N174</f>
        <v>92.56</v>
      </c>
      <c r="Q174" s="52"/>
      <c r="R174" s="292">
        <f>P174</f>
        <v>92.56</v>
      </c>
      <c r="S174" s="52"/>
      <c r="T174" s="292">
        <f>R174</f>
        <v>92.56</v>
      </c>
      <c r="U174" s="52"/>
      <c r="V174" s="52"/>
      <c r="W174" s="52"/>
      <c r="X174" s="52"/>
      <c r="Y174" s="165"/>
      <c r="Z174" s="165"/>
      <c r="AA174" s="165"/>
      <c r="AB174" s="165"/>
      <c r="AC174" s="165"/>
      <c r="AD174" s="165"/>
      <c r="AE174" s="165"/>
      <c r="AF174" s="165"/>
    </row>
    <row r="175" spans="1:32" ht="45" hidden="1">
      <c r="A175" s="165"/>
      <c r="B175" s="48"/>
      <c r="C175" s="48"/>
      <c r="D175" s="49"/>
      <c r="E175" s="49"/>
      <c r="F175" s="50"/>
      <c r="G175" s="58" t="s">
        <v>2228</v>
      </c>
      <c r="H175" s="233">
        <v>100</v>
      </c>
      <c r="I175" s="233">
        <v>100</v>
      </c>
      <c r="J175" s="233">
        <v>99</v>
      </c>
      <c r="K175" s="252">
        <v>49795000</v>
      </c>
      <c r="L175" s="252">
        <v>2</v>
      </c>
      <c r="M175" s="252">
        <v>49730000</v>
      </c>
      <c r="N175" s="252">
        <v>2</v>
      </c>
      <c r="O175" s="250">
        <v>50000000</v>
      </c>
      <c r="P175" s="252">
        <v>2</v>
      </c>
      <c r="Q175" s="250">
        <v>60000000</v>
      </c>
      <c r="R175" s="252">
        <v>2</v>
      </c>
      <c r="S175" s="250">
        <v>70000000</v>
      </c>
      <c r="T175" s="252">
        <v>2</v>
      </c>
      <c r="U175" s="250">
        <v>70000000</v>
      </c>
      <c r="V175" s="52"/>
      <c r="W175" s="52"/>
      <c r="X175" s="52"/>
      <c r="Y175" s="165"/>
      <c r="Z175" s="165"/>
      <c r="AA175" s="165"/>
      <c r="AB175" s="165"/>
      <c r="AC175" s="165"/>
      <c r="AD175" s="165"/>
      <c r="AE175" s="165"/>
      <c r="AF175" s="165"/>
    </row>
    <row r="176" spans="1:32" ht="75" hidden="1">
      <c r="A176" s="165"/>
      <c r="B176" s="48"/>
      <c r="C176" s="48"/>
      <c r="D176" s="49"/>
      <c r="E176" s="49"/>
      <c r="F176" s="50"/>
      <c r="G176" s="58" t="s">
        <v>1299</v>
      </c>
      <c r="H176" s="233">
        <v>86.45</v>
      </c>
      <c r="I176" s="252"/>
      <c r="J176" s="233">
        <f>H176+0.39</f>
        <v>86.84</v>
      </c>
      <c r="K176" s="252"/>
      <c r="L176" s="233">
        <f>J176+0.39</f>
        <v>87.23</v>
      </c>
      <c r="M176" s="252"/>
      <c r="N176" s="233">
        <f>L176+0.39</f>
        <v>87.62</v>
      </c>
      <c r="O176" s="252"/>
      <c r="P176" s="233">
        <f>N176+0.39</f>
        <v>88.01</v>
      </c>
      <c r="Q176" s="252"/>
      <c r="R176" s="233">
        <f>P176+0.39</f>
        <v>88.4</v>
      </c>
      <c r="S176" s="252"/>
      <c r="T176" s="233">
        <f>R176+0.39</f>
        <v>88.79</v>
      </c>
      <c r="U176" s="252"/>
      <c r="V176" s="52"/>
      <c r="W176" s="52"/>
      <c r="X176" s="52"/>
      <c r="Y176" s="165"/>
      <c r="Z176" s="165"/>
      <c r="AA176" s="165"/>
      <c r="AB176" s="165"/>
      <c r="AC176" s="165"/>
      <c r="AD176" s="165"/>
      <c r="AE176" s="165"/>
      <c r="AF176" s="165"/>
    </row>
    <row r="177" spans="1:32" ht="45" hidden="1">
      <c r="A177" s="165"/>
      <c r="B177" s="48"/>
      <c r="C177" s="48"/>
      <c r="D177" s="49"/>
      <c r="E177" s="49"/>
      <c r="F177" s="50"/>
      <c r="G177" s="58" t="s">
        <v>1301</v>
      </c>
      <c r="H177" s="233">
        <v>85</v>
      </c>
      <c r="I177" s="252"/>
      <c r="J177" s="233">
        <f>H177+0.412</f>
        <v>85.412000000000006</v>
      </c>
      <c r="K177" s="252"/>
      <c r="L177" s="233">
        <f>J177+0.412</f>
        <v>85.824000000000012</v>
      </c>
      <c r="M177" s="252"/>
      <c r="N177" s="233">
        <f>L177+0.412</f>
        <v>86.236000000000018</v>
      </c>
      <c r="O177" s="252"/>
      <c r="P177" s="233">
        <f>N177+0.412</f>
        <v>86.648000000000025</v>
      </c>
      <c r="Q177" s="252"/>
      <c r="R177" s="233">
        <f>P177+0.412</f>
        <v>87.060000000000031</v>
      </c>
      <c r="S177" s="252"/>
      <c r="T177" s="233">
        <f>R177+0.412</f>
        <v>87.472000000000037</v>
      </c>
      <c r="U177" s="252"/>
      <c r="V177" s="52"/>
      <c r="W177" s="52"/>
      <c r="X177" s="52"/>
      <c r="Y177" s="165"/>
      <c r="Z177" s="165"/>
      <c r="AA177" s="165"/>
      <c r="AB177" s="165"/>
      <c r="AC177" s="165"/>
      <c r="AD177" s="165"/>
      <c r="AE177" s="165"/>
      <c r="AF177" s="165"/>
    </row>
    <row r="178" spans="1:32" ht="60" hidden="1">
      <c r="A178" s="165"/>
      <c r="B178" s="48"/>
      <c r="C178" s="48"/>
      <c r="D178" s="49"/>
      <c r="E178" s="49"/>
      <c r="F178" s="50"/>
      <c r="G178" s="58" t="s">
        <v>1303</v>
      </c>
      <c r="H178" s="233">
        <v>23.662551440329217</v>
      </c>
      <c r="I178" s="252"/>
      <c r="J178" s="233">
        <f>H178+0.42</f>
        <v>24.082551440329219</v>
      </c>
      <c r="K178" s="252"/>
      <c r="L178" s="233">
        <f>J178+1.028</f>
        <v>25.110551440329218</v>
      </c>
      <c r="M178" s="252"/>
      <c r="N178" s="233">
        <f>L178+1.028</f>
        <v>26.138551440329216</v>
      </c>
      <c r="O178" s="252"/>
      <c r="P178" s="233">
        <f>N178+1.028</f>
        <v>27.166551440329215</v>
      </c>
      <c r="Q178" s="252"/>
      <c r="R178" s="233">
        <f>P178+1.028</f>
        <v>28.194551440329214</v>
      </c>
      <c r="S178" s="252"/>
      <c r="T178" s="233">
        <f>R178+1.028</f>
        <v>29.222551440329212</v>
      </c>
      <c r="U178" s="252"/>
      <c r="V178" s="52"/>
      <c r="W178" s="52"/>
      <c r="X178" s="52"/>
      <c r="Y178" s="165"/>
      <c r="Z178" s="165"/>
      <c r="AA178" s="165"/>
      <c r="AB178" s="165"/>
      <c r="AC178" s="165"/>
      <c r="AD178" s="165"/>
      <c r="AE178" s="165"/>
      <c r="AF178" s="165"/>
    </row>
    <row r="179" spans="1:32" ht="60" hidden="1">
      <c r="A179" s="165"/>
      <c r="B179" s="48"/>
      <c r="C179" s="48"/>
      <c r="D179" s="49"/>
      <c r="E179" s="49"/>
      <c r="F179" s="50"/>
      <c r="G179" s="58" t="s">
        <v>1305</v>
      </c>
      <c r="H179" s="233">
        <v>85</v>
      </c>
      <c r="I179" s="252"/>
      <c r="J179" s="233">
        <f>H179+0.412</f>
        <v>85.412000000000006</v>
      </c>
      <c r="K179" s="252"/>
      <c r="L179" s="233">
        <f>J179+0.412</f>
        <v>85.824000000000012</v>
      </c>
      <c r="M179" s="252"/>
      <c r="N179" s="233">
        <f>L179+0.412</f>
        <v>86.236000000000018</v>
      </c>
      <c r="O179" s="252"/>
      <c r="P179" s="233">
        <f>N179+0.412</f>
        <v>86.648000000000025</v>
      </c>
      <c r="Q179" s="252"/>
      <c r="R179" s="233">
        <f>P179+0.412</f>
        <v>87.060000000000031</v>
      </c>
      <c r="S179" s="252"/>
      <c r="T179" s="233">
        <f>R179+0.412</f>
        <v>87.472000000000037</v>
      </c>
      <c r="U179" s="252"/>
      <c r="V179" s="52"/>
      <c r="W179" s="52"/>
      <c r="X179" s="52"/>
      <c r="Y179" s="165"/>
      <c r="Z179" s="165"/>
      <c r="AA179" s="165"/>
      <c r="AB179" s="165"/>
      <c r="AC179" s="165"/>
      <c r="AD179" s="165"/>
      <c r="AE179" s="165"/>
      <c r="AF179" s="165"/>
    </row>
    <row r="180" spans="1:32" ht="60" hidden="1">
      <c r="A180" s="165"/>
      <c r="B180" s="48"/>
      <c r="C180" s="48"/>
      <c r="D180" s="49"/>
      <c r="E180" s="49"/>
      <c r="F180" s="50"/>
      <c r="G180" s="58" t="s">
        <v>1307</v>
      </c>
      <c r="H180" s="233">
        <v>85</v>
      </c>
      <c r="I180" s="252"/>
      <c r="J180" s="233">
        <f>H180+0.412</f>
        <v>85.412000000000006</v>
      </c>
      <c r="K180" s="252"/>
      <c r="L180" s="233">
        <f>J180+0.412</f>
        <v>85.824000000000012</v>
      </c>
      <c r="M180" s="252"/>
      <c r="N180" s="233">
        <f>L180+0.412</f>
        <v>86.236000000000018</v>
      </c>
      <c r="O180" s="252"/>
      <c r="P180" s="233">
        <f>N180+0.412</f>
        <v>86.648000000000025</v>
      </c>
      <c r="Q180" s="252"/>
      <c r="R180" s="233">
        <f>P180+0.412</f>
        <v>87.060000000000031</v>
      </c>
      <c r="S180" s="252"/>
      <c r="T180" s="233">
        <f>R180+0.412</f>
        <v>87.472000000000037</v>
      </c>
      <c r="U180" s="252"/>
      <c r="V180" s="52"/>
      <c r="W180" s="52"/>
      <c r="X180" s="52"/>
      <c r="Y180" s="165"/>
      <c r="Z180" s="165"/>
      <c r="AA180" s="165"/>
      <c r="AB180" s="165"/>
      <c r="AC180" s="165"/>
      <c r="AD180" s="165"/>
      <c r="AE180" s="165"/>
      <c r="AF180" s="165"/>
    </row>
    <row r="181" spans="1:32" ht="45" hidden="1">
      <c r="A181" s="165"/>
      <c r="B181" s="48"/>
      <c r="C181" s="48"/>
      <c r="D181" s="49"/>
      <c r="E181" s="49"/>
      <c r="F181" s="50"/>
      <c r="G181" s="401" t="s">
        <v>2261</v>
      </c>
      <c r="H181" s="233">
        <v>92.02</v>
      </c>
      <c r="I181" s="233">
        <v>100</v>
      </c>
      <c r="J181" s="233">
        <v>93</v>
      </c>
      <c r="K181" s="252">
        <v>49446500</v>
      </c>
      <c r="L181" s="252">
        <v>3</v>
      </c>
      <c r="M181" s="252">
        <v>50000000</v>
      </c>
      <c r="N181" s="252">
        <v>0</v>
      </c>
      <c r="O181" s="252">
        <v>0</v>
      </c>
      <c r="P181" s="252">
        <v>0</v>
      </c>
      <c r="Q181" s="250">
        <v>0</v>
      </c>
      <c r="R181" s="252">
        <v>0</v>
      </c>
      <c r="S181" s="250">
        <v>0</v>
      </c>
      <c r="T181" s="252">
        <v>0</v>
      </c>
      <c r="U181" s="250">
        <v>0</v>
      </c>
      <c r="V181" s="52"/>
      <c r="W181" s="52"/>
      <c r="X181" s="52"/>
      <c r="Y181" s="165"/>
      <c r="Z181" s="165"/>
      <c r="AA181" s="165"/>
      <c r="AB181" s="165"/>
      <c r="AC181" s="165"/>
      <c r="AD181" s="165"/>
      <c r="AE181" s="165"/>
      <c r="AF181" s="165"/>
    </row>
    <row r="182" spans="1:32" ht="45" hidden="1">
      <c r="A182" s="165"/>
      <c r="B182" s="48"/>
      <c r="C182" s="48"/>
      <c r="D182" s="49"/>
      <c r="E182" s="49"/>
      <c r="F182" s="50"/>
      <c r="G182" s="401" t="s">
        <v>2262</v>
      </c>
      <c r="H182" s="233">
        <v>0</v>
      </c>
      <c r="I182" s="233">
        <v>0</v>
      </c>
      <c r="J182" s="233">
        <v>0</v>
      </c>
      <c r="K182" s="252">
        <v>0</v>
      </c>
      <c r="L182" s="252">
        <v>0</v>
      </c>
      <c r="M182" s="252">
        <v>0</v>
      </c>
      <c r="N182" s="252">
        <v>10</v>
      </c>
      <c r="O182" s="252">
        <v>250000000</v>
      </c>
      <c r="P182" s="252">
        <v>10</v>
      </c>
      <c r="Q182" s="252">
        <v>250000000</v>
      </c>
      <c r="R182" s="252">
        <v>10</v>
      </c>
      <c r="S182" s="252">
        <v>250000000</v>
      </c>
      <c r="T182" s="252">
        <v>10</v>
      </c>
      <c r="U182" s="252">
        <v>250000000</v>
      </c>
      <c r="V182" s="52"/>
      <c r="W182" s="52"/>
      <c r="X182" s="52"/>
      <c r="Y182" s="165"/>
      <c r="Z182" s="165"/>
      <c r="AA182" s="165"/>
      <c r="AB182" s="165"/>
      <c r="AC182" s="165"/>
      <c r="AD182" s="165"/>
      <c r="AE182" s="165"/>
      <c r="AF182" s="165"/>
    </row>
    <row r="183" spans="1:32" ht="45" hidden="1">
      <c r="A183" s="165"/>
      <c r="B183" s="48"/>
      <c r="C183" s="48"/>
      <c r="D183" s="49"/>
      <c r="E183" s="49"/>
      <c r="F183" s="50"/>
      <c r="G183" s="401" t="s">
        <v>2263</v>
      </c>
      <c r="H183" s="233">
        <v>0</v>
      </c>
      <c r="I183" s="233">
        <v>0</v>
      </c>
      <c r="J183" s="233">
        <v>0</v>
      </c>
      <c r="K183" s="252">
        <v>0</v>
      </c>
      <c r="L183" s="252">
        <v>0</v>
      </c>
      <c r="M183" s="252">
        <v>0</v>
      </c>
      <c r="N183" s="252">
        <v>5</v>
      </c>
      <c r="O183" s="252">
        <v>150000000</v>
      </c>
      <c r="P183" s="252">
        <v>5</v>
      </c>
      <c r="Q183" s="250">
        <v>150000000</v>
      </c>
      <c r="R183" s="252">
        <v>5</v>
      </c>
      <c r="S183" s="250">
        <v>150000000</v>
      </c>
      <c r="T183" s="252">
        <v>5</v>
      </c>
      <c r="U183" s="250">
        <v>150000000</v>
      </c>
      <c r="V183" s="52"/>
      <c r="W183" s="52"/>
      <c r="X183" s="52"/>
      <c r="Y183" s="165"/>
      <c r="Z183" s="165"/>
      <c r="AA183" s="165"/>
      <c r="AB183" s="165"/>
      <c r="AC183" s="165"/>
      <c r="AD183" s="165"/>
      <c r="AE183" s="165"/>
      <c r="AF183" s="165"/>
    </row>
    <row r="184" spans="1:32" ht="30" hidden="1">
      <c r="A184" s="165"/>
      <c r="B184" s="48"/>
      <c r="C184" s="48"/>
      <c r="D184" s="49"/>
      <c r="E184" s="49"/>
      <c r="F184" s="50"/>
      <c r="G184" s="401" t="s">
        <v>2264</v>
      </c>
      <c r="H184" s="233">
        <v>0</v>
      </c>
      <c r="I184" s="233">
        <v>0</v>
      </c>
      <c r="J184" s="233">
        <v>0</v>
      </c>
      <c r="K184" s="252">
        <v>0</v>
      </c>
      <c r="L184" s="252">
        <v>0</v>
      </c>
      <c r="M184" s="252">
        <v>0</v>
      </c>
      <c r="N184" s="252">
        <v>10</v>
      </c>
      <c r="O184" s="252">
        <v>250000000</v>
      </c>
      <c r="P184" s="252">
        <v>10</v>
      </c>
      <c r="Q184" s="250">
        <v>250000000</v>
      </c>
      <c r="R184" s="252">
        <v>10</v>
      </c>
      <c r="S184" s="250">
        <v>250000000</v>
      </c>
      <c r="T184" s="252">
        <v>10</v>
      </c>
      <c r="U184" s="250">
        <v>250000000</v>
      </c>
      <c r="V184" s="52"/>
      <c r="W184" s="52"/>
      <c r="X184" s="52"/>
      <c r="Y184" s="165"/>
      <c r="Z184" s="165"/>
      <c r="AA184" s="165"/>
      <c r="AB184" s="165"/>
      <c r="AC184" s="165"/>
      <c r="AD184" s="165"/>
      <c r="AE184" s="165"/>
      <c r="AF184" s="165"/>
    </row>
    <row r="185" spans="1:32" ht="45" hidden="1">
      <c r="A185" s="165"/>
      <c r="B185" s="48"/>
      <c r="C185" s="48"/>
      <c r="D185" s="49"/>
      <c r="E185" s="49"/>
      <c r="F185" s="50"/>
      <c r="G185" s="58" t="s">
        <v>2265</v>
      </c>
      <c r="H185" s="233">
        <v>0</v>
      </c>
      <c r="I185" s="233">
        <v>0</v>
      </c>
      <c r="J185" s="233">
        <v>0</v>
      </c>
      <c r="K185" s="252">
        <v>0</v>
      </c>
      <c r="L185" s="252">
        <v>0</v>
      </c>
      <c r="M185" s="252">
        <v>0</v>
      </c>
      <c r="N185" s="252">
        <v>64</v>
      </c>
      <c r="O185" s="252">
        <v>640000000</v>
      </c>
      <c r="P185" s="252">
        <v>64</v>
      </c>
      <c r="Q185" s="252">
        <v>640000000</v>
      </c>
      <c r="R185" s="252">
        <v>64</v>
      </c>
      <c r="S185" s="252">
        <v>640000000</v>
      </c>
      <c r="T185" s="252">
        <v>64</v>
      </c>
      <c r="U185" s="252">
        <v>640000000</v>
      </c>
      <c r="V185" s="52"/>
      <c r="W185" s="52"/>
      <c r="X185" s="52"/>
      <c r="Y185" s="165"/>
      <c r="Z185" s="165"/>
      <c r="AA185" s="165"/>
      <c r="AB185" s="165"/>
      <c r="AC185" s="165"/>
      <c r="AD185" s="165"/>
      <c r="AE185" s="165"/>
      <c r="AF185" s="165"/>
    </row>
    <row r="186" spans="1:32" ht="45" hidden="1">
      <c r="A186" s="165"/>
      <c r="B186" s="48"/>
      <c r="C186" s="48"/>
      <c r="D186" s="49"/>
      <c r="E186" s="49"/>
      <c r="F186" s="50"/>
      <c r="G186" s="58" t="s">
        <v>2309</v>
      </c>
      <c r="H186" s="233">
        <v>100</v>
      </c>
      <c r="I186" s="233">
        <v>100</v>
      </c>
      <c r="J186" s="233">
        <v>100</v>
      </c>
      <c r="K186" s="252">
        <v>7500000</v>
      </c>
      <c r="L186" s="252">
        <v>1</v>
      </c>
      <c r="M186" s="252">
        <v>7500000</v>
      </c>
      <c r="N186" s="252">
        <v>1</v>
      </c>
      <c r="O186" s="252">
        <v>7500000</v>
      </c>
      <c r="P186" s="252">
        <v>1</v>
      </c>
      <c r="Q186" s="252">
        <v>7500000</v>
      </c>
      <c r="R186" s="252">
        <v>1</v>
      </c>
      <c r="S186" s="252">
        <v>7500000</v>
      </c>
      <c r="T186" s="252">
        <v>1</v>
      </c>
      <c r="U186" s="252">
        <v>7500000</v>
      </c>
      <c r="V186" s="52"/>
      <c r="W186" s="52"/>
      <c r="X186" s="52"/>
      <c r="Y186" s="165"/>
      <c r="Z186" s="165"/>
      <c r="AA186" s="165"/>
      <c r="AB186" s="165"/>
      <c r="AC186" s="165"/>
      <c r="AD186" s="165"/>
      <c r="AE186" s="165"/>
      <c r="AF186" s="165"/>
    </row>
    <row r="187" spans="1:32" ht="60" hidden="1">
      <c r="A187" s="165"/>
      <c r="B187" s="48"/>
      <c r="C187" s="48"/>
      <c r="D187" s="49"/>
      <c r="E187" s="49"/>
      <c r="F187" s="50"/>
      <c r="G187" s="58" t="s">
        <v>2310</v>
      </c>
      <c r="H187" s="233">
        <v>100</v>
      </c>
      <c r="I187" s="233">
        <v>100</v>
      </c>
      <c r="J187" s="233">
        <v>100</v>
      </c>
      <c r="K187" s="252">
        <v>150000000</v>
      </c>
      <c r="L187" s="252">
        <v>1</v>
      </c>
      <c r="M187" s="252">
        <v>150000000</v>
      </c>
      <c r="N187" s="252">
        <v>1</v>
      </c>
      <c r="O187" s="252">
        <v>150000000</v>
      </c>
      <c r="P187" s="252">
        <v>1</v>
      </c>
      <c r="Q187" s="252">
        <v>150000000</v>
      </c>
      <c r="R187" s="252">
        <v>1</v>
      </c>
      <c r="S187" s="252">
        <v>150000000</v>
      </c>
      <c r="T187" s="252">
        <v>1</v>
      </c>
      <c r="U187" s="252">
        <v>150000000</v>
      </c>
      <c r="V187" s="52"/>
      <c r="W187" s="52"/>
      <c r="X187" s="52"/>
      <c r="Y187" s="165"/>
      <c r="Z187" s="165"/>
      <c r="AA187" s="165"/>
      <c r="AB187" s="165"/>
      <c r="AC187" s="165"/>
      <c r="AD187" s="165"/>
      <c r="AE187" s="165"/>
      <c r="AF187" s="165"/>
    </row>
    <row r="188" spans="1:32" ht="75" hidden="1">
      <c r="A188" s="165"/>
      <c r="B188" s="48"/>
      <c r="C188" s="48"/>
      <c r="D188" s="49"/>
      <c r="E188" s="49"/>
      <c r="F188" s="50"/>
      <c r="G188" s="58" t="s">
        <v>2311</v>
      </c>
      <c r="H188" s="233">
        <v>100</v>
      </c>
      <c r="I188" s="233">
        <v>100</v>
      </c>
      <c r="J188" s="233">
        <v>100</v>
      </c>
      <c r="K188" s="252">
        <v>30000000</v>
      </c>
      <c r="L188" s="252">
        <v>3</v>
      </c>
      <c r="M188" s="252">
        <v>30000000</v>
      </c>
      <c r="N188" s="252">
        <v>3</v>
      </c>
      <c r="O188" s="252">
        <v>30000000</v>
      </c>
      <c r="P188" s="252">
        <v>3</v>
      </c>
      <c r="Q188" s="252">
        <v>30000000</v>
      </c>
      <c r="R188" s="252">
        <v>3</v>
      </c>
      <c r="S188" s="252">
        <v>30000000</v>
      </c>
      <c r="T188" s="252">
        <v>3</v>
      </c>
      <c r="U188" s="252">
        <v>30000000</v>
      </c>
      <c r="V188" s="52"/>
      <c r="W188" s="52"/>
      <c r="X188" s="52"/>
      <c r="Y188" s="165"/>
      <c r="Z188" s="165"/>
      <c r="AA188" s="165"/>
      <c r="AB188" s="165"/>
      <c r="AC188" s="165"/>
      <c r="AD188" s="165"/>
      <c r="AE188" s="165"/>
      <c r="AF188" s="165"/>
    </row>
    <row r="189" spans="1:32" ht="75" hidden="1">
      <c r="A189" s="165"/>
      <c r="B189" s="48"/>
      <c r="C189" s="48"/>
      <c r="D189" s="49"/>
      <c r="E189" s="49"/>
      <c r="F189" s="50"/>
      <c r="G189" s="58" t="s">
        <v>2312</v>
      </c>
      <c r="H189" s="233">
        <v>100</v>
      </c>
      <c r="I189" s="233">
        <v>100</v>
      </c>
      <c r="J189" s="233">
        <v>100</v>
      </c>
      <c r="K189" s="252">
        <v>105000000</v>
      </c>
      <c r="L189" s="252">
        <v>7</v>
      </c>
      <c r="M189" s="252">
        <v>105000000</v>
      </c>
      <c r="N189" s="252">
        <v>7</v>
      </c>
      <c r="O189" s="252">
        <v>105000000</v>
      </c>
      <c r="P189" s="252">
        <v>7</v>
      </c>
      <c r="Q189" s="252">
        <v>105000000</v>
      </c>
      <c r="R189" s="252">
        <v>7</v>
      </c>
      <c r="S189" s="252">
        <v>105000000</v>
      </c>
      <c r="T189" s="252">
        <v>7</v>
      </c>
      <c r="U189" s="252">
        <v>105000000</v>
      </c>
      <c r="V189" s="52"/>
      <c r="W189" s="52"/>
      <c r="X189" s="52"/>
      <c r="Y189" s="165"/>
      <c r="Z189" s="165"/>
      <c r="AA189" s="165"/>
      <c r="AB189" s="165"/>
      <c r="AC189" s="165"/>
      <c r="AD189" s="165"/>
      <c r="AE189" s="165"/>
      <c r="AF189" s="165"/>
    </row>
    <row r="190" spans="1:32" ht="90" hidden="1">
      <c r="A190" s="165"/>
      <c r="B190" s="48"/>
      <c r="C190" s="48"/>
      <c r="D190" s="49"/>
      <c r="E190" s="49"/>
      <c r="F190" s="50"/>
      <c r="G190" s="58" t="s">
        <v>2313</v>
      </c>
      <c r="H190" s="233">
        <v>100</v>
      </c>
      <c r="I190" s="233">
        <v>100</v>
      </c>
      <c r="J190" s="233">
        <v>100</v>
      </c>
      <c r="K190" s="252">
        <v>45000000</v>
      </c>
      <c r="L190" s="252">
        <v>3</v>
      </c>
      <c r="M190" s="252">
        <v>45000000</v>
      </c>
      <c r="N190" s="252">
        <v>3</v>
      </c>
      <c r="O190" s="252">
        <v>45000000</v>
      </c>
      <c r="P190" s="252">
        <v>3</v>
      </c>
      <c r="Q190" s="252">
        <v>45000000</v>
      </c>
      <c r="R190" s="252">
        <v>3</v>
      </c>
      <c r="S190" s="252">
        <v>45000000</v>
      </c>
      <c r="T190" s="252">
        <v>3</v>
      </c>
      <c r="U190" s="252">
        <v>45000000</v>
      </c>
      <c r="V190" s="52"/>
      <c r="W190" s="52"/>
      <c r="X190" s="52"/>
      <c r="Y190" s="165"/>
      <c r="Z190" s="165"/>
      <c r="AA190" s="165"/>
      <c r="AB190" s="165"/>
      <c r="AC190" s="165"/>
      <c r="AD190" s="165"/>
      <c r="AE190" s="165"/>
      <c r="AF190" s="165"/>
    </row>
    <row r="191" spans="1:32" ht="75" hidden="1">
      <c r="A191" s="165"/>
      <c r="B191" s="48"/>
      <c r="C191" s="48"/>
      <c r="D191" s="49"/>
      <c r="E191" s="49"/>
      <c r="F191" s="50"/>
      <c r="G191" s="58" t="s">
        <v>2314</v>
      </c>
      <c r="H191" s="233">
        <v>100</v>
      </c>
      <c r="I191" s="233">
        <v>100</v>
      </c>
      <c r="J191" s="233">
        <v>100</v>
      </c>
      <c r="K191" s="252">
        <v>157500000</v>
      </c>
      <c r="L191" s="252">
        <v>35</v>
      </c>
      <c r="M191" s="252">
        <v>157500000</v>
      </c>
      <c r="N191" s="252">
        <v>35</v>
      </c>
      <c r="O191" s="252">
        <v>157500000</v>
      </c>
      <c r="P191" s="252">
        <v>35</v>
      </c>
      <c r="Q191" s="252">
        <v>157500000</v>
      </c>
      <c r="R191" s="252">
        <v>35</v>
      </c>
      <c r="S191" s="252">
        <v>157500000</v>
      </c>
      <c r="T191" s="252">
        <v>35</v>
      </c>
      <c r="U191" s="252">
        <v>157500000</v>
      </c>
      <c r="V191" s="52"/>
      <c r="W191" s="52"/>
      <c r="X191" s="52"/>
      <c r="Y191" s="165"/>
      <c r="Z191" s="165"/>
      <c r="AA191" s="165"/>
      <c r="AB191" s="165"/>
      <c r="AC191" s="165"/>
      <c r="AD191" s="165"/>
      <c r="AE191" s="165"/>
      <c r="AF191" s="165"/>
    </row>
    <row r="192" spans="1:32" ht="195" hidden="1">
      <c r="A192" s="165"/>
      <c r="B192" s="48"/>
      <c r="C192" s="48"/>
      <c r="D192" s="49"/>
      <c r="E192" s="49"/>
      <c r="F192" s="50"/>
      <c r="G192" s="58" t="s">
        <v>2315</v>
      </c>
      <c r="H192" s="233" t="s">
        <v>2316</v>
      </c>
      <c r="I192" s="233" t="s">
        <v>2317</v>
      </c>
      <c r="J192" s="233">
        <v>100</v>
      </c>
      <c r="K192" s="252" t="s">
        <v>2318</v>
      </c>
      <c r="L192" s="252" t="s">
        <v>2317</v>
      </c>
      <c r="M192" s="252" t="s">
        <v>2318</v>
      </c>
      <c r="N192" s="252" t="s">
        <v>2317</v>
      </c>
      <c r="O192" s="252" t="s">
        <v>2318</v>
      </c>
      <c r="P192" s="252" t="s">
        <v>2317</v>
      </c>
      <c r="Q192" s="252" t="s">
        <v>2318</v>
      </c>
      <c r="R192" s="252" t="s">
        <v>2317</v>
      </c>
      <c r="S192" s="252" t="s">
        <v>2318</v>
      </c>
      <c r="T192" s="252" t="s">
        <v>2317</v>
      </c>
      <c r="U192" s="252" t="s">
        <v>2318</v>
      </c>
      <c r="V192" s="52"/>
      <c r="W192" s="52"/>
      <c r="X192" s="52"/>
      <c r="Y192" s="165"/>
      <c r="Z192" s="165"/>
      <c r="AA192" s="165"/>
      <c r="AB192" s="165"/>
      <c r="AC192" s="165"/>
      <c r="AD192" s="165"/>
      <c r="AE192" s="165"/>
      <c r="AF192" s="165"/>
    </row>
    <row r="193" spans="1:32" ht="90" hidden="1">
      <c r="A193" s="165"/>
      <c r="B193" s="48"/>
      <c r="C193" s="48"/>
      <c r="D193" s="49"/>
      <c r="E193" s="49"/>
      <c r="F193" s="50"/>
      <c r="G193" s="58" t="s">
        <v>2319</v>
      </c>
      <c r="H193" s="233">
        <v>100</v>
      </c>
      <c r="I193" s="233">
        <v>100</v>
      </c>
      <c r="J193" s="233">
        <v>100</v>
      </c>
      <c r="K193" s="252">
        <v>75000000</v>
      </c>
      <c r="L193" s="252">
        <v>3</v>
      </c>
      <c r="M193" s="252">
        <v>75000000</v>
      </c>
      <c r="N193" s="252">
        <v>3</v>
      </c>
      <c r="O193" s="252">
        <v>75000000</v>
      </c>
      <c r="P193" s="252">
        <v>3</v>
      </c>
      <c r="Q193" s="252">
        <v>75000000</v>
      </c>
      <c r="R193" s="252">
        <v>3</v>
      </c>
      <c r="S193" s="252">
        <v>75000000</v>
      </c>
      <c r="T193" s="252">
        <v>3</v>
      </c>
      <c r="U193" s="252">
        <v>75000000</v>
      </c>
      <c r="V193" s="52"/>
      <c r="W193" s="52"/>
      <c r="X193" s="52"/>
      <c r="Y193" s="165"/>
      <c r="Z193" s="165"/>
      <c r="AA193" s="165"/>
      <c r="AB193" s="165"/>
      <c r="AC193" s="165"/>
      <c r="AD193" s="165"/>
      <c r="AE193" s="165"/>
      <c r="AF193" s="165"/>
    </row>
    <row r="194" spans="1:32" ht="150" hidden="1">
      <c r="A194" s="165"/>
      <c r="B194" s="48"/>
      <c r="C194" s="66"/>
      <c r="D194" s="67"/>
      <c r="E194" s="67"/>
      <c r="F194" s="68"/>
      <c r="G194" s="58" t="s">
        <v>2320</v>
      </c>
      <c r="H194" s="233">
        <v>100</v>
      </c>
      <c r="I194" s="233">
        <v>100</v>
      </c>
      <c r="J194" s="233">
        <v>100</v>
      </c>
      <c r="K194" s="252">
        <v>50000000</v>
      </c>
      <c r="L194" s="252">
        <v>1</v>
      </c>
      <c r="M194" s="252">
        <v>50000000</v>
      </c>
      <c r="N194" s="252">
        <v>1</v>
      </c>
      <c r="O194" s="252">
        <v>50000000</v>
      </c>
      <c r="P194" s="252">
        <v>1</v>
      </c>
      <c r="Q194" s="252">
        <v>50000000</v>
      </c>
      <c r="R194" s="252">
        <v>1</v>
      </c>
      <c r="S194" s="252">
        <v>50000000</v>
      </c>
      <c r="T194" s="252">
        <v>1</v>
      </c>
      <c r="U194" s="252">
        <v>50000000</v>
      </c>
      <c r="V194" s="52"/>
      <c r="W194" s="52"/>
      <c r="X194" s="52"/>
      <c r="Y194" s="165"/>
      <c r="Z194" s="165"/>
      <c r="AA194" s="165"/>
      <c r="AB194" s="165"/>
      <c r="AC194" s="165"/>
      <c r="AD194" s="165"/>
      <c r="AE194" s="165"/>
      <c r="AF194" s="165"/>
    </row>
    <row r="195" spans="1:32" ht="75" hidden="1">
      <c r="A195" s="165"/>
      <c r="B195" s="48"/>
      <c r="C195" s="56">
        <f>'matrik MISI 4'!J11</f>
        <v>1.01</v>
      </c>
      <c r="D195" s="57" t="str">
        <f>'matrik MISI 4'!K11</f>
        <v>xx</v>
      </c>
      <c r="E195" s="57">
        <f>'matrik MISI 4'!L11</f>
        <v>20</v>
      </c>
      <c r="F195" s="58" t="str">
        <f>'matrik MISI 4'!M11</f>
        <v>Program peningkatan mutu pendidik dan tenaga kependidikan</v>
      </c>
      <c r="G195" s="58"/>
      <c r="H195" s="52"/>
      <c r="I195" s="52"/>
      <c r="J195" s="52"/>
      <c r="K195" s="52"/>
      <c r="L195" s="52"/>
      <c r="M195" s="52"/>
      <c r="N195" s="52"/>
      <c r="O195" s="52"/>
      <c r="P195" s="52"/>
      <c r="Q195" s="52"/>
      <c r="R195" s="52"/>
      <c r="S195" s="52"/>
      <c r="T195" s="52"/>
      <c r="U195" s="52"/>
      <c r="V195" s="52"/>
      <c r="W195" s="52"/>
      <c r="X195" s="52" t="str">
        <f>'matrik MISI 4'!X11</f>
        <v>Dinas Pendidikan</v>
      </c>
      <c r="Y195" s="165"/>
      <c r="Z195" s="165"/>
      <c r="AA195" s="165"/>
      <c r="AB195" s="165"/>
      <c r="AC195" s="165"/>
      <c r="AD195" s="165"/>
      <c r="AE195" s="165"/>
      <c r="AF195" s="165"/>
    </row>
    <row r="196" spans="1:32" ht="45" hidden="1">
      <c r="A196" s="165"/>
      <c r="B196" s="48"/>
      <c r="C196" s="62"/>
      <c r="D196" s="63"/>
      <c r="E196" s="63"/>
      <c r="F196" s="64"/>
      <c r="G196" s="58" t="s">
        <v>2221</v>
      </c>
      <c r="H196" s="233">
        <v>100</v>
      </c>
      <c r="I196" s="233">
        <v>100</v>
      </c>
      <c r="J196" s="233">
        <v>99</v>
      </c>
      <c r="K196" s="252">
        <v>100000000</v>
      </c>
      <c r="L196" s="252">
        <v>2</v>
      </c>
      <c r="M196" s="252">
        <v>100000000</v>
      </c>
      <c r="N196" s="252">
        <v>2</v>
      </c>
      <c r="O196" s="252">
        <v>100000000</v>
      </c>
      <c r="P196" s="252">
        <v>2</v>
      </c>
      <c r="Q196" s="252">
        <v>100000000</v>
      </c>
      <c r="R196" s="252">
        <v>2</v>
      </c>
      <c r="S196" s="252">
        <v>100000000</v>
      </c>
      <c r="T196" s="252">
        <v>2</v>
      </c>
      <c r="U196" s="252">
        <v>100000000</v>
      </c>
      <c r="V196" s="52"/>
      <c r="W196" s="52"/>
      <c r="X196" s="52"/>
      <c r="Y196" s="165"/>
      <c r="Z196" s="165"/>
      <c r="AA196" s="165"/>
      <c r="AB196" s="165"/>
      <c r="AC196" s="165"/>
      <c r="AD196" s="165"/>
      <c r="AE196" s="165"/>
      <c r="AF196" s="165"/>
    </row>
    <row r="197" spans="1:32" ht="45" hidden="1">
      <c r="A197" s="165"/>
      <c r="B197" s="48"/>
      <c r="C197" s="48"/>
      <c r="D197" s="49"/>
      <c r="E197" s="49"/>
      <c r="F197" s="50"/>
      <c r="G197" s="58" t="s">
        <v>2222</v>
      </c>
      <c r="H197" s="233">
        <v>100</v>
      </c>
      <c r="I197" s="233">
        <v>100</v>
      </c>
      <c r="J197" s="233">
        <v>97</v>
      </c>
      <c r="K197" s="252">
        <v>50000000</v>
      </c>
      <c r="L197" s="252">
        <v>1</v>
      </c>
      <c r="M197" s="252">
        <v>50000000</v>
      </c>
      <c r="N197" s="252">
        <v>1</v>
      </c>
      <c r="O197" s="252">
        <v>50000000</v>
      </c>
      <c r="P197" s="252">
        <v>1</v>
      </c>
      <c r="Q197" s="252">
        <v>50000000</v>
      </c>
      <c r="R197" s="252">
        <v>1</v>
      </c>
      <c r="S197" s="252">
        <v>50000000</v>
      </c>
      <c r="T197" s="252">
        <v>1</v>
      </c>
      <c r="U197" s="252">
        <v>50000000</v>
      </c>
      <c r="V197" s="52"/>
      <c r="W197" s="52"/>
      <c r="X197" s="52"/>
      <c r="Y197" s="165"/>
      <c r="Z197" s="165"/>
      <c r="AA197" s="165"/>
      <c r="AB197" s="165"/>
      <c r="AC197" s="165"/>
      <c r="AD197" s="165"/>
      <c r="AE197" s="165"/>
      <c r="AF197" s="165"/>
    </row>
    <row r="198" spans="1:32" ht="75" hidden="1">
      <c r="A198" s="165"/>
      <c r="B198" s="48"/>
      <c r="C198" s="48"/>
      <c r="D198" s="49"/>
      <c r="E198" s="49"/>
      <c r="F198" s="50"/>
      <c r="G198" s="58" t="s">
        <v>2229</v>
      </c>
      <c r="H198" s="233">
        <v>100</v>
      </c>
      <c r="I198" s="233">
        <v>100</v>
      </c>
      <c r="J198" s="233">
        <v>99</v>
      </c>
      <c r="K198" s="252">
        <v>8472500</v>
      </c>
      <c r="L198" s="252">
        <v>1</v>
      </c>
      <c r="M198" s="252">
        <v>8075000</v>
      </c>
      <c r="N198" s="252"/>
      <c r="O198" s="250">
        <v>0</v>
      </c>
      <c r="P198" s="252"/>
      <c r="Q198" s="250">
        <v>0</v>
      </c>
      <c r="R198" s="252"/>
      <c r="S198" s="250">
        <v>0</v>
      </c>
      <c r="T198" s="252"/>
      <c r="U198" s="250">
        <v>0</v>
      </c>
      <c r="V198" s="52"/>
      <c r="W198" s="52"/>
      <c r="X198" s="52"/>
      <c r="Y198" s="165"/>
      <c r="Z198" s="165"/>
      <c r="AA198" s="165"/>
      <c r="AB198" s="165"/>
      <c r="AC198" s="165"/>
      <c r="AD198" s="165"/>
      <c r="AE198" s="165"/>
      <c r="AF198" s="165"/>
    </row>
    <row r="199" spans="1:32" ht="60" hidden="1">
      <c r="A199" s="165"/>
      <c r="B199" s="48"/>
      <c r="C199" s="48"/>
      <c r="D199" s="49"/>
      <c r="E199" s="49"/>
      <c r="F199" s="50"/>
      <c r="G199" s="401" t="s">
        <v>2230</v>
      </c>
      <c r="H199" s="233">
        <v>0</v>
      </c>
      <c r="I199" s="233">
        <v>0</v>
      </c>
      <c r="J199" s="233">
        <v>0</v>
      </c>
      <c r="K199" s="252">
        <v>0</v>
      </c>
      <c r="L199" s="252">
        <v>0</v>
      </c>
      <c r="M199" s="252">
        <v>0</v>
      </c>
      <c r="N199" s="252">
        <v>1</v>
      </c>
      <c r="O199" s="250">
        <v>15000000</v>
      </c>
      <c r="P199" s="252">
        <v>1</v>
      </c>
      <c r="Q199" s="250">
        <v>15000000</v>
      </c>
      <c r="R199" s="252">
        <v>1</v>
      </c>
      <c r="S199" s="250">
        <v>20000000</v>
      </c>
      <c r="T199" s="252">
        <v>1</v>
      </c>
      <c r="U199" s="250">
        <v>20000000</v>
      </c>
      <c r="V199" s="52"/>
      <c r="W199" s="52"/>
      <c r="X199" s="52"/>
      <c r="Y199" s="165"/>
      <c r="Z199" s="165"/>
      <c r="AA199" s="165"/>
      <c r="AB199" s="165"/>
      <c r="AC199" s="165"/>
      <c r="AD199" s="165"/>
      <c r="AE199" s="165"/>
      <c r="AF199" s="165"/>
    </row>
    <row r="200" spans="1:32" ht="30" hidden="1">
      <c r="A200" s="165"/>
      <c r="B200" s="48"/>
      <c r="C200" s="48"/>
      <c r="D200" s="49"/>
      <c r="E200" s="49"/>
      <c r="F200" s="50"/>
      <c r="G200" s="58" t="s">
        <v>1243</v>
      </c>
      <c r="H200" s="252" t="s">
        <v>1244</v>
      </c>
      <c r="I200" s="252" t="s">
        <v>1244</v>
      </c>
      <c r="J200" s="252" t="s">
        <v>1244</v>
      </c>
      <c r="K200" s="52"/>
      <c r="L200" s="252" t="s">
        <v>1244</v>
      </c>
      <c r="M200" s="52"/>
      <c r="N200" s="252" t="s">
        <v>1244</v>
      </c>
      <c r="O200" s="52"/>
      <c r="P200" s="252" t="s">
        <v>1244</v>
      </c>
      <c r="Q200" s="52"/>
      <c r="R200" s="252" t="s">
        <v>1244</v>
      </c>
      <c r="S200" s="52"/>
      <c r="T200" s="252" t="s">
        <v>1244</v>
      </c>
      <c r="U200" s="52"/>
      <c r="V200" s="52"/>
      <c r="W200" s="52"/>
      <c r="X200" s="52"/>
      <c r="Y200" s="165"/>
      <c r="Z200" s="165"/>
      <c r="AA200" s="165"/>
      <c r="AB200" s="165"/>
      <c r="AC200" s="165"/>
      <c r="AD200" s="165"/>
      <c r="AE200" s="165"/>
      <c r="AF200" s="165"/>
    </row>
    <row r="201" spans="1:32" ht="30" hidden="1">
      <c r="A201" s="165"/>
      <c r="B201" s="48"/>
      <c r="C201" s="48"/>
      <c r="D201" s="49"/>
      <c r="E201" s="49"/>
      <c r="F201" s="50"/>
      <c r="G201" s="58" t="s">
        <v>1246</v>
      </c>
      <c r="H201" s="252" t="s">
        <v>1244</v>
      </c>
      <c r="I201" s="252" t="s">
        <v>1244</v>
      </c>
      <c r="J201" s="252" t="s">
        <v>1244</v>
      </c>
      <c r="K201" s="52"/>
      <c r="L201" s="252" t="s">
        <v>1244</v>
      </c>
      <c r="M201" s="52"/>
      <c r="N201" s="252" t="s">
        <v>1244</v>
      </c>
      <c r="O201" s="52"/>
      <c r="P201" s="252" t="s">
        <v>1244</v>
      </c>
      <c r="Q201" s="52"/>
      <c r="R201" s="252" t="s">
        <v>1244</v>
      </c>
      <c r="S201" s="52"/>
      <c r="T201" s="252" t="s">
        <v>1244</v>
      </c>
      <c r="U201" s="52"/>
      <c r="V201" s="52"/>
      <c r="W201" s="52"/>
      <c r="X201" s="52"/>
      <c r="Y201" s="165"/>
      <c r="Z201" s="165"/>
      <c r="AA201" s="165"/>
      <c r="AB201" s="165"/>
      <c r="AC201" s="165"/>
      <c r="AD201" s="165"/>
      <c r="AE201" s="165"/>
      <c r="AF201" s="165"/>
    </row>
    <row r="202" spans="1:32" ht="30" hidden="1">
      <c r="A202" s="165"/>
      <c r="B202" s="48"/>
      <c r="C202" s="48"/>
      <c r="D202" s="49"/>
      <c r="E202" s="49"/>
      <c r="F202" s="50"/>
      <c r="G202" s="58" t="s">
        <v>1248</v>
      </c>
      <c r="H202" s="252" t="s">
        <v>1249</v>
      </c>
      <c r="I202" s="252" t="s">
        <v>1249</v>
      </c>
      <c r="J202" s="252" t="s">
        <v>1249</v>
      </c>
      <c r="K202" s="52"/>
      <c r="L202" s="252" t="s">
        <v>1249</v>
      </c>
      <c r="M202" s="52"/>
      <c r="N202" s="293">
        <v>5.2083333333333336E-2</v>
      </c>
      <c r="O202" s="52"/>
      <c r="P202" s="293">
        <v>5.2083333333333336E-2</v>
      </c>
      <c r="Q202" s="52"/>
      <c r="R202" s="293">
        <v>5.2083333333333336E-2</v>
      </c>
      <c r="S202" s="52"/>
      <c r="T202" s="293">
        <v>5.2083333333333336E-2</v>
      </c>
      <c r="U202" s="52"/>
      <c r="V202" s="52"/>
      <c r="W202" s="52"/>
      <c r="X202" s="52"/>
      <c r="Y202" s="165"/>
      <c r="Z202" s="165"/>
      <c r="AA202" s="165"/>
      <c r="AB202" s="165"/>
      <c r="AC202" s="165"/>
      <c r="AD202" s="165"/>
      <c r="AE202" s="165"/>
      <c r="AF202" s="165"/>
    </row>
    <row r="203" spans="1:32" ht="30" hidden="1">
      <c r="A203" s="165"/>
      <c r="B203" s="48"/>
      <c r="C203" s="48"/>
      <c r="D203" s="49"/>
      <c r="E203" s="49"/>
      <c r="F203" s="50"/>
      <c r="G203" s="58" t="s">
        <v>1251</v>
      </c>
      <c r="H203" s="252" t="s">
        <v>1252</v>
      </c>
      <c r="I203" s="252" t="s">
        <v>1252</v>
      </c>
      <c r="J203" s="252" t="s">
        <v>1252</v>
      </c>
      <c r="K203" s="52"/>
      <c r="L203" s="252" t="s">
        <v>1252</v>
      </c>
      <c r="M203" s="52"/>
      <c r="N203" s="252" t="s">
        <v>1252</v>
      </c>
      <c r="O203" s="52"/>
      <c r="P203" s="252" t="s">
        <v>1252</v>
      </c>
      <c r="Q203" s="52"/>
      <c r="R203" s="252" t="s">
        <v>1252</v>
      </c>
      <c r="S203" s="52"/>
      <c r="T203" s="252" t="s">
        <v>1252</v>
      </c>
      <c r="U203" s="52"/>
      <c r="V203" s="52"/>
      <c r="W203" s="52"/>
      <c r="X203" s="52"/>
      <c r="Y203" s="165"/>
      <c r="Z203" s="165"/>
      <c r="AA203" s="165"/>
      <c r="AB203" s="165"/>
      <c r="AC203" s="165"/>
      <c r="AD203" s="165"/>
      <c r="AE203" s="165"/>
      <c r="AF203" s="165"/>
    </row>
    <row r="204" spans="1:32" ht="30" hidden="1">
      <c r="A204" s="165"/>
      <c r="B204" s="48"/>
      <c r="C204" s="48"/>
      <c r="D204" s="49"/>
      <c r="E204" s="49"/>
      <c r="F204" s="50"/>
      <c r="G204" s="58" t="s">
        <v>1254</v>
      </c>
      <c r="H204" s="252" t="s">
        <v>1255</v>
      </c>
      <c r="I204" s="252" t="s">
        <v>1255</v>
      </c>
      <c r="J204" s="252" t="s">
        <v>1255</v>
      </c>
      <c r="K204" s="52"/>
      <c r="L204" s="252" t="s">
        <v>1255</v>
      </c>
      <c r="M204" s="52"/>
      <c r="N204" s="293">
        <v>5.1388888888888894E-2</v>
      </c>
      <c r="O204" s="52"/>
      <c r="P204" s="293">
        <v>5.1388888888888894E-2</v>
      </c>
      <c r="Q204" s="52"/>
      <c r="R204" s="293">
        <v>5.1388888888888894E-2</v>
      </c>
      <c r="S204" s="52"/>
      <c r="T204" s="293">
        <v>5.1388888888888894E-2</v>
      </c>
      <c r="U204" s="52"/>
      <c r="V204" s="52"/>
      <c r="W204" s="52"/>
      <c r="X204" s="52"/>
      <c r="Y204" s="165"/>
      <c r="Z204" s="165"/>
      <c r="AA204" s="165"/>
      <c r="AB204" s="165"/>
      <c r="AC204" s="165"/>
      <c r="AD204" s="165"/>
      <c r="AE204" s="165"/>
      <c r="AF204" s="165"/>
    </row>
    <row r="205" spans="1:32" hidden="1">
      <c r="A205" s="165"/>
      <c r="B205" s="48"/>
      <c r="C205" s="48"/>
      <c r="D205" s="49"/>
      <c r="E205" s="49"/>
      <c r="F205" s="50"/>
      <c r="G205" s="58"/>
      <c r="H205" s="233"/>
      <c r="I205" s="233"/>
      <c r="J205" s="233"/>
      <c r="K205" s="52"/>
      <c r="L205" s="233"/>
      <c r="M205" s="52"/>
      <c r="N205" s="233"/>
      <c r="O205" s="52"/>
      <c r="P205" s="233"/>
      <c r="Q205" s="52"/>
      <c r="R205" s="233"/>
      <c r="S205" s="52"/>
      <c r="T205" s="233"/>
      <c r="U205" s="52"/>
      <c r="V205" s="52"/>
      <c r="W205" s="52"/>
      <c r="X205" s="52"/>
      <c r="Y205" s="165"/>
      <c r="Z205" s="165"/>
      <c r="AA205" s="165"/>
      <c r="AB205" s="165"/>
      <c r="AC205" s="165"/>
      <c r="AD205" s="165"/>
      <c r="AE205" s="165"/>
      <c r="AF205" s="165"/>
    </row>
    <row r="206" spans="1:32" ht="60" hidden="1">
      <c r="A206" s="165"/>
      <c r="B206" s="48"/>
      <c r="C206" s="48"/>
      <c r="D206" s="49"/>
      <c r="E206" s="49"/>
      <c r="F206" s="50"/>
      <c r="G206" s="58" t="s">
        <v>1259</v>
      </c>
      <c r="H206" s="233">
        <v>35.15</v>
      </c>
      <c r="I206" s="233">
        <v>20</v>
      </c>
      <c r="J206" s="233">
        <f>H206+0.05</f>
        <v>35.199999999999996</v>
      </c>
      <c r="K206" s="52"/>
      <c r="L206" s="233">
        <f>J206+0.05</f>
        <v>35.249999999999993</v>
      </c>
      <c r="M206" s="52"/>
      <c r="N206" s="233">
        <f>L206+0.05</f>
        <v>35.29999999999999</v>
      </c>
      <c r="O206" s="52"/>
      <c r="P206" s="233">
        <f>N206+0.05</f>
        <v>35.349999999999987</v>
      </c>
      <c r="Q206" s="52"/>
      <c r="R206" s="233">
        <f>P206+0.05</f>
        <v>35.399999999999984</v>
      </c>
      <c r="S206" s="52"/>
      <c r="T206" s="233">
        <f>R206+0.05</f>
        <v>35.449999999999982</v>
      </c>
      <c r="U206" s="52"/>
      <c r="V206" s="52"/>
      <c r="W206" s="52"/>
      <c r="X206" s="52"/>
      <c r="Y206" s="165"/>
      <c r="Z206" s="165"/>
      <c r="AA206" s="165"/>
      <c r="AB206" s="165"/>
      <c r="AC206" s="165"/>
      <c r="AD206" s="165"/>
      <c r="AE206" s="165"/>
      <c r="AF206" s="165"/>
    </row>
    <row r="207" spans="1:32" ht="60" hidden="1">
      <c r="A207" s="165"/>
      <c r="B207" s="48"/>
      <c r="C207" s="48"/>
      <c r="D207" s="49"/>
      <c r="E207" s="49"/>
      <c r="F207" s="50"/>
      <c r="G207" s="58" t="s">
        <v>1260</v>
      </c>
      <c r="H207" s="233">
        <v>63.370350784417418</v>
      </c>
      <c r="I207" s="233">
        <v>60</v>
      </c>
      <c r="J207" s="233">
        <f>H207+0.05</f>
        <v>63.420350784417415</v>
      </c>
      <c r="K207" s="252"/>
      <c r="L207" s="233">
        <f>J207+0.05</f>
        <v>63.470350784417413</v>
      </c>
      <c r="M207" s="252"/>
      <c r="N207" s="233">
        <f>L207+0.05</f>
        <v>63.52035078441741</v>
      </c>
      <c r="O207" s="252"/>
      <c r="P207" s="233">
        <f>N207+0.05</f>
        <v>63.570350784417407</v>
      </c>
      <c r="Q207" s="252"/>
      <c r="R207" s="233">
        <f>P207+0.05</f>
        <v>63.620350784417404</v>
      </c>
      <c r="S207" s="252"/>
      <c r="T207" s="233">
        <f>R207+0.05</f>
        <v>63.670350784417401</v>
      </c>
      <c r="U207" s="252"/>
      <c r="V207" s="52"/>
      <c r="W207" s="52"/>
      <c r="X207" s="52"/>
      <c r="Y207" s="165"/>
      <c r="Z207" s="165"/>
      <c r="AA207" s="165"/>
      <c r="AB207" s="165"/>
      <c r="AC207" s="165"/>
      <c r="AD207" s="165"/>
      <c r="AE207" s="165"/>
      <c r="AF207" s="165"/>
    </row>
    <row r="208" spans="1:32" ht="60" hidden="1">
      <c r="A208" s="165"/>
      <c r="B208" s="48"/>
      <c r="C208" s="48"/>
      <c r="D208" s="49"/>
      <c r="E208" s="49"/>
      <c r="F208" s="50"/>
      <c r="G208" s="58" t="s">
        <v>1261</v>
      </c>
      <c r="H208" s="233">
        <v>83.286516853932582</v>
      </c>
      <c r="I208" s="233">
        <v>80</v>
      </c>
      <c r="J208" s="233">
        <f>H208+0.05</f>
        <v>83.336516853932579</v>
      </c>
      <c r="K208" s="252"/>
      <c r="L208" s="233">
        <f>J208+0.05</f>
        <v>83.386516853932577</v>
      </c>
      <c r="M208" s="252"/>
      <c r="N208" s="233">
        <f>L208+0.05</f>
        <v>83.436516853932574</v>
      </c>
      <c r="O208" s="252"/>
      <c r="P208" s="233">
        <f>N208+0.05</f>
        <v>83.486516853932571</v>
      </c>
      <c r="Q208" s="252"/>
      <c r="R208" s="233">
        <f>P208+0.05</f>
        <v>83.536516853932568</v>
      </c>
      <c r="S208" s="252"/>
      <c r="T208" s="233">
        <f>R208+0.05</f>
        <v>83.586516853932565</v>
      </c>
      <c r="U208" s="252"/>
      <c r="V208" s="52"/>
      <c r="W208" s="52"/>
      <c r="X208" s="52"/>
      <c r="Y208" s="165"/>
      <c r="Z208" s="165"/>
      <c r="AA208" s="165"/>
      <c r="AB208" s="165"/>
      <c r="AC208" s="165"/>
      <c r="AD208" s="165"/>
      <c r="AE208" s="165"/>
      <c r="AF208" s="165"/>
    </row>
    <row r="209" spans="1:32" ht="60" hidden="1">
      <c r="A209" s="165"/>
      <c r="B209" s="48"/>
      <c r="C209" s="48"/>
      <c r="D209" s="49"/>
      <c r="E209" s="49"/>
      <c r="F209" s="50"/>
      <c r="G209" s="58" t="s">
        <v>1262</v>
      </c>
      <c r="H209" s="233">
        <v>91.448275862068968</v>
      </c>
      <c r="I209" s="233">
        <v>90</v>
      </c>
      <c r="J209" s="233">
        <f>H209+0.05</f>
        <v>91.498275862068965</v>
      </c>
      <c r="K209" s="252"/>
      <c r="L209" s="233">
        <f>J209+0.05</f>
        <v>91.548275862068962</v>
      </c>
      <c r="M209" s="252"/>
      <c r="N209" s="233">
        <f>L209+0.05</f>
        <v>91.598275862068959</v>
      </c>
      <c r="O209" s="252"/>
      <c r="P209" s="233">
        <f>N209+0.05</f>
        <v>91.648275862068957</v>
      </c>
      <c r="Q209" s="252"/>
      <c r="R209" s="233">
        <f>P209+0.05</f>
        <v>91.698275862068954</v>
      </c>
      <c r="S209" s="252"/>
      <c r="T209" s="233">
        <f>R209+0.05</f>
        <v>91.748275862068951</v>
      </c>
      <c r="U209" s="252"/>
      <c r="V209" s="52"/>
      <c r="W209" s="52"/>
      <c r="X209" s="52"/>
      <c r="Y209" s="165"/>
      <c r="Z209" s="165"/>
      <c r="AA209" s="165"/>
      <c r="AB209" s="165"/>
      <c r="AC209" s="165"/>
      <c r="AD209" s="165"/>
      <c r="AE209" s="165"/>
      <c r="AF209" s="165"/>
    </row>
    <row r="210" spans="1:32" ht="60" hidden="1">
      <c r="A210" s="165"/>
      <c r="B210" s="48"/>
      <c r="C210" s="48"/>
      <c r="D210" s="49"/>
      <c r="E210" s="49"/>
      <c r="F210" s="50"/>
      <c r="G210" s="58" t="s">
        <v>1263</v>
      </c>
      <c r="H210" s="233">
        <v>90.209790209790214</v>
      </c>
      <c r="I210" s="233">
        <v>90</v>
      </c>
      <c r="J210" s="233">
        <f>H210+0.05</f>
        <v>90.259790209790211</v>
      </c>
      <c r="K210" s="252"/>
      <c r="L210" s="233">
        <f>J210+0.05</f>
        <v>90.309790209790208</v>
      </c>
      <c r="M210" s="252"/>
      <c r="N210" s="233">
        <f>L210+0.05</f>
        <v>90.359790209790205</v>
      </c>
      <c r="O210" s="252"/>
      <c r="P210" s="233">
        <f>N210+0.05</f>
        <v>90.409790209790202</v>
      </c>
      <c r="Q210" s="252"/>
      <c r="R210" s="233">
        <f>P210+0.05</f>
        <v>90.459790209790199</v>
      </c>
      <c r="S210" s="252"/>
      <c r="T210" s="233">
        <f>R210+0.05</f>
        <v>90.509790209790197</v>
      </c>
      <c r="U210" s="252"/>
      <c r="V210" s="52"/>
      <c r="W210" s="52"/>
      <c r="X210" s="52"/>
      <c r="Y210" s="165"/>
      <c r="Z210" s="165"/>
      <c r="AA210" s="165"/>
      <c r="AB210" s="165"/>
      <c r="AC210" s="165"/>
      <c r="AD210" s="165"/>
      <c r="AE210" s="165"/>
      <c r="AF210" s="165"/>
    </row>
    <row r="211" spans="1:32" ht="120" hidden="1">
      <c r="A211" s="165"/>
      <c r="B211" s="48"/>
      <c r="C211" s="48"/>
      <c r="D211" s="49"/>
      <c r="E211" s="49"/>
      <c r="F211" s="50"/>
      <c r="G211" s="58" t="s">
        <v>4220</v>
      </c>
      <c r="H211" s="233">
        <v>90.87</v>
      </c>
      <c r="I211" s="233">
        <v>93.91</v>
      </c>
      <c r="J211" s="233">
        <v>92</v>
      </c>
      <c r="K211" s="252"/>
      <c r="L211" s="233">
        <f>J211+0.6</f>
        <v>92.6</v>
      </c>
      <c r="M211" s="252"/>
      <c r="N211" s="233">
        <f>L211+0.6</f>
        <v>93.199999999999989</v>
      </c>
      <c r="O211" s="252"/>
      <c r="P211" s="233">
        <f>N211+0.6</f>
        <v>93.799999999999983</v>
      </c>
      <c r="Q211" s="252"/>
      <c r="R211" s="233">
        <f>P211+0.6</f>
        <v>94.399999999999977</v>
      </c>
      <c r="S211" s="252"/>
      <c r="T211" s="233">
        <f>R211+0.6</f>
        <v>94.999999999999972</v>
      </c>
      <c r="U211" s="252"/>
      <c r="V211" s="52"/>
      <c r="W211" s="52"/>
      <c r="X211" s="52"/>
      <c r="Y211" s="165"/>
      <c r="Z211" s="165"/>
      <c r="AA211" s="165"/>
      <c r="AB211" s="165"/>
      <c r="AC211" s="165"/>
      <c r="AD211" s="165"/>
      <c r="AE211" s="165"/>
      <c r="AF211" s="165"/>
    </row>
    <row r="212" spans="1:32" ht="75" hidden="1">
      <c r="A212" s="165"/>
      <c r="B212" s="48"/>
      <c r="C212" s="48"/>
      <c r="D212" s="49"/>
      <c r="E212" s="49"/>
      <c r="F212" s="50"/>
      <c r="G212" s="58" t="s">
        <v>4221</v>
      </c>
      <c r="H212" s="233">
        <v>78.099999999999994</v>
      </c>
      <c r="I212" s="233">
        <v>83.81</v>
      </c>
      <c r="J212" s="233">
        <v>78.5</v>
      </c>
      <c r="K212" s="252"/>
      <c r="L212" s="233">
        <f>J212+1.2</f>
        <v>79.7</v>
      </c>
      <c r="M212" s="252"/>
      <c r="N212" s="233">
        <f>L212+1.2</f>
        <v>80.900000000000006</v>
      </c>
      <c r="O212" s="252"/>
      <c r="P212" s="233">
        <f>N212+1.2</f>
        <v>82.100000000000009</v>
      </c>
      <c r="Q212" s="252"/>
      <c r="R212" s="233">
        <f>P212+1.2</f>
        <v>83.300000000000011</v>
      </c>
      <c r="S212" s="252"/>
      <c r="T212" s="233">
        <f>R212+1.2</f>
        <v>84.500000000000014</v>
      </c>
      <c r="U212" s="252"/>
      <c r="V212" s="52"/>
      <c r="W212" s="52"/>
      <c r="X212" s="52"/>
      <c r="Y212" s="165"/>
      <c r="Z212" s="165"/>
      <c r="AA212" s="165"/>
      <c r="AB212" s="165"/>
      <c r="AC212" s="165"/>
      <c r="AD212" s="165"/>
      <c r="AE212" s="165"/>
      <c r="AF212" s="165"/>
    </row>
    <row r="213" spans="1:32" ht="135" hidden="1">
      <c r="A213" s="165"/>
      <c r="B213" s="48"/>
      <c r="C213" s="48"/>
      <c r="D213" s="49"/>
      <c r="E213" s="49"/>
      <c r="F213" s="50"/>
      <c r="G213" s="58" t="s">
        <v>4222</v>
      </c>
      <c r="H213" s="233">
        <v>81.3</v>
      </c>
      <c r="I213" s="233">
        <v>84.52</v>
      </c>
      <c r="J213" s="233">
        <v>81.5</v>
      </c>
      <c r="K213" s="252"/>
      <c r="L213" s="233">
        <f>J213+1.5</f>
        <v>83</v>
      </c>
      <c r="M213" s="252"/>
      <c r="N213" s="233">
        <f>L213+1.5</f>
        <v>84.5</v>
      </c>
      <c r="O213" s="252"/>
      <c r="P213" s="233">
        <f>N213+1.5</f>
        <v>86</v>
      </c>
      <c r="Q213" s="252"/>
      <c r="R213" s="233">
        <f>P213+1.5</f>
        <v>87.5</v>
      </c>
      <c r="S213" s="252"/>
      <c r="T213" s="233">
        <f>R213+1.5</f>
        <v>89</v>
      </c>
      <c r="U213" s="252"/>
      <c r="V213" s="52"/>
      <c r="W213" s="52"/>
      <c r="X213" s="52"/>
      <c r="Y213" s="165"/>
      <c r="Z213" s="165"/>
      <c r="AA213" s="165"/>
      <c r="AB213" s="165"/>
      <c r="AC213" s="165"/>
      <c r="AD213" s="165"/>
      <c r="AE213" s="165"/>
      <c r="AF213" s="165"/>
    </row>
    <row r="214" spans="1:32" ht="150" hidden="1">
      <c r="A214" s="165"/>
      <c r="B214" s="48"/>
      <c r="C214" s="48"/>
      <c r="D214" s="49"/>
      <c r="E214" s="49"/>
      <c r="F214" s="50"/>
      <c r="G214" s="58" t="s">
        <v>4223</v>
      </c>
      <c r="H214" s="233">
        <v>72.38</v>
      </c>
      <c r="I214" s="233">
        <v>80</v>
      </c>
      <c r="J214" s="233">
        <v>72.5</v>
      </c>
      <c r="K214" s="252"/>
      <c r="L214" s="233">
        <f>J214+2</f>
        <v>74.5</v>
      </c>
      <c r="M214" s="252"/>
      <c r="N214" s="233">
        <f>L214+2</f>
        <v>76.5</v>
      </c>
      <c r="O214" s="252"/>
      <c r="P214" s="233">
        <f>N214+2</f>
        <v>78.5</v>
      </c>
      <c r="Q214" s="252"/>
      <c r="R214" s="233">
        <f>P214+2</f>
        <v>80.5</v>
      </c>
      <c r="S214" s="252"/>
      <c r="T214" s="233">
        <f>R214+2</f>
        <v>82.5</v>
      </c>
      <c r="U214" s="252"/>
      <c r="V214" s="52"/>
      <c r="W214" s="52"/>
      <c r="X214" s="52"/>
      <c r="Y214" s="165"/>
      <c r="Z214" s="165"/>
      <c r="AA214" s="165"/>
      <c r="AB214" s="165"/>
      <c r="AC214" s="165"/>
      <c r="AD214" s="165"/>
      <c r="AE214" s="165"/>
      <c r="AF214" s="165"/>
    </row>
    <row r="215" spans="1:32" ht="195" hidden="1">
      <c r="A215" s="165"/>
      <c r="B215" s="48"/>
      <c r="C215" s="48"/>
      <c r="D215" s="49"/>
      <c r="E215" s="49"/>
      <c r="F215" s="50"/>
      <c r="G215" s="58" t="s">
        <v>4224</v>
      </c>
      <c r="H215" s="233">
        <v>65.709999999999994</v>
      </c>
      <c r="I215" s="233">
        <v>74.290000000000006</v>
      </c>
      <c r="J215" s="233">
        <v>66</v>
      </c>
      <c r="K215" s="252"/>
      <c r="L215" s="233">
        <f>J215+1.7</f>
        <v>67.7</v>
      </c>
      <c r="M215" s="252"/>
      <c r="N215" s="233">
        <f>L215+1.7</f>
        <v>69.400000000000006</v>
      </c>
      <c r="O215" s="252"/>
      <c r="P215" s="233">
        <f>N215+1.7</f>
        <v>71.100000000000009</v>
      </c>
      <c r="Q215" s="252"/>
      <c r="R215" s="233">
        <f>P215+1.7</f>
        <v>72.800000000000011</v>
      </c>
      <c r="S215" s="252"/>
      <c r="T215" s="233">
        <f>R215+1.7</f>
        <v>74.500000000000014</v>
      </c>
      <c r="U215" s="252"/>
      <c r="V215" s="52"/>
      <c r="W215" s="52"/>
      <c r="X215" s="52"/>
      <c r="Y215" s="165"/>
      <c r="Z215" s="165"/>
      <c r="AA215" s="165"/>
      <c r="AB215" s="165"/>
      <c r="AC215" s="165"/>
      <c r="AD215" s="165"/>
      <c r="AE215" s="165"/>
      <c r="AF215" s="165"/>
    </row>
    <row r="216" spans="1:32" ht="105" hidden="1">
      <c r="A216" s="165"/>
      <c r="B216" s="48"/>
      <c r="C216" s="48"/>
      <c r="D216" s="49"/>
      <c r="E216" s="49"/>
      <c r="F216" s="50"/>
      <c r="G216" s="58" t="s">
        <v>4225</v>
      </c>
      <c r="H216" s="233">
        <v>82.96</v>
      </c>
      <c r="I216" s="233">
        <v>86.43</v>
      </c>
      <c r="J216" s="233">
        <v>83</v>
      </c>
      <c r="K216" s="252"/>
      <c r="L216" s="233">
        <f>J216+1.2</f>
        <v>84.2</v>
      </c>
      <c r="M216" s="252"/>
      <c r="N216" s="233">
        <f>L216+1.2</f>
        <v>85.4</v>
      </c>
      <c r="O216" s="252"/>
      <c r="P216" s="233">
        <f>N216+1.2</f>
        <v>86.600000000000009</v>
      </c>
      <c r="Q216" s="252"/>
      <c r="R216" s="233">
        <f>P216+1.2</f>
        <v>87.800000000000011</v>
      </c>
      <c r="S216" s="252"/>
      <c r="T216" s="233">
        <f>R216+1.2</f>
        <v>89.000000000000014</v>
      </c>
      <c r="U216" s="252"/>
      <c r="V216" s="52"/>
      <c r="W216" s="52"/>
      <c r="X216" s="52"/>
      <c r="Y216" s="165"/>
      <c r="Z216" s="165"/>
      <c r="AA216" s="165"/>
      <c r="AB216" s="165"/>
      <c r="AC216" s="165"/>
      <c r="AD216" s="165"/>
      <c r="AE216" s="165"/>
      <c r="AF216" s="165"/>
    </row>
    <row r="217" spans="1:32" ht="120" hidden="1">
      <c r="A217" s="165"/>
      <c r="B217" s="48"/>
      <c r="C217" s="48"/>
      <c r="D217" s="49"/>
      <c r="E217" s="49"/>
      <c r="F217" s="50"/>
      <c r="G217" s="58" t="s">
        <v>4226</v>
      </c>
      <c r="H217" s="233">
        <v>90.48</v>
      </c>
      <c r="I217" s="233">
        <v>94.29</v>
      </c>
      <c r="J217" s="233">
        <v>90.5</v>
      </c>
      <c r="K217" s="252"/>
      <c r="L217" s="233">
        <f>J217+1.5</f>
        <v>92</v>
      </c>
      <c r="M217" s="252"/>
      <c r="N217" s="233">
        <f>L217+1.5</f>
        <v>93.5</v>
      </c>
      <c r="O217" s="252"/>
      <c r="P217" s="233">
        <f>N217+1.5</f>
        <v>95</v>
      </c>
      <c r="Q217" s="252"/>
      <c r="R217" s="233">
        <f>P217+1.5</f>
        <v>96.5</v>
      </c>
      <c r="S217" s="252"/>
      <c r="T217" s="233">
        <f>R217+1.5</f>
        <v>98</v>
      </c>
      <c r="U217" s="252"/>
      <c r="V217" s="52"/>
      <c r="W217" s="52"/>
      <c r="X217" s="52"/>
      <c r="Y217" s="165"/>
      <c r="Z217" s="165"/>
      <c r="AA217" s="165"/>
      <c r="AB217" s="165"/>
      <c r="AC217" s="165"/>
      <c r="AD217" s="165"/>
      <c r="AE217" s="165"/>
      <c r="AF217" s="165"/>
    </row>
    <row r="218" spans="1:32" ht="120" hidden="1">
      <c r="A218" s="165"/>
      <c r="B218" s="48"/>
      <c r="C218" s="48"/>
      <c r="D218" s="49"/>
      <c r="E218" s="49"/>
      <c r="F218" s="50"/>
      <c r="G218" s="58" t="s">
        <v>4227</v>
      </c>
      <c r="H218" s="233">
        <v>100</v>
      </c>
      <c r="I218" s="233">
        <v>100</v>
      </c>
      <c r="J218" s="233">
        <v>95.92</v>
      </c>
      <c r="K218" s="252"/>
      <c r="L218" s="233">
        <v>95.92</v>
      </c>
      <c r="M218" s="252"/>
      <c r="N218" s="233">
        <v>95.92</v>
      </c>
      <c r="O218" s="252"/>
      <c r="P218" s="233">
        <v>95.92</v>
      </c>
      <c r="Q218" s="252"/>
      <c r="R218" s="233">
        <v>95.92</v>
      </c>
      <c r="S218" s="252"/>
      <c r="T218" s="233">
        <v>95.92</v>
      </c>
      <c r="U218" s="252"/>
      <c r="V218" s="52"/>
      <c r="W218" s="52"/>
      <c r="X218" s="52"/>
      <c r="Y218" s="165"/>
      <c r="Z218" s="165"/>
      <c r="AA218" s="165"/>
      <c r="AB218" s="165"/>
      <c r="AC218" s="165"/>
      <c r="AD218" s="165"/>
      <c r="AE218" s="165"/>
      <c r="AF218" s="165"/>
    </row>
    <row r="219" spans="1:32" ht="60" hidden="1">
      <c r="A219" s="165"/>
      <c r="B219" s="48"/>
      <c r="C219" s="48"/>
      <c r="D219" s="49"/>
      <c r="E219" s="49"/>
      <c r="F219" s="50"/>
      <c r="G219" s="58" t="s">
        <v>2231</v>
      </c>
      <c r="H219" s="233">
        <v>0</v>
      </c>
      <c r="I219" s="233">
        <v>100</v>
      </c>
      <c r="J219" s="233">
        <v>99</v>
      </c>
      <c r="K219" s="252">
        <v>25865000</v>
      </c>
      <c r="L219" s="252">
        <v>1</v>
      </c>
      <c r="M219" s="252">
        <v>23465000</v>
      </c>
      <c r="N219" s="252">
        <v>1</v>
      </c>
      <c r="O219" s="252">
        <v>23465000</v>
      </c>
      <c r="P219" s="252">
        <v>1</v>
      </c>
      <c r="Q219" s="252">
        <v>23465000</v>
      </c>
      <c r="R219" s="252">
        <v>1</v>
      </c>
      <c r="S219" s="252">
        <v>23465000</v>
      </c>
      <c r="T219" s="252">
        <v>1</v>
      </c>
      <c r="U219" s="252">
        <v>23465000</v>
      </c>
      <c r="V219" s="52"/>
      <c r="W219" s="52"/>
      <c r="X219" s="52"/>
      <c r="Y219" s="165"/>
      <c r="Z219" s="165"/>
      <c r="AA219" s="165"/>
      <c r="AB219" s="165"/>
      <c r="AC219" s="165"/>
      <c r="AD219" s="165"/>
      <c r="AE219" s="165"/>
      <c r="AF219" s="165"/>
    </row>
    <row r="220" spans="1:32" ht="60" hidden="1">
      <c r="A220" s="165"/>
      <c r="B220" s="48"/>
      <c r="C220" s="48"/>
      <c r="D220" s="49"/>
      <c r="E220" s="49"/>
      <c r="F220" s="50"/>
      <c r="G220" s="58" t="s">
        <v>2232</v>
      </c>
      <c r="H220" s="233">
        <v>0</v>
      </c>
      <c r="I220" s="233">
        <v>100</v>
      </c>
      <c r="J220" s="233">
        <v>99</v>
      </c>
      <c r="K220" s="252">
        <v>15000000</v>
      </c>
      <c r="L220" s="252">
        <v>1</v>
      </c>
      <c r="M220" s="252">
        <v>14621500</v>
      </c>
      <c r="N220" s="252">
        <v>1</v>
      </c>
      <c r="O220" s="252">
        <v>14621500</v>
      </c>
      <c r="P220" s="252">
        <v>1</v>
      </c>
      <c r="Q220" s="252">
        <v>14621500</v>
      </c>
      <c r="R220" s="252">
        <v>1</v>
      </c>
      <c r="S220" s="252">
        <v>14621500</v>
      </c>
      <c r="T220" s="252">
        <v>1</v>
      </c>
      <c r="U220" s="252">
        <v>14621500</v>
      </c>
      <c r="V220" s="52"/>
      <c r="W220" s="52"/>
      <c r="X220" s="52"/>
      <c r="Y220" s="165"/>
      <c r="Z220" s="165"/>
      <c r="AA220" s="165"/>
      <c r="AB220" s="165"/>
      <c r="AC220" s="165"/>
      <c r="AD220" s="165"/>
      <c r="AE220" s="165"/>
      <c r="AF220" s="165"/>
    </row>
    <row r="221" spans="1:32" ht="90" hidden="1">
      <c r="A221" s="165"/>
      <c r="B221" s="48"/>
      <c r="C221" s="48"/>
      <c r="D221" s="49"/>
      <c r="E221" s="49"/>
      <c r="F221" s="50"/>
      <c r="G221" s="58" t="s">
        <v>2233</v>
      </c>
      <c r="H221" s="233">
        <v>0</v>
      </c>
      <c r="I221" s="233">
        <v>100</v>
      </c>
      <c r="J221" s="233">
        <v>99</v>
      </c>
      <c r="K221" s="252">
        <v>25000000</v>
      </c>
      <c r="L221" s="252">
        <v>1</v>
      </c>
      <c r="M221" s="252">
        <v>25000000</v>
      </c>
      <c r="N221" s="252">
        <v>1</v>
      </c>
      <c r="O221" s="252">
        <v>25000000</v>
      </c>
      <c r="P221" s="252">
        <v>1</v>
      </c>
      <c r="Q221" s="252">
        <v>25000000</v>
      </c>
      <c r="R221" s="252">
        <v>1</v>
      </c>
      <c r="S221" s="252">
        <v>25000000</v>
      </c>
      <c r="T221" s="252">
        <v>1</v>
      </c>
      <c r="U221" s="252">
        <v>25000000</v>
      </c>
      <c r="V221" s="52"/>
      <c r="W221" s="52"/>
      <c r="X221" s="52"/>
      <c r="Y221" s="165"/>
      <c r="Z221" s="165"/>
      <c r="AA221" s="165"/>
      <c r="AB221" s="165"/>
      <c r="AC221" s="165"/>
      <c r="AD221" s="165"/>
      <c r="AE221" s="165"/>
      <c r="AF221" s="165"/>
    </row>
    <row r="222" spans="1:32" ht="45" hidden="1">
      <c r="A222" s="165"/>
      <c r="B222" s="48"/>
      <c r="C222" s="48"/>
      <c r="D222" s="49"/>
      <c r="E222" s="49"/>
      <c r="F222" s="50"/>
      <c r="G222" s="58" t="s">
        <v>2234</v>
      </c>
      <c r="H222" s="233">
        <v>93.06</v>
      </c>
      <c r="I222" s="233">
        <v>100</v>
      </c>
      <c r="J222" s="233">
        <v>67.069999999999993</v>
      </c>
      <c r="K222" s="252">
        <v>30050000</v>
      </c>
      <c r="L222" s="252">
        <v>80</v>
      </c>
      <c r="M222" s="252">
        <v>39715000</v>
      </c>
      <c r="N222" s="252">
        <v>80</v>
      </c>
      <c r="O222" s="252">
        <v>40000000</v>
      </c>
      <c r="P222" s="252">
        <v>80</v>
      </c>
      <c r="Q222" s="252">
        <v>45000000</v>
      </c>
      <c r="R222" s="252">
        <v>80</v>
      </c>
      <c r="S222" s="252">
        <v>50000000</v>
      </c>
      <c r="T222" s="252">
        <v>80</v>
      </c>
      <c r="U222" s="252">
        <v>50000000</v>
      </c>
      <c r="V222" s="52"/>
      <c r="W222" s="52"/>
      <c r="X222" s="52"/>
      <c r="Y222" s="165"/>
      <c r="Z222" s="165"/>
      <c r="AA222" s="165"/>
      <c r="AB222" s="165"/>
      <c r="AC222" s="165"/>
      <c r="AD222" s="165"/>
      <c r="AE222" s="165"/>
      <c r="AF222" s="165"/>
    </row>
    <row r="223" spans="1:32" ht="30" hidden="1">
      <c r="A223" s="165"/>
      <c r="B223" s="48"/>
      <c r="C223" s="48"/>
      <c r="D223" s="49"/>
      <c r="E223" s="49"/>
      <c r="F223" s="50"/>
      <c r="G223" s="58" t="s">
        <v>2235</v>
      </c>
      <c r="H223" s="233">
        <v>95.2</v>
      </c>
      <c r="I223" s="233">
        <v>100</v>
      </c>
      <c r="J223" s="233">
        <v>92.85</v>
      </c>
      <c r="K223" s="252">
        <v>50000000</v>
      </c>
      <c r="L223" s="252">
        <v>80</v>
      </c>
      <c r="M223" s="252">
        <v>48500000</v>
      </c>
      <c r="N223" s="252">
        <v>90</v>
      </c>
      <c r="O223" s="252">
        <v>55000000</v>
      </c>
      <c r="P223" s="252">
        <v>100</v>
      </c>
      <c r="Q223" s="252">
        <v>60000000</v>
      </c>
      <c r="R223" s="252">
        <v>100</v>
      </c>
      <c r="S223" s="252">
        <v>65000000</v>
      </c>
      <c r="T223" s="252">
        <v>100</v>
      </c>
      <c r="U223" s="252">
        <v>65000000</v>
      </c>
      <c r="V223" s="52"/>
      <c r="W223" s="52"/>
      <c r="X223" s="52"/>
      <c r="Y223" s="165"/>
      <c r="Z223" s="165"/>
      <c r="AA223" s="165"/>
      <c r="AB223" s="165"/>
      <c r="AC223" s="165"/>
      <c r="AD223" s="165"/>
      <c r="AE223" s="165"/>
      <c r="AF223" s="165"/>
    </row>
    <row r="224" spans="1:32" ht="45" hidden="1">
      <c r="A224" s="165"/>
      <c r="B224" s="48"/>
      <c r="C224" s="48"/>
      <c r="D224" s="49"/>
      <c r="E224" s="49"/>
      <c r="F224" s="50"/>
      <c r="G224" s="58" t="s">
        <v>2236</v>
      </c>
      <c r="H224" s="233">
        <v>97.66</v>
      </c>
      <c r="I224" s="233">
        <v>100</v>
      </c>
      <c r="J224" s="233">
        <v>78.400000000000006</v>
      </c>
      <c r="K224" s="252">
        <v>22092000</v>
      </c>
      <c r="L224" s="252">
        <v>15</v>
      </c>
      <c r="M224" s="252">
        <v>22660000</v>
      </c>
      <c r="N224" s="252">
        <v>15</v>
      </c>
      <c r="O224" s="252">
        <v>40000000</v>
      </c>
      <c r="P224" s="252">
        <v>15</v>
      </c>
      <c r="Q224" s="252">
        <v>50000000</v>
      </c>
      <c r="R224" s="252">
        <v>15</v>
      </c>
      <c r="S224" s="252">
        <v>60000000</v>
      </c>
      <c r="T224" s="252">
        <v>15</v>
      </c>
      <c r="U224" s="252">
        <v>60000000</v>
      </c>
      <c r="V224" s="52"/>
      <c r="W224" s="52"/>
      <c r="X224" s="52"/>
      <c r="Y224" s="165"/>
      <c r="Z224" s="165"/>
      <c r="AA224" s="165"/>
      <c r="AB224" s="165"/>
      <c r="AC224" s="165"/>
      <c r="AD224" s="165"/>
      <c r="AE224" s="165"/>
      <c r="AF224" s="165"/>
    </row>
    <row r="225" spans="1:32" ht="60" hidden="1">
      <c r="A225" s="165"/>
      <c r="B225" s="48"/>
      <c r="C225" s="48"/>
      <c r="D225" s="49"/>
      <c r="E225" s="49"/>
      <c r="F225" s="50"/>
      <c r="G225" s="58" t="s">
        <v>2237</v>
      </c>
      <c r="H225" s="233">
        <v>83.49</v>
      </c>
      <c r="I225" s="233">
        <v>100</v>
      </c>
      <c r="J225" s="233">
        <v>100</v>
      </c>
      <c r="K225" s="252">
        <v>19045000</v>
      </c>
      <c r="L225" s="252">
        <v>1837</v>
      </c>
      <c r="M225" s="252">
        <v>19260000</v>
      </c>
      <c r="N225" s="252">
        <v>1837</v>
      </c>
      <c r="O225" s="252">
        <v>20000000</v>
      </c>
      <c r="P225" s="252">
        <v>1837</v>
      </c>
      <c r="Q225" s="252">
        <v>25000000</v>
      </c>
      <c r="R225" s="252">
        <v>1837</v>
      </c>
      <c r="S225" s="252">
        <v>30000000</v>
      </c>
      <c r="T225" s="252">
        <v>1837</v>
      </c>
      <c r="U225" s="252">
        <v>30000000</v>
      </c>
      <c r="V225" s="52"/>
      <c r="W225" s="52"/>
      <c r="X225" s="52"/>
      <c r="Y225" s="165"/>
      <c r="Z225" s="165"/>
      <c r="AA225" s="165"/>
      <c r="AB225" s="165"/>
      <c r="AC225" s="165"/>
      <c r="AD225" s="165"/>
      <c r="AE225" s="165"/>
      <c r="AF225" s="165"/>
    </row>
    <row r="226" spans="1:32" ht="45" hidden="1">
      <c r="A226" s="165"/>
      <c r="B226" s="48"/>
      <c r="C226" s="48"/>
      <c r="D226" s="49"/>
      <c r="E226" s="49"/>
      <c r="F226" s="50"/>
      <c r="G226" s="58" t="s">
        <v>2238</v>
      </c>
      <c r="H226" s="233">
        <v>100</v>
      </c>
      <c r="I226" s="233">
        <v>100</v>
      </c>
      <c r="J226" s="233">
        <v>100</v>
      </c>
      <c r="K226" s="252">
        <v>6990000</v>
      </c>
      <c r="L226" s="252">
        <v>350</v>
      </c>
      <c r="M226" s="252">
        <v>9330000</v>
      </c>
      <c r="N226" s="252">
        <v>350</v>
      </c>
      <c r="O226" s="252">
        <v>10000000</v>
      </c>
      <c r="P226" s="252">
        <v>350</v>
      </c>
      <c r="Q226" s="252">
        <v>15000000</v>
      </c>
      <c r="R226" s="252">
        <v>350</v>
      </c>
      <c r="S226" s="252">
        <v>20000000</v>
      </c>
      <c r="T226" s="252">
        <v>350</v>
      </c>
      <c r="U226" s="252">
        <v>20000000</v>
      </c>
      <c r="V226" s="52"/>
      <c r="W226" s="52"/>
      <c r="X226" s="52"/>
      <c r="Y226" s="165"/>
      <c r="Z226" s="165"/>
      <c r="AA226" s="165"/>
      <c r="AB226" s="165"/>
      <c r="AC226" s="165"/>
      <c r="AD226" s="165"/>
      <c r="AE226" s="165"/>
      <c r="AF226" s="165"/>
    </row>
    <row r="227" spans="1:32" ht="30" hidden="1">
      <c r="A227" s="165"/>
      <c r="B227" s="48"/>
      <c r="C227" s="48"/>
      <c r="D227" s="49"/>
      <c r="E227" s="49"/>
      <c r="F227" s="50"/>
      <c r="G227" s="58" t="s">
        <v>2239</v>
      </c>
      <c r="H227" s="233">
        <v>91.67</v>
      </c>
      <c r="I227" s="233">
        <v>100</v>
      </c>
      <c r="J227" s="233">
        <v>100</v>
      </c>
      <c r="K227" s="252">
        <v>35000000</v>
      </c>
      <c r="L227" s="252">
        <v>10</v>
      </c>
      <c r="M227" s="252">
        <v>35000000</v>
      </c>
      <c r="N227" s="252">
        <v>12</v>
      </c>
      <c r="O227" s="252">
        <v>40000000</v>
      </c>
      <c r="P227" s="252">
        <v>12</v>
      </c>
      <c r="Q227" s="252">
        <v>45000000</v>
      </c>
      <c r="R227" s="252">
        <v>14</v>
      </c>
      <c r="S227" s="252">
        <v>50000000</v>
      </c>
      <c r="T227" s="252">
        <v>14</v>
      </c>
      <c r="U227" s="252">
        <v>50000000</v>
      </c>
      <c r="V227" s="52"/>
      <c r="W227" s="52"/>
      <c r="X227" s="52"/>
      <c r="Y227" s="165"/>
      <c r="Z227" s="165"/>
      <c r="AA227" s="165"/>
      <c r="AB227" s="165"/>
      <c r="AC227" s="165"/>
      <c r="AD227" s="165"/>
      <c r="AE227" s="165"/>
      <c r="AF227" s="165"/>
    </row>
    <row r="228" spans="1:32" ht="60" hidden="1">
      <c r="A228" s="165"/>
      <c r="B228" s="48"/>
      <c r="C228" s="48"/>
      <c r="D228" s="49"/>
      <c r="E228" s="49"/>
      <c r="F228" s="50"/>
      <c r="G228" s="58" t="s">
        <v>2240</v>
      </c>
      <c r="H228" s="233">
        <v>84.93</v>
      </c>
      <c r="I228" s="233">
        <v>100</v>
      </c>
      <c r="J228" s="233">
        <v>78.400000000000006</v>
      </c>
      <c r="K228" s="252">
        <v>25000000</v>
      </c>
      <c r="L228" s="252">
        <v>15</v>
      </c>
      <c r="M228" s="252">
        <v>50000000</v>
      </c>
      <c r="N228" s="252">
        <v>15</v>
      </c>
      <c r="O228" s="252">
        <v>30000000</v>
      </c>
      <c r="P228" s="252">
        <v>15</v>
      </c>
      <c r="Q228" s="252">
        <v>35000000</v>
      </c>
      <c r="R228" s="252">
        <v>15</v>
      </c>
      <c r="S228" s="252">
        <v>40000000</v>
      </c>
      <c r="T228" s="252">
        <v>15</v>
      </c>
      <c r="U228" s="252">
        <v>40000000</v>
      </c>
      <c r="V228" s="52"/>
      <c r="W228" s="52"/>
      <c r="X228" s="52"/>
      <c r="Y228" s="165"/>
      <c r="Z228" s="165"/>
      <c r="AA228" s="165"/>
      <c r="AB228" s="165"/>
      <c r="AC228" s="165"/>
      <c r="AD228" s="165"/>
      <c r="AE228" s="165"/>
      <c r="AF228" s="165"/>
    </row>
    <row r="229" spans="1:32" ht="30" hidden="1">
      <c r="A229" s="165"/>
      <c r="B229" s="48"/>
      <c r="C229" s="48"/>
      <c r="D229" s="49"/>
      <c r="E229" s="49"/>
      <c r="F229" s="50"/>
      <c r="G229" s="58" t="s">
        <v>2241</v>
      </c>
      <c r="H229" s="233">
        <v>73.569999999999993</v>
      </c>
      <c r="I229" s="233">
        <v>100</v>
      </c>
      <c r="J229" s="233">
        <v>100</v>
      </c>
      <c r="K229" s="252">
        <v>4685000</v>
      </c>
      <c r="L229" s="252">
        <v>20</v>
      </c>
      <c r="M229" s="252">
        <v>4875000</v>
      </c>
      <c r="N229" s="252">
        <v>30</v>
      </c>
      <c r="O229" s="252">
        <v>8000000</v>
      </c>
      <c r="P229" s="252">
        <v>30</v>
      </c>
      <c r="Q229" s="252">
        <v>9000000</v>
      </c>
      <c r="R229" s="252">
        <v>30</v>
      </c>
      <c r="S229" s="252">
        <v>10000000</v>
      </c>
      <c r="T229" s="252">
        <v>30</v>
      </c>
      <c r="U229" s="252">
        <v>10000000</v>
      </c>
      <c r="V229" s="52"/>
      <c r="W229" s="52"/>
      <c r="X229" s="52"/>
      <c r="Y229" s="165"/>
      <c r="Z229" s="165"/>
      <c r="AA229" s="165"/>
      <c r="AB229" s="165"/>
      <c r="AC229" s="165"/>
      <c r="AD229" s="165"/>
      <c r="AE229" s="165"/>
      <c r="AF229" s="165"/>
    </row>
    <row r="230" spans="1:32" ht="75" hidden="1">
      <c r="A230" s="165"/>
      <c r="B230" s="48"/>
      <c r="C230" s="48"/>
      <c r="D230" s="49"/>
      <c r="E230" s="49"/>
      <c r="F230" s="50"/>
      <c r="G230" s="58" t="s">
        <v>2242</v>
      </c>
      <c r="H230" s="233">
        <v>85.41</v>
      </c>
      <c r="I230" s="233">
        <v>100</v>
      </c>
      <c r="J230" s="233">
        <v>96</v>
      </c>
      <c r="K230" s="252">
        <v>71846000</v>
      </c>
      <c r="L230" s="252">
        <v>600</v>
      </c>
      <c r="M230" s="252">
        <v>69650000</v>
      </c>
      <c r="N230" s="252">
        <v>5000</v>
      </c>
      <c r="O230" s="252">
        <v>50000000</v>
      </c>
      <c r="P230" s="252">
        <v>5000</v>
      </c>
      <c r="Q230" s="252">
        <v>90000000</v>
      </c>
      <c r="R230" s="252">
        <v>5000</v>
      </c>
      <c r="S230" s="252">
        <v>95000000</v>
      </c>
      <c r="T230" s="252">
        <v>5000</v>
      </c>
      <c r="U230" s="252">
        <v>95000000</v>
      </c>
      <c r="V230" s="52"/>
      <c r="W230" s="52"/>
      <c r="X230" s="52"/>
      <c r="Y230" s="165"/>
      <c r="Z230" s="165"/>
      <c r="AA230" s="165"/>
      <c r="AB230" s="165"/>
      <c r="AC230" s="165"/>
      <c r="AD230" s="165"/>
      <c r="AE230" s="165"/>
      <c r="AF230" s="165"/>
    </row>
    <row r="231" spans="1:32" ht="30" hidden="1">
      <c r="A231" s="165"/>
      <c r="B231" s="48"/>
      <c r="C231" s="48"/>
      <c r="D231" s="49"/>
      <c r="E231" s="49"/>
      <c r="F231" s="50"/>
      <c r="G231" s="58" t="s">
        <v>2243</v>
      </c>
      <c r="H231" s="233">
        <v>81.13</v>
      </c>
      <c r="I231" s="233">
        <v>100</v>
      </c>
      <c r="J231" s="233">
        <v>100</v>
      </c>
      <c r="K231" s="252">
        <v>94461500</v>
      </c>
      <c r="L231" s="252">
        <v>150</v>
      </c>
      <c r="M231" s="252">
        <v>87100000</v>
      </c>
      <c r="N231" s="252">
        <v>150</v>
      </c>
      <c r="O231" s="252">
        <v>95000000</v>
      </c>
      <c r="P231" s="252">
        <v>0</v>
      </c>
      <c r="Q231" s="252">
        <v>0</v>
      </c>
      <c r="R231" s="252">
        <v>0</v>
      </c>
      <c r="S231" s="252">
        <v>0</v>
      </c>
      <c r="T231" s="252">
        <v>0</v>
      </c>
      <c r="U231" s="252">
        <v>0</v>
      </c>
      <c r="V231" s="52"/>
      <c r="W231" s="52"/>
      <c r="X231" s="52"/>
      <c r="Y231" s="165"/>
      <c r="Z231" s="165"/>
      <c r="AA231" s="165"/>
      <c r="AB231" s="165"/>
      <c r="AC231" s="165"/>
      <c r="AD231" s="165"/>
      <c r="AE231" s="165"/>
      <c r="AF231" s="165"/>
    </row>
    <row r="232" spans="1:32" ht="30" hidden="1">
      <c r="A232" s="165"/>
      <c r="B232" s="48"/>
      <c r="C232" s="48"/>
      <c r="D232" s="49"/>
      <c r="E232" s="49"/>
      <c r="F232" s="50"/>
      <c r="G232" s="58" t="s">
        <v>2244</v>
      </c>
      <c r="H232" s="233">
        <v>95.67</v>
      </c>
      <c r="I232" s="233">
        <v>100</v>
      </c>
      <c r="J232" s="233">
        <v>100</v>
      </c>
      <c r="K232" s="252">
        <v>5631925000</v>
      </c>
      <c r="L232" s="252">
        <v>1837</v>
      </c>
      <c r="M232" s="252">
        <v>5631925000</v>
      </c>
      <c r="N232" s="252">
        <v>1837</v>
      </c>
      <c r="O232" s="252">
        <v>5800000000</v>
      </c>
      <c r="P232" s="252">
        <v>1837</v>
      </c>
      <c r="Q232" s="252">
        <v>5800000000</v>
      </c>
      <c r="R232" s="252">
        <v>1837</v>
      </c>
      <c r="S232" s="252">
        <v>5800000000</v>
      </c>
      <c r="T232" s="252">
        <v>1837</v>
      </c>
      <c r="U232" s="252">
        <v>5800000000</v>
      </c>
      <c r="V232" s="52"/>
      <c r="W232" s="52"/>
      <c r="X232" s="52"/>
      <c r="Y232" s="165"/>
      <c r="Z232" s="165"/>
      <c r="AA232" s="165"/>
      <c r="AB232" s="165"/>
      <c r="AC232" s="165"/>
      <c r="AD232" s="165"/>
      <c r="AE232" s="165"/>
      <c r="AF232" s="165"/>
    </row>
    <row r="233" spans="1:32" ht="60" hidden="1">
      <c r="A233" s="165"/>
      <c r="B233" s="48"/>
      <c r="C233" s="48"/>
      <c r="D233" s="49"/>
      <c r="E233" s="49"/>
      <c r="F233" s="50"/>
      <c r="G233" s="58" t="s">
        <v>2245</v>
      </c>
      <c r="H233" s="233">
        <v>92.35</v>
      </c>
      <c r="I233" s="233">
        <v>100</v>
      </c>
      <c r="J233" s="233">
        <v>100</v>
      </c>
      <c r="K233" s="252">
        <v>739375000</v>
      </c>
      <c r="L233" s="252">
        <v>325</v>
      </c>
      <c r="M233" s="252">
        <v>739375000</v>
      </c>
      <c r="N233" s="252">
        <v>325</v>
      </c>
      <c r="O233" s="252">
        <v>740000000</v>
      </c>
      <c r="P233" s="252">
        <v>329</v>
      </c>
      <c r="Q233" s="252">
        <v>750000000</v>
      </c>
      <c r="R233" s="252">
        <v>329</v>
      </c>
      <c r="S233" s="252">
        <v>750000000</v>
      </c>
      <c r="T233" s="252">
        <v>329</v>
      </c>
      <c r="U233" s="252">
        <v>750000000</v>
      </c>
      <c r="V233" s="52"/>
      <c r="W233" s="52"/>
      <c r="X233" s="52"/>
      <c r="Y233" s="165"/>
      <c r="Z233" s="165"/>
      <c r="AA233" s="165"/>
      <c r="AB233" s="165"/>
      <c r="AC233" s="165"/>
      <c r="AD233" s="165"/>
      <c r="AE233" s="165"/>
      <c r="AF233" s="165"/>
    </row>
    <row r="234" spans="1:32" ht="45" hidden="1">
      <c r="A234" s="165"/>
      <c r="B234" s="48"/>
      <c r="C234" s="48"/>
      <c r="D234" s="49"/>
      <c r="E234" s="49"/>
      <c r="F234" s="50"/>
      <c r="G234" s="58" t="s">
        <v>2246</v>
      </c>
      <c r="H234" s="233">
        <v>96.63</v>
      </c>
      <c r="I234" s="233">
        <v>100</v>
      </c>
      <c r="J234" s="233">
        <v>98</v>
      </c>
      <c r="K234" s="252">
        <v>322000000</v>
      </c>
      <c r="L234" s="252">
        <v>100</v>
      </c>
      <c r="M234" s="252">
        <v>315000000</v>
      </c>
      <c r="N234" s="252">
        <v>100</v>
      </c>
      <c r="O234" s="252">
        <v>350000000</v>
      </c>
      <c r="P234" s="252">
        <v>100</v>
      </c>
      <c r="Q234" s="252">
        <v>350000000</v>
      </c>
      <c r="R234" s="252">
        <v>100</v>
      </c>
      <c r="S234" s="252">
        <v>350000000</v>
      </c>
      <c r="T234" s="252">
        <v>100</v>
      </c>
      <c r="U234" s="252">
        <v>350000000</v>
      </c>
      <c r="V234" s="52"/>
      <c r="W234" s="52"/>
      <c r="X234" s="52"/>
      <c r="Y234" s="165"/>
      <c r="Z234" s="165"/>
      <c r="AA234" s="165"/>
      <c r="AB234" s="165"/>
      <c r="AC234" s="165"/>
      <c r="AD234" s="165"/>
      <c r="AE234" s="165"/>
      <c r="AF234" s="165"/>
    </row>
    <row r="235" spans="1:32" ht="60" hidden="1">
      <c r="A235" s="165"/>
      <c r="B235" s="48"/>
      <c r="C235" s="48"/>
      <c r="D235" s="49"/>
      <c r="E235" s="49"/>
      <c r="F235" s="50"/>
      <c r="G235" s="58" t="s">
        <v>2247</v>
      </c>
      <c r="H235" s="233">
        <v>100</v>
      </c>
      <c r="I235" s="233">
        <v>100</v>
      </c>
      <c r="J235" s="233"/>
      <c r="K235" s="252">
        <v>530075000</v>
      </c>
      <c r="L235" s="252"/>
      <c r="M235" s="252">
        <v>530075000</v>
      </c>
      <c r="N235" s="252"/>
      <c r="O235" s="252"/>
      <c r="P235" s="252"/>
      <c r="Q235" s="252"/>
      <c r="R235" s="252"/>
      <c r="S235" s="252"/>
      <c r="T235" s="252"/>
      <c r="U235" s="252"/>
      <c r="V235" s="52"/>
      <c r="W235" s="52"/>
      <c r="X235" s="52"/>
      <c r="Y235" s="165"/>
      <c r="Z235" s="165"/>
      <c r="AA235" s="165"/>
      <c r="AB235" s="165"/>
      <c r="AC235" s="165"/>
      <c r="AD235" s="165"/>
      <c r="AE235" s="165"/>
      <c r="AF235" s="165"/>
    </row>
    <row r="236" spans="1:32" ht="60" hidden="1">
      <c r="A236" s="165"/>
      <c r="B236" s="48"/>
      <c r="C236" s="48"/>
      <c r="D236" s="49"/>
      <c r="E236" s="49"/>
      <c r="F236" s="50"/>
      <c r="G236" s="58" t="s">
        <v>2248</v>
      </c>
      <c r="H236" s="233">
        <v>0</v>
      </c>
      <c r="I236" s="233">
        <v>100</v>
      </c>
      <c r="J236" s="233">
        <v>95</v>
      </c>
      <c r="K236" s="252">
        <v>100000000</v>
      </c>
      <c r="L236" s="252">
        <v>1</v>
      </c>
      <c r="M236" s="252">
        <v>100000000</v>
      </c>
      <c r="N236" s="252">
        <v>1</v>
      </c>
      <c r="O236" s="252">
        <v>110000000</v>
      </c>
      <c r="P236" s="252">
        <v>1</v>
      </c>
      <c r="Q236" s="252">
        <v>110000000</v>
      </c>
      <c r="R236" s="252">
        <v>1</v>
      </c>
      <c r="S236" s="252">
        <v>110000000</v>
      </c>
      <c r="T236" s="252">
        <v>1</v>
      </c>
      <c r="U236" s="252">
        <v>110000000</v>
      </c>
      <c r="V236" s="52"/>
      <c r="W236" s="52"/>
      <c r="X236" s="52"/>
      <c r="Y236" s="165"/>
      <c r="Z236" s="165"/>
      <c r="AA236" s="165"/>
      <c r="AB236" s="165"/>
      <c r="AC236" s="165"/>
      <c r="AD236" s="165"/>
      <c r="AE236" s="165"/>
      <c r="AF236" s="165"/>
    </row>
    <row r="237" spans="1:32" ht="45" hidden="1">
      <c r="A237" s="165"/>
      <c r="B237" s="48"/>
      <c r="C237" s="48"/>
      <c r="D237" s="49"/>
      <c r="E237" s="49"/>
      <c r="F237" s="50"/>
      <c r="G237" s="58" t="s">
        <v>1274</v>
      </c>
      <c r="H237" s="233">
        <v>3.13</v>
      </c>
      <c r="I237" s="233"/>
      <c r="J237" s="233">
        <f>H237+0.1</f>
        <v>3.23</v>
      </c>
      <c r="K237" s="52"/>
      <c r="L237" s="233">
        <f>J237+0.1</f>
        <v>3.33</v>
      </c>
      <c r="M237" s="52"/>
      <c r="N237" s="233">
        <f>L237+0.1</f>
        <v>3.43</v>
      </c>
      <c r="O237" s="52"/>
      <c r="P237" s="233">
        <f>N237+0.1</f>
        <v>3.5300000000000002</v>
      </c>
      <c r="Q237" s="52"/>
      <c r="R237" s="233">
        <f>P237+0.1</f>
        <v>3.6300000000000003</v>
      </c>
      <c r="S237" s="52"/>
      <c r="T237" s="233">
        <f>R237+0.1</f>
        <v>3.7300000000000004</v>
      </c>
      <c r="U237" s="52"/>
      <c r="V237" s="52"/>
      <c r="W237" s="52"/>
      <c r="X237" s="52"/>
      <c r="Y237" s="165"/>
      <c r="Z237" s="165"/>
      <c r="AA237" s="165"/>
      <c r="AB237" s="165"/>
      <c r="AC237" s="165"/>
      <c r="AD237" s="165"/>
      <c r="AE237" s="165"/>
      <c r="AF237" s="165"/>
    </row>
    <row r="238" spans="1:32" ht="45" hidden="1">
      <c r="A238" s="165"/>
      <c r="B238" s="48"/>
      <c r="C238" s="48"/>
      <c r="D238" s="49"/>
      <c r="E238" s="49"/>
      <c r="F238" s="50"/>
      <c r="G238" s="58" t="s">
        <v>1277</v>
      </c>
      <c r="H238" s="233">
        <v>30.8</v>
      </c>
      <c r="I238" s="233"/>
      <c r="J238" s="233">
        <f>H238+0.1</f>
        <v>30.900000000000002</v>
      </c>
      <c r="K238" s="252"/>
      <c r="L238" s="233">
        <f>J238+0.1</f>
        <v>31.000000000000004</v>
      </c>
      <c r="M238" s="252"/>
      <c r="N238" s="233">
        <f>L238+0.1</f>
        <v>31.100000000000005</v>
      </c>
      <c r="O238" s="252"/>
      <c r="P238" s="233">
        <f>N238+0.1</f>
        <v>31.200000000000006</v>
      </c>
      <c r="Q238" s="252"/>
      <c r="R238" s="233">
        <f>P238+0.1</f>
        <v>31.300000000000008</v>
      </c>
      <c r="S238" s="252"/>
      <c r="T238" s="233">
        <f>R238+0.1</f>
        <v>31.400000000000009</v>
      </c>
      <c r="U238" s="252"/>
      <c r="V238" s="52"/>
      <c r="W238" s="52"/>
      <c r="X238" s="52"/>
      <c r="Y238" s="165"/>
      <c r="Z238" s="165"/>
      <c r="AA238" s="165"/>
      <c r="AB238" s="165"/>
      <c r="AC238" s="165"/>
      <c r="AD238" s="165"/>
      <c r="AE238" s="165"/>
      <c r="AF238" s="165"/>
    </row>
    <row r="239" spans="1:32" ht="60" hidden="1">
      <c r="A239" s="165"/>
      <c r="B239" s="48"/>
      <c r="C239" s="48"/>
      <c r="D239" s="49"/>
      <c r="E239" s="49"/>
      <c r="F239" s="50"/>
      <c r="G239" s="58" t="s">
        <v>1279</v>
      </c>
      <c r="H239" s="233">
        <v>50.09</v>
      </c>
      <c r="I239" s="233"/>
      <c r="J239" s="233">
        <f>H239+0.1</f>
        <v>50.190000000000005</v>
      </c>
      <c r="K239" s="252"/>
      <c r="L239" s="233">
        <f>J239+0.1</f>
        <v>50.290000000000006</v>
      </c>
      <c r="M239" s="252"/>
      <c r="N239" s="233">
        <f>L239+0.1</f>
        <v>50.390000000000008</v>
      </c>
      <c r="O239" s="252"/>
      <c r="P239" s="233">
        <f>N239+0.1</f>
        <v>50.490000000000009</v>
      </c>
      <c r="Q239" s="252"/>
      <c r="R239" s="233">
        <f>P239+0.1</f>
        <v>50.590000000000011</v>
      </c>
      <c r="S239" s="252"/>
      <c r="T239" s="233">
        <f>R239+0.1</f>
        <v>50.690000000000012</v>
      </c>
      <c r="U239" s="252"/>
      <c r="V239" s="52"/>
      <c r="W239" s="52"/>
      <c r="X239" s="52"/>
      <c r="Y239" s="165"/>
      <c r="Z239" s="165"/>
      <c r="AA239" s="165"/>
      <c r="AB239" s="165"/>
      <c r="AC239" s="165"/>
      <c r="AD239" s="165"/>
      <c r="AE239" s="165"/>
      <c r="AF239" s="165"/>
    </row>
    <row r="240" spans="1:32" ht="60" hidden="1">
      <c r="A240" s="165"/>
      <c r="B240" s="48"/>
      <c r="C240" s="48"/>
      <c r="D240" s="49"/>
      <c r="E240" s="49"/>
      <c r="F240" s="50"/>
      <c r="G240" s="58" t="s">
        <v>1281</v>
      </c>
      <c r="H240" s="233">
        <v>44.79</v>
      </c>
      <c r="I240" s="233"/>
      <c r="J240" s="233">
        <f>H240+0.1</f>
        <v>44.89</v>
      </c>
      <c r="K240" s="252"/>
      <c r="L240" s="233">
        <f>J240+0.1</f>
        <v>44.99</v>
      </c>
      <c r="M240" s="252"/>
      <c r="N240" s="233">
        <f>L240+0.1</f>
        <v>45.09</v>
      </c>
      <c r="O240" s="252"/>
      <c r="P240" s="233">
        <f>N240+0.1</f>
        <v>45.190000000000005</v>
      </c>
      <c r="Q240" s="252"/>
      <c r="R240" s="233">
        <f>P240+0.1</f>
        <v>45.290000000000006</v>
      </c>
      <c r="S240" s="252"/>
      <c r="T240" s="233">
        <f>R240+0.1</f>
        <v>45.390000000000008</v>
      </c>
      <c r="U240" s="252"/>
      <c r="V240" s="52"/>
      <c r="W240" s="52"/>
      <c r="X240" s="52"/>
      <c r="Y240" s="165"/>
      <c r="Z240" s="165"/>
      <c r="AA240" s="165"/>
      <c r="AB240" s="165"/>
      <c r="AC240" s="165"/>
      <c r="AD240" s="165"/>
      <c r="AE240" s="165"/>
      <c r="AF240" s="165"/>
    </row>
    <row r="241" spans="1:32" ht="45" hidden="1">
      <c r="A241" s="165"/>
      <c r="B241" s="48"/>
      <c r="C241" s="48"/>
      <c r="D241" s="49"/>
      <c r="E241" s="49"/>
      <c r="F241" s="50"/>
      <c r="G241" s="58" t="s">
        <v>1283</v>
      </c>
      <c r="H241" s="233">
        <v>44.79</v>
      </c>
      <c r="I241" s="233"/>
      <c r="J241" s="233">
        <f>H241+0.1</f>
        <v>44.89</v>
      </c>
      <c r="K241" s="252"/>
      <c r="L241" s="233">
        <f>J241+0.1</f>
        <v>44.99</v>
      </c>
      <c r="M241" s="252"/>
      <c r="N241" s="233">
        <f>L241+0.1</f>
        <v>45.09</v>
      </c>
      <c r="O241" s="252"/>
      <c r="P241" s="233">
        <f>N241+0.1</f>
        <v>45.190000000000005</v>
      </c>
      <c r="Q241" s="252"/>
      <c r="R241" s="233">
        <f>P241+0.1</f>
        <v>45.290000000000006</v>
      </c>
      <c r="S241" s="252"/>
      <c r="T241" s="233">
        <f>R241+0.1</f>
        <v>45.390000000000008</v>
      </c>
      <c r="U241" s="252"/>
      <c r="V241" s="52"/>
      <c r="W241" s="52"/>
      <c r="X241" s="52"/>
      <c r="Y241" s="165"/>
      <c r="Z241" s="165"/>
      <c r="AA241" s="165"/>
      <c r="AB241" s="165"/>
      <c r="AC241" s="165"/>
      <c r="AD241" s="165"/>
      <c r="AE241" s="165"/>
      <c r="AF241" s="165"/>
    </row>
    <row r="242" spans="1:32" ht="30" hidden="1">
      <c r="A242" s="165"/>
      <c r="B242" s="48"/>
      <c r="C242" s="48"/>
      <c r="D242" s="49"/>
      <c r="E242" s="49"/>
      <c r="F242" s="50"/>
      <c r="G242" s="58" t="s">
        <v>2249</v>
      </c>
      <c r="H242" s="233">
        <v>95.38</v>
      </c>
      <c r="I242" s="233">
        <v>100</v>
      </c>
      <c r="J242" s="233">
        <v>100</v>
      </c>
      <c r="K242" s="252">
        <v>77301000</v>
      </c>
      <c r="L242" s="252">
        <v>3585</v>
      </c>
      <c r="M242" s="252">
        <v>75075000</v>
      </c>
      <c r="N242" s="252">
        <v>4085</v>
      </c>
      <c r="O242" s="252">
        <v>80000000</v>
      </c>
      <c r="P242" s="252">
        <v>4600</v>
      </c>
      <c r="Q242" s="252">
        <v>85000000</v>
      </c>
      <c r="R242" s="252">
        <v>5100</v>
      </c>
      <c r="S242" s="252">
        <v>90000000</v>
      </c>
      <c r="T242" s="252">
        <v>5100</v>
      </c>
      <c r="U242" s="252">
        <v>90000000</v>
      </c>
      <c r="V242" s="52"/>
      <c r="W242" s="52"/>
      <c r="X242" s="52"/>
      <c r="Y242" s="165"/>
      <c r="Z242" s="165"/>
      <c r="AA242" s="165"/>
      <c r="AB242" s="165"/>
      <c r="AC242" s="165"/>
      <c r="AD242" s="165"/>
      <c r="AE242" s="165"/>
      <c r="AF242" s="165"/>
    </row>
    <row r="243" spans="1:32" ht="75" hidden="1">
      <c r="A243" s="165"/>
      <c r="B243" s="48"/>
      <c r="C243" s="48"/>
      <c r="D243" s="49"/>
      <c r="E243" s="49"/>
      <c r="F243" s="50"/>
      <c r="G243" s="401" t="s">
        <v>2250</v>
      </c>
      <c r="H243" s="233">
        <v>85.12</v>
      </c>
      <c r="I243" s="233">
        <v>100</v>
      </c>
      <c r="J243" s="233">
        <v>95</v>
      </c>
      <c r="K243" s="252">
        <v>25000000</v>
      </c>
      <c r="L243" s="252">
        <v>100</v>
      </c>
      <c r="M243" s="252">
        <v>25000000</v>
      </c>
      <c r="N243" s="252">
        <v>100</v>
      </c>
      <c r="O243" s="252">
        <v>30000000</v>
      </c>
      <c r="P243" s="252">
        <v>100</v>
      </c>
      <c r="Q243" s="252">
        <v>30000000</v>
      </c>
      <c r="R243" s="252">
        <v>100</v>
      </c>
      <c r="S243" s="252">
        <v>35000000</v>
      </c>
      <c r="T243" s="252">
        <v>100</v>
      </c>
      <c r="U243" s="252">
        <v>35000000</v>
      </c>
      <c r="V243" s="52"/>
      <c r="W243" s="52"/>
      <c r="X243" s="52"/>
      <c r="Y243" s="165"/>
      <c r="Z243" s="165"/>
      <c r="AA243" s="165"/>
      <c r="AB243" s="165"/>
      <c r="AC243" s="165"/>
      <c r="AD243" s="165"/>
      <c r="AE243" s="165"/>
      <c r="AF243" s="165"/>
    </row>
    <row r="244" spans="1:32" ht="60" hidden="1">
      <c r="A244" s="165"/>
      <c r="B244" s="48"/>
      <c r="C244" s="48"/>
      <c r="D244" s="49"/>
      <c r="E244" s="49"/>
      <c r="F244" s="50"/>
      <c r="G244" s="58" t="s">
        <v>2251</v>
      </c>
      <c r="H244" s="233">
        <v>0</v>
      </c>
      <c r="I244" s="233">
        <v>100</v>
      </c>
      <c r="J244" s="233">
        <v>96</v>
      </c>
      <c r="K244" s="252">
        <v>225000000</v>
      </c>
      <c r="L244" s="252">
        <v>0</v>
      </c>
      <c r="M244" s="252">
        <v>0</v>
      </c>
      <c r="N244" s="252">
        <v>0</v>
      </c>
      <c r="O244" s="252">
        <v>0</v>
      </c>
      <c r="P244" s="252">
        <v>0</v>
      </c>
      <c r="Q244" s="252">
        <v>0</v>
      </c>
      <c r="R244" s="252">
        <v>0</v>
      </c>
      <c r="S244" s="252">
        <v>0</v>
      </c>
      <c r="T244" s="252">
        <v>0</v>
      </c>
      <c r="U244" s="252">
        <v>0</v>
      </c>
      <c r="V244" s="52"/>
      <c r="W244" s="52"/>
      <c r="X244" s="52"/>
      <c r="Y244" s="165"/>
      <c r="Z244" s="165"/>
      <c r="AA244" s="165"/>
      <c r="AB244" s="165"/>
      <c r="AC244" s="165"/>
      <c r="AD244" s="165"/>
      <c r="AE244" s="165"/>
      <c r="AF244" s="165"/>
    </row>
    <row r="245" spans="1:32" ht="30" hidden="1">
      <c r="A245" s="165"/>
      <c r="B245" s="48"/>
      <c r="C245" s="48"/>
      <c r="D245" s="49"/>
      <c r="E245" s="49"/>
      <c r="F245" s="50"/>
      <c r="G245" s="58" t="s">
        <v>2252</v>
      </c>
      <c r="H245" s="233">
        <v>0</v>
      </c>
      <c r="I245" s="233">
        <v>0</v>
      </c>
      <c r="J245" s="233">
        <v>0</v>
      </c>
      <c r="K245" s="252">
        <v>0</v>
      </c>
      <c r="L245" s="252">
        <v>100</v>
      </c>
      <c r="M245" s="252">
        <v>25000000</v>
      </c>
      <c r="N245" s="252">
        <v>100</v>
      </c>
      <c r="O245" s="252">
        <v>30000000</v>
      </c>
      <c r="P245" s="252">
        <v>100</v>
      </c>
      <c r="Q245" s="252">
        <v>35000000</v>
      </c>
      <c r="R245" s="252">
        <v>100</v>
      </c>
      <c r="S245" s="252">
        <v>40000000</v>
      </c>
      <c r="T245" s="252">
        <v>100</v>
      </c>
      <c r="U245" s="252">
        <v>40000000</v>
      </c>
      <c r="V245" s="52"/>
      <c r="W245" s="52"/>
      <c r="X245" s="52"/>
      <c r="Y245" s="165"/>
      <c r="Z245" s="165"/>
      <c r="AA245" s="165"/>
      <c r="AB245" s="165"/>
      <c r="AC245" s="165"/>
      <c r="AD245" s="165"/>
      <c r="AE245" s="165"/>
      <c r="AF245" s="165"/>
    </row>
    <row r="246" spans="1:32" ht="45" hidden="1">
      <c r="A246" s="165"/>
      <c r="B246" s="48"/>
      <c r="C246" s="48"/>
      <c r="D246" s="49"/>
      <c r="E246" s="49"/>
      <c r="F246" s="50"/>
      <c r="G246" s="58" t="s">
        <v>2253</v>
      </c>
      <c r="H246" s="233">
        <v>0</v>
      </c>
      <c r="I246" s="233">
        <v>0</v>
      </c>
      <c r="J246" s="233">
        <v>0</v>
      </c>
      <c r="K246" s="252">
        <v>0</v>
      </c>
      <c r="L246" s="252">
        <v>0</v>
      </c>
      <c r="M246" s="252">
        <v>0</v>
      </c>
      <c r="N246" s="252">
        <v>120</v>
      </c>
      <c r="O246" s="252">
        <v>65000000</v>
      </c>
      <c r="P246" s="252">
        <v>120</v>
      </c>
      <c r="Q246" s="252">
        <v>70000000</v>
      </c>
      <c r="R246" s="252">
        <v>120</v>
      </c>
      <c r="S246" s="252">
        <v>75000000</v>
      </c>
      <c r="T246" s="252">
        <v>120</v>
      </c>
      <c r="U246" s="252">
        <v>75000000</v>
      </c>
      <c r="V246" s="52"/>
      <c r="W246" s="52"/>
      <c r="X246" s="52"/>
      <c r="Y246" s="165"/>
      <c r="Z246" s="165"/>
      <c r="AA246" s="165"/>
      <c r="AB246" s="165"/>
      <c r="AC246" s="165"/>
      <c r="AD246" s="165"/>
      <c r="AE246" s="165"/>
      <c r="AF246" s="165"/>
    </row>
    <row r="247" spans="1:32" ht="60" hidden="1">
      <c r="A247" s="165"/>
      <c r="B247" s="48"/>
      <c r="C247" s="48"/>
      <c r="D247" s="49"/>
      <c r="E247" s="49"/>
      <c r="F247" s="50"/>
      <c r="G247" s="58" t="s">
        <v>2254</v>
      </c>
      <c r="H247" s="233">
        <v>0</v>
      </c>
      <c r="I247" s="233">
        <v>0</v>
      </c>
      <c r="J247" s="233">
        <v>0</v>
      </c>
      <c r="K247" s="252">
        <v>0</v>
      </c>
      <c r="L247" s="252">
        <v>0</v>
      </c>
      <c r="M247" s="252">
        <v>0</v>
      </c>
      <c r="N247" s="252">
        <v>200</v>
      </c>
      <c r="O247" s="252">
        <v>186000000</v>
      </c>
      <c r="P247" s="252">
        <v>100</v>
      </c>
      <c r="Q247" s="252">
        <v>100000000</v>
      </c>
      <c r="R247" s="252">
        <v>100</v>
      </c>
      <c r="S247" s="252">
        <v>100000000</v>
      </c>
      <c r="T247" s="252">
        <v>100</v>
      </c>
      <c r="U247" s="252">
        <v>100000000</v>
      </c>
      <c r="V247" s="52"/>
      <c r="W247" s="52"/>
      <c r="X247" s="52"/>
      <c r="Y247" s="165"/>
      <c r="Z247" s="165"/>
      <c r="AA247" s="165"/>
      <c r="AB247" s="165"/>
      <c r="AC247" s="165"/>
      <c r="AD247" s="165"/>
      <c r="AE247" s="165"/>
      <c r="AF247" s="165"/>
    </row>
    <row r="248" spans="1:32" ht="45" hidden="1">
      <c r="A248" s="165"/>
      <c r="B248" s="48"/>
      <c r="C248" s="48"/>
      <c r="D248" s="49"/>
      <c r="E248" s="49"/>
      <c r="F248" s="50"/>
      <c r="G248" s="58" t="s">
        <v>2255</v>
      </c>
      <c r="H248" s="233">
        <v>0</v>
      </c>
      <c r="I248" s="233">
        <v>0</v>
      </c>
      <c r="J248" s="233">
        <v>0</v>
      </c>
      <c r="K248" s="252">
        <v>0</v>
      </c>
      <c r="L248" s="252">
        <v>0</v>
      </c>
      <c r="M248" s="252">
        <v>0</v>
      </c>
      <c r="N248" s="252">
        <v>210</v>
      </c>
      <c r="O248" s="252">
        <v>35000000</v>
      </c>
      <c r="P248" s="252">
        <v>210</v>
      </c>
      <c r="Q248" s="252">
        <v>35000000</v>
      </c>
      <c r="R248" s="252">
        <v>210</v>
      </c>
      <c r="S248" s="252">
        <v>40000000</v>
      </c>
      <c r="T248" s="252">
        <v>210</v>
      </c>
      <c r="U248" s="252">
        <v>40000000</v>
      </c>
      <c r="V248" s="52"/>
      <c r="W248" s="52"/>
      <c r="X248" s="52"/>
      <c r="Y248" s="165"/>
      <c r="Z248" s="165"/>
      <c r="AA248" s="165"/>
      <c r="AB248" s="165"/>
      <c r="AC248" s="165"/>
      <c r="AD248" s="165"/>
      <c r="AE248" s="165"/>
      <c r="AF248" s="165"/>
    </row>
    <row r="249" spans="1:32" ht="45" hidden="1">
      <c r="A249" s="165"/>
      <c r="B249" s="48"/>
      <c r="C249" s="48"/>
      <c r="D249" s="49"/>
      <c r="E249" s="49"/>
      <c r="F249" s="50"/>
      <c r="G249" s="58" t="s">
        <v>2256</v>
      </c>
      <c r="H249" s="233">
        <v>0</v>
      </c>
      <c r="I249" s="233">
        <v>0</v>
      </c>
      <c r="J249" s="233">
        <v>0</v>
      </c>
      <c r="K249" s="252">
        <v>0</v>
      </c>
      <c r="L249" s="252">
        <v>0</v>
      </c>
      <c r="M249" s="252">
        <v>0</v>
      </c>
      <c r="N249" s="252">
        <v>30</v>
      </c>
      <c r="O249" s="252">
        <v>15000000</v>
      </c>
      <c r="P249" s="252">
        <v>30</v>
      </c>
      <c r="Q249" s="252">
        <v>20000000</v>
      </c>
      <c r="R249" s="252">
        <v>0</v>
      </c>
      <c r="S249" s="252">
        <v>0</v>
      </c>
      <c r="T249" s="252">
        <v>0</v>
      </c>
      <c r="U249" s="252">
        <v>0</v>
      </c>
      <c r="V249" s="52"/>
      <c r="W249" s="52"/>
      <c r="X249" s="52"/>
      <c r="Y249" s="165"/>
      <c r="Z249" s="165"/>
      <c r="AA249" s="165"/>
      <c r="AB249" s="165"/>
      <c r="AC249" s="165"/>
      <c r="AD249" s="165"/>
      <c r="AE249" s="165"/>
      <c r="AF249" s="165"/>
    </row>
    <row r="250" spans="1:32" ht="30" hidden="1">
      <c r="A250" s="165"/>
      <c r="B250" s="48"/>
      <c r="C250" s="48"/>
      <c r="D250" s="49"/>
      <c r="E250" s="49"/>
      <c r="F250" s="50"/>
      <c r="G250" s="58" t="s">
        <v>2257</v>
      </c>
      <c r="H250" s="233">
        <v>0</v>
      </c>
      <c r="I250" s="233">
        <v>0</v>
      </c>
      <c r="J250" s="233">
        <v>0</v>
      </c>
      <c r="K250" s="252">
        <v>0</v>
      </c>
      <c r="L250" s="252">
        <v>0</v>
      </c>
      <c r="M250" s="252">
        <v>0</v>
      </c>
      <c r="N250" s="252">
        <v>80</v>
      </c>
      <c r="O250" s="252">
        <v>38400000</v>
      </c>
      <c r="P250" s="252">
        <v>80</v>
      </c>
      <c r="Q250" s="252">
        <v>50000000</v>
      </c>
      <c r="R250" s="252">
        <v>80</v>
      </c>
      <c r="S250" s="252">
        <v>50000000</v>
      </c>
      <c r="T250" s="252">
        <v>80</v>
      </c>
      <c r="U250" s="252">
        <v>50000000</v>
      </c>
      <c r="V250" s="52"/>
      <c r="W250" s="52"/>
      <c r="X250" s="52"/>
      <c r="Y250" s="165"/>
      <c r="Z250" s="165"/>
      <c r="AA250" s="165"/>
      <c r="AB250" s="165"/>
      <c r="AC250" s="165"/>
      <c r="AD250" s="165"/>
      <c r="AE250" s="165"/>
      <c r="AF250" s="165"/>
    </row>
    <row r="251" spans="1:32" ht="30" hidden="1">
      <c r="A251" s="165"/>
      <c r="B251" s="48"/>
      <c r="C251" s="48"/>
      <c r="D251" s="49"/>
      <c r="E251" s="49"/>
      <c r="F251" s="50"/>
      <c r="G251" s="58" t="s">
        <v>2258</v>
      </c>
      <c r="H251" s="233">
        <v>0</v>
      </c>
      <c r="I251" s="233">
        <v>0</v>
      </c>
      <c r="J251" s="233">
        <v>0</v>
      </c>
      <c r="K251" s="252">
        <v>0</v>
      </c>
      <c r="L251" s="252">
        <v>0</v>
      </c>
      <c r="M251" s="252">
        <v>0</v>
      </c>
      <c r="N251" s="252">
        <v>30</v>
      </c>
      <c r="O251" s="252">
        <v>15000000</v>
      </c>
      <c r="P251" s="252">
        <v>90</v>
      </c>
      <c r="Q251" s="252">
        <v>50000000</v>
      </c>
      <c r="R251" s="252">
        <v>90</v>
      </c>
      <c r="S251" s="252">
        <v>50000000</v>
      </c>
      <c r="T251" s="252">
        <v>90</v>
      </c>
      <c r="U251" s="252">
        <v>50000000</v>
      </c>
      <c r="V251" s="52"/>
      <c r="W251" s="52"/>
      <c r="X251" s="52"/>
      <c r="Y251" s="165"/>
      <c r="Z251" s="165"/>
      <c r="AA251" s="165"/>
      <c r="AB251" s="165"/>
      <c r="AC251" s="165"/>
      <c r="AD251" s="165"/>
      <c r="AE251" s="165"/>
      <c r="AF251" s="165"/>
    </row>
    <row r="252" spans="1:32" ht="45" hidden="1">
      <c r="A252" s="165"/>
      <c r="B252" s="48"/>
      <c r="C252" s="48"/>
      <c r="D252" s="49"/>
      <c r="E252" s="49"/>
      <c r="F252" s="50"/>
      <c r="G252" s="58" t="s">
        <v>2259</v>
      </c>
      <c r="H252" s="233">
        <v>0</v>
      </c>
      <c r="I252" s="233">
        <v>0</v>
      </c>
      <c r="J252" s="233">
        <v>0</v>
      </c>
      <c r="K252" s="252">
        <v>0</v>
      </c>
      <c r="L252" s="252">
        <v>0</v>
      </c>
      <c r="M252" s="252">
        <v>0</v>
      </c>
      <c r="N252" s="252">
        <v>46</v>
      </c>
      <c r="O252" s="252">
        <v>25000000</v>
      </c>
      <c r="P252" s="252">
        <v>50</v>
      </c>
      <c r="Q252" s="252">
        <v>30000000</v>
      </c>
      <c r="R252" s="252">
        <v>50</v>
      </c>
      <c r="S252" s="252">
        <v>35000000</v>
      </c>
      <c r="T252" s="252">
        <v>50</v>
      </c>
      <c r="U252" s="252">
        <v>35000000</v>
      </c>
      <c r="V252" s="52"/>
      <c r="W252" s="52"/>
      <c r="X252" s="52"/>
      <c r="Y252" s="165"/>
      <c r="Z252" s="165"/>
      <c r="AA252" s="165"/>
      <c r="AB252" s="165"/>
      <c r="AC252" s="165"/>
      <c r="AD252" s="165"/>
      <c r="AE252" s="165"/>
      <c r="AF252" s="165"/>
    </row>
    <row r="253" spans="1:32" ht="30" hidden="1">
      <c r="A253" s="165"/>
      <c r="B253" s="48"/>
      <c r="C253" s="48"/>
      <c r="D253" s="49"/>
      <c r="E253" s="49"/>
      <c r="F253" s="50"/>
      <c r="G253" s="58" t="s">
        <v>1287</v>
      </c>
      <c r="H253" s="252">
        <v>181</v>
      </c>
      <c r="I253" s="252">
        <v>181</v>
      </c>
      <c r="J253" s="252">
        <v>181</v>
      </c>
      <c r="K253" s="252"/>
      <c r="L253" s="252">
        <v>181</v>
      </c>
      <c r="M253" s="252"/>
      <c r="N253" s="252">
        <v>181</v>
      </c>
      <c r="O253" s="252"/>
      <c r="P253" s="252">
        <v>181</v>
      </c>
      <c r="Q253" s="252"/>
      <c r="R253" s="252">
        <v>181</v>
      </c>
      <c r="S253" s="252"/>
      <c r="T253" s="252">
        <v>181</v>
      </c>
      <c r="U253" s="252"/>
      <c r="V253" s="52"/>
      <c r="W253" s="52"/>
      <c r="X253" s="52"/>
      <c r="Y253" s="165"/>
      <c r="Z253" s="165"/>
      <c r="AA253" s="165"/>
      <c r="AB253" s="165"/>
      <c r="AC253" s="165"/>
      <c r="AD253" s="165"/>
      <c r="AE253" s="165"/>
      <c r="AF253" s="165"/>
    </row>
    <row r="254" spans="1:32" ht="45" hidden="1">
      <c r="A254" s="165"/>
      <c r="B254" s="48"/>
      <c r="C254" s="48"/>
      <c r="D254" s="49"/>
      <c r="E254" s="49"/>
      <c r="F254" s="50"/>
      <c r="G254" s="58" t="s">
        <v>2017</v>
      </c>
      <c r="H254" s="252">
        <v>18</v>
      </c>
      <c r="I254" s="252">
        <v>18</v>
      </c>
      <c r="J254" s="252">
        <v>18</v>
      </c>
      <c r="K254" s="252"/>
      <c r="L254" s="252">
        <v>18</v>
      </c>
      <c r="M254" s="252"/>
      <c r="N254" s="252">
        <v>18</v>
      </c>
      <c r="O254" s="252"/>
      <c r="P254" s="252">
        <v>18</v>
      </c>
      <c r="Q254" s="252"/>
      <c r="R254" s="252">
        <v>18</v>
      </c>
      <c r="S254" s="252"/>
      <c r="T254" s="252">
        <v>18</v>
      </c>
      <c r="U254" s="252"/>
      <c r="V254" s="52"/>
      <c r="W254" s="52"/>
      <c r="X254" s="52"/>
      <c r="Y254" s="165"/>
      <c r="Z254" s="165"/>
      <c r="AA254" s="165"/>
      <c r="AB254" s="165"/>
      <c r="AC254" s="165"/>
      <c r="AD254" s="165"/>
      <c r="AE254" s="165"/>
      <c r="AF254" s="165"/>
    </row>
    <row r="255" spans="1:32" ht="30" hidden="1">
      <c r="A255" s="165"/>
      <c r="B255" s="48"/>
      <c r="C255" s="48"/>
      <c r="D255" s="49"/>
      <c r="E255" s="49"/>
      <c r="F255" s="50"/>
      <c r="G255" s="58" t="s">
        <v>1291</v>
      </c>
      <c r="H255" s="253" t="s">
        <v>2260</v>
      </c>
      <c r="I255" s="253" t="s">
        <v>2260</v>
      </c>
      <c r="J255" s="253" t="s">
        <v>2260</v>
      </c>
      <c r="K255" s="252"/>
      <c r="L255" s="253" t="s">
        <v>2260</v>
      </c>
      <c r="M255" s="252"/>
      <c r="N255" s="253" t="s">
        <v>2260</v>
      </c>
      <c r="O255" s="252"/>
      <c r="P255" s="253" t="s">
        <v>2260</v>
      </c>
      <c r="Q255" s="252"/>
      <c r="R255" s="253" t="s">
        <v>2260</v>
      </c>
      <c r="S255" s="252"/>
      <c r="T255" s="253" t="s">
        <v>2260</v>
      </c>
      <c r="U255" s="252"/>
      <c r="V255" s="52"/>
      <c r="W255" s="52"/>
      <c r="X255" s="52"/>
      <c r="Y255" s="165"/>
      <c r="Z255" s="165"/>
      <c r="AA255" s="165"/>
      <c r="AB255" s="165"/>
      <c r="AC255" s="165"/>
      <c r="AD255" s="165"/>
      <c r="AE255" s="165"/>
      <c r="AF255" s="165"/>
    </row>
    <row r="256" spans="1:32" ht="30" hidden="1">
      <c r="A256" s="165"/>
      <c r="B256" s="48"/>
      <c r="C256" s="66"/>
      <c r="D256" s="67"/>
      <c r="E256" s="67"/>
      <c r="F256" s="68"/>
      <c r="G256" s="58" t="s">
        <v>1293</v>
      </c>
      <c r="H256" s="252">
        <v>3</v>
      </c>
      <c r="I256" s="252">
        <v>3</v>
      </c>
      <c r="J256" s="252">
        <v>3</v>
      </c>
      <c r="K256" s="252"/>
      <c r="L256" s="252">
        <v>4</v>
      </c>
      <c r="M256" s="252"/>
      <c r="N256" s="252">
        <v>4</v>
      </c>
      <c r="O256" s="252"/>
      <c r="P256" s="252">
        <v>5</v>
      </c>
      <c r="Q256" s="252"/>
      <c r="R256" s="252">
        <v>5</v>
      </c>
      <c r="S256" s="252"/>
      <c r="T256" s="252">
        <v>5</v>
      </c>
      <c r="U256" s="252"/>
      <c r="V256" s="52"/>
      <c r="W256" s="52"/>
      <c r="X256" s="52"/>
      <c r="Y256" s="165"/>
      <c r="Z256" s="165"/>
      <c r="AA256" s="165"/>
      <c r="AB256" s="165"/>
      <c r="AC256" s="165"/>
      <c r="AD256" s="165"/>
      <c r="AE256" s="165"/>
      <c r="AF256" s="165"/>
    </row>
    <row r="257" spans="1:32" ht="60" hidden="1">
      <c r="A257" s="165"/>
      <c r="B257" s="48"/>
      <c r="C257" s="56">
        <f>'matrik MISI 4'!J12</f>
        <v>1.01</v>
      </c>
      <c r="D257" s="57" t="str">
        <f>'matrik MISI 4'!K12</f>
        <v>xx</v>
      </c>
      <c r="E257" s="57">
        <f>'matrik MISI 4'!L12</f>
        <v>22</v>
      </c>
      <c r="F257" s="58" t="str">
        <f>'matrik MISI 4'!M12</f>
        <v>Program manajemen pelayanan pendidikan</v>
      </c>
      <c r="G257" s="58"/>
      <c r="H257" s="52"/>
      <c r="I257" s="52"/>
      <c r="J257" s="52"/>
      <c r="K257" s="52"/>
      <c r="L257" s="52"/>
      <c r="M257" s="52"/>
      <c r="N257" s="52"/>
      <c r="O257" s="52"/>
      <c r="P257" s="52"/>
      <c r="Q257" s="52"/>
      <c r="R257" s="52"/>
      <c r="S257" s="52"/>
      <c r="T257" s="52"/>
      <c r="U257" s="52"/>
      <c r="V257" s="52"/>
      <c r="W257" s="52"/>
      <c r="X257" s="52" t="str">
        <f>'matrik MISI 4'!X12</f>
        <v>Dinas Pendidikan</v>
      </c>
      <c r="Y257" s="165"/>
      <c r="Z257" s="165"/>
      <c r="AA257" s="165"/>
      <c r="AB257" s="165"/>
      <c r="AC257" s="165"/>
      <c r="AD257" s="165"/>
      <c r="AE257" s="165"/>
      <c r="AF257" s="165"/>
    </row>
    <row r="258" spans="1:32" ht="30" hidden="1">
      <c r="A258" s="165"/>
      <c r="B258" s="48"/>
      <c r="C258" s="62"/>
      <c r="D258" s="63"/>
      <c r="E258" s="63"/>
      <c r="F258" s="64"/>
      <c r="G258" s="58" t="s">
        <v>1183</v>
      </c>
      <c r="H258" s="233">
        <v>5.83</v>
      </c>
      <c r="I258" s="233"/>
      <c r="J258" s="233">
        <v>5.83</v>
      </c>
      <c r="K258" s="52"/>
      <c r="L258" s="233">
        <v>5.83</v>
      </c>
      <c r="M258" s="52"/>
      <c r="N258" s="233">
        <v>5.83</v>
      </c>
      <c r="O258" s="52"/>
      <c r="P258" s="233">
        <v>5.83</v>
      </c>
      <c r="Q258" s="52"/>
      <c r="R258" s="233">
        <v>5.83</v>
      </c>
      <c r="S258" s="52"/>
      <c r="T258" s="233">
        <v>5.83</v>
      </c>
      <c r="U258" s="52"/>
      <c r="V258" s="52"/>
      <c r="W258" s="52"/>
      <c r="X258" s="52"/>
      <c r="Y258" s="165"/>
      <c r="Z258" s="165"/>
      <c r="AA258" s="165"/>
      <c r="AB258" s="165"/>
      <c r="AC258" s="165"/>
      <c r="AD258" s="165"/>
      <c r="AE258" s="165"/>
      <c r="AF258" s="165"/>
    </row>
    <row r="259" spans="1:32" ht="30" hidden="1">
      <c r="A259" s="165"/>
      <c r="B259" s="48"/>
      <c r="C259" s="48"/>
      <c r="D259" s="49"/>
      <c r="E259" s="49"/>
      <c r="F259" s="50"/>
      <c r="G259" s="58" t="s">
        <v>1185</v>
      </c>
      <c r="H259" s="233">
        <v>42.71</v>
      </c>
      <c r="I259" s="233"/>
      <c r="J259" s="233">
        <v>42.71</v>
      </c>
      <c r="K259" s="252"/>
      <c r="L259" s="233">
        <v>42.71</v>
      </c>
      <c r="M259" s="252"/>
      <c r="N259" s="233">
        <v>42.71</v>
      </c>
      <c r="O259" s="252"/>
      <c r="P259" s="233">
        <v>42.71</v>
      </c>
      <c r="Q259" s="252"/>
      <c r="R259" s="233">
        <v>42.71</v>
      </c>
      <c r="S259" s="252"/>
      <c r="T259" s="233">
        <v>42.71</v>
      </c>
      <c r="U259" s="252"/>
      <c r="V259" s="52"/>
      <c r="W259" s="52"/>
      <c r="X259" s="52"/>
      <c r="Y259" s="165"/>
      <c r="Z259" s="165"/>
      <c r="AA259" s="165"/>
      <c r="AB259" s="165"/>
      <c r="AC259" s="165"/>
      <c r="AD259" s="165"/>
      <c r="AE259" s="165"/>
      <c r="AF259" s="165"/>
    </row>
    <row r="260" spans="1:32" ht="30" hidden="1">
      <c r="A260" s="165"/>
      <c r="B260" s="48"/>
      <c r="C260" s="48"/>
      <c r="D260" s="49"/>
      <c r="E260" s="49"/>
      <c r="F260" s="50"/>
      <c r="G260" s="58" t="s">
        <v>1187</v>
      </c>
      <c r="H260" s="233">
        <v>42.29</v>
      </c>
      <c r="I260" s="233"/>
      <c r="J260" s="233">
        <v>42.29</v>
      </c>
      <c r="K260" s="252"/>
      <c r="L260" s="233">
        <v>42.29</v>
      </c>
      <c r="M260" s="252"/>
      <c r="N260" s="233">
        <v>42.29</v>
      </c>
      <c r="O260" s="252"/>
      <c r="P260" s="233">
        <v>42.29</v>
      </c>
      <c r="Q260" s="252"/>
      <c r="R260" s="233">
        <v>42.29</v>
      </c>
      <c r="S260" s="252"/>
      <c r="T260" s="233">
        <v>42.29</v>
      </c>
      <c r="U260" s="252"/>
      <c r="V260" s="52"/>
      <c r="W260" s="52"/>
      <c r="X260" s="52"/>
      <c r="Y260" s="165"/>
      <c r="Z260" s="165"/>
      <c r="AA260" s="165"/>
      <c r="AB260" s="165"/>
      <c r="AC260" s="165"/>
      <c r="AD260" s="165"/>
      <c r="AE260" s="165"/>
      <c r="AF260" s="165"/>
    </row>
    <row r="261" spans="1:32" ht="45" hidden="1">
      <c r="A261" s="165"/>
      <c r="B261" s="48"/>
      <c r="C261" s="48"/>
      <c r="D261" s="49"/>
      <c r="E261" s="49"/>
      <c r="F261" s="50"/>
      <c r="G261" s="58" t="s">
        <v>2183</v>
      </c>
      <c r="H261" s="233">
        <v>0</v>
      </c>
      <c r="I261" s="233">
        <v>100</v>
      </c>
      <c r="J261" s="233">
        <v>99</v>
      </c>
      <c r="K261" s="252">
        <v>100000000</v>
      </c>
      <c r="L261" s="252">
        <v>1</v>
      </c>
      <c r="M261" s="252">
        <v>100000000</v>
      </c>
      <c r="N261" s="252">
        <v>1</v>
      </c>
      <c r="O261" s="252">
        <v>100000000</v>
      </c>
      <c r="P261" s="252">
        <v>1</v>
      </c>
      <c r="Q261" s="252">
        <v>100000000</v>
      </c>
      <c r="R261" s="252">
        <v>1</v>
      </c>
      <c r="S261" s="252">
        <v>100000000</v>
      </c>
      <c r="T261" s="252">
        <v>1</v>
      </c>
      <c r="U261" s="252">
        <v>100000000</v>
      </c>
      <c r="V261" s="52"/>
      <c r="W261" s="52"/>
      <c r="X261" s="52"/>
      <c r="Y261" s="165"/>
      <c r="Z261" s="165"/>
      <c r="AA261" s="165"/>
      <c r="AB261" s="165"/>
      <c r="AC261" s="165"/>
      <c r="AD261" s="165"/>
      <c r="AE261" s="165"/>
      <c r="AF261" s="165"/>
    </row>
    <row r="262" spans="1:32" ht="60" hidden="1">
      <c r="A262" s="165"/>
      <c r="B262" s="48"/>
      <c r="C262" s="48"/>
      <c r="D262" s="49"/>
      <c r="E262" s="49"/>
      <c r="F262" s="50"/>
      <c r="G262" s="58" t="s">
        <v>2184</v>
      </c>
      <c r="H262" s="233">
        <v>0</v>
      </c>
      <c r="I262" s="233">
        <v>100</v>
      </c>
      <c r="J262" s="233">
        <v>99</v>
      </c>
      <c r="K262" s="252">
        <v>18000000</v>
      </c>
      <c r="L262" s="252">
        <v>2</v>
      </c>
      <c r="M262" s="252">
        <v>18000000</v>
      </c>
      <c r="N262" s="252">
        <v>2</v>
      </c>
      <c r="O262" s="252">
        <v>20000000</v>
      </c>
      <c r="P262" s="252">
        <v>2</v>
      </c>
      <c r="Q262" s="252">
        <v>20000000</v>
      </c>
      <c r="R262" s="252">
        <v>2</v>
      </c>
      <c r="S262" s="252">
        <v>25000000</v>
      </c>
      <c r="T262" s="252">
        <v>2</v>
      </c>
      <c r="U262" s="252">
        <v>25000000</v>
      </c>
      <c r="V262" s="52"/>
      <c r="W262" s="52"/>
      <c r="X262" s="52"/>
      <c r="Y262" s="165"/>
      <c r="Z262" s="165"/>
      <c r="AA262" s="165"/>
      <c r="AB262" s="165"/>
      <c r="AC262" s="165"/>
      <c r="AD262" s="165"/>
      <c r="AE262" s="165"/>
      <c r="AF262" s="165"/>
    </row>
    <row r="263" spans="1:32" ht="30" hidden="1">
      <c r="A263" s="165"/>
      <c r="B263" s="48"/>
      <c r="C263" s="48"/>
      <c r="D263" s="49"/>
      <c r="E263" s="49"/>
      <c r="F263" s="50"/>
      <c r="G263" s="58" t="s">
        <v>2185</v>
      </c>
      <c r="H263" s="233">
        <v>0</v>
      </c>
      <c r="I263" s="233">
        <v>100</v>
      </c>
      <c r="J263" s="233">
        <v>99</v>
      </c>
      <c r="K263" s="252">
        <v>15000000</v>
      </c>
      <c r="L263" s="252">
        <v>1</v>
      </c>
      <c r="M263" s="252">
        <v>15000000</v>
      </c>
      <c r="N263" s="252">
        <v>1</v>
      </c>
      <c r="O263" s="252">
        <v>17500000</v>
      </c>
      <c r="P263" s="252">
        <v>1</v>
      </c>
      <c r="Q263" s="252">
        <v>17500000</v>
      </c>
      <c r="R263" s="252">
        <v>1</v>
      </c>
      <c r="S263" s="252">
        <v>20000000</v>
      </c>
      <c r="T263" s="252">
        <v>1</v>
      </c>
      <c r="U263" s="252">
        <v>20000000</v>
      </c>
      <c r="V263" s="52"/>
      <c r="W263" s="52"/>
      <c r="X263" s="52"/>
      <c r="Y263" s="165"/>
      <c r="Z263" s="165"/>
      <c r="AA263" s="165"/>
      <c r="AB263" s="165"/>
      <c r="AC263" s="165"/>
      <c r="AD263" s="165"/>
      <c r="AE263" s="165"/>
      <c r="AF263" s="165"/>
    </row>
    <row r="264" spans="1:32" ht="30" hidden="1">
      <c r="A264" s="165"/>
      <c r="B264" s="48"/>
      <c r="C264" s="48"/>
      <c r="D264" s="49"/>
      <c r="E264" s="49"/>
      <c r="F264" s="50"/>
      <c r="G264" s="58" t="s">
        <v>1191</v>
      </c>
      <c r="H264" s="233">
        <v>2.97</v>
      </c>
      <c r="I264" s="233">
        <v>0</v>
      </c>
      <c r="J264" s="233">
        <v>2.97</v>
      </c>
      <c r="K264" s="252"/>
      <c r="L264" s="233">
        <f>J264+0.34</f>
        <v>3.31</v>
      </c>
      <c r="M264" s="252"/>
      <c r="N264" s="233">
        <f>L264+0.34</f>
        <v>3.65</v>
      </c>
      <c r="O264" s="252"/>
      <c r="P264" s="233">
        <f>N264+0.34</f>
        <v>3.9899999999999998</v>
      </c>
      <c r="Q264" s="252"/>
      <c r="R264" s="233">
        <f>P264+0.34</f>
        <v>4.33</v>
      </c>
      <c r="S264" s="252"/>
      <c r="T264" s="233">
        <f>R264+0.34</f>
        <v>4.67</v>
      </c>
      <c r="U264" s="252"/>
      <c r="V264" s="52"/>
      <c r="W264" s="52"/>
      <c r="X264" s="52"/>
      <c r="Y264" s="165"/>
      <c r="Z264" s="165"/>
      <c r="AA264" s="165"/>
      <c r="AB264" s="165"/>
      <c r="AC264" s="165"/>
      <c r="AD264" s="165"/>
      <c r="AE264" s="165"/>
      <c r="AF264" s="165"/>
    </row>
    <row r="265" spans="1:32" ht="30" hidden="1">
      <c r="A265" s="165"/>
      <c r="B265" s="48"/>
      <c r="C265" s="48"/>
      <c r="D265" s="49"/>
      <c r="E265" s="49"/>
      <c r="F265" s="50"/>
      <c r="G265" s="58" t="s">
        <v>1193</v>
      </c>
      <c r="H265" s="233">
        <v>61.01</v>
      </c>
      <c r="I265" s="233">
        <v>0</v>
      </c>
      <c r="J265" s="233">
        <v>61.01</v>
      </c>
      <c r="K265" s="252"/>
      <c r="L265" s="233">
        <f>J265</f>
        <v>61.01</v>
      </c>
      <c r="M265" s="252"/>
      <c r="N265" s="233">
        <f>L265</f>
        <v>61.01</v>
      </c>
      <c r="O265" s="252"/>
      <c r="P265" s="233">
        <f>N265</f>
        <v>61.01</v>
      </c>
      <c r="Q265" s="252"/>
      <c r="R265" s="233">
        <f>P265</f>
        <v>61.01</v>
      </c>
      <c r="S265" s="252"/>
      <c r="T265" s="233">
        <f>R265</f>
        <v>61.01</v>
      </c>
      <c r="U265" s="252"/>
      <c r="V265" s="52"/>
      <c r="W265" s="52"/>
      <c r="X265" s="52"/>
      <c r="Y265" s="165"/>
      <c r="Z265" s="165"/>
      <c r="AA265" s="165"/>
      <c r="AB265" s="165"/>
      <c r="AC265" s="165"/>
      <c r="AD265" s="165"/>
      <c r="AE265" s="165"/>
      <c r="AF265" s="165"/>
    </row>
    <row r="266" spans="1:32" ht="30" hidden="1">
      <c r="A266" s="165"/>
      <c r="B266" s="48"/>
      <c r="C266" s="48"/>
      <c r="D266" s="49"/>
      <c r="E266" s="49"/>
      <c r="F266" s="50"/>
      <c r="G266" s="58" t="s">
        <v>1195</v>
      </c>
      <c r="H266" s="233">
        <v>33.22</v>
      </c>
      <c r="I266" s="233">
        <v>0</v>
      </c>
      <c r="J266" s="233">
        <v>33.22</v>
      </c>
      <c r="K266" s="252"/>
      <c r="L266" s="233">
        <f>J266</f>
        <v>33.22</v>
      </c>
      <c r="M266" s="252"/>
      <c r="N266" s="233">
        <f>L266</f>
        <v>33.22</v>
      </c>
      <c r="O266" s="252"/>
      <c r="P266" s="233">
        <f>N266</f>
        <v>33.22</v>
      </c>
      <c r="Q266" s="252"/>
      <c r="R266" s="233">
        <f>P266</f>
        <v>33.22</v>
      </c>
      <c r="S266" s="252"/>
      <c r="T266" s="233">
        <f>R266</f>
        <v>33.22</v>
      </c>
      <c r="U266" s="252"/>
      <c r="V266" s="52"/>
      <c r="W266" s="52"/>
      <c r="X266" s="52"/>
      <c r="Y266" s="165"/>
      <c r="Z266" s="165"/>
      <c r="AA266" s="165"/>
      <c r="AB266" s="165"/>
      <c r="AC266" s="165"/>
      <c r="AD266" s="165"/>
      <c r="AE266" s="165"/>
      <c r="AF266" s="165"/>
    </row>
    <row r="267" spans="1:32" ht="30" hidden="1">
      <c r="A267" s="165"/>
      <c r="B267" s="48"/>
      <c r="C267" s="48"/>
      <c r="D267" s="49"/>
      <c r="E267" s="49"/>
      <c r="F267" s="50"/>
      <c r="G267" s="58" t="s">
        <v>1197</v>
      </c>
      <c r="H267" s="233">
        <v>21.9</v>
      </c>
      <c r="I267" s="233">
        <v>0</v>
      </c>
      <c r="J267" s="233">
        <v>21.9</v>
      </c>
      <c r="K267" s="233"/>
      <c r="L267" s="233">
        <f>J267+1.9</f>
        <v>23.799999999999997</v>
      </c>
      <c r="M267" s="252"/>
      <c r="N267" s="233">
        <f>L267+1.9</f>
        <v>25.699999999999996</v>
      </c>
      <c r="O267" s="252"/>
      <c r="P267" s="233">
        <f>N267+1.9</f>
        <v>27.599999999999994</v>
      </c>
      <c r="Q267" s="252"/>
      <c r="R267" s="233">
        <f>P267+1.9</f>
        <v>29.499999999999993</v>
      </c>
      <c r="S267" s="252"/>
      <c r="T267" s="233">
        <f>R267+1.9</f>
        <v>31.399999999999991</v>
      </c>
      <c r="U267" s="252"/>
      <c r="V267" s="52"/>
      <c r="W267" s="52"/>
      <c r="X267" s="52"/>
      <c r="Y267" s="165"/>
      <c r="Z267" s="165"/>
      <c r="AA267" s="165"/>
      <c r="AB267" s="165"/>
      <c r="AC267" s="165"/>
      <c r="AD267" s="165"/>
      <c r="AE267" s="165"/>
      <c r="AF267" s="165"/>
    </row>
    <row r="268" spans="1:32" ht="30" hidden="1">
      <c r="A268" s="165"/>
      <c r="B268" s="48"/>
      <c r="C268" s="48"/>
      <c r="D268" s="49"/>
      <c r="E268" s="49"/>
      <c r="F268" s="50"/>
      <c r="G268" s="58" t="s">
        <v>1199</v>
      </c>
      <c r="H268" s="233">
        <v>40</v>
      </c>
      <c r="I268" s="233">
        <v>0</v>
      </c>
      <c r="J268" s="233">
        <v>40</v>
      </c>
      <c r="K268" s="252"/>
      <c r="L268" s="233">
        <f>J268</f>
        <v>40</v>
      </c>
      <c r="M268" s="252"/>
      <c r="N268" s="233">
        <f>L268</f>
        <v>40</v>
      </c>
      <c r="O268" s="252"/>
      <c r="P268" s="233">
        <f>N268</f>
        <v>40</v>
      </c>
      <c r="Q268" s="252"/>
      <c r="R268" s="233">
        <f>P268</f>
        <v>40</v>
      </c>
      <c r="S268" s="252"/>
      <c r="T268" s="233">
        <f>R268</f>
        <v>40</v>
      </c>
      <c r="U268" s="252"/>
      <c r="V268" s="52"/>
      <c r="W268" s="52"/>
      <c r="X268" s="52"/>
      <c r="Y268" s="165"/>
      <c r="Z268" s="165"/>
      <c r="AA268" s="165"/>
      <c r="AB268" s="165"/>
      <c r="AC268" s="165"/>
      <c r="AD268" s="165"/>
      <c r="AE268" s="165"/>
      <c r="AF268" s="165"/>
    </row>
    <row r="269" spans="1:32" ht="30" hidden="1">
      <c r="A269" s="165"/>
      <c r="B269" s="48"/>
      <c r="C269" s="48"/>
      <c r="D269" s="49"/>
      <c r="E269" s="49"/>
      <c r="F269" s="50"/>
      <c r="G269" s="58" t="s">
        <v>1201</v>
      </c>
      <c r="H269" s="233">
        <v>27.62</v>
      </c>
      <c r="I269" s="233">
        <v>0</v>
      </c>
      <c r="J269" s="233">
        <v>27.62</v>
      </c>
      <c r="K269" s="252"/>
      <c r="L269" s="233">
        <f>J269</f>
        <v>27.62</v>
      </c>
      <c r="M269" s="252"/>
      <c r="N269" s="233">
        <f>L269</f>
        <v>27.62</v>
      </c>
      <c r="O269" s="252"/>
      <c r="P269" s="233">
        <f>N269</f>
        <v>27.62</v>
      </c>
      <c r="Q269" s="252"/>
      <c r="R269" s="233">
        <f>P269</f>
        <v>27.62</v>
      </c>
      <c r="S269" s="252"/>
      <c r="T269" s="233">
        <f>R269</f>
        <v>27.62</v>
      </c>
      <c r="U269" s="252"/>
      <c r="V269" s="52"/>
      <c r="W269" s="52"/>
      <c r="X269" s="52"/>
      <c r="Y269" s="165"/>
      <c r="Z269" s="165"/>
      <c r="AA269" s="165"/>
      <c r="AB269" s="165"/>
      <c r="AC269" s="165"/>
      <c r="AD269" s="165"/>
      <c r="AE269" s="165"/>
      <c r="AF269" s="165"/>
    </row>
    <row r="270" spans="1:32" ht="30" hidden="1">
      <c r="A270" s="165"/>
      <c r="B270" s="48"/>
      <c r="C270" s="48"/>
      <c r="D270" s="49"/>
      <c r="E270" s="49"/>
      <c r="F270" s="50"/>
      <c r="G270" s="58" t="s">
        <v>2013</v>
      </c>
      <c r="H270" s="233">
        <v>99.99</v>
      </c>
      <c r="I270" s="233">
        <v>99.92</v>
      </c>
      <c r="J270" s="233">
        <v>100</v>
      </c>
      <c r="K270" s="233"/>
      <c r="L270" s="233">
        <v>99</v>
      </c>
      <c r="M270" s="252"/>
      <c r="N270" s="233">
        <v>99</v>
      </c>
      <c r="O270" s="252"/>
      <c r="P270" s="233">
        <v>99</v>
      </c>
      <c r="Q270" s="252"/>
      <c r="R270" s="233">
        <v>99</v>
      </c>
      <c r="S270" s="252"/>
      <c r="T270" s="233">
        <v>99</v>
      </c>
      <c r="U270" s="252"/>
      <c r="V270" s="52"/>
      <c r="W270" s="52"/>
      <c r="X270" s="52"/>
      <c r="Y270" s="165"/>
      <c r="Z270" s="165"/>
      <c r="AA270" s="165"/>
      <c r="AB270" s="165"/>
      <c r="AC270" s="165"/>
      <c r="AD270" s="165"/>
      <c r="AE270" s="165"/>
      <c r="AF270" s="165"/>
    </row>
    <row r="271" spans="1:32" ht="30" hidden="1">
      <c r="A271" s="165"/>
      <c r="B271" s="48"/>
      <c r="C271" s="48"/>
      <c r="D271" s="49"/>
      <c r="E271" s="49"/>
      <c r="F271" s="50"/>
      <c r="G271" s="58" t="s">
        <v>2014</v>
      </c>
      <c r="H271" s="233">
        <v>98.13</v>
      </c>
      <c r="I271" s="233">
        <v>88.04</v>
      </c>
      <c r="J271" s="233">
        <v>99.17</v>
      </c>
      <c r="K271" s="252"/>
      <c r="L271" s="233">
        <v>98</v>
      </c>
      <c r="M271" s="252"/>
      <c r="N271" s="233">
        <v>98</v>
      </c>
      <c r="O271" s="252"/>
      <c r="P271" s="233">
        <v>98</v>
      </c>
      <c r="Q271" s="252"/>
      <c r="R271" s="233">
        <v>98</v>
      </c>
      <c r="S271" s="252"/>
      <c r="T271" s="233">
        <v>98</v>
      </c>
      <c r="U271" s="252"/>
      <c r="V271" s="52"/>
      <c r="W271" s="52"/>
      <c r="X271" s="52"/>
      <c r="Y271" s="165"/>
      <c r="Z271" s="165"/>
      <c r="AA271" s="165"/>
      <c r="AB271" s="165"/>
      <c r="AC271" s="165"/>
      <c r="AD271" s="165"/>
      <c r="AE271" s="165"/>
      <c r="AF271" s="165"/>
    </row>
    <row r="272" spans="1:32" ht="75" hidden="1">
      <c r="A272" s="165"/>
      <c r="B272" s="48"/>
      <c r="C272" s="48"/>
      <c r="D272" s="49"/>
      <c r="E272" s="49"/>
      <c r="F272" s="50"/>
      <c r="G272" s="58" t="s">
        <v>1205</v>
      </c>
      <c r="H272" s="233">
        <v>73.150000000000006</v>
      </c>
      <c r="I272" s="233"/>
      <c r="J272" s="233">
        <v>73.192643444359689</v>
      </c>
      <c r="K272" s="252"/>
      <c r="L272" s="233">
        <f>J272+0.04</f>
        <v>73.232643444359695</v>
      </c>
      <c r="M272" s="252"/>
      <c r="N272" s="233">
        <f>L272+0.04</f>
        <v>73.272643444359701</v>
      </c>
      <c r="O272" s="252"/>
      <c r="P272" s="233">
        <f>N272+0.04</f>
        <v>73.312643444359708</v>
      </c>
      <c r="Q272" s="252"/>
      <c r="R272" s="233">
        <f>P272+0.04</f>
        <v>73.352643444359714</v>
      </c>
      <c r="S272" s="252"/>
      <c r="T272" s="233">
        <f>R272+0.04</f>
        <v>73.39264344435972</v>
      </c>
      <c r="U272" s="252"/>
      <c r="V272" s="52"/>
      <c r="W272" s="52"/>
      <c r="X272" s="52"/>
      <c r="Y272" s="165"/>
      <c r="Z272" s="165"/>
      <c r="AA272" s="165"/>
      <c r="AB272" s="165"/>
      <c r="AC272" s="165"/>
      <c r="AD272" s="165"/>
      <c r="AE272" s="165"/>
      <c r="AF272" s="165"/>
    </row>
    <row r="273" spans="1:32" ht="75" hidden="1">
      <c r="A273" s="165"/>
      <c r="B273" s="48"/>
      <c r="C273" s="48"/>
      <c r="D273" s="49"/>
      <c r="E273" s="49"/>
      <c r="F273" s="50"/>
      <c r="G273" s="58" t="s">
        <v>2201</v>
      </c>
      <c r="H273" s="233">
        <v>27.633419948031179</v>
      </c>
      <c r="I273" s="233"/>
      <c r="J273" s="233">
        <v>21.029365329965266</v>
      </c>
      <c r="K273" s="252"/>
      <c r="L273" s="233">
        <f>J273+0.05</f>
        <v>21.079365329965267</v>
      </c>
      <c r="M273" s="252"/>
      <c r="N273" s="233">
        <f>L273+0.05</f>
        <v>21.129365329965268</v>
      </c>
      <c r="O273" s="252"/>
      <c r="P273" s="233">
        <f>N273+0.05</f>
        <v>21.179365329965268</v>
      </c>
      <c r="Q273" s="252"/>
      <c r="R273" s="233">
        <f>P273+0.05</f>
        <v>21.229365329965269</v>
      </c>
      <c r="S273" s="252"/>
      <c r="T273" s="233">
        <f>R273+0.05</f>
        <v>21.27936532996527</v>
      </c>
      <c r="U273" s="252"/>
      <c r="V273" s="52"/>
      <c r="W273" s="52"/>
      <c r="X273" s="52"/>
      <c r="Y273" s="165"/>
      <c r="Z273" s="165"/>
      <c r="AA273" s="165"/>
      <c r="AB273" s="165"/>
      <c r="AC273" s="165"/>
      <c r="AD273" s="165"/>
      <c r="AE273" s="165"/>
      <c r="AF273" s="165"/>
    </row>
    <row r="274" spans="1:32" ht="165" hidden="1">
      <c r="A274" s="165"/>
      <c r="B274" s="48"/>
      <c r="C274" s="48"/>
      <c r="D274" s="49"/>
      <c r="E274" s="49"/>
      <c r="F274" s="50"/>
      <c r="G274" s="58" t="s">
        <v>4228</v>
      </c>
      <c r="H274" s="252">
        <v>100</v>
      </c>
      <c r="I274" s="252">
        <v>100</v>
      </c>
      <c r="J274" s="252">
        <v>100</v>
      </c>
      <c r="K274" s="252"/>
      <c r="L274" s="252">
        <v>100</v>
      </c>
      <c r="M274" s="252"/>
      <c r="N274" s="252">
        <v>100</v>
      </c>
      <c r="O274" s="252"/>
      <c r="P274" s="252">
        <v>100</v>
      </c>
      <c r="Q274" s="252"/>
      <c r="R274" s="252">
        <v>100</v>
      </c>
      <c r="S274" s="252"/>
      <c r="T274" s="252">
        <v>100</v>
      </c>
      <c r="U274" s="252"/>
      <c r="V274" s="52"/>
      <c r="W274" s="52"/>
      <c r="X274" s="52"/>
      <c r="Y274" s="165"/>
      <c r="Z274" s="165"/>
      <c r="AA274" s="165"/>
      <c r="AB274" s="165"/>
      <c r="AC274" s="165"/>
      <c r="AD274" s="165"/>
      <c r="AE274" s="165"/>
      <c r="AF274" s="165"/>
    </row>
    <row r="275" spans="1:32" ht="135" hidden="1">
      <c r="A275" s="165"/>
      <c r="B275" s="48"/>
      <c r="C275" s="48"/>
      <c r="D275" s="49"/>
      <c r="E275" s="49"/>
      <c r="F275" s="50"/>
      <c r="G275" s="58" t="s">
        <v>4229</v>
      </c>
      <c r="H275" s="233">
        <v>66.180000000000007</v>
      </c>
      <c r="I275" s="233">
        <v>74.260000000000005</v>
      </c>
      <c r="J275" s="233">
        <v>74</v>
      </c>
      <c r="K275" s="252"/>
      <c r="L275" s="233">
        <f>J275+0.26</f>
        <v>74.260000000000005</v>
      </c>
      <c r="M275" s="252"/>
      <c r="N275" s="233">
        <f>L275+0.26</f>
        <v>74.52000000000001</v>
      </c>
      <c r="O275" s="252"/>
      <c r="P275" s="233">
        <f>N275+0.26</f>
        <v>74.780000000000015</v>
      </c>
      <c r="Q275" s="252"/>
      <c r="R275" s="233">
        <f>P275+0.26</f>
        <v>75.04000000000002</v>
      </c>
      <c r="S275" s="252"/>
      <c r="T275" s="233">
        <f>R275+0.26</f>
        <v>75.300000000000026</v>
      </c>
      <c r="U275" s="252"/>
      <c r="V275" s="52"/>
      <c r="W275" s="52"/>
      <c r="X275" s="52"/>
      <c r="Y275" s="165"/>
      <c r="Z275" s="165"/>
      <c r="AA275" s="165"/>
      <c r="AB275" s="165"/>
      <c r="AC275" s="165"/>
      <c r="AD275" s="165"/>
      <c r="AE275" s="165"/>
      <c r="AF275" s="165"/>
    </row>
    <row r="276" spans="1:32" ht="30" hidden="1">
      <c r="A276" s="165"/>
      <c r="B276" s="48"/>
      <c r="C276" s="48"/>
      <c r="D276" s="49"/>
      <c r="E276" s="49"/>
      <c r="F276" s="50"/>
      <c r="G276" s="58" t="s">
        <v>1220</v>
      </c>
      <c r="H276" s="233">
        <v>29.63</v>
      </c>
      <c r="I276" s="233"/>
      <c r="J276" s="233">
        <v>29.63</v>
      </c>
      <c r="K276" s="52"/>
      <c r="L276" s="292">
        <f>J276+3.7</f>
        <v>33.33</v>
      </c>
      <c r="M276" s="52"/>
      <c r="N276" s="292">
        <f>L276+3.7</f>
        <v>37.03</v>
      </c>
      <c r="O276" s="52"/>
      <c r="P276" s="292">
        <f>N276+3.7</f>
        <v>40.730000000000004</v>
      </c>
      <c r="Q276" s="52"/>
      <c r="R276" s="292">
        <f>P276+3.7</f>
        <v>44.430000000000007</v>
      </c>
      <c r="S276" s="52"/>
      <c r="T276" s="292">
        <f>R276+3.7</f>
        <v>48.13000000000001</v>
      </c>
      <c r="U276" s="52"/>
      <c r="V276" s="52"/>
      <c r="W276" s="52"/>
      <c r="X276" s="52"/>
      <c r="Y276" s="165"/>
      <c r="Z276" s="165"/>
      <c r="AA276" s="165"/>
      <c r="AB276" s="165"/>
      <c r="AC276" s="165"/>
      <c r="AD276" s="165"/>
      <c r="AE276" s="165"/>
      <c r="AF276" s="165"/>
    </row>
    <row r="277" spans="1:32" ht="30" hidden="1">
      <c r="A277" s="165"/>
      <c r="B277" s="48"/>
      <c r="C277" s="48"/>
      <c r="D277" s="49"/>
      <c r="E277" s="49"/>
      <c r="F277" s="50"/>
      <c r="G277" s="58" t="s">
        <v>1222</v>
      </c>
      <c r="H277" s="233">
        <v>25.93</v>
      </c>
      <c r="I277" s="233"/>
      <c r="J277" s="233">
        <v>25.93</v>
      </c>
      <c r="K277" s="252"/>
      <c r="L277" s="233">
        <f>J277</f>
        <v>25.93</v>
      </c>
      <c r="M277" s="252"/>
      <c r="N277" s="233">
        <f>L277</f>
        <v>25.93</v>
      </c>
      <c r="O277" s="252"/>
      <c r="P277" s="233">
        <f>N277</f>
        <v>25.93</v>
      </c>
      <c r="Q277" s="252"/>
      <c r="R277" s="233">
        <f>P277</f>
        <v>25.93</v>
      </c>
      <c r="S277" s="252"/>
      <c r="T277" s="233">
        <f>R277</f>
        <v>25.93</v>
      </c>
      <c r="U277" s="252"/>
      <c r="V277" s="52"/>
      <c r="W277" s="52"/>
      <c r="X277" s="52"/>
      <c r="Y277" s="165"/>
      <c r="Z277" s="165"/>
      <c r="AA277" s="165"/>
      <c r="AB277" s="165"/>
      <c r="AC277" s="165"/>
      <c r="AD277" s="165"/>
      <c r="AE277" s="165"/>
      <c r="AF277" s="165"/>
    </row>
    <row r="278" spans="1:32" ht="30" hidden="1">
      <c r="A278" s="165"/>
      <c r="B278" s="48"/>
      <c r="C278" s="48"/>
      <c r="D278" s="49"/>
      <c r="E278" s="49"/>
      <c r="F278" s="50"/>
      <c r="G278" s="58" t="s">
        <v>1224</v>
      </c>
      <c r="H278" s="233">
        <v>22.22</v>
      </c>
      <c r="I278" s="233"/>
      <c r="J278" s="233">
        <v>22.22</v>
      </c>
      <c r="K278" s="252"/>
      <c r="L278" s="233">
        <f>J278</f>
        <v>22.22</v>
      </c>
      <c r="M278" s="252"/>
      <c r="N278" s="233">
        <f>L278</f>
        <v>22.22</v>
      </c>
      <c r="O278" s="252"/>
      <c r="P278" s="233">
        <f>N278</f>
        <v>22.22</v>
      </c>
      <c r="Q278" s="252"/>
      <c r="R278" s="233">
        <f>P278</f>
        <v>22.22</v>
      </c>
      <c r="S278" s="252"/>
      <c r="T278" s="233">
        <f>R278</f>
        <v>22.22</v>
      </c>
      <c r="U278" s="252"/>
      <c r="V278" s="52"/>
      <c r="W278" s="52"/>
      <c r="X278" s="52"/>
      <c r="Y278" s="165"/>
      <c r="Z278" s="165"/>
      <c r="AA278" s="165"/>
      <c r="AB278" s="165"/>
      <c r="AC278" s="165"/>
      <c r="AD278" s="165"/>
      <c r="AE278" s="165"/>
      <c r="AF278" s="165"/>
    </row>
    <row r="279" spans="1:32" ht="45" hidden="1">
      <c r="A279" s="165"/>
      <c r="B279" s="48"/>
      <c r="C279" s="48"/>
      <c r="D279" s="49"/>
      <c r="E279" s="49"/>
      <c r="F279" s="50"/>
      <c r="G279" s="58" t="s">
        <v>1226</v>
      </c>
      <c r="H279" s="233">
        <v>15.87</v>
      </c>
      <c r="I279" s="252"/>
      <c r="J279" s="233">
        <v>15.87</v>
      </c>
      <c r="K279" s="233"/>
      <c r="L279" s="233">
        <f>J279+3.18</f>
        <v>19.05</v>
      </c>
      <c r="M279" s="252"/>
      <c r="N279" s="233">
        <f>L279+3.18</f>
        <v>22.23</v>
      </c>
      <c r="O279" s="252"/>
      <c r="P279" s="233">
        <f>N279+3.18</f>
        <v>25.41</v>
      </c>
      <c r="Q279" s="252"/>
      <c r="R279" s="233">
        <f>P279+3.18</f>
        <v>28.59</v>
      </c>
      <c r="S279" s="252"/>
      <c r="T279" s="233">
        <f>R279+3.18</f>
        <v>31.77</v>
      </c>
      <c r="U279" s="252"/>
      <c r="V279" s="52"/>
      <c r="W279" s="52"/>
      <c r="X279" s="52"/>
      <c r="Y279" s="165"/>
      <c r="Z279" s="165"/>
      <c r="AA279" s="165"/>
      <c r="AB279" s="165"/>
      <c r="AC279" s="165"/>
      <c r="AD279" s="165"/>
      <c r="AE279" s="165"/>
      <c r="AF279" s="165"/>
    </row>
    <row r="280" spans="1:32" ht="45" hidden="1">
      <c r="A280" s="165"/>
      <c r="B280" s="48"/>
      <c r="C280" s="48"/>
      <c r="D280" s="49"/>
      <c r="E280" s="49"/>
      <c r="F280" s="50"/>
      <c r="G280" s="58" t="s">
        <v>1228</v>
      </c>
      <c r="H280" s="233">
        <v>47.62</v>
      </c>
      <c r="I280" s="252"/>
      <c r="J280" s="233">
        <v>47.62</v>
      </c>
      <c r="K280" s="252"/>
      <c r="L280" s="233">
        <f>J280</f>
        <v>47.62</v>
      </c>
      <c r="M280" s="252"/>
      <c r="N280" s="233">
        <f>L280</f>
        <v>47.62</v>
      </c>
      <c r="O280" s="252"/>
      <c r="P280" s="233">
        <f>N280</f>
        <v>47.62</v>
      </c>
      <c r="Q280" s="252"/>
      <c r="R280" s="233">
        <f>P280</f>
        <v>47.62</v>
      </c>
      <c r="S280" s="252"/>
      <c r="T280" s="233">
        <f>R280</f>
        <v>47.62</v>
      </c>
      <c r="U280" s="252"/>
      <c r="V280" s="52"/>
      <c r="W280" s="52"/>
      <c r="X280" s="52"/>
      <c r="Y280" s="165"/>
      <c r="Z280" s="165"/>
      <c r="AA280" s="165"/>
      <c r="AB280" s="165"/>
      <c r="AC280" s="165"/>
      <c r="AD280" s="165"/>
      <c r="AE280" s="165"/>
      <c r="AF280" s="165"/>
    </row>
    <row r="281" spans="1:32" ht="45" hidden="1">
      <c r="A281" s="165"/>
      <c r="B281" s="48"/>
      <c r="C281" s="48"/>
      <c r="D281" s="49"/>
      <c r="E281" s="49"/>
      <c r="F281" s="50"/>
      <c r="G281" s="58" t="s">
        <v>1230</v>
      </c>
      <c r="H281" s="233">
        <v>19.05</v>
      </c>
      <c r="I281" s="252"/>
      <c r="J281" s="233">
        <v>19.05</v>
      </c>
      <c r="K281" s="233"/>
      <c r="L281" s="233">
        <f>J281</f>
        <v>19.05</v>
      </c>
      <c r="M281" s="233"/>
      <c r="N281" s="233">
        <f>L281</f>
        <v>19.05</v>
      </c>
      <c r="O281" s="252"/>
      <c r="P281" s="233">
        <f>N281</f>
        <v>19.05</v>
      </c>
      <c r="Q281" s="252"/>
      <c r="R281" s="233">
        <f>P281</f>
        <v>19.05</v>
      </c>
      <c r="S281" s="252"/>
      <c r="T281" s="233">
        <f>R281</f>
        <v>19.05</v>
      </c>
      <c r="U281" s="252"/>
      <c r="V281" s="52"/>
      <c r="W281" s="52"/>
      <c r="X281" s="52"/>
      <c r="Y281" s="165"/>
      <c r="Z281" s="165"/>
      <c r="AA281" s="165"/>
      <c r="AB281" s="165"/>
      <c r="AC281" s="165"/>
      <c r="AD281" s="165"/>
      <c r="AE281" s="165"/>
      <c r="AF281" s="165"/>
    </row>
    <row r="282" spans="1:32" ht="45" hidden="1">
      <c r="A282" s="165"/>
      <c r="B282" s="48"/>
      <c r="C282" s="48"/>
      <c r="D282" s="49"/>
      <c r="E282" s="49"/>
      <c r="F282" s="50"/>
      <c r="G282" s="58" t="s">
        <v>2015</v>
      </c>
      <c r="H282" s="233">
        <v>99.320568252007419</v>
      </c>
      <c r="I282" s="233">
        <v>95.41</v>
      </c>
      <c r="J282" s="233">
        <v>99.864786555920418</v>
      </c>
      <c r="K282" s="252"/>
      <c r="L282" s="233">
        <v>99</v>
      </c>
      <c r="M282" s="252"/>
      <c r="N282" s="233">
        <v>99</v>
      </c>
      <c r="O282" s="252"/>
      <c r="P282" s="233">
        <v>99</v>
      </c>
      <c r="Q282" s="252"/>
      <c r="R282" s="233">
        <v>99</v>
      </c>
      <c r="S282" s="252"/>
      <c r="T282" s="233">
        <v>99</v>
      </c>
      <c r="U282" s="252"/>
      <c r="V282" s="52"/>
      <c r="W282" s="52"/>
      <c r="X282" s="52"/>
      <c r="Y282" s="165"/>
      <c r="Z282" s="165"/>
      <c r="AA282" s="165"/>
      <c r="AB282" s="165"/>
      <c r="AC282" s="165"/>
      <c r="AD282" s="165"/>
      <c r="AE282" s="165"/>
      <c r="AF282" s="165"/>
    </row>
    <row r="283" spans="1:32" ht="75" hidden="1">
      <c r="A283" s="165"/>
      <c r="B283" s="48"/>
      <c r="C283" s="48"/>
      <c r="D283" s="49"/>
      <c r="E283" s="49"/>
      <c r="F283" s="50"/>
      <c r="G283" s="58" t="s">
        <v>2215</v>
      </c>
      <c r="H283" s="233">
        <v>72.122709491455623</v>
      </c>
      <c r="I283" s="233"/>
      <c r="J283" s="233">
        <v>57.331009103234557</v>
      </c>
      <c r="K283" s="252"/>
      <c r="L283" s="233">
        <f>J283+0.15</f>
        <v>57.481009103234555</v>
      </c>
      <c r="M283" s="252"/>
      <c r="N283" s="233">
        <f>L283+0.15</f>
        <v>57.631009103234554</v>
      </c>
      <c r="O283" s="252"/>
      <c r="P283" s="233">
        <f>N283+0.15</f>
        <v>57.781009103234553</v>
      </c>
      <c r="Q283" s="252"/>
      <c r="R283" s="233">
        <f>P283+0.15</f>
        <v>57.931009103234551</v>
      </c>
      <c r="S283" s="252"/>
      <c r="T283" s="233">
        <f>R283+0.15</f>
        <v>58.08100910323455</v>
      </c>
      <c r="U283" s="252"/>
      <c r="V283" s="52"/>
      <c r="W283" s="52"/>
      <c r="X283" s="52"/>
      <c r="Y283" s="165"/>
      <c r="Z283" s="165"/>
      <c r="AA283" s="165"/>
      <c r="AB283" s="165"/>
      <c r="AC283" s="165"/>
      <c r="AD283" s="165"/>
      <c r="AE283" s="165"/>
      <c r="AF283" s="165"/>
    </row>
    <row r="284" spans="1:32" ht="30" hidden="1">
      <c r="A284" s="165"/>
      <c r="B284" s="48"/>
      <c r="C284" s="48"/>
      <c r="D284" s="49"/>
      <c r="E284" s="49"/>
      <c r="F284" s="50"/>
      <c r="G284" s="64" t="s">
        <v>1234</v>
      </c>
      <c r="H284" s="294">
        <v>1.18</v>
      </c>
      <c r="I284" s="294">
        <v>1.64</v>
      </c>
      <c r="J284" s="294">
        <v>1.64</v>
      </c>
      <c r="K284" s="295"/>
      <c r="L284" s="294">
        <f>J284-0.02</f>
        <v>1.6199999999999999</v>
      </c>
      <c r="M284" s="295"/>
      <c r="N284" s="294">
        <f>L284-0.02</f>
        <v>1.5999999999999999</v>
      </c>
      <c r="O284" s="295"/>
      <c r="P284" s="294">
        <f>N284-0.02</f>
        <v>1.5799999999999998</v>
      </c>
      <c r="Q284" s="295"/>
      <c r="R284" s="294">
        <f>P284-0.02</f>
        <v>1.5599999999999998</v>
      </c>
      <c r="S284" s="295"/>
      <c r="T284" s="294">
        <f>R284-0.02</f>
        <v>1.5399999999999998</v>
      </c>
      <c r="U284" s="295"/>
      <c r="V284" s="65"/>
      <c r="W284" s="65"/>
      <c r="X284" s="65"/>
      <c r="Y284" s="165"/>
      <c r="Z284" s="165"/>
      <c r="AA284" s="165"/>
      <c r="AB284" s="165"/>
      <c r="AC284" s="165"/>
      <c r="AD284" s="165"/>
      <c r="AE284" s="165"/>
      <c r="AF284" s="165"/>
    </row>
    <row r="285" spans="1:32" s="276" customFormat="1" ht="30" hidden="1" customHeight="1">
      <c r="A285" s="283"/>
      <c r="B285" s="1106" t="s">
        <v>4234</v>
      </c>
      <c r="C285" s="1106"/>
      <c r="D285" s="1106"/>
      <c r="E285" s="1106"/>
      <c r="F285" s="1106"/>
      <c r="G285" s="1106"/>
      <c r="H285" s="296"/>
      <c r="I285" s="296"/>
      <c r="J285" s="296"/>
      <c r="K285" s="297">
        <f>SUM(K10:K284)</f>
        <v>47993130950</v>
      </c>
      <c r="L285" s="297"/>
      <c r="M285" s="297">
        <f t="shared" ref="M285:W285" si="0">SUM(M10:M284)</f>
        <v>44797371750</v>
      </c>
      <c r="N285" s="297"/>
      <c r="O285" s="297">
        <f t="shared" si="0"/>
        <v>49008888150</v>
      </c>
      <c r="P285" s="297"/>
      <c r="Q285" s="297">
        <f t="shared" si="0"/>
        <v>50294988150</v>
      </c>
      <c r="R285" s="297"/>
      <c r="S285" s="297">
        <f t="shared" si="0"/>
        <v>51068738150</v>
      </c>
      <c r="T285" s="297"/>
      <c r="U285" s="297">
        <f t="shared" si="0"/>
        <v>50828738150</v>
      </c>
      <c r="V285" s="297">
        <f t="shared" si="0"/>
        <v>0</v>
      </c>
      <c r="W285" s="297">
        <f t="shared" si="0"/>
        <v>0</v>
      </c>
      <c r="X285" s="274"/>
      <c r="Y285" s="283"/>
      <c r="Z285" s="283"/>
      <c r="AA285" s="283"/>
      <c r="AB285" s="283"/>
      <c r="AC285" s="283"/>
      <c r="AD285" s="283"/>
      <c r="AE285" s="283"/>
      <c r="AF285" s="283"/>
    </row>
    <row r="286" spans="1:32" s="165" customFormat="1">
      <c r="A286" s="165">
        <v>1</v>
      </c>
      <c r="B286" s="56" t="str">
        <f>'matrik MISI 5'!B6</f>
        <v>KESEHATAN</v>
      </c>
      <c r="C286" s="56"/>
      <c r="D286" s="57"/>
      <c r="E286" s="57"/>
      <c r="F286" s="58"/>
      <c r="G286" s="58"/>
      <c r="H286" s="52"/>
      <c r="I286" s="52"/>
      <c r="J286" s="52"/>
      <c r="K286" s="52"/>
      <c r="L286" s="52"/>
      <c r="M286" s="259"/>
      <c r="N286" s="52"/>
      <c r="O286" s="259"/>
      <c r="P286" s="52"/>
      <c r="Q286" s="52"/>
      <c r="R286" s="52"/>
      <c r="S286" s="52"/>
      <c r="T286" s="52"/>
      <c r="U286" s="52"/>
      <c r="V286" s="52"/>
      <c r="W286" s="52"/>
      <c r="X286" s="52"/>
    </row>
    <row r="287" spans="1:32" s="540" customFormat="1" ht="105">
      <c r="B287" s="545"/>
      <c r="C287" s="591">
        <f>'matrik MISI 5'!J48</f>
        <v>1.02</v>
      </c>
      <c r="D287" s="592" t="str">
        <f>'matrik MISI 5'!K48</f>
        <v>xx</v>
      </c>
      <c r="E287" s="592">
        <f>'matrik MISI 5'!L48</f>
        <v>15</v>
      </c>
      <c r="F287" s="548" t="str">
        <f>'matrik MISI 5'!M48</f>
        <v>Penyediaan Obat dan Perbekalan Kesehatan (Program Obat dan Perbekalan Kesehatan)</v>
      </c>
      <c r="G287" s="548"/>
      <c r="H287" s="550"/>
      <c r="I287" s="550"/>
      <c r="J287" s="550"/>
      <c r="K287" s="551">
        <f>SUM(K288:K296)</f>
        <v>1592079000</v>
      </c>
      <c r="L287" s="551">
        <f t="shared" ref="L287:U287" si="1">SUM(L288:L296)</f>
        <v>124.9</v>
      </c>
      <c r="M287" s="551">
        <f t="shared" si="1"/>
        <v>2610000000</v>
      </c>
      <c r="N287" s="551">
        <f t="shared" si="1"/>
        <v>135.03</v>
      </c>
      <c r="O287" s="551">
        <f t="shared" si="1"/>
        <v>2720000000</v>
      </c>
      <c r="P287" s="551">
        <f t="shared" si="1"/>
        <v>145.13999999999999</v>
      </c>
      <c r="Q287" s="551">
        <f t="shared" si="1"/>
        <v>2825000000</v>
      </c>
      <c r="R287" s="551">
        <f t="shared" si="1"/>
        <v>155.27999999999997</v>
      </c>
      <c r="S287" s="551">
        <f t="shared" si="1"/>
        <v>2931000000</v>
      </c>
      <c r="T287" s="551">
        <f t="shared" si="1"/>
        <v>155.27999999999997</v>
      </c>
      <c r="U287" s="551">
        <f t="shared" si="1"/>
        <v>2931000000</v>
      </c>
      <c r="V287" s="550"/>
      <c r="W287" s="550"/>
      <c r="X287" s="550" t="str">
        <f>'matrik MISI 5'!X48</f>
        <v>Dinas Kesehatan</v>
      </c>
    </row>
    <row r="288" spans="1:32" s="165" customFormat="1" ht="45">
      <c r="B288" s="48"/>
      <c r="C288" s="56"/>
      <c r="D288" s="57"/>
      <c r="E288" s="57"/>
      <c r="F288" s="58"/>
      <c r="G288" s="270" t="s">
        <v>1454</v>
      </c>
      <c r="H288" s="179">
        <v>98.6</v>
      </c>
      <c r="I288" s="179">
        <v>90</v>
      </c>
      <c r="J288" s="179">
        <v>98.6</v>
      </c>
      <c r="K288" s="1132">
        <v>1497279000</v>
      </c>
      <c r="L288" s="179">
        <v>90</v>
      </c>
      <c r="M288" s="1132">
        <v>2500000000</v>
      </c>
      <c r="N288" s="179">
        <v>90</v>
      </c>
      <c r="O288" s="1132">
        <v>2600000000</v>
      </c>
      <c r="P288" s="179">
        <v>90</v>
      </c>
      <c r="Q288" s="1132">
        <v>2700000000</v>
      </c>
      <c r="R288" s="179">
        <v>90</v>
      </c>
      <c r="S288" s="1132">
        <v>2800000000</v>
      </c>
      <c r="T288" s="179">
        <v>90</v>
      </c>
      <c r="U288" s="1132">
        <v>2800000000</v>
      </c>
      <c r="V288" s="52"/>
      <c r="W288" s="52"/>
      <c r="X288" s="52"/>
    </row>
    <row r="289" spans="2:24" s="165" customFormat="1" ht="30">
      <c r="B289" s="48"/>
      <c r="C289" s="56"/>
      <c r="D289" s="57"/>
      <c r="E289" s="57"/>
      <c r="F289" s="58"/>
      <c r="G289" s="173" t="s">
        <v>2376</v>
      </c>
      <c r="H289" s="191">
        <v>0.995</v>
      </c>
      <c r="I289" s="161">
        <v>0.87</v>
      </c>
      <c r="J289" s="191">
        <v>0.995</v>
      </c>
      <c r="K289" s="1133"/>
      <c r="L289" s="161">
        <v>0.9</v>
      </c>
      <c r="M289" s="1133"/>
      <c r="N289" s="161">
        <v>0.91</v>
      </c>
      <c r="O289" s="1133"/>
      <c r="P289" s="161">
        <v>0.91</v>
      </c>
      <c r="Q289" s="1133"/>
      <c r="R289" s="161">
        <v>0.92</v>
      </c>
      <c r="S289" s="1133"/>
      <c r="T289" s="161">
        <v>0.92</v>
      </c>
      <c r="U289" s="1133"/>
      <c r="V289" s="52"/>
      <c r="W289" s="52"/>
      <c r="X289" s="52"/>
    </row>
    <row r="290" spans="2:24" s="165" customFormat="1" ht="30">
      <c r="B290" s="48"/>
      <c r="C290" s="56"/>
      <c r="D290" s="57"/>
      <c r="E290" s="57"/>
      <c r="F290" s="58"/>
      <c r="G290" s="173" t="s">
        <v>2377</v>
      </c>
      <c r="H290" s="191">
        <v>0.99199999999999999</v>
      </c>
      <c r="I290" s="161">
        <v>0.88</v>
      </c>
      <c r="J290" s="191">
        <v>0.99199999999999999</v>
      </c>
      <c r="K290" s="1133"/>
      <c r="L290" s="161">
        <v>0.9</v>
      </c>
      <c r="M290" s="1133"/>
      <c r="N290" s="161">
        <v>0.91</v>
      </c>
      <c r="O290" s="1133"/>
      <c r="P290" s="161">
        <v>0.91</v>
      </c>
      <c r="Q290" s="1133"/>
      <c r="R290" s="161">
        <v>0.92</v>
      </c>
      <c r="S290" s="1133"/>
      <c r="T290" s="161">
        <v>0.92</v>
      </c>
      <c r="U290" s="1133"/>
      <c r="V290" s="52"/>
      <c r="W290" s="52"/>
      <c r="X290" s="52"/>
    </row>
    <row r="291" spans="2:24" s="165" customFormat="1" ht="30">
      <c r="B291" s="48"/>
      <c r="C291" s="56"/>
      <c r="D291" s="57"/>
      <c r="E291" s="57"/>
      <c r="F291" s="58"/>
      <c r="G291" s="173" t="s">
        <v>2378</v>
      </c>
      <c r="H291" s="161">
        <v>1</v>
      </c>
      <c r="I291" s="161">
        <v>0.95</v>
      </c>
      <c r="J291" s="161">
        <v>1</v>
      </c>
      <c r="K291" s="1133"/>
      <c r="L291" s="161">
        <v>0.95</v>
      </c>
      <c r="M291" s="1133"/>
      <c r="N291" s="161">
        <v>0.95</v>
      </c>
      <c r="O291" s="1133"/>
      <c r="P291" s="161">
        <v>0.95</v>
      </c>
      <c r="Q291" s="1133"/>
      <c r="R291" s="161">
        <v>0.96</v>
      </c>
      <c r="S291" s="1133"/>
      <c r="T291" s="161">
        <v>0.96</v>
      </c>
      <c r="U291" s="1133"/>
      <c r="V291" s="52"/>
      <c r="W291" s="52"/>
      <c r="X291" s="52"/>
    </row>
    <row r="292" spans="2:24" s="165" customFormat="1" ht="30">
      <c r="B292" s="48"/>
      <c r="C292" s="56"/>
      <c r="D292" s="57"/>
      <c r="E292" s="57"/>
      <c r="F292" s="58"/>
      <c r="G292" s="173" t="s">
        <v>2379</v>
      </c>
      <c r="H292" s="191">
        <v>0.94199999999999995</v>
      </c>
      <c r="I292" s="161">
        <v>0.8</v>
      </c>
      <c r="J292" s="191">
        <v>0.94199999999999995</v>
      </c>
      <c r="K292" s="1134"/>
      <c r="L292" s="161">
        <v>0.85</v>
      </c>
      <c r="M292" s="1134"/>
      <c r="N292" s="161">
        <v>0.86</v>
      </c>
      <c r="O292" s="1134"/>
      <c r="P292" s="161">
        <v>0.87</v>
      </c>
      <c r="Q292" s="1134"/>
      <c r="R292" s="161">
        <v>0.88</v>
      </c>
      <c r="S292" s="1134"/>
      <c r="T292" s="161">
        <v>0.88</v>
      </c>
      <c r="U292" s="1134"/>
      <c r="V292" s="52"/>
      <c r="W292" s="52"/>
      <c r="X292" s="52"/>
    </row>
    <row r="293" spans="2:24" s="165" customFormat="1" ht="60">
      <c r="B293" s="48"/>
      <c r="C293" s="56"/>
      <c r="D293" s="57"/>
      <c r="E293" s="57"/>
      <c r="F293" s="58"/>
      <c r="G293" s="173" t="s">
        <v>2380</v>
      </c>
      <c r="H293" s="192">
        <v>0.45800000000000002</v>
      </c>
      <c r="I293" s="174">
        <v>0.3</v>
      </c>
      <c r="J293" s="192">
        <v>0.625</v>
      </c>
      <c r="K293" s="250">
        <v>20000000</v>
      </c>
      <c r="L293" s="161">
        <v>0.3</v>
      </c>
      <c r="M293" s="250">
        <v>50000000</v>
      </c>
      <c r="N293" s="161">
        <v>0.4</v>
      </c>
      <c r="O293" s="250">
        <v>50000000</v>
      </c>
      <c r="P293" s="161">
        <v>0.5</v>
      </c>
      <c r="Q293" s="252">
        <v>50000000</v>
      </c>
      <c r="R293" s="161">
        <v>0.6</v>
      </c>
      <c r="S293" s="252">
        <v>50000000</v>
      </c>
      <c r="T293" s="161">
        <v>0.6</v>
      </c>
      <c r="U293" s="252">
        <v>50000000</v>
      </c>
      <c r="V293" s="52"/>
      <c r="W293" s="52"/>
      <c r="X293" s="52"/>
    </row>
    <row r="294" spans="2:24" s="165" customFormat="1">
      <c r="B294" s="48"/>
      <c r="C294" s="56"/>
      <c r="D294" s="57"/>
      <c r="E294" s="57"/>
      <c r="F294" s="58"/>
      <c r="G294" s="173"/>
      <c r="H294" s="179"/>
      <c r="I294" s="179"/>
      <c r="J294" s="179"/>
      <c r="K294" s="259"/>
      <c r="L294" s="179"/>
      <c r="M294" s="259"/>
      <c r="N294" s="179"/>
      <c r="O294" s="259"/>
      <c r="P294" s="179"/>
      <c r="Q294" s="179"/>
      <c r="R294" s="179"/>
      <c r="S294" s="179"/>
      <c r="T294" s="179"/>
      <c r="U294" s="179"/>
      <c r="V294" s="52"/>
      <c r="W294" s="52"/>
      <c r="X294" s="52"/>
    </row>
    <row r="295" spans="2:24" s="165" customFormat="1" ht="60">
      <c r="B295" s="48"/>
      <c r="C295" s="56"/>
      <c r="D295" s="57"/>
      <c r="E295" s="57"/>
      <c r="F295" s="58"/>
      <c r="G295" s="173" t="s">
        <v>2380</v>
      </c>
      <c r="H295" s="192">
        <v>0.45800000000000002</v>
      </c>
      <c r="I295" s="174">
        <v>0.3</v>
      </c>
      <c r="J295" s="192">
        <v>0.625</v>
      </c>
      <c r="K295" s="259"/>
      <c r="L295" s="179">
        <v>30</v>
      </c>
      <c r="M295" s="250">
        <v>20000000</v>
      </c>
      <c r="N295" s="179">
        <v>40</v>
      </c>
      <c r="O295" s="250">
        <v>20000000</v>
      </c>
      <c r="P295" s="179">
        <v>50</v>
      </c>
      <c r="Q295" s="252">
        <v>20000000</v>
      </c>
      <c r="R295" s="179">
        <v>60</v>
      </c>
      <c r="S295" s="252">
        <v>20000000</v>
      </c>
      <c r="T295" s="179">
        <v>60</v>
      </c>
      <c r="U295" s="252">
        <v>20000000</v>
      </c>
      <c r="V295" s="52"/>
      <c r="W295" s="52"/>
      <c r="X295" s="52"/>
    </row>
    <row r="296" spans="2:24" s="165" customFormat="1" ht="45">
      <c r="B296" s="48"/>
      <c r="C296" s="56"/>
      <c r="D296" s="57"/>
      <c r="E296" s="57"/>
      <c r="F296" s="58"/>
      <c r="G296" s="173" t="s">
        <v>2381</v>
      </c>
      <c r="H296" s="174">
        <v>1</v>
      </c>
      <c r="I296" s="174">
        <v>0.6</v>
      </c>
      <c r="J296" s="174">
        <v>1</v>
      </c>
      <c r="K296" s="250">
        <v>74800000</v>
      </c>
      <c r="L296" s="161">
        <v>1</v>
      </c>
      <c r="M296" s="250">
        <v>40000000</v>
      </c>
      <c r="N296" s="161">
        <v>1</v>
      </c>
      <c r="O296" s="250">
        <v>50000000</v>
      </c>
      <c r="P296" s="161">
        <v>1</v>
      </c>
      <c r="Q296" s="252">
        <v>55000000</v>
      </c>
      <c r="R296" s="161">
        <v>1</v>
      </c>
      <c r="S296" s="252">
        <v>61000000</v>
      </c>
      <c r="T296" s="161">
        <v>1</v>
      </c>
      <c r="U296" s="252">
        <v>61000000</v>
      </c>
      <c r="V296" s="52"/>
      <c r="W296" s="52"/>
      <c r="X296" s="52"/>
    </row>
    <row r="297" spans="2:24" s="540" customFormat="1" ht="45">
      <c r="B297" s="545"/>
      <c r="C297" s="591">
        <f>'matrik MISI 5'!J69</f>
        <v>1.02</v>
      </c>
      <c r="D297" s="592" t="str">
        <f>'matrik MISI 5'!K69</f>
        <v>xx</v>
      </c>
      <c r="E297" s="592">
        <f>'matrik MISI 5'!L69</f>
        <v>16</v>
      </c>
      <c r="F297" s="548" t="str">
        <f>'matrik MISI 5'!M69</f>
        <v>Program Upaya Kesehatan Masyarakat</v>
      </c>
      <c r="G297" s="548"/>
      <c r="H297" s="550"/>
      <c r="I297" s="550"/>
      <c r="J297" s="550"/>
      <c r="K297" s="551">
        <f>SUM(K298:K305)</f>
        <v>140427000</v>
      </c>
      <c r="L297" s="551"/>
      <c r="M297" s="551">
        <f t="shared" ref="M297:U297" si="2">SUM(M298:M305)</f>
        <v>257000000</v>
      </c>
      <c r="N297" s="551"/>
      <c r="O297" s="551">
        <f t="shared" si="2"/>
        <v>315000000</v>
      </c>
      <c r="P297" s="551"/>
      <c r="Q297" s="551">
        <f t="shared" si="2"/>
        <v>340000000</v>
      </c>
      <c r="R297" s="551"/>
      <c r="S297" s="551">
        <f t="shared" si="2"/>
        <v>365000000</v>
      </c>
      <c r="T297" s="551"/>
      <c r="U297" s="551">
        <f t="shared" si="2"/>
        <v>315000000</v>
      </c>
      <c r="V297" s="550"/>
      <c r="W297" s="550"/>
      <c r="X297" s="550" t="str">
        <f>'matrik MISI 5'!X69</f>
        <v>Dinas Kesehatan</v>
      </c>
    </row>
    <row r="298" spans="2:24" s="165" customFormat="1" ht="30">
      <c r="B298" s="48"/>
      <c r="C298" s="56"/>
      <c r="D298" s="57"/>
      <c r="E298" s="57"/>
      <c r="F298" s="58"/>
      <c r="G298" s="403" t="s">
        <v>2330</v>
      </c>
      <c r="H298" s="160">
        <v>0.84899999999999998</v>
      </c>
      <c r="I298" s="158">
        <v>0.8</v>
      </c>
      <c r="J298" s="164">
        <v>80</v>
      </c>
      <c r="K298" s="255">
        <v>29871000</v>
      </c>
      <c r="L298" s="177">
        <v>0.8</v>
      </c>
      <c r="M298" s="181">
        <v>30000000</v>
      </c>
      <c r="N298" s="177">
        <v>0.8</v>
      </c>
      <c r="O298" s="181">
        <v>30000000</v>
      </c>
      <c r="P298" s="177">
        <v>0.8</v>
      </c>
      <c r="Q298" s="193">
        <v>30000000</v>
      </c>
      <c r="R298" s="177">
        <v>0.8</v>
      </c>
      <c r="S298" s="193">
        <v>30000000</v>
      </c>
      <c r="T298" s="177">
        <v>0.8</v>
      </c>
      <c r="U298" s="193">
        <v>30000000</v>
      </c>
      <c r="V298" s="52"/>
      <c r="W298" s="52"/>
      <c r="X298" s="52"/>
    </row>
    <row r="299" spans="2:24" s="165" customFormat="1" ht="45">
      <c r="B299" s="48"/>
      <c r="C299" s="56"/>
      <c r="D299" s="57"/>
      <c r="E299" s="57"/>
      <c r="F299" s="58"/>
      <c r="G299" s="403" t="s">
        <v>2331</v>
      </c>
      <c r="H299" s="164"/>
      <c r="I299" s="177"/>
      <c r="J299" s="164"/>
      <c r="K299" s="255"/>
      <c r="L299" s="177">
        <v>1</v>
      </c>
      <c r="M299" s="181">
        <v>102000000</v>
      </c>
      <c r="N299" s="177">
        <v>1</v>
      </c>
      <c r="O299" s="181">
        <v>100000000</v>
      </c>
      <c r="P299" s="177">
        <v>1</v>
      </c>
      <c r="Q299" s="193">
        <v>100000000</v>
      </c>
      <c r="R299" s="177">
        <v>1</v>
      </c>
      <c r="S299" s="193">
        <v>100000000</v>
      </c>
      <c r="T299" s="177">
        <v>1</v>
      </c>
      <c r="U299" s="193">
        <v>100000000</v>
      </c>
      <c r="V299" s="52"/>
      <c r="W299" s="52"/>
      <c r="X299" s="52"/>
    </row>
    <row r="300" spans="2:24" s="165" customFormat="1" ht="30">
      <c r="B300" s="48"/>
      <c r="C300" s="56"/>
      <c r="D300" s="57"/>
      <c r="E300" s="57"/>
      <c r="F300" s="58"/>
      <c r="G300" s="403" t="s">
        <v>2332</v>
      </c>
      <c r="H300" s="194">
        <v>0.82420000000000004</v>
      </c>
      <c r="I300" s="158">
        <v>0.8</v>
      </c>
      <c r="J300" s="194">
        <v>0.82499999999999996</v>
      </c>
      <c r="K300" s="255"/>
      <c r="L300" s="177">
        <v>0.8</v>
      </c>
      <c r="M300" s="181"/>
      <c r="N300" s="177">
        <v>0.8</v>
      </c>
      <c r="O300" s="181"/>
      <c r="P300" s="177">
        <v>0.8</v>
      </c>
      <c r="Q300" s="193"/>
      <c r="R300" s="177">
        <v>0.8</v>
      </c>
      <c r="S300" s="193"/>
      <c r="T300" s="177">
        <v>0.8</v>
      </c>
      <c r="U300" s="193"/>
      <c r="V300" s="52"/>
      <c r="W300" s="52"/>
      <c r="X300" s="52"/>
    </row>
    <row r="301" spans="2:24" s="165" customFormat="1" ht="45">
      <c r="B301" s="48"/>
      <c r="C301" s="56"/>
      <c r="D301" s="57"/>
      <c r="E301" s="57"/>
      <c r="F301" s="58"/>
      <c r="G301" s="403" t="s">
        <v>2355</v>
      </c>
      <c r="H301" s="195">
        <v>2.4E-2</v>
      </c>
      <c r="I301" s="175">
        <v>2.4E-2</v>
      </c>
      <c r="J301" s="175">
        <v>2.4E-2</v>
      </c>
      <c r="K301" s="257">
        <v>11572000</v>
      </c>
      <c r="L301" s="234" t="s">
        <v>2356</v>
      </c>
      <c r="M301" s="250">
        <v>25000000</v>
      </c>
      <c r="N301" s="176" t="s">
        <v>2357</v>
      </c>
      <c r="O301" s="250">
        <v>40000000</v>
      </c>
      <c r="P301" s="176" t="s">
        <v>2358</v>
      </c>
      <c r="Q301" s="252">
        <v>50000000</v>
      </c>
      <c r="R301" s="175">
        <v>0.122</v>
      </c>
      <c r="S301" s="252">
        <v>60000000</v>
      </c>
      <c r="T301" s="175">
        <v>0.122</v>
      </c>
      <c r="U301" s="252">
        <v>60000000</v>
      </c>
      <c r="V301" s="52"/>
      <c r="W301" s="52"/>
      <c r="X301" s="52"/>
    </row>
    <row r="302" spans="2:24" s="165" customFormat="1" ht="60">
      <c r="B302" s="48"/>
      <c r="C302" s="56"/>
      <c r="D302" s="57"/>
      <c r="E302" s="57"/>
      <c r="F302" s="58"/>
      <c r="G302" s="173" t="s">
        <v>2359</v>
      </c>
      <c r="H302" s="174" t="s">
        <v>2360</v>
      </c>
      <c r="I302" s="174" t="s">
        <v>2360</v>
      </c>
      <c r="J302" s="174" t="s">
        <v>2360</v>
      </c>
      <c r="K302" s="259">
        <v>18984000</v>
      </c>
      <c r="L302" s="174" t="s">
        <v>2360</v>
      </c>
      <c r="M302" s="250">
        <v>10000000</v>
      </c>
      <c r="N302" s="174" t="s">
        <v>2360</v>
      </c>
      <c r="O302" s="250">
        <v>35000000</v>
      </c>
      <c r="P302" s="174" t="s">
        <v>2360</v>
      </c>
      <c r="Q302" s="252">
        <v>45000000</v>
      </c>
      <c r="R302" s="174" t="s">
        <v>2360</v>
      </c>
      <c r="S302" s="252">
        <v>55000000</v>
      </c>
      <c r="T302" s="174" t="s">
        <v>2360</v>
      </c>
      <c r="U302" s="252">
        <v>55000000</v>
      </c>
      <c r="V302" s="52"/>
      <c r="W302" s="52"/>
      <c r="X302" s="52"/>
    </row>
    <row r="303" spans="2:24" s="165" customFormat="1" ht="45">
      <c r="B303" s="48"/>
      <c r="C303" s="56"/>
      <c r="D303" s="57"/>
      <c r="E303" s="57"/>
      <c r="F303" s="58"/>
      <c r="G303" s="270" t="s">
        <v>1495</v>
      </c>
      <c r="H303" s="179">
        <v>99.36</v>
      </c>
      <c r="I303" s="161">
        <v>1</v>
      </c>
      <c r="J303" s="161">
        <v>1</v>
      </c>
      <c r="K303" s="1140">
        <v>80000000</v>
      </c>
      <c r="L303" s="179">
        <v>100</v>
      </c>
      <c r="M303" s="1140">
        <v>90000000</v>
      </c>
      <c r="N303" s="179">
        <v>100</v>
      </c>
      <c r="O303" s="1130">
        <v>110000000</v>
      </c>
      <c r="P303" s="179">
        <v>100</v>
      </c>
      <c r="Q303" s="1141">
        <v>115000000</v>
      </c>
      <c r="R303" s="179">
        <v>100</v>
      </c>
      <c r="S303" s="1129">
        <v>120000000</v>
      </c>
      <c r="T303" s="179">
        <v>100</v>
      </c>
      <c r="U303" s="1129">
        <v>70000000</v>
      </c>
      <c r="V303" s="52"/>
      <c r="W303" s="52"/>
      <c r="X303" s="52"/>
    </row>
    <row r="304" spans="2:24" s="165" customFormat="1" ht="120">
      <c r="B304" s="48"/>
      <c r="C304" s="56"/>
      <c r="D304" s="57"/>
      <c r="E304" s="57"/>
      <c r="F304" s="58"/>
      <c r="G304" s="173" t="s">
        <v>2419</v>
      </c>
      <c r="H304" s="52"/>
      <c r="I304" s="161">
        <v>1</v>
      </c>
      <c r="J304" s="161">
        <v>1</v>
      </c>
      <c r="K304" s="1140"/>
      <c r="L304" s="174">
        <v>1</v>
      </c>
      <c r="M304" s="1140"/>
      <c r="N304" s="174">
        <v>1</v>
      </c>
      <c r="O304" s="1130"/>
      <c r="P304" s="174">
        <v>1</v>
      </c>
      <c r="Q304" s="1141"/>
      <c r="R304" s="174">
        <v>1</v>
      </c>
      <c r="S304" s="1129"/>
      <c r="T304" s="174">
        <v>1</v>
      </c>
      <c r="U304" s="1129"/>
      <c r="V304" s="52"/>
      <c r="W304" s="52"/>
      <c r="X304" s="52"/>
    </row>
    <row r="305" spans="2:24" s="165" customFormat="1" ht="135">
      <c r="B305" s="48"/>
      <c r="C305" s="56"/>
      <c r="D305" s="57"/>
      <c r="E305" s="57"/>
      <c r="F305" s="58"/>
      <c r="G305" s="173" t="s">
        <v>2420</v>
      </c>
      <c r="H305" s="191">
        <v>0.97750000000000004</v>
      </c>
      <c r="I305" s="161">
        <v>0.8</v>
      </c>
      <c r="J305" s="161">
        <v>0.8</v>
      </c>
      <c r="K305" s="1140"/>
      <c r="L305" s="174">
        <v>0.8</v>
      </c>
      <c r="M305" s="1140"/>
      <c r="N305" s="174">
        <v>0.8</v>
      </c>
      <c r="O305" s="1130"/>
      <c r="P305" s="174">
        <v>0.8</v>
      </c>
      <c r="Q305" s="1141"/>
      <c r="R305" s="174">
        <v>0.8</v>
      </c>
      <c r="S305" s="1129"/>
      <c r="T305" s="174">
        <v>0.8</v>
      </c>
      <c r="U305" s="1129"/>
      <c r="V305" s="52"/>
      <c r="W305" s="52"/>
      <c r="X305" s="52"/>
    </row>
    <row r="306" spans="2:24" s="540" customFormat="1" ht="60">
      <c r="B306" s="545"/>
      <c r="C306" s="591">
        <f>'matrik MISI 5'!J49</f>
        <v>1.02</v>
      </c>
      <c r="D306" s="592" t="str">
        <f>'matrik MISI 5'!K49</f>
        <v>xx</v>
      </c>
      <c r="E306" s="592">
        <f>'matrik MISI 5'!L49</f>
        <v>17</v>
      </c>
      <c r="F306" s="548" t="str">
        <f>'matrik MISI 5'!M49</f>
        <v>Program Pengawasan Obat dan Makanan</v>
      </c>
      <c r="G306" s="548"/>
      <c r="H306" s="550"/>
      <c r="I306" s="550"/>
      <c r="J306" s="550"/>
      <c r="K306" s="551">
        <f>SUM(K307:K309)</f>
        <v>30000000</v>
      </c>
      <c r="L306" s="551">
        <f t="shared" ref="L306:U306" si="3">SUM(L307:L309)</f>
        <v>21.9</v>
      </c>
      <c r="M306" s="551">
        <f t="shared" si="3"/>
        <v>92500000</v>
      </c>
      <c r="N306" s="551">
        <f t="shared" si="3"/>
        <v>26.92</v>
      </c>
      <c r="O306" s="551">
        <f t="shared" si="3"/>
        <v>120000000</v>
      </c>
      <c r="P306" s="551">
        <f t="shared" si="3"/>
        <v>31.93</v>
      </c>
      <c r="Q306" s="551">
        <f t="shared" si="3"/>
        <v>145000000</v>
      </c>
      <c r="R306" s="551">
        <f t="shared" si="3"/>
        <v>36.94</v>
      </c>
      <c r="S306" s="551">
        <f t="shared" si="3"/>
        <v>170000000</v>
      </c>
      <c r="T306" s="551">
        <f t="shared" si="3"/>
        <v>36.94</v>
      </c>
      <c r="U306" s="551">
        <f t="shared" si="3"/>
        <v>170000000</v>
      </c>
      <c r="V306" s="550"/>
      <c r="W306" s="550"/>
      <c r="X306" s="550" t="str">
        <f>'matrik MISI 5'!X70</f>
        <v>Dinas Kesehatan</v>
      </c>
    </row>
    <row r="307" spans="2:24" s="165" customFormat="1" ht="90">
      <c r="B307" s="48"/>
      <c r="C307" s="62"/>
      <c r="D307" s="63"/>
      <c r="E307" s="63"/>
      <c r="F307" s="64"/>
      <c r="G307" s="403" t="s">
        <v>2382</v>
      </c>
      <c r="H307" s="196" t="s">
        <v>743</v>
      </c>
      <c r="I307" s="196">
        <v>4</v>
      </c>
      <c r="J307" s="164">
        <v>4</v>
      </c>
      <c r="K307" s="1143">
        <v>15000000</v>
      </c>
      <c r="L307" s="52">
        <v>20</v>
      </c>
      <c r="M307" s="1143">
        <v>75000000</v>
      </c>
      <c r="N307" s="52">
        <v>25</v>
      </c>
      <c r="O307" s="1143">
        <v>95000000</v>
      </c>
      <c r="P307" s="52">
        <v>30</v>
      </c>
      <c r="Q307" s="1139">
        <v>115000000</v>
      </c>
      <c r="R307" s="52">
        <v>35</v>
      </c>
      <c r="S307" s="1139">
        <v>135000000</v>
      </c>
      <c r="T307" s="52">
        <v>35</v>
      </c>
      <c r="U307" s="1139">
        <v>135000000</v>
      </c>
      <c r="V307" s="52"/>
      <c r="W307" s="52"/>
      <c r="X307" s="52"/>
    </row>
    <row r="308" spans="2:24" s="165" customFormat="1" ht="90">
      <c r="B308" s="48"/>
      <c r="C308" s="62"/>
      <c r="D308" s="63"/>
      <c r="E308" s="63"/>
      <c r="F308" s="64"/>
      <c r="G308" s="403" t="s">
        <v>2383</v>
      </c>
      <c r="H308" s="196" t="s">
        <v>743</v>
      </c>
      <c r="I308" s="177">
        <v>0.8</v>
      </c>
      <c r="J308" s="177">
        <v>0.8</v>
      </c>
      <c r="K308" s="1143"/>
      <c r="L308" s="161">
        <v>0.9</v>
      </c>
      <c r="M308" s="1143"/>
      <c r="N308" s="161">
        <v>0.92</v>
      </c>
      <c r="O308" s="1143"/>
      <c r="P308" s="161">
        <v>0.93</v>
      </c>
      <c r="Q308" s="1139"/>
      <c r="R308" s="161">
        <v>0.94</v>
      </c>
      <c r="S308" s="1139"/>
      <c r="T308" s="161">
        <v>0.94</v>
      </c>
      <c r="U308" s="1139"/>
      <c r="V308" s="52"/>
      <c r="W308" s="52"/>
      <c r="X308" s="52"/>
    </row>
    <row r="309" spans="2:24" s="165" customFormat="1" ht="60">
      <c r="B309" s="48"/>
      <c r="C309" s="62"/>
      <c r="D309" s="63"/>
      <c r="E309" s="63"/>
      <c r="F309" s="64"/>
      <c r="G309" s="403" t="s">
        <v>2384</v>
      </c>
      <c r="H309" s="177">
        <v>1</v>
      </c>
      <c r="I309" s="177">
        <v>1</v>
      </c>
      <c r="J309" s="177">
        <v>1</v>
      </c>
      <c r="K309" s="255">
        <v>15000000</v>
      </c>
      <c r="L309" s="161">
        <v>1</v>
      </c>
      <c r="M309" s="255">
        <v>17500000</v>
      </c>
      <c r="N309" s="161">
        <v>1</v>
      </c>
      <c r="O309" s="255">
        <v>25000000</v>
      </c>
      <c r="P309" s="161">
        <v>1</v>
      </c>
      <c r="Q309" s="256">
        <v>30000000</v>
      </c>
      <c r="R309" s="161">
        <v>1</v>
      </c>
      <c r="S309" s="256">
        <v>35000000</v>
      </c>
      <c r="T309" s="161">
        <v>1</v>
      </c>
      <c r="U309" s="256">
        <v>35000000</v>
      </c>
      <c r="V309" s="52"/>
      <c r="W309" s="52"/>
      <c r="X309" s="52"/>
    </row>
    <row r="310" spans="2:24" s="165" customFormat="1" ht="75">
      <c r="B310" s="48"/>
      <c r="C310" s="62">
        <f>'matrik MISI 5'!J70</f>
        <v>1.02</v>
      </c>
      <c r="D310" s="63" t="str">
        <f>'matrik MISI 5'!K70</f>
        <v>xx</v>
      </c>
      <c r="E310" s="63">
        <f>'matrik MISI 5'!L70</f>
        <v>19</v>
      </c>
      <c r="F310" s="64" t="str">
        <f>'matrik MISI 5'!M70</f>
        <v>Program Promosi Kesehatan dan Pemberdayaan masyarakat</v>
      </c>
      <c r="G310" s="58"/>
      <c r="H310" s="52"/>
      <c r="I310" s="52"/>
      <c r="J310" s="52"/>
      <c r="K310" s="259">
        <f>SUM(K311:K314)</f>
        <v>87327000</v>
      </c>
      <c r="L310" s="529"/>
      <c r="M310" s="529">
        <f t="shared" ref="M310:U310" si="4">SUM(M311:M314)</f>
        <v>90000000</v>
      </c>
      <c r="N310" s="529"/>
      <c r="O310" s="529">
        <f t="shared" si="4"/>
        <v>105000000</v>
      </c>
      <c r="P310" s="529"/>
      <c r="Q310" s="529">
        <f t="shared" si="4"/>
        <v>115000000</v>
      </c>
      <c r="R310" s="529"/>
      <c r="S310" s="529">
        <f t="shared" si="4"/>
        <v>115000000</v>
      </c>
      <c r="T310" s="529"/>
      <c r="U310" s="529">
        <f t="shared" si="4"/>
        <v>115000000</v>
      </c>
      <c r="V310" s="52"/>
      <c r="W310" s="52"/>
      <c r="X310" s="52" t="str">
        <f>'matrik MISI 5'!X70</f>
        <v>Dinas Kesehatan</v>
      </c>
    </row>
    <row r="311" spans="2:24" s="165" customFormat="1" ht="30">
      <c r="B311" s="48"/>
      <c r="C311" s="62"/>
      <c r="D311" s="63"/>
      <c r="E311" s="63"/>
      <c r="F311" s="64"/>
      <c r="G311" s="58" t="s">
        <v>2421</v>
      </c>
      <c r="H311" s="161">
        <v>1</v>
      </c>
      <c r="I311" s="161">
        <v>1</v>
      </c>
      <c r="J311" s="161">
        <v>1</v>
      </c>
      <c r="K311" s="249">
        <v>28700000</v>
      </c>
      <c r="L311" s="174">
        <v>1</v>
      </c>
      <c r="M311" s="249">
        <v>50000000</v>
      </c>
      <c r="N311" s="174">
        <v>1</v>
      </c>
      <c r="O311" s="250">
        <v>55000000</v>
      </c>
      <c r="P311" s="174">
        <v>1</v>
      </c>
      <c r="Q311" s="251">
        <v>60000000</v>
      </c>
      <c r="R311" s="174">
        <v>1</v>
      </c>
      <c r="S311" s="252">
        <v>65000000</v>
      </c>
      <c r="T311" s="174">
        <v>1</v>
      </c>
      <c r="U311" s="252">
        <v>65000000</v>
      </c>
      <c r="V311" s="52"/>
      <c r="W311" s="52"/>
      <c r="X311" s="52"/>
    </row>
    <row r="312" spans="2:24" s="165" customFormat="1" ht="30">
      <c r="B312" s="48"/>
      <c r="C312" s="62"/>
      <c r="D312" s="63"/>
      <c r="E312" s="63"/>
      <c r="F312" s="64"/>
      <c r="G312" s="58" t="s">
        <v>2422</v>
      </c>
      <c r="H312" s="191">
        <v>0.42599999999999999</v>
      </c>
      <c r="I312" s="161">
        <v>0.4</v>
      </c>
      <c r="J312" s="161">
        <v>0.4</v>
      </c>
      <c r="K312" s="1140">
        <v>58627000</v>
      </c>
      <c r="L312" s="174">
        <v>0.42</v>
      </c>
      <c r="M312" s="1130">
        <v>40000000</v>
      </c>
      <c r="N312" s="174">
        <v>0.44</v>
      </c>
      <c r="O312" s="1130">
        <v>50000000</v>
      </c>
      <c r="P312" s="174">
        <v>0.46</v>
      </c>
      <c r="Q312" s="1141">
        <v>55000000</v>
      </c>
      <c r="R312" s="174">
        <v>0.48</v>
      </c>
      <c r="S312" s="1129">
        <v>50000000</v>
      </c>
      <c r="T312" s="174">
        <v>0.48</v>
      </c>
      <c r="U312" s="1129">
        <v>50000000</v>
      </c>
      <c r="V312" s="52"/>
      <c r="W312" s="52"/>
      <c r="X312" s="52"/>
    </row>
    <row r="313" spans="2:24" s="165" customFormat="1" ht="30">
      <c r="B313" s="48"/>
      <c r="C313" s="62"/>
      <c r="D313" s="63"/>
      <c r="E313" s="63"/>
      <c r="F313" s="64"/>
      <c r="G313" s="58" t="s">
        <v>2423</v>
      </c>
      <c r="H313" s="161">
        <v>0.76</v>
      </c>
      <c r="I313" s="161">
        <v>0.65</v>
      </c>
      <c r="J313" s="161">
        <v>0.65</v>
      </c>
      <c r="K313" s="1140"/>
      <c r="L313" s="174">
        <v>0.65</v>
      </c>
      <c r="M313" s="1130"/>
      <c r="N313" s="174">
        <v>0.65</v>
      </c>
      <c r="O313" s="1130"/>
      <c r="P313" s="174">
        <v>0.65</v>
      </c>
      <c r="Q313" s="1141"/>
      <c r="R313" s="174">
        <v>0.65</v>
      </c>
      <c r="S313" s="1129"/>
      <c r="T313" s="174">
        <v>0.65</v>
      </c>
      <c r="U313" s="1129"/>
      <c r="V313" s="52"/>
      <c r="W313" s="52"/>
      <c r="X313" s="52"/>
    </row>
    <row r="314" spans="2:24" s="165" customFormat="1" ht="60">
      <c r="B314" s="48"/>
      <c r="C314" s="62"/>
      <c r="D314" s="63"/>
      <c r="E314" s="63"/>
      <c r="F314" s="64"/>
      <c r="G314" s="173" t="s">
        <v>2424</v>
      </c>
      <c r="H314" s="191">
        <v>0.2954</v>
      </c>
      <c r="I314" s="161">
        <v>0.3</v>
      </c>
      <c r="J314" s="161">
        <v>0.3</v>
      </c>
      <c r="K314" s="1140"/>
      <c r="L314" s="174">
        <v>0.3</v>
      </c>
      <c r="M314" s="1130"/>
      <c r="N314" s="174">
        <v>0.3</v>
      </c>
      <c r="O314" s="1130"/>
      <c r="P314" s="174">
        <v>0.3</v>
      </c>
      <c r="Q314" s="1141"/>
      <c r="R314" s="174">
        <v>0.3</v>
      </c>
      <c r="S314" s="1129"/>
      <c r="T314" s="174">
        <v>0.3</v>
      </c>
      <c r="U314" s="1129"/>
      <c r="V314" s="52"/>
      <c r="W314" s="52"/>
      <c r="X314" s="52"/>
    </row>
    <row r="315" spans="2:24" s="540" customFormat="1" ht="30">
      <c r="B315" s="545"/>
      <c r="C315" s="593">
        <f>'matrik MISI 5'!J43</f>
        <v>1.02</v>
      </c>
      <c r="D315" s="594" t="str">
        <f>'matrik MISI 5'!K43</f>
        <v>xx</v>
      </c>
      <c r="E315" s="594">
        <f>'matrik MISI 5'!L43</f>
        <v>20</v>
      </c>
      <c r="F315" s="595" t="str">
        <f>'matrik MISI 5'!M43</f>
        <v>Perbaikan Gizi Masyarakat</v>
      </c>
      <c r="G315" s="548"/>
      <c r="H315" s="550"/>
      <c r="I315" s="550"/>
      <c r="J315" s="550"/>
      <c r="K315" s="551">
        <f>SUM(K316:K332)</f>
        <v>250000000</v>
      </c>
      <c r="L315" s="551"/>
      <c r="M315" s="551">
        <f t="shared" ref="M315:U315" si="5">SUM(M316:M332)</f>
        <v>612500000</v>
      </c>
      <c r="N315" s="551"/>
      <c r="O315" s="551">
        <f t="shared" si="5"/>
        <v>700000000</v>
      </c>
      <c r="P315" s="551"/>
      <c r="Q315" s="551">
        <f t="shared" si="5"/>
        <v>750000000</v>
      </c>
      <c r="R315" s="551"/>
      <c r="S315" s="551">
        <f t="shared" si="5"/>
        <v>800000000</v>
      </c>
      <c r="T315" s="551"/>
      <c r="U315" s="551">
        <f t="shared" si="5"/>
        <v>800000000</v>
      </c>
      <c r="V315" s="550"/>
      <c r="W315" s="550"/>
      <c r="X315" s="550" t="str">
        <f>'matrik MISI 5'!X43</f>
        <v>Dinas Kesehatan</v>
      </c>
    </row>
    <row r="316" spans="2:24" s="165" customFormat="1" ht="45">
      <c r="B316" s="48"/>
      <c r="C316" s="62"/>
      <c r="D316" s="63"/>
      <c r="E316" s="63"/>
      <c r="F316" s="64"/>
      <c r="G316" s="270" t="s">
        <v>1441</v>
      </c>
      <c r="H316" s="197">
        <v>11.2</v>
      </c>
      <c r="I316" s="197">
        <v>15.5</v>
      </c>
      <c r="J316" s="197">
        <v>15</v>
      </c>
      <c r="K316" s="1138">
        <v>100000000</v>
      </c>
      <c r="L316" s="197">
        <v>15.5</v>
      </c>
      <c r="M316" s="1138">
        <v>350000000</v>
      </c>
      <c r="N316" s="197">
        <v>15.5</v>
      </c>
      <c r="O316" s="1138">
        <v>350000000</v>
      </c>
      <c r="P316" s="197">
        <v>15.5</v>
      </c>
      <c r="Q316" s="1135">
        <v>400000000</v>
      </c>
      <c r="R316" s="197">
        <v>15.5</v>
      </c>
      <c r="S316" s="1135">
        <v>400000000</v>
      </c>
      <c r="T316" s="197">
        <v>15.5</v>
      </c>
      <c r="U316" s="1135">
        <v>400000000</v>
      </c>
      <c r="V316" s="52"/>
      <c r="W316" s="52"/>
      <c r="X316" s="52"/>
    </row>
    <row r="317" spans="2:24" s="165" customFormat="1" ht="45">
      <c r="B317" s="48"/>
      <c r="C317" s="62"/>
      <c r="D317" s="63"/>
      <c r="E317" s="63"/>
      <c r="F317" s="64"/>
      <c r="G317" s="270" t="s">
        <v>1443</v>
      </c>
      <c r="H317" s="164">
        <v>0.04</v>
      </c>
      <c r="I317" s="197" t="s">
        <v>1444</v>
      </c>
      <c r="J317" s="197"/>
      <c r="K317" s="1138"/>
      <c r="L317" s="164" t="s">
        <v>1444</v>
      </c>
      <c r="M317" s="1138"/>
      <c r="N317" s="164" t="s">
        <v>1444</v>
      </c>
      <c r="O317" s="1138"/>
      <c r="P317" s="164" t="s">
        <v>1444</v>
      </c>
      <c r="Q317" s="1135"/>
      <c r="R317" s="164" t="s">
        <v>1444</v>
      </c>
      <c r="S317" s="1135"/>
      <c r="T317" s="164" t="s">
        <v>1444</v>
      </c>
      <c r="U317" s="1135"/>
      <c r="V317" s="52"/>
      <c r="W317" s="52"/>
      <c r="X317" s="52"/>
    </row>
    <row r="318" spans="2:24" s="165" customFormat="1" ht="75">
      <c r="B318" s="48"/>
      <c r="C318" s="62"/>
      <c r="D318" s="63"/>
      <c r="E318" s="63"/>
      <c r="F318" s="64"/>
      <c r="G318" s="270" t="s">
        <v>1446</v>
      </c>
      <c r="H318" s="197">
        <v>100</v>
      </c>
      <c r="I318" s="197">
        <v>100</v>
      </c>
      <c r="J318" s="197"/>
      <c r="K318" s="1138"/>
      <c r="L318" s="197">
        <v>100</v>
      </c>
      <c r="M318" s="1138"/>
      <c r="N318" s="197">
        <v>100</v>
      </c>
      <c r="O318" s="1138"/>
      <c r="P318" s="197">
        <v>100</v>
      </c>
      <c r="Q318" s="1135"/>
      <c r="R318" s="197">
        <v>100</v>
      </c>
      <c r="S318" s="1135"/>
      <c r="T318" s="197">
        <v>100</v>
      </c>
      <c r="U318" s="1135"/>
      <c r="V318" s="52"/>
      <c r="W318" s="52"/>
      <c r="X318" s="52"/>
    </row>
    <row r="319" spans="2:24" s="165" customFormat="1" ht="45">
      <c r="B319" s="48"/>
      <c r="C319" s="62"/>
      <c r="D319" s="63"/>
      <c r="E319" s="63"/>
      <c r="F319" s="64"/>
      <c r="G319" s="270" t="s">
        <v>1448</v>
      </c>
      <c r="H319" s="197">
        <v>100</v>
      </c>
      <c r="I319" s="197">
        <v>100</v>
      </c>
      <c r="J319" s="197"/>
      <c r="K319" s="1138"/>
      <c r="L319" s="197">
        <v>100</v>
      </c>
      <c r="M319" s="1138"/>
      <c r="N319" s="197">
        <v>100</v>
      </c>
      <c r="O319" s="1138"/>
      <c r="P319" s="197">
        <v>100</v>
      </c>
      <c r="Q319" s="1135"/>
      <c r="R319" s="197">
        <v>100</v>
      </c>
      <c r="S319" s="1135"/>
      <c r="T319" s="197">
        <v>100</v>
      </c>
      <c r="U319" s="1135"/>
      <c r="V319" s="52"/>
      <c r="W319" s="52"/>
      <c r="X319" s="52"/>
    </row>
    <row r="320" spans="2:24" s="165" customFormat="1" ht="45">
      <c r="B320" s="48"/>
      <c r="C320" s="62"/>
      <c r="D320" s="63"/>
      <c r="E320" s="63"/>
      <c r="F320" s="64"/>
      <c r="G320" s="403" t="s">
        <v>2361</v>
      </c>
      <c r="H320" s="160">
        <v>0.75570000000000004</v>
      </c>
      <c r="I320" s="158">
        <v>0.8</v>
      </c>
      <c r="J320" s="158">
        <v>0.77</v>
      </c>
      <c r="K320" s="1138"/>
      <c r="L320" s="177">
        <v>0.8</v>
      </c>
      <c r="M320" s="1138"/>
      <c r="N320" s="177">
        <v>0.8</v>
      </c>
      <c r="O320" s="1138"/>
      <c r="P320" s="177">
        <v>0.8</v>
      </c>
      <c r="Q320" s="1135"/>
      <c r="R320" s="177">
        <v>0.8</v>
      </c>
      <c r="S320" s="1135"/>
      <c r="T320" s="177">
        <v>0.8</v>
      </c>
      <c r="U320" s="1135"/>
      <c r="V320" s="52"/>
      <c r="W320" s="52"/>
      <c r="X320" s="52"/>
    </row>
    <row r="321" spans="2:24" s="165" customFormat="1" ht="90">
      <c r="B321" s="48"/>
      <c r="C321" s="62"/>
      <c r="D321" s="63"/>
      <c r="E321" s="63"/>
      <c r="F321" s="64"/>
      <c r="G321" s="403" t="s">
        <v>2362</v>
      </c>
      <c r="H321" s="158">
        <v>1</v>
      </c>
      <c r="I321" s="158">
        <v>1</v>
      </c>
      <c r="J321" s="158">
        <v>1</v>
      </c>
      <c r="K321" s="1138"/>
      <c r="L321" s="198">
        <v>1</v>
      </c>
      <c r="M321" s="1138"/>
      <c r="N321" s="198">
        <v>1</v>
      </c>
      <c r="O321" s="1138"/>
      <c r="P321" s="198">
        <v>1</v>
      </c>
      <c r="Q321" s="1135"/>
      <c r="R321" s="198">
        <v>1</v>
      </c>
      <c r="S321" s="1135"/>
      <c r="T321" s="198">
        <v>1</v>
      </c>
      <c r="U321" s="1135"/>
      <c r="V321" s="52"/>
      <c r="W321" s="52"/>
      <c r="X321" s="52"/>
    </row>
    <row r="322" spans="2:24" s="165" customFormat="1" ht="45">
      <c r="B322" s="48"/>
      <c r="C322" s="62"/>
      <c r="D322" s="63"/>
      <c r="E322" s="63"/>
      <c r="F322" s="64"/>
      <c r="G322" s="403" t="s">
        <v>2363</v>
      </c>
      <c r="H322" s="160">
        <v>0.87370000000000003</v>
      </c>
      <c r="I322" s="158">
        <v>0.8</v>
      </c>
      <c r="J322" s="158">
        <v>0.88</v>
      </c>
      <c r="K322" s="1136">
        <v>150000000</v>
      </c>
      <c r="L322" s="177">
        <v>0.8</v>
      </c>
      <c r="M322" s="1136">
        <v>262500000</v>
      </c>
      <c r="N322" s="177">
        <v>0.8</v>
      </c>
      <c r="O322" s="1136">
        <v>350000000</v>
      </c>
      <c r="P322" s="177">
        <v>0.8</v>
      </c>
      <c r="Q322" s="1137">
        <v>350000000</v>
      </c>
      <c r="R322" s="177">
        <v>0.8</v>
      </c>
      <c r="S322" s="1137">
        <v>400000000</v>
      </c>
      <c r="T322" s="177">
        <v>0.8</v>
      </c>
      <c r="U322" s="1137">
        <v>400000000</v>
      </c>
      <c r="V322" s="52"/>
      <c r="W322" s="52"/>
      <c r="X322" s="52"/>
    </row>
    <row r="323" spans="2:24" s="165" customFormat="1" ht="45">
      <c r="B323" s="48"/>
      <c r="C323" s="62"/>
      <c r="D323" s="63"/>
      <c r="E323" s="63"/>
      <c r="F323" s="64"/>
      <c r="G323" s="403" t="s">
        <v>2364</v>
      </c>
      <c r="H323" s="160">
        <v>1.9900000000000001E-2</v>
      </c>
      <c r="I323" s="164" t="s">
        <v>2365</v>
      </c>
      <c r="J323" s="164" t="s">
        <v>1864</v>
      </c>
      <c r="K323" s="1136"/>
      <c r="L323" s="196" t="s">
        <v>2366</v>
      </c>
      <c r="M323" s="1136"/>
      <c r="N323" s="196" t="s">
        <v>2366</v>
      </c>
      <c r="O323" s="1136"/>
      <c r="P323" s="196" t="s">
        <v>2366</v>
      </c>
      <c r="Q323" s="1137"/>
      <c r="R323" s="196" t="s">
        <v>2366</v>
      </c>
      <c r="S323" s="1137"/>
      <c r="T323" s="196" t="s">
        <v>2366</v>
      </c>
      <c r="U323" s="1137"/>
      <c r="V323" s="52"/>
      <c r="W323" s="52"/>
      <c r="X323" s="52"/>
    </row>
    <row r="324" spans="2:24" s="165" customFormat="1" ht="30">
      <c r="B324" s="48"/>
      <c r="C324" s="62"/>
      <c r="D324" s="63"/>
      <c r="E324" s="63"/>
      <c r="F324" s="64"/>
      <c r="G324" s="403" t="s">
        <v>2367</v>
      </c>
      <c r="H324" s="160">
        <v>0.70120000000000005</v>
      </c>
      <c r="I324" s="158">
        <v>0.8</v>
      </c>
      <c r="J324" s="158">
        <v>0.8</v>
      </c>
      <c r="K324" s="1136"/>
      <c r="L324" s="177">
        <v>0.8</v>
      </c>
      <c r="M324" s="1136"/>
      <c r="N324" s="177">
        <v>0.8</v>
      </c>
      <c r="O324" s="1136"/>
      <c r="P324" s="177">
        <v>0.8</v>
      </c>
      <c r="Q324" s="1137"/>
      <c r="R324" s="177">
        <v>0.8</v>
      </c>
      <c r="S324" s="1137"/>
      <c r="T324" s="177">
        <v>0.8</v>
      </c>
      <c r="U324" s="1137"/>
      <c r="V324" s="52"/>
      <c r="W324" s="52"/>
      <c r="X324" s="52"/>
    </row>
    <row r="325" spans="2:24" s="165" customFormat="1" ht="45">
      <c r="B325" s="48"/>
      <c r="C325" s="62"/>
      <c r="D325" s="63"/>
      <c r="E325" s="63"/>
      <c r="F325" s="64"/>
      <c r="G325" s="403" t="s">
        <v>2368</v>
      </c>
      <c r="H325" s="160">
        <v>0.58330000000000004</v>
      </c>
      <c r="I325" s="158">
        <v>0.8</v>
      </c>
      <c r="J325" s="158">
        <v>0.55000000000000004</v>
      </c>
      <c r="K325" s="1136"/>
      <c r="L325" s="199">
        <v>0.8</v>
      </c>
      <c r="M325" s="1136"/>
      <c r="N325" s="199">
        <v>0.8</v>
      </c>
      <c r="O325" s="1136"/>
      <c r="P325" s="199">
        <v>0.8</v>
      </c>
      <c r="Q325" s="1137"/>
      <c r="R325" s="199">
        <v>0.8</v>
      </c>
      <c r="S325" s="1137"/>
      <c r="T325" s="199">
        <v>0.8</v>
      </c>
      <c r="U325" s="1137"/>
      <c r="V325" s="52"/>
      <c r="W325" s="52"/>
      <c r="X325" s="52"/>
    </row>
    <row r="326" spans="2:24" s="165" customFormat="1" ht="60">
      <c r="B326" s="48"/>
      <c r="C326" s="62"/>
      <c r="D326" s="63"/>
      <c r="E326" s="63"/>
      <c r="F326" s="64"/>
      <c r="G326" s="403" t="s">
        <v>2369</v>
      </c>
      <c r="H326" s="158">
        <v>1</v>
      </c>
      <c r="I326" s="158">
        <v>0.99</v>
      </c>
      <c r="J326" s="158">
        <v>1</v>
      </c>
      <c r="K326" s="1136"/>
      <c r="L326" s="198">
        <v>0.99</v>
      </c>
      <c r="M326" s="1136"/>
      <c r="N326" s="198">
        <v>0.99</v>
      </c>
      <c r="O326" s="1136"/>
      <c r="P326" s="198">
        <v>0.99</v>
      </c>
      <c r="Q326" s="1137"/>
      <c r="R326" s="198">
        <v>0.99</v>
      </c>
      <c r="S326" s="1137"/>
      <c r="T326" s="198">
        <v>0.99</v>
      </c>
      <c r="U326" s="1137"/>
      <c r="V326" s="52"/>
      <c r="W326" s="52"/>
      <c r="X326" s="52"/>
    </row>
    <row r="327" spans="2:24" s="165" customFormat="1" ht="60">
      <c r="B327" s="48"/>
      <c r="C327" s="62"/>
      <c r="D327" s="63"/>
      <c r="E327" s="63"/>
      <c r="F327" s="64"/>
      <c r="G327" s="403" t="s">
        <v>2370</v>
      </c>
      <c r="H327" s="160">
        <v>0.99960000000000004</v>
      </c>
      <c r="I327" s="158">
        <v>0.99</v>
      </c>
      <c r="J327" s="158">
        <v>0.99</v>
      </c>
      <c r="K327" s="1136"/>
      <c r="L327" s="198">
        <v>0.99</v>
      </c>
      <c r="M327" s="1136"/>
      <c r="N327" s="198">
        <v>0.99</v>
      </c>
      <c r="O327" s="1136"/>
      <c r="P327" s="198">
        <v>0.99</v>
      </c>
      <c r="Q327" s="1137"/>
      <c r="R327" s="198">
        <v>0.99</v>
      </c>
      <c r="S327" s="1137"/>
      <c r="T327" s="198">
        <v>0.99</v>
      </c>
      <c r="U327" s="1137"/>
      <c r="V327" s="52"/>
      <c r="W327" s="52"/>
      <c r="X327" s="52"/>
    </row>
    <row r="328" spans="2:24" s="165" customFormat="1" ht="45">
      <c r="B328" s="48"/>
      <c r="C328" s="62"/>
      <c r="D328" s="63"/>
      <c r="E328" s="63"/>
      <c r="F328" s="64"/>
      <c r="G328" s="403" t="s">
        <v>2371</v>
      </c>
      <c r="H328" s="160">
        <v>0.98719999999999997</v>
      </c>
      <c r="I328" s="158">
        <v>0.98</v>
      </c>
      <c r="J328" s="158">
        <v>0.99</v>
      </c>
      <c r="K328" s="1136"/>
      <c r="L328" s="198">
        <v>0.98</v>
      </c>
      <c r="M328" s="1136"/>
      <c r="N328" s="198">
        <v>0.98</v>
      </c>
      <c r="O328" s="1136"/>
      <c r="P328" s="198">
        <v>0.98</v>
      </c>
      <c r="Q328" s="1137"/>
      <c r="R328" s="198">
        <v>0.98</v>
      </c>
      <c r="S328" s="1137"/>
      <c r="T328" s="198">
        <v>0.98</v>
      </c>
      <c r="U328" s="1137"/>
      <c r="V328" s="52"/>
      <c r="W328" s="52"/>
      <c r="X328" s="52"/>
    </row>
    <row r="329" spans="2:24" s="165" customFormat="1" ht="45">
      <c r="B329" s="48"/>
      <c r="C329" s="62"/>
      <c r="D329" s="63"/>
      <c r="E329" s="63"/>
      <c r="F329" s="64"/>
      <c r="G329" s="403" t="s">
        <v>2372</v>
      </c>
      <c r="H329" s="160">
        <v>0.91579999999999995</v>
      </c>
      <c r="I329" s="158">
        <v>0.9</v>
      </c>
      <c r="J329" s="158">
        <v>0.92</v>
      </c>
      <c r="K329" s="1136"/>
      <c r="L329" s="198">
        <v>0.9</v>
      </c>
      <c r="M329" s="1136"/>
      <c r="N329" s="198">
        <v>0.9</v>
      </c>
      <c r="O329" s="1136"/>
      <c r="P329" s="198">
        <v>0.9</v>
      </c>
      <c r="Q329" s="1137"/>
      <c r="R329" s="198">
        <v>0.9</v>
      </c>
      <c r="S329" s="1137"/>
      <c r="T329" s="198">
        <v>0.9</v>
      </c>
      <c r="U329" s="1137"/>
      <c r="V329" s="52"/>
      <c r="W329" s="52"/>
      <c r="X329" s="52"/>
    </row>
    <row r="330" spans="2:24" s="165" customFormat="1" ht="45">
      <c r="B330" s="48"/>
      <c r="C330" s="62"/>
      <c r="D330" s="63"/>
      <c r="E330" s="63"/>
      <c r="F330" s="64"/>
      <c r="G330" s="403" t="s">
        <v>2373</v>
      </c>
      <c r="H330" s="160">
        <v>0.89400000000000002</v>
      </c>
      <c r="I330" s="158">
        <v>0.8</v>
      </c>
      <c r="J330" s="158">
        <v>0.8</v>
      </c>
      <c r="K330" s="1136"/>
      <c r="L330" s="198">
        <v>0.8</v>
      </c>
      <c r="M330" s="1136"/>
      <c r="N330" s="198">
        <v>0.8</v>
      </c>
      <c r="O330" s="1136"/>
      <c r="P330" s="198">
        <v>0.8</v>
      </c>
      <c r="Q330" s="1137"/>
      <c r="R330" s="198">
        <v>0.8</v>
      </c>
      <c r="S330" s="1137"/>
      <c r="T330" s="198">
        <v>0.8</v>
      </c>
      <c r="U330" s="1137"/>
      <c r="V330" s="52"/>
      <c r="W330" s="52"/>
      <c r="X330" s="52"/>
    </row>
    <row r="331" spans="2:24" s="165" customFormat="1" ht="60">
      <c r="B331" s="48"/>
      <c r="C331" s="62"/>
      <c r="D331" s="63"/>
      <c r="E331" s="63"/>
      <c r="F331" s="64"/>
      <c r="G331" s="403" t="s">
        <v>2374</v>
      </c>
      <c r="H331" s="196" t="s">
        <v>743</v>
      </c>
      <c r="I331" s="200">
        <v>8.5000000000000006E-2</v>
      </c>
      <c r="J331" s="158">
        <v>0.65</v>
      </c>
      <c r="K331" s="1136"/>
      <c r="L331" s="201">
        <v>8.5000000000000006E-2</v>
      </c>
      <c r="M331" s="1136"/>
      <c r="N331" s="201">
        <v>8.5000000000000006E-2</v>
      </c>
      <c r="O331" s="1136"/>
      <c r="P331" s="201">
        <v>8.5000000000000006E-2</v>
      </c>
      <c r="Q331" s="1137"/>
      <c r="R331" s="201">
        <v>8.5000000000000006E-2</v>
      </c>
      <c r="S331" s="1137"/>
      <c r="T331" s="201">
        <v>8.5000000000000006E-2</v>
      </c>
      <c r="U331" s="1137"/>
      <c r="V331" s="52"/>
      <c r="W331" s="52"/>
      <c r="X331" s="52"/>
    </row>
    <row r="332" spans="2:24" s="165" customFormat="1" ht="60">
      <c r="B332" s="48"/>
      <c r="C332" s="62"/>
      <c r="D332" s="63"/>
      <c r="E332" s="63"/>
      <c r="F332" s="64"/>
      <c r="G332" s="403" t="s">
        <v>2375</v>
      </c>
      <c r="H332" s="196" t="s">
        <v>743</v>
      </c>
      <c r="I332" s="160">
        <v>0.35320000000000001</v>
      </c>
      <c r="J332" s="158">
        <v>0.27</v>
      </c>
      <c r="K332" s="1136"/>
      <c r="L332" s="202">
        <v>0.35320000000000001</v>
      </c>
      <c r="M332" s="1136"/>
      <c r="N332" s="202">
        <v>0.35320000000000001</v>
      </c>
      <c r="O332" s="1136"/>
      <c r="P332" s="202">
        <v>0.35320000000000001</v>
      </c>
      <c r="Q332" s="1137"/>
      <c r="R332" s="202">
        <v>0.35320000000000001</v>
      </c>
      <c r="S332" s="1137"/>
      <c r="T332" s="202">
        <v>0.35320000000000001</v>
      </c>
      <c r="U332" s="1137"/>
      <c r="V332" s="52"/>
      <c r="W332" s="52"/>
      <c r="X332" s="52"/>
    </row>
    <row r="333" spans="2:24" s="540" customFormat="1" ht="45">
      <c r="B333" s="545"/>
      <c r="C333" s="593">
        <f>'matrik MISI 5'!J64</f>
        <v>1.02</v>
      </c>
      <c r="D333" s="594" t="str">
        <f>'matrik MISI 5'!K64</f>
        <v>xx</v>
      </c>
      <c r="E333" s="594">
        <f>'matrik MISI 5'!L64</f>
        <v>21</v>
      </c>
      <c r="F333" s="595" t="str">
        <f>'matrik MISI 5'!M64</f>
        <v>Pengembangan Lingkungan Sehat</v>
      </c>
      <c r="G333" s="548"/>
      <c r="H333" s="550"/>
      <c r="I333" s="550"/>
      <c r="J333" s="550"/>
      <c r="K333" s="551">
        <f>SUM(K334:K343)</f>
        <v>87396000</v>
      </c>
      <c r="L333" s="551"/>
      <c r="M333" s="551">
        <f t="shared" ref="M333:U333" si="6">SUM(M334:M343)</f>
        <v>115000000</v>
      </c>
      <c r="N333" s="551"/>
      <c r="O333" s="551">
        <f t="shared" si="6"/>
        <v>125000000</v>
      </c>
      <c r="P333" s="551"/>
      <c r="Q333" s="551">
        <f t="shared" si="6"/>
        <v>145000000</v>
      </c>
      <c r="R333" s="551"/>
      <c r="S333" s="551">
        <f t="shared" si="6"/>
        <v>155000000</v>
      </c>
      <c r="T333" s="551"/>
      <c r="U333" s="551">
        <f t="shared" si="6"/>
        <v>155000000</v>
      </c>
      <c r="V333" s="550"/>
      <c r="W333" s="550"/>
      <c r="X333" s="550" t="str">
        <f>'matrik MISI 5'!X64</f>
        <v>Dinas Kesehatan</v>
      </c>
    </row>
    <row r="334" spans="2:24" s="165" customFormat="1" ht="75">
      <c r="B334" s="48"/>
      <c r="C334" s="62"/>
      <c r="D334" s="63"/>
      <c r="E334" s="63"/>
      <c r="F334" s="64"/>
      <c r="G334" s="270" t="s">
        <v>1484</v>
      </c>
      <c r="H334" s="52"/>
      <c r="I334" s="52"/>
      <c r="J334" s="52"/>
      <c r="K334" s="1146">
        <v>19976000</v>
      </c>
      <c r="L334" s="52"/>
      <c r="M334" s="1147">
        <v>35000000</v>
      </c>
      <c r="N334" s="52"/>
      <c r="O334" s="1147">
        <v>30000000</v>
      </c>
      <c r="P334" s="52"/>
      <c r="Q334" s="1144">
        <v>35000000</v>
      </c>
      <c r="R334" s="52"/>
      <c r="S334" s="1144">
        <v>35000000</v>
      </c>
      <c r="T334" s="52"/>
      <c r="U334" s="1144">
        <v>35000000</v>
      </c>
      <c r="V334" s="52"/>
      <c r="W334" s="52"/>
      <c r="X334" s="52"/>
    </row>
    <row r="335" spans="2:24" s="165" customFormat="1" ht="75">
      <c r="B335" s="48"/>
      <c r="C335" s="62"/>
      <c r="D335" s="63"/>
      <c r="E335" s="63"/>
      <c r="F335" s="64"/>
      <c r="G335" s="270" t="s">
        <v>1486</v>
      </c>
      <c r="H335" s="52"/>
      <c r="I335" s="52">
        <v>62.5</v>
      </c>
      <c r="J335" s="52"/>
      <c r="K335" s="1146"/>
      <c r="L335" s="52">
        <v>65</v>
      </c>
      <c r="M335" s="1147"/>
      <c r="N335" s="52">
        <v>67.5</v>
      </c>
      <c r="O335" s="1147"/>
      <c r="P335" s="52">
        <v>70</v>
      </c>
      <c r="Q335" s="1144"/>
      <c r="R335" s="52">
        <v>72.5</v>
      </c>
      <c r="S335" s="1144"/>
      <c r="T335" s="52">
        <v>72.5</v>
      </c>
      <c r="U335" s="1144"/>
      <c r="V335" s="52"/>
      <c r="W335" s="52"/>
      <c r="X335" s="52"/>
    </row>
    <row r="336" spans="2:24" s="165" customFormat="1" ht="30">
      <c r="B336" s="48"/>
      <c r="C336" s="62"/>
      <c r="D336" s="63"/>
      <c r="E336" s="63"/>
      <c r="F336" s="64"/>
      <c r="G336" s="173" t="s">
        <v>2412</v>
      </c>
      <c r="H336" s="203">
        <v>0.74099999999999999</v>
      </c>
      <c r="I336" s="204">
        <v>0.8</v>
      </c>
      <c r="J336" s="205">
        <v>0.74099999999999999</v>
      </c>
      <c r="K336" s="1146"/>
      <c r="L336" s="206" t="s">
        <v>2413</v>
      </c>
      <c r="M336" s="1147"/>
      <c r="N336" s="206" t="s">
        <v>2413</v>
      </c>
      <c r="O336" s="1147"/>
      <c r="P336" s="206" t="s">
        <v>2413</v>
      </c>
      <c r="Q336" s="1144"/>
      <c r="R336" s="206" t="s">
        <v>2413</v>
      </c>
      <c r="S336" s="1144"/>
      <c r="T336" s="206" t="s">
        <v>2413</v>
      </c>
      <c r="U336" s="1144"/>
      <c r="V336" s="52"/>
      <c r="W336" s="52"/>
      <c r="X336" s="52"/>
    </row>
    <row r="337" spans="2:24" s="165" customFormat="1" ht="30">
      <c r="B337" s="48"/>
      <c r="C337" s="62"/>
      <c r="D337" s="63"/>
      <c r="E337" s="63"/>
      <c r="F337" s="64"/>
      <c r="G337" s="173" t="s">
        <v>2414</v>
      </c>
      <c r="H337" s="203">
        <v>0.54600000000000004</v>
      </c>
      <c r="I337" s="204">
        <v>0.7</v>
      </c>
      <c r="J337" s="205">
        <v>0</v>
      </c>
      <c r="K337" s="1146"/>
      <c r="L337" s="206">
        <v>0.72</v>
      </c>
      <c r="M337" s="1147"/>
      <c r="N337" s="206">
        <v>0.74</v>
      </c>
      <c r="O337" s="1147"/>
      <c r="P337" s="206">
        <v>0.76</v>
      </c>
      <c r="Q337" s="1144"/>
      <c r="R337" s="206">
        <v>0.78</v>
      </c>
      <c r="S337" s="1144"/>
      <c r="T337" s="206">
        <v>0.78</v>
      </c>
      <c r="U337" s="1144"/>
      <c r="V337" s="52"/>
      <c r="W337" s="52"/>
      <c r="X337" s="52"/>
    </row>
    <row r="338" spans="2:24" s="165" customFormat="1" ht="45">
      <c r="B338" s="48"/>
      <c r="C338" s="62"/>
      <c r="D338" s="63"/>
      <c r="E338" s="63"/>
      <c r="F338" s="64"/>
      <c r="G338" s="58" t="s">
        <v>2415</v>
      </c>
      <c r="H338" s="191">
        <v>0.63200000000000001</v>
      </c>
      <c r="I338" s="161">
        <v>0.8</v>
      </c>
      <c r="J338" s="191">
        <v>0.79300000000000004</v>
      </c>
      <c r="K338" s="1130">
        <v>15000000</v>
      </c>
      <c r="L338" s="174">
        <v>0.8</v>
      </c>
      <c r="M338" s="1142">
        <v>20000000</v>
      </c>
      <c r="N338" s="174">
        <v>0.8</v>
      </c>
      <c r="O338" s="1142">
        <v>30000000</v>
      </c>
      <c r="P338" s="174">
        <v>0.8</v>
      </c>
      <c r="Q338" s="1145">
        <v>40000000</v>
      </c>
      <c r="R338" s="174">
        <v>0.8</v>
      </c>
      <c r="S338" s="1145">
        <v>45000000</v>
      </c>
      <c r="T338" s="174">
        <v>0.8</v>
      </c>
      <c r="U338" s="1145">
        <v>45000000</v>
      </c>
      <c r="V338" s="52"/>
      <c r="W338" s="52"/>
      <c r="X338" s="52"/>
    </row>
    <row r="339" spans="2:24" s="165" customFormat="1" ht="45">
      <c r="B339" s="48"/>
      <c r="C339" s="62"/>
      <c r="D339" s="63"/>
      <c r="E339" s="63"/>
      <c r="F339" s="64"/>
      <c r="G339" s="173" t="s">
        <v>2416</v>
      </c>
      <c r="H339" s="176" t="s">
        <v>743</v>
      </c>
      <c r="I339" s="161">
        <v>0.03</v>
      </c>
      <c r="J339" s="161">
        <v>0.03</v>
      </c>
      <c r="K339" s="1130"/>
      <c r="L339" s="161">
        <v>0.05</v>
      </c>
      <c r="M339" s="1142"/>
      <c r="N339" s="207">
        <v>7.4999999999999997E-2</v>
      </c>
      <c r="O339" s="1142"/>
      <c r="P339" s="161">
        <v>0.1</v>
      </c>
      <c r="Q339" s="1145"/>
      <c r="R339" s="207">
        <v>0.125</v>
      </c>
      <c r="S339" s="1145"/>
      <c r="T339" s="207">
        <v>0.125</v>
      </c>
      <c r="U339" s="1145"/>
      <c r="V339" s="52"/>
      <c r="W339" s="52"/>
      <c r="X339" s="52"/>
    </row>
    <row r="340" spans="2:24" s="165" customFormat="1" ht="75">
      <c r="B340" s="48"/>
      <c r="C340" s="62"/>
      <c r="D340" s="63"/>
      <c r="E340" s="63"/>
      <c r="F340" s="64"/>
      <c r="G340" s="270" t="s">
        <v>1491</v>
      </c>
      <c r="H340" s="52"/>
      <c r="I340" s="207">
        <v>0.625</v>
      </c>
      <c r="J340" s="191">
        <v>0.92900000000000005</v>
      </c>
      <c r="K340" s="1130">
        <v>37500000</v>
      </c>
      <c r="L340" s="174">
        <v>0.65</v>
      </c>
      <c r="M340" s="1142">
        <v>40000000</v>
      </c>
      <c r="N340" s="175">
        <v>0.67500000000000004</v>
      </c>
      <c r="O340" s="1142">
        <v>40000000</v>
      </c>
      <c r="P340" s="174">
        <v>0.7</v>
      </c>
      <c r="Q340" s="1145">
        <v>40000000</v>
      </c>
      <c r="R340" s="175">
        <v>0.72499999999999998</v>
      </c>
      <c r="S340" s="1145">
        <v>40000000</v>
      </c>
      <c r="T340" s="175">
        <v>0.72499999999999998</v>
      </c>
      <c r="U340" s="1145">
        <v>40000000</v>
      </c>
      <c r="V340" s="52"/>
      <c r="W340" s="52"/>
      <c r="X340" s="52"/>
    </row>
    <row r="341" spans="2:24" s="165" customFormat="1" ht="75">
      <c r="B341" s="48"/>
      <c r="C341" s="62"/>
      <c r="D341" s="63"/>
      <c r="E341" s="63"/>
      <c r="F341" s="64"/>
      <c r="G341" s="270" t="s">
        <v>1493</v>
      </c>
      <c r="H341" s="52"/>
      <c r="I341" s="161">
        <v>0.5</v>
      </c>
      <c r="J341" s="191">
        <v>0.92900000000000005</v>
      </c>
      <c r="K341" s="1130"/>
      <c r="L341" s="174">
        <v>0.5</v>
      </c>
      <c r="M341" s="1142"/>
      <c r="N341" s="174">
        <v>0.52500000000000002</v>
      </c>
      <c r="O341" s="1142"/>
      <c r="P341" s="174">
        <v>0.55000000000000004</v>
      </c>
      <c r="Q341" s="1145"/>
      <c r="R341" s="174">
        <v>0.57499999999999996</v>
      </c>
      <c r="S341" s="1145"/>
      <c r="T341" s="174">
        <v>0.57499999999999996</v>
      </c>
      <c r="U341" s="1145"/>
      <c r="V341" s="52"/>
      <c r="W341" s="52"/>
      <c r="X341" s="52"/>
    </row>
    <row r="342" spans="2:24" s="165" customFormat="1" ht="30">
      <c r="B342" s="48"/>
      <c r="C342" s="62"/>
      <c r="D342" s="63"/>
      <c r="E342" s="63"/>
      <c r="F342" s="64"/>
      <c r="G342" s="173" t="s">
        <v>2417</v>
      </c>
      <c r="H342" s="191">
        <v>0.83799999999999997</v>
      </c>
      <c r="I342" s="161">
        <v>0.8</v>
      </c>
      <c r="J342" s="235">
        <v>0.876</v>
      </c>
      <c r="K342" s="1130">
        <v>14920000</v>
      </c>
      <c r="L342" s="174">
        <v>0.8</v>
      </c>
      <c r="M342" s="1142">
        <v>20000000</v>
      </c>
      <c r="N342" s="174">
        <v>0.8</v>
      </c>
      <c r="O342" s="1142">
        <v>25000000</v>
      </c>
      <c r="P342" s="174">
        <v>0.8</v>
      </c>
      <c r="Q342" s="1145">
        <v>30000000</v>
      </c>
      <c r="R342" s="174">
        <v>0.8</v>
      </c>
      <c r="S342" s="1145">
        <v>35000000</v>
      </c>
      <c r="T342" s="174">
        <v>0.8</v>
      </c>
      <c r="U342" s="1145">
        <v>35000000</v>
      </c>
      <c r="V342" s="52"/>
      <c r="W342" s="52"/>
      <c r="X342" s="52"/>
    </row>
    <row r="343" spans="2:24" s="165" customFormat="1" ht="60">
      <c r="B343" s="48"/>
      <c r="C343" s="62"/>
      <c r="D343" s="63"/>
      <c r="E343" s="63"/>
      <c r="F343" s="64"/>
      <c r="G343" s="173" t="s">
        <v>2418</v>
      </c>
      <c r="H343" s="176" t="s">
        <v>743</v>
      </c>
      <c r="I343" s="174" t="s">
        <v>743</v>
      </c>
      <c r="J343" s="52">
        <v>0</v>
      </c>
      <c r="K343" s="1130"/>
      <c r="L343" s="174">
        <v>0.75</v>
      </c>
      <c r="M343" s="1142"/>
      <c r="N343" s="174">
        <v>0.75</v>
      </c>
      <c r="O343" s="1142"/>
      <c r="P343" s="174">
        <v>0.75</v>
      </c>
      <c r="Q343" s="1145"/>
      <c r="R343" s="174">
        <v>0.75</v>
      </c>
      <c r="S343" s="1145"/>
      <c r="T343" s="174">
        <v>0.75</v>
      </c>
      <c r="U343" s="1145"/>
      <c r="V343" s="52"/>
      <c r="W343" s="52"/>
      <c r="X343" s="52"/>
    </row>
    <row r="344" spans="2:24" s="540" customFormat="1" ht="90">
      <c r="B344" s="545"/>
      <c r="C344" s="593">
        <f>'matrik MISI 5'!J26</f>
        <v>1.02</v>
      </c>
      <c r="D344" s="594" t="str">
        <f>'matrik MISI 5'!K26</f>
        <v>xx</v>
      </c>
      <c r="E344" s="594">
        <f>'matrik MISI 5'!L26</f>
        <v>22</v>
      </c>
      <c r="F344" s="595" t="str">
        <f>'matrik MISI 5'!M26</f>
        <v xml:space="preserve">Program Pencegahan dan Penanggulangan Penyakit Menular </v>
      </c>
      <c r="G344" s="548"/>
      <c r="H344" s="550"/>
      <c r="I344" s="550"/>
      <c r="J344" s="550"/>
      <c r="K344" s="551">
        <f>SUM(K345:K363)</f>
        <v>263428000</v>
      </c>
      <c r="L344" s="551"/>
      <c r="M344" s="551">
        <f t="shared" ref="M344:U344" si="7">SUM(M345:M363)</f>
        <v>215000000</v>
      </c>
      <c r="N344" s="551"/>
      <c r="O344" s="551">
        <f t="shared" si="7"/>
        <v>450000000</v>
      </c>
      <c r="P344" s="551"/>
      <c r="Q344" s="551">
        <f t="shared" si="7"/>
        <v>550000000</v>
      </c>
      <c r="R344" s="551"/>
      <c r="S344" s="551">
        <f t="shared" si="7"/>
        <v>650000000</v>
      </c>
      <c r="T344" s="551"/>
      <c r="U344" s="551">
        <f t="shared" si="7"/>
        <v>650000000</v>
      </c>
      <c r="V344" s="550"/>
      <c r="W344" s="550"/>
      <c r="X344" s="550" t="str">
        <f>'matrik MISI 5'!X26</f>
        <v>Dinas Kesehatan</v>
      </c>
    </row>
    <row r="345" spans="2:24" s="165" customFormat="1" ht="45">
      <c r="B345" s="48"/>
      <c r="C345" s="62"/>
      <c r="D345" s="63"/>
      <c r="E345" s="63"/>
      <c r="F345" s="64"/>
      <c r="G345" s="270" t="s">
        <v>1396</v>
      </c>
      <c r="H345" s="192" t="s">
        <v>1397</v>
      </c>
      <c r="I345" s="52" t="s">
        <v>2338</v>
      </c>
      <c r="J345" s="52" t="s">
        <v>2339</v>
      </c>
      <c r="K345" s="1131">
        <v>69567000</v>
      </c>
      <c r="L345" s="52" t="s">
        <v>1398</v>
      </c>
      <c r="M345" s="1130">
        <v>25000000</v>
      </c>
      <c r="N345" s="52" t="s">
        <v>1398</v>
      </c>
      <c r="O345" s="1130">
        <v>120000000</v>
      </c>
      <c r="P345" s="52" t="s">
        <v>1398</v>
      </c>
      <c r="Q345" s="1129">
        <v>150000000</v>
      </c>
      <c r="R345" s="52" t="s">
        <v>1398</v>
      </c>
      <c r="S345" s="1129">
        <v>180000000</v>
      </c>
      <c r="T345" s="52" t="s">
        <v>1398</v>
      </c>
      <c r="U345" s="1129">
        <v>180000000</v>
      </c>
      <c r="V345" s="52"/>
      <c r="W345" s="52"/>
      <c r="X345" s="52"/>
    </row>
    <row r="346" spans="2:24" s="165" customFormat="1" ht="60">
      <c r="B346" s="48"/>
      <c r="C346" s="62"/>
      <c r="D346" s="63"/>
      <c r="E346" s="63"/>
      <c r="F346" s="64"/>
      <c r="G346" s="270" t="s">
        <v>1400</v>
      </c>
      <c r="H346" s="179">
        <v>38.700000000000003</v>
      </c>
      <c r="I346" s="161">
        <v>0.7</v>
      </c>
      <c r="J346" s="161">
        <v>0.7</v>
      </c>
      <c r="K346" s="1131"/>
      <c r="L346" s="179">
        <v>70</v>
      </c>
      <c r="M346" s="1130"/>
      <c r="N346" s="179">
        <v>70</v>
      </c>
      <c r="O346" s="1130"/>
      <c r="P346" s="179">
        <v>70</v>
      </c>
      <c r="Q346" s="1129"/>
      <c r="R346" s="179">
        <v>70</v>
      </c>
      <c r="S346" s="1129"/>
      <c r="T346" s="179">
        <v>70</v>
      </c>
      <c r="U346" s="1129"/>
      <c r="V346" s="52"/>
      <c r="W346" s="52"/>
      <c r="X346" s="52"/>
    </row>
    <row r="347" spans="2:24" s="165" customFormat="1" ht="45">
      <c r="B347" s="48"/>
      <c r="C347" s="62"/>
      <c r="D347" s="63"/>
      <c r="E347" s="63"/>
      <c r="F347" s="64"/>
      <c r="G347" s="270" t="s">
        <v>1403</v>
      </c>
      <c r="H347" s="52">
        <v>8.8000000000000005E-3</v>
      </c>
      <c r="I347" s="164" t="s">
        <v>2340</v>
      </c>
      <c r="J347" s="164">
        <v>3.8999999999999998E-3</v>
      </c>
      <c r="K347" s="1131"/>
      <c r="L347" s="164" t="s">
        <v>1405</v>
      </c>
      <c r="M347" s="1130"/>
      <c r="N347" s="164" t="s">
        <v>1404</v>
      </c>
      <c r="O347" s="1130"/>
      <c r="P347" s="164" t="s">
        <v>1405</v>
      </c>
      <c r="Q347" s="1129"/>
      <c r="R347" s="164" t="s">
        <v>1404</v>
      </c>
      <c r="S347" s="1129"/>
      <c r="T347" s="164" t="s">
        <v>1404</v>
      </c>
      <c r="U347" s="1129"/>
      <c r="V347" s="52"/>
      <c r="W347" s="52"/>
      <c r="X347" s="52"/>
    </row>
    <row r="348" spans="2:24" s="165" customFormat="1" ht="90">
      <c r="B348" s="48"/>
      <c r="C348" s="62"/>
      <c r="D348" s="63"/>
      <c r="E348" s="63"/>
      <c r="F348" s="64"/>
      <c r="G348" s="270" t="s">
        <v>1407</v>
      </c>
      <c r="H348" s="52"/>
      <c r="I348" s="161">
        <v>0.6</v>
      </c>
      <c r="J348" s="52"/>
      <c r="K348" s="1131"/>
      <c r="L348" s="52"/>
      <c r="M348" s="1130"/>
      <c r="N348" s="52"/>
      <c r="O348" s="1130"/>
      <c r="P348" s="52"/>
      <c r="Q348" s="1129"/>
      <c r="R348" s="52"/>
      <c r="S348" s="1129"/>
      <c r="T348" s="52"/>
      <c r="U348" s="1129"/>
      <c r="V348" s="52"/>
      <c r="W348" s="52"/>
      <c r="X348" s="52"/>
    </row>
    <row r="349" spans="2:24" s="165" customFormat="1" ht="45">
      <c r="B349" s="48"/>
      <c r="C349" s="62"/>
      <c r="D349" s="63"/>
      <c r="E349" s="63"/>
      <c r="F349" s="64"/>
      <c r="G349" s="270" t="s">
        <v>1409</v>
      </c>
      <c r="H349" s="179">
        <v>28.5</v>
      </c>
      <c r="I349" s="161">
        <v>0.6</v>
      </c>
      <c r="J349" s="161">
        <v>0.6</v>
      </c>
      <c r="K349" s="1131"/>
      <c r="L349" s="179">
        <v>60</v>
      </c>
      <c r="M349" s="1130"/>
      <c r="N349" s="208">
        <v>65</v>
      </c>
      <c r="O349" s="1130"/>
      <c r="P349" s="208">
        <v>65</v>
      </c>
      <c r="Q349" s="1129"/>
      <c r="R349" s="208">
        <v>70</v>
      </c>
      <c r="S349" s="1129"/>
      <c r="T349" s="208">
        <v>70</v>
      </c>
      <c r="U349" s="1129"/>
      <c r="V349" s="52"/>
      <c r="W349" s="52"/>
      <c r="X349" s="52"/>
    </row>
    <row r="350" spans="2:24" s="165" customFormat="1" ht="30">
      <c r="B350" s="48"/>
      <c r="C350" s="62"/>
      <c r="D350" s="63"/>
      <c r="E350" s="63"/>
      <c r="F350" s="64"/>
      <c r="G350" s="270" t="s">
        <v>1412</v>
      </c>
      <c r="H350" s="179">
        <v>62.9</v>
      </c>
      <c r="I350" s="161">
        <v>0.9</v>
      </c>
      <c r="J350" s="161">
        <v>0.9</v>
      </c>
      <c r="K350" s="1131"/>
      <c r="L350" s="179">
        <v>90</v>
      </c>
      <c r="M350" s="1130"/>
      <c r="N350" s="179">
        <v>90</v>
      </c>
      <c r="O350" s="1130"/>
      <c r="P350" s="179">
        <v>90</v>
      </c>
      <c r="Q350" s="1129"/>
      <c r="R350" s="179">
        <v>90</v>
      </c>
      <c r="S350" s="1129"/>
      <c r="T350" s="179">
        <v>90</v>
      </c>
      <c r="U350" s="1129"/>
      <c r="V350" s="52"/>
      <c r="W350" s="52"/>
      <c r="X350" s="52"/>
    </row>
    <row r="351" spans="2:24" s="165" customFormat="1" ht="45">
      <c r="B351" s="48"/>
      <c r="C351" s="62"/>
      <c r="D351" s="63"/>
      <c r="E351" s="63"/>
      <c r="F351" s="64"/>
      <c r="G351" s="270" t="s">
        <v>1415</v>
      </c>
      <c r="H351" s="52">
        <v>0.79</v>
      </c>
      <c r="I351" s="52" t="s">
        <v>1416</v>
      </c>
      <c r="J351" s="52" t="s">
        <v>1417</v>
      </c>
      <c r="K351" s="1131"/>
      <c r="L351" s="52" t="s">
        <v>1417</v>
      </c>
      <c r="M351" s="1130"/>
      <c r="N351" s="176" t="s">
        <v>1417</v>
      </c>
      <c r="O351" s="1130"/>
      <c r="P351" s="176" t="s">
        <v>1417</v>
      </c>
      <c r="Q351" s="1129"/>
      <c r="R351" s="176" t="s">
        <v>1417</v>
      </c>
      <c r="S351" s="1129"/>
      <c r="T351" s="176" t="s">
        <v>1417</v>
      </c>
      <c r="U351" s="1129"/>
      <c r="V351" s="52"/>
      <c r="W351" s="52"/>
      <c r="X351" s="52"/>
    </row>
    <row r="352" spans="2:24" s="165" customFormat="1" ht="30">
      <c r="B352" s="48"/>
      <c r="C352" s="62"/>
      <c r="D352" s="63"/>
      <c r="E352" s="63"/>
      <c r="F352" s="64"/>
      <c r="G352" s="270" t="s">
        <v>1435</v>
      </c>
      <c r="H352" s="179">
        <v>100</v>
      </c>
      <c r="I352" s="179">
        <v>100</v>
      </c>
      <c r="J352" s="179">
        <v>100</v>
      </c>
      <c r="K352" s="1131"/>
      <c r="L352" s="179">
        <v>100</v>
      </c>
      <c r="M352" s="1130"/>
      <c r="N352" s="179">
        <v>100</v>
      </c>
      <c r="O352" s="1130"/>
      <c r="P352" s="179">
        <v>100</v>
      </c>
      <c r="Q352" s="1129"/>
      <c r="R352" s="179">
        <v>100</v>
      </c>
      <c r="S352" s="1129"/>
      <c r="T352" s="179">
        <v>100</v>
      </c>
      <c r="U352" s="1129"/>
      <c r="V352" s="52"/>
      <c r="W352" s="52"/>
      <c r="X352" s="52"/>
    </row>
    <row r="353" spans="2:24" s="165" customFormat="1" ht="45">
      <c r="B353" s="48"/>
      <c r="C353" s="62"/>
      <c r="D353" s="63"/>
      <c r="E353" s="63"/>
      <c r="F353" s="64"/>
      <c r="G353" s="270" t="s">
        <v>1419</v>
      </c>
      <c r="H353" s="52" t="s">
        <v>1416</v>
      </c>
      <c r="I353" s="52" t="s">
        <v>1416</v>
      </c>
      <c r="J353" s="52" t="s">
        <v>1416</v>
      </c>
      <c r="K353" s="1130">
        <v>25000000</v>
      </c>
      <c r="L353" s="52" t="s">
        <v>1416</v>
      </c>
      <c r="M353" s="1130">
        <v>50000000</v>
      </c>
      <c r="N353" s="52" t="s">
        <v>1416</v>
      </c>
      <c r="O353" s="1130">
        <v>45000000</v>
      </c>
      <c r="P353" s="52" t="s">
        <v>1416</v>
      </c>
      <c r="Q353" s="1129">
        <v>55000000</v>
      </c>
      <c r="R353" s="52" t="s">
        <v>1416</v>
      </c>
      <c r="S353" s="1129">
        <v>65000000</v>
      </c>
      <c r="T353" s="52" t="s">
        <v>1416</v>
      </c>
      <c r="U353" s="1129">
        <v>65000000</v>
      </c>
      <c r="V353" s="52"/>
      <c r="W353" s="52"/>
      <c r="X353" s="52"/>
    </row>
    <row r="354" spans="2:24" s="165" customFormat="1" ht="60">
      <c r="B354" s="48"/>
      <c r="C354" s="62"/>
      <c r="D354" s="63"/>
      <c r="E354" s="63"/>
      <c r="F354" s="64"/>
      <c r="G354" s="270" t="s">
        <v>2341</v>
      </c>
      <c r="H354" s="52">
        <v>0.56999999999999995</v>
      </c>
      <c r="I354" s="52" t="s">
        <v>1422</v>
      </c>
      <c r="J354" s="52" t="s">
        <v>1422</v>
      </c>
      <c r="K354" s="1130"/>
      <c r="L354" s="52" t="s">
        <v>1422</v>
      </c>
      <c r="M354" s="1130"/>
      <c r="N354" s="52" t="s">
        <v>1422</v>
      </c>
      <c r="O354" s="1130"/>
      <c r="P354" s="52" t="s">
        <v>1422</v>
      </c>
      <c r="Q354" s="1129"/>
      <c r="R354" s="52" t="s">
        <v>1422</v>
      </c>
      <c r="S354" s="1129"/>
      <c r="T354" s="52" t="s">
        <v>1422</v>
      </c>
      <c r="U354" s="1129"/>
      <c r="V354" s="52"/>
      <c r="W354" s="52"/>
      <c r="X354" s="52"/>
    </row>
    <row r="355" spans="2:24" s="165" customFormat="1" ht="60">
      <c r="B355" s="48"/>
      <c r="C355" s="62"/>
      <c r="D355" s="63"/>
      <c r="E355" s="63"/>
      <c r="F355" s="64"/>
      <c r="G355" s="270" t="s">
        <v>1424</v>
      </c>
      <c r="H355" s="52">
        <v>0</v>
      </c>
      <c r="I355" s="52" t="s">
        <v>2342</v>
      </c>
      <c r="J355" s="52" t="s">
        <v>2343</v>
      </c>
      <c r="K355" s="1130"/>
      <c r="L355" s="52" t="s">
        <v>1416</v>
      </c>
      <c r="M355" s="1130"/>
      <c r="N355" s="52" t="s">
        <v>1416</v>
      </c>
      <c r="O355" s="1130"/>
      <c r="P355" s="52" t="s">
        <v>1416</v>
      </c>
      <c r="Q355" s="1129"/>
      <c r="R355" s="52" t="s">
        <v>1416</v>
      </c>
      <c r="S355" s="1129"/>
      <c r="T355" s="52" t="s">
        <v>1416</v>
      </c>
      <c r="U355" s="1129"/>
      <c r="V355" s="52"/>
      <c r="W355" s="52"/>
      <c r="X355" s="52"/>
    </row>
    <row r="356" spans="2:24" s="165" customFormat="1" ht="60">
      <c r="B356" s="48"/>
      <c r="C356" s="62"/>
      <c r="D356" s="63"/>
      <c r="E356" s="63"/>
      <c r="F356" s="64"/>
      <c r="G356" s="270" t="s">
        <v>1426</v>
      </c>
      <c r="H356" s="179">
        <v>100</v>
      </c>
      <c r="I356" s="161">
        <v>1</v>
      </c>
      <c r="J356" s="161">
        <v>1</v>
      </c>
      <c r="K356" s="1130"/>
      <c r="L356" s="179">
        <v>100</v>
      </c>
      <c r="M356" s="1130"/>
      <c r="N356" s="179">
        <v>100</v>
      </c>
      <c r="O356" s="1130"/>
      <c r="P356" s="179">
        <v>100</v>
      </c>
      <c r="Q356" s="1129"/>
      <c r="R356" s="179">
        <v>100</v>
      </c>
      <c r="S356" s="1129"/>
      <c r="T356" s="179">
        <v>100</v>
      </c>
      <c r="U356" s="1129"/>
      <c r="V356" s="52"/>
      <c r="W356" s="52"/>
      <c r="X356" s="52"/>
    </row>
    <row r="357" spans="2:24" s="165" customFormat="1" ht="45">
      <c r="B357" s="48"/>
      <c r="C357" s="62"/>
      <c r="D357" s="63"/>
      <c r="E357" s="63"/>
      <c r="F357" s="64"/>
      <c r="G357" s="173" t="s">
        <v>2344</v>
      </c>
      <c r="H357" s="203">
        <v>0.96409999999999996</v>
      </c>
      <c r="I357" s="170" t="s">
        <v>2345</v>
      </c>
      <c r="J357" s="170" t="s">
        <v>2346</v>
      </c>
      <c r="K357" s="1130"/>
      <c r="L357" s="170"/>
      <c r="M357" s="1130"/>
      <c r="N357" s="170"/>
      <c r="O357" s="1130"/>
      <c r="P357" s="170"/>
      <c r="Q357" s="1129"/>
      <c r="R357" s="170"/>
      <c r="S357" s="1129"/>
      <c r="T357" s="170"/>
      <c r="U357" s="1129"/>
      <c r="V357" s="52"/>
      <c r="W357" s="52"/>
      <c r="X357" s="52"/>
    </row>
    <row r="358" spans="2:24" s="165" customFormat="1" ht="60">
      <c r="B358" s="48"/>
      <c r="C358" s="62"/>
      <c r="D358" s="63"/>
      <c r="E358" s="63"/>
      <c r="F358" s="64"/>
      <c r="G358" s="270" t="s">
        <v>3914</v>
      </c>
      <c r="H358" s="179">
        <v>99.65</v>
      </c>
      <c r="I358" s="161">
        <v>1</v>
      </c>
      <c r="J358" s="161">
        <v>1</v>
      </c>
      <c r="K358" s="1131">
        <v>153861000</v>
      </c>
      <c r="L358" s="179">
        <v>100</v>
      </c>
      <c r="M358" s="1130">
        <v>100000000</v>
      </c>
      <c r="N358" s="179">
        <v>100</v>
      </c>
      <c r="O358" s="1130">
        <v>250000000</v>
      </c>
      <c r="P358" s="179">
        <v>100</v>
      </c>
      <c r="Q358" s="1129">
        <v>300000000</v>
      </c>
      <c r="R358" s="179">
        <v>100</v>
      </c>
      <c r="S358" s="1129">
        <v>350000000</v>
      </c>
      <c r="T358" s="179">
        <v>100</v>
      </c>
      <c r="U358" s="1129">
        <v>350000000</v>
      </c>
      <c r="V358" s="52"/>
      <c r="W358" s="52"/>
      <c r="X358" s="52"/>
    </row>
    <row r="359" spans="2:24" s="165" customFormat="1" ht="60">
      <c r="B359" s="48"/>
      <c r="C359" s="62"/>
      <c r="D359" s="63"/>
      <c r="E359" s="63"/>
      <c r="F359" s="64"/>
      <c r="G359" s="403" t="s">
        <v>2347</v>
      </c>
      <c r="H359" s="177">
        <v>0.8</v>
      </c>
      <c r="I359" s="177">
        <v>0.8</v>
      </c>
      <c r="J359" s="158">
        <v>0.8</v>
      </c>
      <c r="K359" s="1131"/>
      <c r="L359" s="161">
        <v>0.8</v>
      </c>
      <c r="M359" s="1130"/>
      <c r="N359" s="161">
        <v>0.8</v>
      </c>
      <c r="O359" s="1130"/>
      <c r="P359" s="161">
        <v>0.8</v>
      </c>
      <c r="Q359" s="1129"/>
      <c r="R359" s="161">
        <v>0.8</v>
      </c>
      <c r="S359" s="1129"/>
      <c r="T359" s="161">
        <v>0.8</v>
      </c>
      <c r="U359" s="1129"/>
      <c r="V359" s="52"/>
      <c r="W359" s="52"/>
      <c r="X359" s="52"/>
    </row>
    <row r="360" spans="2:24" s="165" customFormat="1" ht="45">
      <c r="B360" s="48"/>
      <c r="C360" s="62"/>
      <c r="D360" s="63"/>
      <c r="E360" s="63"/>
      <c r="F360" s="64"/>
      <c r="G360" s="270" t="s">
        <v>1429</v>
      </c>
      <c r="H360" s="208">
        <v>95</v>
      </c>
      <c r="I360" s="174">
        <v>0.95</v>
      </c>
      <c r="J360" s="161">
        <v>0.95</v>
      </c>
      <c r="K360" s="1131"/>
      <c r="L360" s="208">
        <v>95</v>
      </c>
      <c r="M360" s="1130"/>
      <c r="N360" s="208">
        <v>95</v>
      </c>
      <c r="O360" s="1130"/>
      <c r="P360" s="208">
        <v>95</v>
      </c>
      <c r="Q360" s="1129"/>
      <c r="R360" s="208">
        <v>95</v>
      </c>
      <c r="S360" s="1129"/>
      <c r="T360" s="208">
        <v>95</v>
      </c>
      <c r="U360" s="1129"/>
      <c r="V360" s="52"/>
      <c r="W360" s="52"/>
      <c r="X360" s="52"/>
    </row>
    <row r="361" spans="2:24" s="165" customFormat="1" ht="45">
      <c r="B361" s="48"/>
      <c r="C361" s="62"/>
      <c r="D361" s="63"/>
      <c r="E361" s="63"/>
      <c r="F361" s="64"/>
      <c r="G361" s="173" t="s">
        <v>2348</v>
      </c>
      <c r="H361" s="174">
        <v>0.95</v>
      </c>
      <c r="I361" s="174">
        <v>0.95</v>
      </c>
      <c r="J361" s="161">
        <v>0.95</v>
      </c>
      <c r="K361" s="1131"/>
      <c r="L361" s="161">
        <v>0.95</v>
      </c>
      <c r="M361" s="1130"/>
      <c r="N361" s="161">
        <v>0.95</v>
      </c>
      <c r="O361" s="1130"/>
      <c r="P361" s="161">
        <v>0.95</v>
      </c>
      <c r="Q361" s="1129"/>
      <c r="R361" s="161">
        <v>0.95</v>
      </c>
      <c r="S361" s="1129"/>
      <c r="T361" s="161">
        <v>0.95</v>
      </c>
      <c r="U361" s="1129"/>
      <c r="V361" s="52"/>
      <c r="W361" s="52"/>
      <c r="X361" s="52"/>
    </row>
    <row r="362" spans="2:24" s="165" customFormat="1" ht="60">
      <c r="B362" s="48"/>
      <c r="C362" s="62"/>
      <c r="D362" s="63"/>
      <c r="E362" s="63"/>
      <c r="F362" s="64"/>
      <c r="G362" s="58" t="s">
        <v>2350</v>
      </c>
      <c r="H362" s="52" t="s">
        <v>2351</v>
      </c>
      <c r="I362" s="52" t="s">
        <v>2352</v>
      </c>
      <c r="J362" s="52" t="s">
        <v>2353</v>
      </c>
      <c r="K362" s="1130">
        <v>15000000</v>
      </c>
      <c r="L362" s="52" t="s">
        <v>2352</v>
      </c>
      <c r="M362" s="1130">
        <v>40000000</v>
      </c>
      <c r="N362" s="52" t="s">
        <v>2352</v>
      </c>
      <c r="O362" s="1130">
        <v>35000000</v>
      </c>
      <c r="P362" s="52" t="s">
        <v>2352</v>
      </c>
      <c r="Q362" s="1129">
        <v>45000000</v>
      </c>
      <c r="R362" s="52" t="s">
        <v>2352</v>
      </c>
      <c r="S362" s="1129">
        <v>55000000</v>
      </c>
      <c r="T362" s="52" t="s">
        <v>2352</v>
      </c>
      <c r="U362" s="1129">
        <v>55000000</v>
      </c>
      <c r="V362" s="52"/>
      <c r="W362" s="52"/>
      <c r="X362" s="52"/>
    </row>
    <row r="363" spans="2:24" s="165" customFormat="1" ht="90">
      <c r="B363" s="48"/>
      <c r="C363" s="62"/>
      <c r="D363" s="63"/>
      <c r="E363" s="63"/>
      <c r="F363" s="64"/>
      <c r="G363" s="58" t="s">
        <v>2354</v>
      </c>
      <c r="H363" s="191">
        <v>0.96150000000000002</v>
      </c>
      <c r="I363" s="174">
        <v>1</v>
      </c>
      <c r="J363" s="161">
        <v>1</v>
      </c>
      <c r="K363" s="1130"/>
      <c r="L363" s="174">
        <v>1</v>
      </c>
      <c r="M363" s="1130"/>
      <c r="N363" s="174">
        <v>1</v>
      </c>
      <c r="O363" s="1130"/>
      <c r="P363" s="174">
        <v>1</v>
      </c>
      <c r="Q363" s="1129"/>
      <c r="R363" s="174">
        <v>1</v>
      </c>
      <c r="S363" s="1129"/>
      <c r="T363" s="174">
        <v>1</v>
      </c>
      <c r="U363" s="1129"/>
      <c r="V363" s="52"/>
      <c r="W363" s="52"/>
      <c r="X363" s="52"/>
    </row>
    <row r="364" spans="2:24" s="540" customFormat="1" ht="105">
      <c r="B364" s="545"/>
      <c r="C364" s="593">
        <f>'matrik MISI 5'!J51</f>
        <v>1.02</v>
      </c>
      <c r="D364" s="594" t="str">
        <f>'matrik MISI 5'!K51</f>
        <v>xx</v>
      </c>
      <c r="E364" s="594">
        <f>'matrik MISI 5'!L51</f>
        <v>23</v>
      </c>
      <c r="F364" s="595" t="str">
        <f>'matrik MISI 5'!M51</f>
        <v>Pengembangan Sumber Daya Kesehatan (Program Standarisasi Pelayanan Kesehatan)</v>
      </c>
      <c r="G364" s="548"/>
      <c r="H364" s="550"/>
      <c r="I364" s="550"/>
      <c r="J364" s="550"/>
      <c r="K364" s="551">
        <f>SUM(K365:K373)</f>
        <v>374000000</v>
      </c>
      <c r="L364" s="551">
        <f t="shared" ref="L364:U364" si="8">SUM(L365:L373)</f>
        <v>142.80000000000001</v>
      </c>
      <c r="M364" s="551">
        <f t="shared" si="8"/>
        <v>537520000</v>
      </c>
      <c r="N364" s="551">
        <f t="shared" si="8"/>
        <v>151.07499999999999</v>
      </c>
      <c r="O364" s="551">
        <f t="shared" si="8"/>
        <v>578000000</v>
      </c>
      <c r="P364" s="551">
        <f t="shared" si="8"/>
        <v>159.85</v>
      </c>
      <c r="Q364" s="551">
        <f t="shared" si="8"/>
        <v>615000000</v>
      </c>
      <c r="R364" s="551">
        <f t="shared" si="8"/>
        <v>167.375</v>
      </c>
      <c r="S364" s="551">
        <f t="shared" si="8"/>
        <v>670000000</v>
      </c>
      <c r="T364" s="551">
        <f t="shared" si="8"/>
        <v>167.375</v>
      </c>
      <c r="U364" s="551">
        <f t="shared" si="8"/>
        <v>670000000</v>
      </c>
      <c r="V364" s="550"/>
      <c r="W364" s="550"/>
      <c r="X364" s="550" t="str">
        <f>'matrik MISI 5'!X51</f>
        <v>Dinas Kesehatan</v>
      </c>
    </row>
    <row r="365" spans="2:24" s="165" customFormat="1" ht="60">
      <c r="B365" s="48"/>
      <c r="C365" s="62"/>
      <c r="D365" s="63"/>
      <c r="E365" s="63"/>
      <c r="F365" s="64"/>
      <c r="G365" s="270" t="s">
        <v>2385</v>
      </c>
      <c r="H365" s="52"/>
      <c r="I365" s="176" t="s">
        <v>743</v>
      </c>
      <c r="J365" s="52"/>
      <c r="K365" s="259"/>
      <c r="L365" s="179">
        <v>70</v>
      </c>
      <c r="M365" s="259">
        <v>20000000</v>
      </c>
      <c r="N365" s="179">
        <v>75</v>
      </c>
      <c r="O365" s="259">
        <v>30000000</v>
      </c>
      <c r="P365" s="179">
        <v>80</v>
      </c>
      <c r="Q365" s="260">
        <v>35000000</v>
      </c>
      <c r="R365" s="179">
        <v>85</v>
      </c>
      <c r="S365" s="260">
        <v>40000000</v>
      </c>
      <c r="T365" s="179">
        <v>85</v>
      </c>
      <c r="U365" s="260">
        <v>40000000</v>
      </c>
      <c r="V365" s="52"/>
      <c r="W365" s="52"/>
      <c r="X365" s="52"/>
    </row>
    <row r="366" spans="2:24" s="165" customFormat="1" ht="75">
      <c r="B366" s="48"/>
      <c r="C366" s="62"/>
      <c r="D366" s="63"/>
      <c r="E366" s="63"/>
      <c r="F366" s="64"/>
      <c r="G366" s="403" t="s">
        <v>2386</v>
      </c>
      <c r="H366" s="176" t="s">
        <v>743</v>
      </c>
      <c r="I366" s="176" t="s">
        <v>743</v>
      </c>
      <c r="J366" s="52"/>
      <c r="K366" s="259"/>
      <c r="L366" s="161">
        <v>0.8</v>
      </c>
      <c r="M366" s="259">
        <v>12520000</v>
      </c>
      <c r="N366" s="207">
        <v>0.82499999999999996</v>
      </c>
      <c r="O366" s="259">
        <v>28000000</v>
      </c>
      <c r="P366" s="161">
        <v>0.85</v>
      </c>
      <c r="Q366" s="260">
        <v>40000000</v>
      </c>
      <c r="R366" s="207">
        <v>0.875</v>
      </c>
      <c r="S366" s="260">
        <v>55000000</v>
      </c>
      <c r="T366" s="207">
        <v>0.875</v>
      </c>
      <c r="U366" s="260">
        <v>55000000</v>
      </c>
      <c r="V366" s="52"/>
      <c r="W366" s="52"/>
      <c r="X366" s="52"/>
    </row>
    <row r="367" spans="2:24" s="165" customFormat="1" ht="30">
      <c r="B367" s="48"/>
      <c r="C367" s="62"/>
      <c r="D367" s="63"/>
      <c r="E367" s="63"/>
      <c r="F367" s="64"/>
      <c r="G367" s="403" t="s">
        <v>2387</v>
      </c>
      <c r="H367" s="196">
        <v>1</v>
      </c>
      <c r="I367" s="196">
        <v>3</v>
      </c>
      <c r="J367" s="164">
        <v>3</v>
      </c>
      <c r="K367" s="255">
        <v>314000000</v>
      </c>
      <c r="L367" s="209">
        <v>5</v>
      </c>
      <c r="M367" s="255">
        <v>350000000</v>
      </c>
      <c r="N367" s="209">
        <v>7</v>
      </c>
      <c r="O367" s="255">
        <v>350000000</v>
      </c>
      <c r="P367" s="209">
        <v>9</v>
      </c>
      <c r="Q367" s="256">
        <v>350000000</v>
      </c>
      <c r="R367" s="209">
        <v>11</v>
      </c>
      <c r="S367" s="256">
        <v>350000000</v>
      </c>
      <c r="T367" s="209">
        <v>11</v>
      </c>
      <c r="U367" s="256">
        <v>350000000</v>
      </c>
      <c r="V367" s="52"/>
      <c r="W367" s="52"/>
      <c r="X367" s="52"/>
    </row>
    <row r="368" spans="2:24" s="165" customFormat="1" ht="30">
      <c r="B368" s="48"/>
      <c r="C368" s="62"/>
      <c r="D368" s="63"/>
      <c r="E368" s="63"/>
      <c r="F368" s="64"/>
      <c r="G368" s="403" t="s">
        <v>2388</v>
      </c>
      <c r="H368" s="196" t="s">
        <v>743</v>
      </c>
      <c r="I368" s="196" t="s">
        <v>743</v>
      </c>
      <c r="J368" s="164"/>
      <c r="K368" s="255"/>
      <c r="L368" s="209"/>
      <c r="M368" s="255"/>
      <c r="N368" s="209"/>
      <c r="O368" s="255"/>
      <c r="P368" s="209"/>
      <c r="Q368" s="256"/>
      <c r="R368" s="209"/>
      <c r="S368" s="256"/>
      <c r="T368" s="209"/>
      <c r="U368" s="256"/>
      <c r="V368" s="52"/>
      <c r="W368" s="52"/>
      <c r="X368" s="52"/>
    </row>
    <row r="369" spans="2:24" s="165" customFormat="1" ht="45">
      <c r="B369" s="48"/>
      <c r="C369" s="62"/>
      <c r="D369" s="63"/>
      <c r="E369" s="63"/>
      <c r="F369" s="64"/>
      <c r="G369" s="404" t="s">
        <v>2389</v>
      </c>
      <c r="H369" s="210">
        <v>1</v>
      </c>
      <c r="I369" s="210">
        <v>1</v>
      </c>
      <c r="J369" s="210">
        <v>1</v>
      </c>
      <c r="K369" s="1143">
        <v>20000000</v>
      </c>
      <c r="L369" s="52">
        <v>1</v>
      </c>
      <c r="M369" s="1130">
        <v>50000000</v>
      </c>
      <c r="N369" s="52">
        <v>1</v>
      </c>
      <c r="O369" s="1130">
        <v>50000000</v>
      </c>
      <c r="P369" s="52">
        <v>1</v>
      </c>
      <c r="Q369" s="1129">
        <v>50000000</v>
      </c>
      <c r="R369" s="52">
        <v>1</v>
      </c>
      <c r="S369" s="1129">
        <v>75000000</v>
      </c>
      <c r="T369" s="52">
        <v>1</v>
      </c>
      <c r="U369" s="1129">
        <v>75000000</v>
      </c>
      <c r="V369" s="52"/>
      <c r="W369" s="52"/>
      <c r="X369" s="52"/>
    </row>
    <row r="370" spans="2:24" s="165" customFormat="1" ht="45">
      <c r="B370" s="48"/>
      <c r="C370" s="62"/>
      <c r="D370" s="63"/>
      <c r="E370" s="63"/>
      <c r="F370" s="64"/>
      <c r="G370" s="404" t="s">
        <v>2390</v>
      </c>
      <c r="H370" s="210">
        <v>1</v>
      </c>
      <c r="I370" s="210">
        <v>1</v>
      </c>
      <c r="J370" s="210">
        <v>1</v>
      </c>
      <c r="K370" s="1143"/>
      <c r="L370" s="52">
        <v>1</v>
      </c>
      <c r="M370" s="1130"/>
      <c r="N370" s="52">
        <v>1</v>
      </c>
      <c r="O370" s="1130"/>
      <c r="P370" s="52">
        <v>1</v>
      </c>
      <c r="Q370" s="1129"/>
      <c r="R370" s="52">
        <v>1</v>
      </c>
      <c r="S370" s="1129"/>
      <c r="T370" s="52">
        <v>1</v>
      </c>
      <c r="U370" s="1129"/>
      <c r="V370" s="52"/>
      <c r="W370" s="52"/>
      <c r="X370" s="52"/>
    </row>
    <row r="371" spans="2:24" s="165" customFormat="1" ht="90">
      <c r="B371" s="48"/>
      <c r="C371" s="62"/>
      <c r="D371" s="63"/>
      <c r="E371" s="63"/>
      <c r="F371" s="64"/>
      <c r="G371" s="404" t="s">
        <v>2391</v>
      </c>
      <c r="H371" s="180" t="s">
        <v>743</v>
      </c>
      <c r="I371" s="180" t="s">
        <v>743</v>
      </c>
      <c r="J371" s="211">
        <v>0.25</v>
      </c>
      <c r="K371" s="255">
        <v>40000000</v>
      </c>
      <c r="L371" s="212" t="s">
        <v>2392</v>
      </c>
      <c r="M371" s="255">
        <v>80000000</v>
      </c>
      <c r="N371" s="213" t="s">
        <v>2393</v>
      </c>
      <c r="O371" s="255">
        <v>80000000</v>
      </c>
      <c r="P371" s="213" t="s">
        <v>2394</v>
      </c>
      <c r="Q371" s="256">
        <v>90000000</v>
      </c>
      <c r="R371" s="213" t="s">
        <v>2360</v>
      </c>
      <c r="S371" s="256">
        <v>90000000</v>
      </c>
      <c r="T371" s="213" t="s">
        <v>2360</v>
      </c>
      <c r="U371" s="256">
        <v>90000000</v>
      </c>
      <c r="V371" s="52"/>
      <c r="W371" s="52"/>
      <c r="X371" s="52"/>
    </row>
    <row r="372" spans="2:24" s="165" customFormat="1" ht="45">
      <c r="B372" s="48"/>
      <c r="C372" s="62"/>
      <c r="D372" s="63"/>
      <c r="E372" s="63"/>
      <c r="F372" s="64"/>
      <c r="G372" s="270" t="s">
        <v>2395</v>
      </c>
      <c r="H372" s="52"/>
      <c r="I372" s="176" t="s">
        <v>743</v>
      </c>
      <c r="J372" s="52"/>
      <c r="K372" s="259"/>
      <c r="L372" s="179">
        <v>65</v>
      </c>
      <c r="M372" s="259">
        <v>25000000</v>
      </c>
      <c r="N372" s="179">
        <v>66.25</v>
      </c>
      <c r="O372" s="236">
        <v>40000000</v>
      </c>
      <c r="P372" s="179">
        <v>67</v>
      </c>
      <c r="Q372" s="260">
        <v>50000000</v>
      </c>
      <c r="R372" s="179">
        <v>68.5</v>
      </c>
      <c r="S372" s="260">
        <v>60000000</v>
      </c>
      <c r="T372" s="179">
        <v>68.5</v>
      </c>
      <c r="U372" s="260">
        <v>60000000</v>
      </c>
      <c r="V372" s="52"/>
      <c r="W372" s="52"/>
      <c r="X372" s="52"/>
    </row>
    <row r="373" spans="2:24" s="165" customFormat="1" ht="60">
      <c r="B373" s="48"/>
      <c r="C373" s="62"/>
      <c r="D373" s="63"/>
      <c r="E373" s="63"/>
      <c r="F373" s="64"/>
      <c r="G373" s="405" t="s">
        <v>1467</v>
      </c>
      <c r="H373" s="52"/>
      <c r="I373" s="180" t="s">
        <v>743</v>
      </c>
      <c r="J373" s="210"/>
      <c r="K373" s="259"/>
      <c r="L373" s="52"/>
      <c r="M373" s="259"/>
      <c r="N373" s="52"/>
      <c r="O373" s="259"/>
      <c r="P373" s="52">
        <v>1</v>
      </c>
      <c r="Q373" s="52"/>
      <c r="R373" s="52"/>
      <c r="S373" s="52"/>
      <c r="T373" s="52"/>
      <c r="U373" s="52"/>
      <c r="V373" s="52"/>
      <c r="W373" s="52"/>
      <c r="X373" s="52"/>
    </row>
    <row r="374" spans="2:24" s="540" customFormat="1" ht="75">
      <c r="B374" s="545"/>
      <c r="C374" s="591">
        <f>'matrik MISI 5'!J21</f>
        <v>1.02</v>
      </c>
      <c r="D374" s="592" t="str">
        <f>'matrik MISI 5'!K21</f>
        <v>xx</v>
      </c>
      <c r="E374" s="592">
        <f>'matrik MISI 5'!L21</f>
        <v>24</v>
      </c>
      <c r="F374" s="548" t="str">
        <f>'matrik MISI 5'!M21</f>
        <v>Program Pelayanan Kesehatan Penduduk Miskin</v>
      </c>
      <c r="G374" s="548"/>
      <c r="H374" s="550"/>
      <c r="I374" s="550"/>
      <c r="J374" s="550"/>
      <c r="K374" s="551">
        <f>SUM(K376:K381)</f>
        <v>4665000000</v>
      </c>
      <c r="L374" s="551"/>
      <c r="M374" s="551">
        <f t="shared" ref="M374:U374" si="9">SUM(M376:M381)</f>
        <v>4859979670.25</v>
      </c>
      <c r="N374" s="551"/>
      <c r="O374" s="551">
        <f t="shared" si="9"/>
        <v>5021501670.25</v>
      </c>
      <c r="P374" s="551"/>
      <c r="Q374" s="551">
        <f t="shared" si="9"/>
        <v>5071501670.25</v>
      </c>
      <c r="R374" s="551"/>
      <c r="S374" s="551">
        <f t="shared" si="9"/>
        <v>5121501670.25</v>
      </c>
      <c r="T374" s="551"/>
      <c r="U374" s="551">
        <f t="shared" si="9"/>
        <v>5121501670.25</v>
      </c>
      <c r="V374" s="550"/>
      <c r="W374" s="550"/>
      <c r="X374" s="550" t="str">
        <f>'matrik MISI 5'!X21</f>
        <v>Dinas Kesehatan</v>
      </c>
    </row>
    <row r="375" spans="2:24" s="165" customFormat="1" ht="45">
      <c r="B375" s="48"/>
      <c r="C375" s="62"/>
      <c r="D375" s="63"/>
      <c r="E375" s="63"/>
      <c r="F375" s="64"/>
      <c r="G375" s="270" t="s">
        <v>1383</v>
      </c>
      <c r="H375" s="52"/>
      <c r="I375" s="52"/>
      <c r="J375" s="52"/>
      <c r="K375" s="257">
        <v>29936000</v>
      </c>
      <c r="L375" s="158"/>
      <c r="M375" s="181">
        <v>30000000</v>
      </c>
      <c r="N375" s="158"/>
      <c r="O375" s="181">
        <v>30000000</v>
      </c>
      <c r="P375" s="177"/>
      <c r="Q375" s="182">
        <v>30000000</v>
      </c>
      <c r="R375" s="177"/>
      <c r="S375" s="182">
        <v>30000000</v>
      </c>
      <c r="T375" s="177"/>
      <c r="U375" s="182">
        <v>30000000</v>
      </c>
      <c r="V375" s="52"/>
      <c r="W375" s="52"/>
      <c r="X375" s="52"/>
    </row>
    <row r="376" spans="2:24" s="165" customFormat="1" ht="45">
      <c r="B376" s="48"/>
      <c r="C376" s="62"/>
      <c r="D376" s="63"/>
      <c r="E376" s="63"/>
      <c r="F376" s="64"/>
      <c r="G376" s="403" t="s">
        <v>2333</v>
      </c>
      <c r="H376" s="194" t="s">
        <v>1384</v>
      </c>
      <c r="I376" s="215">
        <v>100</v>
      </c>
      <c r="J376" s="197">
        <v>68</v>
      </c>
      <c r="K376" s="209"/>
      <c r="L376" s="197">
        <v>100</v>
      </c>
      <c r="M376" s="257"/>
      <c r="N376" s="197">
        <v>100</v>
      </c>
      <c r="O376" s="257"/>
      <c r="P376" s="197">
        <v>100</v>
      </c>
      <c r="Q376" s="197"/>
      <c r="R376" s="197">
        <v>100</v>
      </c>
      <c r="S376" s="197"/>
      <c r="T376" s="197">
        <v>100</v>
      </c>
      <c r="U376" s="197"/>
      <c r="V376" s="52"/>
      <c r="W376" s="52"/>
      <c r="X376" s="52"/>
    </row>
    <row r="377" spans="2:24" s="165" customFormat="1" ht="45">
      <c r="B377" s="48"/>
      <c r="C377" s="62"/>
      <c r="D377" s="63"/>
      <c r="E377" s="63"/>
      <c r="F377" s="64"/>
      <c r="G377" s="403" t="s">
        <v>2334</v>
      </c>
      <c r="H377" s="160">
        <v>0.38469999999999999</v>
      </c>
      <c r="I377" s="158">
        <v>0.36</v>
      </c>
      <c r="J377" s="160">
        <v>0.38500000000000001</v>
      </c>
      <c r="K377" s="255">
        <v>3150000000</v>
      </c>
      <c r="L377" s="177" t="s">
        <v>2335</v>
      </c>
      <c r="M377" s="181">
        <v>4090978000</v>
      </c>
      <c r="N377" s="195">
        <v>0.39500000000000002</v>
      </c>
      <c r="O377" s="181">
        <v>4250000000</v>
      </c>
      <c r="P377" s="177">
        <v>0.4</v>
      </c>
      <c r="Q377" s="182">
        <v>4300000000</v>
      </c>
      <c r="R377" s="195">
        <v>0.40500000000000003</v>
      </c>
      <c r="S377" s="182">
        <v>4350000000</v>
      </c>
      <c r="T377" s="195">
        <v>0.40500000000000003</v>
      </c>
      <c r="U377" s="182">
        <v>4350000000</v>
      </c>
      <c r="V377" s="52"/>
      <c r="W377" s="52"/>
      <c r="X377" s="52"/>
    </row>
    <row r="378" spans="2:24" s="165" customFormat="1">
      <c r="B378" s="48"/>
      <c r="C378" s="62"/>
      <c r="D378" s="63"/>
      <c r="E378" s="63"/>
      <c r="F378" s="64"/>
      <c r="G378" s="403"/>
      <c r="H378" s="160">
        <v>2.6200000000000001E-2</v>
      </c>
      <c r="I378" s="158">
        <v>0.06</v>
      </c>
      <c r="J378" s="158">
        <v>0.03</v>
      </c>
      <c r="K378" s="255">
        <v>15000000</v>
      </c>
      <c r="L378" s="194">
        <v>3.2500000000000001E-2</v>
      </c>
      <c r="M378" s="181">
        <v>2501670.25</v>
      </c>
      <c r="N378" s="195">
        <v>3.5000000000000003E-2</v>
      </c>
      <c r="O378" s="181">
        <v>2501670.25</v>
      </c>
      <c r="P378" s="194">
        <v>3.7499999999999999E-2</v>
      </c>
      <c r="Q378" s="216">
        <v>2501670.25</v>
      </c>
      <c r="R378" s="195">
        <v>0.04</v>
      </c>
      <c r="S378" s="216">
        <v>2501670.25</v>
      </c>
      <c r="T378" s="195">
        <v>0.04</v>
      </c>
      <c r="U378" s="216">
        <v>2501670.25</v>
      </c>
      <c r="V378" s="52"/>
      <c r="W378" s="52"/>
      <c r="X378" s="52"/>
    </row>
    <row r="379" spans="2:24" s="165" customFormat="1" ht="60">
      <c r="B379" s="48"/>
      <c r="C379" s="62"/>
      <c r="D379" s="63"/>
      <c r="E379" s="63"/>
      <c r="F379" s="64"/>
      <c r="G379" s="270" t="s">
        <v>2336</v>
      </c>
      <c r="H379" s="160"/>
      <c r="I379" s="158"/>
      <c r="J379" s="158"/>
      <c r="K379" s="255">
        <v>1500000000</v>
      </c>
      <c r="L379" s="194"/>
      <c r="M379" s="181">
        <v>750000000</v>
      </c>
      <c r="N379" s="195"/>
      <c r="O379" s="181">
        <v>750000000</v>
      </c>
      <c r="P379" s="194"/>
      <c r="Q379" s="181">
        <v>750000000</v>
      </c>
      <c r="R379" s="195"/>
      <c r="S379" s="181">
        <v>750000000</v>
      </c>
      <c r="T379" s="195"/>
      <c r="U379" s="181">
        <v>750000000</v>
      </c>
      <c r="V379" s="52"/>
      <c r="W379" s="52"/>
      <c r="X379" s="52"/>
    </row>
    <row r="380" spans="2:24" s="165" customFormat="1" ht="75">
      <c r="B380" s="48"/>
      <c r="C380" s="62"/>
      <c r="D380" s="63"/>
      <c r="E380" s="63"/>
      <c r="F380" s="64"/>
      <c r="G380" s="270" t="s">
        <v>2337</v>
      </c>
      <c r="H380" s="158">
        <v>1</v>
      </c>
      <c r="I380" s="158">
        <v>1</v>
      </c>
      <c r="J380" s="158">
        <v>0.3</v>
      </c>
      <c r="K380" s="257"/>
      <c r="L380" s="200">
        <v>0.32500000000000001</v>
      </c>
      <c r="M380" s="257"/>
      <c r="N380" s="200">
        <v>0.35</v>
      </c>
      <c r="O380" s="257"/>
      <c r="P380" s="200">
        <v>0.37</v>
      </c>
      <c r="Q380" s="258"/>
      <c r="R380" s="200">
        <v>0.4</v>
      </c>
      <c r="S380" s="258"/>
      <c r="T380" s="200">
        <v>0.4</v>
      </c>
      <c r="U380" s="258"/>
      <c r="V380" s="52"/>
      <c r="W380" s="52"/>
      <c r="X380" s="52"/>
    </row>
    <row r="381" spans="2:24" s="165" customFormat="1">
      <c r="B381" s="48"/>
      <c r="C381" s="62"/>
      <c r="D381" s="63"/>
      <c r="E381" s="63"/>
      <c r="F381" s="64"/>
      <c r="G381" s="270"/>
      <c r="H381" s="164"/>
      <c r="I381" s="158">
        <v>1</v>
      </c>
      <c r="J381" s="158">
        <v>1</v>
      </c>
      <c r="K381" s="257"/>
      <c r="L381" s="158">
        <v>1</v>
      </c>
      <c r="M381" s="181">
        <v>16500000</v>
      </c>
      <c r="N381" s="158">
        <v>1</v>
      </c>
      <c r="O381" s="181">
        <v>19000000</v>
      </c>
      <c r="P381" s="177">
        <v>1</v>
      </c>
      <c r="Q381" s="182">
        <v>19000000</v>
      </c>
      <c r="R381" s="177">
        <v>1</v>
      </c>
      <c r="S381" s="182">
        <v>19000000</v>
      </c>
      <c r="T381" s="177">
        <v>1</v>
      </c>
      <c r="U381" s="182">
        <v>19000000</v>
      </c>
      <c r="V381" s="52"/>
      <c r="W381" s="52"/>
      <c r="X381" s="52"/>
    </row>
    <row r="382" spans="2:24" s="540" customFormat="1">
      <c r="B382" s="545"/>
      <c r="C382" s="593" t="e">
        <f>'matrik MISI 5'!#REF!</f>
        <v>#REF!</v>
      </c>
      <c r="D382" s="594" t="e">
        <f>'matrik MISI 5'!#REF!</f>
        <v>#REF!</v>
      </c>
      <c r="E382" s="594" t="e">
        <f>'matrik MISI 5'!#REF!</f>
        <v>#REF!</v>
      </c>
      <c r="F382" s="595" t="e">
        <f>'matrik MISI 5'!#REF!</f>
        <v>#REF!</v>
      </c>
      <c r="G382" s="548"/>
      <c r="H382" s="550"/>
      <c r="I382" s="550"/>
      <c r="J382" s="550"/>
      <c r="K382" s="551">
        <f>SUM(K384:K401)</f>
        <v>32315240000</v>
      </c>
      <c r="L382" s="551">
        <f t="shared" ref="L382:U382" si="10">SUM(L384:L401)</f>
        <v>2.6</v>
      </c>
      <c r="M382" s="551">
        <f t="shared" si="10"/>
        <v>30300000000</v>
      </c>
      <c r="N382" s="551">
        <f t="shared" si="10"/>
        <v>4.9000000000000004</v>
      </c>
      <c r="O382" s="551">
        <f t="shared" si="10"/>
        <v>21400000000</v>
      </c>
      <c r="P382" s="551">
        <f t="shared" si="10"/>
        <v>5.0999999999999996</v>
      </c>
      <c r="Q382" s="551">
        <f>SUM(Q384:Q401)</f>
        <v>24583820001</v>
      </c>
      <c r="R382" s="551">
        <f t="shared" si="10"/>
        <v>2.35</v>
      </c>
      <c r="S382" s="551">
        <f t="shared" si="10"/>
        <v>20900000000</v>
      </c>
      <c r="T382" s="551">
        <f t="shared" si="10"/>
        <v>2.35</v>
      </c>
      <c r="U382" s="551">
        <f t="shared" si="10"/>
        <v>77300000000</v>
      </c>
      <c r="V382" s="550"/>
      <c r="W382" s="550"/>
      <c r="X382" s="550" t="e">
        <f>'matrik MISI 5'!#REF!</f>
        <v>#REF!</v>
      </c>
    </row>
    <row r="383" spans="2:24" s="165" customFormat="1" ht="30">
      <c r="B383" s="48"/>
      <c r="C383" s="62"/>
      <c r="D383" s="63"/>
      <c r="E383" s="63"/>
      <c r="F383" s="64"/>
      <c r="G383" s="406" t="s">
        <v>2396</v>
      </c>
      <c r="H383" s="210" t="s">
        <v>2397</v>
      </c>
      <c r="I383" s="210" t="s">
        <v>2031</v>
      </c>
      <c r="J383" s="210" t="s">
        <v>2032</v>
      </c>
      <c r="K383" s="255"/>
      <c r="L383" s="212" t="s">
        <v>2032</v>
      </c>
      <c r="M383" s="250"/>
      <c r="N383" s="212" t="s">
        <v>2032</v>
      </c>
      <c r="O383" s="250"/>
      <c r="P383" s="212" t="s">
        <v>2033</v>
      </c>
      <c r="Q383" s="252"/>
      <c r="R383" s="212" t="s">
        <v>2034</v>
      </c>
      <c r="S383" s="252"/>
      <c r="T383" s="212" t="s">
        <v>2034</v>
      </c>
      <c r="U383" s="252"/>
      <c r="V383" s="52"/>
      <c r="W383" s="52"/>
      <c r="X383" s="52"/>
    </row>
    <row r="384" spans="2:24" s="165" customFormat="1" ht="30">
      <c r="B384" s="48"/>
      <c r="C384" s="62"/>
      <c r="D384" s="63"/>
      <c r="E384" s="63"/>
      <c r="F384" s="64"/>
      <c r="G384" s="404" t="s">
        <v>2398</v>
      </c>
      <c r="H384" s="180" t="s">
        <v>743</v>
      </c>
      <c r="I384" s="180" t="s">
        <v>743</v>
      </c>
      <c r="J384" s="210"/>
      <c r="K384" s="214"/>
      <c r="L384" s="52"/>
      <c r="M384" s="259"/>
      <c r="N384" s="52">
        <v>1</v>
      </c>
      <c r="P384" s="176" t="s">
        <v>743</v>
      </c>
      <c r="Q384" s="250">
        <v>5000000000</v>
      </c>
      <c r="R384" s="176" t="s">
        <v>743</v>
      </c>
      <c r="S384" s="208"/>
      <c r="T384" s="176" t="s">
        <v>743</v>
      </c>
      <c r="U384" s="208"/>
      <c r="V384" s="52"/>
      <c r="W384" s="52"/>
      <c r="X384" s="52"/>
    </row>
    <row r="385" spans="2:24" s="165" customFormat="1" ht="45">
      <c r="B385" s="48"/>
      <c r="C385" s="62"/>
      <c r="D385" s="63"/>
      <c r="E385" s="63"/>
      <c r="F385" s="64"/>
      <c r="G385" s="404" t="s">
        <v>2399</v>
      </c>
      <c r="H385" s="180">
        <v>2</v>
      </c>
      <c r="I385" s="180">
        <v>2</v>
      </c>
      <c r="J385" s="210">
        <v>2</v>
      </c>
      <c r="K385" s="255">
        <v>3000000000</v>
      </c>
      <c r="L385" s="174">
        <v>0.65</v>
      </c>
      <c r="M385" s="745">
        <v>3000000000</v>
      </c>
      <c r="N385" s="174">
        <v>0.7</v>
      </c>
      <c r="O385" s="254"/>
      <c r="P385" s="174">
        <v>0.8</v>
      </c>
      <c r="Q385" s="253">
        <v>5500000000</v>
      </c>
      <c r="R385" s="174">
        <v>0.9</v>
      </c>
      <c r="S385" s="253">
        <v>8000000000</v>
      </c>
      <c r="T385" s="174">
        <v>0.9</v>
      </c>
      <c r="U385" s="253">
        <v>65000000000</v>
      </c>
      <c r="V385" s="52"/>
      <c r="W385" s="52"/>
      <c r="X385" s="52"/>
    </row>
    <row r="386" spans="2:24" s="165" customFormat="1" ht="60">
      <c r="B386" s="48"/>
      <c r="C386" s="62"/>
      <c r="D386" s="63"/>
      <c r="E386" s="63"/>
      <c r="F386" s="64"/>
      <c r="G386" s="404" t="s">
        <v>2400</v>
      </c>
      <c r="H386" s="180" t="s">
        <v>743</v>
      </c>
      <c r="I386" s="180">
        <v>1</v>
      </c>
      <c r="J386" s="211">
        <v>0.49</v>
      </c>
      <c r="K386" s="255">
        <v>500000000</v>
      </c>
      <c r="L386" s="174">
        <v>0.5</v>
      </c>
      <c r="M386" s="254">
        <v>500000000</v>
      </c>
      <c r="N386" s="174">
        <v>0.55000000000000004</v>
      </c>
      <c r="O386" s="744">
        <v>750000000</v>
      </c>
      <c r="P386" s="174">
        <v>0.6</v>
      </c>
      <c r="Q386" s="744">
        <v>750000000</v>
      </c>
      <c r="R386" s="174">
        <v>0.65</v>
      </c>
      <c r="S386" s="744">
        <v>750000000</v>
      </c>
      <c r="T386" s="174">
        <v>0.65</v>
      </c>
      <c r="U386" s="253">
        <v>1500000000</v>
      </c>
      <c r="V386" s="52"/>
      <c r="W386" s="52"/>
      <c r="X386" s="52"/>
    </row>
    <row r="387" spans="2:24" s="165" customFormat="1" ht="45">
      <c r="B387" s="48"/>
      <c r="C387" s="62"/>
      <c r="D387" s="63"/>
      <c r="E387" s="63"/>
      <c r="F387" s="64"/>
      <c r="G387" s="404" t="s">
        <v>2401</v>
      </c>
      <c r="H387" s="180" t="s">
        <v>743</v>
      </c>
      <c r="I387" s="180" t="s">
        <v>743</v>
      </c>
      <c r="J387" s="210"/>
      <c r="K387" s="214"/>
      <c r="L387" s="176" t="s">
        <v>743</v>
      </c>
      <c r="M387" s="217"/>
      <c r="N387" s="176" t="s">
        <v>743</v>
      </c>
      <c r="O387" s="217"/>
      <c r="P387" s="176">
        <v>1</v>
      </c>
      <c r="Q387" s="256">
        <v>3000000000</v>
      </c>
      <c r="R387" s="176" t="s">
        <v>743</v>
      </c>
      <c r="S387" s="52"/>
      <c r="T387" s="176" t="s">
        <v>743</v>
      </c>
      <c r="U387" s="52"/>
      <c r="V387" s="52"/>
      <c r="W387" s="52"/>
      <c r="X387" s="52"/>
    </row>
    <row r="388" spans="2:24" s="165" customFormat="1" ht="105">
      <c r="B388" s="48"/>
      <c r="C388" s="62"/>
      <c r="D388" s="63"/>
      <c r="E388" s="63"/>
      <c r="F388" s="64"/>
      <c r="G388" s="404" t="s">
        <v>2402</v>
      </c>
      <c r="H388" s="180">
        <v>1</v>
      </c>
      <c r="I388" s="180">
        <v>2</v>
      </c>
      <c r="J388" s="211">
        <v>0.54</v>
      </c>
      <c r="K388" s="255">
        <v>60000000</v>
      </c>
      <c r="L388" s="161">
        <v>0.6</v>
      </c>
      <c r="M388" s="250">
        <v>500000000</v>
      </c>
      <c r="N388" s="174">
        <v>0.65</v>
      </c>
      <c r="O388" s="254">
        <v>1000000000</v>
      </c>
      <c r="P388" s="174">
        <v>0.7</v>
      </c>
      <c r="Q388" s="253">
        <v>1250000000</v>
      </c>
      <c r="R388" s="174">
        <v>0.8</v>
      </c>
      <c r="S388" s="253">
        <v>1500000000</v>
      </c>
      <c r="T388" s="174">
        <v>0.8</v>
      </c>
      <c r="U388" s="253">
        <v>1500000000</v>
      </c>
      <c r="V388" s="52"/>
      <c r="W388" s="52"/>
      <c r="X388" s="52"/>
    </row>
    <row r="389" spans="2:24" s="165" customFormat="1" ht="45">
      <c r="B389" s="48"/>
      <c r="C389" s="62"/>
      <c r="D389" s="63"/>
      <c r="E389" s="63"/>
      <c r="F389" s="64"/>
      <c r="G389" s="404" t="s">
        <v>2403</v>
      </c>
      <c r="H389" s="210" t="s">
        <v>2404</v>
      </c>
      <c r="I389" s="210" t="s">
        <v>2405</v>
      </c>
      <c r="J389" s="210"/>
      <c r="K389" s="214"/>
      <c r="L389" s="212" t="s">
        <v>2406</v>
      </c>
      <c r="M389" s="214"/>
      <c r="N389" s="52" t="s">
        <v>2407</v>
      </c>
      <c r="O389" s="259"/>
      <c r="P389" s="52" t="s">
        <v>2408</v>
      </c>
      <c r="Q389" s="52"/>
      <c r="R389" s="52" t="s">
        <v>2409</v>
      </c>
      <c r="S389" s="179"/>
      <c r="T389" s="52" t="s">
        <v>2409</v>
      </c>
      <c r="U389" s="179"/>
      <c r="V389" s="52"/>
      <c r="W389" s="52"/>
      <c r="X389" s="52"/>
    </row>
    <row r="390" spans="2:24" s="165" customFormat="1">
      <c r="B390" s="48"/>
      <c r="C390" s="56">
        <f>'matrik MISI 5'!J54</f>
        <v>0</v>
      </c>
      <c r="D390" s="57">
        <f>'matrik MISI 5'!K54</f>
        <v>0</v>
      </c>
      <c r="E390" s="57">
        <f>'matrik MISI 5'!L54</f>
        <v>0</v>
      </c>
      <c r="F390" s="58">
        <f>'matrik MISI 5'!M54</f>
        <v>0</v>
      </c>
      <c r="G390" s="58"/>
      <c r="H390" s="52"/>
      <c r="I390" s="52"/>
      <c r="J390" s="52"/>
      <c r="K390" s="259"/>
      <c r="L390" s="52"/>
      <c r="M390" s="259"/>
      <c r="N390" s="52"/>
      <c r="O390" s="259"/>
      <c r="P390" s="52"/>
      <c r="Q390" s="52"/>
      <c r="R390" s="52"/>
      <c r="S390" s="52"/>
      <c r="T390" s="52"/>
      <c r="U390" s="52"/>
      <c r="V390" s="52"/>
      <c r="W390" s="52"/>
      <c r="X390" s="52" t="str">
        <f>'matrik MISI 5'!X54</f>
        <v xml:space="preserve">RSUD </v>
      </c>
    </row>
    <row r="391" spans="2:24" s="165" customFormat="1" ht="45">
      <c r="B391" s="48"/>
      <c r="C391" s="62"/>
      <c r="D391" s="63"/>
      <c r="E391" s="63"/>
      <c r="F391" s="64"/>
      <c r="G391" s="270" t="s">
        <v>1472</v>
      </c>
      <c r="H391" s="164"/>
      <c r="I391" s="164"/>
      <c r="J391" s="164"/>
      <c r="K391" s="257"/>
      <c r="L391" s="164"/>
      <c r="M391" s="257"/>
      <c r="N391" s="164">
        <v>1</v>
      </c>
      <c r="O391" s="257"/>
      <c r="P391" s="164">
        <v>1</v>
      </c>
      <c r="Q391" s="164"/>
      <c r="R391" s="164"/>
      <c r="S391" s="164"/>
      <c r="T391" s="164"/>
      <c r="U391" s="164"/>
      <c r="V391" s="52"/>
      <c r="W391" s="52"/>
      <c r="X391" s="52"/>
    </row>
    <row r="392" spans="2:24" s="165" customFormat="1" ht="30">
      <c r="B392" s="48"/>
      <c r="C392" s="62"/>
      <c r="D392" s="63"/>
      <c r="E392" s="63"/>
      <c r="F392" s="64"/>
      <c r="G392" s="270" t="s">
        <v>2410</v>
      </c>
      <c r="H392" s="196" t="s">
        <v>743</v>
      </c>
      <c r="I392" s="196" t="s">
        <v>743</v>
      </c>
      <c r="J392" s="164"/>
      <c r="K392" s="257"/>
      <c r="L392" s="176" t="s">
        <v>743</v>
      </c>
      <c r="M392" s="217"/>
      <c r="N392" s="176" t="s">
        <v>743</v>
      </c>
      <c r="O392" s="217"/>
      <c r="P392" s="176">
        <v>1</v>
      </c>
      <c r="Q392" s="253">
        <v>25000000</v>
      </c>
      <c r="R392" s="176"/>
      <c r="S392" s="52"/>
      <c r="T392" s="176"/>
      <c r="U392" s="52"/>
      <c r="V392" s="52"/>
      <c r="W392" s="52"/>
      <c r="X392" s="52"/>
    </row>
    <row r="393" spans="2:24" s="165" customFormat="1" ht="30">
      <c r="B393" s="48"/>
      <c r="C393" s="62"/>
      <c r="D393" s="63"/>
      <c r="E393" s="63"/>
      <c r="F393" s="64"/>
      <c r="G393" s="270" t="s">
        <v>2411</v>
      </c>
      <c r="H393" s="196"/>
      <c r="I393" s="196"/>
      <c r="J393" s="164"/>
      <c r="K393" s="257"/>
      <c r="L393" s="176"/>
      <c r="M393" s="217"/>
      <c r="N393" s="176">
        <v>1</v>
      </c>
      <c r="O393" s="254">
        <v>5000000000</v>
      </c>
      <c r="P393" s="176"/>
      <c r="Q393" s="176"/>
      <c r="R393" s="176"/>
      <c r="S393" s="253"/>
      <c r="T393" s="176"/>
      <c r="U393" s="253"/>
      <c r="V393" s="52"/>
      <c r="W393" s="52"/>
      <c r="X393" s="52"/>
    </row>
    <row r="394" spans="2:24" s="165" customFormat="1" ht="45">
      <c r="B394" s="48"/>
      <c r="C394" s="62"/>
      <c r="D394" s="63"/>
      <c r="E394" s="63"/>
      <c r="F394" s="64"/>
      <c r="G394" s="58" t="s">
        <v>2430</v>
      </c>
      <c r="H394" s="191" t="s">
        <v>2431</v>
      </c>
      <c r="I394" s="161">
        <f>4800/6000</f>
        <v>0.8</v>
      </c>
      <c r="J394" s="161"/>
      <c r="K394" s="249">
        <f>SUM(K395:K401)</f>
        <v>14377620000</v>
      </c>
      <c r="L394" s="161">
        <f>5100/6000</f>
        <v>0.85</v>
      </c>
      <c r="M394" s="249">
        <f>SUM(M395:M401)</f>
        <v>13150000000</v>
      </c>
      <c r="N394" s="161" t="s">
        <v>2432</v>
      </c>
      <c r="O394" s="249">
        <v>5000000000</v>
      </c>
      <c r="P394" s="161" t="s">
        <v>2432</v>
      </c>
      <c r="Q394" s="251">
        <f>3500000000+908820001</f>
        <v>4408820001</v>
      </c>
      <c r="R394" s="161" t="s">
        <v>2432</v>
      </c>
      <c r="S394" s="251">
        <v>6000000000</v>
      </c>
      <c r="T394" s="161" t="s">
        <v>2432</v>
      </c>
      <c r="U394" s="251">
        <f>SUM(U395:U401)</f>
        <v>4650000000</v>
      </c>
      <c r="V394" s="52"/>
      <c r="W394" s="52"/>
      <c r="X394" s="52"/>
    </row>
    <row r="395" spans="2:24" s="165" customFormat="1" ht="75">
      <c r="B395" s="48"/>
      <c r="C395" s="62"/>
      <c r="D395" s="63"/>
      <c r="E395" s="63"/>
      <c r="F395" s="64"/>
      <c r="G395" s="58" t="s">
        <v>2433</v>
      </c>
      <c r="H395" s="52" t="s">
        <v>743</v>
      </c>
      <c r="I395" s="52" t="s">
        <v>2434</v>
      </c>
      <c r="J395" s="52" t="s">
        <v>2434</v>
      </c>
      <c r="K395" s="249">
        <v>1546500000</v>
      </c>
      <c r="L395" s="168" t="s">
        <v>2435</v>
      </c>
      <c r="M395" s="183">
        <v>1500000000</v>
      </c>
      <c r="N395" s="164" t="s">
        <v>2435</v>
      </c>
      <c r="O395" s="249">
        <v>1500000000</v>
      </c>
      <c r="P395" s="164" t="s">
        <v>2435</v>
      </c>
      <c r="Q395" s="251">
        <v>1500000000</v>
      </c>
      <c r="R395" s="164" t="s">
        <v>2435</v>
      </c>
      <c r="S395" s="251">
        <v>1500000000</v>
      </c>
      <c r="T395" s="164" t="s">
        <v>2435</v>
      </c>
      <c r="U395" s="251">
        <v>1500000000</v>
      </c>
      <c r="V395" s="52"/>
      <c r="W395" s="52"/>
      <c r="X395" s="52"/>
    </row>
    <row r="396" spans="2:24" s="165" customFormat="1" ht="150">
      <c r="B396" s="48"/>
      <c r="C396" s="62"/>
      <c r="D396" s="63"/>
      <c r="E396" s="63"/>
      <c r="F396" s="64"/>
      <c r="G396" s="58" t="s">
        <v>2436</v>
      </c>
      <c r="H396" s="52" t="s">
        <v>743</v>
      </c>
      <c r="I396" s="52" t="s">
        <v>2437</v>
      </c>
      <c r="J396" s="52" t="s">
        <v>2437</v>
      </c>
      <c r="K396" s="249">
        <v>3980000000</v>
      </c>
      <c r="L396" s="52" t="s">
        <v>2436</v>
      </c>
      <c r="M396" s="249">
        <v>150000000</v>
      </c>
      <c r="N396" s="52" t="s">
        <v>2436</v>
      </c>
      <c r="O396" s="259">
        <f>10%*O395</f>
        <v>150000000</v>
      </c>
      <c r="P396" s="52" t="s">
        <v>2436</v>
      </c>
      <c r="Q396" s="218">
        <f>10%*Q395</f>
        <v>150000000</v>
      </c>
      <c r="R396" s="52" t="s">
        <v>2436</v>
      </c>
      <c r="S396" s="218">
        <f>10%*S395</f>
        <v>150000000</v>
      </c>
      <c r="T396" s="52" t="s">
        <v>2436</v>
      </c>
      <c r="U396" s="218">
        <f>10%*U395</f>
        <v>150000000</v>
      </c>
      <c r="V396" s="52"/>
      <c r="W396" s="52"/>
      <c r="X396" s="52"/>
    </row>
    <row r="397" spans="2:24" s="165" customFormat="1" ht="90">
      <c r="B397" s="48"/>
      <c r="C397" s="62"/>
      <c r="D397" s="63"/>
      <c r="E397" s="63"/>
      <c r="F397" s="64"/>
      <c r="G397" s="58" t="s">
        <v>2438</v>
      </c>
      <c r="H397" s="52" t="s">
        <v>743</v>
      </c>
      <c r="I397" s="52" t="s">
        <v>2439</v>
      </c>
      <c r="J397" s="52" t="s">
        <v>2439</v>
      </c>
      <c r="K397" s="249">
        <v>3000000000</v>
      </c>
      <c r="L397" s="52" t="s">
        <v>743</v>
      </c>
      <c r="M397" s="259" t="s">
        <v>743</v>
      </c>
      <c r="N397" s="52" t="s">
        <v>743</v>
      </c>
      <c r="O397" s="259" t="s">
        <v>743</v>
      </c>
      <c r="P397" s="52" t="s">
        <v>743</v>
      </c>
      <c r="Q397" s="52" t="s">
        <v>743</v>
      </c>
      <c r="R397" s="52" t="s">
        <v>743</v>
      </c>
      <c r="S397" s="52" t="s">
        <v>743</v>
      </c>
      <c r="T397" s="52" t="s">
        <v>743</v>
      </c>
      <c r="U397" s="52" t="s">
        <v>743</v>
      </c>
      <c r="V397" s="52"/>
      <c r="W397" s="52"/>
      <c r="X397" s="52"/>
    </row>
    <row r="398" spans="2:24" s="165" customFormat="1" ht="210">
      <c r="B398" s="48"/>
      <c r="C398" s="62"/>
      <c r="D398" s="63"/>
      <c r="E398" s="63"/>
      <c r="F398" s="64"/>
      <c r="G398" s="58" t="s">
        <v>2440</v>
      </c>
      <c r="H398" s="52" t="s">
        <v>743</v>
      </c>
      <c r="I398" s="52" t="s">
        <v>2441</v>
      </c>
      <c r="J398" s="52" t="s">
        <v>2442</v>
      </c>
      <c r="K398" s="249">
        <v>31120000</v>
      </c>
      <c r="L398" s="52" t="s">
        <v>743</v>
      </c>
      <c r="M398" s="259" t="s">
        <v>743</v>
      </c>
      <c r="N398" s="52" t="s">
        <v>743</v>
      </c>
      <c r="O398" s="259" t="s">
        <v>743</v>
      </c>
      <c r="P398" s="52" t="s">
        <v>743</v>
      </c>
      <c r="Q398" s="52" t="s">
        <v>743</v>
      </c>
      <c r="R398" s="52" t="s">
        <v>743</v>
      </c>
      <c r="S398" s="52" t="s">
        <v>743</v>
      </c>
      <c r="T398" s="52" t="s">
        <v>743</v>
      </c>
      <c r="U398" s="52" t="s">
        <v>743</v>
      </c>
      <c r="V398" s="52"/>
      <c r="W398" s="52"/>
      <c r="X398" s="52"/>
    </row>
    <row r="399" spans="2:24" s="165" customFormat="1" ht="180">
      <c r="B399" s="48"/>
      <c r="C399" s="62"/>
      <c r="D399" s="63"/>
      <c r="E399" s="63"/>
      <c r="F399" s="64"/>
      <c r="G399" s="58" t="s">
        <v>2443</v>
      </c>
      <c r="H399" s="52" t="s">
        <v>743</v>
      </c>
      <c r="I399" s="52" t="s">
        <v>2444</v>
      </c>
      <c r="J399" s="52" t="s">
        <v>2444</v>
      </c>
      <c r="K399" s="249">
        <v>5800000000</v>
      </c>
      <c r="L399" s="52" t="s">
        <v>2445</v>
      </c>
      <c r="M399" s="249">
        <v>3500000000</v>
      </c>
      <c r="N399" s="52" t="s">
        <v>743</v>
      </c>
      <c r="O399" s="259" t="s">
        <v>743</v>
      </c>
      <c r="P399" s="52" t="s">
        <v>743</v>
      </c>
      <c r="Q399" s="52" t="s">
        <v>743</v>
      </c>
      <c r="R399" s="52" t="s">
        <v>743</v>
      </c>
      <c r="S399" s="52" t="s">
        <v>743</v>
      </c>
      <c r="T399" s="52" t="s">
        <v>743</v>
      </c>
      <c r="U399" s="52" t="s">
        <v>743</v>
      </c>
      <c r="V399" s="52"/>
      <c r="W399" s="52"/>
      <c r="X399" s="52"/>
    </row>
    <row r="400" spans="2:24" s="165" customFormat="1" ht="165">
      <c r="B400" s="48"/>
      <c r="C400" s="62"/>
      <c r="D400" s="63"/>
      <c r="E400" s="63"/>
      <c r="F400" s="64"/>
      <c r="G400" s="58" t="s">
        <v>2446</v>
      </c>
      <c r="H400" s="52" t="s">
        <v>743</v>
      </c>
      <c r="I400" s="52" t="s">
        <v>743</v>
      </c>
      <c r="J400" s="52" t="s">
        <v>743</v>
      </c>
      <c r="K400" s="259">
        <v>20000000</v>
      </c>
      <c r="L400" s="52" t="s">
        <v>743</v>
      </c>
      <c r="M400" s="259" t="s">
        <v>743</v>
      </c>
      <c r="N400" s="168" t="s">
        <v>2447</v>
      </c>
      <c r="O400" s="183">
        <v>3000000000</v>
      </c>
      <c r="P400" s="168" t="s">
        <v>2448</v>
      </c>
      <c r="Q400" s="184">
        <v>3000000000</v>
      </c>
      <c r="R400" s="168" t="s">
        <v>2449</v>
      </c>
      <c r="S400" s="184">
        <v>3000000000</v>
      </c>
      <c r="T400" s="168" t="s">
        <v>2449</v>
      </c>
      <c r="U400" s="184">
        <v>3000000000</v>
      </c>
      <c r="V400" s="52"/>
      <c r="W400" s="52"/>
      <c r="X400" s="52"/>
    </row>
    <row r="401" spans="2:24" s="165" customFormat="1" ht="90">
      <c r="B401" s="48"/>
      <c r="C401" s="62"/>
      <c r="D401" s="63"/>
      <c r="E401" s="63"/>
      <c r="F401" s="64"/>
      <c r="G401" s="58" t="s">
        <v>2450</v>
      </c>
      <c r="H401" s="52" t="s">
        <v>2451</v>
      </c>
      <c r="I401" s="52" t="s">
        <v>743</v>
      </c>
      <c r="J401" s="52" t="s">
        <v>743</v>
      </c>
      <c r="K401" s="259" t="s">
        <v>743</v>
      </c>
      <c r="L401" s="52" t="s">
        <v>2452</v>
      </c>
      <c r="M401" s="249">
        <v>8000000000</v>
      </c>
      <c r="N401" s="52" t="s">
        <v>2453</v>
      </c>
      <c r="O401" s="249">
        <v>5000000000</v>
      </c>
      <c r="P401" s="52" t="s">
        <v>743</v>
      </c>
      <c r="Q401" s="52" t="s">
        <v>743</v>
      </c>
      <c r="R401" s="52" t="s">
        <v>743</v>
      </c>
      <c r="S401" s="251" t="s">
        <v>743</v>
      </c>
      <c r="T401" s="52" t="s">
        <v>743</v>
      </c>
      <c r="U401" s="251" t="s">
        <v>743</v>
      </c>
      <c r="V401" s="52"/>
      <c r="W401" s="52"/>
      <c r="X401" s="52"/>
    </row>
    <row r="402" spans="2:24" s="540" customFormat="1" ht="75">
      <c r="B402" s="545"/>
      <c r="C402" s="593">
        <f>'matrik MISI 5'!J23</f>
        <v>1.02</v>
      </c>
      <c r="D402" s="594" t="str">
        <f>'matrik MISI 5'!K23</f>
        <v>xx</v>
      </c>
      <c r="E402" s="594">
        <f>'matrik MISI 5'!L23</f>
        <v>28</v>
      </c>
      <c r="F402" s="595" t="str">
        <f>'matrik MISI 5'!M23</f>
        <v>Program kemitraan peningkatan pelayanan kesehatan</v>
      </c>
      <c r="G402" s="548"/>
      <c r="H402" s="550"/>
      <c r="I402" s="550"/>
      <c r="J402" s="550"/>
      <c r="K402" s="551">
        <f>SUM(K403)</f>
        <v>9640000</v>
      </c>
      <c r="L402" s="551"/>
      <c r="M402" s="551">
        <f t="shared" ref="M402:U402" si="11">SUM(M403)</f>
        <v>13000000</v>
      </c>
      <c r="N402" s="551"/>
      <c r="O402" s="551">
        <f t="shared" si="11"/>
        <v>25000000</v>
      </c>
      <c r="P402" s="551"/>
      <c r="Q402" s="551">
        <f t="shared" si="11"/>
        <v>30000000</v>
      </c>
      <c r="R402" s="551"/>
      <c r="S402" s="551">
        <f t="shared" si="11"/>
        <v>35000000</v>
      </c>
      <c r="T402" s="551"/>
      <c r="U402" s="551">
        <f t="shared" si="11"/>
        <v>35000000</v>
      </c>
      <c r="V402" s="550"/>
      <c r="W402" s="550"/>
      <c r="X402" s="550" t="str">
        <f>'matrik MISI 5'!X23</f>
        <v>Dinas Kesehatan</v>
      </c>
    </row>
    <row r="403" spans="2:24" s="165" customFormat="1" ht="45">
      <c r="B403" s="48"/>
      <c r="C403" s="48"/>
      <c r="D403" s="49"/>
      <c r="E403" s="49"/>
      <c r="F403" s="50"/>
      <c r="G403" s="173" t="s">
        <v>2425</v>
      </c>
      <c r="H403" s="52"/>
      <c r="I403" s="161">
        <v>0.8</v>
      </c>
      <c r="J403" s="52"/>
      <c r="K403" s="1140">
        <v>9640000</v>
      </c>
      <c r="L403" s="174">
        <v>0.8</v>
      </c>
      <c r="M403" s="1140">
        <v>13000000</v>
      </c>
      <c r="N403" s="174">
        <v>0.8</v>
      </c>
      <c r="O403" s="1130">
        <v>25000000</v>
      </c>
      <c r="P403" s="174">
        <v>0.8</v>
      </c>
      <c r="Q403" s="1141">
        <v>30000000</v>
      </c>
      <c r="R403" s="174">
        <v>0.8</v>
      </c>
      <c r="S403" s="1129">
        <v>35000000</v>
      </c>
      <c r="T403" s="174">
        <v>0.8</v>
      </c>
      <c r="U403" s="1129">
        <v>35000000</v>
      </c>
      <c r="V403" s="52"/>
      <c r="W403" s="52"/>
      <c r="X403" s="52"/>
    </row>
    <row r="404" spans="2:24" s="165" customFormat="1" ht="75">
      <c r="B404" s="48"/>
      <c r="C404" s="48"/>
      <c r="D404" s="49"/>
      <c r="E404" s="49"/>
      <c r="F404" s="50"/>
      <c r="G404" s="173" t="s">
        <v>2426</v>
      </c>
      <c r="H404" s="52"/>
      <c r="I404" s="161">
        <v>1</v>
      </c>
      <c r="J404" s="52"/>
      <c r="K404" s="1140"/>
      <c r="L404" s="174">
        <v>1</v>
      </c>
      <c r="M404" s="1140"/>
      <c r="N404" s="174">
        <v>1</v>
      </c>
      <c r="O404" s="1130"/>
      <c r="P404" s="174">
        <v>1</v>
      </c>
      <c r="Q404" s="1141"/>
      <c r="R404" s="174">
        <v>1</v>
      </c>
      <c r="S404" s="1129"/>
      <c r="T404" s="174">
        <v>1</v>
      </c>
      <c r="U404" s="1129"/>
      <c r="V404" s="52"/>
      <c r="W404" s="52"/>
      <c r="X404" s="52"/>
    </row>
    <row r="405" spans="2:24" s="540" customFormat="1">
      <c r="B405" s="545"/>
      <c r="C405" s="545" t="e">
        <f>#REF!</f>
        <v>#REF!</v>
      </c>
      <c r="D405" s="546" t="e">
        <f>#REF!</f>
        <v>#REF!</v>
      </c>
      <c r="E405" s="546" t="e">
        <f>#REF!</f>
        <v>#REF!</v>
      </c>
      <c r="F405" s="547" t="e">
        <f>#REF!</f>
        <v>#REF!</v>
      </c>
      <c r="G405" s="548"/>
      <c r="H405" s="550"/>
      <c r="I405" s="550"/>
      <c r="J405" s="550"/>
      <c r="K405" s="551">
        <f>SUM(K406:K427)</f>
        <v>223774500</v>
      </c>
      <c r="L405" s="551"/>
      <c r="M405" s="551">
        <f t="shared" ref="M405:U405" si="12">SUM(M406:M427)</f>
        <v>340000000</v>
      </c>
      <c r="N405" s="551"/>
      <c r="O405" s="551">
        <f t="shared" si="12"/>
        <v>665000000</v>
      </c>
      <c r="P405" s="551"/>
      <c r="Q405" s="551">
        <f t="shared" si="12"/>
        <v>740000000</v>
      </c>
      <c r="R405" s="551"/>
      <c r="S405" s="551">
        <f t="shared" si="12"/>
        <v>815000000</v>
      </c>
      <c r="T405" s="551"/>
      <c r="U405" s="551">
        <f t="shared" si="12"/>
        <v>815000000</v>
      </c>
      <c r="V405" s="550"/>
      <c r="W405" s="550"/>
      <c r="X405" s="550" t="str">
        <f>'matrik MISI 5'!X24</f>
        <v>Dinas Kesehatan</v>
      </c>
    </row>
    <row r="406" spans="2:24" s="165" customFormat="1" ht="30">
      <c r="B406" s="48"/>
      <c r="C406" s="48"/>
      <c r="D406" s="49"/>
      <c r="E406" s="49"/>
      <c r="F406" s="50"/>
      <c r="G406" s="270" t="s">
        <v>1339</v>
      </c>
      <c r="H406" s="194" t="s">
        <v>1340</v>
      </c>
      <c r="I406" s="215">
        <v>95</v>
      </c>
      <c r="J406" s="164">
        <v>95</v>
      </c>
      <c r="K406" s="257">
        <v>223774500</v>
      </c>
      <c r="L406" s="219">
        <v>95</v>
      </c>
      <c r="M406" s="181">
        <v>250000000</v>
      </c>
      <c r="N406" s="219">
        <v>95</v>
      </c>
      <c r="O406" s="181">
        <f>275000000+O416</f>
        <v>425000000</v>
      </c>
      <c r="P406" s="219">
        <v>95</v>
      </c>
      <c r="Q406" s="182">
        <f>300000000+Q416</f>
        <v>475000000</v>
      </c>
      <c r="R406" s="219">
        <v>95</v>
      </c>
      <c r="S406" s="182">
        <f>325000000+S416</f>
        <v>525000000</v>
      </c>
      <c r="T406" s="219">
        <v>95</v>
      </c>
      <c r="U406" s="182">
        <f>325000000+U416</f>
        <v>525000000</v>
      </c>
      <c r="V406" s="52"/>
      <c r="W406" s="52"/>
      <c r="X406" s="52"/>
    </row>
    <row r="407" spans="2:24" s="165" customFormat="1" ht="90">
      <c r="B407" s="48"/>
      <c r="C407" s="48"/>
      <c r="D407" s="49"/>
      <c r="E407" s="49"/>
      <c r="F407" s="50"/>
      <c r="G407" s="270" t="s">
        <v>1344</v>
      </c>
      <c r="H407" s="194" t="s">
        <v>1345</v>
      </c>
      <c r="I407" s="215">
        <v>95</v>
      </c>
      <c r="J407" s="164">
        <v>96</v>
      </c>
      <c r="K407" s="257"/>
      <c r="L407" s="219">
        <v>95</v>
      </c>
      <c r="M407" s="181"/>
      <c r="N407" s="219">
        <v>95</v>
      </c>
      <c r="O407" s="181"/>
      <c r="P407" s="219">
        <v>95</v>
      </c>
      <c r="Q407" s="182"/>
      <c r="R407" s="219">
        <v>95</v>
      </c>
      <c r="S407" s="182"/>
      <c r="T407" s="219">
        <v>95</v>
      </c>
      <c r="U407" s="182"/>
      <c r="V407" s="52"/>
      <c r="W407" s="52"/>
      <c r="X407" s="52"/>
    </row>
    <row r="408" spans="2:24" s="165" customFormat="1" ht="45">
      <c r="B408" s="48"/>
      <c r="C408" s="48"/>
      <c r="D408" s="49"/>
      <c r="E408" s="49"/>
      <c r="F408" s="50"/>
      <c r="G408" s="270" t="s">
        <v>1347</v>
      </c>
      <c r="H408" s="177" t="s">
        <v>1348</v>
      </c>
      <c r="I408" s="215">
        <v>80</v>
      </c>
      <c r="J408" s="164">
        <v>80</v>
      </c>
      <c r="K408" s="257"/>
      <c r="L408" s="219">
        <v>87</v>
      </c>
      <c r="M408" s="181"/>
      <c r="N408" s="219">
        <v>87</v>
      </c>
      <c r="O408" s="181"/>
      <c r="P408" s="219">
        <v>90</v>
      </c>
      <c r="Q408" s="182"/>
      <c r="R408" s="219">
        <v>90</v>
      </c>
      <c r="S408" s="182"/>
      <c r="T408" s="219">
        <v>90</v>
      </c>
      <c r="U408" s="182"/>
      <c r="V408" s="52"/>
      <c r="W408" s="52"/>
      <c r="X408" s="52"/>
    </row>
    <row r="409" spans="2:24" s="165" customFormat="1" ht="30">
      <c r="B409" s="48"/>
      <c r="C409" s="48"/>
      <c r="D409" s="49"/>
      <c r="E409" s="49"/>
      <c r="F409" s="50"/>
      <c r="G409" s="270" t="s">
        <v>1350</v>
      </c>
      <c r="H409" s="164">
        <v>94.56</v>
      </c>
      <c r="I409" s="220">
        <v>95</v>
      </c>
      <c r="J409" s="164">
        <v>95</v>
      </c>
      <c r="K409" s="257"/>
      <c r="L409" s="221">
        <v>95</v>
      </c>
      <c r="M409" s="181"/>
      <c r="N409" s="221">
        <v>95</v>
      </c>
      <c r="O409" s="181"/>
      <c r="P409" s="221">
        <v>95</v>
      </c>
      <c r="Q409" s="182"/>
      <c r="R409" s="221">
        <v>95</v>
      </c>
      <c r="S409" s="182"/>
      <c r="T409" s="221">
        <v>95</v>
      </c>
      <c r="U409" s="182"/>
      <c r="V409" s="52"/>
      <c r="W409" s="52"/>
      <c r="X409" s="52"/>
    </row>
    <row r="410" spans="2:24" s="165" customFormat="1" ht="45">
      <c r="B410" s="48"/>
      <c r="C410" s="48"/>
      <c r="D410" s="49"/>
      <c r="E410" s="49"/>
      <c r="F410" s="50"/>
      <c r="G410" s="270" t="s">
        <v>1352</v>
      </c>
      <c r="H410" s="164">
        <v>88.92</v>
      </c>
      <c r="I410" s="164">
        <v>102</v>
      </c>
      <c r="J410" s="164">
        <v>102</v>
      </c>
      <c r="K410" s="257"/>
      <c r="L410" s="197">
        <v>102</v>
      </c>
      <c r="M410" s="181"/>
      <c r="N410" s="197">
        <v>101</v>
      </c>
      <c r="O410" s="181"/>
      <c r="P410" s="197">
        <v>101</v>
      </c>
      <c r="Q410" s="182"/>
      <c r="R410" s="197">
        <v>100</v>
      </c>
      <c r="S410" s="182"/>
      <c r="T410" s="197">
        <v>100</v>
      </c>
      <c r="U410" s="182"/>
      <c r="V410" s="52"/>
      <c r="W410" s="52"/>
      <c r="X410" s="52"/>
    </row>
    <row r="411" spans="2:24" s="165" customFormat="1" ht="45">
      <c r="B411" s="48"/>
      <c r="C411" s="48"/>
      <c r="D411" s="49"/>
      <c r="E411" s="49"/>
      <c r="F411" s="50"/>
      <c r="G411" s="403" t="s">
        <v>2322</v>
      </c>
      <c r="H411" s="158">
        <v>1</v>
      </c>
      <c r="I411" s="158">
        <v>0.97</v>
      </c>
      <c r="J411" s="164">
        <v>100</v>
      </c>
      <c r="K411" s="257"/>
      <c r="L411" s="177">
        <v>0.97</v>
      </c>
      <c r="M411" s="181"/>
      <c r="N411" s="177">
        <v>0.97</v>
      </c>
      <c r="O411" s="181"/>
      <c r="P411" s="177">
        <v>0.97</v>
      </c>
      <c r="Q411" s="182"/>
      <c r="R411" s="177">
        <v>0.97</v>
      </c>
      <c r="S411" s="182"/>
      <c r="T411" s="177">
        <v>0.97</v>
      </c>
      <c r="U411" s="182"/>
      <c r="V411" s="52"/>
      <c r="W411" s="52"/>
      <c r="X411" s="52"/>
    </row>
    <row r="412" spans="2:24" s="165" customFormat="1" ht="45">
      <c r="B412" s="48"/>
      <c r="C412" s="48"/>
      <c r="D412" s="49"/>
      <c r="E412" s="49"/>
      <c r="F412" s="50"/>
      <c r="G412" s="403" t="s">
        <v>2323</v>
      </c>
      <c r="H412" s="160">
        <v>0.97309999999999997</v>
      </c>
      <c r="I412" s="158">
        <v>1</v>
      </c>
      <c r="J412" s="164">
        <v>97</v>
      </c>
      <c r="K412" s="257"/>
      <c r="L412" s="177">
        <v>1</v>
      </c>
      <c r="M412" s="181"/>
      <c r="N412" s="177">
        <v>1</v>
      </c>
      <c r="O412" s="181"/>
      <c r="P412" s="177">
        <v>1</v>
      </c>
      <c r="Q412" s="182"/>
      <c r="R412" s="177">
        <v>1</v>
      </c>
      <c r="S412" s="182"/>
      <c r="T412" s="177">
        <v>1</v>
      </c>
      <c r="U412" s="182"/>
      <c r="V412" s="52"/>
      <c r="W412" s="52"/>
      <c r="X412" s="52"/>
    </row>
    <row r="413" spans="2:24" s="165" customFormat="1" ht="45">
      <c r="B413" s="48"/>
      <c r="C413" s="48"/>
      <c r="D413" s="49"/>
      <c r="E413" s="49"/>
      <c r="F413" s="50"/>
      <c r="G413" s="403" t="s">
        <v>2324</v>
      </c>
      <c r="H413" s="194" t="s">
        <v>743</v>
      </c>
      <c r="I413" s="158"/>
      <c r="J413" s="164"/>
      <c r="K413" s="257"/>
      <c r="L413" s="158">
        <v>0.1</v>
      </c>
      <c r="M413" s="181"/>
      <c r="N413" s="158">
        <v>0.1</v>
      </c>
      <c r="O413" s="181"/>
      <c r="P413" s="158">
        <v>0.15</v>
      </c>
      <c r="Q413" s="182"/>
      <c r="R413" s="158">
        <v>0.15</v>
      </c>
      <c r="S413" s="182"/>
      <c r="T413" s="158">
        <v>0.15</v>
      </c>
      <c r="U413" s="182"/>
      <c r="V413" s="52"/>
      <c r="W413" s="52"/>
      <c r="X413" s="52"/>
    </row>
    <row r="414" spans="2:24" s="165" customFormat="1" ht="30">
      <c r="B414" s="48"/>
      <c r="C414" s="48"/>
      <c r="D414" s="49"/>
      <c r="E414" s="49"/>
      <c r="F414" s="50"/>
      <c r="G414" s="403" t="s">
        <v>2325</v>
      </c>
      <c r="H414" s="194" t="s">
        <v>743</v>
      </c>
      <c r="I414" s="158"/>
      <c r="J414" s="164"/>
      <c r="K414" s="257"/>
      <c r="L414" s="158">
        <v>1</v>
      </c>
      <c r="M414" s="181"/>
      <c r="N414" s="158">
        <v>1</v>
      </c>
      <c r="O414" s="181"/>
      <c r="P414" s="158">
        <v>1</v>
      </c>
      <c r="Q414" s="182"/>
      <c r="R414" s="158">
        <v>1</v>
      </c>
      <c r="S414" s="182"/>
      <c r="T414" s="158">
        <v>1</v>
      </c>
      <c r="U414" s="182"/>
      <c r="V414" s="52"/>
      <c r="W414" s="52"/>
      <c r="X414" s="52"/>
    </row>
    <row r="415" spans="2:24" s="165" customFormat="1" ht="45">
      <c r="B415" s="48"/>
      <c r="C415" s="48"/>
      <c r="D415" s="49"/>
      <c r="E415" s="49"/>
      <c r="F415" s="50"/>
      <c r="G415" s="270" t="s">
        <v>2326</v>
      </c>
      <c r="H415" s="160">
        <v>0.85980000000000001</v>
      </c>
      <c r="I415" s="158">
        <v>0.8</v>
      </c>
      <c r="J415" s="164">
        <v>80</v>
      </c>
      <c r="K415" s="257"/>
      <c r="L415" s="177">
        <v>0.8</v>
      </c>
      <c r="M415" s="181"/>
      <c r="N415" s="177">
        <v>0.8</v>
      </c>
      <c r="O415" s="181"/>
      <c r="P415" s="177">
        <v>0.8</v>
      </c>
      <c r="Q415" s="182"/>
      <c r="R415" s="177">
        <v>0.8</v>
      </c>
      <c r="S415" s="182"/>
      <c r="T415" s="177">
        <v>0.8</v>
      </c>
      <c r="U415" s="182"/>
      <c r="V415" s="52"/>
      <c r="W415" s="52"/>
      <c r="X415" s="52"/>
    </row>
    <row r="416" spans="2:24" s="165" customFormat="1" ht="30">
      <c r="B416" s="48"/>
      <c r="C416" s="48"/>
      <c r="D416" s="49"/>
      <c r="E416" s="49"/>
      <c r="F416" s="50"/>
      <c r="G416" s="270" t="s">
        <v>1355</v>
      </c>
      <c r="H416" s="195" t="s">
        <v>1356</v>
      </c>
      <c r="I416" s="215">
        <v>90</v>
      </c>
      <c r="J416" s="164">
        <v>90</v>
      </c>
      <c r="K416" s="257"/>
      <c r="L416" s="219">
        <v>92.5</v>
      </c>
      <c r="M416" s="181"/>
      <c r="N416" s="219">
        <v>95</v>
      </c>
      <c r="O416" s="222">
        <v>150000000</v>
      </c>
      <c r="P416" s="219">
        <v>97.5</v>
      </c>
      <c r="Q416" s="223">
        <v>175000000</v>
      </c>
      <c r="R416" s="219">
        <v>98</v>
      </c>
      <c r="S416" s="223">
        <v>200000000</v>
      </c>
      <c r="T416" s="219">
        <v>98</v>
      </c>
      <c r="U416" s="223">
        <v>200000000</v>
      </c>
      <c r="V416" s="52"/>
      <c r="W416" s="52"/>
      <c r="X416" s="52"/>
    </row>
    <row r="417" spans="2:24" s="165" customFormat="1" ht="30">
      <c r="B417" s="48"/>
      <c r="C417" s="48"/>
      <c r="D417" s="49"/>
      <c r="E417" s="49"/>
      <c r="F417" s="50"/>
      <c r="G417" s="270" t="s">
        <v>1358</v>
      </c>
      <c r="H417" s="195" t="s">
        <v>1359</v>
      </c>
      <c r="I417" s="224">
        <v>99.9</v>
      </c>
      <c r="J417" s="164">
        <v>99</v>
      </c>
      <c r="K417" s="257"/>
      <c r="L417" s="179">
        <v>99</v>
      </c>
      <c r="M417" s="181"/>
      <c r="N417" s="179">
        <v>99</v>
      </c>
      <c r="O417" s="181"/>
      <c r="P417" s="179">
        <v>99</v>
      </c>
      <c r="Q417" s="182"/>
      <c r="R417" s="179">
        <v>99</v>
      </c>
      <c r="S417" s="182"/>
      <c r="T417" s="179">
        <v>99</v>
      </c>
      <c r="U417" s="182"/>
      <c r="V417" s="52"/>
      <c r="W417" s="52"/>
      <c r="X417" s="52"/>
    </row>
    <row r="418" spans="2:24" s="165" customFormat="1" ht="30">
      <c r="B418" s="48"/>
      <c r="C418" s="48"/>
      <c r="D418" s="49"/>
      <c r="E418" s="49"/>
      <c r="F418" s="50"/>
      <c r="G418" s="270" t="s">
        <v>1361</v>
      </c>
      <c r="H418" s="194" t="s">
        <v>1362</v>
      </c>
      <c r="I418" s="215">
        <v>90</v>
      </c>
      <c r="J418" s="164">
        <v>90</v>
      </c>
      <c r="K418" s="257"/>
      <c r="L418" s="164">
        <v>90</v>
      </c>
      <c r="M418" s="181"/>
      <c r="N418" s="164">
        <v>90</v>
      </c>
      <c r="O418" s="181"/>
      <c r="P418" s="164">
        <v>90</v>
      </c>
      <c r="Q418" s="182"/>
      <c r="R418" s="164">
        <v>90</v>
      </c>
      <c r="S418" s="182"/>
      <c r="T418" s="164">
        <v>90</v>
      </c>
      <c r="U418" s="182"/>
      <c r="V418" s="52"/>
      <c r="W418" s="52"/>
      <c r="X418" s="52"/>
    </row>
    <row r="419" spans="2:24" s="165" customFormat="1" ht="45">
      <c r="B419" s="48"/>
      <c r="C419" s="48"/>
      <c r="D419" s="49"/>
      <c r="E419" s="49"/>
      <c r="F419" s="50"/>
      <c r="G419" s="270" t="s">
        <v>1364</v>
      </c>
      <c r="H419" s="177" t="s">
        <v>1348</v>
      </c>
      <c r="I419" s="215">
        <v>65</v>
      </c>
      <c r="J419" s="164">
        <v>80</v>
      </c>
      <c r="K419" s="257"/>
      <c r="L419" s="219">
        <v>65</v>
      </c>
      <c r="M419" s="181"/>
      <c r="N419" s="219">
        <v>65</v>
      </c>
      <c r="O419" s="181"/>
      <c r="P419" s="219">
        <v>65</v>
      </c>
      <c r="Q419" s="182"/>
      <c r="R419" s="219">
        <v>65</v>
      </c>
      <c r="S419" s="182"/>
      <c r="T419" s="219">
        <v>65</v>
      </c>
      <c r="U419" s="182"/>
      <c r="V419" s="52"/>
      <c r="W419" s="52"/>
      <c r="X419" s="52"/>
    </row>
    <row r="420" spans="2:24" s="165" customFormat="1" ht="30">
      <c r="B420" s="48"/>
      <c r="C420" s="48"/>
      <c r="D420" s="49"/>
      <c r="E420" s="49"/>
      <c r="F420" s="50"/>
      <c r="G420" s="270" t="s">
        <v>1366</v>
      </c>
      <c r="H420" s="164">
        <v>0.98699999999999999</v>
      </c>
      <c r="I420" s="225">
        <v>0.98</v>
      </c>
      <c r="J420" s="164">
        <v>0.98</v>
      </c>
      <c r="K420" s="257"/>
      <c r="L420" s="215" t="s">
        <v>1368</v>
      </c>
      <c r="M420" s="181"/>
      <c r="N420" s="215" t="s">
        <v>1369</v>
      </c>
      <c r="O420" s="181"/>
      <c r="P420" s="215" t="s">
        <v>1370</v>
      </c>
      <c r="Q420" s="182"/>
      <c r="R420" s="215" t="s">
        <v>1371</v>
      </c>
      <c r="S420" s="182"/>
      <c r="T420" s="215" t="s">
        <v>1371</v>
      </c>
      <c r="U420" s="182"/>
      <c r="V420" s="52"/>
      <c r="W420" s="52"/>
      <c r="X420" s="52"/>
    </row>
    <row r="421" spans="2:24" s="165" customFormat="1" ht="45">
      <c r="B421" s="48"/>
      <c r="C421" s="48"/>
      <c r="D421" s="49"/>
      <c r="E421" s="49"/>
      <c r="F421" s="50"/>
      <c r="G421" s="270" t="s">
        <v>1374</v>
      </c>
      <c r="H421" s="164">
        <v>6</v>
      </c>
      <c r="I421" s="164">
        <v>14</v>
      </c>
      <c r="J421" s="164">
        <v>9</v>
      </c>
      <c r="K421" s="257"/>
      <c r="L421" s="197">
        <v>8.5</v>
      </c>
      <c r="M421" s="181"/>
      <c r="N421" s="197">
        <v>8.5</v>
      </c>
      <c r="O421" s="181"/>
      <c r="P421" s="197">
        <v>7.3</v>
      </c>
      <c r="Q421" s="182"/>
      <c r="R421" s="197">
        <v>7</v>
      </c>
      <c r="S421" s="182"/>
      <c r="T421" s="197">
        <v>7</v>
      </c>
      <c r="U421" s="182"/>
      <c r="V421" s="52"/>
      <c r="W421" s="52"/>
      <c r="X421" s="52"/>
    </row>
    <row r="422" spans="2:24" s="165" customFormat="1" ht="45">
      <c r="B422" s="48"/>
      <c r="C422" s="48"/>
      <c r="D422" s="49"/>
      <c r="E422" s="49"/>
      <c r="F422" s="50"/>
      <c r="G422" s="270" t="s">
        <v>1376</v>
      </c>
      <c r="H422" s="164">
        <v>12.21</v>
      </c>
      <c r="I422" s="164">
        <v>14.2</v>
      </c>
      <c r="J422" s="164">
        <v>14.2</v>
      </c>
      <c r="K422" s="257"/>
      <c r="L422" s="197">
        <v>14.11</v>
      </c>
      <c r="M422" s="181"/>
      <c r="N422" s="197">
        <v>14</v>
      </c>
      <c r="O422" s="181"/>
      <c r="P422" s="197">
        <v>13</v>
      </c>
      <c r="Q422" s="182"/>
      <c r="R422" s="197">
        <v>12</v>
      </c>
      <c r="S422" s="182"/>
      <c r="T422" s="197">
        <v>12</v>
      </c>
      <c r="U422" s="182"/>
      <c r="V422" s="52"/>
      <c r="W422" s="52"/>
      <c r="X422" s="52"/>
    </row>
    <row r="423" spans="2:24" s="165" customFormat="1" ht="45">
      <c r="B423" s="48"/>
      <c r="C423" s="48"/>
      <c r="D423" s="49"/>
      <c r="E423" s="49"/>
      <c r="F423" s="50"/>
      <c r="G423" s="270" t="s">
        <v>1378</v>
      </c>
      <c r="H423" s="164">
        <v>13</v>
      </c>
      <c r="I423" s="164">
        <v>15.5</v>
      </c>
      <c r="J423" s="164">
        <v>15.5</v>
      </c>
      <c r="K423" s="257"/>
      <c r="L423" s="197">
        <v>15.2</v>
      </c>
      <c r="M423" s="181"/>
      <c r="N423" s="197">
        <v>14.7</v>
      </c>
      <c r="O423" s="181"/>
      <c r="P423" s="197">
        <v>14.5</v>
      </c>
      <c r="Q423" s="182"/>
      <c r="R423" s="197">
        <v>14</v>
      </c>
      <c r="S423" s="182"/>
      <c r="T423" s="197">
        <v>14</v>
      </c>
      <c r="U423" s="182"/>
      <c r="V423" s="52"/>
      <c r="W423" s="52"/>
      <c r="X423" s="52"/>
    </row>
    <row r="424" spans="2:24" s="165" customFormat="1" ht="45">
      <c r="B424" s="48"/>
      <c r="C424" s="48"/>
      <c r="D424" s="49"/>
      <c r="E424" s="49"/>
      <c r="F424" s="50"/>
      <c r="G424" s="403" t="s">
        <v>2327</v>
      </c>
      <c r="H424" s="158">
        <v>1</v>
      </c>
      <c r="I424" s="158">
        <v>1</v>
      </c>
      <c r="J424" s="164">
        <v>100</v>
      </c>
      <c r="K424" s="257"/>
      <c r="L424" s="177">
        <v>1</v>
      </c>
      <c r="M424" s="181"/>
      <c r="N424" s="177">
        <v>1</v>
      </c>
      <c r="O424" s="181"/>
      <c r="P424" s="177">
        <v>1</v>
      </c>
      <c r="Q424" s="182"/>
      <c r="R424" s="177">
        <v>1</v>
      </c>
      <c r="S424" s="182"/>
      <c r="T424" s="177">
        <v>1</v>
      </c>
      <c r="U424" s="182"/>
      <c r="V424" s="52"/>
      <c r="W424" s="52"/>
      <c r="X424" s="52"/>
    </row>
    <row r="425" spans="2:24" s="165" customFormat="1" ht="60">
      <c r="B425" s="48"/>
      <c r="C425" s="48"/>
      <c r="D425" s="49"/>
      <c r="E425" s="49"/>
      <c r="F425" s="50"/>
      <c r="G425" s="403" t="s">
        <v>2328</v>
      </c>
      <c r="H425" s="158">
        <v>0.96</v>
      </c>
      <c r="I425" s="158">
        <v>0.95</v>
      </c>
      <c r="J425" s="164">
        <v>95</v>
      </c>
      <c r="K425" s="257"/>
      <c r="L425" s="177">
        <v>0.95</v>
      </c>
      <c r="M425" s="181"/>
      <c r="N425" s="177">
        <v>0.95</v>
      </c>
      <c r="O425" s="181"/>
      <c r="P425" s="177">
        <v>0.95</v>
      </c>
      <c r="Q425" s="182"/>
      <c r="R425" s="177">
        <v>0.95</v>
      </c>
      <c r="S425" s="182"/>
      <c r="T425" s="177">
        <v>0.95</v>
      </c>
      <c r="U425" s="182"/>
      <c r="V425" s="52"/>
      <c r="W425" s="52"/>
      <c r="X425" s="52"/>
    </row>
    <row r="426" spans="2:24" s="165" customFormat="1" ht="45">
      <c r="B426" s="48"/>
      <c r="C426" s="48"/>
      <c r="D426" s="49"/>
      <c r="E426" s="49"/>
      <c r="F426" s="50"/>
      <c r="G426" s="403" t="s">
        <v>2329</v>
      </c>
      <c r="H426" s="164">
        <v>13</v>
      </c>
      <c r="I426" s="164">
        <v>15.5</v>
      </c>
      <c r="J426" s="164">
        <v>15.5</v>
      </c>
      <c r="K426" s="257"/>
      <c r="L426" s="197">
        <v>15.2</v>
      </c>
      <c r="M426" s="181"/>
      <c r="N426" s="197">
        <v>14.7</v>
      </c>
      <c r="O426" s="181"/>
      <c r="P426" s="197">
        <v>14.5</v>
      </c>
      <c r="Q426" s="182"/>
      <c r="R426" s="197">
        <v>14</v>
      </c>
      <c r="S426" s="182"/>
      <c r="T426" s="197">
        <v>14</v>
      </c>
      <c r="U426" s="182"/>
      <c r="V426" s="52"/>
      <c r="W426" s="52"/>
      <c r="X426" s="52"/>
    </row>
    <row r="427" spans="2:24" s="165" customFormat="1" ht="60">
      <c r="B427" s="48"/>
      <c r="C427" s="48"/>
      <c r="D427" s="49"/>
      <c r="E427" s="49"/>
      <c r="F427" s="50"/>
      <c r="G427" s="173" t="s">
        <v>2349</v>
      </c>
      <c r="H427" s="192">
        <v>0.99129999999999996</v>
      </c>
      <c r="I427" s="174">
        <v>0.98</v>
      </c>
      <c r="J427" s="161">
        <v>0.98</v>
      </c>
      <c r="K427" s="217"/>
      <c r="L427" s="161">
        <v>0.98</v>
      </c>
      <c r="M427" s="254">
        <v>90000000</v>
      </c>
      <c r="N427" s="161">
        <v>0.98</v>
      </c>
      <c r="O427" s="254">
        <v>90000000</v>
      </c>
      <c r="P427" s="161">
        <v>0.98</v>
      </c>
      <c r="Q427" s="253">
        <v>90000000</v>
      </c>
      <c r="R427" s="161">
        <v>0.98</v>
      </c>
      <c r="S427" s="253">
        <v>90000000</v>
      </c>
      <c r="T427" s="161">
        <v>0.98</v>
      </c>
      <c r="U427" s="253">
        <v>90000000</v>
      </c>
      <c r="V427" s="52"/>
      <c r="W427" s="52"/>
      <c r="X427" s="52"/>
    </row>
    <row r="428" spans="2:24" s="540" customFormat="1" ht="90">
      <c r="B428" s="545"/>
      <c r="C428" s="545">
        <f>'matrik MISI 5'!J55</f>
        <v>1.02</v>
      </c>
      <c r="D428" s="546" t="str">
        <f>'matrik MISI 5'!K55</f>
        <v>xx</v>
      </c>
      <c r="E428" s="546">
        <f>'matrik MISI 5'!L55</f>
        <v>33</v>
      </c>
      <c r="F428" s="595" t="str">
        <f>'matrik MISI 5'!M55</f>
        <v>Program peningkatan Kualitas pelayanan kesehatan pada BLUD RSUD</v>
      </c>
      <c r="G428" s="548"/>
      <c r="H428" s="550"/>
      <c r="I428" s="550"/>
      <c r="J428" s="550"/>
      <c r="K428" s="551">
        <f>SUM(K429:K438)</f>
        <v>66213700000</v>
      </c>
      <c r="L428" s="551"/>
      <c r="M428" s="551">
        <f t="shared" ref="M428:U428" si="13">SUM(M429:M438)</f>
        <v>63478558000</v>
      </c>
      <c r="N428" s="551"/>
      <c r="O428" s="551">
        <f t="shared" si="13"/>
        <v>65000000000</v>
      </c>
      <c r="P428" s="551"/>
      <c r="Q428" s="551">
        <f t="shared" si="13"/>
        <v>67000000000</v>
      </c>
      <c r="R428" s="551"/>
      <c r="S428" s="551">
        <f t="shared" si="13"/>
        <v>68000000000</v>
      </c>
      <c r="T428" s="551"/>
      <c r="U428" s="551">
        <f t="shared" si="13"/>
        <v>70000000000</v>
      </c>
      <c r="V428" s="550"/>
      <c r="W428" s="550"/>
      <c r="X428" s="550" t="str">
        <f>'matrik MISI 5'!X55</f>
        <v xml:space="preserve">RSUD </v>
      </c>
    </row>
    <row r="429" spans="2:24" s="165" customFormat="1" ht="105">
      <c r="B429" s="48"/>
      <c r="C429" s="48"/>
      <c r="D429" s="49"/>
      <c r="E429" s="49"/>
      <c r="F429" s="64"/>
      <c r="G429" s="58" t="s">
        <v>2427</v>
      </c>
      <c r="H429" s="52" t="s">
        <v>2428</v>
      </c>
      <c r="I429" s="161">
        <v>1</v>
      </c>
      <c r="J429" s="161">
        <v>1</v>
      </c>
      <c r="K429" s="249">
        <v>1500000000</v>
      </c>
      <c r="L429" s="161">
        <v>1</v>
      </c>
      <c r="M429" s="185">
        <v>2500000000</v>
      </c>
      <c r="N429" s="161">
        <v>1</v>
      </c>
      <c r="O429" s="249">
        <v>2500000000</v>
      </c>
      <c r="P429" s="161">
        <v>1</v>
      </c>
      <c r="Q429" s="251">
        <v>2500000000</v>
      </c>
      <c r="R429" s="161">
        <v>1</v>
      </c>
      <c r="S429" s="251">
        <v>3000000000</v>
      </c>
      <c r="T429" s="161">
        <v>1</v>
      </c>
      <c r="U429" s="251">
        <v>3000000000</v>
      </c>
      <c r="V429" s="52"/>
      <c r="W429" s="52"/>
      <c r="X429" s="52"/>
    </row>
    <row r="430" spans="2:24" s="165" customFormat="1" ht="75">
      <c r="B430" s="48"/>
      <c r="C430" s="48"/>
      <c r="D430" s="49"/>
      <c r="E430" s="49"/>
      <c r="F430" s="64"/>
      <c r="G430" s="270" t="s">
        <v>2429</v>
      </c>
      <c r="H430" s="52" t="s">
        <v>2428</v>
      </c>
      <c r="I430" s="161">
        <v>1</v>
      </c>
      <c r="J430" s="161">
        <v>1</v>
      </c>
      <c r="K430" s="249">
        <v>1500000000</v>
      </c>
      <c r="L430" s="161">
        <v>1</v>
      </c>
      <c r="M430" s="185">
        <v>2500000000</v>
      </c>
      <c r="N430" s="161">
        <v>1</v>
      </c>
      <c r="O430" s="249">
        <v>2500000000</v>
      </c>
      <c r="P430" s="161">
        <v>1</v>
      </c>
      <c r="Q430" s="251">
        <v>2500000000</v>
      </c>
      <c r="R430" s="161">
        <v>1</v>
      </c>
      <c r="S430" s="251">
        <v>3000000000</v>
      </c>
      <c r="T430" s="161">
        <v>1</v>
      </c>
      <c r="U430" s="251">
        <v>3000000000</v>
      </c>
      <c r="V430" s="52"/>
      <c r="W430" s="52"/>
      <c r="X430" s="52"/>
    </row>
    <row r="431" spans="2:24" s="165" customFormat="1" ht="30">
      <c r="B431" s="48"/>
      <c r="C431" s="48"/>
      <c r="D431" s="49"/>
      <c r="E431" s="49"/>
      <c r="F431" s="64"/>
      <c r="G431" s="58" t="s">
        <v>2454</v>
      </c>
      <c r="H431" s="52"/>
      <c r="I431" s="52"/>
      <c r="J431" s="52"/>
      <c r="K431" s="249">
        <f>K438</f>
        <v>31606850000</v>
      </c>
      <c r="L431" s="161"/>
      <c r="M431" s="249">
        <f>M438</f>
        <v>29239279000</v>
      </c>
      <c r="N431" s="161"/>
      <c r="O431" s="249">
        <f>O438</f>
        <v>30000000000</v>
      </c>
      <c r="P431" s="161"/>
      <c r="Q431" s="739">
        <f>O431</f>
        <v>30000000000</v>
      </c>
      <c r="R431" s="161"/>
      <c r="S431" s="251">
        <f>Q431</f>
        <v>30000000000</v>
      </c>
      <c r="T431" s="161"/>
      <c r="U431" s="251">
        <f>U438</f>
        <v>32000000000</v>
      </c>
      <c r="V431" s="52"/>
      <c r="W431" s="52"/>
      <c r="X431" s="52"/>
    </row>
    <row r="432" spans="2:24" s="165" customFormat="1">
      <c r="B432" s="48"/>
      <c r="C432" s="48"/>
      <c r="D432" s="49"/>
      <c r="E432" s="49"/>
      <c r="F432" s="64"/>
      <c r="G432" s="58" t="s">
        <v>1830</v>
      </c>
      <c r="H432" s="226">
        <v>0.73729999999999996</v>
      </c>
      <c r="I432" s="227">
        <v>0.7</v>
      </c>
      <c r="J432" s="227">
        <v>0.7</v>
      </c>
      <c r="K432" s="249"/>
      <c r="L432" s="227">
        <v>0.65</v>
      </c>
      <c r="M432" s="249"/>
      <c r="N432" s="227">
        <v>0.65</v>
      </c>
      <c r="O432" s="249"/>
      <c r="P432" s="227">
        <v>0.66</v>
      </c>
      <c r="Q432" s="52"/>
      <c r="R432" s="227">
        <v>0.68</v>
      </c>
      <c r="S432" s="52"/>
      <c r="T432" s="227">
        <v>0.68</v>
      </c>
      <c r="U432" s="52"/>
      <c r="V432" s="52"/>
      <c r="W432" s="52"/>
      <c r="X432" s="52"/>
    </row>
    <row r="433" spans="1:32" s="165" customFormat="1">
      <c r="B433" s="48"/>
      <c r="C433" s="48"/>
      <c r="D433" s="49"/>
      <c r="E433" s="49"/>
      <c r="F433" s="64"/>
      <c r="G433" s="58" t="s">
        <v>1831</v>
      </c>
      <c r="H433" s="226" t="s">
        <v>2455</v>
      </c>
      <c r="I433" s="228" t="s">
        <v>2456</v>
      </c>
      <c r="J433" s="228" t="s">
        <v>2457</v>
      </c>
      <c r="K433" s="249"/>
      <c r="L433" s="228" t="s">
        <v>2457</v>
      </c>
      <c r="M433" s="249"/>
      <c r="N433" s="228" t="s">
        <v>2457</v>
      </c>
      <c r="O433" s="249"/>
      <c r="P433" s="228" t="s">
        <v>2458</v>
      </c>
      <c r="Q433" s="52"/>
      <c r="R433" s="228" t="s">
        <v>2458</v>
      </c>
      <c r="S433" s="52"/>
      <c r="T433" s="228" t="s">
        <v>2458</v>
      </c>
      <c r="U433" s="52"/>
      <c r="V433" s="52"/>
      <c r="W433" s="52"/>
      <c r="X433" s="52"/>
    </row>
    <row r="434" spans="1:32" s="165" customFormat="1">
      <c r="B434" s="48"/>
      <c r="C434" s="48"/>
      <c r="D434" s="49"/>
      <c r="E434" s="49"/>
      <c r="F434" s="64"/>
      <c r="G434" s="58" t="s">
        <v>1832</v>
      </c>
      <c r="H434" s="226" t="s">
        <v>2459</v>
      </c>
      <c r="I434" s="228" t="s">
        <v>2460</v>
      </c>
      <c r="J434" s="228" t="s">
        <v>2461</v>
      </c>
      <c r="K434" s="249"/>
      <c r="L434" s="228" t="s">
        <v>2460</v>
      </c>
      <c r="M434" s="249"/>
      <c r="N434" s="228" t="s">
        <v>2460</v>
      </c>
      <c r="O434" s="249"/>
      <c r="P434" s="228" t="s">
        <v>2460</v>
      </c>
      <c r="Q434" s="52"/>
      <c r="R434" s="228" t="s">
        <v>2460</v>
      </c>
      <c r="S434" s="52"/>
      <c r="T434" s="228" t="s">
        <v>2460</v>
      </c>
      <c r="U434" s="52"/>
      <c r="V434" s="52"/>
      <c r="W434" s="52"/>
      <c r="X434" s="52"/>
    </row>
    <row r="435" spans="1:32" s="165" customFormat="1">
      <c r="B435" s="48"/>
      <c r="C435" s="48"/>
      <c r="D435" s="49"/>
      <c r="E435" s="49"/>
      <c r="F435" s="64"/>
      <c r="G435" s="58" t="s">
        <v>1833</v>
      </c>
      <c r="H435" s="226" t="s">
        <v>3915</v>
      </c>
      <c r="I435" s="228" t="s">
        <v>3916</v>
      </c>
      <c r="J435" s="228" t="s">
        <v>3917</v>
      </c>
      <c r="K435" s="249"/>
      <c r="L435" s="228" t="s">
        <v>3917</v>
      </c>
      <c r="M435" s="249"/>
      <c r="N435" s="228" t="s">
        <v>3917</v>
      </c>
      <c r="O435" s="249"/>
      <c r="P435" s="228" t="s">
        <v>3918</v>
      </c>
      <c r="Q435" s="52"/>
      <c r="R435" s="228" t="s">
        <v>3918</v>
      </c>
      <c r="S435" s="52"/>
      <c r="T435" s="228" t="s">
        <v>3918</v>
      </c>
      <c r="U435" s="52"/>
      <c r="V435" s="52"/>
      <c r="W435" s="52"/>
      <c r="X435" s="52"/>
    </row>
    <row r="436" spans="1:32" s="165" customFormat="1">
      <c r="B436" s="48"/>
      <c r="C436" s="48"/>
      <c r="D436" s="49"/>
      <c r="E436" s="49"/>
      <c r="F436" s="64"/>
      <c r="G436" s="58" t="s">
        <v>1834</v>
      </c>
      <c r="H436" s="226" t="s">
        <v>2462</v>
      </c>
      <c r="I436" s="228" t="s">
        <v>2463</v>
      </c>
      <c r="J436" s="228" t="s">
        <v>2463</v>
      </c>
      <c r="K436" s="249"/>
      <c r="L436" s="228" t="s">
        <v>2464</v>
      </c>
      <c r="M436" s="249"/>
      <c r="N436" s="228" t="s">
        <v>2464</v>
      </c>
      <c r="O436" s="249"/>
      <c r="P436" s="228" t="s">
        <v>2465</v>
      </c>
      <c r="Q436" s="52"/>
      <c r="R436" s="228" t="s">
        <v>2465</v>
      </c>
      <c r="S436" s="52"/>
      <c r="T436" s="228" t="s">
        <v>2465</v>
      </c>
      <c r="U436" s="52"/>
      <c r="V436" s="52"/>
      <c r="W436" s="52"/>
      <c r="X436" s="52"/>
    </row>
    <row r="437" spans="1:32" s="165" customFormat="1" ht="30">
      <c r="B437" s="48"/>
      <c r="C437" s="48"/>
      <c r="D437" s="49"/>
      <c r="E437" s="49"/>
      <c r="F437" s="64"/>
      <c r="G437" s="58" t="s">
        <v>2466</v>
      </c>
      <c r="H437" s="226" t="s">
        <v>743</v>
      </c>
      <c r="I437" s="228" t="s">
        <v>743</v>
      </c>
      <c r="J437" s="228" t="s">
        <v>743</v>
      </c>
      <c r="K437" s="249"/>
      <c r="L437" s="161" t="s">
        <v>1838</v>
      </c>
      <c r="M437" s="249"/>
      <c r="N437" s="161" t="s">
        <v>1838</v>
      </c>
      <c r="O437" s="249"/>
      <c r="P437" s="161" t="s">
        <v>1838</v>
      </c>
      <c r="Q437" s="52"/>
      <c r="R437" s="161" t="s">
        <v>1838</v>
      </c>
      <c r="S437" s="52"/>
      <c r="T437" s="161" t="s">
        <v>1838</v>
      </c>
      <c r="U437" s="52"/>
      <c r="V437" s="52"/>
      <c r="W437" s="52"/>
      <c r="X437" s="52"/>
    </row>
    <row r="438" spans="1:32" s="165" customFormat="1" ht="90">
      <c r="B438" s="48"/>
      <c r="C438" s="48"/>
      <c r="D438" s="49"/>
      <c r="E438" s="49"/>
      <c r="F438" s="64"/>
      <c r="G438" s="58" t="s">
        <v>2467</v>
      </c>
      <c r="H438" s="52" t="s">
        <v>2468</v>
      </c>
      <c r="I438" s="52" t="s">
        <v>2469</v>
      </c>
      <c r="J438" s="52" t="s">
        <v>2469</v>
      </c>
      <c r="K438" s="249">
        <v>31606850000</v>
      </c>
      <c r="L438" s="52" t="s">
        <v>2470</v>
      </c>
      <c r="M438" s="249">
        <v>29239279000</v>
      </c>
      <c r="N438" s="52" t="s">
        <v>2471</v>
      </c>
      <c r="O438" s="249">
        <v>30000000000</v>
      </c>
      <c r="P438" s="52" t="s">
        <v>2471</v>
      </c>
      <c r="Q438" s="251">
        <v>32000000000</v>
      </c>
      <c r="R438" s="52" t="s">
        <v>2471</v>
      </c>
      <c r="S438" s="251">
        <v>32000000000</v>
      </c>
      <c r="T438" s="52" t="s">
        <v>2471</v>
      </c>
      <c r="U438" s="251">
        <v>32000000000</v>
      </c>
      <c r="V438" s="52"/>
      <c r="W438" s="52"/>
      <c r="X438" s="52"/>
    </row>
    <row r="439" spans="1:32" s="276" customFormat="1" ht="30" customHeight="1">
      <c r="A439" s="283"/>
      <c r="B439" s="1103" t="s">
        <v>4235</v>
      </c>
      <c r="C439" s="1104"/>
      <c r="D439" s="1104"/>
      <c r="E439" s="1104"/>
      <c r="F439" s="1104"/>
      <c r="G439" s="1105"/>
      <c r="H439" s="274"/>
      <c r="I439" s="274"/>
      <c r="J439" s="274"/>
      <c r="K439" s="298">
        <f>SUM(K287:K438)</f>
        <v>212533959000</v>
      </c>
      <c r="L439" s="298"/>
      <c r="M439" s="298">
        <f t="shared" ref="M439:U439" si="14">SUM(M287:M438)</f>
        <v>207072115340.5</v>
      </c>
      <c r="N439" s="298"/>
      <c r="O439" s="298">
        <f t="shared" si="14"/>
        <v>194479003340.5</v>
      </c>
      <c r="P439" s="298"/>
      <c r="Q439" s="298">
        <f t="shared" si="14"/>
        <v>205850643342.5</v>
      </c>
      <c r="R439" s="298"/>
      <c r="S439" s="298">
        <f t="shared" si="14"/>
        <v>201485003340.5</v>
      </c>
      <c r="T439" s="298"/>
      <c r="U439" s="298">
        <f t="shared" si="14"/>
        <v>318185003340.5</v>
      </c>
      <c r="V439" s="274"/>
      <c r="W439" s="274"/>
      <c r="X439" s="274"/>
      <c r="Y439" s="283"/>
      <c r="Z439" s="283"/>
      <c r="AA439" s="283"/>
      <c r="AB439" s="283"/>
      <c r="AC439" s="283"/>
      <c r="AD439" s="283"/>
      <c r="AE439" s="283"/>
      <c r="AF439" s="283"/>
    </row>
    <row r="440" spans="1:32" ht="30">
      <c r="A440" s="165">
        <v>1</v>
      </c>
      <c r="B440" s="59" t="s">
        <v>18</v>
      </c>
      <c r="C440" s="56"/>
      <c r="D440" s="57"/>
      <c r="E440" s="57"/>
      <c r="F440" s="58"/>
      <c r="G440" s="58"/>
      <c r="H440" s="52"/>
      <c r="I440" s="52"/>
      <c r="J440" s="52"/>
      <c r="K440" s="52"/>
      <c r="L440" s="52"/>
      <c r="M440" s="52"/>
      <c r="N440" s="52"/>
      <c r="O440" s="52"/>
      <c r="P440" s="52"/>
      <c r="Q440" s="52"/>
      <c r="R440" s="52"/>
      <c r="S440" s="52"/>
      <c r="T440" s="52"/>
      <c r="U440" s="52"/>
      <c r="V440" s="52"/>
      <c r="W440" s="52"/>
      <c r="X440" s="52"/>
      <c r="Y440" s="165"/>
      <c r="Z440" s="165"/>
      <c r="AA440" s="165"/>
      <c r="AB440" s="165"/>
      <c r="AC440" s="165"/>
      <c r="AD440" s="165"/>
      <c r="AE440" s="165"/>
      <c r="AF440" s="165"/>
    </row>
    <row r="441" spans="1:32" hidden="1">
      <c r="A441" s="165"/>
      <c r="B441" s="48"/>
      <c r="C441" s="62" t="e">
        <f>#REF!</f>
        <v>#REF!</v>
      </c>
      <c r="D441" s="63" t="e">
        <f>#REF!</f>
        <v>#REF!</v>
      </c>
      <c r="E441" s="63" t="e">
        <f>#REF!</f>
        <v>#REF!</v>
      </c>
      <c r="F441" s="64" t="e">
        <f>#REF!</f>
        <v>#REF!</v>
      </c>
      <c r="G441" s="58"/>
      <c r="H441" s="52"/>
      <c r="I441" s="52"/>
      <c r="J441" s="52"/>
      <c r="K441" s="52"/>
      <c r="L441" s="52"/>
      <c r="M441" s="52"/>
      <c r="N441" s="52"/>
      <c r="O441" s="52"/>
      <c r="P441" s="52"/>
      <c r="Q441" s="52"/>
      <c r="R441" s="52"/>
      <c r="S441" s="52"/>
      <c r="T441" s="52"/>
      <c r="U441" s="52"/>
      <c r="V441" s="52"/>
      <c r="W441" s="52"/>
      <c r="X441" s="52" t="e">
        <f>#REF!</f>
        <v>#REF!</v>
      </c>
      <c r="Y441" s="165"/>
      <c r="Z441" s="165"/>
      <c r="AA441" s="165"/>
      <c r="AB441" s="165"/>
      <c r="AC441" s="165"/>
      <c r="AD441" s="165"/>
      <c r="AE441" s="165"/>
      <c r="AF441" s="165"/>
    </row>
    <row r="442" spans="1:32" ht="30" hidden="1">
      <c r="A442" s="165"/>
      <c r="B442" s="48"/>
      <c r="C442" s="62"/>
      <c r="D442" s="63"/>
      <c r="E442" s="63"/>
      <c r="F442" s="64"/>
      <c r="G442" s="58" t="s">
        <v>2472</v>
      </c>
      <c r="H442" s="52" t="s">
        <v>2473</v>
      </c>
      <c r="I442" s="52" t="s">
        <v>2473</v>
      </c>
      <c r="J442" s="52" t="s">
        <v>2473</v>
      </c>
      <c r="K442" s="251">
        <v>4501315000</v>
      </c>
      <c r="L442" s="52" t="s">
        <v>2474</v>
      </c>
      <c r="M442" s="251">
        <v>7991020000</v>
      </c>
      <c r="N442" s="52" t="s">
        <v>2474</v>
      </c>
      <c r="O442" s="251">
        <v>8000000000</v>
      </c>
      <c r="P442" s="52" t="s">
        <v>2474</v>
      </c>
      <c r="Q442" s="218">
        <v>9000000000</v>
      </c>
      <c r="R442" s="52" t="s">
        <v>2474</v>
      </c>
      <c r="S442" s="251">
        <v>9864000000</v>
      </c>
      <c r="T442" s="52" t="s">
        <v>2474</v>
      </c>
      <c r="U442" s="251">
        <v>9864000000</v>
      </c>
      <c r="V442" s="52"/>
      <c r="W442" s="52"/>
      <c r="X442" s="52"/>
      <c r="Y442" s="165"/>
      <c r="Z442" s="165"/>
      <c r="AA442" s="165"/>
      <c r="AB442" s="165"/>
      <c r="AC442" s="165"/>
      <c r="AD442" s="165"/>
      <c r="AE442" s="165"/>
      <c r="AF442" s="165"/>
    </row>
    <row r="443" spans="1:32" ht="45" hidden="1">
      <c r="A443" s="165"/>
      <c r="B443" s="48"/>
      <c r="C443" s="62"/>
      <c r="D443" s="63"/>
      <c r="E443" s="63"/>
      <c r="F443" s="64"/>
      <c r="G443" s="58" t="s">
        <v>2475</v>
      </c>
      <c r="H443" s="52" t="s">
        <v>2476</v>
      </c>
      <c r="I443" s="52" t="s">
        <v>2477</v>
      </c>
      <c r="J443" s="52" t="s">
        <v>2477</v>
      </c>
      <c r="K443" s="251">
        <v>3242853000</v>
      </c>
      <c r="L443" s="52" t="s">
        <v>2478</v>
      </c>
      <c r="M443" s="251">
        <v>5847530000</v>
      </c>
      <c r="N443" s="52" t="str">
        <f>L443</f>
        <v>10 Unit</v>
      </c>
      <c r="O443" s="218">
        <v>7000000000</v>
      </c>
      <c r="P443" s="52" t="str">
        <f>N443</f>
        <v>10 Unit</v>
      </c>
      <c r="Q443" s="251">
        <v>7500000000</v>
      </c>
      <c r="R443" s="52" t="str">
        <f>P443</f>
        <v>10 Unit</v>
      </c>
      <c r="S443" s="251">
        <v>8500000000</v>
      </c>
      <c r="T443" s="52" t="str">
        <f>R443</f>
        <v>10 Unit</v>
      </c>
      <c r="U443" s="251">
        <v>8500000000</v>
      </c>
      <c r="V443" s="52"/>
      <c r="W443" s="52"/>
      <c r="X443" s="52"/>
      <c r="Y443" s="165"/>
      <c r="Z443" s="165"/>
      <c r="AA443" s="165"/>
      <c r="AB443" s="165"/>
      <c r="AC443" s="165"/>
      <c r="AD443" s="165"/>
      <c r="AE443" s="165"/>
      <c r="AF443" s="165"/>
    </row>
    <row r="444" spans="1:32" ht="45" hidden="1">
      <c r="A444" s="165"/>
      <c r="B444" s="48"/>
      <c r="C444" s="62"/>
      <c r="D444" s="63"/>
      <c r="E444" s="63"/>
      <c r="F444" s="64"/>
      <c r="G444" s="58" t="s">
        <v>2479</v>
      </c>
      <c r="H444" s="52" t="s">
        <v>2480</v>
      </c>
      <c r="I444" s="52" t="s">
        <v>2481</v>
      </c>
      <c r="J444" s="52" t="s">
        <v>2481</v>
      </c>
      <c r="K444" s="251">
        <v>7884870000</v>
      </c>
      <c r="L444" s="52" t="s">
        <v>2482</v>
      </c>
      <c r="M444" s="251">
        <v>10039140000</v>
      </c>
      <c r="N444" s="52" t="s">
        <v>2483</v>
      </c>
      <c r="O444" s="218">
        <v>11000000000</v>
      </c>
      <c r="P444" s="52" t="s">
        <v>2483</v>
      </c>
      <c r="Q444" s="251">
        <v>12000000000</v>
      </c>
      <c r="R444" s="52" t="s">
        <v>2483</v>
      </c>
      <c r="S444" s="251">
        <f>Q444</f>
        <v>12000000000</v>
      </c>
      <c r="T444" s="52" t="s">
        <v>2483</v>
      </c>
      <c r="U444" s="251">
        <f>S444</f>
        <v>12000000000</v>
      </c>
      <c r="V444" s="52"/>
      <c r="W444" s="52"/>
      <c r="X444" s="52"/>
      <c r="Y444" s="165"/>
      <c r="Z444" s="165"/>
      <c r="AA444" s="165"/>
      <c r="AB444" s="165"/>
      <c r="AC444" s="165"/>
      <c r="AD444" s="165"/>
      <c r="AE444" s="165"/>
      <c r="AF444" s="165"/>
    </row>
    <row r="445" spans="1:32" ht="45" hidden="1">
      <c r="A445" s="165"/>
      <c r="B445" s="48"/>
      <c r="C445" s="62"/>
      <c r="D445" s="63"/>
      <c r="E445" s="63"/>
      <c r="F445" s="64"/>
      <c r="G445" s="58" t="s">
        <v>2484</v>
      </c>
      <c r="H445" s="52" t="s">
        <v>2485</v>
      </c>
      <c r="I445" s="52" t="s">
        <v>2473</v>
      </c>
      <c r="J445" s="52" t="str">
        <f>I445</f>
        <v>8 Ruas</v>
      </c>
      <c r="K445" s="251">
        <f>4644120000+620000000</f>
        <v>5264120000</v>
      </c>
      <c r="L445" s="52" t="s">
        <v>2486</v>
      </c>
      <c r="M445" s="251">
        <v>6750000000</v>
      </c>
      <c r="N445" s="52" t="s">
        <v>2486</v>
      </c>
      <c r="O445" s="218">
        <v>7000000000</v>
      </c>
      <c r="P445" s="52" t="s">
        <v>2474</v>
      </c>
      <c r="Q445" s="251">
        <v>8000000000</v>
      </c>
      <c r="R445" s="52" t="s">
        <v>2474</v>
      </c>
      <c r="S445" s="251">
        <v>9000000000</v>
      </c>
      <c r="T445" s="52" t="s">
        <v>2474</v>
      </c>
      <c r="U445" s="251">
        <v>9000000000</v>
      </c>
      <c r="V445" s="52"/>
      <c r="W445" s="52"/>
      <c r="X445" s="52"/>
      <c r="Y445" s="165"/>
      <c r="Z445" s="165"/>
      <c r="AA445" s="165"/>
      <c r="AB445" s="165"/>
      <c r="AC445" s="165"/>
      <c r="AD445" s="165"/>
      <c r="AE445" s="165"/>
      <c r="AF445" s="165"/>
    </row>
    <row r="446" spans="1:32" ht="45" hidden="1">
      <c r="A446" s="165"/>
      <c r="B446" s="48"/>
      <c r="C446" s="62"/>
      <c r="D446" s="63"/>
      <c r="E446" s="63"/>
      <c r="F446" s="64"/>
      <c r="G446" s="58" t="s">
        <v>2487</v>
      </c>
      <c r="H446" s="52" t="s">
        <v>743</v>
      </c>
      <c r="I446" s="52" t="s">
        <v>2476</v>
      </c>
      <c r="J446" s="52" t="s">
        <v>2476</v>
      </c>
      <c r="K446" s="251">
        <v>2424650000</v>
      </c>
      <c r="L446" s="52" t="s">
        <v>2480</v>
      </c>
      <c r="M446" s="251">
        <v>2668967500</v>
      </c>
      <c r="N446" s="52" t="str">
        <f>L446</f>
        <v>7 Unit</v>
      </c>
      <c r="O446" s="251">
        <v>3000000000</v>
      </c>
      <c r="P446" s="52" t="s">
        <v>2488</v>
      </c>
      <c r="Q446" s="251">
        <v>3500000000</v>
      </c>
      <c r="R446" s="52" t="str">
        <f>P446</f>
        <v>9 unit</v>
      </c>
      <c r="S446" s="251">
        <v>4000000000</v>
      </c>
      <c r="T446" s="52" t="str">
        <f>R446</f>
        <v>9 unit</v>
      </c>
      <c r="U446" s="251">
        <v>4000000000</v>
      </c>
      <c r="V446" s="52"/>
      <c r="W446" s="52"/>
      <c r="X446" s="52"/>
      <c r="Y446" s="165"/>
      <c r="Z446" s="165"/>
      <c r="AA446" s="165"/>
      <c r="AB446" s="165"/>
      <c r="AC446" s="165"/>
      <c r="AD446" s="165"/>
      <c r="AE446" s="165"/>
      <c r="AF446" s="165"/>
    </row>
    <row r="447" spans="1:32" ht="45" hidden="1">
      <c r="A447" s="165"/>
      <c r="B447" s="48"/>
      <c r="C447" s="62"/>
      <c r="D447" s="63"/>
      <c r="E447" s="63"/>
      <c r="F447" s="64"/>
      <c r="G447" s="58" t="s">
        <v>2490</v>
      </c>
      <c r="H447" s="52" t="s">
        <v>2491</v>
      </c>
      <c r="I447" s="52" t="s">
        <v>2483</v>
      </c>
      <c r="J447" s="52" t="s">
        <v>2483</v>
      </c>
      <c r="K447" s="251">
        <v>16173105000</v>
      </c>
      <c r="L447" s="52" t="s">
        <v>2492</v>
      </c>
      <c r="M447" s="251">
        <v>12492192000</v>
      </c>
      <c r="N447" s="52" t="s">
        <v>2493</v>
      </c>
      <c r="O447" s="251">
        <v>12500000000</v>
      </c>
      <c r="P447" s="52" t="str">
        <f>N447</f>
        <v>25 ruas</v>
      </c>
      <c r="Q447" s="251">
        <f>1.2*O447</f>
        <v>15000000000</v>
      </c>
      <c r="R447" s="52" t="s">
        <v>2494</v>
      </c>
      <c r="S447" s="251">
        <v>15000000000</v>
      </c>
      <c r="T447" s="52" t="s">
        <v>2494</v>
      </c>
      <c r="U447" s="251">
        <v>15000000000</v>
      </c>
      <c r="V447" s="52"/>
      <c r="W447" s="52"/>
      <c r="X447" s="52"/>
      <c r="Y447" s="165"/>
      <c r="Z447" s="165"/>
      <c r="AA447" s="165"/>
      <c r="AB447" s="165"/>
      <c r="AC447" s="165"/>
      <c r="AD447" s="165"/>
      <c r="AE447" s="165"/>
      <c r="AF447" s="165"/>
    </row>
    <row r="448" spans="1:32" ht="60" hidden="1">
      <c r="A448" s="165"/>
      <c r="B448" s="48"/>
      <c r="C448" s="62"/>
      <c r="D448" s="63"/>
      <c r="E448" s="63"/>
      <c r="F448" s="64"/>
      <c r="G448" s="58" t="s">
        <v>2495</v>
      </c>
      <c r="H448" s="52" t="s">
        <v>743</v>
      </c>
      <c r="I448" s="52" t="s">
        <v>743</v>
      </c>
      <c r="J448" s="52" t="s">
        <v>743</v>
      </c>
      <c r="K448" s="237" t="s">
        <v>743</v>
      </c>
      <c r="L448" s="52" t="s">
        <v>2496</v>
      </c>
      <c r="M448" s="251">
        <v>99817500</v>
      </c>
      <c r="N448" s="52" t="s">
        <v>743</v>
      </c>
      <c r="O448" s="52" t="s">
        <v>743</v>
      </c>
      <c r="P448" s="52" t="s">
        <v>743</v>
      </c>
      <c r="Q448" s="52" t="s">
        <v>743</v>
      </c>
      <c r="R448" s="52" t="s">
        <v>743</v>
      </c>
      <c r="S448" s="52" t="s">
        <v>743</v>
      </c>
      <c r="T448" s="52" t="s">
        <v>743</v>
      </c>
      <c r="U448" s="52" t="s">
        <v>743</v>
      </c>
      <c r="V448" s="52"/>
      <c r="W448" s="52"/>
      <c r="X448" s="52"/>
      <c r="Y448" s="165"/>
      <c r="Z448" s="165"/>
      <c r="AA448" s="165"/>
      <c r="AB448" s="165"/>
      <c r="AC448" s="165"/>
      <c r="AD448" s="165"/>
      <c r="AE448" s="165"/>
      <c r="AF448" s="165"/>
    </row>
    <row r="449" spans="1:32" ht="75" hidden="1">
      <c r="A449" s="165"/>
      <c r="B449" s="48"/>
      <c r="C449" s="62">
        <v>1.03</v>
      </c>
      <c r="D449" s="63" t="s">
        <v>773</v>
      </c>
      <c r="E449" s="63">
        <v>16</v>
      </c>
      <c r="F449" s="431" t="s">
        <v>2498</v>
      </c>
      <c r="G449" s="58"/>
      <c r="H449" s="52"/>
      <c r="I449" s="52"/>
      <c r="J449" s="52"/>
      <c r="K449" s="52"/>
      <c r="L449" s="52"/>
      <c r="M449" s="52"/>
      <c r="N449" s="52"/>
      <c r="O449" s="52"/>
      <c r="P449" s="52"/>
      <c r="Q449" s="52"/>
      <c r="R449" s="52"/>
      <c r="S449" s="52"/>
      <c r="T449" s="52"/>
      <c r="U449" s="52"/>
      <c r="V449" s="52"/>
      <c r="W449" s="52"/>
      <c r="X449" s="52"/>
      <c r="Y449" s="165"/>
      <c r="Z449" s="165"/>
      <c r="AA449" s="165"/>
      <c r="AB449" s="165"/>
      <c r="AC449" s="165"/>
      <c r="AD449" s="165"/>
      <c r="AE449" s="165"/>
      <c r="AF449" s="165"/>
    </row>
    <row r="450" spans="1:32" ht="75" hidden="1">
      <c r="A450" s="165"/>
      <c r="B450" s="48"/>
      <c r="C450" s="62"/>
      <c r="D450" s="63"/>
      <c r="E450" s="63"/>
      <c r="F450" s="64"/>
      <c r="G450" s="58" t="s">
        <v>2499</v>
      </c>
      <c r="H450" s="52" t="s">
        <v>743</v>
      </c>
      <c r="I450" s="52" t="s">
        <v>2500</v>
      </c>
      <c r="J450" s="52" t="str">
        <f>I450</f>
        <v>1039 m</v>
      </c>
      <c r="K450" s="251">
        <v>500000000</v>
      </c>
      <c r="L450" s="52" t="s">
        <v>2501</v>
      </c>
      <c r="M450" s="251">
        <v>997662500</v>
      </c>
      <c r="N450" s="52" t="str">
        <f>L450</f>
        <v>5 lokasi</v>
      </c>
      <c r="O450" s="251">
        <v>2810000000</v>
      </c>
      <c r="P450" s="52" t="str">
        <f>N450</f>
        <v>5 lokasi</v>
      </c>
      <c r="Q450" s="251">
        <v>2210000000</v>
      </c>
      <c r="R450" s="52" t="str">
        <f>P450</f>
        <v>5 lokasi</v>
      </c>
      <c r="S450" s="251">
        <v>2210000000</v>
      </c>
      <c r="T450" s="52" t="str">
        <f>R450</f>
        <v>5 lokasi</v>
      </c>
      <c r="U450" s="251">
        <v>2210000000</v>
      </c>
      <c r="V450" s="52"/>
      <c r="W450" s="52"/>
      <c r="X450" s="52"/>
      <c r="Y450" s="165"/>
      <c r="Z450" s="165"/>
      <c r="AA450" s="165"/>
      <c r="AB450" s="165"/>
      <c r="AC450" s="165"/>
      <c r="AD450" s="165"/>
      <c r="AE450" s="165"/>
      <c r="AF450" s="165"/>
    </row>
    <row r="451" spans="1:32" ht="45" hidden="1">
      <c r="A451" s="165"/>
      <c r="B451" s="48"/>
      <c r="C451" s="62"/>
      <c r="D451" s="63"/>
      <c r="E451" s="63"/>
      <c r="F451" s="64"/>
      <c r="G451" s="58" t="s">
        <v>2502</v>
      </c>
      <c r="H451" s="52" t="s">
        <v>2503</v>
      </c>
      <c r="I451" s="52" t="s">
        <v>2503</v>
      </c>
      <c r="J451" s="52" t="str">
        <f>I451</f>
        <v>6 UPTD</v>
      </c>
      <c r="K451" s="251">
        <v>200000000</v>
      </c>
      <c r="L451" s="52" t="s">
        <v>2503</v>
      </c>
      <c r="M451" s="251">
        <v>300000000</v>
      </c>
      <c r="N451" s="52" t="str">
        <f>L451</f>
        <v>6 UPTD</v>
      </c>
      <c r="O451" s="218">
        <f>M451</f>
        <v>300000000</v>
      </c>
      <c r="P451" s="52" t="str">
        <f>N451</f>
        <v>6 UPTD</v>
      </c>
      <c r="Q451" s="251">
        <f>1.2*O451</f>
        <v>360000000</v>
      </c>
      <c r="R451" s="52" t="str">
        <f>P451</f>
        <v>6 UPTD</v>
      </c>
      <c r="S451" s="251">
        <f>1.2*Q451</f>
        <v>432000000</v>
      </c>
      <c r="T451" s="52" t="str">
        <f>R451</f>
        <v>6 UPTD</v>
      </c>
      <c r="U451" s="251">
        <f>1.2*S451</f>
        <v>518400000</v>
      </c>
      <c r="V451" s="52"/>
      <c r="W451" s="52"/>
      <c r="X451" s="52"/>
      <c r="Y451" s="165"/>
      <c r="Z451" s="165"/>
      <c r="AA451" s="165"/>
      <c r="AB451" s="165"/>
      <c r="AC451" s="165"/>
      <c r="AD451" s="165"/>
      <c r="AE451" s="165"/>
      <c r="AF451" s="165"/>
    </row>
    <row r="452" spans="1:32" hidden="1">
      <c r="A452" s="165"/>
      <c r="B452" s="48"/>
      <c r="C452" s="56" t="e">
        <f>#REF!</f>
        <v>#REF!</v>
      </c>
      <c r="D452" s="57" t="e">
        <f>#REF!</f>
        <v>#REF!</v>
      </c>
      <c r="E452" s="57" t="e">
        <f>#REF!</f>
        <v>#REF!</v>
      </c>
      <c r="F452" s="58" t="e">
        <f>#REF!</f>
        <v>#REF!</v>
      </c>
      <c r="G452" s="58"/>
      <c r="H452" s="52"/>
      <c r="I452" s="52"/>
      <c r="J452" s="52"/>
      <c r="K452" s="52"/>
      <c r="L452" s="52"/>
      <c r="M452" s="52"/>
      <c r="N452" s="52"/>
      <c r="O452" s="52"/>
      <c r="P452" s="52"/>
      <c r="Q452" s="52"/>
      <c r="R452" s="52"/>
      <c r="S452" s="52"/>
      <c r="T452" s="52"/>
      <c r="U452" s="52"/>
      <c r="V452" s="52"/>
      <c r="W452" s="52"/>
      <c r="X452" s="52" t="e">
        <f>#REF!</f>
        <v>#REF!</v>
      </c>
      <c r="Y452" s="165"/>
      <c r="Z452" s="165"/>
      <c r="AA452" s="165"/>
      <c r="AB452" s="165"/>
      <c r="AC452" s="165"/>
      <c r="AD452" s="165"/>
      <c r="AE452" s="165"/>
      <c r="AF452" s="165"/>
    </row>
    <row r="453" spans="1:32" ht="45" hidden="1">
      <c r="A453" s="165"/>
      <c r="B453" s="48"/>
      <c r="C453" s="62"/>
      <c r="D453" s="63"/>
      <c r="E453" s="63"/>
      <c r="F453" s="64"/>
      <c r="G453" s="58" t="s">
        <v>2517</v>
      </c>
      <c r="H453" s="52" t="s">
        <v>2504</v>
      </c>
      <c r="I453" s="52" t="s">
        <v>2505</v>
      </c>
      <c r="J453" s="52" t="str">
        <f>I453</f>
        <v>2 lokasi</v>
      </c>
      <c r="K453" s="251">
        <v>590500000</v>
      </c>
      <c r="L453" s="52" t="s">
        <v>2506</v>
      </c>
      <c r="M453" s="251">
        <v>399989000</v>
      </c>
      <c r="N453" s="52" t="str">
        <f>L453</f>
        <v>3 Lokasi</v>
      </c>
      <c r="O453" s="229">
        <f>1.2*M453</f>
        <v>479986800</v>
      </c>
      <c r="P453" s="52" t="str">
        <f>N453</f>
        <v>3 Lokasi</v>
      </c>
      <c r="Q453" s="229">
        <f>1.2*O453</f>
        <v>575984160</v>
      </c>
      <c r="R453" s="52" t="str">
        <f>P453</f>
        <v>3 Lokasi</v>
      </c>
      <c r="S453" s="229">
        <f>1.2*Q453</f>
        <v>691180992</v>
      </c>
      <c r="T453" s="52" t="str">
        <f>R453</f>
        <v>3 Lokasi</v>
      </c>
      <c r="U453" s="229">
        <f>1.2*S453</f>
        <v>829417190.39999998</v>
      </c>
      <c r="V453" s="52"/>
      <c r="W453" s="52"/>
      <c r="X453" s="52"/>
      <c r="Y453" s="165"/>
      <c r="Z453" s="165"/>
      <c r="AA453" s="165"/>
      <c r="AB453" s="165"/>
      <c r="AC453" s="165"/>
      <c r="AD453" s="165"/>
      <c r="AE453" s="165"/>
      <c r="AF453" s="165"/>
    </row>
    <row r="454" spans="1:32" ht="45" hidden="1">
      <c r="A454" s="165"/>
      <c r="B454" s="48"/>
      <c r="C454" s="62"/>
      <c r="D454" s="63"/>
      <c r="E454" s="63"/>
      <c r="F454" s="64"/>
      <c r="G454" s="58" t="s">
        <v>2518</v>
      </c>
      <c r="H454" s="52" t="s">
        <v>2507</v>
      </c>
      <c r="I454" s="52" t="s">
        <v>2508</v>
      </c>
      <c r="J454" s="52" t="str">
        <f>I454</f>
        <v>5 Lokasi</v>
      </c>
      <c r="K454" s="251">
        <v>740000000</v>
      </c>
      <c r="L454" s="52" t="s">
        <v>2509</v>
      </c>
      <c r="M454" s="251">
        <v>1009040000</v>
      </c>
      <c r="N454" s="52" t="s">
        <v>2510</v>
      </c>
      <c r="O454" s="251">
        <v>1500000000</v>
      </c>
      <c r="P454" s="52" t="s">
        <v>2511</v>
      </c>
      <c r="Q454" s="251">
        <v>2000000000</v>
      </c>
      <c r="R454" s="52" t="s">
        <v>2512</v>
      </c>
      <c r="S454" s="251">
        <v>2000000000</v>
      </c>
      <c r="T454" s="52" t="s">
        <v>2512</v>
      </c>
      <c r="U454" s="251">
        <v>2000000000</v>
      </c>
      <c r="V454" s="52"/>
      <c r="W454" s="52"/>
      <c r="X454" s="52"/>
      <c r="Y454" s="165"/>
      <c r="Z454" s="165"/>
      <c r="AA454" s="165"/>
      <c r="AB454" s="165"/>
      <c r="AC454" s="165"/>
      <c r="AD454" s="165"/>
      <c r="AE454" s="165"/>
      <c r="AF454" s="165"/>
    </row>
    <row r="455" spans="1:32" hidden="1">
      <c r="A455" s="165"/>
      <c r="B455" s="48"/>
      <c r="C455" s="62" t="e">
        <f>#REF!</f>
        <v>#REF!</v>
      </c>
      <c r="D455" s="63" t="e">
        <f>#REF!</f>
        <v>#REF!</v>
      </c>
      <c r="E455" s="63" t="e">
        <f>#REF!</f>
        <v>#REF!</v>
      </c>
      <c r="F455" s="64" t="e">
        <f>#REF!</f>
        <v>#REF!</v>
      </c>
      <c r="G455" s="58"/>
      <c r="H455" s="52"/>
      <c r="I455" s="52"/>
      <c r="J455" s="52"/>
      <c r="K455" s="52"/>
      <c r="L455" s="52"/>
      <c r="M455" s="52"/>
      <c r="N455" s="52"/>
      <c r="O455" s="52"/>
      <c r="P455" s="52"/>
      <c r="Q455" s="52"/>
      <c r="R455" s="52"/>
      <c r="S455" s="52"/>
      <c r="T455" s="52"/>
      <c r="U455" s="52"/>
      <c r="V455" s="52"/>
      <c r="W455" s="52"/>
      <c r="X455" s="52" t="e">
        <f>#REF!</f>
        <v>#REF!</v>
      </c>
      <c r="Y455" s="165"/>
      <c r="Z455" s="165"/>
      <c r="AA455" s="165"/>
      <c r="AB455" s="165"/>
      <c r="AC455" s="165"/>
      <c r="AD455" s="165"/>
      <c r="AE455" s="165"/>
      <c r="AF455" s="165"/>
    </row>
    <row r="456" spans="1:32" ht="45" hidden="1">
      <c r="A456" s="165"/>
      <c r="B456" s="48"/>
      <c r="C456" s="62"/>
      <c r="D456" s="63"/>
      <c r="E456" s="63"/>
      <c r="F456" s="64"/>
      <c r="G456" s="58" t="s">
        <v>2519</v>
      </c>
      <c r="H456" s="52" t="s">
        <v>743</v>
      </c>
      <c r="I456" s="52" t="s">
        <v>2513</v>
      </c>
      <c r="J456" s="52" t="str">
        <f>I456</f>
        <v>1 Unit</v>
      </c>
      <c r="K456" s="251">
        <v>247990000</v>
      </c>
      <c r="L456" s="52" t="s">
        <v>2514</v>
      </c>
      <c r="M456" s="251">
        <v>1440520000</v>
      </c>
      <c r="N456" s="52" t="s">
        <v>2515</v>
      </c>
      <c r="O456" s="218">
        <v>875000000</v>
      </c>
      <c r="P456" s="52" t="str">
        <f>N456</f>
        <v>4 unit</v>
      </c>
      <c r="Q456" s="251">
        <f>1.2*O456</f>
        <v>1050000000</v>
      </c>
      <c r="R456" s="52" t="str">
        <f>P456</f>
        <v>4 unit</v>
      </c>
      <c r="S456" s="251">
        <f>1.2*Q456</f>
        <v>1260000000</v>
      </c>
      <c r="T456" s="52" t="str">
        <f>R456</f>
        <v>4 unit</v>
      </c>
      <c r="U456" s="251">
        <f>1.2*S456</f>
        <v>1512000000</v>
      </c>
      <c r="V456" s="52"/>
      <c r="W456" s="52"/>
      <c r="X456" s="52"/>
      <c r="Y456" s="165"/>
      <c r="Z456" s="165"/>
      <c r="AA456" s="165"/>
      <c r="AB456" s="165"/>
      <c r="AC456" s="165"/>
      <c r="AD456" s="165"/>
      <c r="AE456" s="165"/>
      <c r="AF456" s="165"/>
    </row>
    <row r="457" spans="1:32" ht="45" hidden="1">
      <c r="A457" s="165"/>
      <c r="B457" s="48"/>
      <c r="C457" s="62"/>
      <c r="D457" s="63"/>
      <c r="E457" s="63"/>
      <c r="F457" s="64"/>
      <c r="G457" s="58" t="s">
        <v>2484</v>
      </c>
      <c r="H457" s="52" t="s">
        <v>2516</v>
      </c>
      <c r="I457" s="52" t="str">
        <f>H457</f>
        <v>1 Kegiatan ( 6 UPTD)</v>
      </c>
      <c r="J457" s="52" t="str">
        <f>I457</f>
        <v>1 Kegiatan ( 6 UPTD)</v>
      </c>
      <c r="K457" s="251">
        <v>2498212500</v>
      </c>
      <c r="L457" s="52" t="str">
        <f>J457</f>
        <v>1 Kegiatan ( 6 UPTD)</v>
      </c>
      <c r="M457" s="251">
        <v>2484230000</v>
      </c>
      <c r="N457" s="52" t="str">
        <f>L457</f>
        <v>1 Kegiatan ( 6 UPTD)</v>
      </c>
      <c r="O457" s="218">
        <f>M457</f>
        <v>2484230000</v>
      </c>
      <c r="P457" s="52" t="str">
        <f>N457</f>
        <v>1 Kegiatan ( 6 UPTD)</v>
      </c>
      <c r="Q457" s="229">
        <f>1.2*O457</f>
        <v>2981076000</v>
      </c>
      <c r="R457" s="52" t="str">
        <f>P457</f>
        <v>1 Kegiatan ( 6 UPTD)</v>
      </c>
      <c r="S457" s="229">
        <f>1.2*Q457</f>
        <v>3577291200</v>
      </c>
      <c r="T457" s="52" t="str">
        <f>R457</f>
        <v>1 Kegiatan ( 6 UPTD)</v>
      </c>
      <c r="U457" s="229">
        <f>1.2*S457</f>
        <v>4292749440</v>
      </c>
      <c r="V457" s="52"/>
      <c r="W457" s="52"/>
      <c r="X457" s="52"/>
      <c r="Y457" s="165"/>
      <c r="Z457" s="165"/>
      <c r="AA457" s="165"/>
      <c r="AB457" s="165"/>
      <c r="AC457" s="165"/>
      <c r="AD457" s="165"/>
      <c r="AE457" s="165"/>
      <c r="AF457" s="165"/>
    </row>
    <row r="458" spans="1:32" s="165" customFormat="1" hidden="1">
      <c r="B458" s="48"/>
      <c r="C458" s="56" t="e">
        <f>#REF!</f>
        <v>#REF!</v>
      </c>
      <c r="D458" s="57" t="e">
        <f>#REF!</f>
        <v>#REF!</v>
      </c>
      <c r="E458" s="57" t="e">
        <f>#REF!</f>
        <v>#REF!</v>
      </c>
      <c r="F458" s="58" t="e">
        <f>#REF!</f>
        <v>#REF!</v>
      </c>
      <c r="G458" s="58"/>
      <c r="H458" s="52"/>
      <c r="I458" s="52"/>
      <c r="J458" s="52"/>
      <c r="K458" s="52"/>
      <c r="L458" s="52"/>
      <c r="M458" s="52"/>
      <c r="N458" s="52"/>
      <c r="O458" s="52"/>
      <c r="P458" s="52"/>
      <c r="Q458" s="52"/>
      <c r="R458" s="52"/>
      <c r="S458" s="52"/>
      <c r="T458" s="52"/>
      <c r="U458" s="52"/>
      <c r="V458" s="52"/>
      <c r="W458" s="52"/>
      <c r="X458" s="52" t="e">
        <f>#REF!</f>
        <v>#REF!</v>
      </c>
    </row>
    <row r="459" spans="1:32" s="165" customFormat="1" ht="60" hidden="1">
      <c r="B459" s="48"/>
      <c r="C459" s="56"/>
      <c r="D459" s="57"/>
      <c r="E459" s="57"/>
      <c r="F459" s="58"/>
      <c r="G459" s="58" t="s">
        <v>2520</v>
      </c>
      <c r="H459" s="52" t="s">
        <v>743</v>
      </c>
      <c r="I459" s="52" t="s">
        <v>2496</v>
      </c>
      <c r="J459" s="52" t="str">
        <f>I459</f>
        <v>1 Kegiatan</v>
      </c>
      <c r="K459" s="251">
        <v>70920000</v>
      </c>
      <c r="L459" s="52" t="s">
        <v>743</v>
      </c>
      <c r="M459" s="251" t="s">
        <v>743</v>
      </c>
      <c r="N459" s="52" t="s">
        <v>2521</v>
      </c>
      <c r="O459" s="251">
        <v>100000000</v>
      </c>
      <c r="P459" s="52" t="str">
        <f>N459</f>
        <v>1 kegiatan</v>
      </c>
      <c r="Q459" s="251">
        <v>150000000</v>
      </c>
      <c r="R459" s="52" t="s">
        <v>743</v>
      </c>
      <c r="S459" s="52" t="s">
        <v>743</v>
      </c>
      <c r="T459" s="52" t="s">
        <v>743</v>
      </c>
      <c r="U459" s="52" t="s">
        <v>743</v>
      </c>
      <c r="V459" s="52"/>
      <c r="W459" s="52"/>
      <c r="X459" s="52"/>
    </row>
    <row r="460" spans="1:32" s="165" customFormat="1" ht="60" hidden="1">
      <c r="B460" s="48"/>
      <c r="C460" s="56"/>
      <c r="D460" s="57"/>
      <c r="E460" s="57"/>
      <c r="F460" s="58"/>
      <c r="G460" s="58" t="s">
        <v>2588</v>
      </c>
      <c r="H460" s="52" t="s">
        <v>2496</v>
      </c>
      <c r="I460" s="52" t="str">
        <f>H460</f>
        <v>1 Kegiatan</v>
      </c>
      <c r="J460" s="52" t="str">
        <f>I460</f>
        <v>1 Kegiatan</v>
      </c>
      <c r="K460" s="251">
        <v>34000000</v>
      </c>
      <c r="L460" s="52" t="str">
        <f>J460</f>
        <v>1 Kegiatan</v>
      </c>
      <c r="M460" s="251">
        <v>41594500</v>
      </c>
      <c r="N460" s="52" t="str">
        <f t="shared" ref="N460:S460" si="15">L460</f>
        <v>1 Kegiatan</v>
      </c>
      <c r="O460" s="218">
        <f>M460</f>
        <v>41594500</v>
      </c>
      <c r="P460" s="52" t="str">
        <f t="shared" si="15"/>
        <v>1 Kegiatan</v>
      </c>
      <c r="Q460" s="218">
        <f t="shared" si="15"/>
        <v>41594500</v>
      </c>
      <c r="R460" s="52" t="str">
        <f t="shared" si="15"/>
        <v>1 Kegiatan</v>
      </c>
      <c r="S460" s="218">
        <f t="shared" si="15"/>
        <v>41594500</v>
      </c>
      <c r="T460" s="52" t="str">
        <f t="shared" ref="T460" si="16">R460</f>
        <v>1 Kegiatan</v>
      </c>
      <c r="U460" s="218">
        <f t="shared" ref="U460" si="17">S460</f>
        <v>41594500</v>
      </c>
      <c r="V460" s="52"/>
      <c r="W460" s="52"/>
      <c r="X460" s="52"/>
    </row>
    <row r="461" spans="1:32" hidden="1">
      <c r="A461" s="165"/>
      <c r="B461" s="48"/>
      <c r="C461" s="56" t="e">
        <f>#REF!</f>
        <v>#REF!</v>
      </c>
      <c r="D461" s="57" t="e">
        <f>#REF!</f>
        <v>#REF!</v>
      </c>
      <c r="E461" s="57" t="e">
        <f>#REF!</f>
        <v>#REF!</v>
      </c>
      <c r="F461" s="58" t="e">
        <f>#REF!</f>
        <v>#REF!</v>
      </c>
      <c r="G461" s="58"/>
      <c r="H461" s="52"/>
      <c r="I461" s="52"/>
      <c r="J461" s="52"/>
      <c r="K461" s="52"/>
      <c r="L461" s="52"/>
      <c r="M461" s="52"/>
      <c r="N461" s="52"/>
      <c r="O461" s="52"/>
      <c r="P461" s="52"/>
      <c r="Q461" s="52"/>
      <c r="R461" s="52"/>
      <c r="S461" s="52"/>
      <c r="T461" s="52"/>
      <c r="U461" s="52"/>
      <c r="V461" s="52"/>
      <c r="W461" s="52"/>
      <c r="X461" s="52" t="e">
        <f>#REF!</f>
        <v>#REF!</v>
      </c>
      <c r="Y461" s="165"/>
      <c r="Z461" s="165"/>
      <c r="AA461" s="165"/>
      <c r="AB461" s="165"/>
      <c r="AC461" s="165"/>
      <c r="AD461" s="165"/>
      <c r="AE461" s="165"/>
      <c r="AF461" s="165"/>
    </row>
    <row r="462" spans="1:32" ht="45" hidden="1">
      <c r="A462" s="165"/>
      <c r="B462" s="48"/>
      <c r="C462" s="56"/>
      <c r="D462" s="57"/>
      <c r="E462" s="57"/>
      <c r="F462" s="58"/>
      <c r="G462" s="58" t="s">
        <v>2522</v>
      </c>
      <c r="H462" s="52" t="s">
        <v>2496</v>
      </c>
      <c r="I462" s="52" t="str">
        <f>H462</f>
        <v>1 Kegiatan</v>
      </c>
      <c r="J462" s="52" t="str">
        <f>I462</f>
        <v>1 Kegiatan</v>
      </c>
      <c r="K462" s="251">
        <v>30000000</v>
      </c>
      <c r="L462" s="52" t="str">
        <f>J462</f>
        <v>1 Kegiatan</v>
      </c>
      <c r="M462" s="251">
        <v>49619500</v>
      </c>
      <c r="N462" s="52" t="str">
        <f>L462</f>
        <v>1 Kegiatan</v>
      </c>
      <c r="O462" s="251">
        <f>1.2*M462</f>
        <v>59543400</v>
      </c>
      <c r="P462" s="52" t="str">
        <f>N462</f>
        <v>1 Kegiatan</v>
      </c>
      <c r="Q462" s="251">
        <f>1.2*O462</f>
        <v>71452080</v>
      </c>
      <c r="R462" s="52" t="str">
        <f>P462</f>
        <v>1 Kegiatan</v>
      </c>
      <c r="S462" s="251">
        <f>1.2*Q462</f>
        <v>85742496</v>
      </c>
      <c r="T462" s="52" t="str">
        <f>R462</f>
        <v>1 Kegiatan</v>
      </c>
      <c r="U462" s="251">
        <f>1.2*S462</f>
        <v>102890995.2</v>
      </c>
      <c r="V462" s="52"/>
      <c r="W462" s="52"/>
      <c r="X462" s="52"/>
      <c r="Y462" s="165"/>
      <c r="Z462" s="165"/>
      <c r="AA462" s="165"/>
      <c r="AB462" s="165"/>
      <c r="AC462" s="165"/>
      <c r="AD462" s="165"/>
      <c r="AE462" s="165"/>
      <c r="AF462" s="165"/>
    </row>
    <row r="463" spans="1:32" ht="45" hidden="1">
      <c r="A463" s="165"/>
      <c r="B463" s="48"/>
      <c r="C463" s="56"/>
      <c r="D463" s="57"/>
      <c r="E463" s="57"/>
      <c r="F463" s="58"/>
      <c r="G463" s="58" t="s">
        <v>2523</v>
      </c>
      <c r="H463" s="52" t="str">
        <f>H462</f>
        <v>1 Kegiatan</v>
      </c>
      <c r="I463" s="52" t="str">
        <f>I462</f>
        <v>1 Kegiatan</v>
      </c>
      <c r="J463" s="52" t="str">
        <f>I463</f>
        <v>1 Kegiatan</v>
      </c>
      <c r="K463" s="237">
        <v>99313000</v>
      </c>
      <c r="L463" s="52" t="str">
        <f>J463</f>
        <v>1 Kegiatan</v>
      </c>
      <c r="M463" s="251">
        <v>79912500</v>
      </c>
      <c r="N463" s="52" t="str">
        <f>L463</f>
        <v>1 Kegiatan</v>
      </c>
      <c r="O463" s="229">
        <f>1.2*M463</f>
        <v>95895000</v>
      </c>
      <c r="P463" s="52" t="str">
        <f>N463</f>
        <v>1 Kegiatan</v>
      </c>
      <c r="Q463" s="229">
        <f>1.2*O463</f>
        <v>115074000</v>
      </c>
      <c r="R463" s="52" t="str">
        <f>P463</f>
        <v>1 Kegiatan</v>
      </c>
      <c r="S463" s="229">
        <f>1.2*Q463</f>
        <v>138088800</v>
      </c>
      <c r="T463" s="52" t="str">
        <f>R463</f>
        <v>1 Kegiatan</v>
      </c>
      <c r="U463" s="229">
        <f>1.2*S463</f>
        <v>165706560</v>
      </c>
      <c r="V463" s="52"/>
      <c r="W463" s="52"/>
      <c r="X463" s="52"/>
      <c r="Y463" s="165"/>
      <c r="Z463" s="165"/>
      <c r="AA463" s="165"/>
      <c r="AB463" s="165"/>
      <c r="AC463" s="165"/>
      <c r="AD463" s="165"/>
      <c r="AE463" s="165"/>
      <c r="AF463" s="165"/>
    </row>
    <row r="464" spans="1:32" ht="30" hidden="1">
      <c r="A464" s="165"/>
      <c r="B464" s="48"/>
      <c r="C464" s="56"/>
      <c r="D464" s="57"/>
      <c r="E464" s="57"/>
      <c r="F464" s="58"/>
      <c r="G464" s="58" t="s">
        <v>2524</v>
      </c>
      <c r="H464" s="52" t="s">
        <v>743</v>
      </c>
      <c r="I464" s="52" t="s">
        <v>743</v>
      </c>
      <c r="J464" s="52" t="s">
        <v>743</v>
      </c>
      <c r="K464" s="237" t="s">
        <v>743</v>
      </c>
      <c r="L464" s="52" t="str">
        <f>L463</f>
        <v>1 Kegiatan</v>
      </c>
      <c r="M464" s="251">
        <v>1599460000</v>
      </c>
      <c r="N464" s="237" t="str">
        <f>L464</f>
        <v>1 Kegiatan</v>
      </c>
      <c r="O464" s="237">
        <v>1650000000</v>
      </c>
      <c r="P464" s="237" t="s">
        <v>743</v>
      </c>
      <c r="Q464" s="237" t="s">
        <v>743</v>
      </c>
      <c r="R464" s="237" t="s">
        <v>743</v>
      </c>
      <c r="S464" s="237" t="s">
        <v>743</v>
      </c>
      <c r="T464" s="237" t="s">
        <v>743</v>
      </c>
      <c r="U464" s="237" t="s">
        <v>743</v>
      </c>
      <c r="V464" s="52"/>
      <c r="W464" s="52"/>
      <c r="X464" s="52"/>
      <c r="Y464" s="165"/>
      <c r="Z464" s="165"/>
      <c r="AA464" s="165"/>
      <c r="AB464" s="165"/>
      <c r="AC464" s="165"/>
      <c r="AD464" s="165"/>
      <c r="AE464" s="165"/>
      <c r="AF464" s="165"/>
    </row>
    <row r="465" spans="1:32" hidden="1">
      <c r="A465" s="165"/>
      <c r="B465" s="66"/>
      <c r="C465" s="56" t="e">
        <f>#REF!</f>
        <v>#REF!</v>
      </c>
      <c r="D465" s="57" t="e">
        <f>#REF!</f>
        <v>#REF!</v>
      </c>
      <c r="E465" s="57" t="e">
        <f>#REF!</f>
        <v>#REF!</v>
      </c>
      <c r="F465" s="58" t="e">
        <f>#REF!</f>
        <v>#REF!</v>
      </c>
      <c r="G465" s="58"/>
      <c r="H465" s="52"/>
      <c r="I465" s="52"/>
      <c r="J465" s="52"/>
      <c r="K465" s="52"/>
      <c r="L465" s="52"/>
      <c r="M465" s="52"/>
      <c r="N465" s="52"/>
      <c r="O465" s="52"/>
      <c r="P465" s="52"/>
      <c r="Q465" s="52"/>
      <c r="R465" s="52"/>
      <c r="S465" s="52"/>
      <c r="T465" s="52"/>
      <c r="U465" s="52"/>
      <c r="V465" s="52"/>
      <c r="W465" s="52"/>
      <c r="X465" s="52"/>
      <c r="Y465" s="165"/>
      <c r="Z465" s="165"/>
      <c r="AA465" s="165"/>
      <c r="AB465" s="165"/>
      <c r="AC465" s="165"/>
      <c r="AD465" s="165"/>
      <c r="AE465" s="165"/>
      <c r="AF465" s="165"/>
    </row>
    <row r="466" spans="1:32" ht="45" hidden="1">
      <c r="A466" s="165"/>
      <c r="B466" s="48"/>
      <c r="C466" s="56"/>
      <c r="D466" s="57"/>
      <c r="E466" s="57"/>
      <c r="F466" s="58"/>
      <c r="G466" s="58" t="s">
        <v>2525</v>
      </c>
      <c r="H466" s="52" t="s">
        <v>2526</v>
      </c>
      <c r="I466" s="52" t="s">
        <v>2527</v>
      </c>
      <c r="J466" s="52" t="str">
        <f>I466</f>
        <v>4 lokasi</v>
      </c>
      <c r="K466" s="251">
        <v>619983000</v>
      </c>
      <c r="L466" s="52" t="s">
        <v>743</v>
      </c>
      <c r="M466" s="237" t="s">
        <v>743</v>
      </c>
      <c r="N466" s="52" t="s">
        <v>2527</v>
      </c>
      <c r="O466" s="229">
        <v>743979600</v>
      </c>
      <c r="P466" s="52" t="s">
        <v>2527</v>
      </c>
      <c r="Q466" s="229">
        <v>892775520</v>
      </c>
      <c r="R466" s="52" t="s">
        <v>2527</v>
      </c>
      <c r="S466" s="229">
        <v>1071330624</v>
      </c>
      <c r="T466" s="52" t="s">
        <v>2527</v>
      </c>
      <c r="U466" s="229">
        <v>1071330624</v>
      </c>
      <c r="V466" s="52"/>
      <c r="W466" s="52"/>
      <c r="X466" s="52"/>
      <c r="Y466" s="165"/>
      <c r="Z466" s="165"/>
      <c r="AA466" s="165"/>
      <c r="AB466" s="165"/>
      <c r="AC466" s="165"/>
      <c r="AD466" s="165"/>
      <c r="AE466" s="165"/>
      <c r="AF466" s="165"/>
    </row>
    <row r="467" spans="1:32" ht="30" hidden="1">
      <c r="A467" s="165"/>
      <c r="B467" s="48"/>
      <c r="C467" s="56"/>
      <c r="D467" s="57"/>
      <c r="E467" s="57"/>
      <c r="F467" s="58"/>
      <c r="G467" s="58" t="s">
        <v>2528</v>
      </c>
      <c r="H467" s="52" t="s">
        <v>2511</v>
      </c>
      <c r="I467" s="52" t="s">
        <v>2529</v>
      </c>
      <c r="J467" s="52" t="str">
        <f>I467</f>
        <v>12 lokasi</v>
      </c>
      <c r="K467" s="251">
        <v>2754020000</v>
      </c>
      <c r="L467" s="52" t="s">
        <v>2530</v>
      </c>
      <c r="M467" s="251">
        <v>2700000000</v>
      </c>
      <c r="N467" s="52" t="str">
        <f>L467</f>
        <v>14 Lokasi</v>
      </c>
      <c r="O467" s="218">
        <f>M467</f>
        <v>2700000000</v>
      </c>
      <c r="P467" s="52" t="str">
        <f>N467</f>
        <v>14 Lokasi</v>
      </c>
      <c r="Q467" s="251">
        <f>1.2*O467</f>
        <v>3240000000</v>
      </c>
      <c r="R467" s="52" t="str">
        <f t="shared" ref="R467:R476" si="18">P467</f>
        <v>14 Lokasi</v>
      </c>
      <c r="S467" s="251">
        <f>1.2*Q467</f>
        <v>3888000000</v>
      </c>
      <c r="T467" s="52" t="str">
        <f t="shared" ref="T467:T476" si="19">R467</f>
        <v>14 Lokasi</v>
      </c>
      <c r="U467" s="251">
        <f>1.2*S467</f>
        <v>4665600000</v>
      </c>
      <c r="V467" s="52"/>
      <c r="W467" s="52"/>
      <c r="X467" s="52"/>
      <c r="Y467" s="165"/>
      <c r="Z467" s="165"/>
      <c r="AA467" s="165"/>
      <c r="AB467" s="165"/>
      <c r="AC467" s="165"/>
      <c r="AD467" s="165"/>
      <c r="AE467" s="165"/>
      <c r="AF467" s="165"/>
    </row>
    <row r="468" spans="1:32" ht="45" hidden="1">
      <c r="A468" s="165"/>
      <c r="B468" s="48"/>
      <c r="C468" s="56"/>
      <c r="D468" s="57"/>
      <c r="E468" s="57"/>
      <c r="F468" s="58"/>
      <c r="G468" s="58" t="s">
        <v>2531</v>
      </c>
      <c r="H468" s="52" t="s">
        <v>2532</v>
      </c>
      <c r="I468" s="52" t="str">
        <f>H468</f>
        <v>4 Lokasi</v>
      </c>
      <c r="J468" s="52" t="str">
        <f>I468</f>
        <v>4 Lokasi</v>
      </c>
      <c r="K468" s="251">
        <v>1105270000</v>
      </c>
      <c r="L468" s="52" t="s">
        <v>2533</v>
      </c>
      <c r="M468" s="251">
        <v>1000000000</v>
      </c>
      <c r="N468" s="52" t="str">
        <f>L468</f>
        <v>7 Lokasi</v>
      </c>
      <c r="O468" s="251">
        <f>1.2*M468</f>
        <v>1200000000</v>
      </c>
      <c r="P468" s="52" t="str">
        <f t="shared" ref="P468:P476" si="20">N468</f>
        <v>7 Lokasi</v>
      </c>
      <c r="Q468" s="251">
        <f>1.2*O468</f>
        <v>1440000000</v>
      </c>
      <c r="R468" s="52" t="str">
        <f t="shared" si="18"/>
        <v>7 Lokasi</v>
      </c>
      <c r="S468" s="251">
        <f>1.2*Q468</f>
        <v>1728000000</v>
      </c>
      <c r="T468" s="52" t="str">
        <f t="shared" si="19"/>
        <v>7 Lokasi</v>
      </c>
      <c r="U468" s="251">
        <f>1.2*S468</f>
        <v>2073600000</v>
      </c>
      <c r="V468" s="52"/>
      <c r="W468" s="52"/>
      <c r="X468" s="52"/>
      <c r="Y468" s="165"/>
      <c r="Z468" s="165"/>
      <c r="AA468" s="165"/>
      <c r="AB468" s="165"/>
      <c r="AC468" s="165"/>
      <c r="AD468" s="165"/>
      <c r="AE468" s="165"/>
      <c r="AF468" s="165"/>
    </row>
    <row r="469" spans="1:32" ht="45" hidden="1">
      <c r="A469" s="165"/>
      <c r="B469" s="48"/>
      <c r="C469" s="56"/>
      <c r="D469" s="57"/>
      <c r="E469" s="57"/>
      <c r="F469" s="58"/>
      <c r="G469" s="58" t="s">
        <v>2534</v>
      </c>
      <c r="H469" s="52" t="s">
        <v>2496</v>
      </c>
      <c r="I469" s="52" t="str">
        <f>H469</f>
        <v>1 Kegiatan</v>
      </c>
      <c r="J469" s="52" t="str">
        <f>I469</f>
        <v>1 Kegiatan</v>
      </c>
      <c r="K469" s="237">
        <v>98769400</v>
      </c>
      <c r="L469" s="52" t="str">
        <f>J469</f>
        <v>1 Kegiatan</v>
      </c>
      <c r="M469" s="251">
        <v>199865000</v>
      </c>
      <c r="N469" s="52" t="str">
        <f>L469</f>
        <v>1 Kegiatan</v>
      </c>
      <c r="O469" s="218">
        <f>M469</f>
        <v>199865000</v>
      </c>
      <c r="P469" s="52" t="str">
        <f t="shared" si="20"/>
        <v>1 Kegiatan</v>
      </c>
      <c r="Q469" s="218">
        <f>O469*1.2</f>
        <v>239838000</v>
      </c>
      <c r="R469" s="52" t="str">
        <f t="shared" si="18"/>
        <v>1 Kegiatan</v>
      </c>
      <c r="S469" s="218">
        <f>Q469*1.2</f>
        <v>287805600</v>
      </c>
      <c r="T469" s="52" t="str">
        <f t="shared" si="19"/>
        <v>1 Kegiatan</v>
      </c>
      <c r="U469" s="218">
        <f>S469*1.2</f>
        <v>345366720</v>
      </c>
      <c r="V469" s="52"/>
      <c r="W469" s="52"/>
      <c r="X469" s="52"/>
      <c r="Y469" s="165"/>
      <c r="Z469" s="165"/>
      <c r="AA469" s="165"/>
      <c r="AB469" s="165"/>
      <c r="AC469" s="165"/>
      <c r="AD469" s="165"/>
      <c r="AE469" s="165"/>
      <c r="AF469" s="165"/>
    </row>
    <row r="470" spans="1:32" ht="30" hidden="1">
      <c r="A470" s="165"/>
      <c r="B470" s="48"/>
      <c r="C470" s="56"/>
      <c r="D470" s="57"/>
      <c r="E470" s="57"/>
      <c r="F470" s="58"/>
      <c r="G470" s="58" t="s">
        <v>2535</v>
      </c>
      <c r="H470" s="52" t="s">
        <v>2496</v>
      </c>
      <c r="I470" s="52" t="str">
        <f>H470</f>
        <v>1 Kegiatan</v>
      </c>
      <c r="J470" s="52" t="s">
        <v>2536</v>
      </c>
      <c r="K470" s="251">
        <v>749204300</v>
      </c>
      <c r="L470" s="52" t="s">
        <v>2537</v>
      </c>
      <c r="M470" s="251">
        <v>1998482000</v>
      </c>
      <c r="N470" s="52" t="str">
        <f>L470</f>
        <v>6 lokasi</v>
      </c>
      <c r="O470" s="218">
        <f>M470</f>
        <v>1998482000</v>
      </c>
      <c r="P470" s="52" t="str">
        <f t="shared" si="20"/>
        <v>6 lokasi</v>
      </c>
      <c r="Q470" s="230">
        <f>1.2*O470</f>
        <v>2398178400</v>
      </c>
      <c r="R470" s="52" t="str">
        <f t="shared" si="18"/>
        <v>6 lokasi</v>
      </c>
      <c r="S470" s="230">
        <f>1.2*Q470</f>
        <v>2877814080</v>
      </c>
      <c r="T470" s="52" t="str">
        <f t="shared" si="19"/>
        <v>6 lokasi</v>
      </c>
      <c r="U470" s="230">
        <f>1.2*S470</f>
        <v>3453376896</v>
      </c>
      <c r="V470" s="52"/>
      <c r="W470" s="52"/>
      <c r="X470" s="52"/>
      <c r="Y470" s="165"/>
      <c r="Z470" s="165"/>
      <c r="AA470" s="165"/>
      <c r="AB470" s="165"/>
      <c r="AC470" s="165"/>
      <c r="AD470" s="165"/>
      <c r="AE470" s="165"/>
      <c r="AF470" s="165"/>
    </row>
    <row r="471" spans="1:32" ht="45" hidden="1">
      <c r="A471" s="165"/>
      <c r="B471" s="48"/>
      <c r="C471" s="56"/>
      <c r="D471" s="57"/>
      <c r="E471" s="57"/>
      <c r="F471" s="58"/>
      <c r="G471" s="58" t="s">
        <v>2538</v>
      </c>
      <c r="H471" s="52" t="s">
        <v>2496</v>
      </c>
      <c r="I471" s="52" t="str">
        <f>H471</f>
        <v>1 Kegiatan</v>
      </c>
      <c r="J471" s="52" t="str">
        <f>I471</f>
        <v>1 Kegiatan</v>
      </c>
      <c r="K471" s="237">
        <v>24487900</v>
      </c>
      <c r="L471" s="52" t="str">
        <f>J471</f>
        <v>1 Kegiatan</v>
      </c>
      <c r="M471" s="251">
        <v>49035000</v>
      </c>
      <c r="N471" s="52" t="str">
        <f>L471</f>
        <v>1 Kegiatan</v>
      </c>
      <c r="O471" s="218">
        <f>M471</f>
        <v>49035000</v>
      </c>
      <c r="P471" s="52" t="str">
        <f t="shared" si="20"/>
        <v>1 Kegiatan</v>
      </c>
      <c r="Q471" s="229">
        <f>1.2*O471</f>
        <v>58842000</v>
      </c>
      <c r="R471" s="52" t="str">
        <f t="shared" si="18"/>
        <v>1 Kegiatan</v>
      </c>
      <c r="S471" s="229">
        <f>1.2*Q471</f>
        <v>70610400</v>
      </c>
      <c r="T471" s="52" t="str">
        <f t="shared" si="19"/>
        <v>1 Kegiatan</v>
      </c>
      <c r="U471" s="229">
        <f>1.2*S471</f>
        <v>84732480</v>
      </c>
      <c r="V471" s="52"/>
      <c r="W471" s="52"/>
      <c r="X471" s="52"/>
      <c r="Y471" s="165"/>
      <c r="Z471" s="165"/>
      <c r="AA471" s="165"/>
      <c r="AB471" s="165"/>
      <c r="AC471" s="165"/>
      <c r="AD471" s="165"/>
      <c r="AE471" s="165"/>
      <c r="AF471" s="165"/>
    </row>
    <row r="472" spans="1:32" ht="30" hidden="1">
      <c r="A472" s="165"/>
      <c r="B472" s="48"/>
      <c r="C472" s="56"/>
      <c r="D472" s="57"/>
      <c r="E472" s="57"/>
      <c r="F472" s="58"/>
      <c r="G472" s="58" t="s">
        <v>2539</v>
      </c>
      <c r="H472" s="52" t="s">
        <v>2505</v>
      </c>
      <c r="I472" s="52" t="s">
        <v>2506</v>
      </c>
      <c r="J472" s="52" t="str">
        <f>I472</f>
        <v>3 Lokasi</v>
      </c>
      <c r="K472" s="251">
        <v>609091600</v>
      </c>
      <c r="L472" s="52" t="str">
        <f>J472</f>
        <v>3 Lokasi</v>
      </c>
      <c r="M472" s="251">
        <v>600000000</v>
      </c>
      <c r="N472" s="52" t="s">
        <v>2532</v>
      </c>
      <c r="O472" s="218">
        <f>M472</f>
        <v>600000000</v>
      </c>
      <c r="P472" s="52" t="str">
        <f t="shared" si="20"/>
        <v>4 Lokasi</v>
      </c>
      <c r="Q472" s="229">
        <f>1.2*O472</f>
        <v>720000000</v>
      </c>
      <c r="R472" s="52" t="str">
        <f t="shared" si="18"/>
        <v>4 Lokasi</v>
      </c>
      <c r="S472" s="229">
        <f>1.2*Q472</f>
        <v>864000000</v>
      </c>
      <c r="T472" s="52" t="str">
        <f t="shared" si="19"/>
        <v>4 Lokasi</v>
      </c>
      <c r="U472" s="229">
        <f>1.2*S472</f>
        <v>1036800000</v>
      </c>
      <c r="V472" s="52"/>
      <c r="W472" s="52"/>
      <c r="X472" s="52"/>
      <c r="Y472" s="165"/>
      <c r="Z472" s="165"/>
      <c r="AA472" s="165"/>
      <c r="AB472" s="165"/>
      <c r="AC472" s="165"/>
      <c r="AD472" s="165"/>
      <c r="AE472" s="165"/>
      <c r="AF472" s="165"/>
    </row>
    <row r="473" spans="1:32" ht="30" hidden="1">
      <c r="A473" s="165"/>
      <c r="B473" s="48"/>
      <c r="C473" s="56"/>
      <c r="D473" s="57"/>
      <c r="E473" s="57"/>
      <c r="F473" s="58"/>
      <c r="G473" s="58" t="s">
        <v>2540</v>
      </c>
      <c r="H473" s="52" t="s">
        <v>2511</v>
      </c>
      <c r="I473" s="52" t="s">
        <v>2529</v>
      </c>
      <c r="J473" s="52" t="str">
        <f>I473</f>
        <v>12 lokasi</v>
      </c>
      <c r="K473" s="251">
        <v>334259500</v>
      </c>
      <c r="L473" s="52" t="s">
        <v>2541</v>
      </c>
      <c r="M473" s="251">
        <v>314905000</v>
      </c>
      <c r="N473" s="52" t="str">
        <f>N467</f>
        <v>14 Lokasi</v>
      </c>
      <c r="O473" s="229">
        <f>M473</f>
        <v>314905000</v>
      </c>
      <c r="P473" s="52" t="str">
        <f t="shared" si="20"/>
        <v>14 Lokasi</v>
      </c>
      <c r="Q473" s="229">
        <f>1.2*O473</f>
        <v>377886000</v>
      </c>
      <c r="R473" s="52" t="str">
        <f t="shared" si="18"/>
        <v>14 Lokasi</v>
      </c>
      <c r="S473" s="229">
        <f>1.2*Q473</f>
        <v>453463200</v>
      </c>
      <c r="T473" s="52" t="str">
        <f t="shared" si="19"/>
        <v>14 Lokasi</v>
      </c>
      <c r="U473" s="229">
        <f>1.2*S473</f>
        <v>544155840</v>
      </c>
      <c r="V473" s="52"/>
      <c r="W473" s="52"/>
      <c r="X473" s="52"/>
      <c r="Y473" s="165"/>
      <c r="Z473" s="165"/>
      <c r="AA473" s="165"/>
      <c r="AB473" s="165"/>
      <c r="AC473" s="165"/>
      <c r="AD473" s="165"/>
      <c r="AE473" s="165"/>
      <c r="AF473" s="165"/>
    </row>
    <row r="474" spans="1:32" ht="45" hidden="1">
      <c r="A474" s="165"/>
      <c r="B474" s="48"/>
      <c r="C474" s="56"/>
      <c r="D474" s="57"/>
      <c r="E474" s="57"/>
      <c r="F474" s="58"/>
      <c r="G474" s="58" t="s">
        <v>2542</v>
      </c>
      <c r="H474" s="52" t="s">
        <v>743</v>
      </c>
      <c r="I474" s="52" t="s">
        <v>743</v>
      </c>
      <c r="J474" s="52" t="s">
        <v>743</v>
      </c>
      <c r="K474" s="52" t="s">
        <v>743</v>
      </c>
      <c r="L474" s="52" t="s">
        <v>2543</v>
      </c>
      <c r="M474" s="251">
        <v>2598220000</v>
      </c>
      <c r="N474" s="52" t="s">
        <v>2543</v>
      </c>
      <c r="O474" s="251">
        <v>2598220000</v>
      </c>
      <c r="P474" s="52" t="str">
        <f t="shared" si="20"/>
        <v>9 lokasi</v>
      </c>
      <c r="Q474" s="229">
        <f>1.1*O474</f>
        <v>2858042000</v>
      </c>
      <c r="R474" s="52" t="str">
        <f t="shared" si="18"/>
        <v>9 lokasi</v>
      </c>
      <c r="S474" s="229">
        <f>1.1*Q474</f>
        <v>3143846200.0000005</v>
      </c>
      <c r="T474" s="52" t="str">
        <f t="shared" si="19"/>
        <v>9 lokasi</v>
      </c>
      <c r="U474" s="229">
        <f>1.1*S474</f>
        <v>3458230820.000001</v>
      </c>
      <c r="V474" s="52"/>
      <c r="W474" s="52"/>
      <c r="X474" s="52"/>
      <c r="Y474" s="165"/>
      <c r="Z474" s="165"/>
      <c r="AA474" s="165"/>
      <c r="AB474" s="165"/>
      <c r="AC474" s="165"/>
      <c r="AD474" s="165"/>
      <c r="AE474" s="165"/>
      <c r="AF474" s="165"/>
    </row>
    <row r="475" spans="1:32" ht="45" hidden="1">
      <c r="A475" s="165"/>
      <c r="B475" s="48"/>
      <c r="C475" s="56"/>
      <c r="D475" s="57"/>
      <c r="E475" s="57"/>
      <c r="F475" s="58"/>
      <c r="G475" s="58" t="s">
        <v>2531</v>
      </c>
      <c r="H475" s="52" t="s">
        <v>2532</v>
      </c>
      <c r="I475" s="52" t="str">
        <f>H475</f>
        <v>4 Lokasi</v>
      </c>
      <c r="J475" s="52" t="str">
        <f>I475</f>
        <v>4 Lokasi</v>
      </c>
      <c r="K475" s="251">
        <v>143112200</v>
      </c>
      <c r="L475" s="52" t="s">
        <v>2533</v>
      </c>
      <c r="M475" s="251">
        <v>125695200</v>
      </c>
      <c r="N475" s="52" t="str">
        <f>L475</f>
        <v>7 Lokasi</v>
      </c>
      <c r="O475" s="218">
        <f>M475</f>
        <v>125695200</v>
      </c>
      <c r="P475" s="52" t="str">
        <f t="shared" si="20"/>
        <v>7 Lokasi</v>
      </c>
      <c r="Q475" s="229">
        <f>1.2*O475</f>
        <v>150834240</v>
      </c>
      <c r="R475" s="52" t="str">
        <f t="shared" si="18"/>
        <v>7 Lokasi</v>
      </c>
      <c r="S475" s="229">
        <f>1.2*Q475</f>
        <v>181001088</v>
      </c>
      <c r="T475" s="52" t="str">
        <f t="shared" si="19"/>
        <v>7 Lokasi</v>
      </c>
      <c r="U475" s="229">
        <f>1.2*S475</f>
        <v>217201305.59999999</v>
      </c>
      <c r="V475" s="52"/>
      <c r="W475" s="52"/>
      <c r="X475" s="52"/>
      <c r="Y475" s="165"/>
      <c r="Z475" s="165"/>
      <c r="AA475" s="165"/>
      <c r="AB475" s="165"/>
      <c r="AC475" s="165"/>
      <c r="AD475" s="165"/>
      <c r="AE475" s="165"/>
      <c r="AF475" s="165"/>
    </row>
    <row r="476" spans="1:32" ht="30" hidden="1">
      <c r="A476" s="165"/>
      <c r="B476" s="48"/>
      <c r="C476" s="48"/>
      <c r="D476" s="49"/>
      <c r="E476" s="49"/>
      <c r="F476" s="50"/>
      <c r="G476" s="58" t="s">
        <v>2528</v>
      </c>
      <c r="H476" s="52" t="s">
        <v>2544</v>
      </c>
      <c r="I476" s="52" t="s">
        <v>2506</v>
      </c>
      <c r="J476" s="52" t="s">
        <v>2506</v>
      </c>
      <c r="K476" s="251">
        <v>550850000</v>
      </c>
      <c r="L476" s="52" t="s">
        <v>2527</v>
      </c>
      <c r="M476" s="251">
        <v>450750000</v>
      </c>
      <c r="N476" s="52" t="str">
        <f>L476</f>
        <v>4 lokasi</v>
      </c>
      <c r="O476" s="218">
        <f>M476</f>
        <v>450750000</v>
      </c>
      <c r="P476" s="52" t="str">
        <f t="shared" si="20"/>
        <v>4 lokasi</v>
      </c>
      <c r="Q476" s="229">
        <f>1.2*O476</f>
        <v>540900000</v>
      </c>
      <c r="R476" s="52" t="str">
        <f t="shared" si="18"/>
        <v>4 lokasi</v>
      </c>
      <c r="S476" s="229">
        <f>1.2*Q476</f>
        <v>649080000</v>
      </c>
      <c r="T476" s="52" t="str">
        <f t="shared" si="19"/>
        <v>4 lokasi</v>
      </c>
      <c r="U476" s="229">
        <f>1.2*S476</f>
        <v>778896000</v>
      </c>
      <c r="V476" s="52"/>
      <c r="W476" s="52"/>
      <c r="X476" s="52"/>
      <c r="Y476" s="165"/>
      <c r="Z476" s="165"/>
      <c r="AA476" s="165"/>
      <c r="AB476" s="165"/>
      <c r="AC476" s="165"/>
      <c r="AD476" s="165"/>
      <c r="AE476" s="165"/>
      <c r="AF476" s="165"/>
    </row>
    <row r="477" spans="1:32" ht="60" hidden="1">
      <c r="A477" s="165"/>
      <c r="B477" s="48"/>
      <c r="C477" s="56"/>
      <c r="D477" s="57"/>
      <c r="E477" s="57"/>
      <c r="F477" s="58"/>
      <c r="G477" s="58" t="s">
        <v>2545</v>
      </c>
      <c r="H477" s="52" t="s">
        <v>2546</v>
      </c>
      <c r="I477" s="52" t="s">
        <v>743</v>
      </c>
      <c r="J477" s="52" t="s">
        <v>743</v>
      </c>
      <c r="K477" s="237" t="s">
        <v>743</v>
      </c>
      <c r="L477" s="237" t="s">
        <v>743</v>
      </c>
      <c r="M477" s="237" t="s">
        <v>743</v>
      </c>
      <c r="N477" s="52" t="s">
        <v>2547</v>
      </c>
      <c r="O477" s="218">
        <v>3098000000</v>
      </c>
      <c r="P477" s="52" t="s">
        <v>2547</v>
      </c>
      <c r="Q477" s="229">
        <v>3717600000</v>
      </c>
      <c r="R477" s="52" t="s">
        <v>2547</v>
      </c>
      <c r="S477" s="229">
        <v>4461120000</v>
      </c>
      <c r="T477" s="52" t="s">
        <v>2547</v>
      </c>
      <c r="U477" s="229">
        <v>4461120000</v>
      </c>
      <c r="V477" s="52"/>
      <c r="W477" s="52"/>
      <c r="X477" s="52"/>
      <c r="Y477" s="165"/>
      <c r="Z477" s="165"/>
      <c r="AA477" s="165"/>
      <c r="AB477" s="165"/>
      <c r="AC477" s="165"/>
      <c r="AD477" s="165"/>
      <c r="AE477" s="165"/>
      <c r="AF477" s="165"/>
    </row>
    <row r="478" spans="1:32" ht="45" hidden="1">
      <c r="A478" s="165"/>
      <c r="B478" s="48"/>
      <c r="C478" s="56"/>
      <c r="D478" s="57"/>
      <c r="E478" s="57"/>
      <c r="F478" s="58"/>
      <c r="G478" s="58" t="s">
        <v>2548</v>
      </c>
      <c r="H478" s="52" t="s">
        <v>2504</v>
      </c>
      <c r="I478" s="52" t="s">
        <v>743</v>
      </c>
      <c r="J478" s="52" t="s">
        <v>743</v>
      </c>
      <c r="K478" s="237" t="s">
        <v>743</v>
      </c>
      <c r="L478" s="237" t="s">
        <v>743</v>
      </c>
      <c r="M478" s="237" t="s">
        <v>743</v>
      </c>
      <c r="N478" s="52" t="s">
        <v>2504</v>
      </c>
      <c r="O478" s="218">
        <v>187080100</v>
      </c>
      <c r="P478" s="52" t="s">
        <v>2504</v>
      </c>
      <c r="Q478" s="218">
        <v>187080100</v>
      </c>
      <c r="R478" s="52" t="s">
        <v>2504</v>
      </c>
      <c r="S478" s="218">
        <v>187080100</v>
      </c>
      <c r="T478" s="52" t="s">
        <v>2504</v>
      </c>
      <c r="U478" s="218">
        <v>187080100</v>
      </c>
      <c r="V478" s="52"/>
      <c r="W478" s="52"/>
      <c r="X478" s="52"/>
      <c r="Y478" s="165"/>
      <c r="Z478" s="165"/>
      <c r="AA478" s="165"/>
      <c r="AB478" s="165"/>
      <c r="AC478" s="165"/>
      <c r="AD478" s="165"/>
      <c r="AE478" s="165"/>
      <c r="AF478" s="165"/>
    </row>
    <row r="479" spans="1:32" hidden="1">
      <c r="A479" s="165"/>
      <c r="B479" s="48"/>
      <c r="C479" s="56" t="e">
        <f>#REF!</f>
        <v>#REF!</v>
      </c>
      <c r="D479" s="57" t="e">
        <f>#REF!</f>
        <v>#REF!</v>
      </c>
      <c r="E479" s="57" t="e">
        <f>#REF!</f>
        <v>#REF!</v>
      </c>
      <c r="F479" s="58" t="e">
        <f>#REF!</f>
        <v>#REF!</v>
      </c>
      <c r="G479" s="58"/>
      <c r="H479" s="52"/>
      <c r="I479" s="52"/>
      <c r="J479" s="52"/>
      <c r="K479" s="52"/>
      <c r="L479" s="52"/>
      <c r="M479" s="52"/>
      <c r="N479" s="52"/>
      <c r="O479" s="52"/>
      <c r="P479" s="52"/>
      <c r="Q479" s="52"/>
      <c r="R479" s="52"/>
      <c r="S479" s="52"/>
      <c r="T479" s="52"/>
      <c r="U479" s="52"/>
      <c r="V479" s="52"/>
      <c r="W479" s="52"/>
      <c r="X479" s="52"/>
      <c r="Y479" s="165"/>
      <c r="Z479" s="165"/>
      <c r="AA479" s="165"/>
      <c r="AB479" s="165"/>
      <c r="AC479" s="165"/>
      <c r="AD479" s="165"/>
      <c r="AE479" s="165"/>
      <c r="AF479" s="165"/>
    </row>
    <row r="480" spans="1:32" ht="45" hidden="1">
      <c r="A480" s="165"/>
      <c r="B480" s="48"/>
      <c r="C480" s="56"/>
      <c r="D480" s="57"/>
      <c r="E480" s="57"/>
      <c r="F480" s="58"/>
      <c r="G480" s="58" t="s">
        <v>2549</v>
      </c>
      <c r="H480" s="52" t="s">
        <v>743</v>
      </c>
      <c r="I480" s="52" t="s">
        <v>743</v>
      </c>
      <c r="J480" s="52" t="s">
        <v>743</v>
      </c>
      <c r="K480" s="237" t="s">
        <v>743</v>
      </c>
      <c r="L480" s="52" t="s">
        <v>2496</v>
      </c>
      <c r="M480" s="251">
        <v>49515000</v>
      </c>
      <c r="N480" s="52" t="str">
        <f>L480</f>
        <v>1 Kegiatan</v>
      </c>
      <c r="O480" s="218">
        <f>M480</f>
        <v>49515000</v>
      </c>
      <c r="P480" s="52" t="str">
        <f>N480</f>
        <v>1 Kegiatan</v>
      </c>
      <c r="Q480" s="251">
        <f>1.2*O480</f>
        <v>59418000</v>
      </c>
      <c r="R480" s="52" t="str">
        <f>P480</f>
        <v>1 Kegiatan</v>
      </c>
      <c r="S480" s="251">
        <f>1.2*Q480</f>
        <v>71301600</v>
      </c>
      <c r="T480" s="52" t="str">
        <f>R480</f>
        <v>1 Kegiatan</v>
      </c>
      <c r="U480" s="251">
        <f>1.2*S480</f>
        <v>85561920</v>
      </c>
      <c r="V480" s="52"/>
      <c r="W480" s="52"/>
      <c r="X480" s="52"/>
      <c r="Y480" s="165"/>
      <c r="Z480" s="165"/>
      <c r="AA480" s="165"/>
      <c r="AB480" s="165"/>
      <c r="AC480" s="165"/>
      <c r="AD480" s="165"/>
      <c r="AE480" s="165"/>
      <c r="AF480" s="165"/>
    </row>
    <row r="481" spans="1:32" hidden="1">
      <c r="A481" s="165"/>
      <c r="B481" s="66"/>
      <c r="C481" s="56" t="e">
        <f>#REF!</f>
        <v>#REF!</v>
      </c>
      <c r="D481" s="57" t="e">
        <f>#REF!</f>
        <v>#REF!</v>
      </c>
      <c r="E481" s="57" t="e">
        <f>#REF!</f>
        <v>#REF!</v>
      </c>
      <c r="F481" s="58" t="e">
        <f>#REF!</f>
        <v>#REF!</v>
      </c>
      <c r="G481" s="58"/>
      <c r="H481" s="52"/>
      <c r="I481" s="52"/>
      <c r="J481" s="52"/>
      <c r="K481" s="52"/>
      <c r="L481" s="52"/>
      <c r="M481" s="52"/>
      <c r="N481" s="52"/>
      <c r="O481" s="52"/>
      <c r="P481" s="52"/>
      <c r="Q481" s="52"/>
      <c r="R481" s="52"/>
      <c r="S481" s="52"/>
      <c r="T481" s="52"/>
      <c r="U481" s="52"/>
      <c r="V481" s="52"/>
      <c r="W481" s="52"/>
      <c r="X481" s="52" t="e">
        <f>#REF!</f>
        <v>#REF!</v>
      </c>
      <c r="Y481" s="165"/>
      <c r="Z481" s="165"/>
      <c r="AA481" s="165"/>
      <c r="AB481" s="165"/>
      <c r="AC481" s="165"/>
      <c r="AD481" s="165"/>
      <c r="AE481" s="165"/>
      <c r="AF481" s="165"/>
    </row>
    <row r="482" spans="1:32" ht="45" hidden="1">
      <c r="A482" s="165"/>
      <c r="B482" s="48"/>
      <c r="C482" s="62"/>
      <c r="D482" s="63"/>
      <c r="E482" s="63"/>
      <c r="F482" s="64"/>
      <c r="G482" s="58" t="s">
        <v>2550</v>
      </c>
      <c r="H482" s="52" t="s">
        <v>743</v>
      </c>
      <c r="I482" s="52" t="s">
        <v>743</v>
      </c>
      <c r="J482" s="52" t="s">
        <v>743</v>
      </c>
      <c r="K482" s="237" t="s">
        <v>743</v>
      </c>
      <c r="L482" s="52" t="s">
        <v>2551</v>
      </c>
      <c r="M482" s="251">
        <v>1785434500</v>
      </c>
      <c r="N482" s="168" t="s">
        <v>2551</v>
      </c>
      <c r="O482" s="231">
        <v>1850000000</v>
      </c>
      <c r="P482" s="168" t="s">
        <v>2551</v>
      </c>
      <c r="Q482" s="231">
        <v>1900000000</v>
      </c>
      <c r="R482" s="52" t="s">
        <v>743</v>
      </c>
      <c r="S482" s="52" t="s">
        <v>743</v>
      </c>
      <c r="T482" s="52" t="s">
        <v>743</v>
      </c>
      <c r="U482" s="52" t="s">
        <v>743</v>
      </c>
      <c r="V482" s="52"/>
      <c r="W482" s="52"/>
      <c r="X482" s="52"/>
      <c r="Y482" s="165"/>
      <c r="Z482" s="165"/>
      <c r="AA482" s="165"/>
      <c r="AB482" s="165"/>
      <c r="AC482" s="165"/>
      <c r="AD482" s="165"/>
      <c r="AE482" s="165"/>
      <c r="AF482" s="165"/>
    </row>
    <row r="483" spans="1:32" ht="45" hidden="1">
      <c r="A483" s="165"/>
      <c r="B483" s="48"/>
      <c r="C483" s="62"/>
      <c r="D483" s="63"/>
      <c r="E483" s="63"/>
      <c r="F483" s="64"/>
      <c r="G483" s="58" t="s">
        <v>2552</v>
      </c>
      <c r="H483" s="52" t="s">
        <v>743</v>
      </c>
      <c r="I483" s="52" t="s">
        <v>743</v>
      </c>
      <c r="J483" s="52" t="s">
        <v>743</v>
      </c>
      <c r="K483" s="237" t="s">
        <v>743</v>
      </c>
      <c r="L483" s="52" t="s">
        <v>2551</v>
      </c>
      <c r="M483" s="251">
        <v>299711000</v>
      </c>
      <c r="N483" s="52" t="s">
        <v>743</v>
      </c>
      <c r="O483" s="52" t="s">
        <v>743</v>
      </c>
      <c r="P483" s="52" t="s">
        <v>743</v>
      </c>
      <c r="Q483" s="52" t="s">
        <v>743</v>
      </c>
      <c r="R483" s="52" t="s">
        <v>743</v>
      </c>
      <c r="S483" s="52" t="s">
        <v>743</v>
      </c>
      <c r="T483" s="52" t="s">
        <v>743</v>
      </c>
      <c r="U483" s="52" t="s">
        <v>743</v>
      </c>
      <c r="V483" s="52"/>
      <c r="W483" s="52"/>
      <c r="X483" s="52"/>
      <c r="Y483" s="165"/>
      <c r="Z483" s="165"/>
      <c r="AA483" s="165"/>
      <c r="AB483" s="165"/>
      <c r="AC483" s="165"/>
      <c r="AD483" s="165"/>
      <c r="AE483" s="165"/>
      <c r="AF483" s="165"/>
    </row>
    <row r="484" spans="1:32" ht="45" hidden="1">
      <c r="A484" s="165"/>
      <c r="B484" s="48"/>
      <c r="C484" s="62"/>
      <c r="D484" s="63"/>
      <c r="E484" s="63"/>
      <c r="F484" s="64"/>
      <c r="G484" s="58" t="s">
        <v>2553</v>
      </c>
      <c r="H484" s="52" t="s">
        <v>743</v>
      </c>
      <c r="I484" s="52" t="s">
        <v>743</v>
      </c>
      <c r="J484" s="52" t="s">
        <v>743</v>
      </c>
      <c r="K484" s="237" t="s">
        <v>743</v>
      </c>
      <c r="L484" s="52" t="s">
        <v>2551</v>
      </c>
      <c r="M484" s="251">
        <v>399700000</v>
      </c>
      <c r="N484" s="52" t="s">
        <v>743</v>
      </c>
      <c r="O484" s="52" t="s">
        <v>743</v>
      </c>
      <c r="P484" s="52" t="s">
        <v>743</v>
      </c>
      <c r="Q484" s="52" t="s">
        <v>743</v>
      </c>
      <c r="R484" s="52" t="s">
        <v>743</v>
      </c>
      <c r="S484" s="52" t="s">
        <v>743</v>
      </c>
      <c r="T484" s="52" t="s">
        <v>743</v>
      </c>
      <c r="U484" s="52" t="s">
        <v>743</v>
      </c>
      <c r="V484" s="52"/>
      <c r="W484" s="52"/>
      <c r="X484" s="52"/>
      <c r="Y484" s="165"/>
      <c r="Z484" s="165"/>
      <c r="AA484" s="165"/>
      <c r="AB484" s="165"/>
      <c r="AC484" s="165"/>
      <c r="AD484" s="165"/>
      <c r="AE484" s="165"/>
      <c r="AF484" s="165"/>
    </row>
    <row r="485" spans="1:32" ht="45" hidden="1">
      <c r="A485" s="165"/>
      <c r="B485" s="48"/>
      <c r="C485" s="62"/>
      <c r="D485" s="63"/>
      <c r="E485" s="63"/>
      <c r="F485" s="64"/>
      <c r="G485" s="58" t="s">
        <v>2554</v>
      </c>
      <c r="H485" s="52" t="s">
        <v>2555</v>
      </c>
      <c r="I485" s="52" t="s">
        <v>2556</v>
      </c>
      <c r="J485" s="52" t="s">
        <v>2557</v>
      </c>
      <c r="K485" s="251">
        <v>141515400</v>
      </c>
      <c r="L485" s="52" t="s">
        <v>2558</v>
      </c>
      <c r="M485" s="251">
        <v>91442500</v>
      </c>
      <c r="N485" s="52" t="s">
        <v>2558</v>
      </c>
      <c r="O485" s="251">
        <v>100000000</v>
      </c>
      <c r="P485" s="52" t="s">
        <v>2558</v>
      </c>
      <c r="Q485" s="251">
        <v>100000000</v>
      </c>
      <c r="R485" s="52" t="s">
        <v>2558</v>
      </c>
      <c r="S485" s="251">
        <v>100000000</v>
      </c>
      <c r="T485" s="52" t="s">
        <v>2558</v>
      </c>
      <c r="U485" s="251">
        <v>100000000</v>
      </c>
      <c r="V485" s="52"/>
      <c r="W485" s="52"/>
      <c r="X485" s="52"/>
      <c r="Y485" s="165"/>
      <c r="Z485" s="165"/>
      <c r="AA485" s="165"/>
      <c r="AB485" s="165"/>
      <c r="AC485" s="165"/>
      <c r="AD485" s="165"/>
      <c r="AE485" s="165"/>
      <c r="AF485" s="165"/>
    </row>
    <row r="486" spans="1:32" ht="45" hidden="1">
      <c r="A486" s="165"/>
      <c r="B486" s="48"/>
      <c r="C486" s="62"/>
      <c r="D486" s="63"/>
      <c r="E486" s="63"/>
      <c r="F486" s="64"/>
      <c r="G486" s="58" t="s">
        <v>2559</v>
      </c>
      <c r="H486" s="52" t="s">
        <v>2560</v>
      </c>
      <c r="I486" s="52" t="s">
        <v>2561</v>
      </c>
      <c r="J486" s="52" t="str">
        <f>I486</f>
        <v>418 Desa</v>
      </c>
      <c r="K486" s="251">
        <v>73891500</v>
      </c>
      <c r="L486" s="52" t="s">
        <v>2562</v>
      </c>
      <c r="M486" s="251">
        <v>164245000</v>
      </c>
      <c r="N486" s="52" t="str">
        <f t="shared" ref="N486:P489" si="21">L486</f>
        <v>405 Desa</v>
      </c>
      <c r="O486" s="218">
        <f t="shared" si="21"/>
        <v>164245000</v>
      </c>
      <c r="P486" s="52" t="str">
        <f t="shared" si="21"/>
        <v>405 Desa</v>
      </c>
      <c r="Q486" s="251">
        <f>1.2*O486</f>
        <v>197094000</v>
      </c>
      <c r="R486" s="52" t="str">
        <f>P486</f>
        <v>405 Desa</v>
      </c>
      <c r="S486" s="251">
        <f>1.2*Q486</f>
        <v>236512800</v>
      </c>
      <c r="T486" s="52" t="str">
        <f>R486</f>
        <v>405 Desa</v>
      </c>
      <c r="U486" s="251">
        <f>1.2*S486</f>
        <v>283815360</v>
      </c>
      <c r="V486" s="52"/>
      <c r="W486" s="52"/>
      <c r="X486" s="52"/>
      <c r="Y486" s="165"/>
      <c r="Z486" s="165"/>
      <c r="AA486" s="165"/>
      <c r="AB486" s="165"/>
      <c r="AC486" s="165"/>
      <c r="AD486" s="165"/>
      <c r="AE486" s="165"/>
      <c r="AF486" s="165"/>
    </row>
    <row r="487" spans="1:32" ht="60" hidden="1">
      <c r="A487" s="165"/>
      <c r="B487" s="48"/>
      <c r="C487" s="62"/>
      <c r="D487" s="63"/>
      <c r="E487" s="63"/>
      <c r="F487" s="64"/>
      <c r="G487" s="58" t="s">
        <v>2563</v>
      </c>
      <c r="H487" s="52" t="s">
        <v>2496</v>
      </c>
      <c r="I487" s="52" t="str">
        <f>H487</f>
        <v>1 Kegiatan</v>
      </c>
      <c r="J487" s="52" t="str">
        <f>I487</f>
        <v>1 Kegiatan</v>
      </c>
      <c r="K487" s="251">
        <v>899250000</v>
      </c>
      <c r="L487" s="52" t="s">
        <v>2564</v>
      </c>
      <c r="M487" s="251">
        <v>595180000</v>
      </c>
      <c r="N487" s="52" t="str">
        <f t="shared" si="21"/>
        <v>3 kegitan (10 lokasi)</v>
      </c>
      <c r="O487" s="218">
        <f t="shared" si="21"/>
        <v>595180000</v>
      </c>
      <c r="P487" s="52" t="str">
        <f t="shared" si="21"/>
        <v>3 kegitan (10 lokasi)</v>
      </c>
      <c r="Q487" s="251">
        <f>1.2*O487</f>
        <v>714216000</v>
      </c>
      <c r="R487" s="52" t="str">
        <f>P487</f>
        <v>3 kegitan (10 lokasi)</v>
      </c>
      <c r="S487" s="251">
        <f>1.2*Q487</f>
        <v>857059200</v>
      </c>
      <c r="T487" s="52" t="str">
        <f>R487</f>
        <v>3 kegitan (10 lokasi)</v>
      </c>
      <c r="U487" s="251">
        <f>1.2*S487</f>
        <v>1028471040</v>
      </c>
      <c r="V487" s="52"/>
      <c r="W487" s="52"/>
      <c r="X487" s="52"/>
      <c r="Y487" s="165"/>
      <c r="Z487" s="165"/>
      <c r="AA487" s="165"/>
      <c r="AB487" s="165"/>
      <c r="AC487" s="165"/>
      <c r="AD487" s="165"/>
      <c r="AE487" s="165"/>
      <c r="AF487" s="165"/>
    </row>
    <row r="488" spans="1:32" ht="30" hidden="1">
      <c r="A488" s="165"/>
      <c r="B488" s="48"/>
      <c r="C488" s="62"/>
      <c r="D488" s="63"/>
      <c r="E488" s="63"/>
      <c r="F488" s="64"/>
      <c r="G488" s="58" t="s">
        <v>2565</v>
      </c>
      <c r="H488" s="52" t="s">
        <v>2496</v>
      </c>
      <c r="I488" s="52" t="str">
        <f>H488</f>
        <v>1 Kegiatan</v>
      </c>
      <c r="J488" s="52" t="str">
        <f>I488</f>
        <v>1 Kegiatan</v>
      </c>
      <c r="K488" s="251">
        <v>1000000000</v>
      </c>
      <c r="L488" s="52" t="str">
        <f>J488</f>
        <v>1 Kegiatan</v>
      </c>
      <c r="M488" s="251">
        <v>998930000</v>
      </c>
      <c r="N488" s="52" t="str">
        <f t="shared" si="21"/>
        <v>1 Kegiatan</v>
      </c>
      <c r="O488" s="218">
        <f t="shared" si="21"/>
        <v>998930000</v>
      </c>
      <c r="P488" s="52" t="str">
        <f t="shared" si="21"/>
        <v>1 Kegiatan</v>
      </c>
      <c r="Q488" s="251">
        <f>1.2*O488</f>
        <v>1198716000</v>
      </c>
      <c r="R488" s="52" t="str">
        <f>P488</f>
        <v>1 Kegiatan</v>
      </c>
      <c r="S488" s="251">
        <f>1.2*Q488</f>
        <v>1438459200</v>
      </c>
      <c r="T488" s="52" t="str">
        <f>R488</f>
        <v>1 Kegiatan</v>
      </c>
      <c r="U488" s="251">
        <f>1.2*S488</f>
        <v>1726151040</v>
      </c>
      <c r="V488" s="52"/>
      <c r="W488" s="52"/>
      <c r="X488" s="52"/>
      <c r="Y488" s="165"/>
      <c r="Z488" s="165"/>
      <c r="AA488" s="165"/>
      <c r="AB488" s="165"/>
      <c r="AC488" s="165"/>
      <c r="AD488" s="165"/>
      <c r="AE488" s="165"/>
      <c r="AF488" s="165"/>
    </row>
    <row r="489" spans="1:32" hidden="1">
      <c r="A489" s="165"/>
      <c r="B489" s="48"/>
      <c r="C489" s="62"/>
      <c r="D489" s="63"/>
      <c r="E489" s="63"/>
      <c r="F489" s="64"/>
      <c r="G489" s="58" t="s">
        <v>2566</v>
      </c>
      <c r="H489" s="52" t="s">
        <v>2496</v>
      </c>
      <c r="I489" s="52" t="str">
        <f>H489</f>
        <v>1 Kegiatan</v>
      </c>
      <c r="J489" s="52" t="str">
        <f>I489</f>
        <v>1 Kegiatan</v>
      </c>
      <c r="K489" s="251">
        <v>30000000</v>
      </c>
      <c r="L489" s="52" t="str">
        <f>J489</f>
        <v>1 Kegiatan</v>
      </c>
      <c r="M489" s="251">
        <f>K489</f>
        <v>30000000</v>
      </c>
      <c r="N489" s="52" t="str">
        <f t="shared" si="21"/>
        <v>1 Kegiatan</v>
      </c>
      <c r="O489" s="218">
        <f t="shared" si="21"/>
        <v>30000000</v>
      </c>
      <c r="P489" s="52" t="str">
        <f t="shared" si="21"/>
        <v>1 Kegiatan</v>
      </c>
      <c r="Q489" s="251">
        <f>O489*1.2</f>
        <v>36000000</v>
      </c>
      <c r="R489" s="52" t="str">
        <f>P489</f>
        <v>1 Kegiatan</v>
      </c>
      <c r="S489" s="251">
        <f>1.2*Q489</f>
        <v>43200000</v>
      </c>
      <c r="T489" s="52" t="str">
        <f>R489</f>
        <v>1 Kegiatan</v>
      </c>
      <c r="U489" s="251">
        <f>1.2*S489</f>
        <v>51840000</v>
      </c>
      <c r="V489" s="52"/>
      <c r="W489" s="52"/>
      <c r="X489" s="52"/>
      <c r="Y489" s="165"/>
      <c r="Z489" s="165"/>
      <c r="AA489" s="165"/>
      <c r="AB489" s="165"/>
      <c r="AC489" s="165"/>
      <c r="AD489" s="165"/>
      <c r="AE489" s="165"/>
      <c r="AF489" s="165"/>
    </row>
    <row r="490" spans="1:32" ht="75" hidden="1">
      <c r="A490" s="165"/>
      <c r="B490" s="48"/>
      <c r="C490" s="62"/>
      <c r="D490" s="63"/>
      <c r="E490" s="63"/>
      <c r="F490" s="64"/>
      <c r="G490" s="58" t="s">
        <v>2567</v>
      </c>
      <c r="H490" s="52" t="s">
        <v>2568</v>
      </c>
      <c r="I490" s="52" t="s">
        <v>743</v>
      </c>
      <c r="J490" s="52" t="s">
        <v>743</v>
      </c>
      <c r="K490" s="251" t="s">
        <v>743</v>
      </c>
      <c r="L490" s="52" t="s">
        <v>743</v>
      </c>
      <c r="M490" s="251" t="s">
        <v>743</v>
      </c>
      <c r="N490" s="251" t="s">
        <v>2568</v>
      </c>
      <c r="O490" s="251">
        <v>350000000</v>
      </c>
      <c r="P490" s="251" t="s">
        <v>2568</v>
      </c>
      <c r="Q490" s="251">
        <v>350000000</v>
      </c>
      <c r="R490" s="251" t="s">
        <v>2568</v>
      </c>
      <c r="S490" s="251">
        <v>350000000</v>
      </c>
      <c r="T490" s="251" t="s">
        <v>2568</v>
      </c>
      <c r="U490" s="251">
        <v>350000000</v>
      </c>
      <c r="V490" s="52"/>
      <c r="W490" s="52"/>
      <c r="X490" s="52"/>
      <c r="Y490" s="165"/>
      <c r="Z490" s="165"/>
      <c r="AA490" s="165"/>
      <c r="AB490" s="165"/>
      <c r="AC490" s="165"/>
      <c r="AD490" s="165"/>
      <c r="AE490" s="165"/>
      <c r="AF490" s="165"/>
    </row>
    <row r="491" spans="1:32" ht="30" hidden="1">
      <c r="A491" s="165"/>
      <c r="B491" s="48"/>
      <c r="C491" s="62"/>
      <c r="D491" s="63"/>
      <c r="E491" s="63"/>
      <c r="F491" s="64"/>
      <c r="G491" s="58" t="s">
        <v>2569</v>
      </c>
      <c r="H491" s="52" t="s">
        <v>743</v>
      </c>
      <c r="I491" s="52" t="s">
        <v>743</v>
      </c>
      <c r="J491" s="52" t="s">
        <v>743</v>
      </c>
      <c r="K491" s="251" t="s">
        <v>743</v>
      </c>
      <c r="L491" s="52" t="s">
        <v>2496</v>
      </c>
      <c r="M491" s="251">
        <v>30000000</v>
      </c>
      <c r="N491" s="52" t="s">
        <v>743</v>
      </c>
      <c r="O491" s="52" t="s">
        <v>743</v>
      </c>
      <c r="P491" s="52" t="s">
        <v>743</v>
      </c>
      <c r="Q491" s="52" t="s">
        <v>743</v>
      </c>
      <c r="R491" s="52" t="s">
        <v>743</v>
      </c>
      <c r="S491" s="52" t="s">
        <v>743</v>
      </c>
      <c r="T491" s="52" t="s">
        <v>743</v>
      </c>
      <c r="U491" s="52" t="s">
        <v>743</v>
      </c>
      <c r="V491" s="52"/>
      <c r="W491" s="52"/>
      <c r="X491" s="52"/>
      <c r="Y491" s="165"/>
      <c r="Z491" s="165"/>
      <c r="AA491" s="165"/>
      <c r="AB491" s="165"/>
      <c r="AC491" s="165"/>
      <c r="AD491" s="165"/>
      <c r="AE491" s="165"/>
      <c r="AF491" s="165"/>
    </row>
    <row r="492" spans="1:32" ht="45" hidden="1">
      <c r="A492" s="165"/>
      <c r="B492" s="48"/>
      <c r="C492" s="62"/>
      <c r="D492" s="63"/>
      <c r="E492" s="63"/>
      <c r="F492" s="64"/>
      <c r="G492" s="58" t="s">
        <v>2570</v>
      </c>
      <c r="H492" s="52" t="s">
        <v>743</v>
      </c>
      <c r="I492" s="52" t="s">
        <v>743</v>
      </c>
      <c r="J492" s="52" t="s">
        <v>743</v>
      </c>
      <c r="K492" s="251" t="s">
        <v>743</v>
      </c>
      <c r="L492" s="52" t="str">
        <f>L491</f>
        <v>1 Kegiatan</v>
      </c>
      <c r="M492" s="251">
        <v>500000000</v>
      </c>
      <c r="N492" s="52" t="s">
        <v>743</v>
      </c>
      <c r="O492" s="52" t="s">
        <v>743</v>
      </c>
      <c r="P492" s="52" t="s">
        <v>743</v>
      </c>
      <c r="Q492" s="52" t="s">
        <v>743</v>
      </c>
      <c r="R492" s="52" t="s">
        <v>743</v>
      </c>
      <c r="S492" s="52" t="s">
        <v>743</v>
      </c>
      <c r="T492" s="52" t="s">
        <v>743</v>
      </c>
      <c r="U492" s="52" t="s">
        <v>743</v>
      </c>
      <c r="V492" s="52"/>
      <c r="W492" s="52"/>
      <c r="X492" s="52"/>
      <c r="Y492" s="165"/>
      <c r="Z492" s="165"/>
      <c r="AA492" s="165"/>
      <c r="AB492" s="165"/>
      <c r="AC492" s="165"/>
      <c r="AD492" s="165"/>
      <c r="AE492" s="165"/>
      <c r="AF492" s="165"/>
    </row>
    <row r="493" spans="1:32" ht="30" hidden="1">
      <c r="A493" s="165"/>
      <c r="B493" s="48"/>
      <c r="C493" s="62"/>
      <c r="D493" s="63"/>
      <c r="E493" s="63"/>
      <c r="F493" s="64"/>
      <c r="G493" s="58" t="s">
        <v>2571</v>
      </c>
      <c r="H493" s="52" t="s">
        <v>2572</v>
      </c>
      <c r="I493" s="52" t="s">
        <v>2573</v>
      </c>
      <c r="J493" s="52" t="s">
        <v>2573</v>
      </c>
      <c r="K493" s="251">
        <v>2445000000</v>
      </c>
      <c r="L493" s="52" t="s">
        <v>2574</v>
      </c>
      <c r="M493" s="251">
        <v>2149514000</v>
      </c>
      <c r="N493" s="52" t="s">
        <v>2575</v>
      </c>
      <c r="O493" s="251">
        <v>1100000000</v>
      </c>
      <c r="P493" s="52" t="s">
        <v>2575</v>
      </c>
      <c r="Q493" s="251">
        <v>1100000000</v>
      </c>
      <c r="R493" s="52" t="s">
        <v>2575</v>
      </c>
      <c r="S493" s="251">
        <v>1100000000</v>
      </c>
      <c r="T493" s="52" t="s">
        <v>2575</v>
      </c>
      <c r="U493" s="251">
        <v>1100000000</v>
      </c>
      <c r="V493" s="52"/>
      <c r="W493" s="52"/>
      <c r="X493" s="52"/>
      <c r="Y493" s="165"/>
      <c r="Z493" s="165"/>
      <c r="AA493" s="165"/>
      <c r="AB493" s="165"/>
      <c r="AC493" s="165"/>
      <c r="AD493" s="165"/>
      <c r="AE493" s="165"/>
      <c r="AF493" s="165"/>
    </row>
    <row r="494" spans="1:32" ht="45" hidden="1">
      <c r="A494" s="165"/>
      <c r="B494" s="48"/>
      <c r="C494" s="62"/>
      <c r="D494" s="63"/>
      <c r="E494" s="63"/>
      <c r="F494" s="64"/>
      <c r="G494" s="58" t="s">
        <v>2576</v>
      </c>
      <c r="H494" s="52" t="s">
        <v>2503</v>
      </c>
      <c r="I494" s="52" t="s">
        <v>2503</v>
      </c>
      <c r="J494" s="52" t="s">
        <v>2503</v>
      </c>
      <c r="K494" s="251">
        <v>350000000</v>
      </c>
      <c r="L494" s="52" t="s">
        <v>2503</v>
      </c>
      <c r="M494" s="251">
        <v>399230000</v>
      </c>
      <c r="N494" s="52" t="s">
        <v>2503</v>
      </c>
      <c r="O494" s="251">
        <v>400000000</v>
      </c>
      <c r="P494" s="52" t="s">
        <v>2503</v>
      </c>
      <c r="Q494" s="251">
        <v>400000000</v>
      </c>
      <c r="R494" s="52" t="s">
        <v>2503</v>
      </c>
      <c r="S494" s="251">
        <v>400000000</v>
      </c>
      <c r="T494" s="52" t="s">
        <v>2503</v>
      </c>
      <c r="U494" s="251">
        <v>400000000</v>
      </c>
      <c r="V494" s="52"/>
      <c r="W494" s="52"/>
      <c r="X494" s="52"/>
      <c r="Y494" s="165"/>
      <c r="Z494" s="165"/>
      <c r="AA494" s="165"/>
      <c r="AB494" s="165"/>
      <c r="AC494" s="165"/>
      <c r="AD494" s="165"/>
      <c r="AE494" s="165"/>
      <c r="AF494" s="165"/>
    </row>
    <row r="495" spans="1:32" ht="60" hidden="1">
      <c r="A495" s="165"/>
      <c r="B495" s="48"/>
      <c r="C495" s="62"/>
      <c r="D495" s="63"/>
      <c r="E495" s="63"/>
      <c r="F495" s="64"/>
      <c r="G495" s="58" t="s">
        <v>2586</v>
      </c>
      <c r="H495" s="52" t="s">
        <v>2577</v>
      </c>
      <c r="I495" s="52" t="s">
        <v>2577</v>
      </c>
      <c r="J495" s="52" t="s">
        <v>2578</v>
      </c>
      <c r="K495" s="251">
        <v>202500000</v>
      </c>
      <c r="L495" s="52" t="s">
        <v>2577</v>
      </c>
      <c r="M495" s="251">
        <v>100000000</v>
      </c>
      <c r="N495" s="52" t="s">
        <v>2577</v>
      </c>
      <c r="O495" s="251">
        <v>202500000</v>
      </c>
      <c r="P495" s="52" t="s">
        <v>2577</v>
      </c>
      <c r="Q495" s="52">
        <v>202500000</v>
      </c>
      <c r="R495" s="52" t="s">
        <v>2577</v>
      </c>
      <c r="S495" s="251">
        <v>202500000</v>
      </c>
      <c r="T495" s="52" t="s">
        <v>2577</v>
      </c>
      <c r="U495" s="251">
        <v>202500000</v>
      </c>
      <c r="V495" s="52"/>
      <c r="W495" s="52"/>
      <c r="X495" s="52"/>
      <c r="Y495" s="165"/>
      <c r="Z495" s="165"/>
      <c r="AA495" s="165"/>
      <c r="AB495" s="165"/>
      <c r="AC495" s="165"/>
      <c r="AD495" s="165"/>
      <c r="AE495" s="165"/>
      <c r="AF495" s="165"/>
    </row>
    <row r="496" spans="1:32" ht="45" hidden="1">
      <c r="A496" s="165"/>
      <c r="B496" s="48"/>
      <c r="C496" s="48"/>
      <c r="D496" s="49"/>
      <c r="E496" s="49"/>
      <c r="F496" s="50"/>
      <c r="G496" s="58" t="s">
        <v>2587</v>
      </c>
      <c r="H496" s="52" t="s">
        <v>2579</v>
      </c>
      <c r="I496" s="52" t="s">
        <v>2580</v>
      </c>
      <c r="J496" s="52" t="str">
        <f>I496</f>
        <v>40 Rw/ Bank Sampah</v>
      </c>
      <c r="K496" s="251">
        <v>400000000</v>
      </c>
      <c r="L496" s="52" t="s">
        <v>2581</v>
      </c>
      <c r="M496" s="251">
        <v>398515000</v>
      </c>
      <c r="N496" s="52" t="s">
        <v>2582</v>
      </c>
      <c r="O496" s="218">
        <v>400000000</v>
      </c>
      <c r="P496" s="52" t="str">
        <f t="shared" ref="P496:U496" si="22">N496</f>
        <v>40 Bank Sampah</v>
      </c>
      <c r="Q496" s="218">
        <f t="shared" si="22"/>
        <v>400000000</v>
      </c>
      <c r="R496" s="52" t="str">
        <f t="shared" si="22"/>
        <v>40 Bank Sampah</v>
      </c>
      <c r="S496" s="218">
        <f t="shared" si="22"/>
        <v>400000000</v>
      </c>
      <c r="T496" s="52" t="str">
        <f t="shared" si="22"/>
        <v>40 Bank Sampah</v>
      </c>
      <c r="U496" s="218">
        <f t="shared" si="22"/>
        <v>400000000</v>
      </c>
      <c r="V496" s="52"/>
      <c r="W496" s="52"/>
      <c r="X496" s="52" t="e">
        <f>#REF!</f>
        <v>#REF!</v>
      </c>
      <c r="Y496" s="165"/>
      <c r="Z496" s="165"/>
      <c r="AA496" s="165"/>
      <c r="AB496" s="165"/>
      <c r="AC496" s="165"/>
      <c r="AD496" s="165"/>
      <c r="AE496" s="165"/>
      <c r="AF496" s="165"/>
    </row>
    <row r="497" spans="1:32" ht="120" hidden="1">
      <c r="A497" s="165"/>
      <c r="B497" s="48"/>
      <c r="C497" s="62"/>
      <c r="D497" s="63"/>
      <c r="E497" s="63"/>
      <c r="F497" s="64"/>
      <c r="G497" s="58"/>
      <c r="H497" s="52"/>
      <c r="I497" s="52"/>
      <c r="J497" s="52" t="s">
        <v>2583</v>
      </c>
      <c r="K497" s="251">
        <v>594245000</v>
      </c>
      <c r="L497" s="52"/>
      <c r="M497" s="251"/>
      <c r="N497" s="52" t="s">
        <v>2584</v>
      </c>
      <c r="O497" s="252">
        <v>600000000</v>
      </c>
      <c r="P497" s="52" t="s">
        <v>2585</v>
      </c>
      <c r="Q497" s="252">
        <v>600000000</v>
      </c>
      <c r="R497" s="52" t="str">
        <f>+P497</f>
        <v>70 Lingkungan</v>
      </c>
      <c r="S497" s="252">
        <v>600000000</v>
      </c>
      <c r="T497" s="52" t="str">
        <f>+R497</f>
        <v>70 Lingkungan</v>
      </c>
      <c r="U497" s="252">
        <v>600000000</v>
      </c>
      <c r="V497" s="52"/>
      <c r="W497" s="52"/>
      <c r="X497" s="52"/>
      <c r="Y497" s="165"/>
      <c r="Z497" s="165"/>
      <c r="AA497" s="165"/>
      <c r="AB497" s="165"/>
      <c r="AC497" s="165"/>
      <c r="AD497" s="165"/>
      <c r="AE497" s="165"/>
      <c r="AF497" s="165"/>
    </row>
    <row r="498" spans="1:32" hidden="1">
      <c r="A498" s="165"/>
      <c r="B498" s="48"/>
      <c r="C498" s="62" t="e">
        <f>#REF!</f>
        <v>#REF!</v>
      </c>
      <c r="D498" s="63" t="e">
        <f>#REF!</f>
        <v>#REF!</v>
      </c>
      <c r="E498" s="63"/>
      <c r="F498" s="64" t="e">
        <f>#REF!</f>
        <v>#REF!</v>
      </c>
      <c r="G498" s="58"/>
      <c r="H498" s="52"/>
      <c r="I498" s="52"/>
      <c r="J498" s="52"/>
      <c r="K498" s="52"/>
      <c r="L498" s="52"/>
      <c r="M498" s="52"/>
      <c r="N498" s="52"/>
      <c r="O498" s="52"/>
      <c r="P498" s="52"/>
      <c r="Q498" s="52"/>
      <c r="R498" s="52"/>
      <c r="S498" s="52"/>
      <c r="T498" s="52"/>
      <c r="U498" s="52"/>
      <c r="V498" s="52"/>
      <c r="W498" s="52"/>
      <c r="X498" s="52"/>
      <c r="Y498" s="165"/>
      <c r="Z498" s="165"/>
      <c r="AA498" s="165"/>
      <c r="AB498" s="165"/>
      <c r="AC498" s="165"/>
      <c r="AD498" s="165"/>
      <c r="AE498" s="165"/>
      <c r="AF498" s="165"/>
    </row>
    <row r="499" spans="1:32" ht="90" hidden="1">
      <c r="A499" s="165"/>
      <c r="B499" s="48"/>
      <c r="C499" s="62"/>
      <c r="D499" s="63"/>
      <c r="E499" s="63"/>
      <c r="F499" s="64"/>
      <c r="G499" s="58" t="s">
        <v>2497</v>
      </c>
      <c r="H499" s="52" t="s">
        <v>743</v>
      </c>
      <c r="I499" s="52" t="s">
        <v>743</v>
      </c>
      <c r="J499" s="52" t="s">
        <v>743</v>
      </c>
      <c r="K499" s="237" t="s">
        <v>743</v>
      </c>
      <c r="L499" s="52" t="str">
        <f>L448</f>
        <v>1 Kegiatan</v>
      </c>
      <c r="M499" s="251">
        <v>50000000</v>
      </c>
      <c r="N499" s="52" t="s">
        <v>743</v>
      </c>
      <c r="O499" s="52" t="s">
        <v>743</v>
      </c>
      <c r="P499" s="52" t="s">
        <v>743</v>
      </c>
      <c r="Q499" s="52" t="s">
        <v>743</v>
      </c>
      <c r="R499" s="52" t="s">
        <v>743</v>
      </c>
      <c r="S499" s="52" t="s">
        <v>743</v>
      </c>
      <c r="T499" s="52" t="s">
        <v>743</v>
      </c>
      <c r="U499" s="52" t="s">
        <v>743</v>
      </c>
      <c r="V499" s="52"/>
      <c r="W499" s="52"/>
      <c r="X499" s="52"/>
      <c r="Y499" s="165"/>
      <c r="Z499" s="165"/>
      <c r="AA499" s="165"/>
      <c r="AB499" s="165"/>
      <c r="AC499" s="165"/>
      <c r="AD499" s="165"/>
      <c r="AE499" s="165"/>
      <c r="AF499" s="165"/>
    </row>
    <row r="500" spans="1:32" s="276" customFormat="1" ht="30" hidden="1" customHeight="1">
      <c r="A500" s="283"/>
      <c r="B500" s="1103" t="s">
        <v>4236</v>
      </c>
      <c r="C500" s="1104"/>
      <c r="D500" s="1104"/>
      <c r="E500" s="1104"/>
      <c r="F500" s="1104"/>
      <c r="G500" s="1105"/>
      <c r="H500" s="274"/>
      <c r="I500" s="274"/>
      <c r="J500" s="274"/>
      <c r="K500" s="277">
        <f>SUM(K442:K499)</f>
        <v>57627298300</v>
      </c>
      <c r="L500" s="277"/>
      <c r="M500" s="277">
        <f t="shared" ref="M500:U500" si="23">SUM(M442:M499)</f>
        <v>72369064200</v>
      </c>
      <c r="N500" s="277"/>
      <c r="O500" s="277">
        <f t="shared" si="23"/>
        <v>80002631600</v>
      </c>
      <c r="P500" s="277"/>
      <c r="Q500" s="277">
        <f t="shared" si="23"/>
        <v>88635101000</v>
      </c>
      <c r="R500" s="277"/>
      <c r="S500" s="277">
        <f t="shared" si="23"/>
        <v>94462082080</v>
      </c>
      <c r="T500" s="277"/>
      <c r="U500" s="277">
        <f t="shared" si="23"/>
        <v>98742588831.199997</v>
      </c>
      <c r="V500" s="274"/>
      <c r="W500" s="274"/>
      <c r="X500" s="274"/>
      <c r="Y500" s="283"/>
      <c r="Z500" s="283"/>
      <c r="AA500" s="283"/>
      <c r="AB500" s="283"/>
      <c r="AC500" s="283"/>
      <c r="AD500" s="283"/>
      <c r="AE500" s="283"/>
      <c r="AF500" s="283"/>
    </row>
    <row r="501" spans="1:32" ht="30">
      <c r="A501" s="165">
        <v>1</v>
      </c>
      <c r="B501" s="59" t="s">
        <v>1047</v>
      </c>
      <c r="C501" s="56"/>
      <c r="D501" s="57"/>
      <c r="E501" s="57"/>
      <c r="F501" s="58"/>
      <c r="G501" s="58"/>
      <c r="H501" s="52"/>
      <c r="I501" s="52"/>
      <c r="J501" s="52"/>
      <c r="K501" s="52"/>
      <c r="L501" s="52"/>
      <c r="M501" s="52"/>
      <c r="N501" s="52"/>
      <c r="O501" s="52"/>
      <c r="P501" s="52"/>
      <c r="Q501" s="52"/>
      <c r="R501" s="52"/>
      <c r="S501" s="52"/>
      <c r="T501" s="52"/>
      <c r="U501" s="52"/>
      <c r="V501" s="52"/>
      <c r="W501" s="52"/>
      <c r="X501" s="52"/>
      <c r="Y501" s="165"/>
      <c r="Z501" s="165"/>
      <c r="AA501" s="165"/>
      <c r="AB501" s="165"/>
      <c r="AC501" s="165"/>
      <c r="AD501" s="165"/>
      <c r="AE501" s="165"/>
      <c r="AF501" s="165"/>
    </row>
    <row r="502" spans="1:32" hidden="1">
      <c r="A502" s="165"/>
      <c r="B502" s="48"/>
      <c r="C502" s="62" t="e">
        <f>#REF!</f>
        <v>#REF!</v>
      </c>
      <c r="D502" s="63" t="e">
        <f>#REF!</f>
        <v>#REF!</v>
      </c>
      <c r="E502" s="63" t="e">
        <f>#REF!</f>
        <v>#REF!</v>
      </c>
      <c r="F502" s="64" t="e">
        <f>#REF!</f>
        <v>#REF!</v>
      </c>
      <c r="G502" s="58"/>
      <c r="H502" s="52"/>
      <c r="I502" s="52"/>
      <c r="J502" s="52"/>
      <c r="K502" s="52"/>
      <c r="L502" s="52"/>
      <c r="M502" s="52"/>
      <c r="N502" s="52"/>
      <c r="O502" s="52"/>
      <c r="P502" s="52"/>
      <c r="Q502" s="52"/>
      <c r="R502" s="52"/>
      <c r="S502" s="52"/>
      <c r="T502" s="52"/>
      <c r="U502" s="52"/>
      <c r="V502" s="52"/>
      <c r="W502" s="52"/>
      <c r="X502" s="52" t="e">
        <f>#REF!</f>
        <v>#REF!</v>
      </c>
      <c r="Y502" s="165"/>
      <c r="Z502" s="165"/>
      <c r="AA502" s="165"/>
      <c r="AB502" s="165"/>
      <c r="AC502" s="165"/>
      <c r="AD502" s="165"/>
      <c r="AE502" s="165"/>
      <c r="AF502" s="165"/>
    </row>
    <row r="503" spans="1:32" ht="30" hidden="1">
      <c r="A503" s="165"/>
      <c r="B503" s="48"/>
      <c r="C503" s="62"/>
      <c r="D503" s="63"/>
      <c r="E503" s="63"/>
      <c r="F503" s="64"/>
      <c r="G503" s="58" t="s">
        <v>2589</v>
      </c>
      <c r="H503" s="52" t="s">
        <v>2590</v>
      </c>
      <c r="I503" s="52" t="s">
        <v>2591</v>
      </c>
      <c r="J503" s="52" t="s">
        <v>2591</v>
      </c>
      <c r="K503" s="251">
        <v>84893700</v>
      </c>
      <c r="L503" s="52" t="s">
        <v>2592</v>
      </c>
      <c r="M503" s="251">
        <v>89765000</v>
      </c>
      <c r="N503" s="52" t="s">
        <v>2592</v>
      </c>
      <c r="O503" s="218">
        <v>100000000</v>
      </c>
      <c r="P503" s="52" t="s">
        <v>2592</v>
      </c>
      <c r="Q503" s="218">
        <v>100000000</v>
      </c>
      <c r="R503" s="52" t="s">
        <v>2592</v>
      </c>
      <c r="S503" s="218">
        <v>100000000</v>
      </c>
      <c r="T503" s="52" t="s">
        <v>2592</v>
      </c>
      <c r="U503" s="218">
        <v>100000000</v>
      </c>
      <c r="V503" s="52"/>
      <c r="W503" s="52"/>
      <c r="X503" s="52"/>
      <c r="Y503" s="165"/>
      <c r="Z503" s="165"/>
      <c r="AA503" s="165"/>
      <c r="AB503" s="165"/>
      <c r="AC503" s="165"/>
      <c r="AD503" s="165"/>
      <c r="AE503" s="165"/>
      <c r="AF503" s="165"/>
    </row>
    <row r="504" spans="1:32" ht="45" hidden="1">
      <c r="A504" s="165"/>
      <c r="B504" s="48"/>
      <c r="C504" s="62"/>
      <c r="D504" s="63"/>
      <c r="E504" s="63"/>
      <c r="F504" s="64"/>
      <c r="G504" s="58" t="s">
        <v>2593</v>
      </c>
      <c r="H504" s="52" t="s">
        <v>2594</v>
      </c>
      <c r="I504" s="52" t="s">
        <v>2594</v>
      </c>
      <c r="J504" s="52" t="s">
        <v>2504</v>
      </c>
      <c r="K504" s="251">
        <v>750000000</v>
      </c>
      <c r="L504" s="52" t="s">
        <v>743</v>
      </c>
      <c r="M504" s="251" t="s">
        <v>743</v>
      </c>
      <c r="N504" s="251" t="s">
        <v>743</v>
      </c>
      <c r="O504" s="251" t="s">
        <v>743</v>
      </c>
      <c r="P504" s="251" t="s">
        <v>743</v>
      </c>
      <c r="Q504" s="251" t="s">
        <v>743</v>
      </c>
      <c r="R504" s="251" t="s">
        <v>743</v>
      </c>
      <c r="S504" s="251" t="s">
        <v>743</v>
      </c>
      <c r="T504" s="251" t="s">
        <v>743</v>
      </c>
      <c r="U504" s="251" t="s">
        <v>743</v>
      </c>
      <c r="V504" s="52"/>
      <c r="W504" s="52"/>
      <c r="X504" s="52"/>
      <c r="Y504" s="165"/>
      <c r="Z504" s="165"/>
      <c r="AA504" s="165"/>
      <c r="AB504" s="165"/>
      <c r="AC504" s="165"/>
      <c r="AD504" s="165"/>
      <c r="AE504" s="165"/>
      <c r="AF504" s="165"/>
    </row>
    <row r="505" spans="1:32" ht="90" hidden="1">
      <c r="A505" s="165"/>
      <c r="B505" s="48"/>
      <c r="C505" s="62"/>
      <c r="D505" s="63"/>
      <c r="E505" s="63"/>
      <c r="F505" s="64"/>
      <c r="G505" s="58" t="s">
        <v>2595</v>
      </c>
      <c r="H505" s="52" t="s">
        <v>743</v>
      </c>
      <c r="I505" s="52" t="s">
        <v>743</v>
      </c>
      <c r="J505" s="52" t="s">
        <v>743</v>
      </c>
      <c r="K505" s="52" t="s">
        <v>743</v>
      </c>
      <c r="L505" s="52" t="s">
        <v>2596</v>
      </c>
      <c r="M505" s="251">
        <v>49613500</v>
      </c>
      <c r="N505" s="52" t="s">
        <v>2596</v>
      </c>
      <c r="O505" s="251">
        <v>50000000</v>
      </c>
      <c r="P505" s="52" t="s">
        <v>2596</v>
      </c>
      <c r="Q505" s="251">
        <v>50000000</v>
      </c>
      <c r="R505" s="52" t="s">
        <v>2596</v>
      </c>
      <c r="S505" s="251">
        <v>50000000</v>
      </c>
      <c r="T505" s="52" t="s">
        <v>2596</v>
      </c>
      <c r="U505" s="251">
        <v>50000000</v>
      </c>
      <c r="V505" s="52"/>
      <c r="W505" s="52"/>
      <c r="X505" s="52"/>
      <c r="Y505" s="165"/>
      <c r="Z505" s="165"/>
      <c r="AA505" s="165"/>
      <c r="AB505" s="165"/>
      <c r="AC505" s="165"/>
      <c r="AD505" s="165"/>
      <c r="AE505" s="165"/>
      <c r="AF505" s="165"/>
    </row>
    <row r="506" spans="1:32" hidden="1">
      <c r="A506" s="165"/>
      <c r="B506" s="48"/>
      <c r="C506" s="62" t="e">
        <f>#REF!</f>
        <v>#REF!</v>
      </c>
      <c r="D506" s="63" t="e">
        <f>#REF!</f>
        <v>#REF!</v>
      </c>
      <c r="E506" s="63" t="e">
        <f>#REF!</f>
        <v>#REF!</v>
      </c>
      <c r="F506" s="64" t="e">
        <f>#REF!</f>
        <v>#REF!</v>
      </c>
      <c r="G506" s="58"/>
      <c r="H506" s="52"/>
      <c r="I506" s="52"/>
      <c r="J506" s="52"/>
      <c r="K506" s="52"/>
      <c r="L506" s="52"/>
      <c r="M506" s="52"/>
      <c r="N506" s="52"/>
      <c r="O506" s="52"/>
      <c r="P506" s="52"/>
      <c r="Q506" s="52"/>
      <c r="R506" s="52"/>
      <c r="S506" s="52"/>
      <c r="T506" s="52"/>
      <c r="U506" s="52"/>
      <c r="V506" s="52"/>
      <c r="W506" s="52"/>
      <c r="X506" s="52" t="e">
        <f>#REF!</f>
        <v>#REF!</v>
      </c>
      <c r="Y506" s="165"/>
      <c r="Z506" s="165"/>
      <c r="AA506" s="165"/>
      <c r="AB506" s="165"/>
      <c r="AC506" s="165"/>
      <c r="AD506" s="165"/>
      <c r="AE506" s="165"/>
      <c r="AF506" s="165"/>
    </row>
    <row r="507" spans="1:32" ht="45" hidden="1">
      <c r="A507" s="165"/>
      <c r="B507" s="48"/>
      <c r="C507" s="62"/>
      <c r="D507" s="63"/>
      <c r="E507" s="63"/>
      <c r="F507" s="64"/>
      <c r="G507" s="58" t="s">
        <v>2597</v>
      </c>
      <c r="H507" s="52" t="s">
        <v>2598</v>
      </c>
      <c r="I507" s="52" t="s">
        <v>2599</v>
      </c>
      <c r="J507" s="52" t="s">
        <v>2599</v>
      </c>
      <c r="K507" s="251">
        <v>100000000</v>
      </c>
      <c r="L507" s="52" t="s">
        <v>2599</v>
      </c>
      <c r="M507" s="251">
        <v>147429000</v>
      </c>
      <c r="N507" s="52" t="s">
        <v>2599</v>
      </c>
      <c r="O507" s="251">
        <v>120000000</v>
      </c>
      <c r="P507" s="52" t="s">
        <v>2599</v>
      </c>
      <c r="Q507" s="251">
        <v>120000000</v>
      </c>
      <c r="R507" s="52" t="s">
        <v>2600</v>
      </c>
      <c r="S507" s="52">
        <v>120000000</v>
      </c>
      <c r="T507" s="52" t="s">
        <v>2600</v>
      </c>
      <c r="U507" s="52">
        <v>120000000</v>
      </c>
      <c r="V507" s="52"/>
      <c r="W507" s="52"/>
      <c r="X507" s="52"/>
      <c r="Y507" s="165"/>
      <c r="Z507" s="165"/>
      <c r="AA507" s="165"/>
      <c r="AB507" s="165"/>
      <c r="AC507" s="165"/>
      <c r="AD507" s="165"/>
      <c r="AE507" s="165"/>
      <c r="AF507" s="165"/>
    </row>
    <row r="508" spans="1:32" ht="45" hidden="1">
      <c r="A508" s="165"/>
      <c r="B508" s="48"/>
      <c r="C508" s="62"/>
      <c r="D508" s="63"/>
      <c r="E508" s="63"/>
      <c r="F508" s="64"/>
      <c r="G508" s="58" t="s">
        <v>2601</v>
      </c>
      <c r="H508" s="52" t="s">
        <v>2602</v>
      </c>
      <c r="I508" s="52" t="s">
        <v>2602</v>
      </c>
      <c r="J508" s="52" t="s">
        <v>2602</v>
      </c>
      <c r="K508" s="251">
        <v>40000000</v>
      </c>
      <c r="L508" s="52" t="s">
        <v>2602</v>
      </c>
      <c r="M508" s="251">
        <v>68870000</v>
      </c>
      <c r="N508" s="52" t="s">
        <v>2602</v>
      </c>
      <c r="O508" s="251">
        <v>80000000</v>
      </c>
      <c r="P508" s="52" t="s">
        <v>2603</v>
      </c>
      <c r="Q508" s="251">
        <v>80000000</v>
      </c>
      <c r="R508" s="52" t="s">
        <v>2603</v>
      </c>
      <c r="S508" s="251">
        <v>80000000</v>
      </c>
      <c r="T508" s="52" t="s">
        <v>2603</v>
      </c>
      <c r="U508" s="251">
        <v>80000000</v>
      </c>
      <c r="V508" s="52"/>
      <c r="W508" s="52"/>
      <c r="X508" s="52"/>
      <c r="Y508" s="165"/>
      <c r="Z508" s="165"/>
      <c r="AA508" s="165"/>
      <c r="AB508" s="165"/>
      <c r="AC508" s="165"/>
      <c r="AD508" s="165"/>
      <c r="AE508" s="165"/>
      <c r="AF508" s="165"/>
    </row>
    <row r="509" spans="1:32" ht="30" hidden="1">
      <c r="A509" s="165"/>
      <c r="B509" s="48"/>
      <c r="C509" s="62"/>
      <c r="D509" s="63"/>
      <c r="E509" s="63"/>
      <c r="F509" s="64"/>
      <c r="G509" s="58" t="s">
        <v>2604</v>
      </c>
      <c r="H509" s="52" t="s">
        <v>743</v>
      </c>
      <c r="I509" s="52" t="s">
        <v>2594</v>
      </c>
      <c r="J509" s="52" t="s">
        <v>2504</v>
      </c>
      <c r="K509" s="251">
        <v>50000000</v>
      </c>
      <c r="L509" s="52" t="s">
        <v>743</v>
      </c>
      <c r="M509" s="52" t="s">
        <v>743</v>
      </c>
      <c r="N509" s="52" t="s">
        <v>743</v>
      </c>
      <c r="O509" s="52" t="s">
        <v>743</v>
      </c>
      <c r="P509" s="52" t="s">
        <v>743</v>
      </c>
      <c r="Q509" s="52" t="s">
        <v>743</v>
      </c>
      <c r="R509" s="52" t="s">
        <v>743</v>
      </c>
      <c r="S509" s="52" t="s">
        <v>743</v>
      </c>
      <c r="T509" s="52" t="s">
        <v>743</v>
      </c>
      <c r="U509" s="52" t="s">
        <v>743</v>
      </c>
      <c r="V509" s="52"/>
      <c r="W509" s="52"/>
      <c r="X509" s="52"/>
      <c r="Y509" s="165"/>
      <c r="Z509" s="165"/>
      <c r="AA509" s="165"/>
      <c r="AB509" s="165"/>
      <c r="AC509" s="165"/>
      <c r="AD509" s="165"/>
      <c r="AE509" s="165"/>
      <c r="AF509" s="165"/>
    </row>
    <row r="510" spans="1:32" ht="45" hidden="1">
      <c r="A510" s="165"/>
      <c r="B510" s="48"/>
      <c r="C510" s="62"/>
      <c r="D510" s="63"/>
      <c r="E510" s="63"/>
      <c r="F510" s="64"/>
      <c r="G510" s="58" t="s">
        <v>2605</v>
      </c>
      <c r="H510" s="52" t="s">
        <v>743</v>
      </c>
      <c r="I510" s="52" t="s">
        <v>2594</v>
      </c>
      <c r="J510" s="52" t="s">
        <v>2504</v>
      </c>
      <c r="K510" s="251">
        <v>219175000</v>
      </c>
      <c r="L510" s="52" t="s">
        <v>743</v>
      </c>
      <c r="M510" s="52" t="s">
        <v>743</v>
      </c>
      <c r="N510" s="52" t="s">
        <v>743</v>
      </c>
      <c r="O510" s="52" t="s">
        <v>743</v>
      </c>
      <c r="P510" s="52" t="s">
        <v>743</v>
      </c>
      <c r="Q510" s="52" t="s">
        <v>743</v>
      </c>
      <c r="R510" s="52" t="s">
        <v>743</v>
      </c>
      <c r="S510" s="52" t="s">
        <v>743</v>
      </c>
      <c r="T510" s="52" t="s">
        <v>743</v>
      </c>
      <c r="U510" s="52" t="s">
        <v>743</v>
      </c>
      <c r="V510" s="52"/>
      <c r="W510" s="52"/>
      <c r="X510" s="52"/>
      <c r="Y510" s="165"/>
      <c r="Z510" s="165"/>
      <c r="AA510" s="165"/>
      <c r="AB510" s="165"/>
      <c r="AC510" s="165"/>
      <c r="AD510" s="165"/>
      <c r="AE510" s="165"/>
      <c r="AF510" s="165"/>
    </row>
    <row r="511" spans="1:32" hidden="1">
      <c r="A511" s="165"/>
      <c r="B511" s="48"/>
      <c r="C511" s="62" t="e">
        <f>#REF!</f>
        <v>#REF!</v>
      </c>
      <c r="D511" s="63" t="e">
        <f>#REF!</f>
        <v>#REF!</v>
      </c>
      <c r="E511" s="63" t="e">
        <f>#REF!</f>
        <v>#REF!</v>
      </c>
      <c r="F511" s="64" t="e">
        <f>#REF!</f>
        <v>#REF!</v>
      </c>
      <c r="G511" s="58"/>
      <c r="H511" s="52"/>
      <c r="I511" s="52"/>
      <c r="J511" s="52"/>
      <c r="K511" s="52"/>
      <c r="L511" s="52"/>
      <c r="M511" s="52"/>
      <c r="N511" s="52"/>
      <c r="O511" s="52"/>
      <c r="P511" s="52"/>
      <c r="Q511" s="52"/>
      <c r="R511" s="52"/>
      <c r="S511" s="52"/>
      <c r="T511" s="52"/>
      <c r="U511" s="52"/>
      <c r="V511" s="52"/>
      <c r="W511" s="52"/>
      <c r="X511" s="52" t="e">
        <f>#REF!</f>
        <v>#REF!</v>
      </c>
      <c r="Y511" s="165"/>
      <c r="Z511" s="165"/>
      <c r="AA511" s="165"/>
      <c r="AB511" s="165"/>
      <c r="AC511" s="165"/>
      <c r="AD511" s="165"/>
      <c r="AE511" s="165"/>
      <c r="AF511" s="165"/>
    </row>
    <row r="512" spans="1:32" ht="75" hidden="1">
      <c r="A512" s="165"/>
      <c r="B512" s="48"/>
      <c r="C512" s="62"/>
      <c r="D512" s="63"/>
      <c r="E512" s="63"/>
      <c r="F512" s="64"/>
      <c r="G512" s="58" t="s">
        <v>2606</v>
      </c>
      <c r="H512" s="52" t="s">
        <v>2496</v>
      </c>
      <c r="I512" s="52" t="str">
        <f>H512</f>
        <v>1 Kegiatan</v>
      </c>
      <c r="J512" s="52" t="str">
        <f>I512</f>
        <v>1 Kegiatan</v>
      </c>
      <c r="K512" s="251">
        <v>100000000</v>
      </c>
      <c r="L512" s="52" t="str">
        <f>J512</f>
        <v>1 Kegiatan</v>
      </c>
      <c r="M512" s="251">
        <v>99978000</v>
      </c>
      <c r="N512" s="52" t="str">
        <f t="shared" ref="N512:R512" si="24">L512</f>
        <v>1 Kegiatan</v>
      </c>
      <c r="O512" s="218">
        <v>150000000</v>
      </c>
      <c r="P512" s="52" t="str">
        <f t="shared" si="24"/>
        <v>1 Kegiatan</v>
      </c>
      <c r="Q512" s="218">
        <v>175000000</v>
      </c>
      <c r="R512" s="52" t="str">
        <f t="shared" si="24"/>
        <v>1 Kegiatan</v>
      </c>
      <c r="S512" s="218">
        <v>200000000</v>
      </c>
      <c r="T512" s="52" t="str">
        <f t="shared" ref="T512" si="25">R512</f>
        <v>1 Kegiatan</v>
      </c>
      <c r="U512" s="218">
        <v>200000000</v>
      </c>
      <c r="V512" s="52"/>
      <c r="W512" s="52"/>
      <c r="X512" s="52"/>
      <c r="Y512" s="165"/>
      <c r="Z512" s="165"/>
      <c r="AA512" s="165"/>
      <c r="AB512" s="165"/>
      <c r="AC512" s="165"/>
      <c r="AD512" s="165"/>
      <c r="AE512" s="165"/>
      <c r="AF512" s="165"/>
    </row>
    <row r="513" spans="1:32" ht="45" hidden="1">
      <c r="A513" s="165"/>
      <c r="B513" s="48"/>
      <c r="C513" s="62"/>
      <c r="D513" s="63"/>
      <c r="E513" s="63"/>
      <c r="F513" s="64"/>
      <c r="G513" s="58" t="s">
        <v>2607</v>
      </c>
      <c r="H513" s="52" t="s">
        <v>2521</v>
      </c>
      <c r="I513" s="52" t="s">
        <v>743</v>
      </c>
      <c r="J513" s="52" t="s">
        <v>743</v>
      </c>
      <c r="K513" s="52" t="s">
        <v>743</v>
      </c>
      <c r="L513" s="52" t="str">
        <f>H513</f>
        <v>1 kegiatan</v>
      </c>
      <c r="M513" s="251">
        <v>985525000</v>
      </c>
      <c r="N513" s="52" t="s">
        <v>2608</v>
      </c>
      <c r="O513" s="251">
        <v>2600000000</v>
      </c>
      <c r="P513" s="52" t="str">
        <f>+N513</f>
        <v>2 Unit</v>
      </c>
      <c r="Q513" s="251">
        <v>2700000000</v>
      </c>
      <c r="R513" s="52" t="str">
        <f>+P513</f>
        <v>2 Unit</v>
      </c>
      <c r="S513" s="251">
        <v>2900000000</v>
      </c>
      <c r="T513" s="52" t="str">
        <f>+R513</f>
        <v>2 Unit</v>
      </c>
      <c r="U513" s="251">
        <v>2900000000</v>
      </c>
      <c r="V513" s="52"/>
      <c r="W513" s="52"/>
      <c r="X513" s="52"/>
      <c r="Y513" s="165"/>
      <c r="Z513" s="165"/>
      <c r="AA513" s="165"/>
      <c r="AB513" s="165"/>
      <c r="AC513" s="165"/>
      <c r="AD513" s="165"/>
      <c r="AE513" s="165"/>
      <c r="AF513" s="165"/>
    </row>
    <row r="514" spans="1:32" ht="60" hidden="1">
      <c r="A514" s="165"/>
      <c r="B514" s="48"/>
      <c r="C514" s="62"/>
      <c r="D514" s="63"/>
      <c r="E514" s="63"/>
      <c r="F514" s="64"/>
      <c r="G514" s="58" t="s">
        <v>2609</v>
      </c>
      <c r="H514" s="52"/>
      <c r="I514" s="52" t="str">
        <f>I512</f>
        <v>1 Kegiatan</v>
      </c>
      <c r="J514" s="52" t="str">
        <f>I514</f>
        <v>1 Kegiatan</v>
      </c>
      <c r="K514" s="251">
        <v>120000000</v>
      </c>
      <c r="L514" s="52" t="str">
        <f>L513</f>
        <v>1 kegiatan</v>
      </c>
      <c r="M514" s="251">
        <v>149957000</v>
      </c>
      <c r="N514" s="52" t="str">
        <f>L514</f>
        <v>1 kegiatan</v>
      </c>
      <c r="O514" s="251">
        <v>55000000</v>
      </c>
      <c r="P514" s="52" t="str">
        <f>+N514</f>
        <v>1 kegiatan</v>
      </c>
      <c r="Q514" s="251">
        <v>40000000</v>
      </c>
      <c r="R514" s="52" t="str">
        <f>+R513</f>
        <v>2 Unit</v>
      </c>
      <c r="S514" s="251">
        <v>45000000</v>
      </c>
      <c r="T514" s="52" t="str">
        <f>+T513</f>
        <v>2 Unit</v>
      </c>
      <c r="U514" s="251">
        <v>45000000</v>
      </c>
      <c r="V514" s="52"/>
      <c r="W514" s="52"/>
      <c r="X514" s="52"/>
      <c r="Y514" s="165"/>
      <c r="Z514" s="165"/>
      <c r="AA514" s="165"/>
      <c r="AB514" s="165"/>
      <c r="AC514" s="165"/>
      <c r="AD514" s="165"/>
      <c r="AE514" s="165"/>
      <c r="AF514" s="165"/>
    </row>
    <row r="515" spans="1:32" ht="60" hidden="1">
      <c r="A515" s="165"/>
      <c r="B515" s="48"/>
      <c r="C515" s="62"/>
      <c r="D515" s="63"/>
      <c r="E515" s="63"/>
      <c r="F515" s="64"/>
      <c r="G515" s="58" t="s">
        <v>2610</v>
      </c>
      <c r="H515" s="52" t="s">
        <v>743</v>
      </c>
      <c r="I515" s="52"/>
      <c r="J515" s="52"/>
      <c r="K515" s="251"/>
      <c r="L515" s="52" t="s">
        <v>743</v>
      </c>
      <c r="M515" s="251" t="s">
        <v>743</v>
      </c>
      <c r="N515" s="52" t="s">
        <v>2611</v>
      </c>
      <c r="O515" s="252">
        <v>300000000</v>
      </c>
      <c r="P515" s="52" t="s">
        <v>2611</v>
      </c>
      <c r="Q515" s="52">
        <v>350000000</v>
      </c>
      <c r="R515" s="52" t="s">
        <v>2521</v>
      </c>
      <c r="S515" s="52">
        <v>400000000</v>
      </c>
      <c r="T515" s="52" t="s">
        <v>2521</v>
      </c>
      <c r="U515" s="52">
        <v>400000000</v>
      </c>
      <c r="V515" s="52"/>
      <c r="W515" s="52"/>
      <c r="X515" s="52"/>
      <c r="Y515" s="165"/>
      <c r="Z515" s="165"/>
      <c r="AA515" s="165"/>
      <c r="AB515" s="165"/>
      <c r="AC515" s="165"/>
      <c r="AD515" s="165"/>
      <c r="AE515" s="165"/>
      <c r="AF515" s="165"/>
    </row>
    <row r="516" spans="1:32" ht="75" hidden="1">
      <c r="A516" s="165"/>
      <c r="B516" s="48"/>
      <c r="C516" s="62"/>
      <c r="D516" s="63"/>
      <c r="E516" s="63"/>
      <c r="F516" s="64"/>
      <c r="G516" s="58" t="s">
        <v>2612</v>
      </c>
      <c r="H516" s="52" t="s">
        <v>743</v>
      </c>
      <c r="I516" s="52" t="s">
        <v>743</v>
      </c>
      <c r="J516" s="52" t="s">
        <v>743</v>
      </c>
      <c r="K516" s="251" t="s">
        <v>743</v>
      </c>
      <c r="L516" s="52" t="s">
        <v>743</v>
      </c>
      <c r="M516" s="251" t="s">
        <v>743</v>
      </c>
      <c r="N516" s="52" t="s">
        <v>2521</v>
      </c>
      <c r="O516" s="52">
        <v>80000000</v>
      </c>
      <c r="P516" s="52"/>
      <c r="Q516" s="52"/>
      <c r="R516" s="52"/>
      <c r="S516" s="52"/>
      <c r="T516" s="52"/>
      <c r="U516" s="52"/>
      <c r="V516" s="52"/>
      <c r="W516" s="52"/>
      <c r="X516" s="52"/>
      <c r="Y516" s="165"/>
      <c r="Z516" s="165"/>
      <c r="AA516" s="165"/>
      <c r="AB516" s="165"/>
      <c r="AC516" s="165"/>
      <c r="AD516" s="165"/>
      <c r="AE516" s="165"/>
      <c r="AF516" s="165"/>
    </row>
    <row r="517" spans="1:32" ht="45" hidden="1">
      <c r="A517" s="165"/>
      <c r="B517" s="48"/>
      <c r="C517" s="62"/>
      <c r="D517" s="63"/>
      <c r="E517" s="63"/>
      <c r="F517" s="64"/>
      <c r="G517" s="58" t="s">
        <v>2613</v>
      </c>
      <c r="H517" s="52"/>
      <c r="I517" s="52"/>
      <c r="J517" s="52"/>
      <c r="K517" s="251"/>
      <c r="L517" s="52"/>
      <c r="M517" s="251"/>
      <c r="N517" s="52" t="s">
        <v>2614</v>
      </c>
      <c r="O517" s="52">
        <v>180000000</v>
      </c>
      <c r="P517" s="52" t="s">
        <v>2521</v>
      </c>
      <c r="Q517" s="52">
        <v>185000000</v>
      </c>
      <c r="R517" s="52" t="s">
        <v>2521</v>
      </c>
      <c r="S517" s="52">
        <v>190000000</v>
      </c>
      <c r="T517" s="52" t="s">
        <v>2521</v>
      </c>
      <c r="U517" s="52">
        <v>190000000</v>
      </c>
      <c r="V517" s="52"/>
      <c r="W517" s="52"/>
      <c r="X517" s="52"/>
      <c r="Y517" s="165"/>
      <c r="Z517" s="165"/>
      <c r="AA517" s="165"/>
      <c r="AB517" s="165"/>
      <c r="AC517" s="165"/>
      <c r="AD517" s="165"/>
      <c r="AE517" s="165"/>
      <c r="AF517" s="165"/>
    </row>
    <row r="518" spans="1:32" ht="90" hidden="1">
      <c r="A518" s="165"/>
      <c r="B518" s="48"/>
      <c r="C518" s="62"/>
      <c r="D518" s="63"/>
      <c r="E518" s="63"/>
      <c r="F518" s="64"/>
      <c r="G518" s="58" t="s">
        <v>2615</v>
      </c>
      <c r="H518" s="52"/>
      <c r="I518" s="52"/>
      <c r="J518" s="52"/>
      <c r="K518" s="251"/>
      <c r="L518" s="52"/>
      <c r="M518" s="251"/>
      <c r="N518" s="52" t="s">
        <v>2616</v>
      </c>
      <c r="O518" s="52">
        <v>1300000000</v>
      </c>
      <c r="P518" s="52" t="s">
        <v>2616</v>
      </c>
      <c r="Q518" s="52">
        <v>1400000000</v>
      </c>
      <c r="R518" s="52" t="s">
        <v>2616</v>
      </c>
      <c r="S518" s="52">
        <v>1500000000</v>
      </c>
      <c r="T518" s="52" t="s">
        <v>2616</v>
      </c>
      <c r="U518" s="52">
        <v>1500000000</v>
      </c>
      <c r="V518" s="52"/>
      <c r="W518" s="52"/>
      <c r="X518" s="52"/>
      <c r="Y518" s="165"/>
      <c r="Z518" s="165"/>
      <c r="AA518" s="165"/>
      <c r="AB518" s="165"/>
      <c r="AC518" s="165"/>
      <c r="AD518" s="165"/>
      <c r="AE518" s="165"/>
      <c r="AF518" s="165"/>
    </row>
    <row r="519" spans="1:32" s="276" customFormat="1" ht="30" hidden="1" customHeight="1">
      <c r="A519" s="283"/>
      <c r="B519" s="1103" t="s">
        <v>4237</v>
      </c>
      <c r="C519" s="1104"/>
      <c r="D519" s="1104"/>
      <c r="E519" s="1104"/>
      <c r="F519" s="1104"/>
      <c r="G519" s="1105"/>
      <c r="H519" s="274"/>
      <c r="I519" s="274"/>
      <c r="J519" s="274"/>
      <c r="K519" s="278">
        <f>SUM(K502:K518)</f>
        <v>1464068700</v>
      </c>
      <c r="L519" s="278"/>
      <c r="M519" s="278">
        <f t="shared" ref="M519:U519" si="26">SUM(M502:M518)</f>
        <v>1591137500</v>
      </c>
      <c r="N519" s="278"/>
      <c r="O519" s="278">
        <f t="shared" si="26"/>
        <v>5015000000</v>
      </c>
      <c r="P519" s="278"/>
      <c r="Q519" s="278">
        <f t="shared" si="26"/>
        <v>5200000000</v>
      </c>
      <c r="R519" s="278"/>
      <c r="S519" s="278">
        <f t="shared" si="26"/>
        <v>5585000000</v>
      </c>
      <c r="T519" s="278"/>
      <c r="U519" s="278">
        <f t="shared" si="26"/>
        <v>5585000000</v>
      </c>
      <c r="V519" s="274"/>
      <c r="W519" s="274"/>
      <c r="X519" s="274"/>
      <c r="Y519" s="283"/>
      <c r="Z519" s="283"/>
      <c r="AA519" s="283"/>
      <c r="AB519" s="283"/>
      <c r="AC519" s="283"/>
      <c r="AD519" s="283"/>
      <c r="AE519" s="283"/>
      <c r="AF519" s="283"/>
    </row>
    <row r="520" spans="1:32" ht="30">
      <c r="A520" s="165">
        <v>1</v>
      </c>
      <c r="B520" s="59" t="s">
        <v>1057</v>
      </c>
      <c r="C520" s="56"/>
      <c r="D520" s="57"/>
      <c r="E520" s="57"/>
      <c r="F520" s="58"/>
      <c r="G520" s="58"/>
      <c r="H520" s="52"/>
      <c r="I520" s="52"/>
      <c r="J520" s="52"/>
      <c r="K520" s="52"/>
      <c r="L520" s="52"/>
      <c r="M520" s="52"/>
      <c r="N520" s="52"/>
      <c r="O520" s="52"/>
      <c r="P520" s="52"/>
      <c r="Q520" s="52"/>
      <c r="R520" s="52"/>
      <c r="S520" s="52"/>
      <c r="T520" s="52"/>
      <c r="U520" s="52"/>
      <c r="V520" s="52"/>
      <c r="W520" s="52"/>
      <c r="X520" s="52"/>
      <c r="Y520" s="165"/>
      <c r="Z520" s="165"/>
      <c r="AA520" s="165"/>
      <c r="AB520" s="165"/>
      <c r="AC520" s="165"/>
      <c r="AD520" s="165"/>
      <c r="AE520" s="165"/>
      <c r="AF520" s="165"/>
    </row>
    <row r="521" spans="1:32" hidden="1">
      <c r="A521" s="165"/>
      <c r="B521" s="48"/>
      <c r="C521" s="62" t="e">
        <f>#REF!</f>
        <v>#REF!</v>
      </c>
      <c r="D521" s="63" t="e">
        <f>#REF!</f>
        <v>#REF!</v>
      </c>
      <c r="E521" s="63" t="e">
        <f>#REF!</f>
        <v>#REF!</v>
      </c>
      <c r="F521" s="64" t="e">
        <f>#REF!</f>
        <v>#REF!</v>
      </c>
      <c r="G521" s="58"/>
      <c r="H521" s="52"/>
      <c r="I521" s="52"/>
      <c r="J521" s="52"/>
      <c r="K521" s="52"/>
      <c r="L521" s="52"/>
      <c r="M521" s="52"/>
      <c r="N521" s="52"/>
      <c r="O521" s="52"/>
      <c r="P521" s="52"/>
      <c r="Q521" s="52"/>
      <c r="R521" s="52"/>
      <c r="S521" s="52"/>
      <c r="T521" s="52"/>
      <c r="U521" s="52"/>
      <c r="V521" s="52"/>
      <c r="W521" s="52"/>
      <c r="X521" s="52" t="e">
        <f>#REF!</f>
        <v>#REF!</v>
      </c>
      <c r="Y521" s="165"/>
      <c r="Z521" s="165"/>
      <c r="AA521" s="165"/>
      <c r="AB521" s="165"/>
      <c r="AC521" s="165"/>
      <c r="AD521" s="165"/>
      <c r="AE521" s="165"/>
      <c r="AF521" s="165"/>
    </row>
    <row r="522" spans="1:32" hidden="1">
      <c r="A522" s="165"/>
      <c r="B522" s="48"/>
      <c r="C522" s="56" t="e">
        <f>#REF!</f>
        <v>#REF!</v>
      </c>
      <c r="D522" s="57" t="e">
        <f>#REF!</f>
        <v>#REF!</v>
      </c>
      <c r="E522" s="57" t="e">
        <f>#REF!</f>
        <v>#REF!</v>
      </c>
      <c r="F522" s="58" t="e">
        <f>#REF!</f>
        <v>#REF!</v>
      </c>
      <c r="G522" s="58"/>
      <c r="H522" s="52"/>
      <c r="I522" s="52"/>
      <c r="J522" s="52"/>
      <c r="K522" s="52"/>
      <c r="L522" s="52"/>
      <c r="M522" s="52"/>
      <c r="N522" s="52"/>
      <c r="O522" s="52"/>
      <c r="P522" s="52"/>
      <c r="Q522" s="52"/>
      <c r="R522" s="52"/>
      <c r="S522" s="52"/>
      <c r="T522" s="52"/>
      <c r="U522" s="52"/>
      <c r="V522" s="52"/>
      <c r="W522" s="52"/>
      <c r="X522" s="52" t="e">
        <f>#REF!</f>
        <v>#REF!</v>
      </c>
      <c r="Y522" s="165"/>
      <c r="Z522" s="165"/>
      <c r="AA522" s="165"/>
      <c r="AB522" s="165"/>
      <c r="AC522" s="165"/>
      <c r="AD522" s="165"/>
      <c r="AE522" s="165"/>
      <c r="AF522" s="165"/>
    </row>
    <row r="523" spans="1:32" hidden="1">
      <c r="A523" s="165"/>
      <c r="B523" s="48"/>
      <c r="C523" s="62" t="e">
        <f>#REF!</f>
        <v>#REF!</v>
      </c>
      <c r="D523" s="63" t="e">
        <f>#REF!</f>
        <v>#REF!</v>
      </c>
      <c r="E523" s="63" t="e">
        <f>#REF!</f>
        <v>#REF!</v>
      </c>
      <c r="F523" s="64" t="e">
        <f>#REF!</f>
        <v>#REF!</v>
      </c>
      <c r="G523" s="58"/>
      <c r="H523" s="52"/>
      <c r="I523" s="52"/>
      <c r="J523" s="52"/>
      <c r="K523" s="52"/>
      <c r="L523" s="52"/>
      <c r="M523" s="52"/>
      <c r="N523" s="52"/>
      <c r="O523" s="52"/>
      <c r="P523" s="52"/>
      <c r="Q523" s="52"/>
      <c r="R523" s="52"/>
      <c r="S523" s="52"/>
      <c r="T523" s="52"/>
      <c r="U523" s="52"/>
      <c r="V523" s="52"/>
      <c r="W523" s="52"/>
      <c r="X523" s="52" t="e">
        <f>#REF!</f>
        <v>#REF!</v>
      </c>
      <c r="Y523" s="165"/>
      <c r="Z523" s="165"/>
      <c r="AA523" s="165"/>
      <c r="AB523" s="165"/>
      <c r="AC523" s="165"/>
      <c r="AD523" s="165"/>
      <c r="AE523" s="165"/>
      <c r="AF523" s="165"/>
    </row>
    <row r="524" spans="1:32" ht="30" hidden="1">
      <c r="A524" s="165"/>
      <c r="B524" s="48"/>
      <c r="C524" s="62"/>
      <c r="D524" s="63"/>
      <c r="E524" s="63"/>
      <c r="F524" s="64"/>
      <c r="G524" s="58" t="s">
        <v>2617</v>
      </c>
      <c r="H524" s="52" t="s">
        <v>743</v>
      </c>
      <c r="I524" s="52" t="s">
        <v>2496</v>
      </c>
      <c r="J524" s="52" t="s">
        <v>2496</v>
      </c>
      <c r="K524" s="251">
        <v>20000000</v>
      </c>
      <c r="L524" s="52" t="s">
        <v>743</v>
      </c>
      <c r="M524" s="52" t="s">
        <v>743</v>
      </c>
      <c r="N524" s="52" t="s">
        <v>2496</v>
      </c>
      <c r="O524" s="218">
        <v>30000000</v>
      </c>
      <c r="P524" s="52" t="s">
        <v>2496</v>
      </c>
      <c r="Q524" s="218">
        <v>30000000</v>
      </c>
      <c r="R524" s="52" t="s">
        <v>2496</v>
      </c>
      <c r="S524" s="218">
        <v>30000000</v>
      </c>
      <c r="T524" s="52" t="s">
        <v>2496</v>
      </c>
      <c r="U524" s="218">
        <v>30000000</v>
      </c>
      <c r="V524" s="52"/>
      <c r="W524" s="52"/>
      <c r="X524" s="52"/>
      <c r="Y524" s="165"/>
      <c r="Z524" s="165"/>
      <c r="AA524" s="165"/>
      <c r="AB524" s="165"/>
      <c r="AC524" s="165"/>
      <c r="AD524" s="165"/>
      <c r="AE524" s="165"/>
      <c r="AF524" s="165"/>
    </row>
    <row r="525" spans="1:32" ht="45" hidden="1">
      <c r="A525" s="165"/>
      <c r="B525" s="48"/>
      <c r="C525" s="62"/>
      <c r="D525" s="63"/>
      <c r="E525" s="63"/>
      <c r="F525" s="64"/>
      <c r="G525" s="58" t="s">
        <v>2618</v>
      </c>
      <c r="H525" s="52" t="s">
        <v>743</v>
      </c>
      <c r="I525" s="52" t="s">
        <v>743</v>
      </c>
      <c r="J525" s="52" t="s">
        <v>743</v>
      </c>
      <c r="K525" s="52" t="s">
        <v>743</v>
      </c>
      <c r="L525" s="168" t="str">
        <f>L505</f>
        <v>4 Kecamatan</v>
      </c>
      <c r="M525" s="184">
        <v>91140000</v>
      </c>
      <c r="N525" s="52" t="s">
        <v>743</v>
      </c>
      <c r="O525" s="52" t="s">
        <v>743</v>
      </c>
      <c r="P525" s="52" t="s">
        <v>743</v>
      </c>
      <c r="Q525" s="52" t="s">
        <v>743</v>
      </c>
      <c r="R525" s="52" t="s">
        <v>743</v>
      </c>
      <c r="S525" s="52" t="s">
        <v>743</v>
      </c>
      <c r="T525" s="52" t="s">
        <v>743</v>
      </c>
      <c r="U525" s="52" t="s">
        <v>743</v>
      </c>
      <c r="V525" s="52"/>
      <c r="W525" s="52"/>
      <c r="X525" s="52"/>
      <c r="Y525" s="165"/>
      <c r="Z525" s="165"/>
      <c r="AA525" s="165"/>
      <c r="AB525" s="165"/>
      <c r="AC525" s="165"/>
      <c r="AD525" s="165"/>
      <c r="AE525" s="165"/>
      <c r="AF525" s="165"/>
    </row>
    <row r="526" spans="1:32" s="280" customFormat="1" ht="30" hidden="1" customHeight="1">
      <c r="A526" s="285"/>
      <c r="B526" s="1093" t="s">
        <v>4238</v>
      </c>
      <c r="C526" s="1094"/>
      <c r="D526" s="1094"/>
      <c r="E526" s="1094"/>
      <c r="F526" s="1094"/>
      <c r="G526" s="1095"/>
      <c r="H526" s="382"/>
      <c r="I526" s="382"/>
      <c r="J526" s="382"/>
      <c r="K526" s="382">
        <f>SUM(K521:K525)</f>
        <v>20000000</v>
      </c>
      <c r="L526" s="382"/>
      <c r="M526" s="382">
        <f t="shared" ref="M526:U526" si="27">SUM(M521:M525)</f>
        <v>91140000</v>
      </c>
      <c r="N526" s="382"/>
      <c r="O526" s="382">
        <f t="shared" si="27"/>
        <v>30000000</v>
      </c>
      <c r="P526" s="382"/>
      <c r="Q526" s="382">
        <f t="shared" si="27"/>
        <v>30000000</v>
      </c>
      <c r="R526" s="382"/>
      <c r="S526" s="382">
        <f t="shared" si="27"/>
        <v>30000000</v>
      </c>
      <c r="T526" s="382"/>
      <c r="U526" s="382">
        <f t="shared" si="27"/>
        <v>30000000</v>
      </c>
      <c r="V526" s="382"/>
      <c r="W526" s="382"/>
      <c r="X526" s="382"/>
      <c r="Y526" s="285"/>
      <c r="Z526" s="285"/>
      <c r="AA526" s="285"/>
      <c r="AB526" s="285"/>
      <c r="AC526" s="285"/>
      <c r="AD526" s="285"/>
      <c r="AE526" s="285"/>
      <c r="AF526" s="285"/>
    </row>
    <row r="527" spans="1:32" ht="60">
      <c r="A527" s="165">
        <v>1</v>
      </c>
      <c r="B527" s="62" t="str">
        <f>'matrik MISI 6'!B6</f>
        <v>PERENCANAAN PEMBANGUNAN</v>
      </c>
      <c r="C527" s="56"/>
      <c r="D527" s="57"/>
      <c r="E527" s="57"/>
      <c r="F527" s="58"/>
      <c r="G527" s="58"/>
      <c r="H527" s="52"/>
      <c r="I527" s="52"/>
      <c r="J527" s="52"/>
      <c r="K527" s="52"/>
      <c r="L527" s="52"/>
      <c r="M527" s="52"/>
      <c r="N527" s="52"/>
      <c r="O527" s="52"/>
      <c r="P527" s="52"/>
      <c r="Q527" s="52"/>
      <c r="R527" s="52"/>
      <c r="S527" s="52"/>
      <c r="T527" s="52"/>
      <c r="U527" s="52"/>
      <c r="V527" s="52"/>
      <c r="W527" s="52"/>
      <c r="X527" s="52"/>
      <c r="Y527" s="165"/>
      <c r="Z527" s="165"/>
      <c r="AA527" s="165"/>
      <c r="AB527" s="165"/>
      <c r="AC527" s="165"/>
      <c r="AD527" s="165"/>
      <c r="AE527" s="165"/>
      <c r="AF527" s="165"/>
    </row>
    <row r="528" spans="1:32" s="167" customFormat="1" ht="60">
      <c r="A528" s="165"/>
      <c r="B528" s="48"/>
      <c r="C528" s="62">
        <f>'matrik MISI 6'!J7</f>
        <v>1.06</v>
      </c>
      <c r="D528" s="63" t="str">
        <f>'matrik MISI 6'!K7</f>
        <v>xx</v>
      </c>
      <c r="E528" s="63">
        <f>'matrik MISI 6'!L7</f>
        <v>15</v>
      </c>
      <c r="F528" s="64" t="str">
        <f>'matrik MISI 6'!M7</f>
        <v>Program Perencanaan Pembangunan Daerah</v>
      </c>
      <c r="G528" s="58"/>
      <c r="H528" s="52"/>
      <c r="I528" s="52"/>
      <c r="J528" s="52"/>
      <c r="K528" s="52"/>
      <c r="L528" s="52"/>
      <c r="M528" s="52"/>
      <c r="N528" s="52"/>
      <c r="O528" s="52"/>
      <c r="P528" s="52"/>
      <c r="Q528" s="52"/>
      <c r="R528" s="52"/>
      <c r="S528" s="52"/>
      <c r="T528" s="52"/>
      <c r="U528" s="52"/>
      <c r="V528" s="52"/>
      <c r="W528" s="52"/>
      <c r="X528" s="52" t="str">
        <f>'matrik MISI 6'!X7</f>
        <v xml:space="preserve">Bappeda </v>
      </c>
      <c r="Y528" s="165"/>
      <c r="Z528" s="165"/>
      <c r="AA528" s="165"/>
      <c r="AB528" s="165"/>
      <c r="AC528" s="165"/>
      <c r="AD528" s="165"/>
      <c r="AE528" s="165"/>
      <c r="AF528" s="165"/>
    </row>
    <row r="529" spans="1:32" s="167" customFormat="1" ht="120">
      <c r="A529" s="165"/>
      <c r="B529" s="48"/>
      <c r="C529" s="62"/>
      <c r="D529" s="63"/>
      <c r="E529" s="63"/>
      <c r="F529" s="64"/>
      <c r="G529" s="58" t="s">
        <v>4268</v>
      </c>
      <c r="H529" s="52"/>
      <c r="I529" s="52"/>
      <c r="J529" s="52"/>
      <c r="K529" s="299">
        <v>8878854000</v>
      </c>
      <c r="L529" s="299"/>
      <c r="M529" s="766">
        <f>5600000000-150000000</f>
        <v>5450000000</v>
      </c>
      <c r="N529" s="299"/>
      <c r="O529" s="299">
        <f>6020000000-150000000</f>
        <v>5870000000</v>
      </c>
      <c r="P529" s="299"/>
      <c r="Q529" s="299">
        <f>6150000000-150000000</f>
        <v>6000000000</v>
      </c>
      <c r="R529" s="299"/>
      <c r="S529" s="299">
        <f>6450000000+50000000</f>
        <v>6500000000</v>
      </c>
      <c r="T529" s="52"/>
      <c r="U529" s="260">
        <f>S529</f>
        <v>6500000000</v>
      </c>
      <c r="V529" s="52"/>
      <c r="W529" s="52"/>
      <c r="X529" s="52"/>
      <c r="Y529" s="165"/>
      <c r="Z529" s="165"/>
      <c r="AA529" s="165"/>
      <c r="AB529" s="165"/>
      <c r="AC529" s="165"/>
      <c r="AD529" s="165"/>
      <c r="AE529" s="165"/>
      <c r="AF529" s="165"/>
    </row>
    <row r="530" spans="1:32" s="280" customFormat="1" ht="30" customHeight="1">
      <c r="A530" s="285"/>
      <c r="B530" s="1093" t="s">
        <v>4269</v>
      </c>
      <c r="C530" s="1094"/>
      <c r="D530" s="1094"/>
      <c r="E530" s="1094"/>
      <c r="F530" s="1094"/>
      <c r="G530" s="1095"/>
      <c r="H530" s="382"/>
      <c r="I530" s="382"/>
      <c r="J530" s="382"/>
      <c r="K530" s="382">
        <f>SUM(K529)</f>
        <v>8878854000</v>
      </c>
      <c r="L530" s="382"/>
      <c r="M530" s="382">
        <f t="shared" ref="M530:W530" si="28">SUM(M529)</f>
        <v>5450000000</v>
      </c>
      <c r="N530" s="382"/>
      <c r="O530" s="382">
        <f t="shared" si="28"/>
        <v>5870000000</v>
      </c>
      <c r="P530" s="382"/>
      <c r="Q530" s="382">
        <f t="shared" si="28"/>
        <v>6000000000</v>
      </c>
      <c r="R530" s="382"/>
      <c r="S530" s="382">
        <f t="shared" si="28"/>
        <v>6500000000</v>
      </c>
      <c r="T530" s="382"/>
      <c r="U530" s="382">
        <f t="shared" si="28"/>
        <v>6500000000</v>
      </c>
      <c r="V530" s="382">
        <f t="shared" si="28"/>
        <v>0</v>
      </c>
      <c r="W530" s="382">
        <f t="shared" si="28"/>
        <v>0</v>
      </c>
      <c r="X530" s="382"/>
      <c r="Y530" s="285"/>
      <c r="Z530" s="285"/>
      <c r="AA530" s="285"/>
      <c r="AB530" s="285"/>
      <c r="AC530" s="285"/>
      <c r="AD530" s="285"/>
      <c r="AE530" s="285"/>
      <c r="AF530" s="285"/>
    </row>
    <row r="531" spans="1:32" ht="30">
      <c r="A531" s="165">
        <v>1</v>
      </c>
      <c r="B531" s="59" t="s">
        <v>19</v>
      </c>
      <c r="C531" s="56"/>
      <c r="D531" s="57"/>
      <c r="E531" s="57"/>
      <c r="F531" s="58"/>
      <c r="G531" s="58"/>
      <c r="H531" s="52"/>
      <c r="I531" s="52"/>
      <c r="J531" s="52"/>
      <c r="K531" s="52"/>
      <c r="L531" s="52"/>
      <c r="M531" s="52"/>
      <c r="N531" s="52"/>
      <c r="O531" s="52"/>
      <c r="P531" s="52"/>
      <c r="Q531" s="52"/>
      <c r="R531" s="52"/>
      <c r="S531" s="52"/>
      <c r="T531" s="52"/>
      <c r="U531" s="52"/>
      <c r="V531" s="52"/>
      <c r="W531" s="52"/>
      <c r="X531" s="52"/>
      <c r="Y531" s="165"/>
      <c r="Z531" s="165"/>
      <c r="AA531" s="165"/>
      <c r="AB531" s="165"/>
      <c r="AC531" s="165"/>
      <c r="AD531" s="165"/>
      <c r="AE531" s="165"/>
      <c r="AF531" s="165"/>
    </row>
    <row r="532" spans="1:32" s="165" customFormat="1" hidden="1">
      <c r="B532" s="48"/>
      <c r="C532" s="56" t="e">
        <f>#REF!</f>
        <v>#REF!</v>
      </c>
      <c r="D532" s="57" t="e">
        <f>#REF!</f>
        <v>#REF!</v>
      </c>
      <c r="E532" s="57" t="e">
        <f>#REF!</f>
        <v>#REF!</v>
      </c>
      <c r="F532" s="58" t="e">
        <f>#REF!</f>
        <v>#REF!</v>
      </c>
      <c r="G532" s="58"/>
      <c r="H532" s="52"/>
      <c r="I532" s="52"/>
      <c r="J532" s="52"/>
      <c r="K532" s="52"/>
      <c r="L532" s="52"/>
      <c r="M532" s="52"/>
      <c r="N532" s="52"/>
      <c r="O532" s="52"/>
      <c r="P532" s="52"/>
      <c r="Q532" s="52"/>
      <c r="R532" s="52"/>
      <c r="S532" s="52"/>
      <c r="T532" s="52"/>
      <c r="U532" s="52"/>
      <c r="V532" s="52"/>
      <c r="W532" s="52"/>
      <c r="X532" s="52" t="e">
        <f>#REF!</f>
        <v>#REF!</v>
      </c>
    </row>
    <row r="533" spans="1:32" s="165" customFormat="1" ht="30" hidden="1">
      <c r="B533" s="48"/>
      <c r="C533" s="62"/>
      <c r="D533" s="63"/>
      <c r="E533" s="63"/>
      <c r="F533" s="64"/>
      <c r="G533" s="58" t="s">
        <v>2623</v>
      </c>
      <c r="H533" s="161">
        <v>1</v>
      </c>
      <c r="I533" s="52" t="s">
        <v>2620</v>
      </c>
      <c r="J533" s="161">
        <v>1</v>
      </c>
      <c r="K533" s="238">
        <v>60000000</v>
      </c>
      <c r="L533" s="52" t="s">
        <v>2620</v>
      </c>
      <c r="M533" s="238">
        <v>64200000</v>
      </c>
      <c r="N533" s="52" t="s">
        <v>2620</v>
      </c>
      <c r="O533" s="238">
        <v>75000000</v>
      </c>
      <c r="P533" s="52" t="s">
        <v>2620</v>
      </c>
      <c r="Q533" s="238">
        <v>80000000</v>
      </c>
      <c r="R533" s="52" t="s">
        <v>2620</v>
      </c>
      <c r="S533" s="238">
        <v>85000000</v>
      </c>
      <c r="T533" s="52" t="s">
        <v>2620</v>
      </c>
      <c r="U533" s="238">
        <v>85000000</v>
      </c>
      <c r="V533" s="52"/>
      <c r="W533" s="52"/>
      <c r="X533" s="52"/>
    </row>
    <row r="534" spans="1:32" s="165" customFormat="1" hidden="1">
      <c r="B534" s="48"/>
      <c r="C534" s="62"/>
      <c r="D534" s="63"/>
      <c r="E534" s="63"/>
      <c r="F534" s="64"/>
      <c r="G534" s="58" t="s">
        <v>2624</v>
      </c>
      <c r="H534" s="52" t="s">
        <v>743</v>
      </c>
      <c r="I534" s="52" t="s">
        <v>2620</v>
      </c>
      <c r="J534" s="161">
        <v>1</v>
      </c>
      <c r="K534" s="238">
        <v>95000000</v>
      </c>
      <c r="L534" s="52" t="s">
        <v>2620</v>
      </c>
      <c r="M534" s="238">
        <v>100000000</v>
      </c>
      <c r="N534" s="52" t="s">
        <v>2620</v>
      </c>
      <c r="O534" s="238">
        <v>100000000</v>
      </c>
      <c r="P534" s="52" t="s">
        <v>2620</v>
      </c>
      <c r="Q534" s="238">
        <v>0</v>
      </c>
      <c r="R534" s="52" t="s">
        <v>2620</v>
      </c>
      <c r="S534" s="238">
        <v>95000000</v>
      </c>
      <c r="T534" s="52" t="s">
        <v>2620</v>
      </c>
      <c r="U534" s="238">
        <v>95000000</v>
      </c>
      <c r="V534" s="52"/>
      <c r="W534" s="52"/>
      <c r="X534" s="52"/>
    </row>
    <row r="535" spans="1:32" s="165" customFormat="1" hidden="1">
      <c r="B535" s="48"/>
      <c r="C535" s="62"/>
      <c r="D535" s="63"/>
      <c r="E535" s="63"/>
      <c r="F535" s="64"/>
      <c r="G535" s="58" t="s">
        <v>2625</v>
      </c>
      <c r="H535" s="52" t="s">
        <v>743</v>
      </c>
      <c r="I535" s="52" t="s">
        <v>2620</v>
      </c>
      <c r="J535" s="161">
        <v>1</v>
      </c>
      <c r="K535" s="238">
        <v>29820000</v>
      </c>
      <c r="L535" s="52" t="s">
        <v>2620</v>
      </c>
      <c r="M535" s="238">
        <v>30000000</v>
      </c>
      <c r="N535" s="52" t="s">
        <v>2620</v>
      </c>
      <c r="O535" s="238">
        <v>40000000</v>
      </c>
      <c r="P535" s="52" t="s">
        <v>2620</v>
      </c>
      <c r="Q535" s="238">
        <v>45000000</v>
      </c>
      <c r="R535" s="52" t="s">
        <v>2620</v>
      </c>
      <c r="S535" s="238">
        <v>50000000</v>
      </c>
      <c r="T535" s="52" t="s">
        <v>2620</v>
      </c>
      <c r="U535" s="238">
        <v>50000000</v>
      </c>
      <c r="V535" s="52"/>
      <c r="W535" s="52"/>
      <c r="X535" s="52"/>
    </row>
    <row r="536" spans="1:32" s="165" customFormat="1" ht="45" hidden="1">
      <c r="B536" s="48"/>
      <c r="C536" s="62"/>
      <c r="D536" s="63"/>
      <c r="E536" s="63"/>
      <c r="F536" s="64"/>
      <c r="G536" s="58" t="s">
        <v>2626</v>
      </c>
      <c r="H536" s="52" t="s">
        <v>743</v>
      </c>
      <c r="I536" s="52" t="s">
        <v>743</v>
      </c>
      <c r="J536" s="52" t="s">
        <v>743</v>
      </c>
      <c r="K536" s="52" t="s">
        <v>743</v>
      </c>
      <c r="L536" s="52"/>
      <c r="M536" s="238">
        <v>199916000</v>
      </c>
      <c r="N536" s="52"/>
      <c r="O536" s="238">
        <v>0</v>
      </c>
      <c r="P536" s="52"/>
      <c r="Q536" s="238">
        <v>0</v>
      </c>
      <c r="R536" s="52"/>
      <c r="S536" s="238">
        <v>0</v>
      </c>
      <c r="T536" s="52"/>
      <c r="U536" s="238">
        <v>0</v>
      </c>
      <c r="V536" s="52"/>
      <c r="W536" s="52"/>
      <c r="X536" s="52"/>
    </row>
    <row r="537" spans="1:32" s="165" customFormat="1" ht="30" hidden="1">
      <c r="B537" s="48"/>
      <c r="C537" s="62"/>
      <c r="D537" s="63"/>
      <c r="E537" s="63"/>
      <c r="F537" s="64"/>
      <c r="G537" s="58" t="s">
        <v>2660</v>
      </c>
      <c r="H537" s="161">
        <v>1</v>
      </c>
      <c r="I537" s="52" t="s">
        <v>2620</v>
      </c>
      <c r="J537" s="161">
        <v>1</v>
      </c>
      <c r="K537" s="249">
        <v>35000000</v>
      </c>
      <c r="L537" s="259" t="s">
        <v>2620</v>
      </c>
      <c r="M537" s="249">
        <v>34885000</v>
      </c>
      <c r="N537" s="259" t="s">
        <v>2620</v>
      </c>
      <c r="O537" s="249">
        <v>60000000</v>
      </c>
      <c r="P537" s="259" t="s">
        <v>2620</v>
      </c>
      <c r="Q537" s="249">
        <v>70000000</v>
      </c>
      <c r="R537" s="259" t="s">
        <v>2620</v>
      </c>
      <c r="S537" s="249">
        <v>80000000</v>
      </c>
      <c r="T537" s="259" t="s">
        <v>2620</v>
      </c>
      <c r="U537" s="249">
        <v>80000000</v>
      </c>
      <c r="V537" s="52"/>
      <c r="W537" s="52"/>
      <c r="X537" s="52"/>
    </row>
    <row r="538" spans="1:32" s="165" customFormat="1" ht="45" hidden="1">
      <c r="B538" s="48"/>
      <c r="C538" s="62"/>
      <c r="D538" s="63"/>
      <c r="E538" s="63"/>
      <c r="F538" s="64"/>
      <c r="G538" s="58" t="s">
        <v>2661</v>
      </c>
      <c r="H538" s="161" t="s">
        <v>743</v>
      </c>
      <c r="I538" s="161" t="s">
        <v>743</v>
      </c>
      <c r="J538" s="161" t="s">
        <v>743</v>
      </c>
      <c r="K538" s="259" t="s">
        <v>743</v>
      </c>
      <c r="L538" s="259" t="s">
        <v>2620</v>
      </c>
      <c r="M538" s="249">
        <v>248980000</v>
      </c>
      <c r="N538" s="259" t="s">
        <v>743</v>
      </c>
      <c r="O538" s="259" t="s">
        <v>743</v>
      </c>
      <c r="P538" s="259" t="s">
        <v>743</v>
      </c>
      <c r="Q538" s="259" t="s">
        <v>743</v>
      </c>
      <c r="R538" s="259" t="s">
        <v>743</v>
      </c>
      <c r="S538" s="259" t="s">
        <v>743</v>
      </c>
      <c r="T538" s="259" t="s">
        <v>743</v>
      </c>
      <c r="U538" s="259" t="s">
        <v>743</v>
      </c>
      <c r="V538" s="52"/>
      <c r="W538" s="52"/>
      <c r="X538" s="52"/>
    </row>
    <row r="539" spans="1:32" s="165" customFormat="1" ht="45" hidden="1">
      <c r="B539" s="48"/>
      <c r="C539" s="62"/>
      <c r="D539" s="63"/>
      <c r="E539" s="63"/>
      <c r="F539" s="64"/>
      <c r="G539" s="58" t="s">
        <v>2662</v>
      </c>
      <c r="H539" s="161" t="s">
        <v>743</v>
      </c>
      <c r="I539" s="161" t="s">
        <v>743</v>
      </c>
      <c r="J539" s="161" t="s">
        <v>743</v>
      </c>
      <c r="K539" s="259" t="s">
        <v>743</v>
      </c>
      <c r="L539" s="259" t="s">
        <v>1040</v>
      </c>
      <c r="M539" s="249" t="s">
        <v>1040</v>
      </c>
      <c r="N539" s="259" t="s">
        <v>2650</v>
      </c>
      <c r="O539" s="259">
        <v>8000000000</v>
      </c>
      <c r="P539" s="259" t="s">
        <v>743</v>
      </c>
      <c r="Q539" s="259" t="s">
        <v>743</v>
      </c>
      <c r="R539" s="259" t="s">
        <v>743</v>
      </c>
      <c r="S539" s="259" t="s">
        <v>743</v>
      </c>
      <c r="T539" s="259" t="s">
        <v>743</v>
      </c>
      <c r="U539" s="259" t="s">
        <v>743</v>
      </c>
      <c r="V539" s="52"/>
      <c r="W539" s="52"/>
      <c r="X539" s="52"/>
    </row>
    <row r="540" spans="1:32" s="165" customFormat="1" ht="45" hidden="1">
      <c r="B540" s="48"/>
      <c r="C540" s="62"/>
      <c r="D540" s="63"/>
      <c r="E540" s="63"/>
      <c r="F540" s="64"/>
      <c r="G540" s="58" t="s">
        <v>2663</v>
      </c>
      <c r="H540" s="161" t="s">
        <v>743</v>
      </c>
      <c r="I540" s="161" t="s">
        <v>743</v>
      </c>
      <c r="J540" s="161" t="s">
        <v>743</v>
      </c>
      <c r="K540" s="259" t="s">
        <v>743</v>
      </c>
      <c r="L540" s="259" t="s">
        <v>743</v>
      </c>
      <c r="M540" s="259" t="s">
        <v>743</v>
      </c>
      <c r="N540" s="259" t="s">
        <v>743</v>
      </c>
      <c r="O540" s="259" t="s">
        <v>743</v>
      </c>
      <c r="P540" s="259" t="s">
        <v>2620</v>
      </c>
      <c r="Q540" s="249">
        <v>600000000</v>
      </c>
      <c r="R540" s="259" t="s">
        <v>743</v>
      </c>
      <c r="S540" s="259" t="s">
        <v>743</v>
      </c>
      <c r="T540" s="259" t="s">
        <v>743</v>
      </c>
      <c r="U540" s="259" t="s">
        <v>743</v>
      </c>
      <c r="V540" s="52"/>
      <c r="W540" s="52"/>
      <c r="X540" s="52"/>
    </row>
    <row r="541" spans="1:32" s="165" customFormat="1" ht="45" hidden="1">
      <c r="B541" s="48"/>
      <c r="C541" s="62"/>
      <c r="D541" s="63"/>
      <c r="E541" s="63"/>
      <c r="F541" s="64"/>
      <c r="G541" s="58" t="s">
        <v>2664</v>
      </c>
      <c r="H541" s="161" t="s">
        <v>743</v>
      </c>
      <c r="I541" s="161" t="s">
        <v>743</v>
      </c>
      <c r="J541" s="161" t="s">
        <v>743</v>
      </c>
      <c r="K541" s="259" t="s">
        <v>743</v>
      </c>
      <c r="L541" s="259" t="s">
        <v>743</v>
      </c>
      <c r="M541" s="259" t="s">
        <v>743</v>
      </c>
      <c r="N541" s="259" t="s">
        <v>743</v>
      </c>
      <c r="O541" s="259" t="s">
        <v>743</v>
      </c>
      <c r="P541" s="259" t="s">
        <v>743</v>
      </c>
      <c r="Q541" s="259" t="s">
        <v>743</v>
      </c>
      <c r="R541" s="259" t="s">
        <v>743</v>
      </c>
      <c r="S541" s="259" t="s">
        <v>743</v>
      </c>
      <c r="T541" s="259" t="s">
        <v>743</v>
      </c>
      <c r="U541" s="259" t="s">
        <v>743</v>
      </c>
      <c r="V541" s="52"/>
      <c r="W541" s="52"/>
      <c r="X541" s="52"/>
    </row>
    <row r="542" spans="1:32" s="165" customFormat="1" ht="60" hidden="1">
      <c r="B542" s="48"/>
      <c r="C542" s="62"/>
      <c r="D542" s="63"/>
      <c r="E542" s="63"/>
      <c r="F542" s="64"/>
      <c r="G542" s="58" t="s">
        <v>2666</v>
      </c>
      <c r="H542" s="161"/>
      <c r="I542" s="161"/>
      <c r="J542" s="161"/>
      <c r="K542" s="259"/>
      <c r="L542" s="259"/>
      <c r="M542" s="259"/>
      <c r="N542" s="259"/>
      <c r="O542" s="259"/>
      <c r="P542" s="259" t="s">
        <v>743</v>
      </c>
      <c r="Q542" s="250" t="s">
        <v>743</v>
      </c>
      <c r="R542" s="259" t="s">
        <v>2665</v>
      </c>
      <c r="S542" s="250">
        <v>400000000</v>
      </c>
      <c r="T542" s="259" t="s">
        <v>2665</v>
      </c>
      <c r="U542" s="250">
        <v>400000000</v>
      </c>
      <c r="V542" s="52"/>
      <c r="W542" s="52"/>
      <c r="X542" s="52"/>
    </row>
    <row r="543" spans="1:32" s="165" customFormat="1" ht="30" hidden="1">
      <c r="B543" s="48"/>
      <c r="C543" s="62"/>
      <c r="D543" s="63"/>
      <c r="E543" s="63"/>
      <c r="F543" s="64"/>
      <c r="G543" s="58" t="s">
        <v>2667</v>
      </c>
      <c r="H543" s="161" t="s">
        <v>1040</v>
      </c>
      <c r="I543" s="161" t="s">
        <v>1040</v>
      </c>
      <c r="J543" s="161" t="s">
        <v>1040</v>
      </c>
      <c r="K543" s="259" t="s">
        <v>1040</v>
      </c>
      <c r="L543" s="259" t="s">
        <v>1040</v>
      </c>
      <c r="M543" s="259" t="s">
        <v>2668</v>
      </c>
      <c r="N543" s="259" t="s">
        <v>1040</v>
      </c>
      <c r="O543" s="259" t="s">
        <v>1040</v>
      </c>
      <c r="P543" s="259" t="s">
        <v>1040</v>
      </c>
      <c r="Q543" s="250" t="s">
        <v>1040</v>
      </c>
      <c r="R543" s="259" t="s">
        <v>2669</v>
      </c>
      <c r="S543" s="250">
        <v>40000000</v>
      </c>
      <c r="T543" s="259" t="s">
        <v>2669</v>
      </c>
      <c r="U543" s="250">
        <v>40000000</v>
      </c>
      <c r="V543" s="52"/>
      <c r="W543" s="52"/>
      <c r="X543" s="52"/>
    </row>
    <row r="544" spans="1:32" s="165" customFormat="1" ht="60" hidden="1">
      <c r="B544" s="48"/>
      <c r="C544" s="62"/>
      <c r="D544" s="63"/>
      <c r="E544" s="63"/>
      <c r="F544" s="64"/>
      <c r="G544" s="58" t="s">
        <v>2670</v>
      </c>
      <c r="H544" s="161" t="s">
        <v>743</v>
      </c>
      <c r="I544" s="161" t="s">
        <v>743</v>
      </c>
      <c r="J544" s="161" t="s">
        <v>743</v>
      </c>
      <c r="K544" s="259" t="s">
        <v>743</v>
      </c>
      <c r="L544" s="259" t="s">
        <v>743</v>
      </c>
      <c r="M544" s="259" t="s">
        <v>743</v>
      </c>
      <c r="N544" s="259" t="s">
        <v>743</v>
      </c>
      <c r="O544" s="259" t="s">
        <v>743</v>
      </c>
      <c r="P544" s="259" t="s">
        <v>2665</v>
      </c>
      <c r="Q544" s="249">
        <v>100000000</v>
      </c>
      <c r="R544" s="259" t="s">
        <v>743</v>
      </c>
      <c r="S544" s="259" t="s">
        <v>743</v>
      </c>
      <c r="T544" s="259" t="s">
        <v>743</v>
      </c>
      <c r="U544" s="259" t="s">
        <v>743</v>
      </c>
      <c r="V544" s="52"/>
      <c r="W544" s="52"/>
      <c r="X544" s="52"/>
    </row>
    <row r="545" spans="2:24" s="165" customFormat="1" ht="60" hidden="1">
      <c r="B545" s="48"/>
      <c r="C545" s="62"/>
      <c r="D545" s="63"/>
      <c r="E545" s="63"/>
      <c r="F545" s="64"/>
      <c r="G545" s="58" t="s">
        <v>2671</v>
      </c>
      <c r="H545" s="161" t="s">
        <v>743</v>
      </c>
      <c r="I545" s="161" t="s">
        <v>743</v>
      </c>
      <c r="J545" s="161" t="s">
        <v>743</v>
      </c>
      <c r="K545" s="259" t="s">
        <v>743</v>
      </c>
      <c r="L545" s="259" t="s">
        <v>743</v>
      </c>
      <c r="M545" s="259" t="s">
        <v>743</v>
      </c>
      <c r="N545" s="259" t="s">
        <v>743</v>
      </c>
      <c r="O545" s="259" t="s">
        <v>743</v>
      </c>
      <c r="P545" s="259" t="s">
        <v>743</v>
      </c>
      <c r="Q545" s="259" t="s">
        <v>743</v>
      </c>
      <c r="R545" s="259" t="s">
        <v>743</v>
      </c>
      <c r="S545" s="249">
        <v>150000000</v>
      </c>
      <c r="T545" s="259" t="s">
        <v>743</v>
      </c>
      <c r="U545" s="249">
        <v>150000000</v>
      </c>
      <c r="V545" s="52"/>
      <c r="W545" s="52"/>
      <c r="X545" s="52"/>
    </row>
    <row r="546" spans="2:24" s="165" customFormat="1" ht="60" hidden="1">
      <c r="B546" s="48"/>
      <c r="C546" s="62"/>
      <c r="D546" s="63"/>
      <c r="E546" s="63"/>
      <c r="F546" s="64"/>
      <c r="G546" s="58" t="s">
        <v>2672</v>
      </c>
      <c r="H546" s="161" t="s">
        <v>743</v>
      </c>
      <c r="I546" s="161" t="s">
        <v>743</v>
      </c>
      <c r="J546" s="161" t="s">
        <v>743</v>
      </c>
      <c r="K546" s="259" t="s">
        <v>743</v>
      </c>
      <c r="L546" s="259" t="s">
        <v>743</v>
      </c>
      <c r="M546" s="259" t="s">
        <v>743</v>
      </c>
      <c r="N546" s="259" t="s">
        <v>743</v>
      </c>
      <c r="O546" s="259" t="s">
        <v>743</v>
      </c>
      <c r="P546" s="259" t="s">
        <v>743</v>
      </c>
      <c r="Q546" s="259" t="s">
        <v>743</v>
      </c>
      <c r="R546" s="259" t="s">
        <v>743</v>
      </c>
      <c r="S546" s="259" t="s">
        <v>743</v>
      </c>
      <c r="T546" s="259" t="s">
        <v>743</v>
      </c>
      <c r="U546" s="259" t="s">
        <v>743</v>
      </c>
      <c r="V546" s="52"/>
      <c r="W546" s="52"/>
      <c r="X546" s="52"/>
    </row>
    <row r="547" spans="2:24" s="165" customFormat="1" ht="60" hidden="1">
      <c r="B547" s="48"/>
      <c r="C547" s="62"/>
      <c r="D547" s="63"/>
      <c r="E547" s="63"/>
      <c r="F547" s="64"/>
      <c r="G547" s="58" t="s">
        <v>2673</v>
      </c>
      <c r="H547" s="161"/>
      <c r="I547" s="161"/>
      <c r="J547" s="161"/>
      <c r="K547" s="259"/>
      <c r="L547" s="259"/>
      <c r="M547" s="259"/>
      <c r="N547" s="259"/>
      <c r="O547" s="259"/>
      <c r="P547" s="259"/>
      <c r="Q547" s="259"/>
      <c r="R547" s="259" t="s">
        <v>2665</v>
      </c>
      <c r="S547" s="250">
        <v>150000000</v>
      </c>
      <c r="T547" s="259" t="s">
        <v>2665</v>
      </c>
      <c r="U547" s="250">
        <v>150000000</v>
      </c>
      <c r="V547" s="52"/>
      <c r="W547" s="52"/>
      <c r="X547" s="52"/>
    </row>
    <row r="548" spans="2:24" s="165" customFormat="1" ht="45" hidden="1">
      <c r="B548" s="48"/>
      <c r="C548" s="62"/>
      <c r="D548" s="63"/>
      <c r="E548" s="63"/>
      <c r="F548" s="64"/>
      <c r="G548" s="58" t="s">
        <v>2674</v>
      </c>
      <c r="H548" s="161" t="s">
        <v>743</v>
      </c>
      <c r="I548" s="161" t="s">
        <v>743</v>
      </c>
      <c r="J548" s="161" t="s">
        <v>743</v>
      </c>
      <c r="K548" s="259" t="s">
        <v>743</v>
      </c>
      <c r="L548" s="259" t="s">
        <v>2633</v>
      </c>
      <c r="M548" s="249">
        <v>30000000</v>
      </c>
      <c r="N548" s="259" t="s">
        <v>2633</v>
      </c>
      <c r="O548" s="249">
        <v>40000000</v>
      </c>
      <c r="P548" s="259" t="s">
        <v>2633</v>
      </c>
      <c r="Q548" s="249">
        <v>50000000</v>
      </c>
      <c r="R548" s="259" t="s">
        <v>2633</v>
      </c>
      <c r="S548" s="249">
        <v>60000000</v>
      </c>
      <c r="T548" s="259" t="s">
        <v>2633</v>
      </c>
      <c r="U548" s="249">
        <v>60000000</v>
      </c>
      <c r="V548" s="52"/>
      <c r="W548" s="52"/>
      <c r="X548" s="52"/>
    </row>
    <row r="549" spans="2:24" s="165" customFormat="1" ht="45" hidden="1">
      <c r="B549" s="48"/>
      <c r="C549" s="62"/>
      <c r="D549" s="63"/>
      <c r="E549" s="63"/>
      <c r="F549" s="64"/>
      <c r="G549" s="58" t="s">
        <v>2675</v>
      </c>
      <c r="H549" s="161" t="s">
        <v>743</v>
      </c>
      <c r="I549" s="161" t="s">
        <v>743</v>
      </c>
      <c r="J549" s="161" t="s">
        <v>743</v>
      </c>
      <c r="K549" s="259" t="s">
        <v>743</v>
      </c>
      <c r="L549" s="259" t="s">
        <v>743</v>
      </c>
      <c r="M549" s="259" t="s">
        <v>743</v>
      </c>
      <c r="N549" s="259" t="s">
        <v>743</v>
      </c>
      <c r="O549" s="259" t="s">
        <v>743</v>
      </c>
      <c r="P549" s="259" t="s">
        <v>2665</v>
      </c>
      <c r="Q549" s="249">
        <v>60000000</v>
      </c>
      <c r="R549" s="259" t="s">
        <v>743</v>
      </c>
      <c r="S549" s="259" t="s">
        <v>743</v>
      </c>
      <c r="T549" s="259" t="s">
        <v>743</v>
      </c>
      <c r="U549" s="259" t="s">
        <v>743</v>
      </c>
      <c r="V549" s="52"/>
      <c r="W549" s="52"/>
      <c r="X549" s="52"/>
    </row>
    <row r="550" spans="2:24" s="165" customFormat="1" ht="45" hidden="1">
      <c r="B550" s="48"/>
      <c r="C550" s="62"/>
      <c r="D550" s="63"/>
      <c r="E550" s="63"/>
      <c r="F550" s="64"/>
      <c r="G550" s="58" t="s">
        <v>2676</v>
      </c>
      <c r="H550" s="161" t="s">
        <v>743</v>
      </c>
      <c r="I550" s="161" t="s">
        <v>743</v>
      </c>
      <c r="J550" s="161" t="s">
        <v>743</v>
      </c>
      <c r="K550" s="259" t="s">
        <v>743</v>
      </c>
      <c r="L550" s="259" t="s">
        <v>743</v>
      </c>
      <c r="M550" s="259" t="s">
        <v>743</v>
      </c>
      <c r="N550" s="259" t="s">
        <v>743</v>
      </c>
      <c r="O550" s="259" t="s">
        <v>743</v>
      </c>
      <c r="P550" s="259" t="s">
        <v>2665</v>
      </c>
      <c r="Q550" s="249">
        <v>400000000</v>
      </c>
      <c r="R550" s="259" t="s">
        <v>743</v>
      </c>
      <c r="S550" s="259" t="s">
        <v>743</v>
      </c>
      <c r="T550" s="259" t="s">
        <v>743</v>
      </c>
      <c r="U550" s="259" t="s">
        <v>743</v>
      </c>
      <c r="V550" s="52"/>
      <c r="W550" s="52"/>
      <c r="X550" s="52"/>
    </row>
    <row r="551" spans="2:24" s="165" customFormat="1" ht="30" hidden="1">
      <c r="B551" s="48"/>
      <c r="C551" s="62"/>
      <c r="D551" s="63"/>
      <c r="E551" s="63"/>
      <c r="F551" s="64"/>
      <c r="G551" s="58" t="s">
        <v>2677</v>
      </c>
      <c r="H551" s="161" t="s">
        <v>743</v>
      </c>
      <c r="I551" s="161" t="s">
        <v>743</v>
      </c>
      <c r="J551" s="161" t="s">
        <v>743</v>
      </c>
      <c r="K551" s="259" t="s">
        <v>743</v>
      </c>
      <c r="L551" s="259" t="s">
        <v>743</v>
      </c>
      <c r="M551" s="259" t="s">
        <v>743</v>
      </c>
      <c r="N551" s="259" t="s">
        <v>743</v>
      </c>
      <c r="O551" s="259" t="s">
        <v>743</v>
      </c>
      <c r="P551" s="259" t="s">
        <v>743</v>
      </c>
      <c r="Q551" s="259" t="s">
        <v>743</v>
      </c>
      <c r="R551" s="259" t="s">
        <v>2665</v>
      </c>
      <c r="S551" s="249">
        <v>95000000</v>
      </c>
      <c r="T551" s="259" t="s">
        <v>2665</v>
      </c>
      <c r="U551" s="249">
        <v>95000000</v>
      </c>
      <c r="V551" s="52"/>
      <c r="W551" s="52"/>
      <c r="X551" s="52"/>
    </row>
    <row r="552" spans="2:24" s="165" customFormat="1" hidden="1">
      <c r="B552" s="48"/>
      <c r="C552" s="62" t="e">
        <f>#REF!</f>
        <v>#REF!</v>
      </c>
      <c r="D552" s="63" t="e">
        <f>#REF!</f>
        <v>#REF!</v>
      </c>
      <c r="E552" s="63" t="e">
        <f>#REF!</f>
        <v>#REF!</v>
      </c>
      <c r="F552" s="64" t="e">
        <f>#REF!</f>
        <v>#REF!</v>
      </c>
      <c r="G552" s="58"/>
      <c r="H552" s="52"/>
      <c r="I552" s="52"/>
      <c r="J552" s="52"/>
      <c r="K552" s="52"/>
      <c r="L552" s="52"/>
      <c r="M552" s="52"/>
      <c r="N552" s="52"/>
      <c r="O552" s="52"/>
      <c r="P552" s="52"/>
      <c r="Q552" s="52"/>
      <c r="R552" s="52"/>
      <c r="S552" s="52"/>
      <c r="T552" s="52"/>
      <c r="U552" s="52"/>
      <c r="V552" s="52"/>
      <c r="W552" s="52"/>
      <c r="X552" s="52" t="e">
        <f>#REF!</f>
        <v>#REF!</v>
      </c>
    </row>
    <row r="553" spans="2:24" s="165" customFormat="1" ht="30" hidden="1">
      <c r="B553" s="48"/>
      <c r="C553" s="62"/>
      <c r="D553" s="63"/>
      <c r="E553" s="63"/>
      <c r="F553" s="64"/>
      <c r="G553" s="58" t="s">
        <v>2619</v>
      </c>
      <c r="H553" s="161">
        <v>1</v>
      </c>
      <c r="I553" s="52" t="s">
        <v>2620</v>
      </c>
      <c r="J553" s="161">
        <v>1</v>
      </c>
      <c r="K553" s="238">
        <v>446390000</v>
      </c>
      <c r="L553" s="52" t="s">
        <v>2620</v>
      </c>
      <c r="M553" s="238">
        <v>500000000</v>
      </c>
      <c r="N553" s="52" t="s">
        <v>2620</v>
      </c>
      <c r="O553" s="238">
        <v>600000000</v>
      </c>
      <c r="P553" s="52" t="s">
        <v>2620</v>
      </c>
      <c r="Q553" s="238">
        <v>700000000</v>
      </c>
      <c r="R553" s="52" t="s">
        <v>2620</v>
      </c>
      <c r="S553" s="238">
        <v>800000000</v>
      </c>
      <c r="T553" s="52" t="s">
        <v>2620</v>
      </c>
      <c r="U553" s="238">
        <v>800000000</v>
      </c>
      <c r="V553" s="52"/>
      <c r="W553" s="52"/>
      <c r="X553" s="52"/>
    </row>
    <row r="554" spans="2:24" s="165" customFormat="1" ht="45" hidden="1">
      <c r="B554" s="48"/>
      <c r="C554" s="62"/>
      <c r="D554" s="63"/>
      <c r="E554" s="63"/>
      <c r="F554" s="64"/>
      <c r="G554" s="58" t="s">
        <v>2622</v>
      </c>
      <c r="H554" s="161">
        <v>1</v>
      </c>
      <c r="I554" s="52" t="s">
        <v>2620</v>
      </c>
      <c r="J554" s="161">
        <v>1</v>
      </c>
      <c r="K554" s="238">
        <v>68000000</v>
      </c>
      <c r="L554" s="52"/>
      <c r="M554" s="238">
        <v>70000000</v>
      </c>
      <c r="N554" s="52"/>
      <c r="O554" s="238">
        <v>85000000</v>
      </c>
      <c r="P554" s="52"/>
      <c r="Q554" s="238">
        <v>90000000</v>
      </c>
      <c r="R554" s="52"/>
      <c r="S554" s="238">
        <v>95000000</v>
      </c>
      <c r="T554" s="52"/>
      <c r="U554" s="238">
        <v>95000000</v>
      </c>
      <c r="V554" s="52"/>
      <c r="W554" s="52"/>
      <c r="X554" s="52"/>
    </row>
    <row r="555" spans="2:24" s="165" customFormat="1" ht="30" hidden="1">
      <c r="B555" s="48"/>
      <c r="C555" s="62"/>
      <c r="D555" s="63"/>
      <c r="E555" s="63"/>
      <c r="F555" s="64"/>
      <c r="G555" s="58" t="s">
        <v>2621</v>
      </c>
      <c r="H555" s="52" t="s">
        <v>743</v>
      </c>
      <c r="I555" s="52" t="s">
        <v>2620</v>
      </c>
      <c r="J555" s="161">
        <v>1</v>
      </c>
      <c r="K555" s="238">
        <v>43786500</v>
      </c>
      <c r="L555" s="52" t="s">
        <v>2620</v>
      </c>
      <c r="M555" s="238">
        <v>40000000</v>
      </c>
      <c r="N555" s="52" t="s">
        <v>2620</v>
      </c>
      <c r="O555" s="238">
        <v>80000000</v>
      </c>
      <c r="P555" s="52" t="s">
        <v>2620</v>
      </c>
      <c r="Q555" s="238">
        <v>85000000</v>
      </c>
      <c r="R555" s="52" t="s">
        <v>2620</v>
      </c>
      <c r="S555" s="238">
        <v>90000000</v>
      </c>
      <c r="T555" s="52" t="s">
        <v>2620</v>
      </c>
      <c r="U555" s="238">
        <v>90000000</v>
      </c>
      <c r="V555" s="52"/>
      <c r="W555" s="52"/>
      <c r="X555" s="52"/>
    </row>
    <row r="556" spans="2:24" s="165" customFormat="1" hidden="1">
      <c r="B556" s="48"/>
      <c r="C556" s="56" t="e">
        <f>#REF!</f>
        <v>#REF!</v>
      </c>
      <c r="D556" s="57" t="e">
        <f>#REF!</f>
        <v>#REF!</v>
      </c>
      <c r="E556" s="57" t="e">
        <f>#REF!</f>
        <v>#REF!</v>
      </c>
      <c r="F556" s="58" t="e">
        <f>#REF!</f>
        <v>#REF!</v>
      </c>
      <c r="G556" s="58"/>
      <c r="H556" s="52"/>
      <c r="I556" s="52"/>
      <c r="J556" s="52"/>
      <c r="K556" s="52"/>
      <c r="L556" s="52"/>
      <c r="M556" s="52"/>
      <c r="N556" s="52"/>
      <c r="O556" s="52"/>
      <c r="P556" s="52"/>
      <c r="Q556" s="52"/>
      <c r="R556" s="52"/>
      <c r="S556" s="52"/>
      <c r="T556" s="52"/>
      <c r="U556" s="52"/>
      <c r="V556" s="52"/>
      <c r="W556" s="52"/>
      <c r="X556" s="52" t="e">
        <f>#REF!</f>
        <v>#REF!</v>
      </c>
    </row>
    <row r="557" spans="2:24" s="165" customFormat="1" ht="30" hidden="1">
      <c r="B557" s="48"/>
      <c r="C557" s="62"/>
      <c r="D557" s="63"/>
      <c r="E557" s="63"/>
      <c r="F557" s="64"/>
      <c r="G557" s="58" t="s">
        <v>2627</v>
      </c>
      <c r="H557" s="161">
        <v>1</v>
      </c>
      <c r="I557" s="52" t="s">
        <v>2620</v>
      </c>
      <c r="J557" s="161">
        <v>1</v>
      </c>
      <c r="K557" s="238">
        <v>15000000</v>
      </c>
      <c r="L557" s="52" t="s">
        <v>2620</v>
      </c>
      <c r="M557" s="238">
        <v>15000000</v>
      </c>
      <c r="N557" s="52" t="s">
        <v>2620</v>
      </c>
      <c r="O557" s="238">
        <v>30000000</v>
      </c>
      <c r="P557" s="52" t="s">
        <v>2620</v>
      </c>
      <c r="Q557" s="238">
        <v>40000000</v>
      </c>
      <c r="R557" s="52" t="s">
        <v>2620</v>
      </c>
      <c r="S557" s="238">
        <v>45000000</v>
      </c>
      <c r="T557" s="52" t="s">
        <v>2620</v>
      </c>
      <c r="U557" s="238">
        <v>45000000</v>
      </c>
      <c r="V557" s="52"/>
      <c r="W557" s="52"/>
      <c r="X557" s="52"/>
    </row>
    <row r="558" spans="2:24" s="165" customFormat="1" ht="60" hidden="1">
      <c r="B558" s="48"/>
      <c r="C558" s="62"/>
      <c r="D558" s="63"/>
      <c r="E558" s="63"/>
      <c r="F558" s="64"/>
      <c r="G558" s="58" t="s">
        <v>2628</v>
      </c>
      <c r="H558" s="52" t="s">
        <v>743</v>
      </c>
      <c r="I558" s="52" t="s">
        <v>743</v>
      </c>
      <c r="J558" s="52" t="s">
        <v>743</v>
      </c>
      <c r="K558" s="52" t="s">
        <v>743</v>
      </c>
      <c r="L558" s="52" t="s">
        <v>2620</v>
      </c>
      <c r="M558" s="238">
        <v>26084000</v>
      </c>
      <c r="N558" s="52" t="s">
        <v>2620</v>
      </c>
      <c r="O558" s="238">
        <v>60000000</v>
      </c>
      <c r="P558" s="52" t="s">
        <v>2620</v>
      </c>
      <c r="Q558" s="238">
        <v>65000000</v>
      </c>
      <c r="R558" s="52" t="s">
        <v>2620</v>
      </c>
      <c r="S558" s="238">
        <v>70000000</v>
      </c>
      <c r="T558" s="52" t="s">
        <v>2620</v>
      </c>
      <c r="U558" s="238">
        <v>70000000</v>
      </c>
      <c r="V558" s="52"/>
      <c r="W558" s="52"/>
      <c r="X558" s="52"/>
    </row>
    <row r="559" spans="2:24" s="165" customFormat="1" ht="60" hidden="1">
      <c r="B559" s="48"/>
      <c r="C559" s="62"/>
      <c r="D559" s="63"/>
      <c r="E559" s="63"/>
      <c r="F559" s="64"/>
      <c r="G559" s="58" t="s">
        <v>2629</v>
      </c>
      <c r="H559" s="52" t="s">
        <v>743</v>
      </c>
      <c r="I559" s="52" t="s">
        <v>743</v>
      </c>
      <c r="J559" s="52" t="s">
        <v>743</v>
      </c>
      <c r="K559" s="52" t="s">
        <v>743</v>
      </c>
      <c r="L559" s="52" t="s">
        <v>2620</v>
      </c>
      <c r="M559" s="238">
        <v>26015000</v>
      </c>
      <c r="N559" s="52" t="s">
        <v>2620</v>
      </c>
      <c r="O559" s="238">
        <v>60000000</v>
      </c>
      <c r="P559" s="52" t="s">
        <v>2620</v>
      </c>
      <c r="Q559" s="238">
        <v>65000000</v>
      </c>
      <c r="R559" s="52" t="s">
        <v>2620</v>
      </c>
      <c r="S559" s="238">
        <v>70000000</v>
      </c>
      <c r="T559" s="52" t="s">
        <v>2620</v>
      </c>
      <c r="U559" s="238">
        <v>70000000</v>
      </c>
      <c r="V559" s="52"/>
      <c r="W559" s="52"/>
      <c r="X559" s="52"/>
    </row>
    <row r="560" spans="2:24" s="165" customFormat="1" hidden="1">
      <c r="B560" s="48"/>
      <c r="C560" s="62"/>
      <c r="D560" s="63"/>
      <c r="E560" s="63"/>
      <c r="F560" s="64"/>
      <c r="G560" s="58" t="s">
        <v>2630</v>
      </c>
      <c r="H560" s="52" t="s">
        <v>743</v>
      </c>
      <c r="I560" s="52" t="s">
        <v>743</v>
      </c>
      <c r="J560" s="52" t="s">
        <v>743</v>
      </c>
      <c r="K560" s="52" t="s">
        <v>743</v>
      </c>
      <c r="L560" s="52" t="s">
        <v>2620</v>
      </c>
      <c r="M560" s="238">
        <v>0</v>
      </c>
      <c r="N560" s="52" t="s">
        <v>2620</v>
      </c>
      <c r="O560" s="238">
        <v>0</v>
      </c>
      <c r="P560" s="52" t="s">
        <v>2620</v>
      </c>
      <c r="Q560" s="238">
        <v>60000000</v>
      </c>
      <c r="R560" s="52" t="s">
        <v>2620</v>
      </c>
      <c r="S560" s="238">
        <v>0</v>
      </c>
      <c r="T560" s="52" t="s">
        <v>2620</v>
      </c>
      <c r="U560" s="238">
        <v>0</v>
      </c>
      <c r="V560" s="52"/>
      <c r="W560" s="52"/>
      <c r="X560" s="52"/>
    </row>
    <row r="561" spans="2:24" s="165" customFormat="1" ht="60" hidden="1">
      <c r="B561" s="48"/>
      <c r="C561" s="62"/>
      <c r="D561" s="63"/>
      <c r="E561" s="63"/>
      <c r="F561" s="64"/>
      <c r="G561" s="58" t="s">
        <v>2631</v>
      </c>
      <c r="H561" s="52" t="s">
        <v>743</v>
      </c>
      <c r="I561" s="52" t="s">
        <v>743</v>
      </c>
      <c r="J561" s="52" t="s">
        <v>743</v>
      </c>
      <c r="K561" s="52" t="s">
        <v>743</v>
      </c>
      <c r="L561" s="52" t="s">
        <v>2620</v>
      </c>
      <c r="M561" s="238">
        <v>70000000</v>
      </c>
      <c r="N561" s="52" t="s">
        <v>2620</v>
      </c>
      <c r="O561" s="238">
        <v>0</v>
      </c>
      <c r="P561" s="52" t="s">
        <v>2620</v>
      </c>
      <c r="Q561" s="238">
        <v>0</v>
      </c>
      <c r="R561" s="52" t="s">
        <v>2620</v>
      </c>
      <c r="S561" s="238">
        <v>0</v>
      </c>
      <c r="T561" s="52" t="s">
        <v>2620</v>
      </c>
      <c r="U561" s="238">
        <v>0</v>
      </c>
      <c r="V561" s="52"/>
      <c r="W561" s="52"/>
      <c r="X561" s="52"/>
    </row>
    <row r="562" spans="2:24" s="165" customFormat="1" ht="60" hidden="1">
      <c r="B562" s="48"/>
      <c r="C562" s="62"/>
      <c r="D562" s="63"/>
      <c r="E562" s="63"/>
      <c r="F562" s="64"/>
      <c r="G562" s="58" t="s">
        <v>2632</v>
      </c>
      <c r="H562" s="52" t="s">
        <v>743</v>
      </c>
      <c r="I562" s="52" t="s">
        <v>743</v>
      </c>
      <c r="J562" s="52" t="s">
        <v>743</v>
      </c>
      <c r="K562" s="52" t="s">
        <v>743</v>
      </c>
      <c r="L562" s="52" t="s">
        <v>2633</v>
      </c>
      <c r="M562" s="238">
        <v>35000000</v>
      </c>
      <c r="N562" s="52" t="s">
        <v>2633</v>
      </c>
      <c r="O562" s="238">
        <v>40000000</v>
      </c>
      <c r="P562" s="52" t="s">
        <v>2633</v>
      </c>
      <c r="Q562" s="238">
        <v>45000000</v>
      </c>
      <c r="R562" s="52" t="s">
        <v>2633</v>
      </c>
      <c r="S562" s="238">
        <v>50000000</v>
      </c>
      <c r="T562" s="52" t="s">
        <v>2633</v>
      </c>
      <c r="U562" s="238">
        <v>50000000</v>
      </c>
      <c r="V562" s="52"/>
      <c r="W562" s="52"/>
      <c r="X562" s="52"/>
    </row>
    <row r="563" spans="2:24" s="165" customFormat="1" hidden="1">
      <c r="B563" s="48"/>
      <c r="C563" s="62"/>
      <c r="D563" s="63"/>
      <c r="E563" s="63"/>
      <c r="F563" s="64"/>
      <c r="G563" s="58"/>
      <c r="H563" s="52"/>
      <c r="I563" s="52"/>
      <c r="J563" s="52"/>
      <c r="K563" s="52"/>
      <c r="L563" s="52" t="s">
        <v>2620</v>
      </c>
      <c r="M563" s="238">
        <v>5000000</v>
      </c>
      <c r="N563" s="52" t="s">
        <v>2620</v>
      </c>
      <c r="O563" s="238">
        <v>5000000</v>
      </c>
      <c r="P563" s="52" t="s">
        <v>2620</v>
      </c>
      <c r="Q563" s="238">
        <v>6000000</v>
      </c>
      <c r="R563" s="52" t="s">
        <v>2620</v>
      </c>
      <c r="S563" s="238">
        <v>6000000</v>
      </c>
      <c r="T563" s="52" t="s">
        <v>2620</v>
      </c>
      <c r="U563" s="238">
        <v>6000000</v>
      </c>
      <c r="V563" s="52"/>
      <c r="W563" s="52"/>
      <c r="X563" s="52"/>
    </row>
    <row r="564" spans="2:24" s="165" customFormat="1" ht="45" hidden="1">
      <c r="B564" s="48"/>
      <c r="C564" s="62"/>
      <c r="D564" s="63"/>
      <c r="E564" s="63"/>
      <c r="F564" s="64"/>
      <c r="G564" s="58" t="s">
        <v>2634</v>
      </c>
      <c r="H564" s="52" t="s">
        <v>1040</v>
      </c>
      <c r="I564" s="52" t="s">
        <v>1040</v>
      </c>
      <c r="J564" s="52" t="s">
        <v>1040</v>
      </c>
      <c r="K564" s="52" t="s">
        <v>1040</v>
      </c>
      <c r="L564" s="52" t="s">
        <v>2635</v>
      </c>
      <c r="M564" s="238">
        <v>64795000</v>
      </c>
      <c r="N564" s="52" t="s">
        <v>2635</v>
      </c>
      <c r="O564" s="238">
        <v>86000000</v>
      </c>
      <c r="P564" s="52" t="s">
        <v>2635</v>
      </c>
      <c r="Q564" s="238">
        <v>86000000</v>
      </c>
      <c r="R564" s="52" t="s">
        <v>2635</v>
      </c>
      <c r="S564" s="238">
        <v>86000000</v>
      </c>
      <c r="T564" s="52" t="s">
        <v>2635</v>
      </c>
      <c r="U564" s="238">
        <v>86000000</v>
      </c>
      <c r="V564" s="52"/>
      <c r="W564" s="52"/>
      <c r="X564" s="52"/>
    </row>
    <row r="565" spans="2:24" s="165" customFormat="1" ht="30" hidden="1">
      <c r="B565" s="48"/>
      <c r="C565" s="62"/>
      <c r="D565" s="63"/>
      <c r="E565" s="63"/>
      <c r="F565" s="64"/>
      <c r="G565" s="58" t="s">
        <v>2636</v>
      </c>
      <c r="H565" s="161">
        <v>1</v>
      </c>
      <c r="I565" s="52" t="s">
        <v>2620</v>
      </c>
      <c r="J565" s="161">
        <v>1</v>
      </c>
      <c r="K565" s="238">
        <v>20000000</v>
      </c>
      <c r="L565" s="52" t="s">
        <v>2620</v>
      </c>
      <c r="M565" s="238">
        <v>24140000</v>
      </c>
      <c r="N565" s="52" t="s">
        <v>2620</v>
      </c>
      <c r="O565" s="238">
        <v>40000000</v>
      </c>
      <c r="P565" s="52" t="s">
        <v>2620</v>
      </c>
      <c r="Q565" s="238">
        <v>50000000</v>
      </c>
      <c r="R565" s="52" t="s">
        <v>2620</v>
      </c>
      <c r="S565" s="238">
        <v>50000000</v>
      </c>
      <c r="T565" s="52" t="s">
        <v>2620</v>
      </c>
      <c r="U565" s="238">
        <v>50000000</v>
      </c>
      <c r="V565" s="52"/>
      <c r="W565" s="52"/>
      <c r="X565" s="52"/>
    </row>
    <row r="566" spans="2:24" s="165" customFormat="1" ht="60" hidden="1">
      <c r="B566" s="48"/>
      <c r="C566" s="62"/>
      <c r="D566" s="63"/>
      <c r="E566" s="63"/>
      <c r="F566" s="64"/>
      <c r="G566" s="58" t="s">
        <v>2637</v>
      </c>
      <c r="H566" s="161">
        <v>1</v>
      </c>
      <c r="I566" s="52" t="s">
        <v>2633</v>
      </c>
      <c r="J566" s="161">
        <v>1</v>
      </c>
      <c r="K566" s="238">
        <v>24340000</v>
      </c>
      <c r="L566" s="52" t="s">
        <v>2633</v>
      </c>
      <c r="M566" s="238">
        <v>24891000</v>
      </c>
      <c r="N566" s="52" t="s">
        <v>2633</v>
      </c>
      <c r="O566" s="238">
        <v>30000000</v>
      </c>
      <c r="P566" s="52" t="s">
        <v>2633</v>
      </c>
      <c r="Q566" s="238">
        <v>40000000</v>
      </c>
      <c r="R566" s="52" t="s">
        <v>2633</v>
      </c>
      <c r="S566" s="238">
        <v>40000000</v>
      </c>
      <c r="T566" s="52" t="s">
        <v>2633</v>
      </c>
      <c r="U566" s="238">
        <v>40000000</v>
      </c>
      <c r="V566" s="52"/>
      <c r="W566" s="52"/>
      <c r="X566" s="52"/>
    </row>
    <row r="567" spans="2:24" s="165" customFormat="1" ht="45" hidden="1">
      <c r="B567" s="48"/>
      <c r="C567" s="62"/>
      <c r="D567" s="63"/>
      <c r="E567" s="63"/>
      <c r="F567" s="64"/>
      <c r="G567" s="58" t="s">
        <v>2638</v>
      </c>
      <c r="H567" s="52" t="s">
        <v>743</v>
      </c>
      <c r="I567" s="52" t="s">
        <v>743</v>
      </c>
      <c r="J567" s="52" t="s">
        <v>743</v>
      </c>
      <c r="K567" s="52" t="s">
        <v>743</v>
      </c>
      <c r="L567" s="52" t="s">
        <v>2620</v>
      </c>
      <c r="M567" s="238">
        <v>40000000</v>
      </c>
      <c r="N567" s="52" t="s">
        <v>2620</v>
      </c>
      <c r="O567" s="238">
        <v>45000000</v>
      </c>
      <c r="P567" s="52" t="s">
        <v>2620</v>
      </c>
      <c r="Q567" s="238">
        <v>45000000</v>
      </c>
      <c r="R567" s="52" t="s">
        <v>2620</v>
      </c>
      <c r="S567" s="238">
        <v>45000000</v>
      </c>
      <c r="T567" s="52" t="s">
        <v>2620</v>
      </c>
      <c r="U567" s="238">
        <v>45000000</v>
      </c>
      <c r="V567" s="52"/>
      <c r="W567" s="52"/>
      <c r="X567" s="52"/>
    </row>
    <row r="568" spans="2:24" s="165" customFormat="1" ht="30" hidden="1">
      <c r="B568" s="48"/>
      <c r="C568" s="62"/>
      <c r="D568" s="63"/>
      <c r="E568" s="63"/>
      <c r="F568" s="64"/>
      <c r="G568" s="58" t="s">
        <v>2639</v>
      </c>
      <c r="H568" s="52" t="s">
        <v>743</v>
      </c>
      <c r="I568" s="52" t="s">
        <v>743</v>
      </c>
      <c r="J568" s="52" t="s">
        <v>743</v>
      </c>
      <c r="K568" s="52" t="s">
        <v>743</v>
      </c>
      <c r="L568" s="52" t="s">
        <v>1040</v>
      </c>
      <c r="M568" s="238" t="s">
        <v>1040</v>
      </c>
      <c r="N568" s="52" t="s">
        <v>2620</v>
      </c>
      <c r="O568" s="238">
        <v>700000000</v>
      </c>
      <c r="P568" s="52" t="s">
        <v>2620</v>
      </c>
      <c r="Q568" s="238">
        <v>0</v>
      </c>
      <c r="R568" s="52" t="s">
        <v>2620</v>
      </c>
      <c r="S568" s="238">
        <v>0</v>
      </c>
      <c r="T568" s="52" t="s">
        <v>2620</v>
      </c>
      <c r="U568" s="238">
        <v>0</v>
      </c>
      <c r="V568" s="52"/>
      <c r="W568" s="52"/>
      <c r="X568" s="52"/>
    </row>
    <row r="569" spans="2:24" s="165" customFormat="1" ht="30" hidden="1">
      <c r="B569" s="48"/>
      <c r="C569" s="62"/>
      <c r="D569" s="63"/>
      <c r="E569" s="63"/>
      <c r="F569" s="64"/>
      <c r="G569" s="58" t="s">
        <v>2640</v>
      </c>
      <c r="H569" s="52" t="s">
        <v>743</v>
      </c>
      <c r="I569" s="52" t="s">
        <v>743</v>
      </c>
      <c r="J569" s="52" t="s">
        <v>743</v>
      </c>
      <c r="K569" s="52" t="s">
        <v>743</v>
      </c>
      <c r="L569" s="52" t="s">
        <v>2620</v>
      </c>
      <c r="M569" s="238">
        <v>60000000</v>
      </c>
      <c r="N569" s="52" t="s">
        <v>2620</v>
      </c>
      <c r="O569" s="238">
        <v>60000000</v>
      </c>
      <c r="P569" s="52" t="s">
        <v>2620</v>
      </c>
      <c r="Q569" s="238">
        <v>0</v>
      </c>
      <c r="R569" s="52" t="s">
        <v>2620</v>
      </c>
      <c r="S569" s="238">
        <v>0</v>
      </c>
      <c r="T569" s="52" t="s">
        <v>2620</v>
      </c>
      <c r="U569" s="238">
        <v>0</v>
      </c>
      <c r="V569" s="52"/>
      <c r="W569" s="52"/>
      <c r="X569" s="52"/>
    </row>
    <row r="570" spans="2:24" s="165" customFormat="1" ht="30" hidden="1">
      <c r="B570" s="48"/>
      <c r="C570" s="62"/>
      <c r="D570" s="63"/>
      <c r="E570" s="63"/>
      <c r="F570" s="64"/>
      <c r="G570" s="58" t="s">
        <v>2641</v>
      </c>
      <c r="H570" s="52" t="s">
        <v>743</v>
      </c>
      <c r="I570" s="52" t="s">
        <v>743</v>
      </c>
      <c r="J570" s="52" t="s">
        <v>743</v>
      </c>
      <c r="K570" s="52" t="s">
        <v>743</v>
      </c>
      <c r="L570" s="52" t="s">
        <v>2620</v>
      </c>
      <c r="M570" s="238">
        <v>60000000</v>
      </c>
      <c r="N570" s="52" t="s">
        <v>2620</v>
      </c>
      <c r="O570" s="238">
        <v>60000000</v>
      </c>
      <c r="P570" s="52" t="s">
        <v>2620</v>
      </c>
      <c r="Q570" s="238">
        <v>0</v>
      </c>
      <c r="R570" s="52" t="s">
        <v>2620</v>
      </c>
      <c r="S570" s="238">
        <v>0</v>
      </c>
      <c r="T570" s="52" t="s">
        <v>2620</v>
      </c>
      <c r="U570" s="238">
        <v>0</v>
      </c>
      <c r="V570" s="52"/>
      <c r="W570" s="52"/>
      <c r="X570" s="52"/>
    </row>
    <row r="571" spans="2:24" s="165" customFormat="1" ht="30" hidden="1">
      <c r="B571" s="48"/>
      <c r="C571" s="62"/>
      <c r="D571" s="63"/>
      <c r="E571" s="63"/>
      <c r="F571" s="64"/>
      <c r="G571" s="58" t="s">
        <v>2642</v>
      </c>
      <c r="H571" s="52" t="s">
        <v>743</v>
      </c>
      <c r="I571" s="52" t="s">
        <v>743</v>
      </c>
      <c r="J571" s="52" t="s">
        <v>743</v>
      </c>
      <c r="K571" s="52" t="s">
        <v>743</v>
      </c>
      <c r="L571" s="52" t="s">
        <v>2620</v>
      </c>
      <c r="M571" s="238">
        <v>70000000</v>
      </c>
      <c r="N571" s="52" t="s">
        <v>2620</v>
      </c>
      <c r="O571" s="238">
        <v>70000000</v>
      </c>
      <c r="P571" s="52" t="s">
        <v>2620</v>
      </c>
      <c r="Q571" s="238">
        <v>0</v>
      </c>
      <c r="R571" s="52" t="s">
        <v>2620</v>
      </c>
      <c r="S571" s="238">
        <v>0</v>
      </c>
      <c r="T571" s="52" t="s">
        <v>2620</v>
      </c>
      <c r="U571" s="238">
        <v>0</v>
      </c>
      <c r="V571" s="52"/>
      <c r="W571" s="52"/>
      <c r="X571" s="52" t="e">
        <f>#REF!</f>
        <v>#REF!</v>
      </c>
    </row>
    <row r="572" spans="2:24" s="165" customFormat="1" ht="45" hidden="1">
      <c r="B572" s="48"/>
      <c r="C572" s="62"/>
      <c r="D572" s="63"/>
      <c r="E572" s="63"/>
      <c r="F572" s="64"/>
      <c r="G572" s="58" t="s">
        <v>2643</v>
      </c>
      <c r="H572" s="52" t="s">
        <v>743</v>
      </c>
      <c r="I572" s="52" t="s">
        <v>2644</v>
      </c>
      <c r="J572" s="161">
        <v>1</v>
      </c>
      <c r="K572" s="252">
        <v>45000000</v>
      </c>
      <c r="L572" s="52" t="s">
        <v>1040</v>
      </c>
      <c r="M572" s="238" t="s">
        <v>1040</v>
      </c>
      <c r="N572" s="52" t="s">
        <v>2620</v>
      </c>
      <c r="O572" s="238">
        <v>0</v>
      </c>
      <c r="P572" s="52" t="s">
        <v>2620</v>
      </c>
      <c r="Q572" s="238">
        <v>0</v>
      </c>
      <c r="R572" s="52" t="s">
        <v>2620</v>
      </c>
      <c r="S572" s="238">
        <v>0</v>
      </c>
      <c r="T572" s="52" t="s">
        <v>2620</v>
      </c>
      <c r="U572" s="238">
        <v>0</v>
      </c>
      <c r="V572" s="52"/>
      <c r="W572" s="52"/>
      <c r="X572" s="52"/>
    </row>
    <row r="573" spans="2:24" s="165" customFormat="1" ht="30" hidden="1">
      <c r="B573" s="48"/>
      <c r="C573" s="62"/>
      <c r="D573" s="63"/>
      <c r="E573" s="63"/>
      <c r="F573" s="64"/>
      <c r="G573" s="58" t="s">
        <v>2645</v>
      </c>
      <c r="H573" s="52" t="s">
        <v>743</v>
      </c>
      <c r="I573" s="52" t="s">
        <v>743</v>
      </c>
      <c r="J573" s="52" t="s">
        <v>743</v>
      </c>
      <c r="K573" s="52" t="s">
        <v>743</v>
      </c>
      <c r="L573" s="52" t="s">
        <v>2620</v>
      </c>
      <c r="M573" s="238">
        <v>200000000</v>
      </c>
      <c r="N573" s="52" t="s">
        <v>2620</v>
      </c>
      <c r="O573" s="238">
        <v>0</v>
      </c>
      <c r="P573" s="52" t="s">
        <v>2620</v>
      </c>
      <c r="Q573" s="238">
        <v>0</v>
      </c>
      <c r="R573" s="52" t="s">
        <v>2620</v>
      </c>
      <c r="S573" s="238">
        <v>0</v>
      </c>
      <c r="T573" s="52" t="s">
        <v>2620</v>
      </c>
      <c r="U573" s="238">
        <v>0</v>
      </c>
      <c r="V573" s="52"/>
      <c r="W573" s="52"/>
      <c r="X573" s="52"/>
    </row>
    <row r="574" spans="2:24" s="165" customFormat="1" ht="45" hidden="1">
      <c r="B574" s="48"/>
      <c r="C574" s="62"/>
      <c r="D574" s="63"/>
      <c r="E574" s="63"/>
      <c r="F574" s="64"/>
      <c r="G574" s="58" t="s">
        <v>2646</v>
      </c>
      <c r="H574" s="52" t="s">
        <v>743</v>
      </c>
      <c r="I574" s="52" t="s">
        <v>743</v>
      </c>
      <c r="J574" s="52" t="s">
        <v>743</v>
      </c>
      <c r="K574" s="52" t="s">
        <v>743</v>
      </c>
      <c r="L574" s="52" t="s">
        <v>2620</v>
      </c>
      <c r="M574" s="238">
        <v>85000000</v>
      </c>
      <c r="N574" s="52" t="s">
        <v>2620</v>
      </c>
      <c r="O574" s="238">
        <v>0</v>
      </c>
      <c r="P574" s="52" t="s">
        <v>2620</v>
      </c>
      <c r="Q574" s="238">
        <v>0</v>
      </c>
      <c r="R574" s="52" t="s">
        <v>2620</v>
      </c>
      <c r="S574" s="238">
        <v>0</v>
      </c>
      <c r="T574" s="52" t="s">
        <v>2620</v>
      </c>
      <c r="U574" s="238">
        <v>0</v>
      </c>
      <c r="V574" s="52"/>
      <c r="W574" s="52"/>
      <c r="X574" s="52"/>
    </row>
    <row r="575" spans="2:24" s="165" customFormat="1" ht="30" hidden="1">
      <c r="B575" s="48"/>
      <c r="C575" s="62"/>
      <c r="D575" s="63"/>
      <c r="E575" s="63"/>
      <c r="F575" s="64"/>
      <c r="G575" s="58" t="s">
        <v>2647</v>
      </c>
      <c r="H575" s="52" t="s">
        <v>743</v>
      </c>
      <c r="I575" s="52" t="s">
        <v>743</v>
      </c>
      <c r="J575" s="52" t="s">
        <v>743</v>
      </c>
      <c r="K575" s="52" t="s">
        <v>743</v>
      </c>
      <c r="L575" s="52" t="s">
        <v>2620</v>
      </c>
      <c r="M575" s="238">
        <v>5000000</v>
      </c>
      <c r="N575" s="52" t="s">
        <v>2620</v>
      </c>
      <c r="O575" s="238">
        <v>5000000</v>
      </c>
      <c r="P575" s="52" t="s">
        <v>2620</v>
      </c>
      <c r="Q575" s="238">
        <v>5500000</v>
      </c>
      <c r="R575" s="52" t="s">
        <v>2620</v>
      </c>
      <c r="S575" s="238">
        <v>5500000</v>
      </c>
      <c r="T575" s="52" t="s">
        <v>2620</v>
      </c>
      <c r="U575" s="238">
        <v>5500000</v>
      </c>
      <c r="V575" s="52"/>
      <c r="W575" s="52"/>
      <c r="X575" s="52"/>
    </row>
    <row r="576" spans="2:24" s="165" customFormat="1" ht="30" hidden="1">
      <c r="B576" s="48"/>
      <c r="C576" s="62"/>
      <c r="D576" s="63"/>
      <c r="E576" s="63"/>
      <c r="F576" s="64"/>
      <c r="G576" s="58" t="s">
        <v>2648</v>
      </c>
      <c r="H576" s="174" t="s">
        <v>743</v>
      </c>
      <c r="I576" s="174" t="s">
        <v>743</v>
      </c>
      <c r="J576" s="174" t="s">
        <v>743</v>
      </c>
      <c r="K576" s="174" t="s">
        <v>743</v>
      </c>
      <c r="L576" s="174" t="s">
        <v>743</v>
      </c>
      <c r="M576" s="174" t="s">
        <v>743</v>
      </c>
      <c r="N576" s="52" t="s">
        <v>1040</v>
      </c>
      <c r="O576" s="238" t="s">
        <v>1040</v>
      </c>
      <c r="P576" s="52" t="s">
        <v>2620</v>
      </c>
      <c r="Q576" s="238">
        <v>6000000</v>
      </c>
      <c r="R576" s="52" t="s">
        <v>2620</v>
      </c>
      <c r="S576" s="238">
        <v>7000000</v>
      </c>
      <c r="T576" s="52" t="s">
        <v>2620</v>
      </c>
      <c r="U576" s="238">
        <v>7000000</v>
      </c>
      <c r="V576" s="52"/>
      <c r="W576" s="52"/>
      <c r="X576" s="52"/>
    </row>
    <row r="577" spans="1:32" s="165" customFormat="1" ht="30" hidden="1">
      <c r="B577" s="48"/>
      <c r="C577" s="62"/>
      <c r="D577" s="63"/>
      <c r="E577" s="63"/>
      <c r="F577" s="64"/>
      <c r="G577" s="58" t="s">
        <v>2649</v>
      </c>
      <c r="H577" s="161" t="s">
        <v>1040</v>
      </c>
      <c r="I577" s="161" t="s">
        <v>1040</v>
      </c>
      <c r="J577" s="161" t="s">
        <v>1040</v>
      </c>
      <c r="K577" s="161" t="s">
        <v>1040</v>
      </c>
      <c r="L577" s="161" t="s">
        <v>1040</v>
      </c>
      <c r="M577" s="161" t="s">
        <v>1040</v>
      </c>
      <c r="N577" s="52" t="s">
        <v>2650</v>
      </c>
      <c r="O577" s="238">
        <v>50000000</v>
      </c>
      <c r="P577" s="52" t="s">
        <v>2650</v>
      </c>
      <c r="Q577" s="238">
        <v>50000000</v>
      </c>
      <c r="R577" s="52" t="s">
        <v>2650</v>
      </c>
      <c r="S577" s="238">
        <v>50000000</v>
      </c>
      <c r="T577" s="52" t="s">
        <v>2650</v>
      </c>
      <c r="U577" s="238">
        <v>50000000</v>
      </c>
      <c r="V577" s="52"/>
      <c r="W577" s="52"/>
      <c r="X577" s="52"/>
    </row>
    <row r="578" spans="1:32" s="165" customFormat="1" ht="30" hidden="1">
      <c r="B578" s="48"/>
      <c r="C578" s="62"/>
      <c r="D578" s="63"/>
      <c r="E578" s="63"/>
      <c r="F578" s="64"/>
      <c r="G578" s="58" t="s">
        <v>2651</v>
      </c>
      <c r="H578" s="161" t="s">
        <v>1040</v>
      </c>
      <c r="I578" s="161" t="s">
        <v>1040</v>
      </c>
      <c r="J578" s="161" t="s">
        <v>1040</v>
      </c>
      <c r="K578" s="161" t="s">
        <v>1040</v>
      </c>
      <c r="L578" s="161" t="s">
        <v>1040</v>
      </c>
      <c r="M578" s="161" t="s">
        <v>1040</v>
      </c>
      <c r="N578" s="52" t="s">
        <v>2652</v>
      </c>
      <c r="O578" s="238">
        <v>50000001</v>
      </c>
      <c r="P578" s="52" t="s">
        <v>2652</v>
      </c>
      <c r="Q578" s="238">
        <v>50000001</v>
      </c>
      <c r="R578" s="52" t="s">
        <v>1040</v>
      </c>
      <c r="S578" s="238" t="s">
        <v>1040</v>
      </c>
      <c r="T578" s="52" t="s">
        <v>1040</v>
      </c>
      <c r="U578" s="238" t="s">
        <v>1040</v>
      </c>
      <c r="V578" s="52"/>
      <c r="W578" s="52"/>
      <c r="X578" s="52"/>
    </row>
    <row r="579" spans="1:32" s="165" customFormat="1" ht="45" hidden="1">
      <c r="B579" s="48"/>
      <c r="C579" s="62"/>
      <c r="D579" s="63"/>
      <c r="E579" s="63"/>
      <c r="F579" s="64"/>
      <c r="G579" s="58" t="s">
        <v>2653</v>
      </c>
      <c r="H579" s="161">
        <v>1</v>
      </c>
      <c r="I579" s="52" t="s">
        <v>2635</v>
      </c>
      <c r="J579" s="161">
        <v>1</v>
      </c>
      <c r="K579" s="186">
        <v>75000000</v>
      </c>
      <c r="L579" s="52" t="s">
        <v>2635</v>
      </c>
      <c r="M579" s="186">
        <v>61110000</v>
      </c>
      <c r="N579" s="52" t="s">
        <v>2635</v>
      </c>
      <c r="O579" s="186">
        <v>95000000</v>
      </c>
      <c r="P579" s="52" t="s">
        <v>2635</v>
      </c>
      <c r="Q579" s="186">
        <v>105000000</v>
      </c>
      <c r="R579" s="52" t="s">
        <v>2635</v>
      </c>
      <c r="S579" s="186">
        <v>115000000</v>
      </c>
      <c r="T579" s="52" t="s">
        <v>2635</v>
      </c>
      <c r="U579" s="186">
        <v>115000000</v>
      </c>
      <c r="V579" s="52"/>
      <c r="W579" s="52"/>
      <c r="X579" s="52"/>
    </row>
    <row r="580" spans="1:32" s="165" customFormat="1" hidden="1">
      <c r="B580" s="48"/>
      <c r="C580" s="62"/>
      <c r="D580" s="63"/>
      <c r="E580" s="63"/>
      <c r="F580" s="64"/>
      <c r="G580" s="58" t="s">
        <v>2654</v>
      </c>
      <c r="H580" s="52"/>
      <c r="I580" s="52"/>
      <c r="J580" s="52"/>
      <c r="K580" s="186"/>
      <c r="L580" s="52"/>
      <c r="M580" s="186"/>
      <c r="N580" s="52"/>
      <c r="O580" s="186"/>
      <c r="P580" s="52"/>
      <c r="Q580" s="186"/>
      <c r="R580" s="52"/>
      <c r="S580" s="186"/>
      <c r="T580" s="52"/>
      <c r="U580" s="186"/>
      <c r="V580" s="52"/>
      <c r="W580" s="52"/>
      <c r="X580" s="52"/>
    </row>
    <row r="581" spans="1:32" s="165" customFormat="1" ht="30" hidden="1">
      <c r="B581" s="48"/>
      <c r="C581" s="62"/>
      <c r="D581" s="63"/>
      <c r="E581" s="63"/>
      <c r="F581" s="64"/>
      <c r="G581" s="58" t="s">
        <v>2655</v>
      </c>
      <c r="H581" s="161">
        <v>1</v>
      </c>
      <c r="I581" s="52" t="s">
        <v>2635</v>
      </c>
      <c r="J581" s="161">
        <v>1</v>
      </c>
      <c r="K581" s="186">
        <v>40000000</v>
      </c>
      <c r="L581" s="52" t="s">
        <v>2635</v>
      </c>
      <c r="M581" s="186">
        <v>38546000</v>
      </c>
      <c r="N581" s="52" t="s">
        <v>2635</v>
      </c>
      <c r="O581" s="186">
        <v>65000000</v>
      </c>
      <c r="P581" s="52" t="s">
        <v>2635</v>
      </c>
      <c r="Q581" s="186">
        <v>75000000</v>
      </c>
      <c r="R581" s="52" t="s">
        <v>2635</v>
      </c>
      <c r="S581" s="186">
        <v>85000000</v>
      </c>
      <c r="T581" s="52" t="s">
        <v>2635</v>
      </c>
      <c r="U581" s="186">
        <v>85000000</v>
      </c>
      <c r="V581" s="52"/>
      <c r="W581" s="52"/>
      <c r="X581" s="52"/>
    </row>
    <row r="582" spans="1:32" s="165" customFormat="1" ht="30" hidden="1">
      <c r="B582" s="48"/>
      <c r="C582" s="62"/>
      <c r="D582" s="63"/>
      <c r="E582" s="63"/>
      <c r="F582" s="64"/>
      <c r="G582" s="58" t="s">
        <v>2656</v>
      </c>
      <c r="H582" s="174" t="s">
        <v>743</v>
      </c>
      <c r="I582" s="174" t="s">
        <v>743</v>
      </c>
      <c r="J582" s="174" t="s">
        <v>743</v>
      </c>
      <c r="K582" s="174" t="s">
        <v>743</v>
      </c>
      <c r="L582" s="52"/>
      <c r="M582" s="52"/>
      <c r="N582" s="52" t="s">
        <v>2620</v>
      </c>
      <c r="O582" s="238">
        <v>200000000</v>
      </c>
      <c r="P582" s="174" t="s">
        <v>743</v>
      </c>
      <c r="Q582" s="174" t="s">
        <v>743</v>
      </c>
      <c r="R582" s="174" t="s">
        <v>743</v>
      </c>
      <c r="S582" s="174" t="s">
        <v>743</v>
      </c>
      <c r="T582" s="174" t="s">
        <v>743</v>
      </c>
      <c r="U582" s="174" t="s">
        <v>743</v>
      </c>
      <c r="V582" s="52"/>
      <c r="W582" s="52"/>
      <c r="X582" s="52"/>
    </row>
    <row r="583" spans="1:32" s="165" customFormat="1" ht="45" hidden="1">
      <c r="B583" s="48"/>
      <c r="C583" s="62"/>
      <c r="D583" s="63"/>
      <c r="E583" s="63"/>
      <c r="F583" s="64"/>
      <c r="G583" s="58" t="s">
        <v>2658</v>
      </c>
      <c r="H583" s="52"/>
      <c r="I583" s="52"/>
      <c r="J583" s="161"/>
      <c r="K583" s="238"/>
      <c r="L583" s="52"/>
      <c r="M583" s="238">
        <v>6000000</v>
      </c>
      <c r="N583" s="238"/>
      <c r="O583" s="238">
        <v>67000000</v>
      </c>
      <c r="P583" s="238"/>
      <c r="Q583" s="238">
        <v>7000000</v>
      </c>
      <c r="R583" s="238"/>
      <c r="S583" s="238">
        <v>9100000</v>
      </c>
      <c r="T583" s="238"/>
      <c r="U583" s="238">
        <v>9100000</v>
      </c>
      <c r="V583" s="52"/>
      <c r="W583" s="52"/>
      <c r="X583" s="52"/>
    </row>
    <row r="584" spans="1:32" s="165" customFormat="1" ht="45" hidden="1">
      <c r="B584" s="48"/>
      <c r="C584" s="62"/>
      <c r="D584" s="63"/>
      <c r="E584" s="63"/>
      <c r="F584" s="64"/>
      <c r="G584" s="58" t="s">
        <v>2657</v>
      </c>
      <c r="H584" s="52"/>
      <c r="I584" s="52"/>
      <c r="J584" s="161"/>
      <c r="K584" s="238"/>
      <c r="L584" s="52"/>
      <c r="M584" s="238"/>
      <c r="N584" s="186"/>
      <c r="O584" s="238">
        <v>61000000</v>
      </c>
      <c r="P584" s="186"/>
      <c r="Q584" s="238">
        <v>2000000</v>
      </c>
      <c r="R584" s="186"/>
      <c r="S584" s="238">
        <v>3000000</v>
      </c>
      <c r="T584" s="186"/>
      <c r="U584" s="238">
        <v>3000000</v>
      </c>
      <c r="V584" s="52"/>
      <c r="W584" s="52"/>
      <c r="X584" s="52"/>
    </row>
    <row r="585" spans="1:32" s="165" customFormat="1" ht="60" hidden="1">
      <c r="B585" s="48"/>
      <c r="C585" s="62"/>
      <c r="D585" s="63"/>
      <c r="E585" s="63"/>
      <c r="F585" s="64"/>
      <c r="G585" s="58" t="s">
        <v>2659</v>
      </c>
      <c r="H585" s="174" t="s">
        <v>743</v>
      </c>
      <c r="I585" s="174" t="s">
        <v>743</v>
      </c>
      <c r="J585" s="174" t="s">
        <v>743</v>
      </c>
      <c r="K585" s="174" t="s">
        <v>743</v>
      </c>
      <c r="L585" s="174" t="s">
        <v>743</v>
      </c>
      <c r="M585" s="174" t="s">
        <v>743</v>
      </c>
      <c r="N585" s="52" t="s">
        <v>2620</v>
      </c>
      <c r="O585" s="238">
        <v>15000000</v>
      </c>
      <c r="P585" s="174" t="s">
        <v>743</v>
      </c>
      <c r="Q585" s="174" t="s">
        <v>743</v>
      </c>
      <c r="R585" s="174" t="s">
        <v>743</v>
      </c>
      <c r="S585" s="174" t="s">
        <v>743</v>
      </c>
      <c r="T585" s="174" t="s">
        <v>743</v>
      </c>
      <c r="U585" s="174" t="s">
        <v>743</v>
      </c>
      <c r="V585" s="52"/>
      <c r="W585" s="52"/>
      <c r="X585" s="52"/>
    </row>
    <row r="586" spans="1:32" s="165" customFormat="1" ht="60" hidden="1">
      <c r="B586" s="48"/>
      <c r="C586" s="62"/>
      <c r="D586" s="63"/>
      <c r="E586" s="63"/>
      <c r="F586" s="64"/>
      <c r="G586" s="58" t="s">
        <v>2678</v>
      </c>
      <c r="H586" s="161">
        <v>0.75</v>
      </c>
      <c r="I586" s="161">
        <v>1</v>
      </c>
      <c r="J586" s="161">
        <v>0.8</v>
      </c>
      <c r="K586" s="187">
        <v>79100000</v>
      </c>
      <c r="L586" s="161">
        <v>0.85</v>
      </c>
      <c r="M586" s="187">
        <v>94342000</v>
      </c>
      <c r="N586" s="161">
        <v>0.9</v>
      </c>
      <c r="O586" s="187">
        <v>100000000</v>
      </c>
      <c r="P586" s="161">
        <v>0.95</v>
      </c>
      <c r="Q586" s="187">
        <v>110000000</v>
      </c>
      <c r="R586" s="161">
        <v>1</v>
      </c>
      <c r="S586" s="187">
        <v>125000000</v>
      </c>
      <c r="T586" s="161">
        <v>1</v>
      </c>
      <c r="U586" s="187">
        <v>125000000</v>
      </c>
      <c r="V586" s="52"/>
      <c r="W586" s="52"/>
      <c r="X586" s="52"/>
    </row>
    <row r="587" spans="1:32" s="165" customFormat="1" ht="90" hidden="1">
      <c r="B587" s="48"/>
      <c r="C587" s="62"/>
      <c r="D587" s="63"/>
      <c r="E587" s="63"/>
      <c r="F587" s="64"/>
      <c r="G587" s="58" t="s">
        <v>2679</v>
      </c>
      <c r="H587" s="52" t="s">
        <v>743</v>
      </c>
      <c r="I587" s="161">
        <v>1</v>
      </c>
      <c r="J587" s="161">
        <v>1</v>
      </c>
      <c r="K587" s="187">
        <v>70000000</v>
      </c>
      <c r="L587" s="161">
        <v>1</v>
      </c>
      <c r="M587" s="187">
        <v>53456000</v>
      </c>
      <c r="N587" s="161">
        <v>1</v>
      </c>
      <c r="O587" s="187">
        <v>90000000</v>
      </c>
      <c r="P587" s="161">
        <v>1</v>
      </c>
      <c r="Q587" s="187">
        <v>100000000</v>
      </c>
      <c r="R587" s="161">
        <v>1</v>
      </c>
      <c r="S587" s="187">
        <v>115000000</v>
      </c>
      <c r="T587" s="161">
        <v>1</v>
      </c>
      <c r="U587" s="187">
        <v>115000000</v>
      </c>
      <c r="V587" s="52"/>
      <c r="W587" s="52"/>
      <c r="X587" s="52"/>
    </row>
    <row r="588" spans="1:32" s="165" customFormat="1" ht="30" hidden="1">
      <c r="B588" s="48"/>
      <c r="C588" s="62"/>
      <c r="D588" s="63"/>
      <c r="E588" s="63"/>
      <c r="F588" s="64"/>
      <c r="G588" s="58" t="s">
        <v>2680</v>
      </c>
      <c r="H588" s="161" t="s">
        <v>743</v>
      </c>
      <c r="I588" s="161" t="s">
        <v>743</v>
      </c>
      <c r="J588" s="161" t="s">
        <v>743</v>
      </c>
      <c r="K588" s="259" t="s">
        <v>743</v>
      </c>
      <c r="L588" s="259" t="s">
        <v>743</v>
      </c>
      <c r="M588" s="259" t="s">
        <v>743</v>
      </c>
      <c r="N588" s="259" t="s">
        <v>743</v>
      </c>
      <c r="O588" s="259" t="s">
        <v>743</v>
      </c>
      <c r="P588" s="259" t="s">
        <v>743</v>
      </c>
      <c r="Q588" s="259" t="s">
        <v>743</v>
      </c>
      <c r="R588" s="259" t="s">
        <v>743</v>
      </c>
      <c r="S588" s="259" t="s">
        <v>743</v>
      </c>
      <c r="T588" s="259" t="s">
        <v>743</v>
      </c>
      <c r="U588" s="259" t="s">
        <v>743</v>
      </c>
      <c r="V588" s="52"/>
      <c r="W588" s="52"/>
      <c r="X588" s="52"/>
    </row>
    <row r="589" spans="1:32" s="165" customFormat="1" ht="30" hidden="1">
      <c r="B589" s="48"/>
      <c r="C589" s="62"/>
      <c r="D589" s="63"/>
      <c r="E589" s="63"/>
      <c r="F589" s="64"/>
      <c r="G589" s="58" t="s">
        <v>2681</v>
      </c>
      <c r="H589" s="174" t="s">
        <v>743</v>
      </c>
      <c r="I589" s="174" t="s">
        <v>743</v>
      </c>
      <c r="J589" s="174" t="s">
        <v>743</v>
      </c>
      <c r="K589" s="174" t="s">
        <v>743</v>
      </c>
      <c r="L589" s="174" t="s">
        <v>743</v>
      </c>
      <c r="M589" s="174" t="s">
        <v>743</v>
      </c>
      <c r="N589" s="52" t="s">
        <v>2620</v>
      </c>
      <c r="O589" s="238">
        <v>200000000</v>
      </c>
      <c r="P589" s="174" t="s">
        <v>743</v>
      </c>
      <c r="Q589" s="174" t="s">
        <v>743</v>
      </c>
      <c r="R589" s="174" t="s">
        <v>743</v>
      </c>
      <c r="S589" s="174" t="s">
        <v>743</v>
      </c>
      <c r="T589" s="174" t="s">
        <v>743</v>
      </c>
      <c r="U589" s="174" t="s">
        <v>743</v>
      </c>
      <c r="V589" s="52"/>
      <c r="W589" s="52"/>
      <c r="X589" s="52"/>
    </row>
    <row r="590" spans="1:32" s="165" customFormat="1" ht="30" hidden="1">
      <c r="B590" s="48"/>
      <c r="C590" s="62"/>
      <c r="D590" s="63"/>
      <c r="E590" s="63"/>
      <c r="F590" s="64"/>
      <c r="G590" s="58" t="s">
        <v>2682</v>
      </c>
      <c r="H590" s="161">
        <v>1</v>
      </c>
      <c r="I590" s="52" t="s">
        <v>2620</v>
      </c>
      <c r="J590" s="161">
        <v>1</v>
      </c>
      <c r="K590" s="238">
        <v>25000000</v>
      </c>
      <c r="L590" s="52" t="s">
        <v>2620</v>
      </c>
      <c r="M590" s="238">
        <v>0</v>
      </c>
      <c r="N590" s="52" t="s">
        <v>2620</v>
      </c>
      <c r="O590" s="238">
        <v>0</v>
      </c>
      <c r="P590" s="52" t="s">
        <v>2620</v>
      </c>
      <c r="Q590" s="238">
        <v>0</v>
      </c>
      <c r="R590" s="52" t="s">
        <v>2620</v>
      </c>
      <c r="S590" s="238">
        <v>0</v>
      </c>
      <c r="T590" s="52" t="s">
        <v>2620</v>
      </c>
      <c r="U590" s="238">
        <v>0</v>
      </c>
      <c r="V590" s="52"/>
      <c r="W590" s="52"/>
      <c r="X590" s="52"/>
    </row>
    <row r="591" spans="1:32" s="165" customFormat="1" ht="30" hidden="1">
      <c r="B591" s="48"/>
      <c r="C591" s="62"/>
      <c r="D591" s="63"/>
      <c r="E591" s="63"/>
      <c r="F591" s="64"/>
      <c r="G591" s="58" t="s">
        <v>2683</v>
      </c>
      <c r="H591" s="52" t="s">
        <v>743</v>
      </c>
      <c r="I591" s="52" t="s">
        <v>2620</v>
      </c>
      <c r="J591" s="161">
        <v>1</v>
      </c>
      <c r="K591" s="252">
        <v>45000000</v>
      </c>
      <c r="L591" s="52" t="s">
        <v>1040</v>
      </c>
      <c r="M591" s="238" t="s">
        <v>1040</v>
      </c>
      <c r="N591" s="52" t="s">
        <v>2620</v>
      </c>
      <c r="O591" s="238">
        <v>0</v>
      </c>
      <c r="P591" s="52" t="s">
        <v>2620</v>
      </c>
      <c r="Q591" s="238">
        <v>0</v>
      </c>
      <c r="R591" s="52" t="s">
        <v>2620</v>
      </c>
      <c r="S591" s="238">
        <v>0</v>
      </c>
      <c r="T591" s="52" t="s">
        <v>2620</v>
      </c>
      <c r="U591" s="238">
        <v>0</v>
      </c>
      <c r="V591" s="52"/>
      <c r="W591" s="52"/>
      <c r="X591" s="52"/>
    </row>
    <row r="592" spans="1:32" s="281" customFormat="1" ht="30" hidden="1" customHeight="1">
      <c r="A592" s="300"/>
      <c r="B592" s="1107" t="s">
        <v>4239</v>
      </c>
      <c r="C592" s="1108"/>
      <c r="D592" s="1108"/>
      <c r="E592" s="1108"/>
      <c r="F592" s="1108"/>
      <c r="G592" s="1109"/>
      <c r="H592" s="289"/>
      <c r="I592" s="289"/>
      <c r="J592" s="289"/>
      <c r="K592" s="289">
        <f>SUM(K533:K591)</f>
        <v>1216436500</v>
      </c>
      <c r="L592" s="289"/>
      <c r="M592" s="289">
        <f t="shared" ref="M592:W592" si="29">SUM(M533:M591)</f>
        <v>2382360000</v>
      </c>
      <c r="N592" s="289"/>
      <c r="O592" s="289">
        <f t="shared" si="29"/>
        <v>11364000001</v>
      </c>
      <c r="P592" s="289"/>
      <c r="Q592" s="289">
        <f t="shared" si="29"/>
        <v>3292500001</v>
      </c>
      <c r="R592" s="289"/>
      <c r="S592" s="289">
        <f t="shared" si="29"/>
        <v>3166600000</v>
      </c>
      <c r="T592" s="289"/>
      <c r="U592" s="289">
        <f t="shared" si="29"/>
        <v>3166600000</v>
      </c>
      <c r="V592" s="289">
        <f t="shared" si="29"/>
        <v>0</v>
      </c>
      <c r="W592" s="289">
        <f t="shared" si="29"/>
        <v>0</v>
      </c>
      <c r="X592" s="289"/>
      <c r="Y592" s="300"/>
      <c r="Z592" s="300"/>
      <c r="AA592" s="300"/>
      <c r="AB592" s="300"/>
      <c r="AC592" s="300"/>
      <c r="AD592" s="300"/>
      <c r="AE592" s="300"/>
      <c r="AF592" s="300"/>
    </row>
    <row r="593" spans="1:32" ht="30">
      <c r="A593" s="165">
        <v>1</v>
      </c>
      <c r="B593" s="59" t="s">
        <v>20</v>
      </c>
      <c r="C593" s="56"/>
      <c r="D593" s="57"/>
      <c r="E593" s="57"/>
      <c r="F593" s="58"/>
      <c r="G593" s="58"/>
      <c r="H593" s="52"/>
      <c r="I593" s="52"/>
      <c r="J593" s="52"/>
      <c r="K593" s="52"/>
      <c r="L593" s="52"/>
      <c r="M593" s="52"/>
      <c r="N593" s="52"/>
      <c r="O593" s="52"/>
      <c r="P593" s="52"/>
      <c r="Q593" s="52"/>
      <c r="R593" s="52"/>
      <c r="S593" s="52"/>
      <c r="T593" s="52"/>
      <c r="U593" s="52"/>
      <c r="V593" s="52"/>
      <c r="W593" s="52"/>
      <c r="X593" s="52"/>
      <c r="Y593" s="165"/>
      <c r="Z593" s="165"/>
      <c r="AA593" s="165"/>
      <c r="AB593" s="165"/>
      <c r="AC593" s="165"/>
      <c r="AD593" s="165"/>
      <c r="AE593" s="165"/>
      <c r="AF593" s="165"/>
    </row>
    <row r="594" spans="1:32" hidden="1">
      <c r="A594" s="165"/>
      <c r="B594" s="48"/>
      <c r="C594" s="62" t="e">
        <f>#REF!</f>
        <v>#REF!</v>
      </c>
      <c r="D594" s="63" t="e">
        <f>#REF!</f>
        <v>#REF!</v>
      </c>
      <c r="E594" s="63" t="e">
        <f>#REF!</f>
        <v>#REF!</v>
      </c>
      <c r="F594" s="64" t="e">
        <f>#REF!</f>
        <v>#REF!</v>
      </c>
      <c r="G594" s="58"/>
      <c r="H594" s="52"/>
      <c r="I594" s="52"/>
      <c r="J594" s="52"/>
      <c r="K594" s="52"/>
      <c r="L594" s="52"/>
      <c r="M594" s="52"/>
      <c r="N594" s="52"/>
      <c r="O594" s="52"/>
      <c r="P594" s="52"/>
      <c r="Q594" s="52"/>
      <c r="R594" s="52"/>
      <c r="S594" s="52"/>
      <c r="T594" s="52"/>
      <c r="U594" s="52"/>
      <c r="V594" s="52"/>
      <c r="W594" s="52"/>
      <c r="X594" s="52" t="e">
        <f>#REF!</f>
        <v>#REF!</v>
      </c>
      <c r="Y594" s="165"/>
      <c r="Z594" s="165"/>
      <c r="AA594" s="165"/>
      <c r="AB594" s="165"/>
      <c r="AC594" s="165"/>
      <c r="AD594" s="165"/>
      <c r="AE594" s="165"/>
      <c r="AF594" s="165"/>
    </row>
    <row r="595" spans="1:32" ht="105" hidden="1">
      <c r="A595" s="165"/>
      <c r="B595" s="48"/>
      <c r="C595" s="62"/>
      <c r="D595" s="63"/>
      <c r="E595" s="63"/>
      <c r="F595" s="64"/>
      <c r="G595" s="58" t="s">
        <v>2684</v>
      </c>
      <c r="H595" s="52" t="s">
        <v>2496</v>
      </c>
      <c r="I595" s="52" t="s">
        <v>2685</v>
      </c>
      <c r="J595" s="52" t="s">
        <v>2685</v>
      </c>
      <c r="K595" s="251">
        <v>198500000</v>
      </c>
      <c r="L595" s="52" t="s">
        <v>2686</v>
      </c>
      <c r="M595" s="251">
        <v>245773000</v>
      </c>
      <c r="N595" s="52" t="s">
        <v>2687</v>
      </c>
      <c r="O595" s="251">
        <v>275000000</v>
      </c>
      <c r="P595" s="52" t="s">
        <v>2688</v>
      </c>
      <c r="Q595" s="251">
        <v>300000000</v>
      </c>
      <c r="R595" s="52" t="s">
        <v>2689</v>
      </c>
      <c r="S595" s="251">
        <v>325000000</v>
      </c>
      <c r="T595" s="52" t="s">
        <v>2689</v>
      </c>
      <c r="U595" s="251">
        <v>325000000</v>
      </c>
      <c r="V595" s="52"/>
      <c r="W595" s="52"/>
      <c r="X595" s="52"/>
      <c r="Y595" s="165"/>
      <c r="Z595" s="165"/>
      <c r="AA595" s="165"/>
      <c r="AB595" s="165"/>
      <c r="AC595" s="165"/>
      <c r="AD595" s="165"/>
      <c r="AE595" s="165"/>
      <c r="AF595" s="165"/>
    </row>
    <row r="596" spans="1:32" ht="60" hidden="1">
      <c r="A596" s="165"/>
      <c r="B596" s="48"/>
      <c r="C596" s="62"/>
      <c r="D596" s="63"/>
      <c r="E596" s="63"/>
      <c r="F596" s="64"/>
      <c r="G596" s="58" t="s">
        <v>2690</v>
      </c>
      <c r="H596" s="52" t="s">
        <v>2496</v>
      </c>
      <c r="I596" s="52" t="s">
        <v>2691</v>
      </c>
      <c r="J596" s="52" t="s">
        <v>2496</v>
      </c>
      <c r="K596" s="251">
        <v>100000000</v>
      </c>
      <c r="L596" s="52" t="str">
        <f>I596</f>
        <v>4 sepeda motor roda 3</v>
      </c>
      <c r="M596" s="251">
        <v>97554500</v>
      </c>
      <c r="N596" s="52" t="s">
        <v>743</v>
      </c>
      <c r="O596" s="251" t="s">
        <v>743</v>
      </c>
      <c r="P596" s="52" t="s">
        <v>2692</v>
      </c>
      <c r="Q596" s="251">
        <v>125000000</v>
      </c>
      <c r="R596" s="52" t="s">
        <v>743</v>
      </c>
      <c r="S596" s="251" t="s">
        <v>743</v>
      </c>
      <c r="T596" s="52" t="s">
        <v>743</v>
      </c>
      <c r="U596" s="251" t="s">
        <v>743</v>
      </c>
      <c r="V596" s="52"/>
      <c r="W596" s="52"/>
      <c r="X596" s="52"/>
      <c r="Y596" s="165"/>
      <c r="Z596" s="165"/>
      <c r="AA596" s="165"/>
      <c r="AB596" s="165"/>
      <c r="AC596" s="165"/>
      <c r="AD596" s="165"/>
      <c r="AE596" s="165"/>
      <c r="AF596" s="165"/>
    </row>
    <row r="597" spans="1:32" ht="210" hidden="1">
      <c r="A597" s="165"/>
      <c r="B597" s="48"/>
      <c r="C597" s="62"/>
      <c r="D597" s="63"/>
      <c r="E597" s="63"/>
      <c r="F597" s="64"/>
      <c r="G597" s="58" t="s">
        <v>2693</v>
      </c>
      <c r="H597" s="52" t="s">
        <v>2496</v>
      </c>
      <c r="I597" s="52" t="s">
        <v>2694</v>
      </c>
      <c r="J597" s="52" t="str">
        <f>I597</f>
        <v>terwujudnya pagar keliling TPA, jalan inspeksi, dan peningkatan jalan operasi, dan perpanjangan box cluvert 36 meter</v>
      </c>
      <c r="K597" s="251">
        <v>1000000000</v>
      </c>
      <c r="L597" s="251" t="s">
        <v>743</v>
      </c>
      <c r="M597" s="251" t="s">
        <v>743</v>
      </c>
      <c r="N597" s="251" t="s">
        <v>2695</v>
      </c>
      <c r="O597" s="251">
        <v>2250000000</v>
      </c>
      <c r="P597" s="251" t="str">
        <f>+N597</f>
        <v>Terwujudnya pembangunan zona 1 control landfill</v>
      </c>
      <c r="Q597" s="251">
        <v>1000000000</v>
      </c>
      <c r="R597" s="251" t="str">
        <f>+P597</f>
        <v>Terwujudnya pembangunan zona 1 control landfill</v>
      </c>
      <c r="S597" s="251">
        <v>3000000000</v>
      </c>
      <c r="T597" s="251" t="str">
        <f>+R597</f>
        <v>Terwujudnya pembangunan zona 1 control landfill</v>
      </c>
      <c r="U597" s="251">
        <v>3000000000</v>
      </c>
      <c r="V597" s="52"/>
      <c r="W597" s="52"/>
      <c r="X597" s="52"/>
      <c r="Y597" s="165"/>
      <c r="Z597" s="165"/>
      <c r="AA597" s="165"/>
      <c r="AB597" s="165"/>
      <c r="AC597" s="165"/>
      <c r="AD597" s="165"/>
      <c r="AE597" s="165"/>
      <c r="AF597" s="165"/>
    </row>
    <row r="598" spans="1:32" ht="45" hidden="1">
      <c r="A598" s="165"/>
      <c r="B598" s="48"/>
      <c r="C598" s="62"/>
      <c r="D598" s="63"/>
      <c r="E598" s="63"/>
      <c r="F598" s="64"/>
      <c r="G598" s="58" t="s">
        <v>2696</v>
      </c>
      <c r="H598" s="52" t="s">
        <v>2496</v>
      </c>
      <c r="I598" s="52" t="s">
        <v>2697</v>
      </c>
      <c r="J598" s="52" t="str">
        <f>I598</f>
        <v>1 truck arm roll dan 8 kontainer</v>
      </c>
      <c r="K598" s="251">
        <v>550000000</v>
      </c>
      <c r="L598" s="52" t="s">
        <v>743</v>
      </c>
      <c r="M598" s="251" t="s">
        <v>743</v>
      </c>
      <c r="N598" s="52" t="s">
        <v>2698</v>
      </c>
      <c r="O598" s="251">
        <v>500000000</v>
      </c>
      <c r="P598" s="52" t="s">
        <v>2699</v>
      </c>
      <c r="Q598" s="251">
        <v>500000000</v>
      </c>
      <c r="R598" s="52" t="s">
        <v>2700</v>
      </c>
      <c r="S598" s="251">
        <v>500000000</v>
      </c>
      <c r="T598" s="52" t="s">
        <v>2700</v>
      </c>
      <c r="U598" s="251">
        <v>500000000</v>
      </c>
      <c r="V598" s="52"/>
      <c r="W598" s="52"/>
      <c r="X598" s="52"/>
      <c r="Y598" s="165"/>
      <c r="Z598" s="165"/>
      <c r="AA598" s="165"/>
      <c r="AB598" s="165"/>
      <c r="AC598" s="165"/>
      <c r="AD598" s="165"/>
      <c r="AE598" s="165"/>
      <c r="AF598" s="165"/>
    </row>
    <row r="599" spans="1:32" ht="90" hidden="1">
      <c r="A599" s="165"/>
      <c r="B599" s="48"/>
      <c r="C599" s="62"/>
      <c r="D599" s="63"/>
      <c r="E599" s="63"/>
      <c r="F599" s="64"/>
      <c r="G599" s="58" t="s">
        <v>2701</v>
      </c>
      <c r="H599" s="52" t="s">
        <v>743</v>
      </c>
      <c r="I599" s="52" t="s">
        <v>743</v>
      </c>
      <c r="J599" s="52" t="s">
        <v>743</v>
      </c>
      <c r="K599" s="251" t="s">
        <v>743</v>
      </c>
      <c r="L599" s="52" t="s">
        <v>743</v>
      </c>
      <c r="M599" s="251" t="s">
        <v>743</v>
      </c>
      <c r="N599" s="52" t="s">
        <v>2702</v>
      </c>
      <c r="O599" s="252">
        <v>500000000</v>
      </c>
      <c r="P599" s="52" t="s">
        <v>2703</v>
      </c>
      <c r="Q599" s="259">
        <v>1000000000</v>
      </c>
      <c r="R599" s="52" t="str">
        <f>+P599</f>
        <v>Tersedinya lahan TPA di Sanggrahan dan Jumo</v>
      </c>
      <c r="S599" s="259">
        <f>+Q599</f>
        <v>1000000000</v>
      </c>
      <c r="T599" s="52" t="str">
        <f>+R599</f>
        <v>Tersedinya lahan TPA di Sanggrahan dan Jumo</v>
      </c>
      <c r="U599" s="259">
        <f>+S599</f>
        <v>1000000000</v>
      </c>
      <c r="V599" s="52"/>
      <c r="W599" s="52"/>
      <c r="X599" s="52"/>
      <c r="Y599" s="165"/>
      <c r="Z599" s="165"/>
      <c r="AA599" s="165"/>
      <c r="AB599" s="165"/>
      <c r="AC599" s="165"/>
      <c r="AD599" s="165"/>
      <c r="AE599" s="165"/>
      <c r="AF599" s="165"/>
    </row>
    <row r="600" spans="1:32" ht="90" hidden="1">
      <c r="A600" s="165"/>
      <c r="B600" s="48"/>
      <c r="C600" s="62"/>
      <c r="D600" s="63"/>
      <c r="E600" s="63"/>
      <c r="F600" s="64"/>
      <c r="G600" s="58" t="s">
        <v>2704</v>
      </c>
      <c r="H600" s="52" t="s">
        <v>2496</v>
      </c>
      <c r="I600" s="52" t="s">
        <v>2705</v>
      </c>
      <c r="J600" s="52" t="str">
        <f>I600</f>
        <v>Terangkutnya sampah ke TPA</v>
      </c>
      <c r="K600" s="251">
        <v>1000000000</v>
      </c>
      <c r="L600" s="52" t="s">
        <v>2706</v>
      </c>
      <c r="M600" s="251">
        <v>1147405500</v>
      </c>
      <c r="N600" s="52" t="str">
        <f>L600</f>
        <v>Terangkutnya sampah di daerah pelayanan ke TPA</v>
      </c>
      <c r="O600" s="251">
        <v>1400000000</v>
      </c>
      <c r="P600" s="52" t="str">
        <f>N600</f>
        <v>Terangkutnya sampah di daerah pelayanan ke TPA</v>
      </c>
      <c r="Q600" s="251">
        <v>1450000000</v>
      </c>
      <c r="R600" s="52" t="str">
        <f>P600</f>
        <v>Terangkutnya sampah di daerah pelayanan ke TPA</v>
      </c>
      <c r="S600" s="251">
        <v>1500000000</v>
      </c>
      <c r="T600" s="52" t="str">
        <f>R600</f>
        <v>Terangkutnya sampah di daerah pelayanan ke TPA</v>
      </c>
      <c r="U600" s="251">
        <v>1500000000</v>
      </c>
      <c r="V600" s="52"/>
      <c r="W600" s="52"/>
      <c r="X600" s="52"/>
      <c r="Y600" s="165"/>
      <c r="Z600" s="165"/>
      <c r="AA600" s="165"/>
      <c r="AB600" s="165"/>
      <c r="AC600" s="165"/>
      <c r="AD600" s="165"/>
      <c r="AE600" s="165"/>
      <c r="AF600" s="165"/>
    </row>
    <row r="601" spans="1:32" ht="75" hidden="1">
      <c r="A601" s="165"/>
      <c r="B601" s="48"/>
      <c r="C601" s="62"/>
      <c r="D601" s="63"/>
      <c r="E601" s="63"/>
      <c r="F601" s="64"/>
      <c r="G601" s="58" t="s">
        <v>2707</v>
      </c>
      <c r="H601" s="52" t="s">
        <v>2496</v>
      </c>
      <c r="I601" s="52" t="s">
        <v>2708</v>
      </c>
      <c r="J601" s="52" t="str">
        <f>I601</f>
        <v>tersalurnya dana hibah RT RW</v>
      </c>
      <c r="K601" s="251">
        <v>30000000</v>
      </c>
      <c r="L601" s="52" t="s">
        <v>2709</v>
      </c>
      <c r="M601" s="251">
        <v>30115000</v>
      </c>
      <c r="N601" s="52" t="str">
        <f>L601</f>
        <v>Tersalurnya dana hibah RT RW</v>
      </c>
      <c r="O601" s="251">
        <v>50000000</v>
      </c>
      <c r="P601" s="52" t="str">
        <f>N601</f>
        <v>Tersalurnya dana hibah RT RW</v>
      </c>
      <c r="Q601" s="251">
        <v>60000000</v>
      </c>
      <c r="R601" s="52" t="s">
        <v>2496</v>
      </c>
      <c r="S601" s="251">
        <v>75000000</v>
      </c>
      <c r="T601" s="52" t="s">
        <v>2496</v>
      </c>
      <c r="U601" s="251">
        <v>75000000</v>
      </c>
      <c r="V601" s="52"/>
      <c r="W601" s="52"/>
      <c r="X601" s="52"/>
      <c r="Y601" s="165"/>
      <c r="Z601" s="165"/>
      <c r="AA601" s="165"/>
      <c r="AB601" s="165"/>
      <c r="AC601" s="165"/>
      <c r="AD601" s="165"/>
      <c r="AE601" s="165"/>
      <c r="AF601" s="165"/>
    </row>
    <row r="602" spans="1:32" ht="120" hidden="1">
      <c r="A602" s="165"/>
      <c r="B602" s="48"/>
      <c r="C602" s="62"/>
      <c r="D602" s="63"/>
      <c r="E602" s="63"/>
      <c r="F602" s="64"/>
      <c r="G602" s="58" t="s">
        <v>2710</v>
      </c>
      <c r="H602" s="52" t="s">
        <v>743</v>
      </c>
      <c r="I602" s="52" t="s">
        <v>743</v>
      </c>
      <c r="J602" s="52" t="s">
        <v>743</v>
      </c>
      <c r="K602" s="52" t="s">
        <v>743</v>
      </c>
      <c r="L602" s="52" t="s">
        <v>2711</v>
      </c>
      <c r="M602" s="251">
        <v>25040000</v>
      </c>
      <c r="N602" s="52" t="str">
        <f>L602</f>
        <v>Terciptanya pengurangan sampah dengan bank sampah di 40 lokasi</v>
      </c>
      <c r="O602" s="251">
        <v>75000000</v>
      </c>
      <c r="P602" s="52" t="str">
        <f>N602</f>
        <v>Terciptanya pengurangan sampah dengan bank sampah di 40 lokasi</v>
      </c>
      <c r="Q602" s="251">
        <v>85000000</v>
      </c>
      <c r="R602" s="52" t="str">
        <f>P602</f>
        <v>Terciptanya pengurangan sampah dengan bank sampah di 40 lokasi</v>
      </c>
      <c r="S602" s="52">
        <v>95000000</v>
      </c>
      <c r="T602" s="52" t="str">
        <f>R602</f>
        <v>Terciptanya pengurangan sampah dengan bank sampah di 40 lokasi</v>
      </c>
      <c r="U602" s="52">
        <v>95000000</v>
      </c>
      <c r="V602" s="52"/>
      <c r="W602" s="52"/>
      <c r="X602" s="52"/>
      <c r="Y602" s="165"/>
      <c r="Z602" s="165"/>
      <c r="AA602" s="165"/>
      <c r="AB602" s="165"/>
      <c r="AC602" s="165"/>
      <c r="AD602" s="165"/>
      <c r="AE602" s="165"/>
      <c r="AF602" s="165"/>
    </row>
    <row r="603" spans="1:32" ht="45" hidden="1">
      <c r="A603" s="165"/>
      <c r="B603" s="48"/>
      <c r="C603" s="62"/>
      <c r="D603" s="63"/>
      <c r="E603" s="63"/>
      <c r="F603" s="64"/>
      <c r="G603" s="58" t="s">
        <v>2712</v>
      </c>
      <c r="H603" s="52" t="s">
        <v>743</v>
      </c>
      <c r="I603" s="52" t="s">
        <v>743</v>
      </c>
      <c r="J603" s="52" t="s">
        <v>743</v>
      </c>
      <c r="K603" s="52" t="s">
        <v>743</v>
      </c>
      <c r="L603" s="52" t="s">
        <v>2713</v>
      </c>
      <c r="M603" s="251">
        <v>445600000</v>
      </c>
      <c r="N603" s="251" t="s">
        <v>743</v>
      </c>
      <c r="O603" s="251" t="s">
        <v>743</v>
      </c>
      <c r="P603" s="251" t="s">
        <v>743</v>
      </c>
      <c r="Q603" s="251" t="s">
        <v>743</v>
      </c>
      <c r="R603" s="251" t="s">
        <v>743</v>
      </c>
      <c r="S603" s="251" t="s">
        <v>743</v>
      </c>
      <c r="T603" s="251" t="s">
        <v>743</v>
      </c>
      <c r="U603" s="251" t="s">
        <v>743</v>
      </c>
      <c r="V603" s="52"/>
      <c r="W603" s="52"/>
      <c r="X603" s="52"/>
      <c r="Y603" s="165"/>
      <c r="Z603" s="165"/>
      <c r="AA603" s="165"/>
      <c r="AB603" s="165"/>
      <c r="AC603" s="165"/>
      <c r="AD603" s="165"/>
      <c r="AE603" s="165"/>
      <c r="AF603" s="165"/>
    </row>
    <row r="604" spans="1:32" ht="45" hidden="1">
      <c r="A604" s="165"/>
      <c r="B604" s="48"/>
      <c r="C604" s="62"/>
      <c r="D604" s="63"/>
      <c r="E604" s="63"/>
      <c r="F604" s="64"/>
      <c r="G604" s="58" t="s">
        <v>2714</v>
      </c>
      <c r="H604" s="52" t="s">
        <v>743</v>
      </c>
      <c r="I604" s="52" t="s">
        <v>2496</v>
      </c>
      <c r="J604" s="52" t="s">
        <v>2715</v>
      </c>
      <c r="K604" s="251">
        <v>170000000</v>
      </c>
      <c r="L604" s="52" t="s">
        <v>2716</v>
      </c>
      <c r="M604" s="251">
        <v>358569500</v>
      </c>
      <c r="N604" s="52" t="str">
        <f>L604</f>
        <v>Tersedianya 2 pick up sampah</v>
      </c>
      <c r="O604" s="251">
        <v>350000000</v>
      </c>
      <c r="P604" s="52" t="str">
        <f>N604</f>
        <v>Tersedianya 2 pick up sampah</v>
      </c>
      <c r="Q604" s="251">
        <v>350000000</v>
      </c>
      <c r="R604" s="52" t="str">
        <f>P604</f>
        <v>Tersedianya 2 pick up sampah</v>
      </c>
      <c r="S604" s="251">
        <v>350000000</v>
      </c>
      <c r="T604" s="52" t="str">
        <f>R604</f>
        <v>Tersedianya 2 pick up sampah</v>
      </c>
      <c r="U604" s="251">
        <v>350000000</v>
      </c>
      <c r="V604" s="52"/>
      <c r="W604" s="52"/>
      <c r="X604" s="52"/>
      <c r="Y604" s="165"/>
      <c r="Z604" s="165"/>
      <c r="AA604" s="165"/>
      <c r="AB604" s="165"/>
      <c r="AC604" s="165"/>
      <c r="AD604" s="165"/>
      <c r="AE604" s="165"/>
      <c r="AF604" s="165"/>
    </row>
    <row r="605" spans="1:32" ht="60" hidden="1">
      <c r="A605" s="165"/>
      <c r="B605" s="48"/>
      <c r="C605" s="62"/>
      <c r="D605" s="63"/>
      <c r="E605" s="63"/>
      <c r="F605" s="64"/>
      <c r="G605" s="58" t="s">
        <v>2717</v>
      </c>
      <c r="H605" s="52" t="s">
        <v>743</v>
      </c>
      <c r="I605" s="52" t="s">
        <v>2496</v>
      </c>
      <c r="J605" s="52" t="s">
        <v>2496</v>
      </c>
      <c r="K605" s="251">
        <v>600000000</v>
      </c>
      <c r="L605" s="251" t="s">
        <v>743</v>
      </c>
      <c r="M605" s="251" t="s">
        <v>743</v>
      </c>
      <c r="N605" s="251" t="s">
        <v>2718</v>
      </c>
      <c r="O605" s="251">
        <v>350000000</v>
      </c>
      <c r="P605" s="251" t="str">
        <f>+N605</f>
        <v>Tersedianya 1 dump truck</v>
      </c>
      <c r="Q605" s="251">
        <v>350000000</v>
      </c>
      <c r="R605" s="251" t="str">
        <f>+P605</f>
        <v>Tersedianya 1 dump truck</v>
      </c>
      <c r="S605" s="251">
        <v>375000000</v>
      </c>
      <c r="T605" s="251" t="str">
        <f>+R605</f>
        <v>Tersedianya 1 dump truck</v>
      </c>
      <c r="U605" s="251">
        <v>375000000</v>
      </c>
      <c r="V605" s="52"/>
      <c r="W605" s="52"/>
      <c r="X605" s="52"/>
      <c r="Y605" s="165"/>
      <c r="Z605" s="165"/>
      <c r="AA605" s="165"/>
      <c r="AB605" s="165"/>
      <c r="AC605" s="165"/>
      <c r="AD605" s="165"/>
      <c r="AE605" s="165"/>
      <c r="AF605" s="165"/>
    </row>
    <row r="606" spans="1:32" ht="105" hidden="1">
      <c r="A606" s="165"/>
      <c r="B606" s="48"/>
      <c r="C606" s="62"/>
      <c r="D606" s="63"/>
      <c r="E606" s="63"/>
      <c r="F606" s="64"/>
      <c r="G606" s="58" t="s">
        <v>2719</v>
      </c>
      <c r="H606" s="52" t="s">
        <v>743</v>
      </c>
      <c r="I606" s="52" t="s">
        <v>743</v>
      </c>
      <c r="J606" s="52" t="s">
        <v>743</v>
      </c>
      <c r="K606" s="52" t="s">
        <v>743</v>
      </c>
      <c r="L606" s="52" t="s">
        <v>743</v>
      </c>
      <c r="M606" s="251" t="s">
        <v>743</v>
      </c>
      <c r="N606" s="251" t="s">
        <v>2720</v>
      </c>
      <c r="O606" s="251">
        <v>100000000</v>
      </c>
      <c r="P606" s="251" t="s">
        <v>743</v>
      </c>
      <c r="Q606" s="251" t="s">
        <v>743</v>
      </c>
      <c r="R606" s="251" t="s">
        <v>743</v>
      </c>
      <c r="S606" s="251" t="s">
        <v>743</v>
      </c>
      <c r="T606" s="251" t="s">
        <v>743</v>
      </c>
      <c r="U606" s="251" t="s">
        <v>743</v>
      </c>
      <c r="V606" s="52"/>
      <c r="W606" s="52"/>
      <c r="X606" s="52"/>
      <c r="Y606" s="165"/>
      <c r="Z606" s="165"/>
      <c r="AA606" s="165"/>
      <c r="AB606" s="165"/>
      <c r="AC606" s="165"/>
      <c r="AD606" s="165"/>
      <c r="AE606" s="165"/>
      <c r="AF606" s="165"/>
    </row>
    <row r="607" spans="1:32" hidden="1">
      <c r="A607" s="165"/>
      <c r="B607" s="48"/>
      <c r="C607" s="62"/>
      <c r="D607" s="63"/>
      <c r="E607" s="63"/>
      <c r="F607" s="64"/>
      <c r="G607" s="58" t="s">
        <v>2721</v>
      </c>
      <c r="H607" s="52" t="s">
        <v>743</v>
      </c>
      <c r="I607" s="52" t="s">
        <v>743</v>
      </c>
      <c r="J607" s="52" t="s">
        <v>743</v>
      </c>
      <c r="K607" s="52" t="s">
        <v>743</v>
      </c>
      <c r="L607" s="52" t="s">
        <v>743</v>
      </c>
      <c r="M607" s="251" t="s">
        <v>743</v>
      </c>
      <c r="N607" s="251" t="s">
        <v>2568</v>
      </c>
      <c r="O607" s="251">
        <v>800000000</v>
      </c>
      <c r="P607" s="251" t="str">
        <f>+N607</f>
        <v>2 unit</v>
      </c>
      <c r="Q607" s="251">
        <v>850000000</v>
      </c>
      <c r="R607" s="251" t="str">
        <f>+P607</f>
        <v>2 unit</v>
      </c>
      <c r="S607" s="251">
        <v>900000000</v>
      </c>
      <c r="T607" s="251" t="str">
        <f>+R607</f>
        <v>2 unit</v>
      </c>
      <c r="U607" s="251">
        <v>900000000</v>
      </c>
      <c r="V607" s="52"/>
      <c r="W607" s="52"/>
      <c r="X607" s="52"/>
      <c r="Y607" s="165"/>
      <c r="Z607" s="165"/>
      <c r="AA607" s="165"/>
      <c r="AB607" s="165"/>
      <c r="AC607" s="165"/>
      <c r="AD607" s="165"/>
      <c r="AE607" s="165"/>
      <c r="AF607" s="165"/>
    </row>
    <row r="608" spans="1:32" ht="45" hidden="1">
      <c r="A608" s="165"/>
      <c r="B608" s="48"/>
      <c r="C608" s="62"/>
      <c r="D608" s="63"/>
      <c r="E608" s="63"/>
      <c r="F608" s="64"/>
      <c r="G608" s="58" t="s">
        <v>2722</v>
      </c>
      <c r="H608" s="52" t="s">
        <v>743</v>
      </c>
      <c r="I608" s="52" t="s">
        <v>743</v>
      </c>
      <c r="J608" s="52" t="s">
        <v>743</v>
      </c>
      <c r="K608" s="251" t="s">
        <v>743</v>
      </c>
      <c r="L608" s="52" t="s">
        <v>743</v>
      </c>
      <c r="M608" s="251" t="s">
        <v>743</v>
      </c>
      <c r="N608" s="52" t="s">
        <v>2723</v>
      </c>
      <c r="O608" s="252">
        <v>2000000000</v>
      </c>
      <c r="P608" s="52" t="s">
        <v>743</v>
      </c>
      <c r="Q608" s="52" t="s">
        <v>743</v>
      </c>
      <c r="R608" s="52" t="s">
        <v>743</v>
      </c>
      <c r="S608" s="52" t="s">
        <v>743</v>
      </c>
      <c r="T608" s="52" t="s">
        <v>743</v>
      </c>
      <c r="U608" s="52" t="s">
        <v>743</v>
      </c>
      <c r="V608" s="52"/>
      <c r="W608" s="52"/>
      <c r="X608" s="52"/>
      <c r="Y608" s="165"/>
      <c r="Z608" s="165"/>
      <c r="AA608" s="165"/>
      <c r="AB608" s="165"/>
      <c r="AC608" s="165"/>
      <c r="AD608" s="165"/>
      <c r="AE608" s="165"/>
      <c r="AF608" s="165"/>
    </row>
    <row r="609" spans="1:32" ht="90" hidden="1">
      <c r="A609" s="165"/>
      <c r="B609" s="48"/>
      <c r="C609" s="62"/>
      <c r="D609" s="63"/>
      <c r="E609" s="63"/>
      <c r="F609" s="64"/>
      <c r="G609" s="58" t="s">
        <v>2724</v>
      </c>
      <c r="H609" s="52" t="s">
        <v>743</v>
      </c>
      <c r="I609" s="52" t="s">
        <v>743</v>
      </c>
      <c r="J609" s="52" t="s">
        <v>743</v>
      </c>
      <c r="K609" s="251" t="s">
        <v>743</v>
      </c>
      <c r="L609" s="52" t="s">
        <v>743</v>
      </c>
      <c r="M609" s="251" t="s">
        <v>743</v>
      </c>
      <c r="N609" s="52"/>
      <c r="O609" s="52"/>
      <c r="P609" s="52"/>
      <c r="Q609" s="52"/>
      <c r="R609" s="52" t="s">
        <v>2725</v>
      </c>
      <c r="S609" s="252">
        <v>5000000000</v>
      </c>
      <c r="T609" s="52" t="s">
        <v>2725</v>
      </c>
      <c r="U609" s="252">
        <v>5000000000</v>
      </c>
      <c r="V609" s="52"/>
      <c r="W609" s="52"/>
      <c r="X609" s="52"/>
      <c r="Y609" s="165"/>
      <c r="Z609" s="165"/>
      <c r="AA609" s="165"/>
      <c r="AB609" s="165"/>
      <c r="AC609" s="165"/>
      <c r="AD609" s="165"/>
      <c r="AE609" s="165"/>
      <c r="AF609" s="165"/>
    </row>
    <row r="610" spans="1:32" ht="45" hidden="1">
      <c r="A610" s="165"/>
      <c r="B610" s="48"/>
      <c r="C610" s="62"/>
      <c r="D610" s="63"/>
      <c r="E610" s="63"/>
      <c r="F610" s="64"/>
      <c r="G610" s="58" t="s">
        <v>2726</v>
      </c>
      <c r="H610" s="52" t="s">
        <v>743</v>
      </c>
      <c r="I610" s="52" t="s">
        <v>743</v>
      </c>
      <c r="J610" s="52" t="s">
        <v>743</v>
      </c>
      <c r="K610" s="251" t="s">
        <v>743</v>
      </c>
      <c r="L610" s="52" t="s">
        <v>2513</v>
      </c>
      <c r="M610" s="251">
        <v>400000000</v>
      </c>
      <c r="N610" s="52"/>
      <c r="O610" s="52"/>
      <c r="P610" s="52"/>
      <c r="Q610" s="52"/>
      <c r="R610" s="52"/>
      <c r="S610" s="252"/>
      <c r="T610" s="52"/>
      <c r="U610" s="252"/>
      <c r="V610" s="52"/>
      <c r="W610" s="52"/>
      <c r="X610" s="52"/>
      <c r="Y610" s="165"/>
      <c r="Z610" s="165"/>
      <c r="AA610" s="165"/>
      <c r="AB610" s="165"/>
      <c r="AC610" s="165"/>
      <c r="AD610" s="165"/>
      <c r="AE610" s="165"/>
      <c r="AF610" s="165"/>
    </row>
    <row r="611" spans="1:32" hidden="1">
      <c r="A611" s="165"/>
      <c r="B611" s="48"/>
      <c r="C611" s="56" t="e">
        <f>#REF!</f>
        <v>#REF!</v>
      </c>
      <c r="D611" s="57" t="e">
        <f>#REF!</f>
        <v>#REF!</v>
      </c>
      <c r="E611" s="57" t="e">
        <f>#REF!</f>
        <v>#REF!</v>
      </c>
      <c r="F611" s="58" t="e">
        <f>#REF!</f>
        <v>#REF!</v>
      </c>
      <c r="G611" s="58"/>
      <c r="H611" s="52"/>
      <c r="I611" s="52"/>
      <c r="J611" s="52"/>
      <c r="K611" s="52"/>
      <c r="L611" s="52"/>
      <c r="M611" s="52"/>
      <c r="N611" s="52"/>
      <c r="O611" s="52"/>
      <c r="P611" s="52"/>
      <c r="Q611" s="52"/>
      <c r="R611" s="52"/>
      <c r="S611" s="52"/>
      <c r="T611" s="52"/>
      <c r="U611" s="52"/>
      <c r="V611" s="52"/>
      <c r="W611" s="52"/>
      <c r="X611" s="52" t="e">
        <f>#REF!</f>
        <v>#REF!</v>
      </c>
      <c r="Y611" s="165"/>
      <c r="Z611" s="165"/>
      <c r="AA611" s="165"/>
      <c r="AB611" s="165"/>
      <c r="AC611" s="165"/>
      <c r="AD611" s="165"/>
      <c r="AE611" s="165"/>
      <c r="AF611" s="165"/>
    </row>
    <row r="612" spans="1:32" ht="90" hidden="1">
      <c r="A612" s="165"/>
      <c r="B612" s="48"/>
      <c r="C612" s="56"/>
      <c r="D612" s="57"/>
      <c r="E612" s="57"/>
      <c r="F612" s="58"/>
      <c r="G612" s="407" t="s">
        <v>2733</v>
      </c>
      <c r="H612" s="157">
        <v>69.23</v>
      </c>
      <c r="I612" s="157">
        <v>70</v>
      </c>
      <c r="J612" s="157">
        <v>70</v>
      </c>
      <c r="K612" s="301">
        <v>350000000</v>
      </c>
      <c r="L612" s="302">
        <v>70.25</v>
      </c>
      <c r="M612" s="303">
        <v>339120000</v>
      </c>
      <c r="N612" s="157">
        <v>70.5</v>
      </c>
      <c r="O612" s="301">
        <v>450000000</v>
      </c>
      <c r="P612" s="157">
        <v>70.75</v>
      </c>
      <c r="Q612" s="301">
        <v>500000000</v>
      </c>
      <c r="R612" s="301">
        <v>71</v>
      </c>
      <c r="S612" s="301">
        <v>550000000</v>
      </c>
      <c r="T612" s="301">
        <v>71</v>
      </c>
      <c r="U612" s="301">
        <v>550000000</v>
      </c>
      <c r="V612" s="52"/>
      <c r="W612" s="52"/>
      <c r="X612" s="52"/>
      <c r="Y612" s="165"/>
      <c r="Z612" s="165"/>
      <c r="AA612" s="165"/>
      <c r="AB612" s="165"/>
      <c r="AC612" s="165"/>
      <c r="AD612" s="165"/>
      <c r="AE612" s="165"/>
      <c r="AF612" s="165"/>
    </row>
    <row r="613" spans="1:32" ht="60" hidden="1">
      <c r="A613" s="165"/>
      <c r="B613" s="48"/>
      <c r="C613" s="56"/>
      <c r="D613" s="57"/>
      <c r="E613" s="57"/>
      <c r="F613" s="58"/>
      <c r="G613" s="407" t="s">
        <v>2734</v>
      </c>
      <c r="H613" s="157"/>
      <c r="I613" s="157"/>
      <c r="J613" s="157"/>
      <c r="K613" s="301">
        <v>1308370000</v>
      </c>
      <c r="L613" s="157"/>
      <c r="M613" s="301">
        <v>1420980000</v>
      </c>
      <c r="N613" s="301"/>
      <c r="O613" s="301">
        <v>1450000000</v>
      </c>
      <c r="P613" s="301"/>
      <c r="Q613" s="301">
        <v>1500000000</v>
      </c>
      <c r="R613" s="301"/>
      <c r="S613" s="301">
        <v>1600000000</v>
      </c>
      <c r="T613" s="301"/>
      <c r="U613" s="301">
        <v>1600000000</v>
      </c>
      <c r="V613" s="52"/>
      <c r="W613" s="52"/>
      <c r="X613" s="52"/>
      <c r="Y613" s="165"/>
      <c r="Z613" s="165"/>
      <c r="AA613" s="165"/>
      <c r="AB613" s="165"/>
      <c r="AC613" s="165"/>
      <c r="AD613" s="165"/>
      <c r="AE613" s="165"/>
      <c r="AF613" s="165"/>
    </row>
    <row r="614" spans="1:32" ht="75" hidden="1">
      <c r="A614" s="165"/>
      <c r="B614" s="48"/>
      <c r="C614" s="56"/>
      <c r="D614" s="57"/>
      <c r="E614" s="57"/>
      <c r="F614" s="58"/>
      <c r="G614" s="407" t="s">
        <v>2735</v>
      </c>
      <c r="H614" s="157"/>
      <c r="I614" s="157" t="s">
        <v>2736</v>
      </c>
      <c r="J614" s="157"/>
      <c r="K614" s="301">
        <v>170646000</v>
      </c>
      <c r="L614" s="157" t="s">
        <v>2736</v>
      </c>
      <c r="M614" s="303">
        <v>184098000</v>
      </c>
      <c r="N614" s="157" t="s">
        <v>2736</v>
      </c>
      <c r="O614" s="301">
        <v>300000000</v>
      </c>
      <c r="P614" s="157" t="s">
        <v>2736</v>
      </c>
      <c r="Q614" s="301">
        <v>350000000</v>
      </c>
      <c r="R614" s="157" t="s">
        <v>2736</v>
      </c>
      <c r="S614" s="301">
        <v>400000000</v>
      </c>
      <c r="T614" s="157" t="s">
        <v>2736</v>
      </c>
      <c r="U614" s="301">
        <v>400000000</v>
      </c>
      <c r="V614" s="52"/>
      <c r="W614" s="52"/>
      <c r="X614" s="52"/>
      <c r="Y614" s="165"/>
      <c r="Z614" s="165"/>
      <c r="AA614" s="165"/>
      <c r="AB614" s="165"/>
      <c r="AC614" s="165"/>
      <c r="AD614" s="165"/>
      <c r="AE614" s="165"/>
      <c r="AF614" s="165"/>
    </row>
    <row r="615" spans="1:32" ht="60" hidden="1">
      <c r="A615" s="165"/>
      <c r="B615" s="48"/>
      <c r="C615" s="56"/>
      <c r="D615" s="57"/>
      <c r="E615" s="57"/>
      <c r="F615" s="58"/>
      <c r="G615" s="408" t="s">
        <v>2737</v>
      </c>
      <c r="H615" s="304" t="s">
        <v>743</v>
      </c>
      <c r="I615" s="157" t="s">
        <v>2736</v>
      </c>
      <c r="J615" s="157"/>
      <c r="K615" s="301">
        <v>110000000</v>
      </c>
      <c r="L615" s="157" t="s">
        <v>2736</v>
      </c>
      <c r="M615" s="303">
        <v>45838000</v>
      </c>
      <c r="N615" s="157" t="s">
        <v>2736</v>
      </c>
      <c r="O615" s="301">
        <v>100000000</v>
      </c>
      <c r="P615" s="157" t="s">
        <v>2736</v>
      </c>
      <c r="Q615" s="301">
        <v>50000000</v>
      </c>
      <c r="R615" s="157" t="s">
        <v>2736</v>
      </c>
      <c r="S615" s="301">
        <v>50000000</v>
      </c>
      <c r="T615" s="157" t="s">
        <v>2736</v>
      </c>
      <c r="U615" s="301">
        <v>50000000</v>
      </c>
      <c r="V615" s="52"/>
      <c r="W615" s="52"/>
      <c r="X615" s="52"/>
      <c r="Y615" s="165"/>
      <c r="Z615" s="165"/>
      <c r="AA615" s="165"/>
      <c r="AB615" s="165"/>
      <c r="AC615" s="165"/>
      <c r="AD615" s="165"/>
      <c r="AE615" s="165"/>
      <c r="AF615" s="165"/>
    </row>
    <row r="616" spans="1:32" ht="75" hidden="1">
      <c r="A616" s="165"/>
      <c r="B616" s="48"/>
      <c r="C616" s="56"/>
      <c r="D616" s="57"/>
      <c r="E616" s="57"/>
      <c r="F616" s="58"/>
      <c r="G616" s="407" t="s">
        <v>2738</v>
      </c>
      <c r="H616" s="157" t="s">
        <v>2739</v>
      </c>
      <c r="I616" s="157" t="s">
        <v>2739</v>
      </c>
      <c r="J616" s="157" t="s">
        <v>2739</v>
      </c>
      <c r="K616" s="301">
        <v>25000000</v>
      </c>
      <c r="L616" s="157" t="s">
        <v>2740</v>
      </c>
      <c r="M616" s="303">
        <v>23602100</v>
      </c>
      <c r="N616" s="157" t="s">
        <v>2740</v>
      </c>
      <c r="O616" s="301">
        <v>45000000</v>
      </c>
      <c r="P616" s="301" t="s">
        <v>2740</v>
      </c>
      <c r="Q616" s="301">
        <v>45000000</v>
      </c>
      <c r="R616" s="301" t="s">
        <v>2741</v>
      </c>
      <c r="S616" s="301">
        <v>50000000</v>
      </c>
      <c r="T616" s="301" t="s">
        <v>2741</v>
      </c>
      <c r="U616" s="301">
        <v>50000000</v>
      </c>
      <c r="V616" s="52"/>
      <c r="W616" s="52"/>
      <c r="X616" s="52"/>
      <c r="Y616" s="165"/>
      <c r="Z616" s="165"/>
      <c r="AA616" s="165"/>
      <c r="AB616" s="165"/>
      <c r="AC616" s="165"/>
      <c r="AD616" s="165"/>
      <c r="AE616" s="165"/>
      <c r="AF616" s="165"/>
    </row>
    <row r="617" spans="1:32" ht="150" hidden="1">
      <c r="A617" s="165"/>
      <c r="B617" s="48"/>
      <c r="C617" s="56"/>
      <c r="D617" s="57"/>
      <c r="E617" s="57"/>
      <c r="F617" s="58"/>
      <c r="G617" s="407" t="s">
        <v>2742</v>
      </c>
      <c r="H617" s="157" t="s">
        <v>2743</v>
      </c>
      <c r="I617" s="157" t="s">
        <v>2744</v>
      </c>
      <c r="J617" s="157" t="s">
        <v>2744</v>
      </c>
      <c r="K617" s="301">
        <v>40000000</v>
      </c>
      <c r="L617" s="157" t="s">
        <v>2744</v>
      </c>
      <c r="M617" s="303">
        <v>26224900</v>
      </c>
      <c r="N617" s="157" t="s">
        <v>2744</v>
      </c>
      <c r="O617" s="303">
        <v>75000000</v>
      </c>
      <c r="P617" s="157" t="s">
        <v>2744</v>
      </c>
      <c r="Q617" s="303">
        <v>75000000</v>
      </c>
      <c r="R617" s="157" t="s">
        <v>2744</v>
      </c>
      <c r="S617" s="303">
        <v>75000000</v>
      </c>
      <c r="T617" s="157" t="s">
        <v>2744</v>
      </c>
      <c r="U617" s="303">
        <v>75000000</v>
      </c>
      <c r="V617" s="52"/>
      <c r="W617" s="52"/>
      <c r="X617" s="52"/>
      <c r="Y617" s="165"/>
      <c r="Z617" s="165"/>
      <c r="AA617" s="165"/>
      <c r="AB617" s="165"/>
      <c r="AC617" s="165"/>
      <c r="AD617" s="165"/>
      <c r="AE617" s="165"/>
      <c r="AF617" s="165"/>
    </row>
    <row r="618" spans="1:32" ht="135" hidden="1">
      <c r="A618" s="165"/>
      <c r="B618" s="48"/>
      <c r="C618" s="56"/>
      <c r="D618" s="57"/>
      <c r="E618" s="57"/>
      <c r="F618" s="58"/>
      <c r="G618" s="407" t="s">
        <v>2745</v>
      </c>
      <c r="H618" s="304" t="s">
        <v>743</v>
      </c>
      <c r="I618" s="304" t="s">
        <v>743</v>
      </c>
      <c r="J618" s="304" t="s">
        <v>743</v>
      </c>
      <c r="K618" s="304" t="s">
        <v>743</v>
      </c>
      <c r="L618" s="157" t="s">
        <v>2746</v>
      </c>
      <c r="M618" s="303">
        <v>410000000</v>
      </c>
      <c r="N618" s="157" t="s">
        <v>2746</v>
      </c>
      <c r="O618" s="301">
        <v>190000000</v>
      </c>
      <c r="P618" s="301" t="s">
        <v>2747</v>
      </c>
      <c r="Q618" s="301">
        <v>40000000</v>
      </c>
      <c r="R618" s="301" t="s">
        <v>2747</v>
      </c>
      <c r="S618" s="301">
        <v>40000000</v>
      </c>
      <c r="T618" s="301" t="s">
        <v>2747</v>
      </c>
      <c r="U618" s="301">
        <v>40000000</v>
      </c>
      <c r="V618" s="52"/>
      <c r="W618" s="52"/>
      <c r="X618" s="52"/>
      <c r="Y618" s="165"/>
      <c r="Z618" s="165"/>
      <c r="AA618" s="165"/>
      <c r="AB618" s="165"/>
      <c r="AC618" s="165"/>
      <c r="AD618" s="165"/>
      <c r="AE618" s="165"/>
      <c r="AF618" s="165"/>
    </row>
    <row r="619" spans="1:32" ht="150" hidden="1">
      <c r="A619" s="165"/>
      <c r="B619" s="48"/>
      <c r="C619" s="56"/>
      <c r="D619" s="57"/>
      <c r="E619" s="57"/>
      <c r="F619" s="58"/>
      <c r="G619" s="407" t="s">
        <v>2748</v>
      </c>
      <c r="H619" s="304" t="s">
        <v>743</v>
      </c>
      <c r="I619" s="304" t="s">
        <v>743</v>
      </c>
      <c r="J619" s="304" t="s">
        <v>743</v>
      </c>
      <c r="K619" s="304" t="s">
        <v>743</v>
      </c>
      <c r="L619" s="304" t="s">
        <v>743</v>
      </c>
      <c r="M619" s="304" t="s">
        <v>743</v>
      </c>
      <c r="N619" s="157" t="s">
        <v>2749</v>
      </c>
      <c r="O619" s="301">
        <v>30000000</v>
      </c>
      <c r="P619" s="157" t="s">
        <v>2750</v>
      </c>
      <c r="Q619" s="301">
        <v>60000000</v>
      </c>
      <c r="R619" s="157" t="s">
        <v>2751</v>
      </c>
      <c r="S619" s="301">
        <v>50000000</v>
      </c>
      <c r="T619" s="157" t="s">
        <v>2751</v>
      </c>
      <c r="U619" s="301">
        <v>50000000</v>
      </c>
      <c r="V619" s="52"/>
      <c r="W619" s="52"/>
      <c r="X619" s="52"/>
      <c r="Y619" s="165"/>
      <c r="Z619" s="165"/>
      <c r="AA619" s="165"/>
      <c r="AB619" s="165"/>
      <c r="AC619" s="165"/>
      <c r="AD619" s="165"/>
      <c r="AE619" s="165"/>
      <c r="AF619" s="165"/>
    </row>
    <row r="620" spans="1:32" ht="105" hidden="1">
      <c r="A620" s="165"/>
      <c r="B620" s="48"/>
      <c r="C620" s="56"/>
      <c r="D620" s="57"/>
      <c r="E620" s="57"/>
      <c r="F620" s="58"/>
      <c r="G620" s="408" t="s">
        <v>2752</v>
      </c>
      <c r="H620" s="157" t="s">
        <v>2753</v>
      </c>
      <c r="I620" s="157" t="s">
        <v>2754</v>
      </c>
      <c r="J620" s="157" t="s">
        <v>2754</v>
      </c>
      <c r="K620" s="301">
        <v>24902500</v>
      </c>
      <c r="L620" s="157" t="s">
        <v>2755</v>
      </c>
      <c r="M620" s="303">
        <v>25000000</v>
      </c>
      <c r="N620" s="157" t="s">
        <v>2756</v>
      </c>
      <c r="O620" s="301">
        <v>120000000</v>
      </c>
      <c r="P620" s="301" t="s">
        <v>2757</v>
      </c>
      <c r="Q620" s="301">
        <v>150000000</v>
      </c>
      <c r="R620" s="301" t="s">
        <v>2758</v>
      </c>
      <c r="S620" s="301">
        <v>170000000</v>
      </c>
      <c r="T620" s="301" t="s">
        <v>2758</v>
      </c>
      <c r="U620" s="301">
        <v>170000000</v>
      </c>
      <c r="V620" s="52"/>
      <c r="W620" s="52"/>
      <c r="X620" s="52"/>
      <c r="Y620" s="165"/>
      <c r="Z620" s="165"/>
      <c r="AA620" s="165"/>
      <c r="AB620" s="165"/>
      <c r="AC620" s="165"/>
      <c r="AD620" s="165"/>
      <c r="AE620" s="165"/>
      <c r="AF620" s="165"/>
    </row>
    <row r="621" spans="1:32" ht="90" hidden="1">
      <c r="A621" s="165"/>
      <c r="B621" s="48"/>
      <c r="C621" s="56"/>
      <c r="D621" s="57"/>
      <c r="E621" s="57"/>
      <c r="F621" s="58"/>
      <c r="G621" s="409" t="s">
        <v>2759</v>
      </c>
      <c r="H621" s="305">
        <v>0.1426</v>
      </c>
      <c r="I621" s="305">
        <v>5.8799999999999998E-2</v>
      </c>
      <c r="J621" s="157"/>
      <c r="K621" s="304" t="s">
        <v>743</v>
      </c>
      <c r="L621" s="157"/>
      <c r="M621" s="303">
        <v>46793500</v>
      </c>
      <c r="N621" s="157"/>
      <c r="O621" s="301">
        <v>120000000</v>
      </c>
      <c r="P621" s="301"/>
      <c r="Q621" s="301">
        <v>150000000</v>
      </c>
      <c r="R621" s="301"/>
      <c r="S621" s="301">
        <v>170000000</v>
      </c>
      <c r="T621" s="301"/>
      <c r="U621" s="301">
        <v>170000000</v>
      </c>
      <c r="V621" s="52"/>
      <c r="W621" s="52"/>
      <c r="X621" s="52"/>
      <c r="Y621" s="165"/>
      <c r="Z621" s="165"/>
      <c r="AA621" s="165"/>
      <c r="AB621" s="165"/>
      <c r="AC621" s="165"/>
      <c r="AD621" s="165"/>
      <c r="AE621" s="165"/>
      <c r="AF621" s="165"/>
    </row>
    <row r="622" spans="1:32" ht="75" hidden="1">
      <c r="A622" s="165"/>
      <c r="B622" s="48"/>
      <c r="C622" s="56"/>
      <c r="D622" s="57"/>
      <c r="E622" s="57"/>
      <c r="F622" s="58"/>
      <c r="G622" s="409" t="s">
        <v>2760</v>
      </c>
      <c r="H622" s="306">
        <v>0</v>
      </c>
      <c r="I622" s="305">
        <v>7.1400000000000005E-2</v>
      </c>
      <c r="J622" s="157"/>
      <c r="K622" s="304"/>
      <c r="L622" s="157"/>
      <c r="M622" s="303"/>
      <c r="N622" s="157"/>
      <c r="O622" s="157"/>
      <c r="P622" s="157"/>
      <c r="Q622" s="157"/>
      <c r="R622" s="157"/>
      <c r="S622" s="157"/>
      <c r="T622" s="157"/>
      <c r="U622" s="157"/>
      <c r="V622" s="52"/>
      <c r="W622" s="52"/>
      <c r="X622" s="52"/>
      <c r="Y622" s="165"/>
      <c r="Z622" s="165"/>
      <c r="AA622" s="165"/>
      <c r="AB622" s="165"/>
      <c r="AC622" s="165"/>
      <c r="AD622" s="165"/>
      <c r="AE622" s="165"/>
      <c r="AF622" s="165"/>
    </row>
    <row r="623" spans="1:32" ht="45" hidden="1">
      <c r="A623" s="165"/>
      <c r="B623" s="48"/>
      <c r="C623" s="56"/>
      <c r="D623" s="57"/>
      <c r="E623" s="57"/>
      <c r="F623" s="58"/>
      <c r="G623" s="409" t="s">
        <v>2761</v>
      </c>
      <c r="H623" s="306"/>
      <c r="I623" s="305"/>
      <c r="J623" s="157"/>
      <c r="K623" s="304"/>
      <c r="L623" s="157" t="s">
        <v>2736</v>
      </c>
      <c r="M623" s="303">
        <v>49665000</v>
      </c>
      <c r="N623" s="157" t="s">
        <v>2736</v>
      </c>
      <c r="O623" s="301">
        <v>75000000</v>
      </c>
      <c r="P623" s="157" t="s">
        <v>2736</v>
      </c>
      <c r="Q623" s="301">
        <v>100000000</v>
      </c>
      <c r="R623" s="157" t="s">
        <v>2736</v>
      </c>
      <c r="S623" s="301">
        <v>125000000</v>
      </c>
      <c r="T623" s="157" t="s">
        <v>2736</v>
      </c>
      <c r="U623" s="301">
        <v>125000000</v>
      </c>
      <c r="V623" s="52"/>
      <c r="W623" s="52"/>
      <c r="X623" s="52"/>
      <c r="Y623" s="165"/>
      <c r="Z623" s="165"/>
      <c r="AA623" s="165"/>
      <c r="AB623" s="165"/>
      <c r="AC623" s="165"/>
      <c r="AD623" s="165"/>
      <c r="AE623" s="165"/>
      <c r="AF623" s="165"/>
    </row>
    <row r="624" spans="1:32" ht="60" hidden="1">
      <c r="A624" s="165"/>
      <c r="B624" s="48"/>
      <c r="C624" s="56"/>
      <c r="D624" s="57"/>
      <c r="E624" s="57"/>
      <c r="F624" s="58"/>
      <c r="G624" s="408" t="s">
        <v>2762</v>
      </c>
      <c r="H624" s="157"/>
      <c r="I624" s="304" t="s">
        <v>743</v>
      </c>
      <c r="J624" s="304" t="s">
        <v>743</v>
      </c>
      <c r="K624" s="304" t="s">
        <v>743</v>
      </c>
      <c r="L624" s="157" t="s">
        <v>2736</v>
      </c>
      <c r="M624" s="303">
        <v>34529000</v>
      </c>
      <c r="N624" s="157" t="s">
        <v>2763</v>
      </c>
      <c r="O624" s="301">
        <v>105000000</v>
      </c>
      <c r="P624" s="301" t="s">
        <v>2763</v>
      </c>
      <c r="Q624" s="301">
        <v>125000000</v>
      </c>
      <c r="R624" s="301" t="s">
        <v>2763</v>
      </c>
      <c r="S624" s="301">
        <v>140000000</v>
      </c>
      <c r="T624" s="301" t="s">
        <v>2763</v>
      </c>
      <c r="U624" s="301">
        <v>140000000</v>
      </c>
      <c r="V624" s="52"/>
      <c r="W624" s="52"/>
      <c r="X624" s="52"/>
      <c r="Y624" s="165"/>
      <c r="Z624" s="165"/>
      <c r="AA624" s="165"/>
      <c r="AB624" s="165"/>
      <c r="AC624" s="165"/>
      <c r="AD624" s="165"/>
      <c r="AE624" s="165"/>
      <c r="AF624" s="165"/>
    </row>
    <row r="625" spans="1:32" ht="30" hidden="1">
      <c r="A625" s="165"/>
      <c r="B625" s="48"/>
      <c r="C625" s="56"/>
      <c r="D625" s="57"/>
      <c r="E625" s="57"/>
      <c r="F625" s="58"/>
      <c r="G625" s="410" t="s">
        <v>2764</v>
      </c>
      <c r="H625" s="306"/>
      <c r="I625" s="305"/>
      <c r="J625" s="157"/>
      <c r="K625" s="304"/>
      <c r="L625" s="157"/>
      <c r="M625" s="303">
        <v>35000000</v>
      </c>
      <c r="N625" s="157"/>
      <c r="O625" s="157"/>
      <c r="P625" s="157"/>
      <c r="Q625" s="157"/>
      <c r="R625" s="157"/>
      <c r="S625" s="157"/>
      <c r="T625" s="157"/>
      <c r="U625" s="157"/>
      <c r="V625" s="52"/>
      <c r="W625" s="52"/>
      <c r="X625" s="52"/>
      <c r="Y625" s="165"/>
      <c r="Z625" s="165"/>
      <c r="AA625" s="165"/>
      <c r="AB625" s="165"/>
      <c r="AC625" s="165"/>
      <c r="AD625" s="165"/>
      <c r="AE625" s="165"/>
      <c r="AF625" s="165"/>
    </row>
    <row r="626" spans="1:32" ht="30" hidden="1">
      <c r="A626" s="165"/>
      <c r="B626" s="48"/>
      <c r="C626" s="56"/>
      <c r="D626" s="57"/>
      <c r="E626" s="57"/>
      <c r="F626" s="58"/>
      <c r="G626" s="410" t="s">
        <v>2765</v>
      </c>
      <c r="H626" s="306"/>
      <c r="I626" s="305"/>
      <c r="J626" s="157"/>
      <c r="K626" s="304"/>
      <c r="L626" s="157" t="s">
        <v>2736</v>
      </c>
      <c r="M626" s="303">
        <v>24730000</v>
      </c>
      <c r="N626" s="157" t="s">
        <v>2736</v>
      </c>
      <c r="O626" s="301">
        <v>70000000</v>
      </c>
      <c r="P626" s="157" t="s">
        <v>2736</v>
      </c>
      <c r="Q626" s="301">
        <v>85000000</v>
      </c>
      <c r="R626" s="157" t="s">
        <v>2736</v>
      </c>
      <c r="S626" s="301">
        <v>100000000</v>
      </c>
      <c r="T626" s="157" t="s">
        <v>2736</v>
      </c>
      <c r="U626" s="301">
        <v>100000000</v>
      </c>
      <c r="V626" s="52"/>
      <c r="W626" s="52"/>
      <c r="X626" s="52"/>
      <c r="Y626" s="165"/>
      <c r="Z626" s="165"/>
      <c r="AA626" s="165"/>
      <c r="AB626" s="165"/>
      <c r="AC626" s="165"/>
      <c r="AD626" s="165"/>
      <c r="AE626" s="165"/>
      <c r="AF626" s="165"/>
    </row>
    <row r="627" spans="1:32" hidden="1">
      <c r="A627" s="165"/>
      <c r="B627" s="48"/>
      <c r="C627" s="56" t="e">
        <f>#REF!</f>
        <v>#REF!</v>
      </c>
      <c r="D627" s="57" t="e">
        <f>#REF!</f>
        <v>#REF!</v>
      </c>
      <c r="E627" s="57" t="e">
        <f>#REF!</f>
        <v>#REF!</v>
      </c>
      <c r="F627" s="58" t="e">
        <f>#REF!</f>
        <v>#REF!</v>
      </c>
      <c r="G627" s="58"/>
      <c r="H627" s="52"/>
      <c r="I627" s="52"/>
      <c r="J627" s="52"/>
      <c r="K627" s="52"/>
      <c r="L627" s="52"/>
      <c r="M627" s="52"/>
      <c r="N627" s="52"/>
      <c r="O627" s="52"/>
      <c r="P627" s="52"/>
      <c r="Q627" s="52"/>
      <c r="R627" s="52"/>
      <c r="S627" s="52"/>
      <c r="T627" s="52"/>
      <c r="U627" s="52"/>
      <c r="V627" s="52"/>
      <c r="W627" s="52"/>
      <c r="X627" s="52" t="e">
        <f>#REF!</f>
        <v>#REF!</v>
      </c>
      <c r="Y627" s="165"/>
      <c r="Z627" s="165"/>
      <c r="AA627" s="165"/>
      <c r="AB627" s="165"/>
      <c r="AC627" s="165"/>
      <c r="AD627" s="165"/>
      <c r="AE627" s="165"/>
      <c r="AF627" s="165"/>
    </row>
    <row r="628" spans="1:32" ht="60" hidden="1">
      <c r="A628" s="165"/>
      <c r="B628" s="48"/>
      <c r="C628" s="56"/>
      <c r="D628" s="57"/>
      <c r="E628" s="57"/>
      <c r="F628" s="58"/>
      <c r="G628" s="408" t="s">
        <v>2766</v>
      </c>
      <c r="H628" s="157" t="s">
        <v>2736</v>
      </c>
      <c r="I628" s="157" t="s">
        <v>2736</v>
      </c>
      <c r="J628" s="157" t="s">
        <v>2736</v>
      </c>
      <c r="K628" s="304" t="s">
        <v>743</v>
      </c>
      <c r="L628" s="157"/>
      <c r="M628" s="303">
        <v>300000000</v>
      </c>
      <c r="N628" s="157" t="s">
        <v>2736</v>
      </c>
      <c r="O628" s="301">
        <v>700000000</v>
      </c>
      <c r="P628" s="157" t="s">
        <v>2736</v>
      </c>
      <c r="Q628" s="301">
        <v>700000000</v>
      </c>
      <c r="R628" s="157" t="s">
        <v>2736</v>
      </c>
      <c r="S628" s="301">
        <v>750000000</v>
      </c>
      <c r="T628" s="157" t="s">
        <v>2736</v>
      </c>
      <c r="U628" s="301">
        <v>750000000</v>
      </c>
      <c r="V628" s="52"/>
      <c r="W628" s="52"/>
      <c r="X628" s="52"/>
      <c r="Y628" s="165"/>
      <c r="Z628" s="165"/>
      <c r="AA628" s="165"/>
      <c r="AB628" s="165"/>
      <c r="AC628" s="165"/>
      <c r="AD628" s="165"/>
      <c r="AE628" s="165"/>
      <c r="AF628" s="165"/>
    </row>
    <row r="629" spans="1:32" ht="45" hidden="1">
      <c r="A629" s="165"/>
      <c r="B629" s="48"/>
      <c r="C629" s="56"/>
      <c r="D629" s="57"/>
      <c r="E629" s="57"/>
      <c r="F629" s="58"/>
      <c r="G629" s="409" t="s">
        <v>2767</v>
      </c>
      <c r="H629" s="157" t="s">
        <v>2736</v>
      </c>
      <c r="I629" s="157" t="s">
        <v>2736</v>
      </c>
      <c r="J629" s="157" t="s">
        <v>2736</v>
      </c>
      <c r="K629" s="301">
        <v>75000000</v>
      </c>
      <c r="L629" s="157"/>
      <c r="M629" s="304" t="s">
        <v>743</v>
      </c>
      <c r="N629" s="157" t="s">
        <v>2736</v>
      </c>
      <c r="O629" s="301">
        <v>150000000</v>
      </c>
      <c r="P629" s="301" t="s">
        <v>2736</v>
      </c>
      <c r="Q629" s="301">
        <v>150000000</v>
      </c>
      <c r="R629" s="301" t="s">
        <v>2736</v>
      </c>
      <c r="S629" s="301">
        <v>200000000</v>
      </c>
      <c r="T629" s="301" t="s">
        <v>2736</v>
      </c>
      <c r="U629" s="301">
        <v>200000000</v>
      </c>
      <c r="V629" s="52"/>
      <c r="W629" s="52"/>
      <c r="X629" s="52"/>
      <c r="Y629" s="165"/>
      <c r="Z629" s="165"/>
      <c r="AA629" s="165"/>
      <c r="AB629" s="165"/>
      <c r="AC629" s="165"/>
      <c r="AD629" s="165"/>
      <c r="AE629" s="165"/>
      <c r="AF629" s="165"/>
    </row>
    <row r="630" spans="1:32" ht="60" hidden="1">
      <c r="A630" s="165"/>
      <c r="B630" s="48"/>
      <c r="C630" s="56"/>
      <c r="D630" s="57"/>
      <c r="E630" s="57"/>
      <c r="F630" s="58"/>
      <c r="G630" s="408" t="s">
        <v>2768</v>
      </c>
      <c r="H630" s="157" t="s">
        <v>2736</v>
      </c>
      <c r="I630" s="157" t="s">
        <v>2736</v>
      </c>
      <c r="J630" s="157" t="s">
        <v>2736</v>
      </c>
      <c r="K630" s="301">
        <v>74820000</v>
      </c>
      <c r="L630" s="157"/>
      <c r="M630" s="303">
        <v>46698500</v>
      </c>
      <c r="N630" s="157" t="s">
        <v>2736</v>
      </c>
      <c r="O630" s="301">
        <v>75000000</v>
      </c>
      <c r="P630" s="301" t="s">
        <v>2736</v>
      </c>
      <c r="Q630" s="301">
        <v>75000000</v>
      </c>
      <c r="R630" s="301" t="s">
        <v>2736</v>
      </c>
      <c r="S630" s="301">
        <v>75000000</v>
      </c>
      <c r="T630" s="301" t="s">
        <v>2736</v>
      </c>
      <c r="U630" s="301">
        <v>75000000</v>
      </c>
      <c r="V630" s="52"/>
      <c r="W630" s="52"/>
      <c r="X630" s="52"/>
      <c r="Y630" s="165"/>
      <c r="Z630" s="165"/>
      <c r="AA630" s="165"/>
      <c r="AB630" s="165"/>
      <c r="AC630" s="165"/>
      <c r="AD630" s="165"/>
      <c r="AE630" s="165"/>
      <c r="AF630" s="165"/>
    </row>
    <row r="631" spans="1:32" ht="60" hidden="1">
      <c r="A631" s="165"/>
      <c r="B631" s="48"/>
      <c r="C631" s="56"/>
      <c r="D631" s="57"/>
      <c r="E631" s="57"/>
      <c r="F631" s="58"/>
      <c r="G631" s="408" t="s">
        <v>2769</v>
      </c>
      <c r="H631" s="157" t="s">
        <v>2736</v>
      </c>
      <c r="I631" s="157" t="s">
        <v>2736</v>
      </c>
      <c r="J631" s="157" t="s">
        <v>2736</v>
      </c>
      <c r="K631" s="301">
        <v>150000000</v>
      </c>
      <c r="L631" s="157"/>
      <c r="M631" s="301">
        <v>400000000</v>
      </c>
      <c r="N631" s="157" t="s">
        <v>2736</v>
      </c>
      <c r="O631" s="304" t="s">
        <v>743</v>
      </c>
      <c r="P631" s="157" t="s">
        <v>2736</v>
      </c>
      <c r="Q631" s="304" t="s">
        <v>743</v>
      </c>
      <c r="R631" s="157" t="s">
        <v>2736</v>
      </c>
      <c r="S631" s="304" t="s">
        <v>743</v>
      </c>
      <c r="T631" s="157" t="s">
        <v>2736</v>
      </c>
      <c r="U631" s="304" t="s">
        <v>743</v>
      </c>
      <c r="V631" s="52"/>
      <c r="W631" s="52"/>
      <c r="X631" s="52"/>
      <c r="Y631" s="165"/>
      <c r="Z631" s="165"/>
      <c r="AA631" s="165"/>
      <c r="AB631" s="165"/>
      <c r="AC631" s="165"/>
      <c r="AD631" s="165"/>
      <c r="AE631" s="165"/>
      <c r="AF631" s="165"/>
    </row>
    <row r="632" spans="1:32" ht="60" hidden="1">
      <c r="A632" s="165"/>
      <c r="B632" s="48"/>
      <c r="C632" s="56"/>
      <c r="D632" s="57"/>
      <c r="E632" s="57"/>
      <c r="F632" s="58"/>
      <c r="G632" s="408" t="s">
        <v>2769</v>
      </c>
      <c r="H632" s="157" t="s">
        <v>2736</v>
      </c>
      <c r="I632" s="157" t="s">
        <v>2736</v>
      </c>
      <c r="J632" s="157" t="s">
        <v>2736</v>
      </c>
      <c r="K632" s="301">
        <v>35000000</v>
      </c>
      <c r="L632" s="157"/>
      <c r="M632" s="303">
        <v>31942000</v>
      </c>
      <c r="N632" s="157" t="s">
        <v>2736</v>
      </c>
      <c r="O632" s="304" t="s">
        <v>743</v>
      </c>
      <c r="P632" s="157" t="s">
        <v>2736</v>
      </c>
      <c r="Q632" s="304" t="s">
        <v>743</v>
      </c>
      <c r="R632" s="157" t="s">
        <v>2736</v>
      </c>
      <c r="S632" s="304" t="s">
        <v>743</v>
      </c>
      <c r="T632" s="157" t="s">
        <v>2736</v>
      </c>
      <c r="U632" s="304" t="s">
        <v>743</v>
      </c>
      <c r="V632" s="52"/>
      <c r="W632" s="52"/>
      <c r="X632" s="52"/>
      <c r="Y632" s="165"/>
      <c r="Z632" s="165"/>
      <c r="AA632" s="165"/>
      <c r="AB632" s="165"/>
      <c r="AC632" s="165"/>
      <c r="AD632" s="165"/>
      <c r="AE632" s="165"/>
      <c r="AF632" s="165"/>
    </row>
    <row r="633" spans="1:32" ht="60" hidden="1">
      <c r="A633" s="165"/>
      <c r="B633" s="48"/>
      <c r="C633" s="56"/>
      <c r="D633" s="57"/>
      <c r="E633" s="57"/>
      <c r="F633" s="58"/>
      <c r="G633" s="408" t="s">
        <v>2770</v>
      </c>
      <c r="H633" s="157" t="s">
        <v>2736</v>
      </c>
      <c r="I633" s="157" t="s">
        <v>2736</v>
      </c>
      <c r="J633" s="157" t="s">
        <v>2736</v>
      </c>
      <c r="K633" s="301">
        <v>15000000</v>
      </c>
      <c r="L633" s="157"/>
      <c r="M633" s="303">
        <v>14680000</v>
      </c>
      <c r="N633" s="157" t="s">
        <v>2736</v>
      </c>
      <c r="O633" s="303">
        <v>60000000</v>
      </c>
      <c r="P633" s="157" t="s">
        <v>2736</v>
      </c>
      <c r="Q633" s="303">
        <v>60000000</v>
      </c>
      <c r="R633" s="157" t="s">
        <v>2736</v>
      </c>
      <c r="S633" s="301">
        <v>70000000</v>
      </c>
      <c r="T633" s="157" t="s">
        <v>2736</v>
      </c>
      <c r="U633" s="301">
        <v>70000000</v>
      </c>
      <c r="V633" s="52"/>
      <c r="W633" s="52"/>
      <c r="X633" s="52"/>
      <c r="Y633" s="165"/>
      <c r="Z633" s="165"/>
      <c r="AA633" s="165"/>
      <c r="AB633" s="165"/>
      <c r="AC633" s="165"/>
      <c r="AD633" s="165"/>
      <c r="AE633" s="165"/>
      <c r="AF633" s="165"/>
    </row>
    <row r="634" spans="1:32" ht="75" hidden="1">
      <c r="A634" s="165"/>
      <c r="B634" s="48"/>
      <c r="C634" s="56"/>
      <c r="D634" s="57"/>
      <c r="E634" s="57"/>
      <c r="F634" s="58"/>
      <c r="G634" s="408" t="s">
        <v>2771</v>
      </c>
      <c r="H634" s="304" t="s">
        <v>743</v>
      </c>
      <c r="I634" s="304" t="s">
        <v>743</v>
      </c>
      <c r="J634" s="304" t="s">
        <v>743</v>
      </c>
      <c r="K634" s="304" t="s">
        <v>743</v>
      </c>
      <c r="L634" s="157" t="s">
        <v>2736</v>
      </c>
      <c r="M634" s="303">
        <v>47353000</v>
      </c>
      <c r="N634" s="157" t="s">
        <v>2736</v>
      </c>
      <c r="O634" s="301">
        <v>50000000</v>
      </c>
      <c r="P634" s="301" t="s">
        <v>2736</v>
      </c>
      <c r="Q634" s="301">
        <v>50000000</v>
      </c>
      <c r="R634" s="301" t="s">
        <v>2736</v>
      </c>
      <c r="S634" s="301">
        <v>60000000</v>
      </c>
      <c r="T634" s="301" t="s">
        <v>2736</v>
      </c>
      <c r="U634" s="301">
        <v>60000000</v>
      </c>
      <c r="V634" s="52"/>
      <c r="W634" s="52"/>
      <c r="X634" s="52"/>
      <c r="Y634" s="165"/>
      <c r="Z634" s="165"/>
      <c r="AA634" s="165"/>
      <c r="AB634" s="165"/>
      <c r="AC634" s="165"/>
      <c r="AD634" s="165"/>
      <c r="AE634" s="165"/>
      <c r="AF634" s="165"/>
    </row>
    <row r="635" spans="1:32" ht="135" hidden="1">
      <c r="A635" s="165"/>
      <c r="B635" s="48"/>
      <c r="C635" s="56"/>
      <c r="D635" s="57"/>
      <c r="E635" s="57"/>
      <c r="F635" s="58"/>
      <c r="G635" s="409" t="s">
        <v>2772</v>
      </c>
      <c r="H635" s="304" t="s">
        <v>743</v>
      </c>
      <c r="I635" s="304" t="s">
        <v>743</v>
      </c>
      <c r="J635" s="304" t="s">
        <v>743</v>
      </c>
      <c r="K635" s="304" t="s">
        <v>743</v>
      </c>
      <c r="L635" s="157" t="s">
        <v>2736</v>
      </c>
      <c r="M635" s="303">
        <v>50000000</v>
      </c>
      <c r="N635" s="157" t="s">
        <v>2736</v>
      </c>
      <c r="O635" s="303">
        <v>50000000</v>
      </c>
      <c r="P635" s="157" t="s">
        <v>2736</v>
      </c>
      <c r="Q635" s="301">
        <v>60000000</v>
      </c>
      <c r="R635" s="157" t="s">
        <v>2736</v>
      </c>
      <c r="S635" s="301">
        <v>60000000</v>
      </c>
      <c r="T635" s="157" t="s">
        <v>2736</v>
      </c>
      <c r="U635" s="301">
        <v>60000000</v>
      </c>
      <c r="V635" s="52"/>
      <c r="W635" s="52"/>
      <c r="X635" s="52"/>
      <c r="Y635" s="165"/>
      <c r="Z635" s="165"/>
      <c r="AA635" s="165"/>
      <c r="AB635" s="165"/>
      <c r="AC635" s="165"/>
      <c r="AD635" s="165"/>
      <c r="AE635" s="165"/>
      <c r="AF635" s="165"/>
    </row>
    <row r="636" spans="1:32" ht="60" hidden="1">
      <c r="A636" s="165"/>
      <c r="B636" s="48"/>
      <c r="C636" s="56"/>
      <c r="D636" s="57"/>
      <c r="E636" s="57"/>
      <c r="F636" s="58"/>
      <c r="G636" s="410" t="s">
        <v>2773</v>
      </c>
      <c r="H636" s="304"/>
      <c r="I636" s="304"/>
      <c r="J636" s="304"/>
      <c r="K636" s="304"/>
      <c r="L636" s="157"/>
      <c r="M636" s="307" t="s">
        <v>743</v>
      </c>
      <c r="N636" s="157" t="s">
        <v>2774</v>
      </c>
      <c r="O636" s="303">
        <v>25000000</v>
      </c>
      <c r="P636" s="157"/>
      <c r="Q636" s="301"/>
      <c r="R636" s="157"/>
      <c r="S636" s="301"/>
      <c r="T636" s="157"/>
      <c r="U636" s="301"/>
      <c r="V636" s="52"/>
      <c r="W636" s="52"/>
      <c r="X636" s="52"/>
      <c r="Y636" s="165"/>
      <c r="Z636" s="165"/>
      <c r="AA636" s="165"/>
      <c r="AB636" s="165"/>
      <c r="AC636" s="165"/>
      <c r="AD636" s="165"/>
      <c r="AE636" s="165"/>
      <c r="AF636" s="165"/>
    </row>
    <row r="637" spans="1:32" ht="30" hidden="1">
      <c r="A637" s="165"/>
      <c r="B637" s="48"/>
      <c r="C637" s="56"/>
      <c r="D637" s="57"/>
      <c r="E637" s="57"/>
      <c r="F637" s="58"/>
      <c r="G637" s="410" t="s">
        <v>2775</v>
      </c>
      <c r="H637" s="304"/>
      <c r="I637" s="304"/>
      <c r="J637" s="304"/>
      <c r="K637" s="304"/>
      <c r="L637" s="157"/>
      <c r="M637" s="303">
        <v>150000000</v>
      </c>
      <c r="N637" s="157"/>
      <c r="O637" s="303"/>
      <c r="P637" s="157"/>
      <c r="Q637" s="301"/>
      <c r="R637" s="157"/>
      <c r="S637" s="301"/>
      <c r="T637" s="157"/>
      <c r="U637" s="301"/>
      <c r="V637" s="52"/>
      <c r="W637" s="52"/>
      <c r="X637" s="52"/>
      <c r="Y637" s="165"/>
      <c r="Z637" s="165"/>
      <c r="AA637" s="165"/>
      <c r="AB637" s="165"/>
      <c r="AC637" s="165"/>
      <c r="AD637" s="165"/>
      <c r="AE637" s="165"/>
      <c r="AF637" s="165"/>
    </row>
    <row r="638" spans="1:32" ht="75" hidden="1">
      <c r="A638" s="165"/>
      <c r="B638" s="48"/>
      <c r="C638" s="56"/>
      <c r="D638" s="57"/>
      <c r="E638" s="57"/>
      <c r="F638" s="58"/>
      <c r="G638" s="410" t="s">
        <v>2776</v>
      </c>
      <c r="H638" s="304"/>
      <c r="I638" s="304"/>
      <c r="J638" s="304"/>
      <c r="K638" s="304"/>
      <c r="L638" s="157"/>
      <c r="M638" s="303">
        <v>100000000</v>
      </c>
      <c r="N638" s="157"/>
      <c r="O638" s="303"/>
      <c r="P638" s="157"/>
      <c r="Q638" s="301"/>
      <c r="R638" s="157"/>
      <c r="S638" s="301"/>
      <c r="T638" s="157"/>
      <c r="U638" s="301"/>
      <c r="V638" s="52"/>
      <c r="W638" s="52"/>
      <c r="X638" s="52"/>
      <c r="Y638" s="165"/>
      <c r="Z638" s="165"/>
      <c r="AA638" s="165"/>
      <c r="AB638" s="165"/>
      <c r="AC638" s="165"/>
      <c r="AD638" s="165"/>
      <c r="AE638" s="165"/>
      <c r="AF638" s="165"/>
    </row>
    <row r="639" spans="1:32" hidden="1">
      <c r="A639" s="165"/>
      <c r="B639" s="48"/>
      <c r="C639" s="56" t="e">
        <f>#REF!</f>
        <v>#REF!</v>
      </c>
      <c r="D639" s="57" t="e">
        <f>#REF!</f>
        <v>#REF!</v>
      </c>
      <c r="E639" s="57" t="e">
        <f>#REF!</f>
        <v>#REF!</v>
      </c>
      <c r="F639" s="58" t="e">
        <f>#REF!</f>
        <v>#REF!</v>
      </c>
      <c r="G639" s="58"/>
      <c r="H639" s="52"/>
      <c r="I639" s="52"/>
      <c r="J639" s="52"/>
      <c r="K639" s="52"/>
      <c r="L639" s="52"/>
      <c r="M639" s="52"/>
      <c r="N639" s="52"/>
      <c r="O639" s="52"/>
      <c r="P639" s="52"/>
      <c r="Q639" s="52"/>
      <c r="R639" s="52"/>
      <c r="S639" s="52"/>
      <c r="T639" s="52"/>
      <c r="U639" s="52"/>
      <c r="V639" s="52"/>
      <c r="W639" s="52"/>
      <c r="X639" s="52" t="e">
        <f>#REF!</f>
        <v>#REF!</v>
      </c>
      <c r="Y639" s="165"/>
      <c r="Z639" s="165"/>
      <c r="AA639" s="165"/>
      <c r="AB639" s="165"/>
      <c r="AC639" s="165"/>
      <c r="AD639" s="165"/>
      <c r="AE639" s="165"/>
      <c r="AF639" s="165"/>
    </row>
    <row r="640" spans="1:32" ht="90" hidden="1">
      <c r="A640" s="165"/>
      <c r="B640" s="48"/>
      <c r="C640" s="56"/>
      <c r="D640" s="57"/>
      <c r="E640" s="57"/>
      <c r="F640" s="58"/>
      <c r="G640" s="411" t="s">
        <v>2777</v>
      </c>
      <c r="H640" s="157" t="s">
        <v>2778</v>
      </c>
      <c r="I640" s="157" t="s">
        <v>2779</v>
      </c>
      <c r="J640" s="157" t="s">
        <v>2779</v>
      </c>
      <c r="K640" s="301">
        <v>25000000</v>
      </c>
      <c r="L640" s="157" t="s">
        <v>2780</v>
      </c>
      <c r="M640" s="303">
        <v>22505000</v>
      </c>
      <c r="N640" s="157" t="s">
        <v>2781</v>
      </c>
      <c r="O640" s="301">
        <v>75000000</v>
      </c>
      <c r="P640" s="157" t="s">
        <v>2782</v>
      </c>
      <c r="Q640" s="301">
        <v>100000000</v>
      </c>
      <c r="R640" s="157" t="s">
        <v>2783</v>
      </c>
      <c r="S640" s="301">
        <v>125000000</v>
      </c>
      <c r="T640" s="157" t="s">
        <v>2783</v>
      </c>
      <c r="U640" s="301">
        <v>125000000</v>
      </c>
      <c r="V640" s="52"/>
      <c r="W640" s="52"/>
      <c r="X640" s="52"/>
      <c r="Y640" s="165"/>
      <c r="Z640" s="165"/>
      <c r="AA640" s="165"/>
      <c r="AB640" s="165"/>
      <c r="AC640" s="165"/>
      <c r="AD640" s="165"/>
      <c r="AE640" s="165"/>
      <c r="AF640" s="165"/>
    </row>
    <row r="641" spans="1:32" ht="60" hidden="1">
      <c r="A641" s="165"/>
      <c r="B641" s="48"/>
      <c r="C641" s="56"/>
      <c r="D641" s="57"/>
      <c r="E641" s="57"/>
      <c r="F641" s="58"/>
      <c r="G641" s="408" t="s">
        <v>2784</v>
      </c>
      <c r="H641" s="157" t="s">
        <v>2551</v>
      </c>
      <c r="I641" s="157" t="s">
        <v>2551</v>
      </c>
      <c r="J641" s="157" t="s">
        <v>2551</v>
      </c>
      <c r="K641" s="301">
        <v>50000000</v>
      </c>
      <c r="L641" s="157" t="s">
        <v>2568</v>
      </c>
      <c r="M641" s="303">
        <v>50000000</v>
      </c>
      <c r="N641" s="157" t="s">
        <v>2568</v>
      </c>
      <c r="O641" s="303">
        <v>150000000</v>
      </c>
      <c r="P641" s="157" t="s">
        <v>2568</v>
      </c>
      <c r="Q641" s="303">
        <v>150000000</v>
      </c>
      <c r="R641" s="157" t="s">
        <v>2568</v>
      </c>
      <c r="S641" s="303">
        <v>175000000</v>
      </c>
      <c r="T641" s="157" t="s">
        <v>2568</v>
      </c>
      <c r="U641" s="303">
        <v>175000000</v>
      </c>
      <c r="V641" s="52"/>
      <c r="W641" s="52"/>
      <c r="X641" s="52"/>
      <c r="Y641" s="165"/>
      <c r="Z641" s="165"/>
      <c r="AA641" s="165"/>
      <c r="AB641" s="165"/>
      <c r="AC641" s="165"/>
      <c r="AD641" s="165"/>
      <c r="AE641" s="165"/>
      <c r="AF641" s="165"/>
    </row>
    <row r="642" spans="1:32" hidden="1">
      <c r="A642" s="165"/>
      <c r="B642" s="48"/>
      <c r="C642" s="56" t="e">
        <f>#REF!</f>
        <v>#REF!</v>
      </c>
      <c r="D642" s="57" t="e">
        <f>#REF!</f>
        <v>#REF!</v>
      </c>
      <c r="E642" s="57" t="e">
        <f>#REF!</f>
        <v>#REF!</v>
      </c>
      <c r="F642" s="58" t="e">
        <f>#REF!</f>
        <v>#REF!</v>
      </c>
      <c r="G642" s="58"/>
      <c r="H642" s="52"/>
      <c r="I642" s="52"/>
      <c r="J642" s="52"/>
      <c r="K642" s="52"/>
      <c r="L642" s="52"/>
      <c r="M642" s="52"/>
      <c r="N642" s="52"/>
      <c r="O642" s="52"/>
      <c r="P642" s="52"/>
      <c r="Q642" s="52"/>
      <c r="R642" s="52"/>
      <c r="S642" s="52"/>
      <c r="T642" s="52"/>
      <c r="U642" s="52"/>
      <c r="V642" s="52"/>
      <c r="W642" s="52"/>
      <c r="X642" s="52" t="e">
        <f>#REF!</f>
        <v>#REF!</v>
      </c>
      <c r="Y642" s="165"/>
      <c r="Z642" s="165"/>
      <c r="AA642" s="165"/>
      <c r="AB642" s="165"/>
      <c r="AC642" s="165"/>
      <c r="AD642" s="165"/>
      <c r="AE642" s="165"/>
      <c r="AF642" s="165"/>
    </row>
    <row r="643" spans="1:32" ht="30" hidden="1">
      <c r="A643" s="165"/>
      <c r="B643" s="48"/>
      <c r="C643" s="56"/>
      <c r="D643" s="57"/>
      <c r="E643" s="57"/>
      <c r="F643" s="58"/>
      <c r="G643" s="409" t="s">
        <v>2790</v>
      </c>
      <c r="H643" s="157" t="s">
        <v>2736</v>
      </c>
      <c r="I643" s="157"/>
      <c r="J643" s="157" t="s">
        <v>2736</v>
      </c>
      <c r="K643" s="301">
        <v>50000000</v>
      </c>
      <c r="L643" s="157" t="s">
        <v>2736</v>
      </c>
      <c r="M643" s="303">
        <v>43217000</v>
      </c>
      <c r="N643" s="157" t="s">
        <v>2736</v>
      </c>
      <c r="O643" s="301">
        <v>55000000</v>
      </c>
      <c r="P643" s="157" t="s">
        <v>2736</v>
      </c>
      <c r="Q643" s="301">
        <v>60000000</v>
      </c>
      <c r="R643" s="157" t="s">
        <v>2736</v>
      </c>
      <c r="S643" s="301">
        <v>65000000</v>
      </c>
      <c r="T643" s="157" t="s">
        <v>2736</v>
      </c>
      <c r="U643" s="301">
        <v>65000000</v>
      </c>
      <c r="V643" s="52"/>
      <c r="W643" s="52"/>
      <c r="X643" s="52"/>
      <c r="Y643" s="165"/>
      <c r="Z643" s="165"/>
      <c r="AA643" s="165"/>
      <c r="AB643" s="165"/>
      <c r="AC643" s="165"/>
      <c r="AD643" s="165"/>
      <c r="AE643" s="165"/>
      <c r="AF643" s="165"/>
    </row>
    <row r="644" spans="1:32" ht="75" hidden="1">
      <c r="A644" s="165"/>
      <c r="B644" s="48"/>
      <c r="C644" s="56"/>
      <c r="D644" s="57"/>
      <c r="E644" s="57"/>
      <c r="F644" s="58"/>
      <c r="G644" s="409" t="s">
        <v>2791</v>
      </c>
      <c r="H644" s="157" t="s">
        <v>2736</v>
      </c>
      <c r="I644" s="157" t="s">
        <v>2736</v>
      </c>
      <c r="J644" s="157" t="s">
        <v>2736</v>
      </c>
      <c r="K644" s="301">
        <v>15000000</v>
      </c>
      <c r="L644" s="157" t="s">
        <v>2736</v>
      </c>
      <c r="M644" s="303">
        <v>12455000</v>
      </c>
      <c r="N644" s="157" t="s">
        <v>2736</v>
      </c>
      <c r="O644" s="301">
        <v>30000000</v>
      </c>
      <c r="P644" s="157" t="s">
        <v>2736</v>
      </c>
      <c r="Q644" s="301">
        <v>30000000</v>
      </c>
      <c r="R644" s="157" t="s">
        <v>2736</v>
      </c>
      <c r="S644" s="301">
        <v>35000000</v>
      </c>
      <c r="T644" s="157" t="s">
        <v>2736</v>
      </c>
      <c r="U644" s="301">
        <v>35000000</v>
      </c>
      <c r="V644" s="52"/>
      <c r="W644" s="52"/>
      <c r="X644" s="52"/>
      <c r="Y644" s="165"/>
      <c r="Z644" s="165"/>
      <c r="AA644" s="165"/>
      <c r="AB644" s="165"/>
      <c r="AC644" s="165"/>
      <c r="AD644" s="165"/>
      <c r="AE644" s="165"/>
      <c r="AF644" s="165"/>
    </row>
    <row r="645" spans="1:32" ht="45" hidden="1">
      <c r="A645" s="165"/>
      <c r="B645" s="48"/>
      <c r="C645" s="56"/>
      <c r="D645" s="57"/>
      <c r="E645" s="57"/>
      <c r="F645" s="58"/>
      <c r="G645" s="409" t="s">
        <v>2792</v>
      </c>
      <c r="H645" s="157" t="s">
        <v>2736</v>
      </c>
      <c r="I645" s="157"/>
      <c r="J645" s="157"/>
      <c r="K645" s="308">
        <v>121000000</v>
      </c>
      <c r="L645" s="157"/>
      <c r="M645" s="304" t="s">
        <v>743</v>
      </c>
      <c r="N645" s="157"/>
      <c r="O645" s="157"/>
      <c r="P645" s="157"/>
      <c r="Q645" s="157"/>
      <c r="R645" s="157"/>
      <c r="S645" s="157"/>
      <c r="T645" s="157"/>
      <c r="U645" s="157"/>
      <c r="V645" s="52"/>
      <c r="W645" s="52"/>
      <c r="X645" s="52"/>
      <c r="Y645" s="165"/>
      <c r="Z645" s="165"/>
      <c r="AA645" s="165"/>
      <c r="AB645" s="165"/>
      <c r="AC645" s="165"/>
      <c r="AD645" s="165"/>
      <c r="AE645" s="165"/>
      <c r="AF645" s="165"/>
    </row>
    <row r="646" spans="1:32" ht="60" hidden="1">
      <c r="A646" s="165"/>
      <c r="B646" s="48"/>
      <c r="C646" s="56"/>
      <c r="D646" s="57"/>
      <c r="E646" s="57"/>
      <c r="F646" s="58"/>
      <c r="G646" s="409" t="s">
        <v>2793</v>
      </c>
      <c r="H646" s="304" t="s">
        <v>743</v>
      </c>
      <c r="I646" s="304" t="s">
        <v>743</v>
      </c>
      <c r="J646" s="304" t="s">
        <v>743</v>
      </c>
      <c r="K646" s="304" t="s">
        <v>743</v>
      </c>
      <c r="L646" s="157" t="s">
        <v>2736</v>
      </c>
      <c r="M646" s="309">
        <v>45000000</v>
      </c>
      <c r="N646" s="157" t="s">
        <v>2736</v>
      </c>
      <c r="O646" s="301">
        <v>50000000</v>
      </c>
      <c r="P646" s="301" t="s">
        <v>2736</v>
      </c>
      <c r="Q646" s="301">
        <v>50000000</v>
      </c>
      <c r="R646" s="301" t="s">
        <v>2736</v>
      </c>
      <c r="S646" s="301">
        <v>60000000</v>
      </c>
      <c r="T646" s="301" t="s">
        <v>2736</v>
      </c>
      <c r="U646" s="301">
        <v>60000000</v>
      </c>
      <c r="V646" s="52"/>
      <c r="W646" s="52"/>
      <c r="X646" s="52"/>
      <c r="Y646" s="165"/>
      <c r="Z646" s="165"/>
      <c r="AA646" s="165"/>
      <c r="AB646" s="165"/>
      <c r="AC646" s="165"/>
      <c r="AD646" s="165"/>
      <c r="AE646" s="165"/>
      <c r="AF646" s="165"/>
    </row>
    <row r="647" spans="1:32" hidden="1">
      <c r="A647" s="165"/>
      <c r="B647" s="48"/>
      <c r="C647" s="56" t="e">
        <f>#REF!</f>
        <v>#REF!</v>
      </c>
      <c r="D647" s="57" t="e">
        <f>#REF!</f>
        <v>#REF!</v>
      </c>
      <c r="E647" s="57" t="e">
        <f>#REF!</f>
        <v>#REF!</v>
      </c>
      <c r="F647" s="58" t="e">
        <f>#REF!</f>
        <v>#REF!</v>
      </c>
      <c r="G647" s="58"/>
      <c r="H647" s="52"/>
      <c r="I647" s="52"/>
      <c r="J647" s="52"/>
      <c r="K647" s="52"/>
      <c r="L647" s="52"/>
      <c r="M647" s="52"/>
      <c r="N647" s="52"/>
      <c r="O647" s="52"/>
      <c r="P647" s="52"/>
      <c r="Q647" s="52"/>
      <c r="R647" s="52"/>
      <c r="S647" s="52"/>
      <c r="T647" s="52"/>
      <c r="U647" s="52"/>
      <c r="V647" s="52"/>
      <c r="W647" s="52"/>
      <c r="X647" s="52" t="e">
        <f>#REF!</f>
        <v>#REF!</v>
      </c>
      <c r="Y647" s="165"/>
      <c r="Z647" s="165"/>
      <c r="AA647" s="165"/>
      <c r="AB647" s="165"/>
      <c r="AC647" s="165"/>
      <c r="AD647" s="165"/>
      <c r="AE647" s="165"/>
      <c r="AF647" s="165"/>
    </row>
    <row r="648" spans="1:32" ht="135" hidden="1">
      <c r="A648" s="165"/>
      <c r="B648" s="48"/>
      <c r="C648" s="56"/>
      <c r="D648" s="57"/>
      <c r="E648" s="57"/>
      <c r="F648" s="58"/>
      <c r="G648" s="58" t="s">
        <v>2727</v>
      </c>
      <c r="H648" s="52" t="s">
        <v>2496</v>
      </c>
      <c r="I648" s="52" t="s">
        <v>2728</v>
      </c>
      <c r="J648" s="52" t="str">
        <f>I648</f>
        <v>tertanganinya kebersihan kota dengan tenaga out sourching (12 tenaga)</v>
      </c>
      <c r="K648" s="251">
        <v>250000000</v>
      </c>
      <c r="L648" s="52" t="s">
        <v>2729</v>
      </c>
      <c r="M648" s="251">
        <v>421402500</v>
      </c>
      <c r="N648" s="52" t="str">
        <f>L648</f>
        <v>Tertanganinya kebersihan kota dengan tenaga out sourching (21 tenaga)</v>
      </c>
      <c r="O648" s="251">
        <v>500000000</v>
      </c>
      <c r="P648" s="52" t="str">
        <f>N648</f>
        <v>Tertanganinya kebersihan kota dengan tenaga out sourching (21 tenaga)</v>
      </c>
      <c r="Q648" s="251">
        <v>600000000</v>
      </c>
      <c r="R648" s="52" t="str">
        <f>P648</f>
        <v>Tertanganinya kebersihan kota dengan tenaga out sourching (21 tenaga)</v>
      </c>
      <c r="S648" s="251">
        <v>650000000</v>
      </c>
      <c r="T648" s="52" t="str">
        <f>R648</f>
        <v>Tertanganinya kebersihan kota dengan tenaga out sourching (21 tenaga)</v>
      </c>
      <c r="U648" s="251">
        <v>650000000</v>
      </c>
      <c r="V648" s="52"/>
      <c r="W648" s="52"/>
      <c r="X648" s="52"/>
      <c r="Y648" s="165"/>
      <c r="Z648" s="165"/>
      <c r="AA648" s="165"/>
      <c r="AB648" s="165"/>
      <c r="AC648" s="165"/>
      <c r="AD648" s="165"/>
      <c r="AE648" s="165"/>
      <c r="AF648" s="165"/>
    </row>
    <row r="649" spans="1:32" hidden="1">
      <c r="A649" s="165"/>
      <c r="B649" s="48"/>
      <c r="C649" s="56" t="e">
        <f>#REF!</f>
        <v>#REF!</v>
      </c>
      <c r="D649" s="57" t="e">
        <f>#REF!</f>
        <v>#REF!</v>
      </c>
      <c r="E649" s="57" t="e">
        <f>#REF!</f>
        <v>#REF!</v>
      </c>
      <c r="F649" s="58" t="e">
        <f>#REF!</f>
        <v>#REF!</v>
      </c>
      <c r="G649" s="58"/>
      <c r="H649" s="52"/>
      <c r="I649" s="52"/>
      <c r="J649" s="52"/>
      <c r="K649" s="52"/>
      <c r="L649" s="52"/>
      <c r="M649" s="52"/>
      <c r="N649" s="52"/>
      <c r="O649" s="52"/>
      <c r="P649" s="52"/>
      <c r="Q649" s="52"/>
      <c r="R649" s="52"/>
      <c r="S649" s="52"/>
      <c r="T649" s="52"/>
      <c r="U649" s="52"/>
      <c r="V649" s="52"/>
      <c r="W649" s="52"/>
      <c r="X649" s="52" t="e">
        <f>#REF!</f>
        <v>#REF!</v>
      </c>
      <c r="Y649" s="165"/>
      <c r="Z649" s="165"/>
      <c r="AA649" s="165"/>
      <c r="AB649" s="165"/>
      <c r="AC649" s="165"/>
      <c r="AD649" s="165"/>
      <c r="AE649" s="165"/>
      <c r="AF649" s="165"/>
    </row>
    <row r="650" spans="1:32" ht="45" hidden="1">
      <c r="A650" s="165"/>
      <c r="B650" s="48"/>
      <c r="C650" s="56"/>
      <c r="D650" s="57"/>
      <c r="E650" s="57"/>
      <c r="F650" s="58"/>
      <c r="G650" s="58" t="s">
        <v>2730</v>
      </c>
      <c r="H650" s="52" t="s">
        <v>743</v>
      </c>
      <c r="I650" s="52" t="s">
        <v>2496</v>
      </c>
      <c r="J650" s="52" t="s">
        <v>2496</v>
      </c>
      <c r="K650" s="251">
        <v>300000000</v>
      </c>
      <c r="L650" s="52" t="s">
        <v>2496</v>
      </c>
      <c r="M650" s="251">
        <v>295126000</v>
      </c>
      <c r="N650" s="52" t="s">
        <v>2496</v>
      </c>
      <c r="O650" s="251">
        <v>400000000</v>
      </c>
      <c r="P650" s="52" t="s">
        <v>2496</v>
      </c>
      <c r="Q650" s="251">
        <v>450000000</v>
      </c>
      <c r="R650" s="52" t="s">
        <v>2496</v>
      </c>
      <c r="S650" s="251">
        <v>500000000</v>
      </c>
      <c r="T650" s="52" t="s">
        <v>2496</v>
      </c>
      <c r="U650" s="251">
        <v>500000000</v>
      </c>
      <c r="V650" s="52"/>
      <c r="W650" s="52"/>
      <c r="X650" s="52"/>
      <c r="Y650" s="165"/>
      <c r="Z650" s="165"/>
      <c r="AA650" s="165"/>
      <c r="AB650" s="165"/>
      <c r="AC650" s="165"/>
      <c r="AD650" s="165"/>
      <c r="AE650" s="165"/>
      <c r="AF650" s="165"/>
    </row>
    <row r="651" spans="1:32" ht="45" hidden="1">
      <c r="A651" s="165"/>
      <c r="B651" s="48"/>
      <c r="C651" s="56"/>
      <c r="D651" s="57"/>
      <c r="E651" s="57"/>
      <c r="F651" s="58"/>
      <c r="G651" s="58" t="s">
        <v>2731</v>
      </c>
      <c r="H651" s="52" t="s">
        <v>743</v>
      </c>
      <c r="I651" s="52" t="s">
        <v>2496</v>
      </c>
      <c r="J651" s="52" t="s">
        <v>2496</v>
      </c>
      <c r="K651" s="251">
        <v>950000000</v>
      </c>
      <c r="L651" s="52" t="s">
        <v>743</v>
      </c>
      <c r="M651" s="251" t="s">
        <v>743</v>
      </c>
      <c r="N651" s="52" t="str">
        <f>N650</f>
        <v>1 Kegiatan</v>
      </c>
      <c r="O651" s="251">
        <v>1000000000</v>
      </c>
      <c r="P651" s="52" t="str">
        <f>P650</f>
        <v>1 Kegiatan</v>
      </c>
      <c r="Q651" s="251">
        <v>1000000000</v>
      </c>
      <c r="R651" s="52" t="str">
        <f>R650</f>
        <v>1 Kegiatan</v>
      </c>
      <c r="S651" s="251">
        <v>1000000000</v>
      </c>
      <c r="T651" s="52" t="str">
        <f>T650</f>
        <v>1 Kegiatan</v>
      </c>
      <c r="U651" s="251">
        <v>1000000000</v>
      </c>
      <c r="V651" s="52"/>
      <c r="W651" s="52"/>
      <c r="X651" s="52"/>
      <c r="Y651" s="165"/>
      <c r="Z651" s="165"/>
      <c r="AA651" s="165"/>
      <c r="AB651" s="165"/>
      <c r="AC651" s="165"/>
      <c r="AD651" s="165"/>
      <c r="AE651" s="165"/>
      <c r="AF651" s="165"/>
    </row>
    <row r="652" spans="1:32" ht="45" hidden="1">
      <c r="A652" s="165"/>
      <c r="B652" s="48"/>
      <c r="C652" s="56"/>
      <c r="D652" s="57"/>
      <c r="E652" s="57"/>
      <c r="F652" s="58"/>
      <c r="G652" s="58" t="s">
        <v>2732</v>
      </c>
      <c r="H652" s="52" t="s">
        <v>743</v>
      </c>
      <c r="I652" s="52" t="s">
        <v>743</v>
      </c>
      <c r="J652" s="52" t="s">
        <v>743</v>
      </c>
      <c r="K652" s="52" t="s">
        <v>743</v>
      </c>
      <c r="L652" s="52" t="s">
        <v>743</v>
      </c>
      <c r="M652" s="251" t="s">
        <v>743</v>
      </c>
      <c r="N652" s="251" t="s">
        <v>743</v>
      </c>
      <c r="O652" s="251" t="s">
        <v>743</v>
      </c>
      <c r="P652" s="251" t="s">
        <v>743</v>
      </c>
      <c r="Q652" s="251" t="s">
        <v>743</v>
      </c>
      <c r="R652" s="251" t="str">
        <f>+R651</f>
        <v>1 Kegiatan</v>
      </c>
      <c r="S652" s="251">
        <v>500000000</v>
      </c>
      <c r="T652" s="251" t="str">
        <f>+T651</f>
        <v>1 Kegiatan</v>
      </c>
      <c r="U652" s="251">
        <v>500000000</v>
      </c>
      <c r="V652" s="52"/>
      <c r="W652" s="52"/>
      <c r="X652" s="52"/>
      <c r="Y652" s="165"/>
      <c r="Z652" s="165"/>
      <c r="AA652" s="165"/>
      <c r="AB652" s="165"/>
      <c r="AC652" s="165"/>
      <c r="AD652" s="165"/>
      <c r="AE652" s="165"/>
      <c r="AF652" s="165"/>
    </row>
    <row r="653" spans="1:32" ht="90" hidden="1">
      <c r="A653" s="165"/>
      <c r="B653" s="48"/>
      <c r="C653" s="56"/>
      <c r="D653" s="57"/>
      <c r="E653" s="57"/>
      <c r="F653" s="58"/>
      <c r="G653" s="409" t="s">
        <v>2785</v>
      </c>
      <c r="H653" s="157" t="s">
        <v>2736</v>
      </c>
      <c r="I653" s="157"/>
      <c r="J653" s="157"/>
      <c r="K653" s="304" t="s">
        <v>743</v>
      </c>
      <c r="L653" s="157" t="s">
        <v>2786</v>
      </c>
      <c r="M653" s="303">
        <v>18749000</v>
      </c>
      <c r="N653" s="157" t="s">
        <v>2787</v>
      </c>
      <c r="O653" s="301">
        <v>200000000</v>
      </c>
      <c r="P653" s="301" t="s">
        <v>2788</v>
      </c>
      <c r="Q653" s="301">
        <v>250000000</v>
      </c>
      <c r="R653" s="301" t="s">
        <v>2789</v>
      </c>
      <c r="S653" s="301">
        <v>300000000</v>
      </c>
      <c r="T653" s="301" t="s">
        <v>2789</v>
      </c>
      <c r="U653" s="301">
        <v>300000000</v>
      </c>
      <c r="V653" s="52"/>
      <c r="W653" s="52"/>
      <c r="X653" s="52"/>
      <c r="Y653" s="165"/>
      <c r="Z653" s="165"/>
      <c r="AA653" s="165"/>
      <c r="AB653" s="165"/>
      <c r="AC653" s="165"/>
      <c r="AD653" s="165"/>
      <c r="AE653" s="165"/>
      <c r="AF653" s="165"/>
    </row>
    <row r="654" spans="1:32" s="279" customFormat="1" ht="30" hidden="1" customHeight="1">
      <c r="A654" s="284"/>
      <c r="B654" s="1103" t="s">
        <v>4240</v>
      </c>
      <c r="C654" s="1104"/>
      <c r="D654" s="1104"/>
      <c r="E654" s="1104"/>
      <c r="F654" s="1104"/>
      <c r="G654" s="1105"/>
      <c r="H654" s="310"/>
      <c r="I654" s="310"/>
      <c r="J654" s="310"/>
      <c r="K654" s="311">
        <f>SUM(K595:K653)</f>
        <v>7788238500</v>
      </c>
      <c r="L654" s="311"/>
      <c r="M654" s="311">
        <f t="shared" ref="M654:W654" si="30">SUM(M595:M653)</f>
        <v>7464766000</v>
      </c>
      <c r="N654" s="311"/>
      <c r="O654" s="311">
        <f t="shared" si="30"/>
        <v>15350000000</v>
      </c>
      <c r="P654" s="311"/>
      <c r="Q654" s="311">
        <f t="shared" si="30"/>
        <v>13085000000</v>
      </c>
      <c r="R654" s="311"/>
      <c r="S654" s="311">
        <f t="shared" si="30"/>
        <v>21265000000</v>
      </c>
      <c r="T654" s="311"/>
      <c r="U654" s="311">
        <f t="shared" si="30"/>
        <v>21265000000</v>
      </c>
      <c r="V654" s="311">
        <f t="shared" si="30"/>
        <v>0</v>
      </c>
      <c r="W654" s="311">
        <f t="shared" si="30"/>
        <v>0</v>
      </c>
      <c r="X654" s="275"/>
      <c r="Y654" s="284"/>
      <c r="Z654" s="284"/>
      <c r="AA654" s="284"/>
      <c r="AB654" s="284"/>
      <c r="AC654" s="284"/>
      <c r="AD654" s="284"/>
      <c r="AE654" s="284"/>
      <c r="AF654" s="284"/>
    </row>
    <row r="655" spans="1:32">
      <c r="A655" s="165">
        <v>1</v>
      </c>
      <c r="B655" s="62" t="str">
        <f>'matrik MISI 6'!B18</f>
        <v>PERTANAHAN</v>
      </c>
      <c r="C655" s="56"/>
      <c r="D655" s="57"/>
      <c r="E655" s="57"/>
      <c r="F655" s="58"/>
      <c r="G655" s="58"/>
      <c r="H655" s="52"/>
      <c r="I655" s="52"/>
      <c r="J655" s="52"/>
      <c r="K655" s="52"/>
      <c r="L655" s="52"/>
      <c r="M655" s="52"/>
      <c r="N655" s="52"/>
      <c r="O655" s="52"/>
      <c r="P655" s="52"/>
      <c r="Q655" s="52"/>
      <c r="R655" s="52"/>
      <c r="S655" s="52"/>
      <c r="T655" s="52"/>
      <c r="U655" s="52"/>
      <c r="V655" s="52"/>
      <c r="W655" s="52"/>
      <c r="X655" s="52"/>
      <c r="Y655" s="165"/>
      <c r="Z655" s="165"/>
      <c r="AA655" s="165"/>
      <c r="AB655" s="165"/>
      <c r="AC655" s="165"/>
      <c r="AD655" s="165"/>
      <c r="AE655" s="165"/>
      <c r="AF655" s="165"/>
    </row>
    <row r="656" spans="1:32" s="540" customFormat="1" ht="120">
      <c r="B656" s="545"/>
      <c r="C656" s="591">
        <f>'matrik MISI 6'!J19</f>
        <v>1.0900000000000001</v>
      </c>
      <c r="D656" s="592" t="str">
        <f>'matrik MISI 6'!K19</f>
        <v>xx</v>
      </c>
      <c r="E656" s="592">
        <f>'matrik MISI 6'!L19</f>
        <v>16</v>
      </c>
      <c r="F656" s="548" t="str">
        <f>'matrik MISI 6'!M19</f>
        <v>Program Penataan Penguasaan, Pemilikan, Penggunaan, dan Pemanfaatan Tanah</v>
      </c>
      <c r="G656" s="548"/>
      <c r="H656" s="550"/>
      <c r="I656" s="550"/>
      <c r="J656" s="550"/>
      <c r="K656" s="599">
        <f>SUM(K657:K660)</f>
        <v>2290000000</v>
      </c>
      <c r="L656" s="599">
        <f t="shared" ref="L656:U656" si="31">SUM(L657:L660)</f>
        <v>0</v>
      </c>
      <c r="M656" s="599">
        <f t="shared" si="31"/>
        <v>3267500000</v>
      </c>
      <c r="N656" s="599">
        <f t="shared" si="31"/>
        <v>0</v>
      </c>
      <c r="O656" s="599">
        <f t="shared" si="31"/>
        <v>3270000000</v>
      </c>
      <c r="P656" s="599">
        <f t="shared" si="31"/>
        <v>0</v>
      </c>
      <c r="Q656" s="599">
        <f t="shared" si="31"/>
        <v>4272500000</v>
      </c>
      <c r="R656" s="599">
        <f t="shared" si="31"/>
        <v>0</v>
      </c>
      <c r="S656" s="599">
        <f t="shared" si="31"/>
        <v>4275000000</v>
      </c>
      <c r="T656" s="599">
        <f t="shared" si="31"/>
        <v>0</v>
      </c>
      <c r="U656" s="599">
        <f t="shared" si="31"/>
        <v>4275000000</v>
      </c>
      <c r="V656" s="599">
        <f>SUM(V657:V662)</f>
        <v>0</v>
      </c>
      <c r="W656" s="599">
        <f>SUM(W657:W662)</f>
        <v>0</v>
      </c>
      <c r="X656" s="550" t="str">
        <f>'matrik MISI 6'!X19</f>
        <v>Bagian Pemerintahan Umum Setda</v>
      </c>
    </row>
    <row r="657" spans="1:32" ht="60">
      <c r="A657" s="165"/>
      <c r="B657" s="48"/>
      <c r="C657" s="56"/>
      <c r="D657" s="57"/>
      <c r="E657" s="57"/>
      <c r="F657" s="58"/>
      <c r="G657" s="58" t="s">
        <v>2794</v>
      </c>
      <c r="H657" s="52" t="s">
        <v>2795</v>
      </c>
      <c r="I657" s="161" t="s">
        <v>2796</v>
      </c>
      <c r="J657" s="161">
        <v>1</v>
      </c>
      <c r="K657" s="260">
        <v>250000000</v>
      </c>
      <c r="L657" s="161" t="s">
        <v>2797</v>
      </c>
      <c r="M657" s="260">
        <v>250000000</v>
      </c>
      <c r="N657" s="161" t="s">
        <v>2798</v>
      </c>
      <c r="O657" s="260">
        <v>250000000</v>
      </c>
      <c r="P657" s="161" t="s">
        <v>2799</v>
      </c>
      <c r="Q657" s="260">
        <v>250000000</v>
      </c>
      <c r="R657" s="161" t="s">
        <v>2800</v>
      </c>
      <c r="S657" s="260">
        <v>250000000</v>
      </c>
      <c r="T657" s="161" t="s">
        <v>2800</v>
      </c>
      <c r="U657" s="260">
        <v>250000000</v>
      </c>
      <c r="V657" s="52"/>
      <c r="W657" s="52"/>
      <c r="X657" s="52"/>
      <c r="Y657" s="165"/>
      <c r="Z657" s="165"/>
      <c r="AA657" s="165"/>
      <c r="AB657" s="165"/>
      <c r="AC657" s="165"/>
      <c r="AD657" s="165"/>
      <c r="AE657" s="165"/>
      <c r="AF657" s="165"/>
    </row>
    <row r="658" spans="1:32">
      <c r="A658" s="165"/>
      <c r="B658" s="48"/>
      <c r="C658" s="56"/>
      <c r="D658" s="57"/>
      <c r="E658" s="57"/>
      <c r="F658" s="58"/>
      <c r="G658" s="55" t="s">
        <v>4639</v>
      </c>
      <c r="H658" s="52"/>
      <c r="I658" s="161"/>
      <c r="J658" s="161"/>
      <c r="K658" s="522">
        <v>2000000000</v>
      </c>
      <c r="L658" s="161"/>
      <c r="M658" s="522">
        <v>3000000000</v>
      </c>
      <c r="N658" s="161"/>
      <c r="O658" s="522">
        <v>3000000000</v>
      </c>
      <c r="P658" s="161"/>
      <c r="Q658" s="522">
        <v>4000000000</v>
      </c>
      <c r="R658" s="161"/>
      <c r="S658" s="522">
        <v>4000000000</v>
      </c>
      <c r="T658" s="161"/>
      <c r="U658" s="522">
        <v>4000000000</v>
      </c>
      <c r="V658" s="52"/>
      <c r="W658" s="52"/>
      <c r="X658" s="51" t="s">
        <v>4671</v>
      </c>
      <c r="Y658" s="165"/>
      <c r="Z658" s="165"/>
      <c r="AA658" s="165"/>
      <c r="AB658" s="165"/>
      <c r="AC658" s="165"/>
      <c r="AD658" s="165"/>
      <c r="AE658" s="165"/>
      <c r="AF658" s="165"/>
    </row>
    <row r="659" spans="1:32" ht="30">
      <c r="A659" s="165"/>
      <c r="B659" s="48"/>
      <c r="C659" s="56"/>
      <c r="D659" s="57"/>
      <c r="E659" s="57"/>
      <c r="F659" s="58"/>
      <c r="G659" s="58" t="s">
        <v>3571</v>
      </c>
      <c r="H659" s="176" t="s">
        <v>743</v>
      </c>
      <c r="I659" s="176" t="s">
        <v>743</v>
      </c>
      <c r="J659" s="52" t="s">
        <v>3108</v>
      </c>
      <c r="K659" s="260">
        <v>25000000</v>
      </c>
      <c r="L659" s="176" t="s">
        <v>743</v>
      </c>
      <c r="M659" s="176" t="s">
        <v>743</v>
      </c>
      <c r="N659" s="176" t="s">
        <v>743</v>
      </c>
      <c r="O659" s="176" t="s">
        <v>743</v>
      </c>
      <c r="P659" s="176" t="s">
        <v>743</v>
      </c>
      <c r="Q659" s="176" t="s">
        <v>743</v>
      </c>
      <c r="R659" s="176" t="s">
        <v>743</v>
      </c>
      <c r="S659" s="176" t="s">
        <v>743</v>
      </c>
      <c r="T659" s="176" t="s">
        <v>743</v>
      </c>
      <c r="U659" s="176" t="s">
        <v>743</v>
      </c>
      <c r="V659" s="52"/>
      <c r="W659" s="52"/>
      <c r="X659" s="52"/>
      <c r="Y659" s="165"/>
      <c r="Z659" s="165"/>
      <c r="AA659" s="165"/>
      <c r="AB659" s="165"/>
      <c r="AC659" s="165"/>
      <c r="AD659" s="165"/>
      <c r="AE659" s="165"/>
      <c r="AF659" s="165"/>
    </row>
    <row r="660" spans="1:32" ht="60">
      <c r="A660" s="165"/>
      <c r="B660" s="48"/>
      <c r="C660" s="56"/>
      <c r="D660" s="57"/>
      <c r="E660" s="57"/>
      <c r="F660" s="58"/>
      <c r="G660" s="58" t="s">
        <v>3572</v>
      </c>
      <c r="H660" s="52" t="s">
        <v>3573</v>
      </c>
      <c r="I660" s="52" t="s">
        <v>3574</v>
      </c>
      <c r="J660" s="52" t="s">
        <v>3574</v>
      </c>
      <c r="K660" s="260">
        <v>15000000</v>
      </c>
      <c r="L660" s="52" t="s">
        <v>3574</v>
      </c>
      <c r="M660" s="260">
        <v>17500000</v>
      </c>
      <c r="N660" s="52" t="s">
        <v>3574</v>
      </c>
      <c r="O660" s="260">
        <v>20000000</v>
      </c>
      <c r="P660" s="52" t="s">
        <v>3574</v>
      </c>
      <c r="Q660" s="260">
        <v>22500000</v>
      </c>
      <c r="R660" s="52" t="s">
        <v>3574</v>
      </c>
      <c r="S660" s="260">
        <v>25000000</v>
      </c>
      <c r="T660" s="52" t="s">
        <v>3574</v>
      </c>
      <c r="U660" s="260">
        <v>25000000</v>
      </c>
      <c r="V660" s="52"/>
      <c r="W660" s="52"/>
      <c r="X660" s="52"/>
      <c r="Y660" s="165"/>
      <c r="Z660" s="165"/>
      <c r="AA660" s="165"/>
      <c r="AB660" s="165"/>
      <c r="AC660" s="165"/>
      <c r="AD660" s="165"/>
      <c r="AE660" s="165"/>
      <c r="AF660" s="165"/>
    </row>
    <row r="661" spans="1:32" s="540" customFormat="1" ht="60">
      <c r="B661" s="601"/>
      <c r="C661" s="591">
        <f>'matrik MISI 6'!J20</f>
        <v>1.0900000000000001</v>
      </c>
      <c r="D661" s="592" t="str">
        <f>'matrik MISI 6'!K20</f>
        <v>xx</v>
      </c>
      <c r="E661" s="592">
        <f>'matrik MISI 6'!L20</f>
        <v>17</v>
      </c>
      <c r="F661" s="548" t="str">
        <f>'matrik MISI 6'!M20</f>
        <v>Program Penyelesaian Konflik-Konflik Pertanahan</v>
      </c>
      <c r="G661" s="548"/>
      <c r="H661" s="550"/>
      <c r="I661" s="550"/>
      <c r="J661" s="550"/>
      <c r="K661" s="599">
        <f>SUM(K662)</f>
        <v>20000000</v>
      </c>
      <c r="L661" s="599"/>
      <c r="M661" s="599">
        <f t="shared" ref="M661:U661" si="32">SUM(M662)</f>
        <v>25000000</v>
      </c>
      <c r="N661" s="599"/>
      <c r="O661" s="599">
        <f t="shared" si="32"/>
        <v>30000000</v>
      </c>
      <c r="P661" s="599"/>
      <c r="Q661" s="599">
        <f t="shared" si="32"/>
        <v>35000000</v>
      </c>
      <c r="R661" s="599"/>
      <c r="S661" s="599">
        <f t="shared" si="32"/>
        <v>40000000</v>
      </c>
      <c r="T661" s="599"/>
      <c r="U661" s="599">
        <f t="shared" si="32"/>
        <v>40000000</v>
      </c>
      <c r="V661" s="550"/>
      <c r="W661" s="550"/>
      <c r="X661" s="550" t="str">
        <f>'matrik MISI 6'!X20</f>
        <v>Bagian Pemerintahan Umum Setda</v>
      </c>
    </row>
    <row r="662" spans="1:32" ht="45">
      <c r="A662" s="165"/>
      <c r="B662" s="48"/>
      <c r="C662" s="56"/>
      <c r="D662" s="57"/>
      <c r="E662" s="57"/>
      <c r="F662" s="58"/>
      <c r="G662" s="58" t="s">
        <v>2801</v>
      </c>
      <c r="H662" s="52" t="s">
        <v>2802</v>
      </c>
      <c r="I662" s="161">
        <v>1</v>
      </c>
      <c r="J662" s="161">
        <v>1</v>
      </c>
      <c r="K662" s="260">
        <v>20000000</v>
      </c>
      <c r="L662" s="161">
        <v>1</v>
      </c>
      <c r="M662" s="260">
        <v>25000000</v>
      </c>
      <c r="N662" s="161">
        <v>1</v>
      </c>
      <c r="O662" s="260">
        <v>30000000</v>
      </c>
      <c r="P662" s="161">
        <v>1</v>
      </c>
      <c r="Q662" s="260">
        <v>35000000</v>
      </c>
      <c r="R662" s="161">
        <v>1</v>
      </c>
      <c r="S662" s="260">
        <v>40000000</v>
      </c>
      <c r="T662" s="161">
        <v>1</v>
      </c>
      <c r="U662" s="260">
        <v>40000000</v>
      </c>
      <c r="V662" s="52"/>
      <c r="W662" s="52"/>
      <c r="X662" s="52"/>
      <c r="Y662" s="165"/>
      <c r="Z662" s="165"/>
      <c r="AA662" s="165"/>
      <c r="AB662" s="165"/>
      <c r="AC662" s="165"/>
      <c r="AD662" s="165"/>
      <c r="AE662" s="165"/>
      <c r="AF662" s="165"/>
    </row>
    <row r="663" spans="1:32" s="279" customFormat="1" ht="30" customHeight="1">
      <c r="A663" s="284"/>
      <c r="B663" s="1103" t="s">
        <v>4241</v>
      </c>
      <c r="C663" s="1104"/>
      <c r="D663" s="1104"/>
      <c r="E663" s="1104"/>
      <c r="F663" s="1104"/>
      <c r="G663" s="1105"/>
      <c r="H663" s="275"/>
      <c r="I663" s="282"/>
      <c r="J663" s="282"/>
      <c r="K663" s="382">
        <f>SUM(K656:K662)</f>
        <v>4620000000</v>
      </c>
      <c r="L663" s="382"/>
      <c r="M663" s="382">
        <f t="shared" ref="M663:W663" si="33">SUM(M656:M662)</f>
        <v>6585000000</v>
      </c>
      <c r="N663" s="382"/>
      <c r="O663" s="382">
        <f t="shared" si="33"/>
        <v>6600000000</v>
      </c>
      <c r="P663" s="382"/>
      <c r="Q663" s="382">
        <f t="shared" si="33"/>
        <v>8615000000</v>
      </c>
      <c r="R663" s="382"/>
      <c r="S663" s="382">
        <f t="shared" si="33"/>
        <v>8630000000</v>
      </c>
      <c r="T663" s="382"/>
      <c r="U663" s="382">
        <f t="shared" si="33"/>
        <v>8630000000</v>
      </c>
      <c r="V663" s="382">
        <f t="shared" si="33"/>
        <v>0</v>
      </c>
      <c r="W663" s="382">
        <f t="shared" si="33"/>
        <v>0</v>
      </c>
      <c r="X663" s="275"/>
      <c r="Y663" s="284"/>
      <c r="Z663" s="284"/>
      <c r="AA663" s="284"/>
      <c r="AB663" s="284"/>
      <c r="AC663" s="284"/>
      <c r="AD663" s="284"/>
      <c r="AE663" s="284"/>
      <c r="AF663" s="284"/>
    </row>
    <row r="664" spans="1:32" ht="45">
      <c r="A664" s="165">
        <v>1</v>
      </c>
      <c r="B664" s="62" t="str">
        <f>'matrik MISI 6'!B78</f>
        <v>KEPENDUDUKAN DAN CATATAN SIPIL</v>
      </c>
      <c r="C664" s="56"/>
      <c r="D664" s="57"/>
      <c r="E664" s="57"/>
      <c r="F664" s="58"/>
      <c r="G664" s="58"/>
      <c r="H664" s="52"/>
      <c r="I664" s="52"/>
      <c r="J664" s="52"/>
      <c r="K664" s="52"/>
      <c r="L664" s="52"/>
      <c r="M664" s="52"/>
      <c r="N664" s="52"/>
      <c r="O664" s="52"/>
      <c r="P664" s="52"/>
      <c r="Q664" s="52"/>
      <c r="R664" s="52"/>
      <c r="S664" s="52"/>
      <c r="T664" s="52"/>
      <c r="U664" s="52"/>
      <c r="V664" s="52"/>
      <c r="W664" s="52"/>
      <c r="X664" s="52"/>
      <c r="Y664" s="165"/>
      <c r="Z664" s="165"/>
      <c r="AA664" s="165"/>
      <c r="AB664" s="165"/>
      <c r="AC664" s="165"/>
      <c r="AD664" s="165"/>
      <c r="AE664" s="165"/>
      <c r="AF664" s="165"/>
    </row>
    <row r="665" spans="1:32" s="540" customFormat="1" ht="60">
      <c r="B665" s="545"/>
      <c r="C665" s="593" t="str">
        <f>'matrik MISI 6'!J79</f>
        <v>1.10</v>
      </c>
      <c r="D665" s="594" t="str">
        <f>'matrik MISI 6'!K79</f>
        <v>xx</v>
      </c>
      <c r="E665" s="594">
        <f>'matrik MISI 6'!L79</f>
        <v>15</v>
      </c>
      <c r="F665" s="595" t="str">
        <f>'matrik MISI 6'!M79</f>
        <v>Program Penataan Administrasi Kependudukan</v>
      </c>
      <c r="G665" s="548"/>
      <c r="H665" s="550"/>
      <c r="I665" s="550"/>
      <c r="J665" s="550"/>
      <c r="K665" s="551">
        <f>SUM(K666:K672)</f>
        <v>1306713000</v>
      </c>
      <c r="L665" s="551"/>
      <c r="M665" s="551">
        <f t="shared" ref="M665:U665" si="34">SUM(M666:M672)</f>
        <v>2726827000</v>
      </c>
      <c r="N665" s="551"/>
      <c r="O665" s="551">
        <f t="shared" si="34"/>
        <v>1847481000</v>
      </c>
      <c r="P665" s="551"/>
      <c r="Q665" s="551">
        <f t="shared" si="34"/>
        <v>2110481000</v>
      </c>
      <c r="R665" s="551"/>
      <c r="S665" s="551">
        <f t="shared" si="34"/>
        <v>2131981000</v>
      </c>
      <c r="T665" s="551"/>
      <c r="U665" s="551">
        <f t="shared" si="34"/>
        <v>2331981000</v>
      </c>
      <c r="V665" s="550"/>
      <c r="W665" s="550"/>
      <c r="X665" s="550" t="str">
        <f>'matrik MISI 6'!X79</f>
        <v>Dinas Kependudukan dan Pencatatan Sipil</v>
      </c>
    </row>
    <row r="666" spans="1:32" s="165" customFormat="1" ht="135">
      <c r="B666" s="48"/>
      <c r="C666" s="62"/>
      <c r="D666" s="63"/>
      <c r="E666" s="63"/>
      <c r="F666" s="64"/>
      <c r="G666" s="408" t="s">
        <v>2803</v>
      </c>
      <c r="H666" s="157"/>
      <c r="I666" s="157"/>
      <c r="J666" s="157" t="s">
        <v>2805</v>
      </c>
      <c r="K666" s="301">
        <v>35636000</v>
      </c>
      <c r="L666" s="157" t="s">
        <v>2804</v>
      </c>
      <c r="M666" s="301">
        <v>34477000</v>
      </c>
      <c r="N666" s="157" t="s">
        <v>2804</v>
      </c>
      <c r="O666" s="301">
        <v>45341000</v>
      </c>
      <c r="P666" s="157" t="s">
        <v>2804</v>
      </c>
      <c r="Q666" s="301">
        <v>46341000</v>
      </c>
      <c r="R666" s="157" t="s">
        <v>2804</v>
      </c>
      <c r="S666" s="301">
        <v>47341000</v>
      </c>
      <c r="T666" s="157" t="s">
        <v>2804</v>
      </c>
      <c r="U666" s="301">
        <v>47341000</v>
      </c>
      <c r="V666" s="52"/>
      <c r="W666" s="52"/>
      <c r="X666" s="52"/>
    </row>
    <row r="667" spans="1:32" s="165" customFormat="1" ht="90">
      <c r="B667" s="48"/>
      <c r="C667" s="62"/>
      <c r="D667" s="63"/>
      <c r="E667" s="63"/>
      <c r="F667" s="64"/>
      <c r="G667" s="408" t="s">
        <v>2806</v>
      </c>
      <c r="H667" s="157"/>
      <c r="I667" s="157" t="s">
        <v>2807</v>
      </c>
      <c r="J667" s="157" t="s">
        <v>2807</v>
      </c>
      <c r="K667" s="301">
        <v>327510000</v>
      </c>
      <c r="L667" s="301" t="s">
        <v>2807</v>
      </c>
      <c r="M667" s="301">
        <v>498600000</v>
      </c>
      <c r="N667" s="301" t="s">
        <v>2807</v>
      </c>
      <c r="O667" s="301">
        <v>337140000</v>
      </c>
      <c r="P667" s="301" t="s">
        <v>2807</v>
      </c>
      <c r="Q667" s="301">
        <v>337140000</v>
      </c>
      <c r="R667" s="301" t="s">
        <v>2807</v>
      </c>
      <c r="S667" s="301">
        <v>344640000</v>
      </c>
      <c r="T667" s="301" t="s">
        <v>2807</v>
      </c>
      <c r="U667" s="301">
        <v>344640000</v>
      </c>
      <c r="V667" s="52"/>
      <c r="W667" s="52"/>
      <c r="X667" s="52"/>
    </row>
    <row r="668" spans="1:32" s="165" customFormat="1" ht="90">
      <c r="B668" s="48"/>
      <c r="C668" s="62"/>
      <c r="D668" s="63"/>
      <c r="E668" s="63"/>
      <c r="F668" s="64"/>
      <c r="G668" s="408" t="s">
        <v>2808</v>
      </c>
      <c r="H668" s="157"/>
      <c r="I668" s="157"/>
      <c r="J668" s="306">
        <v>1</v>
      </c>
      <c r="K668" s="301">
        <v>237020000</v>
      </c>
      <c r="L668" s="157" t="s">
        <v>2809</v>
      </c>
      <c r="M668" s="301">
        <v>700000000</v>
      </c>
      <c r="N668" s="157" t="s">
        <v>2809</v>
      </c>
      <c r="O668" s="301">
        <v>750000000</v>
      </c>
      <c r="P668" s="157" t="s">
        <v>2809</v>
      </c>
      <c r="Q668" s="301">
        <v>1000000000</v>
      </c>
      <c r="R668" s="157" t="s">
        <v>2809</v>
      </c>
      <c r="S668" s="301">
        <v>1000000000</v>
      </c>
      <c r="T668" s="157" t="s">
        <v>2809</v>
      </c>
      <c r="U668" s="301">
        <v>1000000000</v>
      </c>
      <c r="V668" s="52"/>
      <c r="W668" s="52"/>
      <c r="X668" s="52"/>
    </row>
    <row r="669" spans="1:32" s="165" customFormat="1" ht="30">
      <c r="B669" s="48"/>
      <c r="C669" s="62"/>
      <c r="D669" s="63"/>
      <c r="E669" s="63"/>
      <c r="F669" s="64"/>
      <c r="G669" s="408" t="s">
        <v>5071</v>
      </c>
      <c r="H669" s="157"/>
      <c r="I669" s="157"/>
      <c r="J669" s="306"/>
      <c r="K669" s="301">
        <v>560000000</v>
      </c>
      <c r="L669" s="157"/>
      <c r="M669" s="301">
        <v>600000000</v>
      </c>
      <c r="N669" s="301">
        <v>600000000</v>
      </c>
      <c r="O669" s="301">
        <v>400000000</v>
      </c>
      <c r="P669" s="301">
        <v>400000000</v>
      </c>
      <c r="Q669" s="301">
        <v>400000000</v>
      </c>
      <c r="R669" s="301">
        <v>400000000</v>
      </c>
      <c r="S669" s="301">
        <v>400000000</v>
      </c>
      <c r="T669" s="301">
        <v>600000000</v>
      </c>
      <c r="U669" s="301">
        <v>600000000</v>
      </c>
      <c r="V669" s="52"/>
      <c r="W669" s="52"/>
      <c r="X669" s="52"/>
    </row>
    <row r="670" spans="1:32" s="165" customFormat="1" ht="90">
      <c r="B670" s="48"/>
      <c r="C670" s="62"/>
      <c r="D670" s="63"/>
      <c r="E670" s="63"/>
      <c r="F670" s="64"/>
      <c r="G670" s="408" t="s">
        <v>2810</v>
      </c>
      <c r="H670" s="157"/>
      <c r="I670" s="304" t="s">
        <v>743</v>
      </c>
      <c r="J670" s="304" t="s">
        <v>743</v>
      </c>
      <c r="K670" s="304" t="s">
        <v>743</v>
      </c>
      <c r="L670" s="157" t="s">
        <v>2811</v>
      </c>
      <c r="M670" s="301">
        <v>250000000</v>
      </c>
      <c r="N670" s="157" t="s">
        <v>2811</v>
      </c>
      <c r="O670" s="301">
        <v>50000000</v>
      </c>
      <c r="P670" s="157" t="s">
        <v>2811</v>
      </c>
      <c r="Q670" s="301">
        <v>60000000</v>
      </c>
      <c r="R670" s="157" t="s">
        <v>2811</v>
      </c>
      <c r="S670" s="301">
        <v>70000000</v>
      </c>
      <c r="T670" s="157" t="s">
        <v>2811</v>
      </c>
      <c r="U670" s="301">
        <v>70000000</v>
      </c>
      <c r="V670" s="52"/>
      <c r="W670" s="52"/>
      <c r="X670" s="52"/>
    </row>
    <row r="671" spans="1:32" s="165" customFormat="1" ht="195">
      <c r="B671" s="48"/>
      <c r="C671" s="62"/>
      <c r="D671" s="63"/>
      <c r="E671" s="63"/>
      <c r="F671" s="64"/>
      <c r="G671" s="408" t="s">
        <v>2812</v>
      </c>
      <c r="H671" s="157"/>
      <c r="I671" s="157"/>
      <c r="J671" s="157" t="s">
        <v>2814</v>
      </c>
      <c r="K671" s="312">
        <v>64426000</v>
      </c>
      <c r="L671" s="157" t="s">
        <v>2813</v>
      </c>
      <c r="M671" s="301">
        <v>65000000</v>
      </c>
      <c r="N671" s="157" t="s">
        <v>2813</v>
      </c>
      <c r="O671" s="301">
        <v>65000000</v>
      </c>
      <c r="P671" s="157" t="s">
        <v>2813</v>
      </c>
      <c r="Q671" s="301">
        <v>67000000</v>
      </c>
      <c r="R671" s="157" t="s">
        <v>2813</v>
      </c>
      <c r="S671" s="301">
        <v>70000000</v>
      </c>
      <c r="T671" s="157" t="s">
        <v>2813</v>
      </c>
      <c r="U671" s="301">
        <v>70000000</v>
      </c>
      <c r="V671" s="52"/>
      <c r="W671" s="52"/>
      <c r="X671" s="52"/>
    </row>
    <row r="672" spans="1:32" s="165" customFormat="1" ht="150">
      <c r="B672" s="48"/>
      <c r="C672" s="62"/>
      <c r="D672" s="63"/>
      <c r="E672" s="63"/>
      <c r="F672" s="64"/>
      <c r="G672" s="408" t="s">
        <v>2815</v>
      </c>
      <c r="H672" s="157"/>
      <c r="I672" s="157"/>
      <c r="J672" s="157" t="s">
        <v>2817</v>
      </c>
      <c r="K672" s="312">
        <v>82121000</v>
      </c>
      <c r="L672" s="157" t="s">
        <v>2816</v>
      </c>
      <c r="M672" s="301">
        <v>578750000</v>
      </c>
      <c r="N672" s="157" t="s">
        <v>2816</v>
      </c>
      <c r="O672" s="301">
        <v>200000000</v>
      </c>
      <c r="P672" s="157" t="s">
        <v>2816</v>
      </c>
      <c r="Q672" s="301">
        <v>200000000</v>
      </c>
      <c r="R672" s="157" t="s">
        <v>2816</v>
      </c>
      <c r="S672" s="301">
        <v>200000000</v>
      </c>
      <c r="T672" s="157" t="s">
        <v>2816</v>
      </c>
      <c r="U672" s="301">
        <v>200000000</v>
      </c>
      <c r="V672" s="52"/>
      <c r="W672" s="52"/>
      <c r="X672" s="52"/>
    </row>
    <row r="673" spans="1:32" s="280" customFormat="1" ht="45" customHeight="1">
      <c r="A673" s="285"/>
      <c r="B673" s="1093" t="s">
        <v>4242</v>
      </c>
      <c r="C673" s="1094"/>
      <c r="D673" s="1094"/>
      <c r="E673" s="1094"/>
      <c r="F673" s="1094"/>
      <c r="G673" s="1095"/>
      <c r="H673" s="382"/>
      <c r="I673" s="382"/>
      <c r="J673" s="382"/>
      <c r="K673" s="382">
        <f>SUM(K665:K672)</f>
        <v>2613426000</v>
      </c>
      <c r="L673" s="382"/>
      <c r="M673" s="382">
        <f t="shared" ref="M673:W673" si="35">SUM(M665:M672)</f>
        <v>5453654000</v>
      </c>
      <c r="N673" s="382"/>
      <c r="O673" s="382">
        <f t="shared" si="35"/>
        <v>3694962000</v>
      </c>
      <c r="P673" s="382"/>
      <c r="Q673" s="382">
        <f t="shared" si="35"/>
        <v>4220962000</v>
      </c>
      <c r="R673" s="382"/>
      <c r="S673" s="382">
        <f t="shared" si="35"/>
        <v>4263962000</v>
      </c>
      <c r="T673" s="382"/>
      <c r="U673" s="382">
        <f t="shared" si="35"/>
        <v>4663962000</v>
      </c>
      <c r="V673" s="382">
        <f t="shared" si="35"/>
        <v>0</v>
      </c>
      <c r="W673" s="382">
        <f t="shared" si="35"/>
        <v>0</v>
      </c>
      <c r="X673" s="382"/>
      <c r="Y673" s="285"/>
      <c r="Z673" s="285"/>
      <c r="AA673" s="285"/>
      <c r="AB673" s="285"/>
      <c r="AC673" s="285"/>
      <c r="AD673" s="285"/>
      <c r="AE673" s="285"/>
      <c r="AF673" s="285"/>
    </row>
    <row r="674" spans="1:32" ht="75">
      <c r="A674" s="165">
        <v>1</v>
      </c>
      <c r="B674" s="62" t="str">
        <f>'matrik MISI 2'!B54</f>
        <v>PEMBERDAYAAN PEREMPUAN DAN PERLINDUNGAN ANAK</v>
      </c>
      <c r="C674" s="56"/>
      <c r="D674" s="57"/>
      <c r="E674" s="57"/>
      <c r="F674" s="58"/>
      <c r="G674" s="58"/>
      <c r="H674" s="52"/>
      <c r="I674" s="52"/>
      <c r="J674" s="52"/>
      <c r="K674" s="52"/>
      <c r="L674" s="52"/>
      <c r="M674" s="52"/>
      <c r="N674" s="52"/>
      <c r="O674" s="52"/>
      <c r="P674" s="52"/>
      <c r="Q674" s="52"/>
      <c r="R674" s="52"/>
      <c r="S674" s="52"/>
      <c r="T674" s="52"/>
      <c r="U674" s="52"/>
      <c r="V674" s="52"/>
      <c r="W674" s="52"/>
      <c r="X674" s="52"/>
      <c r="Y674" s="165"/>
      <c r="Z674" s="165"/>
      <c r="AA674" s="165"/>
      <c r="AB674" s="165"/>
      <c r="AC674" s="165"/>
      <c r="AD674" s="165"/>
      <c r="AE674" s="165"/>
      <c r="AF674" s="165"/>
    </row>
    <row r="675" spans="1:32" s="540" customFormat="1" ht="105">
      <c r="B675" s="545"/>
      <c r="C675" s="591">
        <f>'matrik MISI 2'!J55</f>
        <v>1.1100000000000001</v>
      </c>
      <c r="D675" s="592" t="str">
        <f>'matrik MISI 2'!K55</f>
        <v>xx</v>
      </c>
      <c r="E675" s="592">
        <f>'matrik MISI 2'!L55</f>
        <v>15</v>
      </c>
      <c r="F675" s="548" t="str">
        <f>'matrik MISI 2'!M55</f>
        <v>Program Keserasian Kebijakan Peningkatan Kualitas Anak dan Perempuan</v>
      </c>
      <c r="G675" s="548"/>
      <c r="H675" s="550"/>
      <c r="I675" s="550"/>
      <c r="J675" s="550"/>
      <c r="K675" s="603">
        <f>SUM(K676:K678)</f>
        <v>76562900</v>
      </c>
      <c r="L675" s="603"/>
      <c r="M675" s="603">
        <f t="shared" ref="M675:S675" si="36">SUM(M676:M678)</f>
        <v>105000000</v>
      </c>
      <c r="N675" s="603"/>
      <c r="O675" s="603">
        <f t="shared" si="36"/>
        <v>115500000</v>
      </c>
      <c r="P675" s="603"/>
      <c r="Q675" s="603">
        <f t="shared" si="36"/>
        <v>127050000</v>
      </c>
      <c r="R675" s="603"/>
      <c r="S675" s="603">
        <f t="shared" si="36"/>
        <v>139755000</v>
      </c>
      <c r="T675" s="550"/>
      <c r="U675" s="550"/>
      <c r="V675" s="550"/>
      <c r="W675" s="550"/>
      <c r="X675" s="550" t="str">
        <f>'matrik MISI 2'!X55</f>
        <v>BKBPP</v>
      </c>
    </row>
    <row r="676" spans="1:32" s="165" customFormat="1" ht="60">
      <c r="B676" s="48"/>
      <c r="C676" s="56"/>
      <c r="D676" s="57"/>
      <c r="E676" s="57"/>
      <c r="F676" s="58"/>
      <c r="G676" s="412" t="s">
        <v>2860</v>
      </c>
      <c r="H676" s="52" t="s">
        <v>2861</v>
      </c>
      <c r="I676" s="52" t="s">
        <v>2861</v>
      </c>
      <c r="J676" s="52" t="s">
        <v>2861</v>
      </c>
      <c r="K676" s="251">
        <v>53562900</v>
      </c>
      <c r="L676" s="52" t="s">
        <v>2861</v>
      </c>
      <c r="M676" s="251">
        <v>70000000</v>
      </c>
      <c r="N676" s="52" t="s">
        <v>2861</v>
      </c>
      <c r="O676" s="251">
        <f>M676*10/100+M676</f>
        <v>77000000</v>
      </c>
      <c r="P676" s="52" t="s">
        <v>2861</v>
      </c>
      <c r="Q676" s="251">
        <f>O676*10/100+O676</f>
        <v>84700000</v>
      </c>
      <c r="R676" s="52" t="s">
        <v>2861</v>
      </c>
      <c r="S676" s="251">
        <f>Q676*10/100+Q676</f>
        <v>93170000</v>
      </c>
      <c r="T676" s="52" t="s">
        <v>2861</v>
      </c>
      <c r="U676" s="251">
        <f>S676*10/100+S676</f>
        <v>102487000</v>
      </c>
      <c r="V676" s="52"/>
      <c r="W676" s="52"/>
      <c r="X676" s="52"/>
    </row>
    <row r="677" spans="1:32" s="165" customFormat="1" ht="75">
      <c r="B677" s="48"/>
      <c r="C677" s="56"/>
      <c r="D677" s="57"/>
      <c r="E677" s="57"/>
      <c r="F677" s="58"/>
      <c r="G677" s="412" t="s">
        <v>2862</v>
      </c>
      <c r="H677" s="52" t="s">
        <v>1040</v>
      </c>
      <c r="I677" s="52" t="s">
        <v>2863</v>
      </c>
      <c r="J677" s="52" t="s">
        <v>2863</v>
      </c>
      <c r="K677" s="251">
        <v>13000000</v>
      </c>
      <c r="L677" s="52" t="s">
        <v>2863</v>
      </c>
      <c r="M677" s="251">
        <v>20000000</v>
      </c>
      <c r="N677" s="52" t="s">
        <v>2863</v>
      </c>
      <c r="O677" s="251">
        <f>M677*10/100+M677</f>
        <v>22000000</v>
      </c>
      <c r="P677" s="52" t="s">
        <v>2863</v>
      </c>
      <c r="Q677" s="251">
        <f>O677*10/100+O677</f>
        <v>24200000</v>
      </c>
      <c r="R677" s="52" t="s">
        <v>2863</v>
      </c>
      <c r="S677" s="251">
        <f>Q677*10/100+Q677</f>
        <v>26620000</v>
      </c>
      <c r="T677" s="52" t="s">
        <v>2863</v>
      </c>
      <c r="U677" s="251">
        <f>S677*10/100+S677</f>
        <v>29282000</v>
      </c>
      <c r="V677" s="52"/>
      <c r="W677" s="52"/>
      <c r="X677" s="52"/>
    </row>
    <row r="678" spans="1:32" s="165" customFormat="1" ht="165">
      <c r="B678" s="48"/>
      <c r="C678" s="56"/>
      <c r="D678" s="57"/>
      <c r="E678" s="57"/>
      <c r="F678" s="58"/>
      <c r="G678" s="412" t="s">
        <v>2864</v>
      </c>
      <c r="H678" s="52" t="s">
        <v>2865</v>
      </c>
      <c r="I678" s="52" t="s">
        <v>2866</v>
      </c>
      <c r="J678" s="52" t="s">
        <v>2866</v>
      </c>
      <c r="K678" s="251">
        <v>10000000</v>
      </c>
      <c r="L678" s="52" t="s">
        <v>2866</v>
      </c>
      <c r="M678" s="239">
        <v>15000000</v>
      </c>
      <c r="N678" s="52" t="s">
        <v>2866</v>
      </c>
      <c r="O678" s="251">
        <f>M678*10/100+M678</f>
        <v>16500000</v>
      </c>
      <c r="P678" s="52" t="s">
        <v>2866</v>
      </c>
      <c r="Q678" s="251">
        <f>O678*10/100+O678</f>
        <v>18150000</v>
      </c>
      <c r="R678" s="52" t="s">
        <v>2866</v>
      </c>
      <c r="S678" s="251">
        <f>Q678*10/100+Q678</f>
        <v>19965000</v>
      </c>
      <c r="T678" s="52" t="s">
        <v>2866</v>
      </c>
      <c r="U678" s="251">
        <f>S678*10/100+S678</f>
        <v>21961500</v>
      </c>
      <c r="V678" s="52"/>
      <c r="W678" s="52"/>
      <c r="X678" s="52"/>
    </row>
    <row r="679" spans="1:32" s="540" customFormat="1" ht="90">
      <c r="B679" s="545"/>
      <c r="C679" s="591">
        <f>'matrik MISI 2'!J64</f>
        <v>1.1100000000000001</v>
      </c>
      <c r="D679" s="592" t="str">
        <f>'matrik MISI 2'!K64</f>
        <v>xx</v>
      </c>
      <c r="E679" s="592">
        <f>'matrik MISI 2'!L64</f>
        <v>16</v>
      </c>
      <c r="F679" s="548" t="str">
        <f>'matrik MISI 2'!M64</f>
        <v>Program Penguatan Kelembagaan Pengarustamaan Gender dan Anak</v>
      </c>
      <c r="G679" s="548"/>
      <c r="H679" s="550"/>
      <c r="I679" s="550"/>
      <c r="J679" s="550"/>
      <c r="K679" s="603">
        <f>SUM(K680:K685)</f>
        <v>98456850</v>
      </c>
      <c r="L679" s="603">
        <f t="shared" ref="L679:U679" si="37">SUM(L680:L685)</f>
        <v>0</v>
      </c>
      <c r="M679" s="603">
        <f t="shared" si="37"/>
        <v>210000000</v>
      </c>
      <c r="N679" s="603">
        <f t="shared" si="37"/>
        <v>0</v>
      </c>
      <c r="O679" s="603">
        <f t="shared" si="37"/>
        <v>231000000</v>
      </c>
      <c r="P679" s="603">
        <f t="shared" si="37"/>
        <v>0</v>
      </c>
      <c r="Q679" s="603">
        <f t="shared" si="37"/>
        <v>254100000</v>
      </c>
      <c r="R679" s="603">
        <f t="shared" si="37"/>
        <v>0</v>
      </c>
      <c r="S679" s="603">
        <f t="shared" si="37"/>
        <v>279510000</v>
      </c>
      <c r="T679" s="603">
        <f t="shared" si="37"/>
        <v>0</v>
      </c>
      <c r="U679" s="603">
        <f t="shared" si="37"/>
        <v>307461000</v>
      </c>
      <c r="V679" s="550"/>
      <c r="W679" s="550"/>
      <c r="X679" s="550" t="str">
        <f>'matrik MISI 2'!X64</f>
        <v>BKBPP</v>
      </c>
    </row>
    <row r="680" spans="1:32" s="165" customFormat="1" ht="45">
      <c r="B680" s="48"/>
      <c r="C680" s="56"/>
      <c r="D680" s="57"/>
      <c r="E680" s="57"/>
      <c r="F680" s="58"/>
      <c r="G680" s="412" t="s">
        <v>2867</v>
      </c>
      <c r="H680" s="52" t="s">
        <v>2521</v>
      </c>
      <c r="I680" s="52" t="s">
        <v>2521</v>
      </c>
      <c r="J680" s="52" t="s">
        <v>2521</v>
      </c>
      <c r="K680" s="251">
        <v>19892950</v>
      </c>
      <c r="L680" s="52" t="s">
        <v>2521</v>
      </c>
      <c r="M680" s="239">
        <v>50000000</v>
      </c>
      <c r="N680" s="52" t="s">
        <v>2521</v>
      </c>
      <c r="O680" s="251">
        <f t="shared" ref="O680:O685" si="38">M680*10/100+M680</f>
        <v>55000000</v>
      </c>
      <c r="P680" s="52" t="s">
        <v>2521</v>
      </c>
      <c r="Q680" s="251">
        <f t="shared" ref="Q680:Q685" si="39">O680*10/100+O680</f>
        <v>60500000</v>
      </c>
      <c r="R680" s="52" t="s">
        <v>2521</v>
      </c>
      <c r="S680" s="251">
        <f t="shared" ref="S680:S685" si="40">Q680*10/100+Q680</f>
        <v>66550000</v>
      </c>
      <c r="T680" s="52" t="s">
        <v>2521</v>
      </c>
      <c r="U680" s="251">
        <f t="shared" ref="U680:U685" si="41">S680*10/100+S680</f>
        <v>73205000</v>
      </c>
      <c r="V680" s="52"/>
      <c r="W680" s="52"/>
      <c r="X680" s="52"/>
    </row>
    <row r="681" spans="1:32" s="165" customFormat="1" ht="120">
      <c r="B681" s="48"/>
      <c r="C681" s="56"/>
      <c r="D681" s="57"/>
      <c r="E681" s="57"/>
      <c r="F681" s="58"/>
      <c r="G681" s="412" t="s">
        <v>2868</v>
      </c>
      <c r="H681" s="52" t="s">
        <v>2869</v>
      </c>
      <c r="I681" s="52" t="s">
        <v>2870</v>
      </c>
      <c r="J681" s="52" t="s">
        <v>2870</v>
      </c>
      <c r="K681" s="251">
        <v>24660000</v>
      </c>
      <c r="L681" s="52" t="s">
        <v>2870</v>
      </c>
      <c r="M681" s="251">
        <v>50000000</v>
      </c>
      <c r="N681" s="52" t="s">
        <v>2870</v>
      </c>
      <c r="O681" s="251">
        <f t="shared" si="38"/>
        <v>55000000</v>
      </c>
      <c r="P681" s="52" t="s">
        <v>2870</v>
      </c>
      <c r="Q681" s="251">
        <f t="shared" si="39"/>
        <v>60500000</v>
      </c>
      <c r="R681" s="52" t="s">
        <v>2870</v>
      </c>
      <c r="S681" s="251">
        <f t="shared" si="40"/>
        <v>66550000</v>
      </c>
      <c r="T681" s="52" t="s">
        <v>2870</v>
      </c>
      <c r="U681" s="251">
        <f t="shared" si="41"/>
        <v>73205000</v>
      </c>
      <c r="V681" s="52"/>
      <c r="W681" s="52"/>
      <c r="X681" s="52"/>
    </row>
    <row r="682" spans="1:32" s="165" customFormat="1" ht="165">
      <c r="B682" s="48"/>
      <c r="C682" s="56"/>
      <c r="D682" s="57"/>
      <c r="E682" s="57"/>
      <c r="F682" s="58"/>
      <c r="G682" s="412" t="s">
        <v>2871</v>
      </c>
      <c r="H682" s="170" t="s">
        <v>2880</v>
      </c>
      <c r="I682" s="52" t="s">
        <v>2872</v>
      </c>
      <c r="J682" s="52" t="s">
        <v>2872</v>
      </c>
      <c r="K682" s="251">
        <v>15000000</v>
      </c>
      <c r="L682" s="52" t="s">
        <v>2872</v>
      </c>
      <c r="M682" s="239">
        <v>30000000</v>
      </c>
      <c r="N682" s="52" t="s">
        <v>2872</v>
      </c>
      <c r="O682" s="251">
        <f t="shared" si="38"/>
        <v>33000000</v>
      </c>
      <c r="P682" s="52" t="s">
        <v>2872</v>
      </c>
      <c r="Q682" s="251">
        <f t="shared" si="39"/>
        <v>36300000</v>
      </c>
      <c r="R682" s="52" t="s">
        <v>2872</v>
      </c>
      <c r="S682" s="251">
        <f t="shared" si="40"/>
        <v>39930000</v>
      </c>
      <c r="T682" s="52" t="s">
        <v>2872</v>
      </c>
      <c r="U682" s="251">
        <f t="shared" si="41"/>
        <v>43923000</v>
      </c>
      <c r="V682" s="52"/>
      <c r="W682" s="52"/>
      <c r="X682" s="52"/>
    </row>
    <row r="683" spans="1:32" s="165" customFormat="1" ht="75">
      <c r="B683" s="48"/>
      <c r="C683" s="56"/>
      <c r="D683" s="57"/>
      <c r="E683" s="57"/>
      <c r="F683" s="58"/>
      <c r="G683" s="412" t="s">
        <v>2873</v>
      </c>
      <c r="H683" s="170" t="s">
        <v>2874</v>
      </c>
      <c r="I683" s="52" t="s">
        <v>2875</v>
      </c>
      <c r="J683" s="52" t="s">
        <v>2875</v>
      </c>
      <c r="K683" s="251">
        <v>11999900</v>
      </c>
      <c r="L683" s="52" t="s">
        <v>2875</v>
      </c>
      <c r="M683" s="239">
        <v>20000000</v>
      </c>
      <c r="N683" s="52" t="s">
        <v>2875</v>
      </c>
      <c r="O683" s="251">
        <f t="shared" si="38"/>
        <v>22000000</v>
      </c>
      <c r="P683" s="52" t="s">
        <v>2875</v>
      </c>
      <c r="Q683" s="251">
        <f t="shared" si="39"/>
        <v>24200000</v>
      </c>
      <c r="R683" s="52" t="s">
        <v>2875</v>
      </c>
      <c r="S683" s="251">
        <f t="shared" si="40"/>
        <v>26620000</v>
      </c>
      <c r="T683" s="52" t="s">
        <v>2875</v>
      </c>
      <c r="U683" s="251">
        <f t="shared" si="41"/>
        <v>29282000</v>
      </c>
      <c r="V683" s="52"/>
      <c r="W683" s="52"/>
      <c r="X683" s="52"/>
    </row>
    <row r="684" spans="1:32" s="165" customFormat="1" ht="105">
      <c r="B684" s="48"/>
      <c r="C684" s="56"/>
      <c r="D684" s="57"/>
      <c r="E684" s="57"/>
      <c r="F684" s="58"/>
      <c r="G684" s="412" t="s">
        <v>2876</v>
      </c>
      <c r="H684" s="52" t="s">
        <v>1040</v>
      </c>
      <c r="I684" s="52" t="s">
        <v>2877</v>
      </c>
      <c r="J684" s="52" t="s">
        <v>2877</v>
      </c>
      <c r="K684" s="251">
        <v>26904000</v>
      </c>
      <c r="L684" s="52" t="s">
        <v>2877</v>
      </c>
      <c r="M684" s="239">
        <v>30000000</v>
      </c>
      <c r="N684" s="52" t="s">
        <v>2877</v>
      </c>
      <c r="O684" s="251">
        <f t="shared" si="38"/>
        <v>33000000</v>
      </c>
      <c r="P684" s="52" t="s">
        <v>2877</v>
      </c>
      <c r="Q684" s="251">
        <f t="shared" si="39"/>
        <v>36300000</v>
      </c>
      <c r="R684" s="52" t="s">
        <v>2877</v>
      </c>
      <c r="S684" s="251">
        <f t="shared" si="40"/>
        <v>39930000</v>
      </c>
      <c r="T684" s="52" t="s">
        <v>2877</v>
      </c>
      <c r="U684" s="251">
        <f t="shared" si="41"/>
        <v>43923000</v>
      </c>
      <c r="V684" s="52"/>
      <c r="W684" s="52"/>
      <c r="X684" s="52"/>
    </row>
    <row r="685" spans="1:32" s="165" customFormat="1" ht="75">
      <c r="B685" s="48"/>
      <c r="C685" s="56"/>
      <c r="D685" s="57"/>
      <c r="E685" s="57"/>
      <c r="F685" s="58"/>
      <c r="G685" s="270" t="s">
        <v>2878</v>
      </c>
      <c r="H685" s="52" t="s">
        <v>1040</v>
      </c>
      <c r="I685" s="52" t="s">
        <v>1040</v>
      </c>
      <c r="J685" s="52" t="s">
        <v>1040</v>
      </c>
      <c r="K685" s="52" t="s">
        <v>1040</v>
      </c>
      <c r="L685" s="52" t="s">
        <v>2879</v>
      </c>
      <c r="M685" s="251">
        <v>30000000</v>
      </c>
      <c r="N685" s="52" t="s">
        <v>2879</v>
      </c>
      <c r="O685" s="251">
        <f t="shared" si="38"/>
        <v>33000000</v>
      </c>
      <c r="P685" s="52" t="s">
        <v>2879</v>
      </c>
      <c r="Q685" s="251">
        <f t="shared" si="39"/>
        <v>36300000</v>
      </c>
      <c r="R685" s="52" t="s">
        <v>2879</v>
      </c>
      <c r="S685" s="251">
        <f t="shared" si="40"/>
        <v>39930000</v>
      </c>
      <c r="T685" s="52" t="s">
        <v>2879</v>
      </c>
      <c r="U685" s="251">
        <f t="shared" si="41"/>
        <v>43923000</v>
      </c>
      <c r="V685" s="52"/>
      <c r="W685" s="52"/>
      <c r="X685" s="52"/>
    </row>
    <row r="686" spans="1:32" s="280" customFormat="1" ht="45" customHeight="1">
      <c r="A686" s="285"/>
      <c r="B686" s="1093" t="s">
        <v>4243</v>
      </c>
      <c r="C686" s="1094"/>
      <c r="D686" s="1094"/>
      <c r="E686" s="1094"/>
      <c r="F686" s="1094"/>
      <c r="G686" s="1095"/>
      <c r="H686" s="382"/>
      <c r="I686" s="382"/>
      <c r="J686" s="382"/>
      <c r="K686" s="382">
        <f>SUM(K675:K685)</f>
        <v>350039500</v>
      </c>
      <c r="L686" s="382"/>
      <c r="M686" s="382">
        <f t="shared" ref="M686:W686" si="42">SUM(M675:M685)</f>
        <v>630000000</v>
      </c>
      <c r="N686" s="382"/>
      <c r="O686" s="382">
        <f t="shared" si="42"/>
        <v>693000000</v>
      </c>
      <c r="P686" s="382"/>
      <c r="Q686" s="382">
        <f t="shared" si="42"/>
        <v>762300000</v>
      </c>
      <c r="R686" s="382"/>
      <c r="S686" s="382">
        <f t="shared" si="42"/>
        <v>838530000</v>
      </c>
      <c r="T686" s="382"/>
      <c r="U686" s="382">
        <f t="shared" si="42"/>
        <v>768652500</v>
      </c>
      <c r="V686" s="382">
        <f t="shared" si="42"/>
        <v>0</v>
      </c>
      <c r="W686" s="382">
        <f t="shared" si="42"/>
        <v>0</v>
      </c>
      <c r="X686" s="382"/>
      <c r="Y686" s="285"/>
      <c r="Z686" s="285"/>
      <c r="AA686" s="285"/>
      <c r="AB686" s="285"/>
      <c r="AC686" s="285"/>
      <c r="AD686" s="285"/>
      <c r="AE686" s="285"/>
      <c r="AF686" s="285"/>
    </row>
    <row r="687" spans="1:32" ht="30">
      <c r="A687" s="165">
        <v>1</v>
      </c>
      <c r="B687" s="62" t="str">
        <f>'matrik MISI 5'!B73</f>
        <v>KELUARGA BERENCANA</v>
      </c>
      <c r="C687" s="56"/>
      <c r="D687" s="57"/>
      <c r="E687" s="57"/>
      <c r="F687" s="58"/>
      <c r="G687" s="58"/>
      <c r="H687" s="52"/>
      <c r="I687" s="52"/>
      <c r="J687" s="52"/>
      <c r="K687" s="52"/>
      <c r="L687" s="52"/>
      <c r="M687" s="52"/>
      <c r="N687" s="52"/>
      <c r="O687" s="52"/>
      <c r="P687" s="52"/>
      <c r="Q687" s="52"/>
      <c r="R687" s="52"/>
      <c r="S687" s="52"/>
      <c r="T687" s="52"/>
      <c r="U687" s="52"/>
      <c r="V687" s="52"/>
      <c r="W687" s="52"/>
      <c r="X687" s="52"/>
      <c r="Y687" s="165"/>
      <c r="Z687" s="165"/>
      <c r="AA687" s="165"/>
      <c r="AB687" s="165"/>
      <c r="AC687" s="165"/>
      <c r="AD687" s="165"/>
      <c r="AE687" s="165"/>
      <c r="AF687" s="165"/>
    </row>
    <row r="688" spans="1:32" s="540" customFormat="1" ht="45">
      <c r="B688" s="545"/>
      <c r="C688" s="593">
        <f>'matrik MISI 5'!J82</f>
        <v>1.1200000000000001</v>
      </c>
      <c r="D688" s="594" t="str">
        <f>'matrik MISI 5'!K82</f>
        <v>xx</v>
      </c>
      <c r="E688" s="594">
        <f>'matrik MISI 5'!L82</f>
        <v>15</v>
      </c>
      <c r="F688" s="595" t="str">
        <f>'matrik MISI 5'!M82</f>
        <v xml:space="preserve">Program Keluarga Berencana                                               </v>
      </c>
      <c r="G688" s="548"/>
      <c r="H688" s="550"/>
      <c r="I688" s="550"/>
      <c r="J688" s="550"/>
      <c r="K688" s="603">
        <f>SUM(K689:K708)</f>
        <v>1937642790</v>
      </c>
      <c r="L688" s="603"/>
      <c r="M688" s="603">
        <f t="shared" ref="M688:S688" si="43">SUM(M689:M708)</f>
        <v>2272485580</v>
      </c>
      <c r="N688" s="603"/>
      <c r="O688" s="603">
        <f t="shared" si="43"/>
        <v>2404131122</v>
      </c>
      <c r="P688" s="603"/>
      <c r="Q688" s="603">
        <f t="shared" si="43"/>
        <v>2553746414.1999998</v>
      </c>
      <c r="R688" s="603"/>
      <c r="S688" s="603">
        <f t="shared" si="43"/>
        <v>2724328990.5799994</v>
      </c>
      <c r="T688" s="550"/>
      <c r="U688" s="550"/>
      <c r="V688" s="550"/>
      <c r="W688" s="550"/>
      <c r="X688" s="550" t="str">
        <f>'matrik MISI 5'!X82</f>
        <v>BKBPP</v>
      </c>
    </row>
    <row r="689" spans="2:24" s="165" customFormat="1" ht="45">
      <c r="B689" s="48"/>
      <c r="C689" s="62"/>
      <c r="D689" s="63"/>
      <c r="E689" s="63"/>
      <c r="F689" s="64"/>
      <c r="G689" s="413" t="s">
        <v>2820</v>
      </c>
      <c r="H689" s="170" t="s">
        <v>2821</v>
      </c>
      <c r="I689" s="170" t="s">
        <v>2821</v>
      </c>
      <c r="J689" s="170" t="s">
        <v>2821</v>
      </c>
      <c r="K689" s="251">
        <v>24850000</v>
      </c>
      <c r="L689" s="170" t="s">
        <v>2821</v>
      </c>
      <c r="M689" s="239">
        <v>30000000</v>
      </c>
      <c r="N689" s="170" t="s">
        <v>2821</v>
      </c>
      <c r="O689" s="251">
        <f>M689*30/100+M689</f>
        <v>39000000</v>
      </c>
      <c r="P689" s="170" t="s">
        <v>2821</v>
      </c>
      <c r="Q689" s="251">
        <f>O689*30/100+O689</f>
        <v>50700000</v>
      </c>
      <c r="R689" s="170" t="s">
        <v>2821</v>
      </c>
      <c r="S689" s="251">
        <f>Q689*30/100+Q689</f>
        <v>65910000</v>
      </c>
      <c r="T689" s="170" t="s">
        <v>2821</v>
      </c>
      <c r="U689" s="251">
        <f>S689*30/100+S689</f>
        <v>85683000</v>
      </c>
      <c r="V689" s="52"/>
      <c r="W689" s="52"/>
      <c r="X689" s="52"/>
    </row>
    <row r="690" spans="2:24" s="165" customFormat="1" ht="105">
      <c r="B690" s="48"/>
      <c r="C690" s="62"/>
      <c r="D690" s="63"/>
      <c r="E690" s="63"/>
      <c r="F690" s="64"/>
      <c r="G690" s="412" t="s">
        <v>2822</v>
      </c>
      <c r="H690" s="170" t="s">
        <v>2823</v>
      </c>
      <c r="I690" s="170" t="s">
        <v>2823</v>
      </c>
      <c r="J690" s="170" t="s">
        <v>2823</v>
      </c>
      <c r="K690" s="251">
        <v>59823000</v>
      </c>
      <c r="L690" s="170" t="s">
        <v>2823</v>
      </c>
      <c r="M690" s="188">
        <v>114999920</v>
      </c>
      <c r="N690" s="170" t="s">
        <v>2823</v>
      </c>
      <c r="O690" s="251">
        <f>M690*20/100+M690</f>
        <v>137999904</v>
      </c>
      <c r="P690" s="170" t="s">
        <v>2823</v>
      </c>
      <c r="Q690" s="251">
        <f>O690*20/100+O690</f>
        <v>165599884.80000001</v>
      </c>
      <c r="R690" s="170" t="s">
        <v>2823</v>
      </c>
      <c r="S690" s="251">
        <f>Q690*20/100+Q690</f>
        <v>198719861.76000002</v>
      </c>
      <c r="T690" s="170" t="s">
        <v>2823</v>
      </c>
      <c r="U690" s="251">
        <f>S690*20/100+S690</f>
        <v>238463834.11200002</v>
      </c>
      <c r="V690" s="52"/>
      <c r="W690" s="52"/>
      <c r="X690" s="52"/>
    </row>
    <row r="691" spans="2:24" s="165" customFormat="1" ht="405">
      <c r="B691" s="48"/>
      <c r="C691" s="62"/>
      <c r="D691" s="63"/>
      <c r="E691" s="63"/>
      <c r="F691" s="64"/>
      <c r="G691" s="412" t="s">
        <v>2824</v>
      </c>
      <c r="H691" s="170" t="s">
        <v>2825</v>
      </c>
      <c r="I691" s="52" t="s">
        <v>2826</v>
      </c>
      <c r="J691" s="52" t="s">
        <v>2826</v>
      </c>
      <c r="K691" s="251">
        <v>960680000</v>
      </c>
      <c r="L691" s="52" t="s">
        <v>2827</v>
      </c>
      <c r="M691" s="251">
        <v>1017264500</v>
      </c>
      <c r="N691" s="52" t="s">
        <v>2827</v>
      </c>
      <c r="O691" s="251">
        <v>1017264500</v>
      </c>
      <c r="P691" s="52" t="s">
        <v>2828</v>
      </c>
      <c r="Q691" s="251">
        <v>1017264500</v>
      </c>
      <c r="R691" s="52" t="s">
        <v>2828</v>
      </c>
      <c r="S691" s="251">
        <v>1017264500</v>
      </c>
      <c r="T691" s="52" t="s">
        <v>2828</v>
      </c>
      <c r="U691" s="251">
        <v>1017264500</v>
      </c>
      <c r="V691" s="52"/>
      <c r="W691" s="52"/>
      <c r="X691" s="52"/>
    </row>
    <row r="692" spans="2:24" s="165" customFormat="1" ht="225">
      <c r="B692" s="48"/>
      <c r="C692" s="62"/>
      <c r="D692" s="63"/>
      <c r="E692" s="63"/>
      <c r="F692" s="64"/>
      <c r="G692" s="412" t="s">
        <v>2824</v>
      </c>
      <c r="H692" s="170" t="s">
        <v>2829</v>
      </c>
      <c r="I692" s="52" t="s">
        <v>2830</v>
      </c>
      <c r="J692" s="52" t="s">
        <v>2830</v>
      </c>
      <c r="K692" s="251">
        <v>124284000</v>
      </c>
      <c r="L692" s="52" t="s">
        <v>2831</v>
      </c>
      <c r="M692" s="189">
        <v>139105500</v>
      </c>
      <c r="N692" s="52" t="s">
        <v>2832</v>
      </c>
      <c r="O692" s="189">
        <v>139105500</v>
      </c>
      <c r="P692" s="52" t="s">
        <v>2831</v>
      </c>
      <c r="Q692" s="189">
        <v>139105500</v>
      </c>
      <c r="R692" s="52" t="s">
        <v>2831</v>
      </c>
      <c r="S692" s="189">
        <v>139105500</v>
      </c>
      <c r="T692" s="52" t="s">
        <v>2831</v>
      </c>
      <c r="U692" s="189">
        <v>139105500</v>
      </c>
      <c r="V692" s="52"/>
      <c r="W692" s="52"/>
      <c r="X692" s="52"/>
    </row>
    <row r="693" spans="2:24" s="165" customFormat="1">
      <c r="B693" s="48"/>
      <c r="C693" s="62"/>
      <c r="D693" s="63"/>
      <c r="E693" s="63"/>
      <c r="F693" s="64"/>
      <c r="G693" s="412" t="s">
        <v>2833</v>
      </c>
      <c r="H693" s="170" t="s">
        <v>2568</v>
      </c>
      <c r="I693" s="52"/>
      <c r="J693" s="52"/>
      <c r="K693" s="251"/>
      <c r="L693" s="52"/>
      <c r="M693" s="52"/>
      <c r="N693" s="52"/>
      <c r="O693" s="52"/>
      <c r="P693" s="52"/>
      <c r="Q693" s="52"/>
      <c r="R693" s="52"/>
      <c r="S693" s="52"/>
      <c r="T693" s="52"/>
      <c r="U693" s="52"/>
      <c r="V693" s="52"/>
      <c r="W693" s="52"/>
      <c r="X693" s="52"/>
    </row>
    <row r="694" spans="2:24" s="165" customFormat="1">
      <c r="B694" s="48"/>
      <c r="C694" s="62"/>
      <c r="D694" s="63"/>
      <c r="E694" s="63"/>
      <c r="F694" s="64"/>
      <c r="G694" s="412" t="s">
        <v>2833</v>
      </c>
      <c r="H694" s="170" t="s">
        <v>2568</v>
      </c>
      <c r="I694" s="52"/>
      <c r="J694" s="52"/>
      <c r="K694" s="251"/>
      <c r="L694" s="52"/>
      <c r="M694" s="52"/>
      <c r="N694" s="52"/>
      <c r="O694" s="52"/>
      <c r="P694" s="52"/>
      <c r="Q694" s="52"/>
      <c r="R694" s="52"/>
      <c r="S694" s="52"/>
      <c r="T694" s="52"/>
      <c r="U694" s="52"/>
      <c r="V694" s="52"/>
      <c r="W694" s="52"/>
      <c r="X694" s="52"/>
    </row>
    <row r="695" spans="2:24" s="165" customFormat="1" ht="30">
      <c r="B695" s="48"/>
      <c r="C695" s="62"/>
      <c r="D695" s="63"/>
      <c r="E695" s="63"/>
      <c r="F695" s="64"/>
      <c r="G695" s="412" t="s">
        <v>2834</v>
      </c>
      <c r="H695" s="170" t="s">
        <v>2496</v>
      </c>
      <c r="I695" s="170" t="s">
        <v>2496</v>
      </c>
      <c r="J695" s="170" t="s">
        <v>2496</v>
      </c>
      <c r="K695" s="251">
        <v>4575000</v>
      </c>
      <c r="L695" s="170" t="s">
        <v>2496</v>
      </c>
      <c r="M695" s="251">
        <v>5500000</v>
      </c>
      <c r="N695" s="170" t="s">
        <v>2496</v>
      </c>
      <c r="O695" s="251">
        <f>M695*20/100+M695</f>
        <v>6600000</v>
      </c>
      <c r="P695" s="170" t="s">
        <v>2496</v>
      </c>
      <c r="Q695" s="251">
        <f>O695*20/100+O695</f>
        <v>7920000</v>
      </c>
      <c r="R695" s="170" t="s">
        <v>2496</v>
      </c>
      <c r="S695" s="251">
        <f>Q695*20/100+Q695</f>
        <v>9504000</v>
      </c>
      <c r="T695" s="170" t="s">
        <v>2496</v>
      </c>
      <c r="U695" s="251">
        <f>S695*20/100+S695</f>
        <v>11404800</v>
      </c>
      <c r="V695" s="52"/>
      <c r="W695" s="52"/>
      <c r="X695" s="52"/>
    </row>
    <row r="696" spans="2:24" s="165" customFormat="1" ht="90">
      <c r="B696" s="48"/>
      <c r="C696" s="62"/>
      <c r="D696" s="63"/>
      <c r="E696" s="63"/>
      <c r="F696" s="64"/>
      <c r="G696" s="412" t="s">
        <v>2835</v>
      </c>
      <c r="H696" s="170" t="s">
        <v>2836</v>
      </c>
      <c r="I696" s="170" t="s">
        <v>2836</v>
      </c>
      <c r="J696" s="170" t="s">
        <v>2836</v>
      </c>
      <c r="K696" s="251">
        <v>8999950</v>
      </c>
      <c r="L696" s="170" t="s">
        <v>2836</v>
      </c>
      <c r="M696" s="240">
        <v>9919960</v>
      </c>
      <c r="N696" s="170" t="s">
        <v>2836</v>
      </c>
      <c r="O696" s="251">
        <f>M696*30/100+M696</f>
        <v>12895948</v>
      </c>
      <c r="P696" s="170" t="s">
        <v>2836</v>
      </c>
      <c r="Q696" s="251">
        <f>O696*30/100+O696</f>
        <v>16764732.4</v>
      </c>
      <c r="R696" s="170" t="s">
        <v>2836</v>
      </c>
      <c r="S696" s="251">
        <f>Q696*30/100+Q696</f>
        <v>21794152.120000001</v>
      </c>
      <c r="T696" s="170" t="s">
        <v>2836</v>
      </c>
      <c r="U696" s="251">
        <f>S696*30/100+S696</f>
        <v>28332397.756000001</v>
      </c>
      <c r="V696" s="52"/>
      <c r="W696" s="52"/>
      <c r="X696" s="52"/>
    </row>
    <row r="697" spans="2:24" s="165" customFormat="1" ht="45">
      <c r="B697" s="48"/>
      <c r="C697" s="62"/>
      <c r="D697" s="63"/>
      <c r="E697" s="63"/>
      <c r="F697" s="64"/>
      <c r="G697" s="412" t="s">
        <v>2837</v>
      </c>
      <c r="H697" s="170" t="s">
        <v>2496</v>
      </c>
      <c r="I697" s="170" t="s">
        <v>2496</v>
      </c>
      <c r="J697" s="170" t="s">
        <v>2496</v>
      </c>
      <c r="K697" s="251">
        <v>23874950</v>
      </c>
      <c r="L697" s="170" t="s">
        <v>2496</v>
      </c>
      <c r="M697" s="188">
        <v>29999980</v>
      </c>
      <c r="N697" s="170" t="s">
        <v>2496</v>
      </c>
      <c r="O697" s="251">
        <f t="shared" ref="O697:O703" si="44">M697*10/100+M697</f>
        <v>32999978</v>
      </c>
      <c r="P697" s="170" t="s">
        <v>2496</v>
      </c>
      <c r="Q697" s="251">
        <f t="shared" ref="Q697:Q703" si="45">O697*10/100+O697</f>
        <v>36299975.799999997</v>
      </c>
      <c r="R697" s="170" t="s">
        <v>2496</v>
      </c>
      <c r="S697" s="251">
        <f t="shared" ref="S697:S703" si="46">Q697*10/100+Q697</f>
        <v>39929973.379999995</v>
      </c>
      <c r="T697" s="170" t="s">
        <v>2496</v>
      </c>
      <c r="U697" s="251">
        <f t="shared" ref="U697:U703" si="47">S697*10/100+S697</f>
        <v>43922970.717999995</v>
      </c>
      <c r="V697" s="52"/>
      <c r="W697" s="52"/>
      <c r="X697" s="52"/>
    </row>
    <row r="698" spans="2:24" s="165" customFormat="1" ht="60">
      <c r="B698" s="48"/>
      <c r="C698" s="62"/>
      <c r="D698" s="63"/>
      <c r="E698" s="63"/>
      <c r="F698" s="64"/>
      <c r="G698" s="412" t="s">
        <v>2838</v>
      </c>
      <c r="H698" s="170" t="s">
        <v>2839</v>
      </c>
      <c r="I698" s="170" t="s">
        <v>2839</v>
      </c>
      <c r="J698" s="170" t="s">
        <v>2839</v>
      </c>
      <c r="K698" s="251">
        <v>42556000</v>
      </c>
      <c r="L698" s="170" t="s">
        <v>2839</v>
      </c>
      <c r="M698" s="239">
        <v>42556000</v>
      </c>
      <c r="N698" s="170" t="s">
        <v>2839</v>
      </c>
      <c r="O698" s="251">
        <f t="shared" si="44"/>
        <v>46811600</v>
      </c>
      <c r="P698" s="170" t="s">
        <v>2839</v>
      </c>
      <c r="Q698" s="251">
        <f t="shared" si="45"/>
        <v>51492760</v>
      </c>
      <c r="R698" s="170" t="s">
        <v>2839</v>
      </c>
      <c r="S698" s="251">
        <f t="shared" si="46"/>
        <v>56642036</v>
      </c>
      <c r="T698" s="170" t="s">
        <v>2839</v>
      </c>
      <c r="U698" s="251">
        <f t="shared" si="47"/>
        <v>62306239.600000001</v>
      </c>
      <c r="V698" s="52"/>
      <c r="W698" s="52"/>
      <c r="X698" s="52"/>
    </row>
    <row r="699" spans="2:24" s="165" customFormat="1" ht="45">
      <c r="B699" s="48"/>
      <c r="C699" s="62"/>
      <c r="D699" s="63"/>
      <c r="E699" s="63"/>
      <c r="F699" s="64"/>
      <c r="G699" s="414" t="s">
        <v>2840</v>
      </c>
      <c r="H699" s="52" t="s">
        <v>1040</v>
      </c>
      <c r="I699" s="52" t="s">
        <v>1040</v>
      </c>
      <c r="J699" s="52" t="s">
        <v>1040</v>
      </c>
      <c r="K699" s="251"/>
      <c r="L699" s="52"/>
      <c r="M699" s="188">
        <v>99999800</v>
      </c>
      <c r="N699" s="52"/>
      <c r="O699" s="251">
        <f t="shared" si="44"/>
        <v>109999780</v>
      </c>
      <c r="P699" s="52"/>
      <c r="Q699" s="251">
        <f t="shared" si="45"/>
        <v>120999758</v>
      </c>
      <c r="R699" s="52"/>
      <c r="S699" s="251">
        <f t="shared" si="46"/>
        <v>133099733.8</v>
      </c>
      <c r="T699" s="52"/>
      <c r="U699" s="251">
        <f t="shared" si="47"/>
        <v>146409707.18000001</v>
      </c>
      <c r="V699" s="52"/>
      <c r="W699" s="52"/>
      <c r="X699" s="52"/>
    </row>
    <row r="700" spans="2:24" s="165" customFormat="1" ht="60">
      <c r="B700" s="48"/>
      <c r="C700" s="62"/>
      <c r="D700" s="63"/>
      <c r="E700" s="63"/>
      <c r="F700" s="64"/>
      <c r="G700" s="414" t="s">
        <v>2841</v>
      </c>
      <c r="H700" s="170" t="s">
        <v>2496</v>
      </c>
      <c r="I700" s="170" t="s">
        <v>2496</v>
      </c>
      <c r="J700" s="170" t="s">
        <v>2496</v>
      </c>
      <c r="K700" s="251">
        <v>4500000</v>
      </c>
      <c r="L700" s="170" t="s">
        <v>2496</v>
      </c>
      <c r="M700" s="251">
        <v>4500000</v>
      </c>
      <c r="N700" s="170" t="s">
        <v>2496</v>
      </c>
      <c r="O700" s="251">
        <f t="shared" si="44"/>
        <v>4950000</v>
      </c>
      <c r="P700" s="170" t="s">
        <v>2496</v>
      </c>
      <c r="Q700" s="251">
        <f t="shared" si="45"/>
        <v>5445000</v>
      </c>
      <c r="R700" s="170" t="s">
        <v>2496</v>
      </c>
      <c r="S700" s="251">
        <f t="shared" si="46"/>
        <v>5989500</v>
      </c>
      <c r="T700" s="170" t="s">
        <v>2496</v>
      </c>
      <c r="U700" s="251">
        <f t="shared" si="47"/>
        <v>6588450</v>
      </c>
      <c r="V700" s="52"/>
      <c r="W700" s="52"/>
      <c r="X700" s="52"/>
    </row>
    <row r="701" spans="2:24" s="165" customFormat="1" ht="90">
      <c r="B701" s="48"/>
      <c r="C701" s="62"/>
      <c r="D701" s="63"/>
      <c r="E701" s="63"/>
      <c r="F701" s="64"/>
      <c r="G701" s="412" t="s">
        <v>2842</v>
      </c>
      <c r="H701" s="170" t="s">
        <v>2843</v>
      </c>
      <c r="I701" s="170" t="s">
        <v>2843</v>
      </c>
      <c r="J701" s="170" t="s">
        <v>2843</v>
      </c>
      <c r="K701" s="251">
        <v>10000000</v>
      </c>
      <c r="L701" s="170" t="s">
        <v>2843</v>
      </c>
      <c r="M701" s="190">
        <v>10000000</v>
      </c>
      <c r="N701" s="170" t="s">
        <v>2843</v>
      </c>
      <c r="O701" s="251">
        <f t="shared" si="44"/>
        <v>11000000</v>
      </c>
      <c r="P701" s="170" t="s">
        <v>2843</v>
      </c>
      <c r="Q701" s="251">
        <f t="shared" si="45"/>
        <v>12100000</v>
      </c>
      <c r="R701" s="170" t="s">
        <v>2843</v>
      </c>
      <c r="S701" s="251">
        <f t="shared" si="46"/>
        <v>13310000</v>
      </c>
      <c r="T701" s="170" t="s">
        <v>2843</v>
      </c>
      <c r="U701" s="251">
        <f t="shared" si="47"/>
        <v>14641000</v>
      </c>
      <c r="V701" s="52"/>
      <c r="W701" s="52"/>
      <c r="X701" s="52"/>
    </row>
    <row r="702" spans="2:24" s="165" customFormat="1" ht="45">
      <c r="B702" s="48"/>
      <c r="C702" s="62"/>
      <c r="D702" s="63"/>
      <c r="E702" s="63"/>
      <c r="F702" s="64"/>
      <c r="G702" s="413" t="s">
        <v>2844</v>
      </c>
      <c r="H702" s="170" t="s">
        <v>2845</v>
      </c>
      <c r="I702" s="170" t="s">
        <v>2845</v>
      </c>
      <c r="J702" s="170" t="s">
        <v>2845</v>
      </c>
      <c r="K702" s="251">
        <v>7500000</v>
      </c>
      <c r="L702" s="170" t="s">
        <v>2845</v>
      </c>
      <c r="M702" s="190">
        <v>9000000</v>
      </c>
      <c r="N702" s="170" t="s">
        <v>2845</v>
      </c>
      <c r="O702" s="251">
        <f t="shared" si="44"/>
        <v>9900000</v>
      </c>
      <c r="P702" s="170" t="s">
        <v>2845</v>
      </c>
      <c r="Q702" s="251">
        <f t="shared" si="45"/>
        <v>10890000</v>
      </c>
      <c r="R702" s="170" t="s">
        <v>2845</v>
      </c>
      <c r="S702" s="251">
        <f t="shared" si="46"/>
        <v>11979000</v>
      </c>
      <c r="T702" s="170" t="s">
        <v>2845</v>
      </c>
      <c r="U702" s="251">
        <f t="shared" si="47"/>
        <v>13176900</v>
      </c>
      <c r="V702" s="52"/>
      <c r="W702" s="52"/>
      <c r="X702" s="52"/>
    </row>
    <row r="703" spans="2:24" s="165" customFormat="1" ht="45">
      <c r="B703" s="48"/>
      <c r="C703" s="62"/>
      <c r="D703" s="63"/>
      <c r="E703" s="63"/>
      <c r="F703" s="64"/>
      <c r="G703" s="412" t="s">
        <v>2846</v>
      </c>
      <c r="H703" s="314">
        <v>2180</v>
      </c>
      <c r="I703" s="314">
        <v>2180</v>
      </c>
      <c r="J703" s="314">
        <v>1891</v>
      </c>
      <c r="K703" s="251">
        <v>218000000</v>
      </c>
      <c r="L703" s="314">
        <v>1891</v>
      </c>
      <c r="M703" s="232">
        <v>284640000</v>
      </c>
      <c r="N703" s="314">
        <v>1891</v>
      </c>
      <c r="O703" s="251">
        <f t="shared" si="44"/>
        <v>313104000</v>
      </c>
      <c r="P703" s="314">
        <v>1891</v>
      </c>
      <c r="Q703" s="251">
        <f t="shared" si="45"/>
        <v>344414400</v>
      </c>
      <c r="R703" s="314">
        <v>1891</v>
      </c>
      <c r="S703" s="251">
        <f t="shared" si="46"/>
        <v>378855840</v>
      </c>
      <c r="T703" s="314">
        <v>1891</v>
      </c>
      <c r="U703" s="251">
        <f t="shared" si="47"/>
        <v>416741424</v>
      </c>
      <c r="V703" s="52"/>
      <c r="W703" s="52"/>
      <c r="X703" s="52"/>
    </row>
    <row r="704" spans="2:24" s="165" customFormat="1" ht="75">
      <c r="B704" s="48"/>
      <c r="C704" s="62"/>
      <c r="D704" s="63"/>
      <c r="E704" s="63"/>
      <c r="F704" s="64"/>
      <c r="G704" s="413" t="s">
        <v>2847</v>
      </c>
      <c r="H704" s="170" t="s">
        <v>2848</v>
      </c>
      <c r="I704" s="170" t="s">
        <v>2848</v>
      </c>
      <c r="J704" s="170" t="s">
        <v>2848</v>
      </c>
      <c r="K704" s="251">
        <v>20000000</v>
      </c>
      <c r="L704" s="251" t="s">
        <v>1040</v>
      </c>
      <c r="M704" s="251"/>
      <c r="N704" s="251" t="s">
        <v>1040</v>
      </c>
      <c r="O704" s="251"/>
      <c r="P704" s="251" t="s">
        <v>1040</v>
      </c>
      <c r="Q704" s="251" t="s">
        <v>1040</v>
      </c>
      <c r="R704" s="251" t="s">
        <v>1040</v>
      </c>
      <c r="S704" s="251" t="s">
        <v>1040</v>
      </c>
      <c r="T704" s="251" t="s">
        <v>1040</v>
      </c>
      <c r="U704" s="251" t="s">
        <v>1040</v>
      </c>
      <c r="V704" s="52"/>
      <c r="W704" s="52"/>
      <c r="X704" s="52"/>
    </row>
    <row r="705" spans="1:32" s="165" customFormat="1" ht="45">
      <c r="B705" s="48"/>
      <c r="C705" s="62"/>
      <c r="D705" s="63"/>
      <c r="E705" s="63"/>
      <c r="F705" s="64"/>
      <c r="G705" s="413" t="s">
        <v>2849</v>
      </c>
      <c r="H705" s="251" t="s">
        <v>1040</v>
      </c>
      <c r="I705" s="251" t="s">
        <v>1040</v>
      </c>
      <c r="J705" s="251" t="s">
        <v>1040</v>
      </c>
      <c r="K705" s="251"/>
      <c r="L705" s="170" t="s">
        <v>2850</v>
      </c>
      <c r="M705" s="251">
        <v>25000000</v>
      </c>
      <c r="N705" s="170" t="s">
        <v>2850</v>
      </c>
      <c r="O705" s="251">
        <f>M705*10/100+M705</f>
        <v>27500000</v>
      </c>
      <c r="P705" s="170" t="s">
        <v>2850</v>
      </c>
      <c r="Q705" s="251">
        <f>O705*10/100+O705</f>
        <v>30250000</v>
      </c>
      <c r="R705" s="170" t="s">
        <v>2850</v>
      </c>
      <c r="S705" s="251">
        <f>Q705*10/100+Q705</f>
        <v>33275000</v>
      </c>
      <c r="T705" s="170" t="s">
        <v>2850</v>
      </c>
      <c r="U705" s="251">
        <f>S705*10/100+S705</f>
        <v>36602500</v>
      </c>
      <c r="V705" s="52"/>
      <c r="W705" s="52"/>
      <c r="X705" s="52"/>
    </row>
    <row r="706" spans="1:32" s="165" customFormat="1" ht="90">
      <c r="B706" s="48"/>
      <c r="C706" s="62"/>
      <c r="D706" s="63"/>
      <c r="E706" s="63"/>
      <c r="F706" s="64"/>
      <c r="G706" s="412" t="s">
        <v>2851</v>
      </c>
      <c r="H706" s="52" t="s">
        <v>2852</v>
      </c>
      <c r="I706" s="52" t="s">
        <v>2852</v>
      </c>
      <c r="J706" s="52" t="s">
        <v>2852</v>
      </c>
      <c r="K706" s="251">
        <v>58000000</v>
      </c>
      <c r="L706" s="52" t="s">
        <v>2852</v>
      </c>
      <c r="M706" s="239">
        <v>60000000</v>
      </c>
      <c r="N706" s="52" t="s">
        <v>2852</v>
      </c>
      <c r="O706" s="251">
        <f>M706*10/100+M706</f>
        <v>66000000</v>
      </c>
      <c r="P706" s="52" t="s">
        <v>2852</v>
      </c>
      <c r="Q706" s="251">
        <f>O706*10/100+O706</f>
        <v>72600000</v>
      </c>
      <c r="R706" s="52" t="s">
        <v>2852</v>
      </c>
      <c r="S706" s="251">
        <f>Q706*10/100+Q706</f>
        <v>79860000</v>
      </c>
      <c r="T706" s="52" t="s">
        <v>2852</v>
      </c>
      <c r="U706" s="251">
        <f>S706*10/100+S706</f>
        <v>87846000</v>
      </c>
      <c r="V706" s="52"/>
      <c r="W706" s="52"/>
      <c r="X706" s="52"/>
    </row>
    <row r="707" spans="1:32" s="165" customFormat="1" ht="45">
      <c r="B707" s="48"/>
      <c r="C707" s="62"/>
      <c r="D707" s="63"/>
      <c r="E707" s="63"/>
      <c r="F707" s="64"/>
      <c r="G707" s="173" t="s">
        <v>2855</v>
      </c>
      <c r="H707" s="170" t="s">
        <v>2856</v>
      </c>
      <c r="I707" s="170" t="s">
        <v>2857</v>
      </c>
      <c r="J707" s="170" t="s">
        <v>2857</v>
      </c>
      <c r="K707" s="251">
        <v>119999890</v>
      </c>
      <c r="L707" s="170" t="s">
        <v>2857</v>
      </c>
      <c r="M707" s="190">
        <v>124999920</v>
      </c>
      <c r="N707" s="170" t="s">
        <v>2857</v>
      </c>
      <c r="O707" s="251">
        <f>M707*10/100+M707</f>
        <v>137499912</v>
      </c>
      <c r="P707" s="170" t="s">
        <v>2857</v>
      </c>
      <c r="Q707" s="251">
        <f>O707*10/100+O707</f>
        <v>151249903.19999999</v>
      </c>
      <c r="R707" s="170" t="s">
        <v>2857</v>
      </c>
      <c r="S707" s="251">
        <f>Q707*10/100+Q707</f>
        <v>166374893.51999998</v>
      </c>
      <c r="T707" s="170" t="s">
        <v>2857</v>
      </c>
      <c r="U707" s="251">
        <f>S707*10/100+S707</f>
        <v>183012382.87199998</v>
      </c>
      <c r="V707" s="52"/>
      <c r="W707" s="52"/>
      <c r="X707" s="52"/>
    </row>
    <row r="708" spans="1:32" s="165" customFormat="1" ht="90">
      <c r="B708" s="48"/>
      <c r="C708" s="62"/>
      <c r="D708" s="63"/>
      <c r="E708" s="63"/>
      <c r="F708" s="64"/>
      <c r="G708" s="412" t="s">
        <v>2858</v>
      </c>
      <c r="H708" s="170" t="s">
        <v>2859</v>
      </c>
      <c r="I708" s="170" t="s">
        <v>2859</v>
      </c>
      <c r="J708" s="170" t="s">
        <v>2859</v>
      </c>
      <c r="K708" s="251">
        <v>250000000</v>
      </c>
      <c r="L708" s="170" t="s">
        <v>2859</v>
      </c>
      <c r="M708" s="190">
        <v>265000000</v>
      </c>
      <c r="N708" s="170" t="s">
        <v>2859</v>
      </c>
      <c r="O708" s="251">
        <f>M708*10/100+M708</f>
        <v>291500000</v>
      </c>
      <c r="P708" s="170" t="s">
        <v>2859</v>
      </c>
      <c r="Q708" s="251">
        <f>O708*10/100+O708</f>
        <v>320650000</v>
      </c>
      <c r="R708" s="170" t="s">
        <v>2859</v>
      </c>
      <c r="S708" s="251">
        <f>Q708*10/100+Q708</f>
        <v>352715000</v>
      </c>
      <c r="T708" s="170" t="s">
        <v>2859</v>
      </c>
      <c r="U708" s="251">
        <f>S708*10/100+S708</f>
        <v>387986500</v>
      </c>
      <c r="V708" s="52"/>
      <c r="W708" s="52"/>
      <c r="X708" s="52"/>
    </row>
    <row r="709" spans="1:32" s="540" customFormat="1" ht="60">
      <c r="B709" s="545"/>
      <c r="C709" s="593">
        <f>'matrik MISI 5'!J74</f>
        <v>1.1200000000000001</v>
      </c>
      <c r="D709" s="594" t="str">
        <f>'matrik MISI 5'!K74</f>
        <v>xx</v>
      </c>
      <c r="E709" s="594">
        <f>'matrik MISI 5'!L74</f>
        <v>28</v>
      </c>
      <c r="F709" s="595" t="str">
        <f>'matrik MISI 5'!M74</f>
        <v>Program Pembinaan Kesejahteraan Keluarga</v>
      </c>
      <c r="G709" s="548"/>
      <c r="H709" s="550"/>
      <c r="I709" s="550"/>
      <c r="J709" s="550"/>
      <c r="K709" s="603">
        <f>SUM(K710:K711)</f>
        <v>64999000</v>
      </c>
      <c r="L709" s="603"/>
      <c r="M709" s="603">
        <f t="shared" ref="M709:U709" si="48">SUM(M710:M711)</f>
        <v>95000000</v>
      </c>
      <c r="N709" s="603"/>
      <c r="O709" s="603">
        <f t="shared" si="48"/>
        <v>111500000</v>
      </c>
      <c r="P709" s="603"/>
      <c r="Q709" s="603">
        <f t="shared" si="48"/>
        <v>131050000</v>
      </c>
      <c r="R709" s="603"/>
      <c r="S709" s="603">
        <f t="shared" si="48"/>
        <v>154235000</v>
      </c>
      <c r="T709" s="603"/>
      <c r="U709" s="603">
        <f t="shared" si="48"/>
        <v>181754500</v>
      </c>
      <c r="V709" s="550"/>
      <c r="W709" s="550"/>
      <c r="X709" s="550" t="str">
        <f>'matrik MISI 5'!X74</f>
        <v>BKBPP</v>
      </c>
    </row>
    <row r="710" spans="1:32" s="165" customFormat="1" ht="60">
      <c r="B710" s="48"/>
      <c r="C710" s="62"/>
      <c r="D710" s="63"/>
      <c r="E710" s="63"/>
      <c r="F710" s="64"/>
      <c r="G710" s="173" t="s">
        <v>2818</v>
      </c>
      <c r="H710" s="170" t="s">
        <v>2819</v>
      </c>
      <c r="I710" s="170" t="s">
        <v>2819</v>
      </c>
      <c r="J710" s="170" t="s">
        <v>2819</v>
      </c>
      <c r="K710" s="251">
        <v>44999000</v>
      </c>
      <c r="L710" s="170" t="s">
        <v>2819</v>
      </c>
      <c r="M710" s="251">
        <v>70000000</v>
      </c>
      <c r="N710" s="170" t="s">
        <v>2819</v>
      </c>
      <c r="O710" s="251">
        <f>M710*20/100+M710</f>
        <v>84000000</v>
      </c>
      <c r="P710" s="170" t="s">
        <v>2819</v>
      </c>
      <c r="Q710" s="251">
        <f>O710*20/100+O710</f>
        <v>100800000</v>
      </c>
      <c r="R710" s="170" t="s">
        <v>2819</v>
      </c>
      <c r="S710" s="251">
        <f>Q710*20/100+Q710</f>
        <v>120960000</v>
      </c>
      <c r="T710" s="170" t="s">
        <v>2819</v>
      </c>
      <c r="U710" s="251">
        <f>S710*20/100+S710</f>
        <v>145152000</v>
      </c>
      <c r="V710" s="52"/>
      <c r="W710" s="52"/>
      <c r="X710" s="52"/>
    </row>
    <row r="711" spans="1:32" s="165" customFormat="1" ht="60">
      <c r="B711" s="48"/>
      <c r="C711" s="62"/>
      <c r="D711" s="63"/>
      <c r="E711" s="63"/>
      <c r="F711" s="64"/>
      <c r="G711" s="413" t="s">
        <v>2853</v>
      </c>
      <c r="H711" s="52" t="s">
        <v>1040</v>
      </c>
      <c r="I711" s="52" t="s">
        <v>2854</v>
      </c>
      <c r="J711" s="52" t="s">
        <v>2854</v>
      </c>
      <c r="K711" s="251">
        <v>20000000</v>
      </c>
      <c r="L711" s="52" t="s">
        <v>2854</v>
      </c>
      <c r="M711" s="251">
        <v>25000000</v>
      </c>
      <c r="N711" s="52" t="s">
        <v>2854</v>
      </c>
      <c r="O711" s="251">
        <f>M711*10/100+M711</f>
        <v>27500000</v>
      </c>
      <c r="P711" s="52" t="s">
        <v>2854</v>
      </c>
      <c r="Q711" s="251">
        <f>O711*10/100+O711</f>
        <v>30250000</v>
      </c>
      <c r="R711" s="52" t="s">
        <v>2854</v>
      </c>
      <c r="S711" s="251">
        <f>Q711*10/100+Q711</f>
        <v>33275000</v>
      </c>
      <c r="T711" s="52" t="s">
        <v>2854</v>
      </c>
      <c r="U711" s="251">
        <f>S711*10/100+S711</f>
        <v>36602500</v>
      </c>
      <c r="V711" s="52"/>
      <c r="W711" s="52"/>
      <c r="X711" s="52"/>
    </row>
    <row r="712" spans="1:32" s="280" customFormat="1" ht="30" customHeight="1">
      <c r="A712" s="285"/>
      <c r="B712" s="1093" t="s">
        <v>4244</v>
      </c>
      <c r="C712" s="1094"/>
      <c r="D712" s="1094"/>
      <c r="E712" s="1094"/>
      <c r="F712" s="1094"/>
      <c r="G712" s="1095"/>
      <c r="H712" s="382"/>
      <c r="I712" s="382"/>
      <c r="J712" s="382"/>
      <c r="K712" s="315">
        <f>SUM(K688:K711)</f>
        <v>4005283580</v>
      </c>
      <c r="L712" s="315"/>
      <c r="M712" s="315">
        <f t="shared" ref="M712:U712" si="49">SUM(M688:M711)</f>
        <v>4734971160</v>
      </c>
      <c r="N712" s="315"/>
      <c r="O712" s="315">
        <f t="shared" si="49"/>
        <v>5031262244</v>
      </c>
      <c r="P712" s="315"/>
      <c r="Q712" s="315">
        <f t="shared" si="49"/>
        <v>5369592828.4000006</v>
      </c>
      <c r="R712" s="315"/>
      <c r="S712" s="315">
        <f t="shared" si="49"/>
        <v>5757127981.1599998</v>
      </c>
      <c r="T712" s="315"/>
      <c r="U712" s="315">
        <f t="shared" si="49"/>
        <v>3282997106.2379999</v>
      </c>
      <c r="V712" s="382"/>
      <c r="W712" s="382"/>
      <c r="X712" s="382"/>
      <c r="Y712" s="285"/>
      <c r="Z712" s="285"/>
      <c r="AA712" s="285"/>
      <c r="AB712" s="285"/>
      <c r="AC712" s="285"/>
      <c r="AD712" s="285"/>
      <c r="AE712" s="285"/>
      <c r="AF712" s="285"/>
    </row>
    <row r="713" spans="1:32">
      <c r="A713" s="165">
        <v>1</v>
      </c>
      <c r="B713" s="62" t="str">
        <f>'matrik MISI 2'!B6</f>
        <v>SOSIAL</v>
      </c>
      <c r="C713" s="56"/>
      <c r="D713" s="57"/>
      <c r="E713" s="57"/>
      <c r="F713" s="58"/>
      <c r="G713" s="58"/>
      <c r="H713" s="52"/>
      <c r="I713" s="52"/>
      <c r="J713" s="52"/>
      <c r="K713" s="52"/>
      <c r="L713" s="52"/>
      <c r="M713" s="52"/>
      <c r="N713" s="52"/>
      <c r="O713" s="52"/>
      <c r="P713" s="52"/>
      <c r="Q713" s="52"/>
      <c r="R713" s="52"/>
      <c r="S713" s="52"/>
      <c r="T713" s="52"/>
      <c r="U713" s="52"/>
      <c r="V713" s="52"/>
      <c r="W713" s="52"/>
      <c r="X713" s="52"/>
      <c r="Y713" s="165"/>
      <c r="Z713" s="165"/>
      <c r="AA713" s="165"/>
      <c r="AB713" s="165"/>
      <c r="AC713" s="165"/>
      <c r="AD713" s="165"/>
      <c r="AE713" s="165"/>
      <c r="AF713" s="165"/>
    </row>
    <row r="714" spans="1:32" s="540" customFormat="1" ht="165">
      <c r="B714" s="545"/>
      <c r="C714" s="591" t="str">
        <f>'matrik MISI 2'!J12</f>
        <v>1.13</v>
      </c>
      <c r="D714" s="592" t="str">
        <f>'matrik MISI 2'!K12</f>
        <v>xx</v>
      </c>
      <c r="E714" s="592">
        <f>'matrik MISI 2'!L12</f>
        <v>15</v>
      </c>
      <c r="F714" s="548" t="str">
        <f>'matrik MISI 2'!M12</f>
        <v>Program Pemberdayaan Fakir Miskin, Komunitas Adat Terpencil (KAT) dan Penyandang Masalah Kesejahteraan Sosial (PMKS) Lainnya</v>
      </c>
      <c r="G714" s="548"/>
      <c r="H714" s="550"/>
      <c r="I714" s="550"/>
      <c r="J714" s="550"/>
      <c r="K714" s="603">
        <f>SUM(K715:K722)</f>
        <v>815000000</v>
      </c>
      <c r="L714" s="603"/>
      <c r="M714" s="603">
        <f t="shared" ref="M714:W714" si="50">SUM(M715:M722)</f>
        <v>920000000</v>
      </c>
      <c r="N714" s="603"/>
      <c r="O714" s="603">
        <f t="shared" si="50"/>
        <v>1125000000</v>
      </c>
      <c r="P714" s="603"/>
      <c r="Q714" s="603">
        <f t="shared" si="50"/>
        <v>1275000000</v>
      </c>
      <c r="R714" s="603"/>
      <c r="S714" s="603">
        <f t="shared" si="50"/>
        <v>1325000000</v>
      </c>
      <c r="T714" s="603"/>
      <c r="U714" s="603">
        <f t="shared" si="50"/>
        <v>1325000000</v>
      </c>
      <c r="V714" s="603">
        <f t="shared" si="50"/>
        <v>0</v>
      </c>
      <c r="W714" s="603">
        <f t="shared" si="50"/>
        <v>0</v>
      </c>
      <c r="X714" s="550" t="str">
        <f>'matrik MISI 2'!X12</f>
        <v>Dinas Sosial</v>
      </c>
    </row>
    <row r="715" spans="1:32" s="267" customFormat="1" ht="30">
      <c r="B715" s="398"/>
      <c r="C715" s="268"/>
      <c r="D715" s="269"/>
      <c r="E715" s="269"/>
      <c r="F715" s="270"/>
      <c r="G715" s="270" t="s">
        <v>3660</v>
      </c>
      <c r="H715" s="265" t="s">
        <v>3661</v>
      </c>
      <c r="I715" s="265" t="s">
        <v>3662</v>
      </c>
      <c r="J715" s="265" t="s">
        <v>3662</v>
      </c>
      <c r="K715" s="261">
        <v>500000000</v>
      </c>
      <c r="L715" s="265" t="s">
        <v>3662</v>
      </c>
      <c r="M715" s="261">
        <v>500000000</v>
      </c>
      <c r="N715" s="265" t="s">
        <v>3662</v>
      </c>
      <c r="O715" s="261">
        <v>600000000</v>
      </c>
      <c r="P715" s="265" t="s">
        <v>3662</v>
      </c>
      <c r="Q715" s="261">
        <v>700000000</v>
      </c>
      <c r="R715" s="265" t="s">
        <v>3663</v>
      </c>
      <c r="S715" s="261">
        <v>750000000</v>
      </c>
      <c r="T715" s="265" t="s">
        <v>3663</v>
      </c>
      <c r="U715" s="261">
        <v>750000000</v>
      </c>
      <c r="V715" s="164"/>
      <c r="W715" s="164"/>
      <c r="X715" s="164"/>
    </row>
    <row r="716" spans="1:32" s="267" customFormat="1" ht="45">
      <c r="B716" s="398"/>
      <c r="C716" s="268"/>
      <c r="D716" s="269"/>
      <c r="E716" s="269"/>
      <c r="F716" s="270"/>
      <c r="G716" s="270" t="s">
        <v>3690</v>
      </c>
      <c r="H716" s="262">
        <v>60</v>
      </c>
      <c r="I716" s="262">
        <v>60</v>
      </c>
      <c r="J716" s="262">
        <v>80</v>
      </c>
      <c r="K716" s="266">
        <v>80000000</v>
      </c>
      <c r="L716" s="262">
        <v>100</v>
      </c>
      <c r="M716" s="266">
        <v>100000000</v>
      </c>
      <c r="N716" s="262">
        <v>100</v>
      </c>
      <c r="O716" s="266">
        <v>125000000</v>
      </c>
      <c r="P716" s="262">
        <v>100</v>
      </c>
      <c r="Q716" s="266">
        <v>150000000</v>
      </c>
      <c r="R716" s="262">
        <v>100</v>
      </c>
      <c r="S716" s="266">
        <v>150000000</v>
      </c>
      <c r="T716" s="262">
        <v>100</v>
      </c>
      <c r="U716" s="266">
        <v>150000000</v>
      </c>
      <c r="V716" s="164"/>
      <c r="W716" s="164"/>
      <c r="X716" s="164"/>
    </row>
    <row r="717" spans="1:32" s="267" customFormat="1" ht="45">
      <c r="B717" s="398"/>
      <c r="C717" s="268"/>
      <c r="D717" s="269"/>
      <c r="E717" s="269"/>
      <c r="F717" s="270"/>
      <c r="G717" s="270" t="s">
        <v>3690</v>
      </c>
      <c r="H717" s="262" t="s">
        <v>3691</v>
      </c>
      <c r="I717" s="262" t="s">
        <v>3685</v>
      </c>
      <c r="J717" s="262" t="s">
        <v>3692</v>
      </c>
      <c r="K717" s="266">
        <v>25000000</v>
      </c>
      <c r="L717" s="262" t="s">
        <v>3693</v>
      </c>
      <c r="M717" s="266">
        <v>35000000</v>
      </c>
      <c r="N717" s="263" t="s">
        <v>3693</v>
      </c>
      <c r="O717" s="266">
        <v>35000000</v>
      </c>
      <c r="P717" s="262" t="s">
        <v>3693</v>
      </c>
      <c r="Q717" s="266">
        <v>35000000</v>
      </c>
      <c r="R717" s="262" t="s">
        <v>3693</v>
      </c>
      <c r="S717" s="266">
        <v>35000000</v>
      </c>
      <c r="T717" s="262" t="s">
        <v>3693</v>
      </c>
      <c r="U717" s="266">
        <v>35000000</v>
      </c>
      <c r="V717" s="164"/>
      <c r="W717" s="164"/>
      <c r="X717" s="164"/>
    </row>
    <row r="718" spans="1:32" s="267" customFormat="1" ht="45">
      <c r="B718" s="398"/>
      <c r="C718" s="268"/>
      <c r="D718" s="269"/>
      <c r="E718" s="269"/>
      <c r="F718" s="270"/>
      <c r="G718" s="270" t="s">
        <v>3694</v>
      </c>
      <c r="H718" s="262">
        <v>60</v>
      </c>
      <c r="I718" s="262">
        <v>60</v>
      </c>
      <c r="J718" s="262">
        <v>80</v>
      </c>
      <c r="K718" s="266">
        <v>80000000</v>
      </c>
      <c r="L718" s="262">
        <v>100</v>
      </c>
      <c r="M718" s="266">
        <v>100000000</v>
      </c>
      <c r="N718" s="262">
        <v>100</v>
      </c>
      <c r="O718" s="266">
        <v>125000000</v>
      </c>
      <c r="P718" s="262">
        <v>100</v>
      </c>
      <c r="Q718" s="266">
        <v>150000000</v>
      </c>
      <c r="R718" s="262">
        <v>100</v>
      </c>
      <c r="S718" s="266">
        <v>150000000</v>
      </c>
      <c r="T718" s="262">
        <v>100</v>
      </c>
      <c r="U718" s="266">
        <v>150000000</v>
      </c>
      <c r="V718" s="164"/>
      <c r="W718" s="164"/>
      <c r="X718" s="164"/>
    </row>
    <row r="719" spans="1:32" s="267" customFormat="1" ht="45">
      <c r="B719" s="398"/>
      <c r="C719" s="268"/>
      <c r="D719" s="269"/>
      <c r="E719" s="269"/>
      <c r="F719" s="270"/>
      <c r="G719" s="270" t="s">
        <v>3695</v>
      </c>
      <c r="H719" s="262">
        <v>60</v>
      </c>
      <c r="I719" s="262" t="s">
        <v>3685</v>
      </c>
      <c r="J719" s="262" t="s">
        <v>3692</v>
      </c>
      <c r="K719" s="266">
        <v>30000000</v>
      </c>
      <c r="L719" s="262" t="s">
        <v>3693</v>
      </c>
      <c r="M719" s="266">
        <v>35000000</v>
      </c>
      <c r="N719" s="262" t="s">
        <v>3693</v>
      </c>
      <c r="O719" s="266">
        <v>35000000</v>
      </c>
      <c r="P719" s="262" t="s">
        <v>3693</v>
      </c>
      <c r="Q719" s="266">
        <v>35000000</v>
      </c>
      <c r="R719" s="262" t="s">
        <v>3693</v>
      </c>
      <c r="S719" s="266">
        <v>35000000</v>
      </c>
      <c r="T719" s="262" t="s">
        <v>3693</v>
      </c>
      <c r="U719" s="266">
        <v>35000000</v>
      </c>
      <c r="V719" s="164"/>
      <c r="W719" s="164"/>
      <c r="X719" s="164"/>
    </row>
    <row r="720" spans="1:32" s="267" customFormat="1" ht="30">
      <c r="B720" s="398"/>
      <c r="C720" s="268"/>
      <c r="D720" s="269"/>
      <c r="E720" s="269"/>
      <c r="F720" s="270"/>
      <c r="G720" s="270" t="s">
        <v>3696</v>
      </c>
      <c r="H720" s="262">
        <v>0</v>
      </c>
      <c r="I720" s="262">
        <v>0</v>
      </c>
      <c r="J720" s="262" t="s">
        <v>3697</v>
      </c>
      <c r="K720" s="266">
        <v>15000000</v>
      </c>
      <c r="L720" s="262" t="s">
        <v>3697</v>
      </c>
      <c r="M720" s="266">
        <v>20000000</v>
      </c>
      <c r="N720" s="262" t="s">
        <v>3698</v>
      </c>
      <c r="O720" s="266">
        <v>20000000</v>
      </c>
      <c r="P720" s="262" t="s">
        <v>3699</v>
      </c>
      <c r="Q720" s="266">
        <v>20000000</v>
      </c>
      <c r="R720" s="262" t="s">
        <v>3699</v>
      </c>
      <c r="S720" s="266">
        <v>20000000</v>
      </c>
      <c r="T720" s="262" t="s">
        <v>3699</v>
      </c>
      <c r="U720" s="266">
        <v>20000000</v>
      </c>
      <c r="V720" s="164"/>
      <c r="W720" s="164"/>
      <c r="X720" s="164"/>
    </row>
    <row r="721" spans="2:24" s="267" customFormat="1" ht="45">
      <c r="B721" s="398"/>
      <c r="C721" s="268"/>
      <c r="D721" s="269"/>
      <c r="E721" s="269"/>
      <c r="F721" s="270"/>
      <c r="G721" s="270" t="s">
        <v>3700</v>
      </c>
      <c r="H721" s="262" t="s">
        <v>3701</v>
      </c>
      <c r="I721" s="262" t="s">
        <v>3685</v>
      </c>
      <c r="J721" s="262">
        <v>60</v>
      </c>
      <c r="K721" s="266">
        <v>60000000</v>
      </c>
      <c r="L721" s="262">
        <v>100</v>
      </c>
      <c r="M721" s="266">
        <v>100000000</v>
      </c>
      <c r="N721" s="262">
        <v>100</v>
      </c>
      <c r="O721" s="266">
        <v>150000000</v>
      </c>
      <c r="P721" s="262">
        <v>100</v>
      </c>
      <c r="Q721" s="266">
        <v>150000000</v>
      </c>
      <c r="R721" s="262">
        <v>100</v>
      </c>
      <c r="S721" s="266">
        <v>150000000</v>
      </c>
      <c r="T721" s="262">
        <v>100</v>
      </c>
      <c r="U721" s="266">
        <v>150000000</v>
      </c>
      <c r="V721" s="164"/>
      <c r="W721" s="164"/>
      <c r="X721" s="164"/>
    </row>
    <row r="722" spans="2:24" s="267" customFormat="1" ht="45">
      <c r="B722" s="398"/>
      <c r="C722" s="268"/>
      <c r="D722" s="269"/>
      <c r="E722" s="269"/>
      <c r="F722" s="270"/>
      <c r="G722" s="270" t="s">
        <v>3700</v>
      </c>
      <c r="H722" s="262">
        <v>50</v>
      </c>
      <c r="I722" s="262">
        <v>60</v>
      </c>
      <c r="J722" s="262" t="s">
        <v>3685</v>
      </c>
      <c r="K722" s="266">
        <v>25000000</v>
      </c>
      <c r="L722" s="262" t="s">
        <v>3693</v>
      </c>
      <c r="M722" s="266">
        <v>30000000</v>
      </c>
      <c r="N722" s="262" t="s">
        <v>3693</v>
      </c>
      <c r="O722" s="266">
        <v>35000000</v>
      </c>
      <c r="P722" s="262" t="s">
        <v>3693</v>
      </c>
      <c r="Q722" s="266">
        <v>35000000</v>
      </c>
      <c r="R722" s="262" t="s">
        <v>3693</v>
      </c>
      <c r="S722" s="266">
        <v>35000000</v>
      </c>
      <c r="T722" s="262" t="s">
        <v>3693</v>
      </c>
      <c r="U722" s="266">
        <v>35000000</v>
      </c>
      <c r="V722" s="164"/>
      <c r="W722" s="164"/>
      <c r="X722" s="164"/>
    </row>
    <row r="723" spans="2:24" s="571" customFormat="1" ht="75">
      <c r="B723" s="607"/>
      <c r="C723" s="608" t="str">
        <f>'matrik MISI 2'!J7</f>
        <v>1.13</v>
      </c>
      <c r="D723" s="609" t="str">
        <f>'matrik MISI 2'!K7</f>
        <v>xx</v>
      </c>
      <c r="E723" s="609">
        <f>'matrik MISI 2'!L7</f>
        <v>16</v>
      </c>
      <c r="F723" s="610" t="str">
        <f>'matrik MISI 2'!M7</f>
        <v xml:space="preserve">Program Pelayanan dan Rehabilitasi Kesejahteraan Sosial                                  </v>
      </c>
      <c r="G723" s="610"/>
      <c r="H723" s="611"/>
      <c r="I723" s="611"/>
      <c r="J723" s="611"/>
      <c r="K723" s="612">
        <f>SUM(K724:K738)</f>
        <v>4579662502</v>
      </c>
      <c r="L723" s="612"/>
      <c r="M723" s="612">
        <f t="shared" ref="M723:U723" si="51">SUM(M724:M738)</f>
        <v>6282712502</v>
      </c>
      <c r="N723" s="612"/>
      <c r="O723" s="612">
        <f t="shared" si="51"/>
        <v>6454712502</v>
      </c>
      <c r="P723" s="612"/>
      <c r="Q723" s="612">
        <f t="shared" si="51"/>
        <v>6562712502</v>
      </c>
      <c r="R723" s="612"/>
      <c r="S723" s="612">
        <f t="shared" si="51"/>
        <v>6749712502</v>
      </c>
      <c r="T723" s="612"/>
      <c r="U723" s="612">
        <f t="shared" si="51"/>
        <v>6749712502</v>
      </c>
      <c r="V723" s="611"/>
      <c r="W723" s="611"/>
      <c r="X723" s="611" t="str">
        <f>'matrik MISI 2'!X7</f>
        <v>Dinas Sosial</v>
      </c>
    </row>
    <row r="724" spans="2:24" s="267" customFormat="1" ht="60">
      <c r="B724" s="398"/>
      <c r="C724" s="268"/>
      <c r="D724" s="269"/>
      <c r="E724" s="269"/>
      <c r="F724" s="270"/>
      <c r="G724" s="270" t="s">
        <v>3658</v>
      </c>
      <c r="H724" s="164">
        <v>47</v>
      </c>
      <c r="I724" s="164">
        <v>70</v>
      </c>
      <c r="J724" s="164">
        <v>80</v>
      </c>
      <c r="K724" s="258">
        <v>4000000</v>
      </c>
      <c r="L724" s="262">
        <v>80</v>
      </c>
      <c r="M724" s="266">
        <v>4000000</v>
      </c>
      <c r="N724" s="262">
        <v>100</v>
      </c>
      <c r="O724" s="266">
        <v>5000000</v>
      </c>
      <c r="P724" s="262">
        <v>100</v>
      </c>
      <c r="Q724" s="266">
        <v>5000000</v>
      </c>
      <c r="R724" s="262">
        <v>100</v>
      </c>
      <c r="S724" s="266">
        <v>5000000</v>
      </c>
      <c r="T724" s="262">
        <v>100</v>
      </c>
      <c r="U724" s="266">
        <v>5000000</v>
      </c>
      <c r="V724" s="164"/>
      <c r="W724" s="164"/>
      <c r="X724" s="164"/>
    </row>
    <row r="725" spans="2:24" s="267" customFormat="1" ht="45">
      <c r="B725" s="398"/>
      <c r="C725" s="268"/>
      <c r="D725" s="269"/>
      <c r="E725" s="269"/>
      <c r="F725" s="270"/>
      <c r="G725" s="270" t="s">
        <v>3659</v>
      </c>
      <c r="H725" s="164">
        <v>283</v>
      </c>
      <c r="I725" s="164">
        <v>283</v>
      </c>
      <c r="J725" s="220">
        <v>283</v>
      </c>
      <c r="K725" s="258">
        <v>413180000</v>
      </c>
      <c r="L725" s="220">
        <v>283</v>
      </c>
      <c r="M725" s="258">
        <v>774712500</v>
      </c>
      <c r="N725" s="220">
        <v>283</v>
      </c>
      <c r="O725" s="258">
        <v>774712500</v>
      </c>
      <c r="P725" s="220">
        <v>283</v>
      </c>
      <c r="Q725" s="258">
        <v>774712500</v>
      </c>
      <c r="R725" s="220">
        <v>283</v>
      </c>
      <c r="S725" s="258">
        <v>774712500</v>
      </c>
      <c r="T725" s="220">
        <v>283</v>
      </c>
      <c r="U725" s="258">
        <v>774712500</v>
      </c>
      <c r="V725" s="164"/>
      <c r="W725" s="164"/>
      <c r="X725" s="164"/>
    </row>
    <row r="726" spans="2:24" s="267" customFormat="1" ht="90">
      <c r="B726" s="398"/>
      <c r="C726" s="268"/>
      <c r="D726" s="269"/>
      <c r="E726" s="269"/>
      <c r="F726" s="270"/>
      <c r="G726" s="270" t="s">
        <v>3671</v>
      </c>
      <c r="H726" s="164">
        <v>10</v>
      </c>
      <c r="I726" s="164">
        <v>20</v>
      </c>
      <c r="J726" s="164">
        <v>20</v>
      </c>
      <c r="K726" s="257">
        <v>24995500</v>
      </c>
      <c r="L726" s="164">
        <v>30</v>
      </c>
      <c r="M726" s="257">
        <v>35000000</v>
      </c>
      <c r="N726" s="164">
        <v>30</v>
      </c>
      <c r="O726" s="257">
        <v>42000000</v>
      </c>
      <c r="P726" s="164">
        <v>30</v>
      </c>
      <c r="Q726" s="257">
        <v>50000000</v>
      </c>
      <c r="R726" s="164">
        <v>30</v>
      </c>
      <c r="S726" s="257">
        <v>55000000</v>
      </c>
      <c r="T726" s="164">
        <v>30</v>
      </c>
      <c r="U726" s="257">
        <v>55000000</v>
      </c>
      <c r="V726" s="164"/>
      <c r="W726" s="164"/>
      <c r="X726" s="164"/>
    </row>
    <row r="727" spans="2:24" s="267" customFormat="1" ht="75">
      <c r="B727" s="398"/>
      <c r="C727" s="268"/>
      <c r="D727" s="269"/>
      <c r="E727" s="269"/>
      <c r="F727" s="270"/>
      <c r="G727" s="270" t="s">
        <v>3672</v>
      </c>
      <c r="H727" s="164">
        <v>1</v>
      </c>
      <c r="I727" s="164">
        <v>1</v>
      </c>
      <c r="J727" s="164">
        <v>1</v>
      </c>
      <c r="K727" s="257">
        <v>39996500</v>
      </c>
      <c r="L727" s="164">
        <v>1</v>
      </c>
      <c r="M727" s="257">
        <v>40000000</v>
      </c>
      <c r="N727" s="164">
        <v>1</v>
      </c>
      <c r="O727" s="257">
        <v>50000000</v>
      </c>
      <c r="P727" s="164">
        <v>1</v>
      </c>
      <c r="Q727" s="257">
        <v>60000000</v>
      </c>
      <c r="R727" s="164">
        <v>1</v>
      </c>
      <c r="S727" s="257">
        <v>38000000</v>
      </c>
      <c r="T727" s="164">
        <v>1</v>
      </c>
      <c r="U727" s="257">
        <v>38000000</v>
      </c>
      <c r="V727" s="164"/>
      <c r="W727" s="164"/>
      <c r="X727" s="164"/>
    </row>
    <row r="728" spans="2:24" s="267" customFormat="1" ht="90">
      <c r="B728" s="398"/>
      <c r="C728" s="268"/>
      <c r="D728" s="269"/>
      <c r="E728" s="269"/>
      <c r="F728" s="270"/>
      <c r="G728" s="270" t="s">
        <v>3673</v>
      </c>
      <c r="H728" s="164">
        <v>78</v>
      </c>
      <c r="I728" s="164">
        <v>80</v>
      </c>
      <c r="J728" s="164">
        <v>80</v>
      </c>
      <c r="K728" s="257">
        <v>39998000</v>
      </c>
      <c r="L728" s="164">
        <v>80</v>
      </c>
      <c r="M728" s="257" t="s">
        <v>3674</v>
      </c>
      <c r="N728" s="164">
        <v>80</v>
      </c>
      <c r="O728" s="257">
        <v>70000000</v>
      </c>
      <c r="P728" s="164">
        <v>80</v>
      </c>
      <c r="Q728" s="257">
        <v>75000000</v>
      </c>
      <c r="R728" s="164">
        <v>80</v>
      </c>
      <c r="S728" s="257">
        <v>80000000</v>
      </c>
      <c r="T728" s="164">
        <v>80</v>
      </c>
      <c r="U728" s="257">
        <v>80000000</v>
      </c>
      <c r="V728" s="164"/>
      <c r="W728" s="164"/>
      <c r="X728" s="164"/>
    </row>
    <row r="729" spans="2:24" s="267" customFormat="1" ht="60">
      <c r="B729" s="398"/>
      <c r="C729" s="268"/>
      <c r="D729" s="269"/>
      <c r="E729" s="269"/>
      <c r="F729" s="270"/>
      <c r="G729" s="270" t="s">
        <v>3675</v>
      </c>
      <c r="H729" s="164">
        <v>15</v>
      </c>
      <c r="I729" s="164">
        <v>15</v>
      </c>
      <c r="J729" s="164">
        <v>15</v>
      </c>
      <c r="K729" s="257">
        <v>29994000</v>
      </c>
      <c r="L729" s="164">
        <v>20</v>
      </c>
      <c r="M729" s="257">
        <v>35000000</v>
      </c>
      <c r="N729" s="164">
        <v>30</v>
      </c>
      <c r="O729" s="257">
        <v>45000000</v>
      </c>
      <c r="P729" s="164">
        <v>30</v>
      </c>
      <c r="Q729" s="257">
        <v>56000000</v>
      </c>
      <c r="R729" s="164">
        <v>30</v>
      </c>
      <c r="S729" s="257">
        <v>60000000</v>
      </c>
      <c r="T729" s="164">
        <v>30</v>
      </c>
      <c r="U729" s="257">
        <v>60000000</v>
      </c>
      <c r="V729" s="164"/>
      <c r="W729" s="164"/>
      <c r="X729" s="164"/>
    </row>
    <row r="730" spans="2:24" s="267" customFormat="1" ht="45">
      <c r="B730" s="398"/>
      <c r="C730" s="268"/>
      <c r="D730" s="269"/>
      <c r="E730" s="269"/>
      <c r="F730" s="270"/>
      <c r="G730" s="270" t="s">
        <v>3676</v>
      </c>
      <c r="H730" s="164">
        <v>0</v>
      </c>
      <c r="I730" s="164">
        <v>20</v>
      </c>
      <c r="J730" s="164">
        <v>15</v>
      </c>
      <c r="K730" s="257">
        <v>12499500</v>
      </c>
      <c r="L730" s="164">
        <v>15</v>
      </c>
      <c r="M730" s="257">
        <v>20000000</v>
      </c>
      <c r="N730" s="164">
        <v>15</v>
      </c>
      <c r="O730" s="257">
        <v>20000000</v>
      </c>
      <c r="P730" s="164">
        <v>15</v>
      </c>
      <c r="Q730" s="257">
        <v>20000000</v>
      </c>
      <c r="R730" s="164">
        <v>15</v>
      </c>
      <c r="S730" s="257">
        <v>20000000</v>
      </c>
      <c r="T730" s="164">
        <v>15</v>
      </c>
      <c r="U730" s="257">
        <v>20000000</v>
      </c>
      <c r="V730" s="164"/>
      <c r="W730" s="164"/>
      <c r="X730" s="164"/>
    </row>
    <row r="731" spans="2:24" s="267" customFormat="1" ht="90">
      <c r="B731" s="398"/>
      <c r="C731" s="268"/>
      <c r="D731" s="269"/>
      <c r="E731" s="269"/>
      <c r="F731" s="270"/>
      <c r="G731" s="270" t="s">
        <v>3677</v>
      </c>
      <c r="H731" s="164">
        <v>0</v>
      </c>
      <c r="I731" s="164">
        <v>0</v>
      </c>
      <c r="J731" s="164">
        <v>50</v>
      </c>
      <c r="K731" s="257">
        <v>90000000</v>
      </c>
      <c r="L731" s="164">
        <v>80</v>
      </c>
      <c r="M731" s="257">
        <f>80*1800000</f>
        <v>144000000</v>
      </c>
      <c r="N731" s="164">
        <v>100</v>
      </c>
      <c r="O731" s="257">
        <f>100*1800000</f>
        <v>180000000</v>
      </c>
      <c r="P731" s="164">
        <v>120</v>
      </c>
      <c r="Q731" s="257">
        <f>120*1800000</f>
        <v>216000000</v>
      </c>
      <c r="R731" s="164">
        <v>150</v>
      </c>
      <c r="S731" s="257">
        <f>150*1800000</f>
        <v>270000000</v>
      </c>
      <c r="T731" s="164">
        <v>150</v>
      </c>
      <c r="U731" s="257">
        <f>150*1800000</f>
        <v>270000000</v>
      </c>
      <c r="V731" s="164"/>
      <c r="W731" s="164"/>
      <c r="X731" s="164"/>
    </row>
    <row r="732" spans="2:24" s="267" customFormat="1" ht="75">
      <c r="B732" s="398"/>
      <c r="C732" s="268"/>
      <c r="D732" s="269"/>
      <c r="E732" s="269"/>
      <c r="F732" s="270"/>
      <c r="G732" s="270" t="s">
        <v>3678</v>
      </c>
      <c r="H732" s="164">
        <v>0</v>
      </c>
      <c r="I732" s="164">
        <v>0</v>
      </c>
      <c r="J732" s="164">
        <v>50</v>
      </c>
      <c r="K732" s="257">
        <v>9999000</v>
      </c>
      <c r="L732" s="164" t="s">
        <v>2929</v>
      </c>
      <c r="M732" s="257">
        <v>15000000</v>
      </c>
      <c r="N732" s="158">
        <v>1</v>
      </c>
      <c r="O732" s="164">
        <v>18000000</v>
      </c>
      <c r="P732" s="158">
        <v>1</v>
      </c>
      <c r="Q732" s="164">
        <v>21000000</v>
      </c>
      <c r="R732" s="158">
        <v>1</v>
      </c>
      <c r="S732" s="164">
        <v>27000000</v>
      </c>
      <c r="T732" s="158">
        <v>1</v>
      </c>
      <c r="U732" s="164">
        <v>27000000</v>
      </c>
      <c r="V732" s="164"/>
      <c r="W732" s="164"/>
      <c r="X732" s="164"/>
    </row>
    <row r="733" spans="2:24" s="267" customFormat="1" ht="45">
      <c r="B733" s="398"/>
      <c r="C733" s="268"/>
      <c r="D733" s="269"/>
      <c r="E733" s="269"/>
      <c r="F733" s="270"/>
      <c r="G733" s="270" t="s">
        <v>3704</v>
      </c>
      <c r="H733" s="164">
        <v>6</v>
      </c>
      <c r="I733" s="164">
        <v>6</v>
      </c>
      <c r="J733" s="265">
        <v>1</v>
      </c>
      <c r="K733" s="266">
        <v>10000000</v>
      </c>
      <c r="L733" s="265">
        <v>1</v>
      </c>
      <c r="M733" s="266">
        <v>10000000</v>
      </c>
      <c r="N733" s="265">
        <v>1</v>
      </c>
      <c r="O733" s="266">
        <v>10000000</v>
      </c>
      <c r="P733" s="265">
        <v>1</v>
      </c>
      <c r="Q733" s="266">
        <v>10000000</v>
      </c>
      <c r="R733" s="265">
        <v>1</v>
      </c>
      <c r="S733" s="266">
        <v>10000000</v>
      </c>
      <c r="T733" s="265">
        <v>1</v>
      </c>
      <c r="U733" s="266">
        <v>10000000</v>
      </c>
      <c r="V733" s="164"/>
      <c r="W733" s="164"/>
      <c r="X733" s="164"/>
    </row>
    <row r="734" spans="2:24" s="267" customFormat="1" ht="45">
      <c r="B734" s="398"/>
      <c r="C734" s="268"/>
      <c r="D734" s="269"/>
      <c r="E734" s="269"/>
      <c r="F734" s="270"/>
      <c r="G734" s="270" t="s">
        <v>3705</v>
      </c>
      <c r="H734" s="164">
        <v>1</v>
      </c>
      <c r="I734" s="164">
        <v>1</v>
      </c>
      <c r="J734" s="164">
        <v>1</v>
      </c>
      <c r="K734" s="257">
        <v>25000000</v>
      </c>
      <c r="L734" s="164">
        <v>1</v>
      </c>
      <c r="M734" s="209">
        <v>30000000</v>
      </c>
      <c r="N734" s="164">
        <v>1</v>
      </c>
      <c r="O734" s="209">
        <v>35000000</v>
      </c>
      <c r="P734" s="164">
        <v>1</v>
      </c>
      <c r="Q734" s="209">
        <v>40000000</v>
      </c>
      <c r="R734" s="164">
        <v>1</v>
      </c>
      <c r="S734" s="209">
        <v>45000000</v>
      </c>
      <c r="T734" s="164">
        <v>1</v>
      </c>
      <c r="U734" s="209">
        <v>45000000</v>
      </c>
      <c r="V734" s="164"/>
      <c r="W734" s="164"/>
      <c r="X734" s="164"/>
    </row>
    <row r="735" spans="2:24" s="267" customFormat="1" ht="45">
      <c r="B735" s="398"/>
      <c r="C735" s="268"/>
      <c r="D735" s="269"/>
      <c r="E735" s="269"/>
      <c r="F735" s="270"/>
      <c r="G735" s="270" t="s">
        <v>3706</v>
      </c>
      <c r="H735" s="262">
        <v>0</v>
      </c>
      <c r="I735" s="265">
        <v>1</v>
      </c>
      <c r="J735" s="265">
        <v>1</v>
      </c>
      <c r="K735" s="159">
        <v>20000000</v>
      </c>
      <c r="L735" s="265">
        <v>1</v>
      </c>
      <c r="M735" s="159">
        <v>25000000</v>
      </c>
      <c r="N735" s="265">
        <v>1</v>
      </c>
      <c r="O735" s="159">
        <v>30000000</v>
      </c>
      <c r="P735" s="265">
        <v>1</v>
      </c>
      <c r="Q735" s="159">
        <v>35000000</v>
      </c>
      <c r="R735" s="265">
        <v>1</v>
      </c>
      <c r="S735" s="159">
        <v>40000000</v>
      </c>
      <c r="T735" s="265">
        <v>1</v>
      </c>
      <c r="U735" s="159">
        <v>40000000</v>
      </c>
      <c r="V735" s="164"/>
      <c r="W735" s="164"/>
      <c r="X735" s="164"/>
    </row>
    <row r="736" spans="2:24" s="267" customFormat="1" ht="45">
      <c r="B736" s="398"/>
      <c r="C736" s="268"/>
      <c r="D736" s="269"/>
      <c r="E736" s="269"/>
      <c r="F736" s="270"/>
      <c r="G736" s="270" t="s">
        <v>3707</v>
      </c>
      <c r="H736" s="262">
        <v>498</v>
      </c>
      <c r="I736" s="262">
        <v>500</v>
      </c>
      <c r="J736" s="262">
        <v>500</v>
      </c>
      <c r="K736" s="266">
        <v>3750000000</v>
      </c>
      <c r="L736" s="262">
        <v>500</v>
      </c>
      <c r="M736" s="266">
        <v>5000000000</v>
      </c>
      <c r="N736" s="262">
        <v>500</v>
      </c>
      <c r="O736" s="266">
        <v>5000000000</v>
      </c>
      <c r="P736" s="262">
        <v>500</v>
      </c>
      <c r="Q736" s="266">
        <v>5000000000</v>
      </c>
      <c r="R736" s="262">
        <v>500</v>
      </c>
      <c r="S736" s="266">
        <v>5000000000</v>
      </c>
      <c r="T736" s="262">
        <v>500</v>
      </c>
      <c r="U736" s="266">
        <v>5000000000</v>
      </c>
      <c r="V736" s="164"/>
      <c r="W736" s="164"/>
      <c r="X736" s="164"/>
    </row>
    <row r="737" spans="2:24" s="267" customFormat="1" ht="45">
      <c r="B737" s="398"/>
      <c r="C737" s="268"/>
      <c r="D737" s="269"/>
      <c r="E737" s="269"/>
      <c r="F737" s="270"/>
      <c r="G737" s="270" t="s">
        <v>3707</v>
      </c>
      <c r="H737" s="262" t="s">
        <v>3708</v>
      </c>
      <c r="I737" s="262" t="s">
        <v>3709</v>
      </c>
      <c r="J737" s="262" t="s">
        <v>3709</v>
      </c>
      <c r="K737" s="266">
        <v>110000000</v>
      </c>
      <c r="L737" s="262" t="s">
        <v>3709</v>
      </c>
      <c r="M737" s="266">
        <v>150000000</v>
      </c>
      <c r="N737" s="262" t="s">
        <v>3710</v>
      </c>
      <c r="O737" s="266">
        <v>175000000</v>
      </c>
      <c r="P737" s="262" t="s">
        <v>3710</v>
      </c>
      <c r="Q737" s="266">
        <v>200000000</v>
      </c>
      <c r="R737" s="262" t="s">
        <v>3709</v>
      </c>
      <c r="S737" s="266">
        <v>325000000</v>
      </c>
      <c r="T737" s="262" t="s">
        <v>3709</v>
      </c>
      <c r="U737" s="266">
        <v>325000000</v>
      </c>
      <c r="V737" s="164"/>
      <c r="W737" s="164"/>
      <c r="X737" s="164"/>
    </row>
    <row r="738" spans="2:24" s="267" customFormat="1" ht="75">
      <c r="B738" s="398"/>
      <c r="C738" s="268"/>
      <c r="D738" s="269"/>
      <c r="E738" s="269"/>
      <c r="F738" s="270"/>
      <c r="G738" s="270" t="s">
        <v>3739</v>
      </c>
      <c r="H738" s="164" t="s">
        <v>3740</v>
      </c>
      <c r="I738" s="164">
        <v>2</v>
      </c>
      <c r="J738" s="164">
        <v>2</v>
      </c>
      <c r="K738" s="164">
        <v>2</v>
      </c>
      <c r="L738" s="257">
        <v>250000000</v>
      </c>
      <c r="M738" s="164">
        <v>2</v>
      </c>
      <c r="N738" s="257">
        <v>60000000</v>
      </c>
      <c r="O738" s="164">
        <v>2</v>
      </c>
      <c r="P738" s="257">
        <v>60000000</v>
      </c>
      <c r="Q738" s="164">
        <v>2</v>
      </c>
      <c r="R738" s="257">
        <v>60000000</v>
      </c>
      <c r="S738" s="164">
        <v>2</v>
      </c>
      <c r="T738" s="257">
        <v>60000000</v>
      </c>
      <c r="U738" s="164">
        <v>2</v>
      </c>
      <c r="V738" s="164"/>
      <c r="W738" s="164"/>
      <c r="X738" s="164"/>
    </row>
    <row r="739" spans="2:24" s="571" customFormat="1" ht="45">
      <c r="B739" s="607"/>
      <c r="C739" s="608" t="str">
        <f>'matrik MISI 2'!J8</f>
        <v>1.13</v>
      </c>
      <c r="D739" s="609" t="str">
        <f>'matrik MISI 2'!K8</f>
        <v>xx</v>
      </c>
      <c r="E739" s="609">
        <f>'matrik MISI 2'!L8</f>
        <v>17</v>
      </c>
      <c r="F739" s="610" t="str">
        <f>'matrik MISI 2'!M8</f>
        <v xml:space="preserve">Program pembinaan anak terlantar                             </v>
      </c>
      <c r="G739" s="610"/>
      <c r="H739" s="611"/>
      <c r="I739" s="611"/>
      <c r="J739" s="611"/>
      <c r="K739" s="613">
        <f>SUM(K740:K745)</f>
        <v>264711000</v>
      </c>
      <c r="L739" s="613"/>
      <c r="M739" s="613">
        <f t="shared" ref="M739:U739" si="52">SUM(M740:M745)</f>
        <v>344000000</v>
      </c>
      <c r="N739" s="613"/>
      <c r="O739" s="613">
        <f t="shared" si="52"/>
        <v>372000000</v>
      </c>
      <c r="P739" s="613"/>
      <c r="Q739" s="613">
        <f t="shared" si="52"/>
        <v>414000000</v>
      </c>
      <c r="R739" s="613"/>
      <c r="S739" s="613">
        <f t="shared" si="52"/>
        <v>444000000</v>
      </c>
      <c r="T739" s="613"/>
      <c r="U739" s="613">
        <f t="shared" si="52"/>
        <v>444000000</v>
      </c>
      <c r="V739" s="611"/>
      <c r="W739" s="611"/>
      <c r="X739" s="611" t="str">
        <f>'matrik MISI 2'!X8</f>
        <v>Dinas Sosial</v>
      </c>
    </row>
    <row r="740" spans="2:24" s="267" customFormat="1" ht="45">
      <c r="B740" s="398"/>
      <c r="C740" s="268"/>
      <c r="D740" s="269"/>
      <c r="E740" s="269"/>
      <c r="F740" s="270"/>
      <c r="G740" s="270" t="s">
        <v>3664</v>
      </c>
      <c r="H740" s="164">
        <v>20</v>
      </c>
      <c r="I740" s="164">
        <v>20</v>
      </c>
      <c r="J740" s="164">
        <v>20</v>
      </c>
      <c r="K740" s="257">
        <v>30000000</v>
      </c>
      <c r="L740" s="164">
        <v>20</v>
      </c>
      <c r="M740" s="257">
        <v>33000000</v>
      </c>
      <c r="N740" s="164">
        <v>20</v>
      </c>
      <c r="O740" s="257">
        <v>36000000</v>
      </c>
      <c r="P740" s="164">
        <v>20</v>
      </c>
      <c r="Q740" s="257">
        <v>40000000</v>
      </c>
      <c r="R740" s="164">
        <v>20</v>
      </c>
      <c r="S740" s="257">
        <v>46000000</v>
      </c>
      <c r="T740" s="164">
        <v>20</v>
      </c>
      <c r="U740" s="257">
        <v>46000000</v>
      </c>
      <c r="V740" s="164"/>
      <c r="W740" s="164"/>
      <c r="X740" s="164"/>
    </row>
    <row r="741" spans="2:24" s="267" customFormat="1" ht="75">
      <c r="B741" s="398"/>
      <c r="C741" s="268"/>
      <c r="D741" s="269"/>
      <c r="E741" s="269"/>
      <c r="F741" s="270"/>
      <c r="G741" s="270" t="s">
        <v>3665</v>
      </c>
      <c r="H741" s="164" t="s">
        <v>3666</v>
      </c>
      <c r="I741" s="164">
        <v>0</v>
      </c>
      <c r="J741" s="164" t="s">
        <v>2937</v>
      </c>
      <c r="K741" s="159">
        <v>24715000</v>
      </c>
      <c r="L741" s="164" t="s">
        <v>2937</v>
      </c>
      <c r="M741" s="159">
        <v>50000000</v>
      </c>
      <c r="N741" s="164" t="s">
        <v>2937</v>
      </c>
      <c r="O741" s="159">
        <v>60000000</v>
      </c>
      <c r="P741" s="164" t="s">
        <v>2937</v>
      </c>
      <c r="Q741" s="159">
        <v>70000000</v>
      </c>
      <c r="R741" s="164" t="s">
        <v>2937</v>
      </c>
      <c r="S741" s="159">
        <v>80000000</v>
      </c>
      <c r="T741" s="164" t="s">
        <v>2937</v>
      </c>
      <c r="U741" s="159">
        <v>80000000</v>
      </c>
      <c r="V741" s="164"/>
      <c r="W741" s="164"/>
      <c r="X741" s="164"/>
    </row>
    <row r="742" spans="2:24" s="267" customFormat="1" ht="45">
      <c r="B742" s="398"/>
      <c r="C742" s="268"/>
      <c r="D742" s="269"/>
      <c r="E742" s="269"/>
      <c r="F742" s="270"/>
      <c r="G742" s="270" t="s">
        <v>3667</v>
      </c>
      <c r="H742" s="262">
        <v>6</v>
      </c>
      <c r="I742" s="262">
        <v>12</v>
      </c>
      <c r="J742" s="262">
        <v>12</v>
      </c>
      <c r="K742" s="266">
        <v>30000000</v>
      </c>
      <c r="L742" s="262">
        <v>24</v>
      </c>
      <c r="M742" s="266">
        <v>36000000</v>
      </c>
      <c r="N742" s="262">
        <v>24</v>
      </c>
      <c r="O742" s="266">
        <v>36000000</v>
      </c>
      <c r="P742" s="262">
        <v>24</v>
      </c>
      <c r="Q742" s="266">
        <v>48000000</v>
      </c>
      <c r="R742" s="262">
        <v>24</v>
      </c>
      <c r="S742" s="266">
        <v>48000000</v>
      </c>
      <c r="T742" s="262">
        <v>24</v>
      </c>
      <c r="U742" s="266">
        <v>48000000</v>
      </c>
      <c r="V742" s="164"/>
      <c r="W742" s="164"/>
      <c r="X742" s="164"/>
    </row>
    <row r="743" spans="2:24" s="267" customFormat="1" ht="90">
      <c r="B743" s="398"/>
      <c r="C743" s="268"/>
      <c r="D743" s="269"/>
      <c r="E743" s="269"/>
      <c r="F743" s="270"/>
      <c r="G743" s="270" t="s">
        <v>3668</v>
      </c>
      <c r="H743" s="164">
        <v>110</v>
      </c>
      <c r="I743" s="164">
        <v>55</v>
      </c>
      <c r="J743" s="164">
        <v>55</v>
      </c>
      <c r="K743" s="257">
        <v>64997000</v>
      </c>
      <c r="L743" s="164">
        <v>55</v>
      </c>
      <c r="M743" s="257">
        <v>65000000</v>
      </c>
      <c r="N743" s="164">
        <v>55</v>
      </c>
      <c r="O743" s="257">
        <v>69000000</v>
      </c>
      <c r="P743" s="164">
        <v>55</v>
      </c>
      <c r="Q743" s="257">
        <v>75000000</v>
      </c>
      <c r="R743" s="164">
        <v>55</v>
      </c>
      <c r="S743" s="257">
        <v>80000000</v>
      </c>
      <c r="T743" s="164">
        <v>55</v>
      </c>
      <c r="U743" s="257">
        <v>80000000</v>
      </c>
      <c r="V743" s="164"/>
      <c r="W743" s="164"/>
      <c r="X743" s="164"/>
    </row>
    <row r="744" spans="2:24" s="267" customFormat="1" ht="90">
      <c r="B744" s="398"/>
      <c r="C744" s="268"/>
      <c r="D744" s="269"/>
      <c r="E744" s="269"/>
      <c r="F744" s="270"/>
      <c r="G744" s="270" t="s">
        <v>3669</v>
      </c>
      <c r="H744" s="164">
        <v>20</v>
      </c>
      <c r="I744" s="164">
        <v>40</v>
      </c>
      <c r="J744" s="164">
        <v>56</v>
      </c>
      <c r="K744" s="257">
        <v>74999000</v>
      </c>
      <c r="L744" s="164">
        <v>60</v>
      </c>
      <c r="M744" s="257">
        <v>115000000</v>
      </c>
      <c r="N744" s="164">
        <v>60</v>
      </c>
      <c r="O744" s="257">
        <v>120000000</v>
      </c>
      <c r="P744" s="164">
        <v>60</v>
      </c>
      <c r="Q744" s="257">
        <v>125000000</v>
      </c>
      <c r="R744" s="164">
        <v>60</v>
      </c>
      <c r="S744" s="257">
        <v>130000000</v>
      </c>
      <c r="T744" s="164">
        <v>60</v>
      </c>
      <c r="U744" s="257">
        <v>130000000</v>
      </c>
      <c r="V744" s="164"/>
      <c r="W744" s="164"/>
      <c r="X744" s="164"/>
    </row>
    <row r="745" spans="2:24" s="267" customFormat="1" ht="90">
      <c r="B745" s="398"/>
      <c r="C745" s="268"/>
      <c r="D745" s="269"/>
      <c r="E745" s="269"/>
      <c r="F745" s="270"/>
      <c r="G745" s="270" t="s">
        <v>3670</v>
      </c>
      <c r="H745" s="164">
        <v>30</v>
      </c>
      <c r="I745" s="164">
        <v>39</v>
      </c>
      <c r="J745" s="164">
        <v>40</v>
      </c>
      <c r="K745" s="257">
        <v>40000000</v>
      </c>
      <c r="L745" s="164">
        <v>40</v>
      </c>
      <c r="M745" s="257">
        <v>45000000</v>
      </c>
      <c r="N745" s="164">
        <v>40</v>
      </c>
      <c r="O745" s="257">
        <v>51000000</v>
      </c>
      <c r="P745" s="164">
        <v>40</v>
      </c>
      <c r="Q745" s="257">
        <v>56000000</v>
      </c>
      <c r="R745" s="164">
        <v>40</v>
      </c>
      <c r="S745" s="257">
        <v>60000000</v>
      </c>
      <c r="T745" s="164">
        <v>40</v>
      </c>
      <c r="U745" s="257">
        <v>60000000</v>
      </c>
      <c r="V745" s="164"/>
      <c r="W745" s="164"/>
      <c r="X745" s="164"/>
    </row>
    <row r="746" spans="2:24" s="571" customFormat="1" ht="90">
      <c r="B746" s="607"/>
      <c r="C746" s="608" t="str">
        <f>'matrik MISI 2'!J10</f>
        <v>1.13</v>
      </c>
      <c r="D746" s="609" t="str">
        <f>'matrik MISI 2'!K10</f>
        <v>xx</v>
      </c>
      <c r="E746" s="609">
        <f>'matrik MISI 2'!L10</f>
        <v>18</v>
      </c>
      <c r="F746" s="610" t="str">
        <f>'matrik MISI 2'!M10</f>
        <v xml:space="preserve">Program pembinaan para penyandang cacat dan trauma                                          </v>
      </c>
      <c r="G746" s="610"/>
      <c r="H746" s="611"/>
      <c r="I746" s="611"/>
      <c r="J746" s="611"/>
      <c r="K746" s="613">
        <f>SUM(K747:K752)</f>
        <v>612641000</v>
      </c>
      <c r="L746" s="613"/>
      <c r="M746" s="613">
        <f t="shared" ref="M746:U746" si="53">SUM(M747:M752)</f>
        <v>755200000</v>
      </c>
      <c r="N746" s="613"/>
      <c r="O746" s="613">
        <f t="shared" si="53"/>
        <v>776200000</v>
      </c>
      <c r="P746" s="613"/>
      <c r="Q746" s="613">
        <f t="shared" si="53"/>
        <v>797200000</v>
      </c>
      <c r="R746" s="613"/>
      <c r="S746" s="613">
        <f t="shared" si="53"/>
        <v>818200000</v>
      </c>
      <c r="T746" s="613"/>
      <c r="U746" s="613">
        <f t="shared" si="53"/>
        <v>818200000</v>
      </c>
      <c r="V746" s="611"/>
      <c r="W746" s="611"/>
      <c r="X746" s="611" t="str">
        <f>'matrik MISI 2'!X10</f>
        <v>Dinas Sosial</v>
      </c>
    </row>
    <row r="747" spans="2:24" s="267" customFormat="1" ht="75">
      <c r="B747" s="398"/>
      <c r="C747" s="268"/>
      <c r="D747" s="269"/>
      <c r="E747" s="269"/>
      <c r="F747" s="270"/>
      <c r="G747" s="270" t="s">
        <v>3679</v>
      </c>
      <c r="H747" s="164">
        <v>20</v>
      </c>
      <c r="I747" s="164">
        <v>20</v>
      </c>
      <c r="J747" s="164">
        <v>20</v>
      </c>
      <c r="K747" s="257">
        <v>29999000</v>
      </c>
      <c r="L747" s="164" t="s">
        <v>2904</v>
      </c>
      <c r="M747" s="257">
        <v>30000000</v>
      </c>
      <c r="N747" s="164">
        <v>20</v>
      </c>
      <c r="O747" s="257">
        <v>36000000</v>
      </c>
      <c r="P747" s="164">
        <v>20</v>
      </c>
      <c r="Q747" s="257">
        <v>40000000</v>
      </c>
      <c r="R747" s="164">
        <v>20</v>
      </c>
      <c r="S747" s="257">
        <v>46000000</v>
      </c>
      <c r="T747" s="164">
        <v>20</v>
      </c>
      <c r="U747" s="257">
        <v>46000000</v>
      </c>
      <c r="V747" s="164"/>
      <c r="W747" s="164"/>
      <c r="X747" s="164"/>
    </row>
    <row r="748" spans="2:24" s="267" customFormat="1" ht="30">
      <c r="B748" s="398"/>
      <c r="C748" s="268"/>
      <c r="D748" s="269"/>
      <c r="E748" s="269"/>
      <c r="F748" s="270"/>
      <c r="G748" s="270" t="s">
        <v>3680</v>
      </c>
      <c r="H748" s="164">
        <v>0</v>
      </c>
      <c r="I748" s="164">
        <v>0</v>
      </c>
      <c r="J748" s="164">
        <v>10</v>
      </c>
      <c r="K748" s="257">
        <v>25000000</v>
      </c>
      <c r="L748" s="164" t="s">
        <v>2905</v>
      </c>
      <c r="M748" s="257">
        <v>55000000</v>
      </c>
      <c r="N748" s="164" t="s">
        <v>3681</v>
      </c>
      <c r="O748" s="257">
        <v>60000000</v>
      </c>
      <c r="P748" s="164" t="s">
        <v>3682</v>
      </c>
      <c r="Q748" s="257">
        <v>65000000</v>
      </c>
      <c r="R748" s="164" t="s">
        <v>3681</v>
      </c>
      <c r="S748" s="257">
        <v>70000000</v>
      </c>
      <c r="T748" s="164" t="s">
        <v>3681</v>
      </c>
      <c r="U748" s="257">
        <v>70000000</v>
      </c>
      <c r="V748" s="164"/>
      <c r="W748" s="164"/>
      <c r="X748" s="164"/>
    </row>
    <row r="749" spans="2:24" s="267" customFormat="1" ht="45">
      <c r="B749" s="398"/>
      <c r="C749" s="268"/>
      <c r="D749" s="269"/>
      <c r="E749" s="269"/>
      <c r="F749" s="270"/>
      <c r="G749" s="270" t="s">
        <v>3683</v>
      </c>
      <c r="H749" s="164">
        <v>8</v>
      </c>
      <c r="I749" s="164">
        <v>10</v>
      </c>
      <c r="J749" s="164">
        <v>20</v>
      </c>
      <c r="K749" s="257">
        <v>24999000</v>
      </c>
      <c r="L749" s="164" t="s">
        <v>2904</v>
      </c>
      <c r="M749" s="257">
        <v>35000000</v>
      </c>
      <c r="N749" s="164">
        <v>20</v>
      </c>
      <c r="O749" s="257">
        <v>40000000</v>
      </c>
      <c r="P749" s="164">
        <v>20</v>
      </c>
      <c r="Q749" s="257">
        <v>45000000</v>
      </c>
      <c r="R749" s="164">
        <v>20</v>
      </c>
      <c r="S749" s="257">
        <v>50000000</v>
      </c>
      <c r="T749" s="164">
        <v>20</v>
      </c>
      <c r="U749" s="257">
        <v>50000000</v>
      </c>
      <c r="V749" s="164"/>
      <c r="W749" s="164"/>
      <c r="X749" s="164"/>
    </row>
    <row r="750" spans="2:24" s="267" customFormat="1" ht="75">
      <c r="B750" s="398"/>
      <c r="C750" s="268"/>
      <c r="D750" s="269"/>
      <c r="E750" s="269"/>
      <c r="F750" s="270"/>
      <c r="G750" s="270" t="s">
        <v>3684</v>
      </c>
      <c r="H750" s="164">
        <v>0</v>
      </c>
      <c r="I750" s="164">
        <v>60</v>
      </c>
      <c r="J750" s="164">
        <v>60</v>
      </c>
      <c r="K750" s="257">
        <v>61093000</v>
      </c>
      <c r="L750" s="164" t="s">
        <v>3685</v>
      </c>
      <c r="M750" s="257">
        <v>65000000</v>
      </c>
      <c r="N750" s="164">
        <v>60</v>
      </c>
      <c r="O750" s="257">
        <v>70000000</v>
      </c>
      <c r="P750" s="164">
        <v>60</v>
      </c>
      <c r="Q750" s="257">
        <v>75000000</v>
      </c>
      <c r="R750" s="164">
        <v>60</v>
      </c>
      <c r="S750" s="257">
        <v>80000000</v>
      </c>
      <c r="T750" s="164">
        <v>60</v>
      </c>
      <c r="U750" s="257">
        <v>80000000</v>
      </c>
      <c r="V750" s="164"/>
      <c r="W750" s="164"/>
      <c r="X750" s="164"/>
    </row>
    <row r="751" spans="2:24" s="267" customFormat="1" ht="60">
      <c r="B751" s="398"/>
      <c r="C751" s="268"/>
      <c r="D751" s="269"/>
      <c r="E751" s="269"/>
      <c r="F751" s="270"/>
      <c r="G751" s="270" t="s">
        <v>3686</v>
      </c>
      <c r="H751" s="262">
        <v>0</v>
      </c>
      <c r="I751" s="262">
        <v>50</v>
      </c>
      <c r="J751" s="262">
        <v>240</v>
      </c>
      <c r="K751" s="266">
        <v>432000000</v>
      </c>
      <c r="L751" s="262">
        <v>289</v>
      </c>
      <c r="M751" s="266">
        <f>L751*1800000</f>
        <v>520200000</v>
      </c>
      <c r="N751" s="262">
        <v>289</v>
      </c>
      <c r="O751" s="266">
        <f>N751*1800000</f>
        <v>520200000</v>
      </c>
      <c r="P751" s="262">
        <v>289</v>
      </c>
      <c r="Q751" s="266">
        <f>P751*1800000</f>
        <v>520200000</v>
      </c>
      <c r="R751" s="262">
        <v>289</v>
      </c>
      <c r="S751" s="266">
        <f>R751*1800000</f>
        <v>520200000</v>
      </c>
      <c r="T751" s="262">
        <v>289</v>
      </c>
      <c r="U751" s="266">
        <f>T751*1800000</f>
        <v>520200000</v>
      </c>
      <c r="V751" s="164"/>
      <c r="W751" s="164"/>
      <c r="X751" s="164"/>
    </row>
    <row r="752" spans="2:24" s="267" customFormat="1" ht="75">
      <c r="B752" s="398"/>
      <c r="C752" s="268"/>
      <c r="D752" s="269"/>
      <c r="E752" s="269"/>
      <c r="F752" s="270"/>
      <c r="G752" s="270" t="s">
        <v>3687</v>
      </c>
      <c r="H752" s="262">
        <v>0</v>
      </c>
      <c r="I752" s="262">
        <v>50</v>
      </c>
      <c r="J752" s="262">
        <v>240</v>
      </c>
      <c r="K752" s="266">
        <v>39550000</v>
      </c>
      <c r="L752" s="262">
        <v>289</v>
      </c>
      <c r="M752" s="266">
        <v>50000000</v>
      </c>
      <c r="N752" s="263">
        <v>1</v>
      </c>
      <c r="O752" s="266">
        <v>50000000</v>
      </c>
      <c r="P752" s="263">
        <v>1</v>
      </c>
      <c r="Q752" s="266">
        <v>52000000</v>
      </c>
      <c r="R752" s="263">
        <v>1</v>
      </c>
      <c r="S752" s="266">
        <v>52000000</v>
      </c>
      <c r="T752" s="263">
        <v>1</v>
      </c>
      <c r="U752" s="266">
        <v>52000000</v>
      </c>
      <c r="V752" s="164"/>
      <c r="W752" s="164"/>
      <c r="X752" s="164"/>
    </row>
    <row r="753" spans="2:24" s="571" customFormat="1" ht="135">
      <c r="B753" s="607"/>
      <c r="C753" s="608" t="str">
        <f>'matrik MISI 2'!J11</f>
        <v>1.13</v>
      </c>
      <c r="D753" s="609" t="str">
        <f>'matrik MISI 2'!K11</f>
        <v>xx</v>
      </c>
      <c r="E753" s="609">
        <f>'matrik MISI 2'!L11</f>
        <v>20</v>
      </c>
      <c r="F753" s="610" t="str">
        <f>'matrik MISI 2'!M11</f>
        <v>Program pembinaan eks penyandang penyakit sosial (eks narapidana, PSK, narkoba dan penyakit sosial lainnya)</v>
      </c>
      <c r="G753" s="610"/>
      <c r="H753" s="611"/>
      <c r="I753" s="611"/>
      <c r="J753" s="611"/>
      <c r="K753" s="613">
        <f>SUM(K754:K755)</f>
        <v>41997000</v>
      </c>
      <c r="L753" s="613"/>
      <c r="M753" s="613">
        <f t="shared" ref="M753:U753" si="54">SUM(M754:M755)</f>
        <v>50000000</v>
      </c>
      <c r="N753" s="613"/>
      <c r="O753" s="613">
        <f t="shared" si="54"/>
        <v>57500000</v>
      </c>
      <c r="P753" s="613"/>
      <c r="Q753" s="613">
        <f t="shared" si="54"/>
        <v>62500000</v>
      </c>
      <c r="R753" s="613"/>
      <c r="S753" s="613">
        <f t="shared" si="54"/>
        <v>70000000</v>
      </c>
      <c r="T753" s="613"/>
      <c r="U753" s="613">
        <f t="shared" si="54"/>
        <v>70000000</v>
      </c>
      <c r="V753" s="611"/>
      <c r="W753" s="611"/>
      <c r="X753" s="611"/>
    </row>
    <row r="754" spans="2:24" s="267" customFormat="1" ht="45">
      <c r="B754" s="398"/>
      <c r="C754" s="268"/>
      <c r="D754" s="269"/>
      <c r="E754" s="269"/>
      <c r="F754" s="270"/>
      <c r="G754" s="270" t="s">
        <v>3688</v>
      </c>
      <c r="H754" s="164">
        <v>15</v>
      </c>
      <c r="I754" s="164">
        <v>15</v>
      </c>
      <c r="J754" s="164">
        <v>20</v>
      </c>
      <c r="K754" s="257">
        <v>24999000</v>
      </c>
      <c r="L754" s="164">
        <v>20</v>
      </c>
      <c r="M754" s="257">
        <v>30000000</v>
      </c>
      <c r="N754" s="164">
        <v>20</v>
      </c>
      <c r="O754" s="257">
        <v>32500000</v>
      </c>
      <c r="P754" s="164">
        <v>20</v>
      </c>
      <c r="Q754" s="257">
        <v>35000000</v>
      </c>
      <c r="R754" s="164">
        <v>20</v>
      </c>
      <c r="S754" s="257">
        <v>40000000</v>
      </c>
      <c r="T754" s="164">
        <v>20</v>
      </c>
      <c r="U754" s="257">
        <v>40000000</v>
      </c>
      <c r="V754" s="164"/>
      <c r="W754" s="164"/>
      <c r="X754" s="164"/>
    </row>
    <row r="755" spans="2:24" s="267" customFormat="1" ht="30">
      <c r="B755" s="398"/>
      <c r="C755" s="268"/>
      <c r="D755" s="269"/>
      <c r="E755" s="269"/>
      <c r="F755" s="270"/>
      <c r="G755" s="270" t="s">
        <v>3689</v>
      </c>
      <c r="H755" s="164">
        <v>6</v>
      </c>
      <c r="I755" s="164">
        <v>4</v>
      </c>
      <c r="J755" s="164">
        <v>4</v>
      </c>
      <c r="K755" s="257">
        <v>16998000</v>
      </c>
      <c r="L755" s="164">
        <v>4</v>
      </c>
      <c r="M755" s="257">
        <v>20000000</v>
      </c>
      <c r="N755" s="158" t="s">
        <v>3271</v>
      </c>
      <c r="O755" s="257">
        <v>25000000</v>
      </c>
      <c r="P755" s="158" t="s">
        <v>3271</v>
      </c>
      <c r="Q755" s="257">
        <v>27500000</v>
      </c>
      <c r="R755" s="158" t="s">
        <v>3271</v>
      </c>
      <c r="S755" s="257">
        <v>30000000</v>
      </c>
      <c r="T755" s="158" t="s">
        <v>3271</v>
      </c>
      <c r="U755" s="257">
        <v>30000000</v>
      </c>
      <c r="V755" s="164"/>
      <c r="W755" s="164"/>
      <c r="X755" s="164"/>
    </row>
    <row r="756" spans="2:24" s="571" customFormat="1" ht="75">
      <c r="B756" s="607"/>
      <c r="C756" s="608">
        <f>'matrik MISI 2'!J17</f>
        <v>1.1299999999999999</v>
      </c>
      <c r="D756" s="609" t="str">
        <f>'matrik MISI 2'!K17</f>
        <v>xx</v>
      </c>
      <c r="E756" s="609">
        <f>'matrik MISI 2'!L17</f>
        <v>21</v>
      </c>
      <c r="F756" s="610" t="str">
        <f>'matrik MISI 2'!M17</f>
        <v>Program Pemberdayaan Kelembagaan Kesejahteraan Sosial</v>
      </c>
      <c r="G756" s="610"/>
      <c r="H756" s="611"/>
      <c r="I756" s="611"/>
      <c r="J756" s="611"/>
      <c r="K756" s="613">
        <f>SUM(K757:K780)</f>
        <v>777825000</v>
      </c>
      <c r="L756" s="613"/>
      <c r="M756" s="613">
        <f t="shared" ref="M756:U756" si="55">SUM(M757:M780)</f>
        <v>2260000000</v>
      </c>
      <c r="N756" s="613"/>
      <c r="O756" s="613">
        <f t="shared" si="55"/>
        <v>2450500000</v>
      </c>
      <c r="P756" s="613"/>
      <c r="Q756" s="613">
        <f t="shared" si="55"/>
        <v>2562000000</v>
      </c>
      <c r="R756" s="613">
        <f t="shared" si="55"/>
        <v>496</v>
      </c>
      <c r="S756" s="613">
        <f t="shared" si="55"/>
        <v>2626000000</v>
      </c>
      <c r="T756" s="613">
        <f t="shared" si="55"/>
        <v>496</v>
      </c>
      <c r="U756" s="613">
        <f t="shared" si="55"/>
        <v>2626000000</v>
      </c>
      <c r="V756" s="611"/>
      <c r="W756" s="611"/>
      <c r="X756" s="611" t="str">
        <f>'matrik MISI 2'!X17</f>
        <v>Dinas Sosial</v>
      </c>
    </row>
    <row r="757" spans="2:24" s="267" customFormat="1" ht="30">
      <c r="B757" s="398"/>
      <c r="C757" s="268"/>
      <c r="D757" s="269"/>
      <c r="E757" s="269"/>
      <c r="F757" s="270"/>
      <c r="G757" s="270" t="s">
        <v>3711</v>
      </c>
      <c r="H757" s="164">
        <v>6</v>
      </c>
      <c r="I757" s="164">
        <v>6</v>
      </c>
      <c r="J757" s="164">
        <v>6</v>
      </c>
      <c r="K757" s="257">
        <v>21985000</v>
      </c>
      <c r="L757" s="164">
        <v>6</v>
      </c>
      <c r="M757" s="257">
        <v>25000000</v>
      </c>
      <c r="N757" s="164">
        <v>6</v>
      </c>
      <c r="O757" s="257">
        <v>28000000</v>
      </c>
      <c r="P757" s="164">
        <v>6</v>
      </c>
      <c r="Q757" s="257">
        <v>31000000</v>
      </c>
      <c r="R757" s="164">
        <v>6</v>
      </c>
      <c r="S757" s="257">
        <v>33000000</v>
      </c>
      <c r="T757" s="164">
        <v>6</v>
      </c>
      <c r="U757" s="257">
        <v>33000000</v>
      </c>
      <c r="V757" s="164"/>
      <c r="W757" s="164"/>
      <c r="X757" s="164"/>
    </row>
    <row r="758" spans="2:24" s="267" customFormat="1" ht="45">
      <c r="B758" s="398"/>
      <c r="C758" s="268"/>
      <c r="D758" s="269"/>
      <c r="E758" s="269"/>
      <c r="F758" s="270"/>
      <c r="G758" s="270" t="s">
        <v>3712</v>
      </c>
      <c r="H758" s="164">
        <v>6</v>
      </c>
      <c r="I758" s="164">
        <v>6</v>
      </c>
      <c r="J758" s="164">
        <v>6</v>
      </c>
      <c r="K758" s="257">
        <v>45000000</v>
      </c>
      <c r="L758" s="164">
        <v>6</v>
      </c>
      <c r="M758" s="257">
        <v>90000000</v>
      </c>
      <c r="N758" s="164">
        <v>6</v>
      </c>
      <c r="O758" s="257">
        <v>90000000</v>
      </c>
      <c r="P758" s="164">
        <v>6</v>
      </c>
      <c r="Q758" s="257">
        <v>90000000</v>
      </c>
      <c r="R758" s="164">
        <v>6</v>
      </c>
      <c r="S758" s="257">
        <v>90000000</v>
      </c>
      <c r="T758" s="164">
        <v>6</v>
      </c>
      <c r="U758" s="257">
        <v>90000000</v>
      </c>
      <c r="V758" s="164"/>
      <c r="W758" s="164"/>
      <c r="X758" s="164"/>
    </row>
    <row r="759" spans="2:24" s="267" customFormat="1" ht="45">
      <c r="B759" s="398"/>
      <c r="C759" s="268"/>
      <c r="D759" s="269"/>
      <c r="E759" s="269"/>
      <c r="F759" s="270"/>
      <c r="G759" s="270" t="s">
        <v>3713</v>
      </c>
      <c r="H759" s="164">
        <v>0</v>
      </c>
      <c r="I759" s="164">
        <v>0</v>
      </c>
      <c r="J759" s="164">
        <v>6</v>
      </c>
      <c r="K759" s="257">
        <v>9740000</v>
      </c>
      <c r="L759" s="164">
        <v>6</v>
      </c>
      <c r="M759" s="257">
        <v>15000000</v>
      </c>
      <c r="N759" s="164">
        <v>6</v>
      </c>
      <c r="O759" s="257">
        <v>17500000</v>
      </c>
      <c r="P759" s="164">
        <v>6</v>
      </c>
      <c r="Q759" s="257">
        <v>21000000</v>
      </c>
      <c r="R759" s="164">
        <v>6</v>
      </c>
      <c r="S759" s="257">
        <v>23000000</v>
      </c>
      <c r="T759" s="164">
        <v>6</v>
      </c>
      <c r="U759" s="257">
        <v>23000000</v>
      </c>
      <c r="V759" s="164"/>
      <c r="W759" s="164"/>
      <c r="X759" s="164"/>
    </row>
    <row r="760" spans="2:24" s="267" customFormat="1" ht="75">
      <c r="B760" s="398"/>
      <c r="C760" s="268"/>
      <c r="D760" s="269"/>
      <c r="E760" s="269"/>
      <c r="F760" s="270"/>
      <c r="G760" s="270" t="s">
        <v>813</v>
      </c>
      <c r="H760" s="158">
        <v>1</v>
      </c>
      <c r="I760" s="158">
        <v>1</v>
      </c>
      <c r="J760" s="158">
        <v>1</v>
      </c>
      <c r="K760" s="158"/>
      <c r="L760" s="158">
        <v>1</v>
      </c>
      <c r="M760" s="257"/>
      <c r="N760" s="158">
        <v>1</v>
      </c>
      <c r="O760" s="257"/>
      <c r="P760" s="158">
        <v>1</v>
      </c>
      <c r="Q760" s="257"/>
      <c r="R760" s="158">
        <v>1</v>
      </c>
      <c r="S760" s="257"/>
      <c r="T760" s="158">
        <v>1</v>
      </c>
      <c r="U760" s="257"/>
      <c r="V760" s="164"/>
      <c r="W760" s="164"/>
      <c r="X760" s="164"/>
    </row>
    <row r="761" spans="2:24" s="267" customFormat="1" ht="60">
      <c r="B761" s="398"/>
      <c r="C761" s="268"/>
      <c r="D761" s="269"/>
      <c r="E761" s="269"/>
      <c r="F761" s="270"/>
      <c r="G761" s="270" t="s">
        <v>3714</v>
      </c>
      <c r="H761" s="164">
        <v>0</v>
      </c>
      <c r="I761" s="164">
        <v>0</v>
      </c>
      <c r="J761" s="164" t="s">
        <v>3693</v>
      </c>
      <c r="K761" s="258">
        <v>25000000</v>
      </c>
      <c r="L761" s="164">
        <v>110</v>
      </c>
      <c r="M761" s="258">
        <v>30000000</v>
      </c>
      <c r="N761" s="164">
        <v>110</v>
      </c>
      <c r="O761" s="258">
        <v>35000000</v>
      </c>
      <c r="P761" s="164">
        <v>110</v>
      </c>
      <c r="Q761" s="258">
        <v>40000000</v>
      </c>
      <c r="R761" s="164">
        <v>110</v>
      </c>
      <c r="S761" s="258">
        <v>45000000</v>
      </c>
      <c r="T761" s="164">
        <v>110</v>
      </c>
      <c r="U761" s="258">
        <v>45000000</v>
      </c>
      <c r="V761" s="164"/>
      <c r="W761" s="164"/>
      <c r="X761" s="164"/>
    </row>
    <row r="762" spans="2:24" s="267" customFormat="1" ht="75">
      <c r="B762" s="398"/>
      <c r="C762" s="268"/>
      <c r="D762" s="269"/>
      <c r="E762" s="269"/>
      <c r="F762" s="270"/>
      <c r="G762" s="270" t="s">
        <v>3715</v>
      </c>
      <c r="H762" s="164">
        <v>0</v>
      </c>
      <c r="I762" s="164">
        <v>11</v>
      </c>
      <c r="J762" s="164" t="s">
        <v>3716</v>
      </c>
      <c r="K762" s="257">
        <v>25000000</v>
      </c>
      <c r="L762" s="164">
        <v>10</v>
      </c>
      <c r="M762" s="257">
        <v>28000000</v>
      </c>
      <c r="N762" s="164">
        <v>11</v>
      </c>
      <c r="O762" s="257">
        <v>31000000</v>
      </c>
      <c r="P762" s="164">
        <v>10</v>
      </c>
      <c r="Q762" s="257">
        <v>34000000</v>
      </c>
      <c r="R762" s="164">
        <v>11</v>
      </c>
      <c r="S762" s="257">
        <v>37000000</v>
      </c>
      <c r="T762" s="164">
        <v>11</v>
      </c>
      <c r="U762" s="257">
        <v>37000000</v>
      </c>
      <c r="V762" s="164"/>
      <c r="W762" s="164"/>
      <c r="X762" s="164"/>
    </row>
    <row r="763" spans="2:24" s="267" customFormat="1" ht="75">
      <c r="B763" s="398"/>
      <c r="C763" s="268"/>
      <c r="D763" s="269"/>
      <c r="E763" s="269"/>
      <c r="F763" s="270"/>
      <c r="G763" s="270" t="s">
        <v>3717</v>
      </c>
      <c r="H763" s="164">
        <v>6</v>
      </c>
      <c r="I763" s="164">
        <v>30</v>
      </c>
      <c r="J763" s="164" t="s">
        <v>3718</v>
      </c>
      <c r="K763" s="257">
        <v>150000000</v>
      </c>
      <c r="L763" s="164">
        <v>30</v>
      </c>
      <c r="M763" s="257">
        <v>300000000</v>
      </c>
      <c r="N763" s="164">
        <v>30</v>
      </c>
      <c r="O763" s="257">
        <v>300000000</v>
      </c>
      <c r="P763" s="164">
        <v>30</v>
      </c>
      <c r="Q763" s="257">
        <v>300000000</v>
      </c>
      <c r="R763" s="164">
        <v>30</v>
      </c>
      <c r="S763" s="257">
        <v>300000000</v>
      </c>
      <c r="T763" s="164">
        <v>30</v>
      </c>
      <c r="U763" s="257">
        <v>300000000</v>
      </c>
      <c r="V763" s="164"/>
      <c r="W763" s="164"/>
      <c r="X763" s="164"/>
    </row>
    <row r="764" spans="2:24" s="267" customFormat="1">
      <c r="B764" s="398"/>
      <c r="C764" s="268"/>
      <c r="D764" s="269"/>
      <c r="E764" s="269"/>
      <c r="F764" s="270"/>
      <c r="G764" s="270"/>
      <c r="H764" s="164">
        <v>9</v>
      </c>
      <c r="I764" s="164">
        <v>9</v>
      </c>
      <c r="J764" s="164" t="s">
        <v>3719</v>
      </c>
      <c r="K764" s="257">
        <v>25000000</v>
      </c>
      <c r="L764" s="164">
        <v>10</v>
      </c>
      <c r="M764" s="257">
        <v>35000000</v>
      </c>
      <c r="N764" s="164">
        <v>10</v>
      </c>
      <c r="O764" s="257">
        <v>40000000</v>
      </c>
      <c r="P764" s="164">
        <v>10</v>
      </c>
      <c r="Q764" s="257">
        <v>45000000</v>
      </c>
      <c r="R764" s="164">
        <v>10</v>
      </c>
      <c r="S764" s="257">
        <v>50000000</v>
      </c>
      <c r="T764" s="164">
        <v>10</v>
      </c>
      <c r="U764" s="257">
        <v>50000000</v>
      </c>
      <c r="V764" s="164"/>
      <c r="W764" s="164"/>
      <c r="X764" s="164"/>
    </row>
    <row r="765" spans="2:24" s="267" customFormat="1" ht="30">
      <c r="B765" s="398"/>
      <c r="C765" s="268"/>
      <c r="D765" s="269"/>
      <c r="E765" s="269"/>
      <c r="F765" s="270"/>
      <c r="G765" s="270" t="s">
        <v>3720</v>
      </c>
      <c r="H765" s="164">
        <v>1</v>
      </c>
      <c r="I765" s="164">
        <v>1</v>
      </c>
      <c r="J765" s="164" t="s">
        <v>3721</v>
      </c>
      <c r="K765" s="257">
        <v>43500000</v>
      </c>
      <c r="L765" s="164">
        <v>1</v>
      </c>
      <c r="M765" s="257">
        <v>125000000</v>
      </c>
      <c r="N765" s="164" t="s">
        <v>3721</v>
      </c>
      <c r="O765" s="257">
        <v>150000000</v>
      </c>
      <c r="P765" s="164">
        <v>1</v>
      </c>
      <c r="Q765" s="257">
        <v>175000000</v>
      </c>
      <c r="R765" s="164">
        <v>1</v>
      </c>
      <c r="S765" s="257">
        <v>200000000</v>
      </c>
      <c r="T765" s="164">
        <v>1</v>
      </c>
      <c r="U765" s="257">
        <v>200000000</v>
      </c>
      <c r="V765" s="164"/>
      <c r="W765" s="164"/>
      <c r="X765" s="164"/>
    </row>
    <row r="766" spans="2:24" s="267" customFormat="1" ht="75">
      <c r="B766" s="398"/>
      <c r="C766" s="268"/>
      <c r="D766" s="269"/>
      <c r="E766" s="269"/>
      <c r="F766" s="270"/>
      <c r="G766" s="270" t="s">
        <v>3722</v>
      </c>
      <c r="H766" s="164">
        <v>6</v>
      </c>
      <c r="I766" s="164">
        <v>6</v>
      </c>
      <c r="J766" s="164">
        <v>6</v>
      </c>
      <c r="K766" s="257">
        <v>36000000</v>
      </c>
      <c r="L766" s="164">
        <v>6</v>
      </c>
      <c r="M766" s="257">
        <v>40000000</v>
      </c>
      <c r="N766" s="164">
        <v>6</v>
      </c>
      <c r="O766" s="257">
        <v>40000000</v>
      </c>
      <c r="P766" s="164">
        <v>6</v>
      </c>
      <c r="Q766" s="257">
        <v>45000000</v>
      </c>
      <c r="R766" s="164">
        <v>6</v>
      </c>
      <c r="S766" s="257">
        <v>50000000</v>
      </c>
      <c r="T766" s="164">
        <v>6</v>
      </c>
      <c r="U766" s="257">
        <v>50000000</v>
      </c>
      <c r="V766" s="164"/>
      <c r="W766" s="164"/>
      <c r="X766" s="164"/>
    </row>
    <row r="767" spans="2:24" s="267" customFormat="1" ht="60">
      <c r="B767" s="398"/>
      <c r="C767" s="268"/>
      <c r="D767" s="269"/>
      <c r="E767" s="269"/>
      <c r="F767" s="270"/>
      <c r="G767" s="270" t="s">
        <v>3723</v>
      </c>
      <c r="H767" s="164">
        <v>0</v>
      </c>
      <c r="I767" s="164">
        <v>0</v>
      </c>
      <c r="J767" s="164">
        <v>1</v>
      </c>
      <c r="K767" s="257">
        <v>30000000</v>
      </c>
      <c r="L767" s="164">
        <v>1</v>
      </c>
      <c r="M767" s="209">
        <v>35000000</v>
      </c>
      <c r="N767" s="164">
        <v>1</v>
      </c>
      <c r="O767" s="209">
        <v>40000000</v>
      </c>
      <c r="P767" s="164">
        <v>1</v>
      </c>
      <c r="Q767" s="209">
        <v>45000000</v>
      </c>
      <c r="R767" s="164">
        <v>1</v>
      </c>
      <c r="S767" s="209">
        <v>50000000</v>
      </c>
      <c r="T767" s="164">
        <v>1</v>
      </c>
      <c r="U767" s="209">
        <v>50000000</v>
      </c>
      <c r="V767" s="164"/>
      <c r="W767" s="164"/>
      <c r="X767" s="164"/>
    </row>
    <row r="768" spans="2:24" s="267" customFormat="1" ht="75">
      <c r="B768" s="398"/>
      <c r="C768" s="268"/>
      <c r="D768" s="269"/>
      <c r="E768" s="269"/>
      <c r="F768" s="270"/>
      <c r="G768" s="270" t="s">
        <v>3724</v>
      </c>
      <c r="H768" s="164">
        <v>0</v>
      </c>
      <c r="I768" s="164">
        <v>11</v>
      </c>
      <c r="J768" s="164">
        <v>10</v>
      </c>
      <c r="K768" s="257">
        <v>20000000</v>
      </c>
      <c r="L768" s="164">
        <v>21</v>
      </c>
      <c r="M768" s="257">
        <v>105000000</v>
      </c>
      <c r="N768" s="164">
        <v>21</v>
      </c>
      <c r="O768" s="257">
        <v>105000000</v>
      </c>
      <c r="P768" s="164">
        <v>21</v>
      </c>
      <c r="Q768" s="257">
        <v>105000000</v>
      </c>
      <c r="R768" s="164">
        <v>21</v>
      </c>
      <c r="S768" s="257">
        <v>105000000</v>
      </c>
      <c r="T768" s="164">
        <v>21</v>
      </c>
      <c r="U768" s="257">
        <v>105000000</v>
      </c>
      <c r="V768" s="164"/>
      <c r="W768" s="164"/>
      <c r="X768" s="164"/>
    </row>
    <row r="769" spans="2:24" s="267" customFormat="1" ht="30">
      <c r="B769" s="398"/>
      <c r="C769" s="268"/>
      <c r="D769" s="269"/>
      <c r="E769" s="269"/>
      <c r="F769" s="270"/>
      <c r="G769" s="270" t="s">
        <v>3725</v>
      </c>
      <c r="H769" s="164">
        <v>3</v>
      </c>
      <c r="I769" s="164">
        <v>26</v>
      </c>
      <c r="J769" s="164">
        <v>30</v>
      </c>
      <c r="K769" s="257">
        <v>12000000</v>
      </c>
      <c r="L769" s="164">
        <v>30</v>
      </c>
      <c r="M769" s="257">
        <v>50000000</v>
      </c>
      <c r="N769" s="164">
        <v>30</v>
      </c>
      <c r="O769" s="257">
        <v>50000000</v>
      </c>
      <c r="P769" s="164">
        <v>30</v>
      </c>
      <c r="Q769" s="257">
        <v>50000000</v>
      </c>
      <c r="R769" s="164">
        <v>30</v>
      </c>
      <c r="S769" s="257">
        <v>50000000</v>
      </c>
      <c r="T769" s="164">
        <v>30</v>
      </c>
      <c r="U769" s="257">
        <v>50000000</v>
      </c>
      <c r="V769" s="164"/>
      <c r="W769" s="164"/>
      <c r="X769" s="164"/>
    </row>
    <row r="770" spans="2:24" s="267" customFormat="1" ht="30">
      <c r="B770" s="398"/>
      <c r="C770" s="268"/>
      <c r="D770" s="269"/>
      <c r="E770" s="269"/>
      <c r="F770" s="270"/>
      <c r="G770" s="270" t="s">
        <v>3726</v>
      </c>
      <c r="H770" s="164">
        <v>0</v>
      </c>
      <c r="I770" s="164">
        <v>11</v>
      </c>
      <c r="J770" s="164">
        <v>10</v>
      </c>
      <c r="K770" s="257">
        <v>18000000</v>
      </c>
      <c r="L770" s="164">
        <v>21</v>
      </c>
      <c r="M770" s="257">
        <v>105000000</v>
      </c>
      <c r="N770" s="164">
        <v>21</v>
      </c>
      <c r="O770" s="257">
        <v>105000000</v>
      </c>
      <c r="P770" s="164">
        <v>21</v>
      </c>
      <c r="Q770" s="257">
        <v>105000000</v>
      </c>
      <c r="R770" s="164">
        <v>21</v>
      </c>
      <c r="S770" s="257">
        <v>105000000</v>
      </c>
      <c r="T770" s="164">
        <v>21</v>
      </c>
      <c r="U770" s="257">
        <v>105000000</v>
      </c>
      <c r="V770" s="164"/>
      <c r="W770" s="164"/>
      <c r="X770" s="164"/>
    </row>
    <row r="771" spans="2:24" s="267" customFormat="1" ht="30">
      <c r="B771" s="398"/>
      <c r="C771" s="268"/>
      <c r="D771" s="269"/>
      <c r="E771" s="269"/>
      <c r="F771" s="270"/>
      <c r="G771" s="270" t="s">
        <v>3727</v>
      </c>
      <c r="H771" s="164">
        <v>8</v>
      </c>
      <c r="I771" s="164">
        <v>20</v>
      </c>
      <c r="J771" s="164">
        <v>30</v>
      </c>
      <c r="K771" s="257">
        <v>150000000</v>
      </c>
      <c r="L771" s="164">
        <v>30</v>
      </c>
      <c r="M771" s="257">
        <v>200000000</v>
      </c>
      <c r="N771" s="164">
        <v>30</v>
      </c>
      <c r="O771" s="257">
        <v>300000000</v>
      </c>
      <c r="P771" s="164">
        <v>30</v>
      </c>
      <c r="Q771" s="257">
        <v>300000000</v>
      </c>
      <c r="R771" s="164">
        <v>30</v>
      </c>
      <c r="S771" s="257">
        <v>300000000</v>
      </c>
      <c r="T771" s="164">
        <v>30</v>
      </c>
      <c r="U771" s="257">
        <v>300000000</v>
      </c>
      <c r="V771" s="164"/>
      <c r="W771" s="164"/>
      <c r="X771" s="164"/>
    </row>
    <row r="772" spans="2:24" s="267" customFormat="1" ht="30">
      <c r="B772" s="398"/>
      <c r="C772" s="268"/>
      <c r="D772" s="269"/>
      <c r="E772" s="269"/>
      <c r="F772" s="270"/>
      <c r="G772" s="270" t="s">
        <v>3727</v>
      </c>
      <c r="H772" s="164">
        <v>8</v>
      </c>
      <c r="I772" s="164">
        <v>20</v>
      </c>
      <c r="J772" s="164">
        <v>30</v>
      </c>
      <c r="K772" s="257">
        <v>12600000</v>
      </c>
      <c r="L772" s="164">
        <v>30</v>
      </c>
      <c r="M772" s="257">
        <v>20000000</v>
      </c>
      <c r="N772" s="164">
        <v>30</v>
      </c>
      <c r="O772" s="257">
        <v>30000000</v>
      </c>
      <c r="P772" s="164">
        <v>30</v>
      </c>
      <c r="Q772" s="257">
        <v>30000000</v>
      </c>
      <c r="R772" s="164">
        <v>30</v>
      </c>
      <c r="S772" s="257">
        <v>30000000</v>
      </c>
      <c r="T772" s="164">
        <v>30</v>
      </c>
      <c r="U772" s="257">
        <v>30000000</v>
      </c>
      <c r="V772" s="164"/>
      <c r="W772" s="164"/>
      <c r="X772" s="164"/>
    </row>
    <row r="773" spans="2:24" s="267" customFormat="1" ht="45">
      <c r="B773" s="398"/>
      <c r="C773" s="268"/>
      <c r="D773" s="269"/>
      <c r="E773" s="269"/>
      <c r="F773" s="270"/>
      <c r="G773" s="270" t="s">
        <v>3728</v>
      </c>
      <c r="H773" s="164">
        <v>20</v>
      </c>
      <c r="I773" s="164">
        <v>20</v>
      </c>
      <c r="J773" s="164">
        <v>20</v>
      </c>
      <c r="K773" s="257">
        <v>54000000</v>
      </c>
      <c r="L773" s="164">
        <v>20</v>
      </c>
      <c r="M773" s="257">
        <v>72000000</v>
      </c>
      <c r="N773" s="164">
        <v>20</v>
      </c>
      <c r="O773" s="257">
        <f>N773*12*350000</f>
        <v>84000000</v>
      </c>
      <c r="P773" s="164">
        <v>20</v>
      </c>
      <c r="Q773" s="257">
        <f>P773*12*400000</f>
        <v>96000000</v>
      </c>
      <c r="R773" s="164">
        <v>20</v>
      </c>
      <c r="S773" s="257">
        <f>R773*12*450000</f>
        <v>108000000</v>
      </c>
      <c r="T773" s="164">
        <v>20</v>
      </c>
      <c r="U773" s="257">
        <f>T773*12*450000</f>
        <v>108000000</v>
      </c>
      <c r="V773" s="164"/>
      <c r="W773" s="164"/>
      <c r="X773" s="164"/>
    </row>
    <row r="774" spans="2:24" s="267" customFormat="1" ht="30">
      <c r="B774" s="398"/>
      <c r="C774" s="268"/>
      <c r="D774" s="269"/>
      <c r="E774" s="269"/>
      <c r="F774" s="270"/>
      <c r="G774" s="270" t="s">
        <v>3729</v>
      </c>
      <c r="H774" s="262">
        <v>0</v>
      </c>
      <c r="I774" s="262">
        <v>0</v>
      </c>
      <c r="J774" s="262">
        <v>1</v>
      </c>
      <c r="K774" s="266">
        <v>10000000</v>
      </c>
      <c r="L774" s="262">
        <v>1</v>
      </c>
      <c r="M774" s="266"/>
      <c r="N774" s="262"/>
      <c r="O774" s="266">
        <v>10000000</v>
      </c>
      <c r="P774" s="262">
        <v>1</v>
      </c>
      <c r="Q774" s="266">
        <v>0</v>
      </c>
      <c r="R774" s="262">
        <v>1</v>
      </c>
      <c r="S774" s="266">
        <v>10000000</v>
      </c>
      <c r="T774" s="262">
        <v>1</v>
      </c>
      <c r="U774" s="266">
        <v>10000000</v>
      </c>
      <c r="V774" s="164"/>
      <c r="W774" s="164"/>
      <c r="X774" s="164"/>
    </row>
    <row r="775" spans="2:24" s="267" customFormat="1" ht="60">
      <c r="B775" s="398"/>
      <c r="C775" s="268"/>
      <c r="D775" s="269"/>
      <c r="E775" s="269"/>
      <c r="F775" s="270"/>
      <c r="G775" s="270" t="s">
        <v>3730</v>
      </c>
      <c r="H775" s="164">
        <v>3</v>
      </c>
      <c r="I775" s="164">
        <v>3</v>
      </c>
      <c r="J775" s="164">
        <v>3</v>
      </c>
      <c r="K775" s="257">
        <v>30000000</v>
      </c>
      <c r="L775" s="164">
        <v>3</v>
      </c>
      <c r="M775" s="257">
        <v>45000000</v>
      </c>
      <c r="N775" s="164">
        <v>3</v>
      </c>
      <c r="O775" s="257">
        <v>50000000</v>
      </c>
      <c r="P775" s="164">
        <v>3</v>
      </c>
      <c r="Q775" s="257">
        <v>55000000</v>
      </c>
      <c r="R775" s="164">
        <v>3</v>
      </c>
      <c r="S775" s="257">
        <v>60000000</v>
      </c>
      <c r="T775" s="164">
        <v>3</v>
      </c>
      <c r="U775" s="257">
        <v>60000000</v>
      </c>
      <c r="V775" s="164"/>
      <c r="W775" s="164"/>
      <c r="X775" s="164"/>
    </row>
    <row r="776" spans="2:24" s="267" customFormat="1" ht="30">
      <c r="B776" s="398"/>
      <c r="C776" s="268"/>
      <c r="D776" s="269"/>
      <c r="E776" s="269"/>
      <c r="F776" s="270"/>
      <c r="G776" s="270" t="s">
        <v>3731</v>
      </c>
      <c r="H776" s="164">
        <v>1</v>
      </c>
      <c r="I776" s="164">
        <v>1</v>
      </c>
      <c r="J776" s="164">
        <v>1</v>
      </c>
      <c r="K776" s="257">
        <v>30000000</v>
      </c>
      <c r="L776" s="164">
        <v>1</v>
      </c>
      <c r="M776" s="209">
        <v>75000000</v>
      </c>
      <c r="N776" s="164">
        <v>1</v>
      </c>
      <c r="O776" s="209">
        <v>80000000</v>
      </c>
      <c r="P776" s="164">
        <v>1</v>
      </c>
      <c r="Q776" s="209">
        <v>85000000</v>
      </c>
      <c r="R776" s="164">
        <v>1</v>
      </c>
      <c r="S776" s="209">
        <v>90000000</v>
      </c>
      <c r="T776" s="164">
        <v>1</v>
      </c>
      <c r="U776" s="209">
        <v>90000000</v>
      </c>
      <c r="V776" s="164"/>
      <c r="W776" s="164"/>
      <c r="X776" s="164"/>
    </row>
    <row r="777" spans="2:24" s="267" customFormat="1" ht="30">
      <c r="B777" s="398"/>
      <c r="C777" s="268"/>
      <c r="D777" s="269"/>
      <c r="E777" s="269"/>
      <c r="F777" s="270"/>
      <c r="G777" s="270" t="s">
        <v>3732</v>
      </c>
      <c r="H777" s="164">
        <v>0</v>
      </c>
      <c r="I777" s="164">
        <v>0</v>
      </c>
      <c r="J777" s="164">
        <v>1</v>
      </c>
      <c r="K777" s="257">
        <v>30000000</v>
      </c>
      <c r="L777" s="164">
        <v>1</v>
      </c>
      <c r="M777" s="164">
        <v>30000000</v>
      </c>
      <c r="N777" s="164">
        <v>1</v>
      </c>
      <c r="O777" s="164">
        <v>30000000</v>
      </c>
      <c r="P777" s="164">
        <v>1</v>
      </c>
      <c r="Q777" s="164">
        <v>30000000</v>
      </c>
      <c r="R777" s="164"/>
      <c r="S777" s="164"/>
      <c r="T777" s="164"/>
      <c r="U777" s="164"/>
      <c r="V777" s="164"/>
      <c r="W777" s="164"/>
      <c r="X777" s="164"/>
    </row>
    <row r="778" spans="2:24" s="267" customFormat="1" ht="30">
      <c r="B778" s="398"/>
      <c r="C778" s="268"/>
      <c r="D778" s="269"/>
      <c r="E778" s="269"/>
      <c r="F778" s="270"/>
      <c r="G778" s="270" t="s">
        <v>3733</v>
      </c>
      <c r="H778" s="164">
        <v>0</v>
      </c>
      <c r="I778" s="164">
        <v>0</v>
      </c>
      <c r="J778" s="164">
        <v>0</v>
      </c>
      <c r="K778" s="215">
        <v>0</v>
      </c>
      <c r="L778" s="164">
        <v>70</v>
      </c>
      <c r="M778" s="257">
        <v>700000000</v>
      </c>
      <c r="N778" s="164">
        <v>70</v>
      </c>
      <c r="O778" s="257">
        <v>700000000</v>
      </c>
      <c r="P778" s="164">
        <v>74</v>
      </c>
      <c r="Q778" s="257">
        <v>740000000</v>
      </c>
      <c r="R778" s="164">
        <v>75</v>
      </c>
      <c r="S778" s="257">
        <v>750000000</v>
      </c>
      <c r="T778" s="164">
        <v>75</v>
      </c>
      <c r="U778" s="257">
        <v>750000000</v>
      </c>
      <c r="V778" s="164"/>
      <c r="W778" s="164"/>
      <c r="X778" s="164"/>
    </row>
    <row r="779" spans="2:24" s="267" customFormat="1" ht="30">
      <c r="B779" s="398"/>
      <c r="C779" s="268"/>
      <c r="D779" s="269"/>
      <c r="E779" s="269"/>
      <c r="F779" s="270"/>
      <c r="G779" s="270" t="s">
        <v>3734</v>
      </c>
      <c r="H779" s="164">
        <v>0</v>
      </c>
      <c r="I779" s="164">
        <v>0</v>
      </c>
      <c r="J779" s="164">
        <v>0</v>
      </c>
      <c r="K779" s="215">
        <v>0</v>
      </c>
      <c r="L779" s="164">
        <v>70</v>
      </c>
      <c r="M779" s="257">
        <v>35000000</v>
      </c>
      <c r="N779" s="164">
        <v>70</v>
      </c>
      <c r="O779" s="257">
        <v>35000000</v>
      </c>
      <c r="P779" s="164">
        <v>74</v>
      </c>
      <c r="Q779" s="257">
        <v>40000000</v>
      </c>
      <c r="R779" s="164">
        <v>75</v>
      </c>
      <c r="S779" s="257">
        <v>40000000</v>
      </c>
      <c r="T779" s="164">
        <v>75</v>
      </c>
      <c r="U779" s="257">
        <v>40000000</v>
      </c>
      <c r="V779" s="164"/>
      <c r="W779" s="164"/>
      <c r="X779" s="164"/>
    </row>
    <row r="780" spans="2:24" s="267" customFormat="1" ht="60">
      <c r="B780" s="398"/>
      <c r="C780" s="268"/>
      <c r="D780" s="269"/>
      <c r="E780" s="269"/>
      <c r="F780" s="270"/>
      <c r="G780" s="270" t="s">
        <v>3735</v>
      </c>
      <c r="H780" s="164">
        <v>0</v>
      </c>
      <c r="I780" s="164">
        <v>0</v>
      </c>
      <c r="J780" s="164">
        <v>0</v>
      </c>
      <c r="K780" s="164">
        <v>0</v>
      </c>
      <c r="L780" s="164">
        <v>1</v>
      </c>
      <c r="M780" s="266">
        <v>100000000</v>
      </c>
      <c r="N780" s="164">
        <v>1</v>
      </c>
      <c r="O780" s="266">
        <v>100000000</v>
      </c>
      <c r="P780" s="164">
        <v>1</v>
      </c>
      <c r="Q780" s="266">
        <v>100000000</v>
      </c>
      <c r="R780" s="266">
        <v>1</v>
      </c>
      <c r="S780" s="266">
        <v>100000000</v>
      </c>
      <c r="T780" s="266">
        <v>1</v>
      </c>
      <c r="U780" s="266">
        <v>100000000</v>
      </c>
      <c r="V780" s="164"/>
      <c r="W780" s="164"/>
      <c r="X780" s="164"/>
    </row>
    <row r="781" spans="2:24" s="571" customFormat="1" ht="45">
      <c r="B781" s="607"/>
      <c r="C781" s="608">
        <f>'matrik MISI 2'!J22</f>
        <v>1.1299999999999999</v>
      </c>
      <c r="D781" s="609" t="str">
        <f>'matrik MISI 2'!K22</f>
        <v>xx</v>
      </c>
      <c r="E781" s="609">
        <f>'matrik MISI 2'!L22</f>
        <v>24</v>
      </c>
      <c r="F781" s="610" t="str">
        <f>'matrik MISI 2'!M22</f>
        <v>Program Pemberdayaan Fakir Miskin</v>
      </c>
      <c r="G781" s="610"/>
      <c r="H781" s="611"/>
      <c r="I781" s="611"/>
      <c r="J781" s="611"/>
      <c r="K781" s="612">
        <f>SUM(K782:K783)</f>
        <v>30000000</v>
      </c>
      <c r="L781" s="612"/>
      <c r="M781" s="612">
        <f t="shared" ref="M781:U781" si="56">SUM(M782:M783)</f>
        <v>35000000</v>
      </c>
      <c r="N781" s="612"/>
      <c r="O781" s="612">
        <f t="shared" si="56"/>
        <v>45000000</v>
      </c>
      <c r="P781" s="612"/>
      <c r="Q781" s="612">
        <f t="shared" si="56"/>
        <v>45000000</v>
      </c>
      <c r="R781" s="612"/>
      <c r="S781" s="612">
        <f t="shared" si="56"/>
        <v>45000000</v>
      </c>
      <c r="T781" s="612"/>
      <c r="U781" s="612">
        <f t="shared" si="56"/>
        <v>45000000</v>
      </c>
      <c r="V781" s="611"/>
      <c r="W781" s="611"/>
      <c r="X781" s="611">
        <f>'matrik MISI 2'!X22</f>
        <v>0</v>
      </c>
    </row>
    <row r="782" spans="2:24" s="267" customFormat="1" ht="45">
      <c r="B782" s="398"/>
      <c r="C782" s="268"/>
      <c r="D782" s="269"/>
      <c r="E782" s="269"/>
      <c r="F782" s="270"/>
      <c r="G782" s="270" t="s">
        <v>3702</v>
      </c>
      <c r="H782" s="262">
        <v>0</v>
      </c>
      <c r="I782" s="262">
        <v>20</v>
      </c>
      <c r="J782" s="262">
        <v>20</v>
      </c>
      <c r="K782" s="266">
        <v>20000000</v>
      </c>
      <c r="L782" s="262">
        <v>20</v>
      </c>
      <c r="M782" s="266">
        <v>20000000</v>
      </c>
      <c r="N782" s="262">
        <v>20</v>
      </c>
      <c r="O782" s="266">
        <v>30000000</v>
      </c>
      <c r="P782" s="262">
        <v>20</v>
      </c>
      <c r="Q782" s="266">
        <v>30000000</v>
      </c>
      <c r="R782" s="262">
        <v>20</v>
      </c>
      <c r="S782" s="266">
        <v>30000000</v>
      </c>
      <c r="T782" s="262">
        <v>20</v>
      </c>
      <c r="U782" s="266">
        <v>30000000</v>
      </c>
      <c r="V782" s="164"/>
      <c r="W782" s="164"/>
      <c r="X782" s="164"/>
    </row>
    <row r="783" spans="2:24" s="267" customFormat="1" ht="45">
      <c r="B783" s="398"/>
      <c r="C783" s="268"/>
      <c r="D783" s="269"/>
      <c r="E783" s="269"/>
      <c r="F783" s="270"/>
      <c r="G783" s="270" t="s">
        <v>3702</v>
      </c>
      <c r="H783" s="164">
        <v>0</v>
      </c>
      <c r="I783" s="164" t="s">
        <v>2904</v>
      </c>
      <c r="J783" s="164" t="s">
        <v>3703</v>
      </c>
      <c r="K783" s="258">
        <v>10000000</v>
      </c>
      <c r="L783" s="164" t="s">
        <v>3703</v>
      </c>
      <c r="M783" s="258">
        <v>15000000</v>
      </c>
      <c r="N783" s="164" t="s">
        <v>3703</v>
      </c>
      <c r="O783" s="258">
        <v>15000000</v>
      </c>
      <c r="P783" s="164" t="s">
        <v>3703</v>
      </c>
      <c r="Q783" s="258">
        <v>15000000</v>
      </c>
      <c r="R783" s="164" t="s">
        <v>3703</v>
      </c>
      <c r="S783" s="258">
        <v>15000000</v>
      </c>
      <c r="T783" s="164" t="s">
        <v>3703</v>
      </c>
      <c r="U783" s="258">
        <v>15000000</v>
      </c>
      <c r="V783" s="164"/>
      <c r="W783" s="164"/>
      <c r="X783" s="164"/>
    </row>
    <row r="784" spans="2:24" s="571" customFormat="1" ht="60">
      <c r="B784" s="607"/>
      <c r="C784" s="608">
        <f>'matrik MISI 2'!J24</f>
        <v>1.1299999999999999</v>
      </c>
      <c r="D784" s="609" t="str">
        <f>'matrik MISI 2'!K24</f>
        <v>xx</v>
      </c>
      <c r="E784" s="609">
        <f>'matrik MISI 2'!L24</f>
        <v>25</v>
      </c>
      <c r="F784" s="610" t="str">
        <f>'matrik MISI 2'!M24</f>
        <v xml:space="preserve">program pencegahan dan kesiapsiagaan </v>
      </c>
      <c r="G784" s="610"/>
      <c r="H784" s="611"/>
      <c r="I784" s="611"/>
      <c r="J784" s="611"/>
      <c r="K784" s="612">
        <f>SUM(K785:K792)</f>
        <v>223097100</v>
      </c>
      <c r="L784" s="612"/>
      <c r="M784" s="612">
        <f t="shared" ref="M784:W784" si="57">SUM(M785:M792)</f>
        <v>665000000</v>
      </c>
      <c r="N784" s="612"/>
      <c r="O784" s="612">
        <f t="shared" si="57"/>
        <v>695000000</v>
      </c>
      <c r="P784" s="612"/>
      <c r="Q784" s="612">
        <f t="shared" si="57"/>
        <v>695000000</v>
      </c>
      <c r="R784" s="612"/>
      <c r="S784" s="612">
        <f t="shared" si="57"/>
        <v>705000000</v>
      </c>
      <c r="T784" s="612"/>
      <c r="U784" s="612">
        <f t="shared" si="57"/>
        <v>705000000</v>
      </c>
      <c r="V784" s="612">
        <f t="shared" si="57"/>
        <v>0</v>
      </c>
      <c r="W784" s="612">
        <f t="shared" si="57"/>
        <v>0</v>
      </c>
      <c r="X784" s="611">
        <f>'matrik MISI 2'!X24</f>
        <v>0</v>
      </c>
    </row>
    <row r="785" spans="2:24" s="267" customFormat="1" ht="30">
      <c r="B785" s="398"/>
      <c r="C785" s="268"/>
      <c r="D785" s="269"/>
      <c r="E785" s="269"/>
      <c r="F785" s="270"/>
      <c r="G785" s="270" t="s">
        <v>3736</v>
      </c>
      <c r="H785" s="262">
        <v>0</v>
      </c>
      <c r="I785" s="262">
        <v>0</v>
      </c>
      <c r="J785" s="262">
        <v>1</v>
      </c>
      <c r="K785" s="266">
        <v>5000000</v>
      </c>
      <c r="L785" s="262">
        <v>1</v>
      </c>
      <c r="M785" s="266"/>
      <c r="N785" s="262">
        <v>1</v>
      </c>
      <c r="O785" s="266">
        <v>5000000</v>
      </c>
      <c r="P785" s="262">
        <v>1</v>
      </c>
      <c r="Q785" s="266"/>
      <c r="R785" s="262">
        <v>1</v>
      </c>
      <c r="S785" s="266">
        <v>5000000</v>
      </c>
      <c r="T785" s="262">
        <v>1</v>
      </c>
      <c r="U785" s="266">
        <v>5000000</v>
      </c>
      <c r="V785" s="164"/>
      <c r="W785" s="164"/>
      <c r="X785" s="164"/>
    </row>
    <row r="786" spans="2:24" s="267" customFormat="1" ht="45">
      <c r="B786" s="398"/>
      <c r="C786" s="268"/>
      <c r="D786" s="269"/>
      <c r="E786" s="269"/>
      <c r="F786" s="270"/>
      <c r="G786" s="270" t="s">
        <v>3737</v>
      </c>
      <c r="H786" s="262">
        <v>0</v>
      </c>
      <c r="I786" s="262">
        <v>50</v>
      </c>
      <c r="J786" s="262">
        <v>50</v>
      </c>
      <c r="K786" s="266">
        <v>49987600</v>
      </c>
      <c r="L786" s="262">
        <v>50</v>
      </c>
      <c r="M786" s="266">
        <v>50000000</v>
      </c>
      <c r="N786" s="262">
        <v>50</v>
      </c>
      <c r="O786" s="266">
        <v>50000000</v>
      </c>
      <c r="P786" s="262">
        <v>50</v>
      </c>
      <c r="Q786" s="266">
        <v>50000000</v>
      </c>
      <c r="R786" s="262">
        <v>50</v>
      </c>
      <c r="S786" s="266">
        <v>50000000</v>
      </c>
      <c r="T786" s="262">
        <v>50</v>
      </c>
      <c r="U786" s="266">
        <v>50000000</v>
      </c>
      <c r="V786" s="164"/>
      <c r="W786" s="164"/>
      <c r="X786" s="164"/>
    </row>
    <row r="787" spans="2:24" s="267" customFormat="1" ht="75">
      <c r="B787" s="398"/>
      <c r="C787" s="268"/>
      <c r="D787" s="269"/>
      <c r="E787" s="269"/>
      <c r="F787" s="270"/>
      <c r="G787" s="270" t="s">
        <v>3741</v>
      </c>
      <c r="H787" s="256">
        <v>0</v>
      </c>
      <c r="I787" s="164" t="s">
        <v>3742</v>
      </c>
      <c r="J787" s="271" t="s">
        <v>743</v>
      </c>
      <c r="K787" s="256">
        <v>0</v>
      </c>
      <c r="L787" s="271" t="s">
        <v>743</v>
      </c>
      <c r="M787" s="256">
        <v>0</v>
      </c>
      <c r="N787" s="271" t="s">
        <v>743</v>
      </c>
      <c r="O787" s="256">
        <v>0</v>
      </c>
      <c r="P787" s="271" t="s">
        <v>743</v>
      </c>
      <c r="Q787" s="256">
        <v>0</v>
      </c>
      <c r="R787" s="271" t="s">
        <v>743</v>
      </c>
      <c r="S787" s="256">
        <v>0</v>
      </c>
      <c r="T787" s="271" t="s">
        <v>743</v>
      </c>
      <c r="U787" s="256">
        <v>0</v>
      </c>
      <c r="V787" s="164"/>
      <c r="W787" s="164"/>
      <c r="X787" s="164"/>
    </row>
    <row r="788" spans="2:24" s="267" customFormat="1" ht="45">
      <c r="B788" s="398"/>
      <c r="C788" s="268"/>
      <c r="D788" s="269"/>
      <c r="E788" s="269"/>
      <c r="F788" s="270"/>
      <c r="G788" s="270" t="s">
        <v>3743</v>
      </c>
      <c r="H788" s="256">
        <v>0</v>
      </c>
      <c r="I788" s="196" t="s">
        <v>743</v>
      </c>
      <c r="J788" s="272" t="s">
        <v>3744</v>
      </c>
      <c r="K788" s="256">
        <v>10000000</v>
      </c>
      <c r="L788" s="272" t="s">
        <v>3745</v>
      </c>
      <c r="M788" s="256">
        <v>25000000</v>
      </c>
      <c r="N788" s="272" t="s">
        <v>3745</v>
      </c>
      <c r="O788" s="256">
        <v>25000000</v>
      </c>
      <c r="P788" s="271" t="s">
        <v>743</v>
      </c>
      <c r="Q788" s="256">
        <v>0</v>
      </c>
      <c r="R788" s="271" t="s">
        <v>743</v>
      </c>
      <c r="S788" s="256">
        <v>0</v>
      </c>
      <c r="T788" s="271" t="s">
        <v>743</v>
      </c>
      <c r="U788" s="256">
        <v>0</v>
      </c>
      <c r="V788" s="164"/>
      <c r="W788" s="164"/>
      <c r="X788" s="164"/>
    </row>
    <row r="789" spans="2:24" s="267" customFormat="1" ht="60">
      <c r="B789" s="398"/>
      <c r="C789" s="268"/>
      <c r="D789" s="269"/>
      <c r="E789" s="269"/>
      <c r="F789" s="270"/>
      <c r="G789" s="270" t="s">
        <v>3746</v>
      </c>
      <c r="H789" s="256">
        <v>0</v>
      </c>
      <c r="I789" s="164" t="s">
        <v>3747</v>
      </c>
      <c r="J789" s="271" t="s">
        <v>743</v>
      </c>
      <c r="K789" s="256">
        <v>0</v>
      </c>
      <c r="L789" s="164" t="s">
        <v>3747</v>
      </c>
      <c r="M789" s="256">
        <v>150000000</v>
      </c>
      <c r="N789" s="164" t="s">
        <v>3747</v>
      </c>
      <c r="O789" s="256">
        <v>150000000</v>
      </c>
      <c r="P789" s="164" t="s">
        <v>3747</v>
      </c>
      <c r="Q789" s="256">
        <v>150000000</v>
      </c>
      <c r="R789" s="164" t="s">
        <v>3747</v>
      </c>
      <c r="S789" s="256">
        <v>150000000</v>
      </c>
      <c r="T789" s="164" t="s">
        <v>3747</v>
      </c>
      <c r="U789" s="256">
        <v>150000000</v>
      </c>
      <c r="V789" s="164"/>
      <c r="W789" s="164"/>
      <c r="X789" s="164"/>
    </row>
    <row r="790" spans="2:24" s="267" customFormat="1" ht="45">
      <c r="B790" s="398"/>
      <c r="C790" s="268"/>
      <c r="D790" s="269"/>
      <c r="E790" s="269"/>
      <c r="F790" s="270"/>
      <c r="G790" s="270" t="s">
        <v>3748</v>
      </c>
      <c r="H790" s="256">
        <v>0</v>
      </c>
      <c r="I790" s="164" t="s">
        <v>3749</v>
      </c>
      <c r="J790" s="164" t="s">
        <v>3749</v>
      </c>
      <c r="K790" s="256">
        <v>27027500</v>
      </c>
      <c r="L790" s="164" t="s">
        <v>3750</v>
      </c>
      <c r="M790" s="256">
        <v>100000000</v>
      </c>
      <c r="N790" s="164" t="s">
        <v>3750</v>
      </c>
      <c r="O790" s="256">
        <v>100000000</v>
      </c>
      <c r="P790" s="164" t="s">
        <v>3750</v>
      </c>
      <c r="Q790" s="256">
        <v>100000000</v>
      </c>
      <c r="R790" s="164" t="s">
        <v>3750</v>
      </c>
      <c r="S790" s="256">
        <v>100000000</v>
      </c>
      <c r="T790" s="164" t="s">
        <v>3750</v>
      </c>
      <c r="U790" s="256">
        <v>100000000</v>
      </c>
      <c r="V790" s="164"/>
      <c r="W790" s="164"/>
      <c r="X790" s="164"/>
    </row>
    <row r="791" spans="2:24" s="267" customFormat="1" ht="75">
      <c r="B791" s="398"/>
      <c r="C791" s="268"/>
      <c r="D791" s="269"/>
      <c r="E791" s="269"/>
      <c r="F791" s="270"/>
      <c r="G791" s="270" t="s">
        <v>3751</v>
      </c>
      <c r="H791" s="256">
        <v>0</v>
      </c>
      <c r="I791" s="164" t="s">
        <v>3752</v>
      </c>
      <c r="J791" s="271" t="s">
        <v>743</v>
      </c>
      <c r="K791" s="256">
        <v>0</v>
      </c>
      <c r="L791" s="164" t="s">
        <v>3753</v>
      </c>
      <c r="M791" s="256">
        <v>40000000</v>
      </c>
      <c r="N791" s="164" t="s">
        <v>3753</v>
      </c>
      <c r="O791" s="256">
        <v>40000000</v>
      </c>
      <c r="P791" s="164" t="s">
        <v>3753</v>
      </c>
      <c r="Q791" s="256">
        <v>45000000</v>
      </c>
      <c r="R791" s="164" t="s">
        <v>3753</v>
      </c>
      <c r="S791" s="256">
        <v>50000000</v>
      </c>
      <c r="T791" s="164" t="s">
        <v>3753</v>
      </c>
      <c r="U791" s="256">
        <v>50000000</v>
      </c>
      <c r="V791" s="164"/>
      <c r="W791" s="164"/>
      <c r="X791" s="164"/>
    </row>
    <row r="792" spans="2:24" s="267" customFormat="1" ht="135">
      <c r="B792" s="398"/>
      <c r="C792" s="268"/>
      <c r="D792" s="269"/>
      <c r="E792" s="269"/>
      <c r="F792" s="270"/>
      <c r="G792" s="270" t="s">
        <v>3754</v>
      </c>
      <c r="H792" s="256">
        <v>53048500</v>
      </c>
      <c r="I792" s="196" t="s">
        <v>3755</v>
      </c>
      <c r="J792" s="164" t="s">
        <v>3756</v>
      </c>
      <c r="K792" s="256">
        <v>131082000</v>
      </c>
      <c r="L792" s="164" t="s">
        <v>3757</v>
      </c>
      <c r="M792" s="256">
        <v>300000000</v>
      </c>
      <c r="N792" s="164" t="s">
        <v>3758</v>
      </c>
      <c r="O792" s="256">
        <v>325000000</v>
      </c>
      <c r="P792" s="164" t="s">
        <v>3758</v>
      </c>
      <c r="Q792" s="256">
        <v>350000000</v>
      </c>
      <c r="R792" s="164" t="s">
        <v>3759</v>
      </c>
      <c r="S792" s="256">
        <v>350000000</v>
      </c>
      <c r="T792" s="164" t="s">
        <v>3759</v>
      </c>
      <c r="U792" s="256">
        <v>350000000</v>
      </c>
      <c r="V792" s="164"/>
      <c r="W792" s="164"/>
      <c r="X792" s="164"/>
    </row>
    <row r="793" spans="2:24" s="571" customFormat="1" ht="45">
      <c r="B793" s="607"/>
      <c r="C793" s="608">
        <f>'matrik MISI 2'!J25</f>
        <v>1.1299999999999999</v>
      </c>
      <c r="D793" s="609" t="str">
        <f>'matrik MISI 2'!K25</f>
        <v>xx</v>
      </c>
      <c r="E793" s="609">
        <f>'matrik MISI 2'!L25</f>
        <v>26</v>
      </c>
      <c r="F793" s="610" t="str">
        <f>'matrik MISI 2'!M25</f>
        <v>program tanggap darurat dan logistik</v>
      </c>
      <c r="G793" s="610"/>
      <c r="H793" s="611"/>
      <c r="I793" s="611"/>
      <c r="J793" s="611"/>
      <c r="K793" s="613">
        <f>SUM(K794:K797)</f>
        <v>2795821000</v>
      </c>
      <c r="L793" s="613"/>
      <c r="M793" s="613">
        <f t="shared" ref="M793:W793" si="58">SUM(M794:M797)</f>
        <v>2798795000</v>
      </c>
      <c r="N793" s="613"/>
      <c r="O793" s="613">
        <f t="shared" si="58"/>
        <v>2850000000</v>
      </c>
      <c r="P793" s="613"/>
      <c r="Q793" s="613">
        <f t="shared" si="58"/>
        <v>2850000000</v>
      </c>
      <c r="R793" s="613"/>
      <c r="S793" s="613">
        <f t="shared" si="58"/>
        <v>2850000000</v>
      </c>
      <c r="T793" s="613"/>
      <c r="U793" s="613">
        <f t="shared" si="58"/>
        <v>2850000000</v>
      </c>
      <c r="V793" s="613">
        <f t="shared" si="58"/>
        <v>0</v>
      </c>
      <c r="W793" s="613">
        <f t="shared" si="58"/>
        <v>0</v>
      </c>
      <c r="X793" s="611" t="str">
        <f>'matrik MISI 2'!X25</f>
        <v>DPU</v>
      </c>
    </row>
    <row r="794" spans="2:24" s="267" customFormat="1" ht="180">
      <c r="B794" s="398"/>
      <c r="C794" s="268"/>
      <c r="D794" s="269"/>
      <c r="E794" s="269"/>
      <c r="F794" s="270"/>
      <c r="G794" s="270" t="s">
        <v>3760</v>
      </c>
      <c r="H794" s="256">
        <v>346561600</v>
      </c>
      <c r="I794" s="164" t="s">
        <v>3761</v>
      </c>
      <c r="J794" s="164" t="s">
        <v>3762</v>
      </c>
      <c r="K794" s="256">
        <v>597026000</v>
      </c>
      <c r="L794" s="164" t="s">
        <v>3762</v>
      </c>
      <c r="M794" s="256">
        <v>600000000</v>
      </c>
      <c r="N794" s="164" t="s">
        <v>3763</v>
      </c>
      <c r="O794" s="256">
        <v>650000000</v>
      </c>
      <c r="P794" s="164" t="s">
        <v>3763</v>
      </c>
      <c r="Q794" s="256">
        <v>650000000</v>
      </c>
      <c r="R794" s="164" t="s">
        <v>3763</v>
      </c>
      <c r="S794" s="256">
        <v>650000000</v>
      </c>
      <c r="T794" s="164" t="s">
        <v>3763</v>
      </c>
      <c r="U794" s="256">
        <v>650000000</v>
      </c>
      <c r="V794" s="164"/>
      <c r="W794" s="164"/>
      <c r="X794" s="164"/>
    </row>
    <row r="795" spans="2:24" s="267" customFormat="1" ht="75">
      <c r="B795" s="398"/>
      <c r="C795" s="268"/>
      <c r="D795" s="269"/>
      <c r="E795" s="269"/>
      <c r="F795" s="270"/>
      <c r="G795" s="270" t="s">
        <v>3764</v>
      </c>
      <c r="H795" s="256">
        <v>0</v>
      </c>
      <c r="I795" s="196" t="s">
        <v>743</v>
      </c>
      <c r="J795" s="273" t="s">
        <v>3765</v>
      </c>
      <c r="K795" s="256">
        <v>198795000</v>
      </c>
      <c r="L795" s="273" t="s">
        <v>3765</v>
      </c>
      <c r="M795" s="256">
        <v>198795000</v>
      </c>
      <c r="N795" s="273" t="s">
        <v>3765</v>
      </c>
      <c r="O795" s="256">
        <v>200000000</v>
      </c>
      <c r="P795" s="273" t="s">
        <v>3765</v>
      </c>
      <c r="Q795" s="256">
        <v>200000000</v>
      </c>
      <c r="R795" s="273" t="s">
        <v>3765</v>
      </c>
      <c r="S795" s="256">
        <v>200000000</v>
      </c>
      <c r="T795" s="273" t="s">
        <v>3765</v>
      </c>
      <c r="U795" s="256">
        <v>200000000</v>
      </c>
      <c r="V795" s="164"/>
      <c r="W795" s="164"/>
      <c r="X795" s="164"/>
    </row>
    <row r="796" spans="2:24" s="267" customFormat="1" ht="45">
      <c r="B796" s="398"/>
      <c r="C796" s="268"/>
      <c r="D796" s="269"/>
      <c r="E796" s="269"/>
      <c r="F796" s="270"/>
      <c r="G796" s="270" t="s">
        <v>3766</v>
      </c>
      <c r="H796" s="256">
        <v>0</v>
      </c>
      <c r="I796" s="196" t="s">
        <v>743</v>
      </c>
      <c r="J796" s="273" t="s">
        <v>3767</v>
      </c>
      <c r="K796" s="256">
        <v>2000000000</v>
      </c>
      <c r="L796" s="256" t="s">
        <v>3767</v>
      </c>
      <c r="M796" s="256">
        <v>2000000000</v>
      </c>
      <c r="N796" s="256" t="s">
        <v>3767</v>
      </c>
      <c r="O796" s="256">
        <v>2000000000</v>
      </c>
      <c r="P796" s="256" t="s">
        <v>3767</v>
      </c>
      <c r="Q796" s="256">
        <v>2000000000</v>
      </c>
      <c r="R796" s="256" t="s">
        <v>3767</v>
      </c>
      <c r="S796" s="256">
        <v>2000000000</v>
      </c>
      <c r="T796" s="256" t="s">
        <v>3767</v>
      </c>
      <c r="U796" s="256">
        <v>2000000000</v>
      </c>
      <c r="V796" s="164"/>
      <c r="W796" s="164"/>
      <c r="X796" s="164"/>
    </row>
    <row r="797" spans="2:24" s="267" customFormat="1" ht="60">
      <c r="B797" s="398"/>
      <c r="C797" s="268"/>
      <c r="D797" s="269"/>
      <c r="E797" s="269"/>
      <c r="F797" s="270"/>
      <c r="G797" s="270" t="s">
        <v>3768</v>
      </c>
      <c r="H797" s="256">
        <v>75000000</v>
      </c>
      <c r="I797" s="196" t="s">
        <v>743</v>
      </c>
      <c r="J797" s="196" t="s">
        <v>743</v>
      </c>
      <c r="K797" s="256"/>
      <c r="L797" s="196" t="s">
        <v>743</v>
      </c>
      <c r="M797" s="256">
        <v>0</v>
      </c>
      <c r="N797" s="196" t="s">
        <v>743</v>
      </c>
      <c r="O797" s="256">
        <v>0</v>
      </c>
      <c r="P797" s="196" t="s">
        <v>743</v>
      </c>
      <c r="Q797" s="256">
        <v>0</v>
      </c>
      <c r="R797" s="196" t="s">
        <v>743</v>
      </c>
      <c r="S797" s="256">
        <v>0</v>
      </c>
      <c r="T797" s="196" t="s">
        <v>743</v>
      </c>
      <c r="U797" s="256">
        <v>0</v>
      </c>
      <c r="V797" s="164"/>
      <c r="W797" s="164"/>
      <c r="X797" s="164"/>
    </row>
    <row r="798" spans="2:24" s="571" customFormat="1" ht="60">
      <c r="B798" s="607"/>
      <c r="C798" s="608">
        <f>'matrik MISI 2'!J27</f>
        <v>1.1299999999999999</v>
      </c>
      <c r="D798" s="609" t="str">
        <f>'matrik MISI 2'!K27</f>
        <v>xx</v>
      </c>
      <c r="E798" s="609">
        <f>'matrik MISI 2'!L27</f>
        <v>27</v>
      </c>
      <c r="F798" s="610" t="str">
        <f>'matrik MISI 2'!M27</f>
        <v>program rehabilitasi dan rekonstruksi pasca bencana</v>
      </c>
      <c r="G798" s="610"/>
      <c r="H798" s="611"/>
      <c r="I798" s="611"/>
      <c r="J798" s="611"/>
      <c r="K798" s="612">
        <f>SUM(K799:K803)</f>
        <v>491367000</v>
      </c>
      <c r="L798" s="612">
        <f t="shared" ref="L798:U798" si="59">SUM(L799:L803)</f>
        <v>1</v>
      </c>
      <c r="M798" s="612">
        <f t="shared" si="59"/>
        <v>922500000</v>
      </c>
      <c r="N798" s="612">
        <f t="shared" si="59"/>
        <v>1</v>
      </c>
      <c r="O798" s="612">
        <f t="shared" si="59"/>
        <v>1025000000</v>
      </c>
      <c r="P798" s="612">
        <f t="shared" si="59"/>
        <v>1</v>
      </c>
      <c r="Q798" s="612">
        <f t="shared" si="59"/>
        <v>1125000000</v>
      </c>
      <c r="R798" s="612">
        <f t="shared" si="59"/>
        <v>1</v>
      </c>
      <c r="S798" s="612">
        <f t="shared" si="59"/>
        <v>1225000000</v>
      </c>
      <c r="T798" s="612">
        <f t="shared" si="59"/>
        <v>1</v>
      </c>
      <c r="U798" s="612">
        <f t="shared" si="59"/>
        <v>1225000000</v>
      </c>
      <c r="V798" s="611"/>
      <c r="W798" s="611"/>
      <c r="X798" s="611" t="str">
        <f>'matrik MISI 2'!X27</f>
        <v>BPBD / Dinsos</v>
      </c>
    </row>
    <row r="799" spans="2:24" s="267" customFormat="1" ht="45">
      <c r="B799" s="398"/>
      <c r="C799" s="268"/>
      <c r="D799" s="269"/>
      <c r="E799" s="269"/>
      <c r="F799" s="270"/>
      <c r="G799" s="415" t="s">
        <v>3738</v>
      </c>
      <c r="H799" s="1149">
        <v>1</v>
      </c>
      <c r="I799" s="1149">
        <v>1</v>
      </c>
      <c r="J799" s="1149">
        <v>1</v>
      </c>
      <c r="K799" s="1148">
        <v>78620000</v>
      </c>
      <c r="L799" s="1149">
        <v>1</v>
      </c>
      <c r="M799" s="1148">
        <v>100000000</v>
      </c>
      <c r="N799" s="1149">
        <v>1</v>
      </c>
      <c r="O799" s="1148">
        <v>100000000</v>
      </c>
      <c r="P799" s="1149">
        <v>1</v>
      </c>
      <c r="Q799" s="1148">
        <v>100000000</v>
      </c>
      <c r="R799" s="1149">
        <v>1</v>
      </c>
      <c r="S799" s="1148">
        <v>100000000</v>
      </c>
      <c r="T799" s="1149">
        <v>1</v>
      </c>
      <c r="U799" s="1148">
        <v>100000000</v>
      </c>
      <c r="V799" s="164"/>
      <c r="W799" s="164"/>
      <c r="X799" s="164"/>
    </row>
    <row r="800" spans="2:24" s="267" customFormat="1" ht="120">
      <c r="B800" s="398"/>
      <c r="C800" s="268"/>
      <c r="D800" s="269"/>
      <c r="E800" s="269"/>
      <c r="F800" s="270"/>
      <c r="G800" s="270" t="s">
        <v>836</v>
      </c>
      <c r="H800" s="1149"/>
      <c r="I800" s="1149"/>
      <c r="J800" s="1149"/>
      <c r="K800" s="1148"/>
      <c r="L800" s="1149"/>
      <c r="M800" s="1148"/>
      <c r="N800" s="1149"/>
      <c r="O800" s="1148"/>
      <c r="P800" s="1149"/>
      <c r="Q800" s="1148"/>
      <c r="R800" s="1149"/>
      <c r="S800" s="1148"/>
      <c r="T800" s="1149"/>
      <c r="U800" s="1148"/>
      <c r="V800" s="164"/>
      <c r="W800" s="164"/>
      <c r="X800" s="164"/>
    </row>
    <row r="801" spans="1:32" s="267" customFormat="1" ht="60">
      <c r="B801" s="398"/>
      <c r="C801" s="268"/>
      <c r="D801" s="269"/>
      <c r="E801" s="269"/>
      <c r="F801" s="270"/>
      <c r="G801" s="270" t="s">
        <v>3769</v>
      </c>
      <c r="H801" s="256">
        <v>0</v>
      </c>
      <c r="I801" s="164" t="s">
        <v>3292</v>
      </c>
      <c r="J801" s="164" t="s">
        <v>3292</v>
      </c>
      <c r="K801" s="256">
        <v>67971000</v>
      </c>
      <c r="L801" s="164" t="s">
        <v>3292</v>
      </c>
      <c r="M801" s="256">
        <v>122500000</v>
      </c>
      <c r="N801" s="164" t="s">
        <v>3292</v>
      </c>
      <c r="O801" s="256">
        <v>175000000</v>
      </c>
      <c r="P801" s="164" t="s">
        <v>3292</v>
      </c>
      <c r="Q801" s="256">
        <v>175000000</v>
      </c>
      <c r="R801" s="164" t="s">
        <v>3292</v>
      </c>
      <c r="S801" s="256">
        <v>175000000</v>
      </c>
      <c r="T801" s="164" t="s">
        <v>3292</v>
      </c>
      <c r="U801" s="256">
        <v>175000000</v>
      </c>
      <c r="V801" s="164"/>
      <c r="W801" s="164"/>
      <c r="X801" s="164"/>
    </row>
    <row r="802" spans="1:32" s="267" customFormat="1" ht="60">
      <c r="B802" s="399"/>
      <c r="C802" s="268">
        <f>'matrik MISI 2'!J28</f>
        <v>1.1299999999999999</v>
      </c>
      <c r="D802" s="269" t="str">
        <f>'matrik MISI 2'!K28</f>
        <v>xx</v>
      </c>
      <c r="E802" s="269">
        <f>'matrik MISI 2'!L28</f>
        <v>27</v>
      </c>
      <c r="F802" s="270" t="str">
        <f>'matrik MISI 2'!M28</f>
        <v>program rehabilitasi dan rekonstruksi pasca bencana</v>
      </c>
      <c r="G802" s="270"/>
      <c r="H802" s="164"/>
      <c r="I802" s="164"/>
      <c r="J802" s="164"/>
      <c r="K802" s="164"/>
      <c r="L802" s="164"/>
      <c r="M802" s="164"/>
      <c r="N802" s="164"/>
      <c r="O802" s="164"/>
      <c r="P802" s="164"/>
      <c r="Q802" s="164"/>
      <c r="R802" s="164"/>
      <c r="S802" s="164"/>
      <c r="T802" s="164"/>
      <c r="U802" s="164"/>
      <c r="V802" s="164"/>
      <c r="W802" s="164"/>
      <c r="X802" s="164" t="str">
        <f>'matrik MISI 2'!X28</f>
        <v>BPBD / DPU</v>
      </c>
    </row>
    <row r="803" spans="1:32" s="267" customFormat="1" ht="60">
      <c r="B803" s="399"/>
      <c r="C803" s="268"/>
      <c r="D803" s="269"/>
      <c r="E803" s="269"/>
      <c r="F803" s="270"/>
      <c r="G803" s="270" t="s">
        <v>3770</v>
      </c>
      <c r="H803" s="256">
        <v>62807500</v>
      </c>
      <c r="I803" s="272" t="s">
        <v>3771</v>
      </c>
      <c r="J803" s="272" t="s">
        <v>3771</v>
      </c>
      <c r="K803" s="256">
        <v>344776000</v>
      </c>
      <c r="L803" s="272" t="s">
        <v>3772</v>
      </c>
      <c r="M803" s="256">
        <v>700000000</v>
      </c>
      <c r="N803" s="272" t="s">
        <v>3772</v>
      </c>
      <c r="O803" s="256">
        <v>750000000</v>
      </c>
      <c r="P803" s="272" t="s">
        <v>3773</v>
      </c>
      <c r="Q803" s="256">
        <v>850000000</v>
      </c>
      <c r="R803" s="272" t="s">
        <v>3773</v>
      </c>
      <c r="S803" s="256">
        <v>950000000</v>
      </c>
      <c r="T803" s="272" t="s">
        <v>3773</v>
      </c>
      <c r="U803" s="256">
        <v>950000000</v>
      </c>
      <c r="V803" s="164"/>
      <c r="W803" s="164"/>
      <c r="X803" s="164"/>
    </row>
    <row r="804" spans="1:32" s="286" customFormat="1" ht="30" customHeight="1">
      <c r="A804" s="316"/>
      <c r="B804" s="1100" t="s">
        <v>4245</v>
      </c>
      <c r="C804" s="1101"/>
      <c r="D804" s="1101"/>
      <c r="E804" s="1101"/>
      <c r="F804" s="1101"/>
      <c r="G804" s="1102"/>
      <c r="H804" s="317"/>
      <c r="I804" s="318"/>
      <c r="J804" s="318"/>
      <c r="K804" s="317">
        <f>SUM(K714:K803)</f>
        <v>21264243204</v>
      </c>
      <c r="L804" s="317"/>
      <c r="M804" s="317">
        <f t="shared" ref="M804:U804" si="60">SUM(M714:M803)</f>
        <v>30066415004</v>
      </c>
      <c r="N804" s="317"/>
      <c r="O804" s="317">
        <f t="shared" si="60"/>
        <v>31701825004</v>
      </c>
      <c r="P804" s="317"/>
      <c r="Q804" s="317">
        <f t="shared" si="60"/>
        <v>32776825004</v>
      </c>
      <c r="R804" s="317"/>
      <c r="S804" s="317">
        <f t="shared" si="60"/>
        <v>33715825004</v>
      </c>
      <c r="T804" s="317"/>
      <c r="U804" s="317">
        <f t="shared" si="60"/>
        <v>33715825004</v>
      </c>
      <c r="V804" s="319"/>
      <c r="W804" s="319"/>
      <c r="X804" s="319"/>
      <c r="Y804" s="316"/>
      <c r="Z804" s="316"/>
      <c r="AA804" s="316"/>
      <c r="AB804" s="316"/>
      <c r="AC804" s="316"/>
      <c r="AD804" s="316"/>
      <c r="AE804" s="316"/>
      <c r="AF804" s="316"/>
    </row>
    <row r="805" spans="1:32" s="165" customFormat="1" ht="30">
      <c r="A805" s="165">
        <v>1</v>
      </c>
      <c r="B805" s="56" t="str">
        <f>'matrik MISI 2'!B29</f>
        <v>KETENAGAKERJAAN</v>
      </c>
      <c r="C805" s="56"/>
      <c r="D805" s="57"/>
      <c r="E805" s="57"/>
      <c r="F805" s="58"/>
      <c r="G805" s="58"/>
      <c r="H805" s="52"/>
      <c r="I805" s="52"/>
      <c r="J805" s="52"/>
      <c r="K805" s="52"/>
      <c r="L805" s="52"/>
      <c r="M805" s="52"/>
      <c r="N805" s="52"/>
      <c r="O805" s="52"/>
      <c r="P805" s="52"/>
      <c r="Q805" s="52"/>
      <c r="R805" s="52"/>
      <c r="S805" s="52"/>
      <c r="T805" s="52"/>
      <c r="U805" s="52"/>
      <c r="V805" s="52"/>
      <c r="W805" s="52"/>
      <c r="X805" s="52"/>
    </row>
    <row r="806" spans="1:32" s="540" customFormat="1" ht="75">
      <c r="B806" s="591"/>
      <c r="C806" s="591">
        <f>'matrik MISI 2'!J30</f>
        <v>1.1399999999999999</v>
      </c>
      <c r="D806" s="592" t="str">
        <f>'matrik MISI 2'!K30</f>
        <v>xx</v>
      </c>
      <c r="E806" s="592">
        <f>'matrik MISI 2'!L30</f>
        <v>15</v>
      </c>
      <c r="F806" s="548" t="str">
        <f>'matrik MISI 2'!M30</f>
        <v>Program Peningkatan Kualitas dan Produktivitas Tenaga Kerja</v>
      </c>
      <c r="G806" s="548"/>
      <c r="H806" s="550"/>
      <c r="I806" s="550"/>
      <c r="J806" s="550"/>
      <c r="K806" s="599">
        <f>SUM(K807:K812)</f>
        <v>2162191600</v>
      </c>
      <c r="L806" s="599"/>
      <c r="M806" s="599">
        <f t="shared" ref="M806:U806" si="61">SUM(M807:M812)</f>
        <v>860000000</v>
      </c>
      <c r="N806" s="599"/>
      <c r="O806" s="599">
        <f t="shared" si="61"/>
        <v>987500000</v>
      </c>
      <c r="P806" s="599"/>
      <c r="Q806" s="599">
        <f t="shared" si="61"/>
        <v>1215000000</v>
      </c>
      <c r="R806" s="599"/>
      <c r="S806" s="599">
        <f t="shared" si="61"/>
        <v>1298000000</v>
      </c>
      <c r="T806" s="599"/>
      <c r="U806" s="599">
        <f t="shared" si="61"/>
        <v>1298000000</v>
      </c>
      <c r="V806" s="550"/>
      <c r="W806" s="550"/>
      <c r="X806" s="550" t="str">
        <f>'matrik MISI 2'!X30</f>
        <v>Disnakertran</v>
      </c>
    </row>
    <row r="807" spans="1:32" s="165" customFormat="1" ht="90">
      <c r="B807" s="56"/>
      <c r="C807" s="56"/>
      <c r="D807" s="57"/>
      <c r="E807" s="57"/>
      <c r="F807" s="58"/>
      <c r="G807" s="58" t="s">
        <v>3774</v>
      </c>
      <c r="H807" s="52" t="s">
        <v>3775</v>
      </c>
      <c r="I807" s="52" t="s">
        <v>3776</v>
      </c>
      <c r="J807" s="52" t="s">
        <v>3777</v>
      </c>
      <c r="K807" s="260">
        <v>121319000</v>
      </c>
      <c r="L807" s="52" t="s">
        <v>3778</v>
      </c>
      <c r="M807" s="260">
        <v>135000000</v>
      </c>
      <c r="N807" s="52" t="s">
        <v>3778</v>
      </c>
      <c r="O807" s="260">
        <v>140000000</v>
      </c>
      <c r="P807" s="52" t="s">
        <v>3779</v>
      </c>
      <c r="Q807" s="260">
        <v>215000000</v>
      </c>
      <c r="R807" s="52" t="s">
        <v>3779</v>
      </c>
      <c r="S807" s="260">
        <v>220000000</v>
      </c>
      <c r="T807" s="52" t="s">
        <v>3779</v>
      </c>
      <c r="U807" s="260">
        <v>220000000</v>
      </c>
      <c r="V807" s="52"/>
      <c r="W807" s="52"/>
      <c r="X807" s="52"/>
    </row>
    <row r="808" spans="1:32" s="165" customFormat="1" ht="90">
      <c r="B808" s="56"/>
      <c r="C808" s="56"/>
      <c r="D808" s="57"/>
      <c r="E808" s="57"/>
      <c r="F808" s="58"/>
      <c r="G808" s="58" t="s">
        <v>3780</v>
      </c>
      <c r="H808" s="52" t="s">
        <v>3781</v>
      </c>
      <c r="I808" s="52" t="s">
        <v>2650</v>
      </c>
      <c r="J808" s="52" t="s">
        <v>2650</v>
      </c>
      <c r="K808" s="260">
        <v>87962600</v>
      </c>
      <c r="L808" s="52" t="s">
        <v>2650</v>
      </c>
      <c r="M808" s="260">
        <v>95000000</v>
      </c>
      <c r="N808" s="52" t="s">
        <v>2650</v>
      </c>
      <c r="O808" s="260">
        <v>97500000</v>
      </c>
      <c r="P808" s="52" t="s">
        <v>2650</v>
      </c>
      <c r="Q808" s="260">
        <v>150000000</v>
      </c>
      <c r="R808" s="52" t="s">
        <v>2650</v>
      </c>
      <c r="S808" s="260">
        <v>153000000</v>
      </c>
      <c r="T808" s="52" t="s">
        <v>2650</v>
      </c>
      <c r="U808" s="260">
        <v>153000000</v>
      </c>
      <c r="V808" s="52"/>
      <c r="W808" s="52"/>
      <c r="X808" s="52"/>
    </row>
    <row r="809" spans="1:32" s="165" customFormat="1" ht="90">
      <c r="B809" s="56"/>
      <c r="C809" s="56"/>
      <c r="D809" s="57"/>
      <c r="E809" s="57"/>
      <c r="F809" s="58"/>
      <c r="G809" s="58" t="s">
        <v>3782</v>
      </c>
      <c r="H809" s="52" t="s">
        <v>3783</v>
      </c>
      <c r="I809" s="52" t="s">
        <v>2650</v>
      </c>
      <c r="J809" s="176" t="s">
        <v>3784</v>
      </c>
      <c r="K809" s="176"/>
      <c r="L809" s="52" t="s">
        <v>2650</v>
      </c>
      <c r="M809" s="260">
        <v>350000000</v>
      </c>
      <c r="N809" s="52" t="s">
        <v>2650</v>
      </c>
      <c r="O809" s="260">
        <v>400000000</v>
      </c>
      <c r="P809" s="52" t="s">
        <v>2650</v>
      </c>
      <c r="Q809" s="260">
        <v>450000000</v>
      </c>
      <c r="R809" s="52" t="s">
        <v>2650</v>
      </c>
      <c r="S809" s="260">
        <v>500000000</v>
      </c>
      <c r="T809" s="52" t="s">
        <v>2650</v>
      </c>
      <c r="U809" s="260">
        <v>500000000</v>
      </c>
      <c r="V809" s="52"/>
      <c r="W809" s="52"/>
      <c r="X809" s="52"/>
    </row>
    <row r="810" spans="1:32" s="165" customFormat="1" ht="75">
      <c r="B810" s="56"/>
      <c r="C810" s="56"/>
      <c r="D810" s="57"/>
      <c r="E810" s="57"/>
      <c r="F810" s="58"/>
      <c r="G810" s="58" t="s">
        <v>3785</v>
      </c>
      <c r="H810" s="176" t="s">
        <v>3784</v>
      </c>
      <c r="I810" s="176" t="s">
        <v>3784</v>
      </c>
      <c r="J810" s="52" t="s">
        <v>2650</v>
      </c>
      <c r="K810" s="320">
        <v>1879693000</v>
      </c>
      <c r="L810" s="52"/>
      <c r="M810" s="260"/>
      <c r="N810" s="52"/>
      <c r="O810" s="260"/>
      <c r="P810" s="52"/>
      <c r="Q810" s="260"/>
      <c r="R810" s="52"/>
      <c r="S810" s="260"/>
      <c r="T810" s="52"/>
      <c r="U810" s="260"/>
      <c r="V810" s="52"/>
      <c r="W810" s="52"/>
      <c r="X810" s="52"/>
    </row>
    <row r="811" spans="1:32" s="165" customFormat="1" ht="60">
      <c r="B811" s="56"/>
      <c r="C811" s="56"/>
      <c r="D811" s="57"/>
      <c r="E811" s="57"/>
      <c r="F811" s="58"/>
      <c r="G811" s="58" t="s">
        <v>3786</v>
      </c>
      <c r="H811" s="176" t="s">
        <v>3784</v>
      </c>
      <c r="I811" s="52" t="s">
        <v>3787</v>
      </c>
      <c r="J811" s="52" t="s">
        <v>3586</v>
      </c>
      <c r="K811" s="260">
        <v>73217000</v>
      </c>
      <c r="L811" s="52" t="s">
        <v>3788</v>
      </c>
      <c r="M811" s="260">
        <v>80000000</v>
      </c>
      <c r="N811" s="52" t="s">
        <v>3789</v>
      </c>
      <c r="O811" s="260">
        <v>125000000</v>
      </c>
      <c r="P811" s="52" t="s">
        <v>3789</v>
      </c>
      <c r="Q811" s="260">
        <v>150000000</v>
      </c>
      <c r="R811" s="52" t="s">
        <v>3789</v>
      </c>
      <c r="S811" s="260">
        <v>150000000</v>
      </c>
      <c r="T811" s="52" t="s">
        <v>3789</v>
      </c>
      <c r="U811" s="260">
        <v>150000000</v>
      </c>
      <c r="V811" s="52"/>
      <c r="W811" s="52"/>
      <c r="X811" s="52"/>
    </row>
    <row r="812" spans="1:32" s="165" customFormat="1" ht="90">
      <c r="B812" s="56"/>
      <c r="C812" s="56"/>
      <c r="D812" s="57"/>
      <c r="E812" s="57"/>
      <c r="F812" s="58"/>
      <c r="G812" s="58" t="s">
        <v>3790</v>
      </c>
      <c r="H812" s="176" t="s">
        <v>3784</v>
      </c>
      <c r="I812" s="176" t="s">
        <v>3784</v>
      </c>
      <c r="J812" s="176" t="s">
        <v>3784</v>
      </c>
      <c r="K812" s="176"/>
      <c r="L812" s="52" t="s">
        <v>3778</v>
      </c>
      <c r="M812" s="260">
        <v>200000000</v>
      </c>
      <c r="N812" s="52" t="s">
        <v>3791</v>
      </c>
      <c r="O812" s="260">
        <v>225000000</v>
      </c>
      <c r="P812" s="52" t="s">
        <v>3792</v>
      </c>
      <c r="Q812" s="260">
        <v>250000000</v>
      </c>
      <c r="R812" s="52" t="s">
        <v>3793</v>
      </c>
      <c r="S812" s="260">
        <v>275000000</v>
      </c>
      <c r="T812" s="52" t="s">
        <v>3793</v>
      </c>
      <c r="U812" s="260">
        <v>275000000</v>
      </c>
      <c r="V812" s="52"/>
      <c r="W812" s="52"/>
      <c r="X812" s="52"/>
    </row>
    <row r="813" spans="1:32" s="540" customFormat="1" ht="60">
      <c r="B813" s="591"/>
      <c r="C813" s="591">
        <f>'matrik MISI 2'!J34</f>
        <v>1.1399999999999999</v>
      </c>
      <c r="D813" s="592" t="str">
        <f>'matrik MISI 2'!K34</f>
        <v>xx</v>
      </c>
      <c r="E813" s="592">
        <f>'matrik MISI 2'!L34</f>
        <v>16</v>
      </c>
      <c r="F813" s="548" t="str">
        <f>'matrik MISI 2'!M34</f>
        <v>Program Peningkatan Kesempatan Kerja</v>
      </c>
      <c r="G813" s="548"/>
      <c r="H813" s="550"/>
      <c r="I813" s="550"/>
      <c r="J813" s="550"/>
      <c r="K813" s="599">
        <f>SUM(K814:K818)</f>
        <v>1302699000</v>
      </c>
      <c r="L813" s="599"/>
      <c r="M813" s="599">
        <f t="shared" ref="M813:S813" si="62">SUM(M814:M818)</f>
        <v>1745000000</v>
      </c>
      <c r="N813" s="599"/>
      <c r="O813" s="599">
        <f t="shared" si="62"/>
        <v>1885000000</v>
      </c>
      <c r="P813" s="599"/>
      <c r="Q813" s="599">
        <f t="shared" si="62"/>
        <v>2150000000</v>
      </c>
      <c r="R813" s="599"/>
      <c r="S813" s="599">
        <f t="shared" si="62"/>
        <v>2190000000</v>
      </c>
      <c r="T813" s="550"/>
      <c r="U813" s="550"/>
      <c r="V813" s="550"/>
      <c r="W813" s="550"/>
      <c r="X813" s="550" t="str">
        <f>'matrik MISI 2'!X34</f>
        <v>Disnakertran</v>
      </c>
    </row>
    <row r="814" spans="1:32" s="165" customFormat="1" ht="120">
      <c r="B814" s="56"/>
      <c r="C814" s="56"/>
      <c r="D814" s="57"/>
      <c r="E814" s="57"/>
      <c r="F814" s="58"/>
      <c r="G814" s="58" t="s">
        <v>3794</v>
      </c>
      <c r="H814" s="52" t="s">
        <v>3795</v>
      </c>
      <c r="I814" s="52" t="s">
        <v>3796</v>
      </c>
      <c r="J814" s="52" t="s">
        <v>3797</v>
      </c>
      <c r="K814" s="260">
        <v>20000000</v>
      </c>
      <c r="L814" s="52" t="s">
        <v>3798</v>
      </c>
      <c r="M814" s="260">
        <v>35000000</v>
      </c>
      <c r="N814" s="52" t="s">
        <v>3799</v>
      </c>
      <c r="O814" s="260">
        <v>40000000</v>
      </c>
      <c r="P814" s="52" t="s">
        <v>3800</v>
      </c>
      <c r="Q814" s="260">
        <v>45000000</v>
      </c>
      <c r="R814" s="52" t="s">
        <v>3801</v>
      </c>
      <c r="S814" s="260">
        <v>50000000</v>
      </c>
      <c r="T814" s="52" t="s">
        <v>3801</v>
      </c>
      <c r="U814" s="260">
        <v>50000000</v>
      </c>
      <c r="V814" s="52"/>
      <c r="W814" s="52"/>
      <c r="X814" s="52"/>
    </row>
    <row r="815" spans="1:32" s="165" customFormat="1" ht="90">
      <c r="B815" s="56"/>
      <c r="C815" s="56"/>
      <c r="D815" s="57"/>
      <c r="E815" s="57"/>
      <c r="F815" s="58"/>
      <c r="G815" s="58" t="s">
        <v>3802</v>
      </c>
      <c r="H815" s="52" t="s">
        <v>3803</v>
      </c>
      <c r="I815" s="52" t="s">
        <v>2650</v>
      </c>
      <c r="J815" s="52" t="s">
        <v>2650</v>
      </c>
      <c r="K815" s="320">
        <v>49262000</v>
      </c>
      <c r="L815" s="52" t="s">
        <v>2650</v>
      </c>
      <c r="M815" s="260"/>
      <c r="N815" s="52" t="s">
        <v>2650</v>
      </c>
      <c r="O815" s="260">
        <v>80000000</v>
      </c>
      <c r="P815" s="52" t="s">
        <v>2650</v>
      </c>
      <c r="Q815" s="260">
        <v>85000000</v>
      </c>
      <c r="R815" s="52" t="s">
        <v>2650</v>
      </c>
      <c r="S815" s="260">
        <v>90000000</v>
      </c>
      <c r="T815" s="52" t="s">
        <v>2650</v>
      </c>
      <c r="U815" s="260">
        <v>90000000</v>
      </c>
      <c r="V815" s="52"/>
      <c r="W815" s="52"/>
      <c r="X815" s="52"/>
    </row>
    <row r="816" spans="1:32" s="165" customFormat="1" ht="75">
      <c r="B816" s="56"/>
      <c r="C816" s="56"/>
      <c r="D816" s="57"/>
      <c r="E816" s="57"/>
      <c r="F816" s="58"/>
      <c r="G816" s="58" t="s">
        <v>3804</v>
      </c>
      <c r="H816" s="176" t="s">
        <v>3784</v>
      </c>
      <c r="I816" s="176" t="s">
        <v>3784</v>
      </c>
      <c r="J816" s="52" t="s">
        <v>3772</v>
      </c>
      <c r="K816" s="260">
        <v>600000000</v>
      </c>
      <c r="L816" s="52" t="s">
        <v>3805</v>
      </c>
      <c r="M816" s="260">
        <v>1000000000</v>
      </c>
      <c r="N816" s="52" t="s">
        <v>3805</v>
      </c>
      <c r="O816" s="260">
        <v>1000000000</v>
      </c>
      <c r="P816" s="52" t="s">
        <v>3806</v>
      </c>
      <c r="Q816" s="260">
        <v>1200000000</v>
      </c>
      <c r="R816" s="52" t="s">
        <v>3806</v>
      </c>
      <c r="S816" s="260">
        <v>1200000000</v>
      </c>
      <c r="T816" s="52" t="s">
        <v>3806</v>
      </c>
      <c r="U816" s="260">
        <v>1200000000</v>
      </c>
      <c r="V816" s="52"/>
      <c r="W816" s="52"/>
      <c r="X816" s="52"/>
    </row>
    <row r="817" spans="1:32" s="165" customFormat="1" ht="90">
      <c r="B817" s="56"/>
      <c r="C817" s="56"/>
      <c r="D817" s="57"/>
      <c r="E817" s="57"/>
      <c r="F817" s="58"/>
      <c r="G817" s="58" t="s">
        <v>3807</v>
      </c>
      <c r="H817" s="52" t="s">
        <v>3808</v>
      </c>
      <c r="I817" s="52" t="s">
        <v>3809</v>
      </c>
      <c r="J817" s="52" t="s">
        <v>3810</v>
      </c>
      <c r="K817" s="320">
        <v>483437000</v>
      </c>
      <c r="L817" s="52" t="s">
        <v>3811</v>
      </c>
      <c r="M817" s="260">
        <v>550000000</v>
      </c>
      <c r="N817" s="52" t="s">
        <v>3812</v>
      </c>
      <c r="O817" s="260">
        <v>600000000</v>
      </c>
      <c r="P817" s="52" t="s">
        <v>3810</v>
      </c>
      <c r="Q817" s="260">
        <v>650000000</v>
      </c>
      <c r="R817" s="52" t="s">
        <v>3810</v>
      </c>
      <c r="S817" s="260">
        <v>675000000</v>
      </c>
      <c r="T817" s="52" t="s">
        <v>3810</v>
      </c>
      <c r="U817" s="260">
        <v>675000000</v>
      </c>
      <c r="V817" s="52"/>
      <c r="W817" s="52"/>
      <c r="X817" s="52"/>
    </row>
    <row r="818" spans="1:32" s="165" customFormat="1" ht="90">
      <c r="B818" s="56"/>
      <c r="C818" s="56"/>
      <c r="D818" s="57"/>
      <c r="E818" s="57"/>
      <c r="F818" s="58"/>
      <c r="G818" s="58" t="s">
        <v>3813</v>
      </c>
      <c r="H818" s="176" t="s">
        <v>3784</v>
      </c>
      <c r="I818" s="52" t="s">
        <v>3814</v>
      </c>
      <c r="J818" s="52" t="s">
        <v>3815</v>
      </c>
      <c r="K818" s="260">
        <v>150000000</v>
      </c>
      <c r="L818" s="52" t="s">
        <v>3815</v>
      </c>
      <c r="M818" s="260">
        <v>160000000</v>
      </c>
      <c r="N818" s="52" t="s">
        <v>3815</v>
      </c>
      <c r="O818" s="260">
        <v>165000000</v>
      </c>
      <c r="P818" s="52" t="s">
        <v>3815</v>
      </c>
      <c r="Q818" s="260">
        <v>170000000</v>
      </c>
      <c r="R818" s="52" t="s">
        <v>3815</v>
      </c>
      <c r="S818" s="260">
        <v>175000000</v>
      </c>
      <c r="T818" s="52" t="s">
        <v>3815</v>
      </c>
      <c r="U818" s="260">
        <v>175000000</v>
      </c>
      <c r="V818" s="52"/>
      <c r="W818" s="52"/>
      <c r="X818" s="52"/>
    </row>
    <row r="819" spans="1:32" s="540" customFormat="1" ht="105">
      <c r="B819" s="591"/>
      <c r="C819" s="591">
        <f>'matrik MISI 2'!J39</f>
        <v>1.1399999999999999</v>
      </c>
      <c r="D819" s="592" t="str">
        <f>'matrik MISI 2'!K39</f>
        <v>xx</v>
      </c>
      <c r="E819" s="592">
        <f>'matrik MISI 2'!L39</f>
        <v>17</v>
      </c>
      <c r="F819" s="548" t="str">
        <f>'matrik MISI 2'!M39</f>
        <v>Program Perlindungan dan Pengembangan Lembaga Ketenagakerjaan</v>
      </c>
      <c r="G819" s="548"/>
      <c r="H819" s="550"/>
      <c r="I819" s="550"/>
      <c r="J819" s="550"/>
      <c r="K819" s="599">
        <f>SUM(K820:K826)</f>
        <v>172494800</v>
      </c>
      <c r="L819" s="599"/>
      <c r="M819" s="599">
        <f t="shared" ref="M819:U819" si="63">SUM(M820:M826)</f>
        <v>550000000</v>
      </c>
      <c r="N819" s="599"/>
      <c r="O819" s="599">
        <f t="shared" si="63"/>
        <v>610000000</v>
      </c>
      <c r="P819" s="599"/>
      <c r="Q819" s="599">
        <f t="shared" si="63"/>
        <v>673000000</v>
      </c>
      <c r="R819" s="599"/>
      <c r="S819" s="599">
        <f t="shared" si="63"/>
        <v>729000000</v>
      </c>
      <c r="T819" s="599"/>
      <c r="U819" s="599">
        <f t="shared" si="63"/>
        <v>729000000</v>
      </c>
      <c r="V819" s="550"/>
      <c r="W819" s="550"/>
      <c r="X819" s="550" t="str">
        <f>'matrik MISI 2'!X39</f>
        <v>Disnakertran</v>
      </c>
    </row>
    <row r="820" spans="1:32" s="165" customFormat="1" ht="90">
      <c r="B820" s="56"/>
      <c r="C820" s="56"/>
      <c r="D820" s="57"/>
      <c r="E820" s="57"/>
      <c r="F820" s="58"/>
      <c r="G820" s="58" t="s">
        <v>3816</v>
      </c>
      <c r="H820" s="52" t="s">
        <v>3775</v>
      </c>
      <c r="I820" s="52" t="s">
        <v>3817</v>
      </c>
      <c r="J820" s="52" t="s">
        <v>3817</v>
      </c>
      <c r="K820" s="260">
        <v>28769500</v>
      </c>
      <c r="L820" s="52" t="s">
        <v>3818</v>
      </c>
      <c r="M820" s="260">
        <v>110000000</v>
      </c>
      <c r="N820" s="52" t="s">
        <v>3819</v>
      </c>
      <c r="O820" s="260">
        <v>120000000</v>
      </c>
      <c r="P820" s="52" t="s">
        <v>3820</v>
      </c>
      <c r="Q820" s="260">
        <v>132000000</v>
      </c>
      <c r="R820" s="52" t="s">
        <v>3821</v>
      </c>
      <c r="S820" s="260">
        <v>145000000</v>
      </c>
      <c r="T820" s="52" t="s">
        <v>3821</v>
      </c>
      <c r="U820" s="260">
        <v>145000000</v>
      </c>
      <c r="V820" s="52"/>
      <c r="W820" s="52"/>
      <c r="X820" s="52"/>
    </row>
    <row r="821" spans="1:32" s="165" customFormat="1" ht="90">
      <c r="B821" s="56"/>
      <c r="C821" s="56"/>
      <c r="D821" s="57"/>
      <c r="E821" s="57"/>
      <c r="F821" s="58"/>
      <c r="G821" s="58" t="s">
        <v>3822</v>
      </c>
      <c r="H821" s="52" t="s">
        <v>3781</v>
      </c>
      <c r="I821" s="52" t="s">
        <v>3817</v>
      </c>
      <c r="J821" s="52" t="s">
        <v>3823</v>
      </c>
      <c r="K821" s="260">
        <v>29401500</v>
      </c>
      <c r="L821" s="52" t="s">
        <v>3824</v>
      </c>
      <c r="M821" s="260">
        <v>154000000</v>
      </c>
      <c r="N821" s="52" t="s">
        <v>3825</v>
      </c>
      <c r="O821" s="260">
        <v>170000000</v>
      </c>
      <c r="P821" s="52" t="s">
        <v>3826</v>
      </c>
      <c r="Q821" s="260">
        <v>187000000</v>
      </c>
      <c r="R821" s="52" t="s">
        <v>3827</v>
      </c>
      <c r="S821" s="260">
        <v>200000000</v>
      </c>
      <c r="T821" s="52" t="s">
        <v>3827</v>
      </c>
      <c r="U821" s="260">
        <v>200000000</v>
      </c>
      <c r="V821" s="52"/>
      <c r="W821" s="52"/>
      <c r="X821" s="52"/>
    </row>
    <row r="822" spans="1:32" s="165" customFormat="1" ht="105">
      <c r="B822" s="56"/>
      <c r="C822" s="56"/>
      <c r="D822" s="57"/>
      <c r="E822" s="57"/>
      <c r="F822" s="58"/>
      <c r="G822" s="58" t="s">
        <v>3828</v>
      </c>
      <c r="H822" s="52" t="s">
        <v>3829</v>
      </c>
      <c r="I822" s="176" t="s">
        <v>3784</v>
      </c>
      <c r="J822" s="52" t="s">
        <v>3823</v>
      </c>
      <c r="K822" s="260">
        <v>24602500</v>
      </c>
      <c r="L822" s="52" t="s">
        <v>3824</v>
      </c>
      <c r="M822" s="260">
        <v>154000000</v>
      </c>
      <c r="N822" s="52" t="s">
        <v>3825</v>
      </c>
      <c r="O822" s="260">
        <v>170000000</v>
      </c>
      <c r="P822" s="52" t="s">
        <v>3826</v>
      </c>
      <c r="Q822" s="260">
        <v>187000000</v>
      </c>
      <c r="R822" s="52" t="s">
        <v>3827</v>
      </c>
      <c r="S822" s="260">
        <v>200000000</v>
      </c>
      <c r="T822" s="52" t="s">
        <v>3827</v>
      </c>
      <c r="U822" s="260">
        <v>200000000</v>
      </c>
      <c r="V822" s="52"/>
      <c r="W822" s="52"/>
      <c r="X822" s="52"/>
    </row>
    <row r="823" spans="1:32" s="165" customFormat="1" ht="105">
      <c r="B823" s="56"/>
      <c r="C823" s="56"/>
      <c r="D823" s="57"/>
      <c r="E823" s="57"/>
      <c r="F823" s="58"/>
      <c r="G823" s="58" t="s">
        <v>3830</v>
      </c>
      <c r="H823" s="52" t="s">
        <v>3829</v>
      </c>
      <c r="I823" s="176" t="s">
        <v>3784</v>
      </c>
      <c r="J823" s="52" t="s">
        <v>3831</v>
      </c>
      <c r="K823" s="260">
        <v>14909500</v>
      </c>
      <c r="L823" s="52" t="s">
        <v>3832</v>
      </c>
      <c r="M823" s="260">
        <v>17000000</v>
      </c>
      <c r="N823" s="52" t="s">
        <v>3833</v>
      </c>
      <c r="O823" s="260">
        <v>20000000</v>
      </c>
      <c r="P823" s="52" t="s">
        <v>3834</v>
      </c>
      <c r="Q823" s="260">
        <v>22000000</v>
      </c>
      <c r="R823" s="52" t="s">
        <v>3835</v>
      </c>
      <c r="S823" s="260">
        <v>24000000</v>
      </c>
      <c r="T823" s="52" t="s">
        <v>3835</v>
      </c>
      <c r="U823" s="260">
        <v>24000000</v>
      </c>
      <c r="V823" s="52"/>
      <c r="W823" s="52"/>
      <c r="X823" s="52"/>
    </row>
    <row r="824" spans="1:32" s="165" customFormat="1" ht="90">
      <c r="B824" s="56"/>
      <c r="C824" s="56"/>
      <c r="D824" s="57"/>
      <c r="E824" s="57"/>
      <c r="F824" s="58"/>
      <c r="G824" s="58" t="s">
        <v>3836</v>
      </c>
      <c r="H824" s="52" t="s">
        <v>3829</v>
      </c>
      <c r="I824" s="176" t="s">
        <v>3784</v>
      </c>
      <c r="J824" s="52" t="s">
        <v>3837</v>
      </c>
      <c r="K824" s="260">
        <v>29964600</v>
      </c>
      <c r="L824" s="52" t="s">
        <v>3838</v>
      </c>
      <c r="M824" s="260">
        <v>35000000</v>
      </c>
      <c r="N824" s="52" t="s">
        <v>3839</v>
      </c>
      <c r="O824" s="260">
        <v>40000000</v>
      </c>
      <c r="P824" s="52" t="s">
        <v>3840</v>
      </c>
      <c r="Q824" s="260">
        <v>45000000</v>
      </c>
      <c r="R824" s="52" t="s">
        <v>3841</v>
      </c>
      <c r="S824" s="260">
        <v>50000000</v>
      </c>
      <c r="T824" s="52" t="s">
        <v>3841</v>
      </c>
      <c r="U824" s="260">
        <v>50000000</v>
      </c>
      <c r="V824" s="52"/>
      <c r="W824" s="52"/>
      <c r="X824" s="52"/>
    </row>
    <row r="825" spans="1:32" s="165" customFormat="1" ht="120">
      <c r="B825" s="56"/>
      <c r="C825" s="56"/>
      <c r="D825" s="57"/>
      <c r="E825" s="57"/>
      <c r="F825" s="58"/>
      <c r="G825" s="58" t="s">
        <v>3842</v>
      </c>
      <c r="H825" s="52" t="s">
        <v>3843</v>
      </c>
      <c r="I825" s="52" t="s">
        <v>3844</v>
      </c>
      <c r="J825" s="52" t="s">
        <v>3845</v>
      </c>
      <c r="K825" s="260">
        <v>15000000</v>
      </c>
      <c r="L825" s="52" t="s">
        <v>3846</v>
      </c>
      <c r="M825" s="260">
        <v>25000000</v>
      </c>
      <c r="N825" s="52" t="s">
        <v>3846</v>
      </c>
      <c r="O825" s="260">
        <v>30000000</v>
      </c>
      <c r="P825" s="52" t="s">
        <v>3846</v>
      </c>
      <c r="Q825" s="260">
        <v>35000000</v>
      </c>
      <c r="R825" s="52" t="s">
        <v>3846</v>
      </c>
      <c r="S825" s="260">
        <v>40000000</v>
      </c>
      <c r="T825" s="52" t="s">
        <v>3846</v>
      </c>
      <c r="U825" s="260">
        <v>40000000</v>
      </c>
      <c r="V825" s="52"/>
      <c r="W825" s="52"/>
      <c r="X825" s="52"/>
    </row>
    <row r="826" spans="1:32" s="165" customFormat="1" ht="105">
      <c r="B826" s="56"/>
      <c r="C826" s="56"/>
      <c r="D826" s="57"/>
      <c r="E826" s="57"/>
      <c r="F826" s="58"/>
      <c r="G826" s="58" t="s">
        <v>3847</v>
      </c>
      <c r="H826" s="52" t="s">
        <v>3848</v>
      </c>
      <c r="I826" s="52" t="s">
        <v>2650</v>
      </c>
      <c r="J826" s="52" t="s">
        <v>2650</v>
      </c>
      <c r="K826" s="260">
        <v>29847200</v>
      </c>
      <c r="L826" s="52" t="s">
        <v>2650</v>
      </c>
      <c r="M826" s="260">
        <v>55000000</v>
      </c>
      <c r="N826" s="52" t="s">
        <v>2650</v>
      </c>
      <c r="O826" s="260">
        <v>60000000</v>
      </c>
      <c r="P826" s="52" t="s">
        <v>2650</v>
      </c>
      <c r="Q826" s="260">
        <v>65000000</v>
      </c>
      <c r="R826" s="52" t="s">
        <v>2650</v>
      </c>
      <c r="S826" s="260">
        <v>70000000</v>
      </c>
      <c r="T826" s="52" t="s">
        <v>2650</v>
      </c>
      <c r="U826" s="260">
        <v>70000000</v>
      </c>
      <c r="V826" s="52"/>
      <c r="W826" s="52"/>
      <c r="X826" s="52"/>
    </row>
    <row r="827" spans="1:32" s="280" customFormat="1" ht="30" customHeight="1">
      <c r="A827" s="285"/>
      <c r="B827" s="1097" t="s">
        <v>4246</v>
      </c>
      <c r="C827" s="1098"/>
      <c r="D827" s="1098"/>
      <c r="E827" s="1098"/>
      <c r="F827" s="1098"/>
      <c r="G827" s="1099"/>
      <c r="H827" s="382"/>
      <c r="I827" s="382"/>
      <c r="J827" s="382"/>
      <c r="K827" s="382">
        <f>SUM(K806:K826)</f>
        <v>7274770800</v>
      </c>
      <c r="L827" s="382"/>
      <c r="M827" s="382">
        <f t="shared" ref="M827:W827" si="64">SUM(M806:M826)</f>
        <v>6310000000</v>
      </c>
      <c r="N827" s="382"/>
      <c r="O827" s="382">
        <f t="shared" si="64"/>
        <v>6965000000</v>
      </c>
      <c r="P827" s="382"/>
      <c r="Q827" s="382">
        <f t="shared" si="64"/>
        <v>8076000000</v>
      </c>
      <c r="R827" s="382"/>
      <c r="S827" s="382">
        <f t="shared" si="64"/>
        <v>8434000000</v>
      </c>
      <c r="T827" s="382"/>
      <c r="U827" s="382">
        <f t="shared" si="64"/>
        <v>6244000000</v>
      </c>
      <c r="V827" s="382">
        <f t="shared" si="64"/>
        <v>0</v>
      </c>
      <c r="W827" s="382">
        <f t="shared" si="64"/>
        <v>0</v>
      </c>
      <c r="X827" s="382"/>
      <c r="Y827" s="285"/>
      <c r="Z827" s="285"/>
      <c r="AA827" s="285"/>
      <c r="AB827" s="285"/>
      <c r="AC827" s="285"/>
      <c r="AD827" s="285"/>
      <c r="AE827" s="285"/>
      <c r="AF827" s="285"/>
    </row>
    <row r="828" spans="1:32" ht="30">
      <c r="A828" s="165">
        <v>1</v>
      </c>
      <c r="B828" s="62" t="str">
        <f>'matrik MISI 1'!B93</f>
        <v>KOPERASI DAN UMKM</v>
      </c>
      <c r="C828" s="56"/>
      <c r="D828" s="57"/>
      <c r="E828" s="57"/>
      <c r="F828" s="58"/>
      <c r="G828" s="58"/>
      <c r="H828" s="259"/>
      <c r="I828" s="259"/>
      <c r="J828" s="259"/>
      <c r="K828" s="259"/>
      <c r="L828" s="259"/>
      <c r="M828" s="259"/>
      <c r="N828" s="259"/>
      <c r="O828" s="259"/>
      <c r="P828" s="259"/>
      <c r="Q828" s="259"/>
      <c r="R828" s="259"/>
      <c r="S828" s="259"/>
      <c r="T828" s="259"/>
      <c r="U828" s="259"/>
      <c r="V828" s="259"/>
      <c r="W828" s="259"/>
      <c r="X828" s="259"/>
      <c r="Y828" s="165"/>
      <c r="Z828" s="165"/>
      <c r="AA828" s="165"/>
      <c r="AB828" s="165"/>
      <c r="AC828" s="165"/>
      <c r="AD828" s="165"/>
      <c r="AE828" s="165"/>
      <c r="AF828" s="165"/>
    </row>
    <row r="829" spans="1:32" s="540" customFormat="1" ht="105">
      <c r="B829" s="545"/>
      <c r="C829" s="593" t="str">
        <f>'matrik MISI 1'!J99</f>
        <v>1.15</v>
      </c>
      <c r="D829" s="594" t="str">
        <f>'matrik MISI 1'!K99</f>
        <v>xx</v>
      </c>
      <c r="E829" s="594">
        <f>'matrik MISI 1'!L99</f>
        <v>16</v>
      </c>
      <c r="F829" s="595" t="str">
        <f>'matrik MISI 1'!M99</f>
        <v>Program Pengembangan kewirausahaan dan keunggulan kompetitif UKM</v>
      </c>
      <c r="G829" s="548"/>
      <c r="H829" s="551"/>
      <c r="I829" s="551"/>
      <c r="J829" s="551"/>
      <c r="K829" s="551">
        <f>SUM(K830:K843)</f>
        <v>1399310500</v>
      </c>
      <c r="L829" s="551"/>
      <c r="M829" s="551">
        <f t="shared" ref="M829:U829" si="65">SUM(M830:M843)</f>
        <v>730000000</v>
      </c>
      <c r="N829" s="551"/>
      <c r="O829" s="551">
        <f t="shared" si="65"/>
        <v>1020000000</v>
      </c>
      <c r="P829" s="551"/>
      <c r="Q829" s="551">
        <f t="shared" si="65"/>
        <v>875000000</v>
      </c>
      <c r="R829" s="551"/>
      <c r="S829" s="551">
        <f t="shared" si="65"/>
        <v>1170000000</v>
      </c>
      <c r="T829" s="551"/>
      <c r="U829" s="551">
        <f t="shared" si="65"/>
        <v>1170000000</v>
      </c>
      <c r="V829" s="551"/>
      <c r="W829" s="551"/>
      <c r="X829" s="551" t="str">
        <f>'matrik MISI 1'!X99</f>
        <v>DISPERINDAGKOP DAN UMKM</v>
      </c>
    </row>
    <row r="830" spans="1:32" ht="60">
      <c r="A830" s="165"/>
      <c r="B830" s="48"/>
      <c r="C830" s="62"/>
      <c r="D830" s="63"/>
      <c r="E830" s="63"/>
      <c r="F830" s="64"/>
      <c r="G830" s="58" t="s">
        <v>2881</v>
      </c>
      <c r="H830" s="52"/>
      <c r="I830" s="52" t="s">
        <v>2882</v>
      </c>
      <c r="J830" s="161">
        <v>1</v>
      </c>
      <c r="K830" s="252">
        <f>249057500+63000000</f>
        <v>312057500</v>
      </c>
      <c r="L830" s="52" t="s">
        <v>2883</v>
      </c>
      <c r="M830" s="252">
        <v>200000000</v>
      </c>
      <c r="N830" s="52" t="s">
        <v>2884</v>
      </c>
      <c r="O830" s="252">
        <v>270000000</v>
      </c>
      <c r="P830" s="52" t="s">
        <v>2885</v>
      </c>
      <c r="Q830" s="252">
        <v>300000000</v>
      </c>
      <c r="R830" s="52" t="s">
        <v>2886</v>
      </c>
      <c r="S830" s="252">
        <v>325000000</v>
      </c>
      <c r="T830" s="52" t="s">
        <v>2886</v>
      </c>
      <c r="U830" s="252">
        <v>325000000</v>
      </c>
      <c r="V830" s="259"/>
      <c r="W830" s="259"/>
      <c r="X830" s="259"/>
      <c r="Y830" s="165"/>
      <c r="Z830" s="165"/>
      <c r="AA830" s="165"/>
      <c r="AB830" s="165"/>
      <c r="AC830" s="165"/>
      <c r="AD830" s="165"/>
      <c r="AE830" s="165"/>
      <c r="AF830" s="165"/>
    </row>
    <row r="831" spans="1:32" ht="60">
      <c r="A831" s="165"/>
      <c r="B831" s="48"/>
      <c r="C831" s="62"/>
      <c r="D831" s="63"/>
      <c r="E831" s="63"/>
      <c r="F831" s="64"/>
      <c r="G831" s="58" t="s">
        <v>2881</v>
      </c>
      <c r="H831" s="52"/>
      <c r="I831" s="52" t="s">
        <v>2887</v>
      </c>
      <c r="J831" s="161">
        <v>1</v>
      </c>
      <c r="K831" s="252">
        <f>214077000+58500000</f>
        <v>272577000</v>
      </c>
      <c r="L831" s="52" t="s">
        <v>2885</v>
      </c>
      <c r="M831" s="252">
        <v>300000000</v>
      </c>
      <c r="N831" s="52" t="s">
        <v>2885</v>
      </c>
      <c r="O831" s="252">
        <v>300000000</v>
      </c>
      <c r="P831" s="52" t="s">
        <v>2885</v>
      </c>
      <c r="Q831" s="252">
        <v>300000000</v>
      </c>
      <c r="R831" s="52" t="s">
        <v>2885</v>
      </c>
      <c r="S831" s="252">
        <v>300000000</v>
      </c>
      <c r="T831" s="52" t="s">
        <v>2885</v>
      </c>
      <c r="U831" s="252">
        <v>300000000</v>
      </c>
      <c r="V831" s="259"/>
      <c r="W831" s="259"/>
      <c r="X831" s="259"/>
      <c r="Y831" s="165"/>
      <c r="Z831" s="165"/>
      <c r="AA831" s="165"/>
      <c r="AB831" s="165"/>
      <c r="AC831" s="165"/>
      <c r="AD831" s="165"/>
      <c r="AE831" s="165"/>
      <c r="AF831" s="165"/>
    </row>
    <row r="832" spans="1:32" ht="60">
      <c r="A832" s="165"/>
      <c r="B832" s="48"/>
      <c r="C832" s="62"/>
      <c r="D832" s="63"/>
      <c r="E832" s="63"/>
      <c r="F832" s="64"/>
      <c r="G832" s="58" t="s">
        <v>2888</v>
      </c>
      <c r="H832" s="52"/>
      <c r="I832" s="52" t="s">
        <v>2889</v>
      </c>
      <c r="J832" s="161">
        <v>1</v>
      </c>
      <c r="K832" s="252">
        <v>21325500</v>
      </c>
      <c r="L832" s="52" t="s">
        <v>743</v>
      </c>
      <c r="M832" s="52"/>
      <c r="N832" s="52" t="s">
        <v>2890</v>
      </c>
      <c r="O832" s="252">
        <v>30000000</v>
      </c>
      <c r="P832" s="52" t="s">
        <v>743</v>
      </c>
      <c r="Q832" s="52" t="s">
        <v>743</v>
      </c>
      <c r="R832" s="52" t="s">
        <v>2891</v>
      </c>
      <c r="S832" s="252">
        <v>50000000</v>
      </c>
      <c r="T832" s="52" t="s">
        <v>2891</v>
      </c>
      <c r="U832" s="252">
        <v>50000000</v>
      </c>
      <c r="V832" s="259"/>
      <c r="W832" s="259"/>
      <c r="X832" s="259"/>
      <c r="Y832" s="165"/>
      <c r="Z832" s="165"/>
      <c r="AA832" s="165"/>
      <c r="AB832" s="165"/>
      <c r="AC832" s="165"/>
      <c r="AD832" s="165"/>
      <c r="AE832" s="165"/>
      <c r="AF832" s="165"/>
    </row>
    <row r="833" spans="1:32" ht="75">
      <c r="A833" s="165"/>
      <c r="B833" s="48"/>
      <c r="C833" s="62"/>
      <c r="D833" s="63"/>
      <c r="E833" s="63"/>
      <c r="F833" s="64"/>
      <c r="G833" s="58" t="s">
        <v>2892</v>
      </c>
      <c r="H833" s="52"/>
      <c r="I833" s="52" t="s">
        <v>2893</v>
      </c>
      <c r="J833" s="161">
        <v>1</v>
      </c>
      <c r="K833" s="252">
        <v>18285000</v>
      </c>
      <c r="L833" s="52" t="s">
        <v>743</v>
      </c>
      <c r="M833" s="52"/>
      <c r="N833" s="52" t="s">
        <v>2893</v>
      </c>
      <c r="O833" s="252">
        <v>35000000</v>
      </c>
      <c r="P833" s="52" t="s">
        <v>743</v>
      </c>
      <c r="Q833" s="52" t="s">
        <v>743</v>
      </c>
      <c r="R833" s="52" t="s">
        <v>2893</v>
      </c>
      <c r="S833" s="252">
        <v>40000000</v>
      </c>
      <c r="T833" s="52" t="s">
        <v>2893</v>
      </c>
      <c r="U833" s="252">
        <v>40000000</v>
      </c>
      <c r="V833" s="259"/>
      <c r="W833" s="259"/>
      <c r="X833" s="259"/>
      <c r="Y833" s="165"/>
      <c r="Z833" s="165"/>
      <c r="AA833" s="165"/>
      <c r="AB833" s="165"/>
      <c r="AC833" s="165"/>
      <c r="AD833" s="165"/>
      <c r="AE833" s="165"/>
      <c r="AF833" s="165"/>
    </row>
    <row r="834" spans="1:32" ht="90">
      <c r="A834" s="165"/>
      <c r="B834" s="48"/>
      <c r="C834" s="62"/>
      <c r="D834" s="63"/>
      <c r="E834" s="63"/>
      <c r="F834" s="64"/>
      <c r="G834" s="58" t="s">
        <v>2894</v>
      </c>
      <c r="H834" s="52"/>
      <c r="I834" s="52" t="s">
        <v>2895</v>
      </c>
      <c r="J834" s="161">
        <v>1</v>
      </c>
      <c r="K834" s="252">
        <v>30000000</v>
      </c>
      <c r="L834" s="52" t="s">
        <v>743</v>
      </c>
      <c r="M834" s="52"/>
      <c r="N834" s="52" t="s">
        <v>743</v>
      </c>
      <c r="O834" s="52" t="s">
        <v>743</v>
      </c>
      <c r="P834" s="52" t="s">
        <v>743</v>
      </c>
      <c r="Q834" s="52" t="s">
        <v>743</v>
      </c>
      <c r="R834" s="52" t="s">
        <v>743</v>
      </c>
      <c r="S834" s="52" t="s">
        <v>743</v>
      </c>
      <c r="T834" s="52" t="s">
        <v>743</v>
      </c>
      <c r="U834" s="52" t="s">
        <v>743</v>
      </c>
      <c r="V834" s="259"/>
      <c r="W834" s="259"/>
      <c r="X834" s="259"/>
      <c r="Y834" s="165"/>
      <c r="Z834" s="165"/>
      <c r="AA834" s="165"/>
      <c r="AB834" s="165"/>
      <c r="AC834" s="165"/>
      <c r="AD834" s="165"/>
      <c r="AE834" s="165"/>
      <c r="AF834" s="165"/>
    </row>
    <row r="835" spans="1:32" ht="90">
      <c r="A835" s="165"/>
      <c r="B835" s="48"/>
      <c r="C835" s="62"/>
      <c r="D835" s="63"/>
      <c r="E835" s="63"/>
      <c r="F835" s="64"/>
      <c r="G835" s="58" t="s">
        <v>2896</v>
      </c>
      <c r="H835" s="52"/>
      <c r="I835" s="52" t="s">
        <v>2897</v>
      </c>
      <c r="J835" s="161">
        <v>1</v>
      </c>
      <c r="K835" s="252">
        <v>70000000</v>
      </c>
      <c r="L835" s="52" t="s">
        <v>743</v>
      </c>
      <c r="M835" s="52"/>
      <c r="N835" s="52" t="s">
        <v>2898</v>
      </c>
      <c r="O835" s="252">
        <v>25000000</v>
      </c>
      <c r="P835" s="52" t="s">
        <v>743</v>
      </c>
      <c r="Q835" s="52" t="s">
        <v>743</v>
      </c>
      <c r="R835" s="52" t="s">
        <v>2898</v>
      </c>
      <c r="S835" s="252">
        <v>30000000</v>
      </c>
      <c r="T835" s="52" t="s">
        <v>2898</v>
      </c>
      <c r="U835" s="252">
        <v>30000000</v>
      </c>
      <c r="V835" s="259"/>
      <c r="W835" s="259"/>
      <c r="X835" s="259"/>
      <c r="Y835" s="165"/>
      <c r="Z835" s="165"/>
      <c r="AA835" s="165"/>
      <c r="AB835" s="165"/>
      <c r="AC835" s="165"/>
      <c r="AD835" s="165"/>
      <c r="AE835" s="165"/>
      <c r="AF835" s="165"/>
    </row>
    <row r="836" spans="1:32" ht="45">
      <c r="A836" s="165"/>
      <c r="B836" s="48"/>
      <c r="C836" s="62"/>
      <c r="D836" s="63"/>
      <c r="E836" s="63"/>
      <c r="F836" s="64"/>
      <c r="G836" s="58" t="s">
        <v>2899</v>
      </c>
      <c r="H836" s="52"/>
      <c r="I836" s="52" t="s">
        <v>2900</v>
      </c>
      <c r="J836" s="161">
        <v>1</v>
      </c>
      <c r="K836" s="252">
        <f>51808000+8000000</f>
        <v>59808000</v>
      </c>
      <c r="L836" s="52" t="s">
        <v>743</v>
      </c>
      <c r="M836" s="52"/>
      <c r="N836" s="52" t="s">
        <v>743</v>
      </c>
      <c r="O836" s="52" t="s">
        <v>743</v>
      </c>
      <c r="P836" s="52" t="s">
        <v>743</v>
      </c>
      <c r="Q836" s="52" t="s">
        <v>743</v>
      </c>
      <c r="R836" s="52" t="s">
        <v>743</v>
      </c>
      <c r="S836" s="52" t="s">
        <v>743</v>
      </c>
      <c r="T836" s="52" t="s">
        <v>743</v>
      </c>
      <c r="U836" s="52" t="s">
        <v>743</v>
      </c>
      <c r="V836" s="259"/>
      <c r="W836" s="259"/>
      <c r="X836" s="259"/>
      <c r="Y836" s="165"/>
      <c r="Z836" s="165"/>
      <c r="AA836" s="165"/>
      <c r="AB836" s="165"/>
      <c r="AC836" s="165"/>
      <c r="AD836" s="165"/>
      <c r="AE836" s="165"/>
      <c r="AF836" s="165"/>
    </row>
    <row r="837" spans="1:32" ht="30">
      <c r="A837" s="165"/>
      <c r="B837" s="48"/>
      <c r="C837" s="62"/>
      <c r="D837" s="63"/>
      <c r="E837" s="63"/>
      <c r="F837" s="64"/>
      <c r="G837" s="58" t="s">
        <v>2901</v>
      </c>
      <c r="H837" s="52"/>
      <c r="I837" s="52" t="s">
        <v>743</v>
      </c>
      <c r="J837" s="52" t="s">
        <v>743</v>
      </c>
      <c r="K837" s="52"/>
      <c r="L837" s="52" t="s">
        <v>2902</v>
      </c>
      <c r="M837" s="252">
        <v>105000000</v>
      </c>
      <c r="N837" s="52" t="s">
        <v>2902</v>
      </c>
      <c r="O837" s="252">
        <v>105000000</v>
      </c>
      <c r="P837" s="52" t="s">
        <v>2902</v>
      </c>
      <c r="Q837" s="252">
        <v>130000000</v>
      </c>
      <c r="R837" s="52" t="s">
        <v>2902</v>
      </c>
      <c r="S837" s="252">
        <v>145000000</v>
      </c>
      <c r="T837" s="52" t="s">
        <v>2902</v>
      </c>
      <c r="U837" s="252">
        <v>145000000</v>
      </c>
      <c r="V837" s="259"/>
      <c r="W837" s="259"/>
      <c r="X837" s="259"/>
      <c r="Y837" s="165"/>
      <c r="Z837" s="165"/>
      <c r="AA837" s="165"/>
      <c r="AB837" s="165"/>
      <c r="AC837" s="165"/>
      <c r="AD837" s="165"/>
      <c r="AE837" s="165"/>
      <c r="AF837" s="165"/>
    </row>
    <row r="838" spans="1:32" ht="45">
      <c r="A838" s="165"/>
      <c r="B838" s="48"/>
      <c r="C838" s="62"/>
      <c r="D838" s="63"/>
      <c r="E838" s="63"/>
      <c r="F838" s="64"/>
      <c r="G838" s="58" t="s">
        <v>2903</v>
      </c>
      <c r="H838" s="52"/>
      <c r="I838" s="52" t="s">
        <v>743</v>
      </c>
      <c r="J838" s="52" t="s">
        <v>743</v>
      </c>
      <c r="K838" s="52"/>
      <c r="L838" s="52" t="s">
        <v>2904</v>
      </c>
      <c r="M838" s="252">
        <v>50000000</v>
      </c>
      <c r="N838" s="52" t="s">
        <v>2905</v>
      </c>
      <c r="O838" s="252">
        <v>30000000</v>
      </c>
      <c r="P838" s="52" t="s">
        <v>2905</v>
      </c>
      <c r="Q838" s="252">
        <v>35000000</v>
      </c>
      <c r="R838" s="52" t="s">
        <v>2905</v>
      </c>
      <c r="S838" s="252">
        <v>35000000</v>
      </c>
      <c r="T838" s="52" t="s">
        <v>2905</v>
      </c>
      <c r="U838" s="252">
        <v>35000000</v>
      </c>
      <c r="V838" s="259"/>
      <c r="W838" s="259"/>
      <c r="X838" s="259"/>
      <c r="Y838" s="165"/>
      <c r="Z838" s="165"/>
      <c r="AA838" s="165"/>
      <c r="AB838" s="165"/>
      <c r="AC838" s="165"/>
      <c r="AD838" s="165"/>
      <c r="AE838" s="165"/>
      <c r="AF838" s="165"/>
    </row>
    <row r="839" spans="1:32" ht="30">
      <c r="A839" s="165"/>
      <c r="B839" s="48"/>
      <c r="C839" s="62"/>
      <c r="D839" s="63"/>
      <c r="E839" s="63"/>
      <c r="F839" s="64"/>
      <c r="G839" s="58" t="s">
        <v>2906</v>
      </c>
      <c r="H839" s="52"/>
      <c r="I839" s="52" t="s">
        <v>743</v>
      </c>
      <c r="J839" s="52" t="s">
        <v>743</v>
      </c>
      <c r="K839" s="52"/>
      <c r="L839" s="52" t="s">
        <v>2904</v>
      </c>
      <c r="M839" s="252">
        <v>10000000</v>
      </c>
      <c r="N839" s="52" t="s">
        <v>743</v>
      </c>
      <c r="O839" s="52" t="s">
        <v>743</v>
      </c>
      <c r="P839" s="52" t="s">
        <v>2907</v>
      </c>
      <c r="Q839" s="252">
        <v>25000000</v>
      </c>
      <c r="R839" s="52" t="s">
        <v>743</v>
      </c>
      <c r="S839" s="52" t="s">
        <v>743</v>
      </c>
      <c r="T839" s="52" t="s">
        <v>743</v>
      </c>
      <c r="U839" s="52" t="s">
        <v>743</v>
      </c>
      <c r="V839" s="259"/>
      <c r="W839" s="259"/>
      <c r="X839" s="259"/>
      <c r="Y839" s="165"/>
      <c r="Z839" s="165"/>
      <c r="AA839" s="165"/>
      <c r="AB839" s="165"/>
      <c r="AC839" s="165"/>
      <c r="AD839" s="165"/>
      <c r="AE839" s="165"/>
      <c r="AF839" s="165"/>
    </row>
    <row r="840" spans="1:32" ht="60">
      <c r="A840" s="165"/>
      <c r="B840" s="48"/>
      <c r="C840" s="62"/>
      <c r="D840" s="63"/>
      <c r="E840" s="63"/>
      <c r="F840" s="64"/>
      <c r="G840" s="58" t="s">
        <v>2908</v>
      </c>
      <c r="H840" s="52"/>
      <c r="I840" s="52" t="s">
        <v>2909</v>
      </c>
      <c r="J840" s="161">
        <v>1</v>
      </c>
      <c r="K840" s="252">
        <f>440257500+25000000</f>
        <v>465257500</v>
      </c>
      <c r="L840" s="52" t="s">
        <v>743</v>
      </c>
      <c r="M840" s="52" t="s">
        <v>743</v>
      </c>
      <c r="N840" s="52" t="s">
        <v>743</v>
      </c>
      <c r="O840" s="52" t="s">
        <v>743</v>
      </c>
      <c r="P840" s="52" t="s">
        <v>743</v>
      </c>
      <c r="Q840" s="52" t="s">
        <v>743</v>
      </c>
      <c r="R840" s="52" t="s">
        <v>743</v>
      </c>
      <c r="S840" s="52" t="s">
        <v>743</v>
      </c>
      <c r="T840" s="52" t="s">
        <v>743</v>
      </c>
      <c r="U840" s="52" t="s">
        <v>743</v>
      </c>
      <c r="V840" s="259"/>
      <c r="W840" s="259"/>
      <c r="X840" s="259"/>
      <c r="Y840" s="165"/>
      <c r="Z840" s="165"/>
      <c r="AA840" s="165"/>
      <c r="AB840" s="165"/>
      <c r="AC840" s="165"/>
      <c r="AD840" s="165"/>
      <c r="AE840" s="165"/>
      <c r="AF840" s="165"/>
    </row>
    <row r="841" spans="1:32" ht="45">
      <c r="A841" s="165"/>
      <c r="B841" s="48"/>
      <c r="C841" s="62"/>
      <c r="D841" s="63"/>
      <c r="E841" s="63"/>
      <c r="F841" s="64"/>
      <c r="G841" s="58" t="s">
        <v>2910</v>
      </c>
      <c r="H841" s="52"/>
      <c r="I841" s="52" t="s">
        <v>2911</v>
      </c>
      <c r="J841" s="161">
        <v>1</v>
      </c>
      <c r="K841" s="252">
        <v>150000000</v>
      </c>
      <c r="L841" s="52" t="s">
        <v>743</v>
      </c>
      <c r="M841" s="52" t="s">
        <v>743</v>
      </c>
      <c r="N841" s="52" t="s">
        <v>2911</v>
      </c>
      <c r="O841" s="252">
        <v>150000000</v>
      </c>
      <c r="P841" s="52" t="s">
        <v>743</v>
      </c>
      <c r="Q841" s="52" t="s">
        <v>743</v>
      </c>
      <c r="R841" s="52" t="s">
        <v>2911</v>
      </c>
      <c r="S841" s="252">
        <v>150000000</v>
      </c>
      <c r="T841" s="52" t="s">
        <v>2911</v>
      </c>
      <c r="U841" s="252">
        <v>150000000</v>
      </c>
      <c r="V841" s="259"/>
      <c r="W841" s="259"/>
      <c r="X841" s="259"/>
      <c r="Y841" s="165"/>
      <c r="Z841" s="165"/>
      <c r="AA841" s="165"/>
      <c r="AB841" s="165"/>
      <c r="AC841" s="165"/>
      <c r="AD841" s="165"/>
      <c r="AE841" s="165"/>
      <c r="AF841" s="165"/>
    </row>
    <row r="842" spans="1:32" ht="45">
      <c r="A842" s="165"/>
      <c r="B842" s="48"/>
      <c r="C842" s="62"/>
      <c r="D842" s="63"/>
      <c r="E842" s="63"/>
      <c r="F842" s="64"/>
      <c r="G842" s="58" t="s">
        <v>2912</v>
      </c>
      <c r="H842" s="52"/>
      <c r="I842" s="52" t="s">
        <v>743</v>
      </c>
      <c r="J842" s="52" t="s">
        <v>743</v>
      </c>
      <c r="K842" s="52"/>
      <c r="L842" s="52" t="s">
        <v>2913</v>
      </c>
      <c r="M842" s="252">
        <v>35000000</v>
      </c>
      <c r="N842" s="52" t="s">
        <v>2913</v>
      </c>
      <c r="O842" s="252">
        <v>45000000</v>
      </c>
      <c r="P842" s="52" t="s">
        <v>2913</v>
      </c>
      <c r="Q842" s="252">
        <v>50000000</v>
      </c>
      <c r="R842" s="52" t="s">
        <v>2913</v>
      </c>
      <c r="S842" s="252">
        <v>55000000</v>
      </c>
      <c r="T842" s="52" t="s">
        <v>2913</v>
      </c>
      <c r="U842" s="252">
        <v>55000000</v>
      </c>
      <c r="V842" s="259"/>
      <c r="W842" s="259"/>
      <c r="X842" s="259"/>
      <c r="Y842" s="165"/>
      <c r="Z842" s="165"/>
      <c r="AA842" s="165"/>
      <c r="AB842" s="165"/>
      <c r="AC842" s="165"/>
      <c r="AD842" s="165"/>
      <c r="AE842" s="165"/>
      <c r="AF842" s="165"/>
    </row>
    <row r="843" spans="1:32" ht="90">
      <c r="A843" s="165"/>
      <c r="B843" s="48"/>
      <c r="C843" s="62"/>
      <c r="D843" s="63"/>
      <c r="E843" s="63"/>
      <c r="F843" s="64"/>
      <c r="G843" s="58" t="s">
        <v>2914</v>
      </c>
      <c r="H843" s="52"/>
      <c r="I843" s="52" t="s">
        <v>743</v>
      </c>
      <c r="J843" s="52" t="s">
        <v>743</v>
      </c>
      <c r="K843" s="52"/>
      <c r="L843" s="52" t="s">
        <v>2915</v>
      </c>
      <c r="M843" s="252">
        <v>30000000</v>
      </c>
      <c r="N843" s="52" t="s">
        <v>2915</v>
      </c>
      <c r="O843" s="252">
        <v>30000000</v>
      </c>
      <c r="P843" s="52" t="s">
        <v>2915</v>
      </c>
      <c r="Q843" s="252">
        <v>35000000</v>
      </c>
      <c r="R843" s="52" t="s">
        <v>2915</v>
      </c>
      <c r="S843" s="252">
        <v>40000000</v>
      </c>
      <c r="T843" s="52" t="s">
        <v>2915</v>
      </c>
      <c r="U843" s="252">
        <v>40000000</v>
      </c>
      <c r="V843" s="259"/>
      <c r="W843" s="259"/>
      <c r="X843" s="259"/>
      <c r="Y843" s="165"/>
      <c r="Z843" s="165"/>
      <c r="AA843" s="165"/>
      <c r="AB843" s="165"/>
      <c r="AC843" s="165"/>
      <c r="AD843" s="165"/>
      <c r="AE843" s="165"/>
      <c r="AF843" s="165"/>
    </row>
    <row r="844" spans="1:32" s="540" customFormat="1" ht="60">
      <c r="B844" s="545"/>
      <c r="C844" s="593" t="str">
        <f>'matrik MISI 1'!J95</f>
        <v>1.15</v>
      </c>
      <c r="D844" s="594" t="str">
        <f>'matrik MISI 1'!K95</f>
        <v>xx</v>
      </c>
      <c r="E844" s="594">
        <f>'matrik MISI 1'!L95</f>
        <v>18</v>
      </c>
      <c r="F844" s="595" t="str">
        <f>'matrik MISI 1'!M95</f>
        <v>Peningkatan kualitas kelembagaan koperasi</v>
      </c>
      <c r="G844" s="548"/>
      <c r="H844" s="551"/>
      <c r="I844" s="551"/>
      <c r="J844" s="551"/>
      <c r="K844" s="551">
        <f>SUM(K845:K854)</f>
        <v>422151000</v>
      </c>
      <c r="L844" s="551"/>
      <c r="M844" s="551">
        <f t="shared" ref="M844:U844" si="66">SUM(M845:M854)</f>
        <v>40000000</v>
      </c>
      <c r="N844" s="551"/>
      <c r="O844" s="551">
        <f t="shared" si="66"/>
        <v>240000000</v>
      </c>
      <c r="P844" s="551"/>
      <c r="Q844" s="551">
        <f t="shared" si="66"/>
        <v>265000000</v>
      </c>
      <c r="R844" s="551"/>
      <c r="S844" s="551">
        <f t="shared" si="66"/>
        <v>255000000</v>
      </c>
      <c r="T844" s="551"/>
      <c r="U844" s="551">
        <f t="shared" si="66"/>
        <v>255000000</v>
      </c>
      <c r="V844" s="551"/>
      <c r="W844" s="551"/>
      <c r="X844" s="551" t="str">
        <f>'matrik MISI 1'!X95</f>
        <v>DISPERIDAGKOP DAN UMKM</v>
      </c>
    </row>
    <row r="845" spans="1:32" ht="45">
      <c r="A845" s="165"/>
      <c r="B845" s="48"/>
      <c r="C845" s="62"/>
      <c r="D845" s="63"/>
      <c r="E845" s="63"/>
      <c r="F845" s="64"/>
      <c r="G845" s="58" t="s">
        <v>2916</v>
      </c>
      <c r="H845" s="52"/>
      <c r="I845" s="52" t="s">
        <v>2917</v>
      </c>
      <c r="J845" s="161">
        <v>1</v>
      </c>
      <c r="K845" s="252">
        <v>24955000</v>
      </c>
      <c r="L845" s="52" t="s">
        <v>743</v>
      </c>
      <c r="M845" s="52" t="s">
        <v>743</v>
      </c>
      <c r="N845" s="52" t="s">
        <v>743</v>
      </c>
      <c r="O845" s="252">
        <v>30000000</v>
      </c>
      <c r="P845" s="52" t="s">
        <v>2917</v>
      </c>
      <c r="Q845" s="252">
        <v>35000000</v>
      </c>
      <c r="R845" s="52" t="s">
        <v>2917</v>
      </c>
      <c r="S845" s="252">
        <v>35000000</v>
      </c>
      <c r="T845" s="52" t="s">
        <v>2917</v>
      </c>
      <c r="U845" s="252">
        <v>35000000</v>
      </c>
      <c r="V845" s="259"/>
      <c r="W845" s="259"/>
      <c r="X845" s="259"/>
      <c r="Y845" s="165"/>
      <c r="Z845" s="165"/>
      <c r="AA845" s="165"/>
      <c r="AB845" s="165"/>
      <c r="AC845" s="165"/>
      <c r="AD845" s="165"/>
      <c r="AE845" s="165"/>
      <c r="AF845" s="165"/>
    </row>
    <row r="846" spans="1:32" ht="75">
      <c r="A846" s="165"/>
      <c r="B846" s="48"/>
      <c r="C846" s="62"/>
      <c r="D846" s="63"/>
      <c r="E846" s="63"/>
      <c r="F846" s="64"/>
      <c r="G846" s="58" t="s">
        <v>2918</v>
      </c>
      <c r="H846" s="52"/>
      <c r="I846" s="52" t="s">
        <v>2919</v>
      </c>
      <c r="J846" s="161">
        <v>1</v>
      </c>
      <c r="K846" s="252">
        <v>20000000</v>
      </c>
      <c r="L846" s="52" t="s">
        <v>2919</v>
      </c>
      <c r="M846" s="252">
        <v>20000000</v>
      </c>
      <c r="N846" s="52" t="s">
        <v>2919</v>
      </c>
      <c r="O846" s="252">
        <v>30000000</v>
      </c>
      <c r="P846" s="52" t="s">
        <v>2919</v>
      </c>
      <c r="Q846" s="252">
        <v>30000000</v>
      </c>
      <c r="R846" s="52" t="s">
        <v>2919</v>
      </c>
      <c r="S846" s="252">
        <v>35000000</v>
      </c>
      <c r="T846" s="52" t="s">
        <v>2919</v>
      </c>
      <c r="U846" s="252">
        <v>35000000</v>
      </c>
      <c r="V846" s="259"/>
      <c r="W846" s="259"/>
      <c r="X846" s="259"/>
      <c r="Y846" s="165"/>
      <c r="Z846" s="165"/>
      <c r="AA846" s="165"/>
      <c r="AB846" s="165"/>
      <c r="AC846" s="165"/>
      <c r="AD846" s="165"/>
      <c r="AE846" s="165"/>
      <c r="AF846" s="165"/>
    </row>
    <row r="847" spans="1:32" ht="120">
      <c r="A847" s="165"/>
      <c r="B847" s="48"/>
      <c r="C847" s="62"/>
      <c r="D847" s="63"/>
      <c r="E847" s="63"/>
      <c r="F847" s="64"/>
      <c r="G847" s="58" t="s">
        <v>2920</v>
      </c>
      <c r="H847" s="52"/>
      <c r="I847" s="52" t="s">
        <v>2921</v>
      </c>
      <c r="J847" s="161">
        <v>1</v>
      </c>
      <c r="K847" s="252">
        <v>15000000</v>
      </c>
      <c r="L847" s="52" t="s">
        <v>2921</v>
      </c>
      <c r="M847" s="252">
        <v>20000000</v>
      </c>
      <c r="N847" s="52" t="s">
        <v>2922</v>
      </c>
      <c r="O847" s="252">
        <v>40000000</v>
      </c>
      <c r="P847" s="52" t="s">
        <v>2922</v>
      </c>
      <c r="Q847" s="252">
        <v>45000000</v>
      </c>
      <c r="R847" s="52" t="s">
        <v>2922</v>
      </c>
      <c r="S847" s="252">
        <v>45000000</v>
      </c>
      <c r="T847" s="52" t="s">
        <v>2922</v>
      </c>
      <c r="U847" s="252">
        <v>45000000</v>
      </c>
      <c r="V847" s="259"/>
      <c r="W847" s="259"/>
      <c r="X847" s="259"/>
      <c r="Y847" s="165"/>
      <c r="Z847" s="165"/>
      <c r="AA847" s="165"/>
      <c r="AB847" s="165"/>
      <c r="AC847" s="165"/>
      <c r="AD847" s="165"/>
      <c r="AE847" s="165"/>
      <c r="AF847" s="165"/>
    </row>
    <row r="848" spans="1:32" ht="45">
      <c r="A848" s="165"/>
      <c r="B848" s="48"/>
      <c r="C848" s="62"/>
      <c r="D848" s="63"/>
      <c r="E848" s="63"/>
      <c r="F848" s="64"/>
      <c r="G848" s="58" t="s">
        <v>2923</v>
      </c>
      <c r="H848" s="52"/>
      <c r="I848" s="52" t="s">
        <v>2924</v>
      </c>
      <c r="J848" s="161">
        <v>1</v>
      </c>
      <c r="K848" s="252">
        <v>300000000</v>
      </c>
      <c r="L848" s="52" t="s">
        <v>743</v>
      </c>
      <c r="M848" s="52" t="s">
        <v>743</v>
      </c>
      <c r="N848" s="52" t="s">
        <v>743</v>
      </c>
      <c r="O848" s="52" t="s">
        <v>743</v>
      </c>
      <c r="P848" s="52" t="s">
        <v>743</v>
      </c>
      <c r="Q848" s="52" t="s">
        <v>743</v>
      </c>
      <c r="R848" s="52" t="s">
        <v>743</v>
      </c>
      <c r="S848" s="52" t="s">
        <v>743</v>
      </c>
      <c r="T848" s="52" t="s">
        <v>743</v>
      </c>
      <c r="U848" s="52" t="s">
        <v>743</v>
      </c>
      <c r="V848" s="259"/>
      <c r="W848" s="259"/>
      <c r="X848" s="259"/>
      <c r="Y848" s="165"/>
      <c r="Z848" s="165"/>
      <c r="AA848" s="165"/>
      <c r="AB848" s="165"/>
      <c r="AC848" s="165"/>
      <c r="AD848" s="165"/>
      <c r="AE848" s="165"/>
      <c r="AF848" s="165"/>
    </row>
    <row r="849" spans="1:32" ht="45">
      <c r="A849" s="165"/>
      <c r="B849" s="48"/>
      <c r="C849" s="62"/>
      <c r="D849" s="63"/>
      <c r="E849" s="63"/>
      <c r="F849" s="64"/>
      <c r="G849" s="58" t="s">
        <v>2925</v>
      </c>
      <c r="H849" s="52"/>
      <c r="I849" s="52" t="s">
        <v>2926</v>
      </c>
      <c r="J849" s="161">
        <v>1</v>
      </c>
      <c r="K849" s="252">
        <v>15000000</v>
      </c>
      <c r="L849" s="52" t="s">
        <v>743</v>
      </c>
      <c r="M849" s="52" t="s">
        <v>743</v>
      </c>
      <c r="N849" s="52" t="s">
        <v>2927</v>
      </c>
      <c r="O849" s="252">
        <v>30000000</v>
      </c>
      <c r="P849" s="52" t="s">
        <v>2927</v>
      </c>
      <c r="Q849" s="252">
        <v>35000000</v>
      </c>
      <c r="R849" s="52" t="s">
        <v>2927</v>
      </c>
      <c r="S849" s="252">
        <v>35000000</v>
      </c>
      <c r="T849" s="52" t="s">
        <v>2927</v>
      </c>
      <c r="U849" s="252">
        <v>35000000</v>
      </c>
      <c r="V849" s="259"/>
      <c r="W849" s="259"/>
      <c r="X849" s="259"/>
      <c r="Y849" s="165"/>
      <c r="Z849" s="165"/>
      <c r="AA849" s="165"/>
      <c r="AB849" s="165"/>
      <c r="AC849" s="165"/>
      <c r="AD849" s="165"/>
      <c r="AE849" s="165"/>
      <c r="AF849" s="165"/>
    </row>
    <row r="850" spans="1:32" ht="30">
      <c r="A850" s="165"/>
      <c r="B850" s="48"/>
      <c r="C850" s="62"/>
      <c r="D850" s="63"/>
      <c r="E850" s="63"/>
      <c r="F850" s="64"/>
      <c r="G850" s="58" t="s">
        <v>2928</v>
      </c>
      <c r="H850" s="52"/>
      <c r="I850" s="52" t="s">
        <v>2929</v>
      </c>
      <c r="J850" s="161">
        <v>1</v>
      </c>
      <c r="K850" s="252">
        <v>30000000</v>
      </c>
      <c r="L850" s="52" t="s">
        <v>743</v>
      </c>
      <c r="M850" s="52" t="s">
        <v>743</v>
      </c>
      <c r="N850" s="52" t="s">
        <v>2930</v>
      </c>
      <c r="O850" s="252">
        <v>55000000</v>
      </c>
      <c r="P850" s="52" t="s">
        <v>2930</v>
      </c>
      <c r="Q850" s="252">
        <v>55000000</v>
      </c>
      <c r="R850" s="52" t="s">
        <v>2930</v>
      </c>
      <c r="S850" s="252">
        <v>60000000</v>
      </c>
      <c r="T850" s="52" t="s">
        <v>2930</v>
      </c>
      <c r="U850" s="252">
        <v>60000000</v>
      </c>
      <c r="V850" s="259"/>
      <c r="W850" s="259"/>
      <c r="X850" s="259"/>
      <c r="Y850" s="165"/>
      <c r="Z850" s="165"/>
      <c r="AA850" s="165"/>
      <c r="AB850" s="165"/>
      <c r="AC850" s="165"/>
      <c r="AD850" s="165"/>
      <c r="AE850" s="165"/>
      <c r="AF850" s="165"/>
    </row>
    <row r="851" spans="1:32" ht="60">
      <c r="A851" s="165"/>
      <c r="B851" s="48"/>
      <c r="C851" s="62"/>
      <c r="D851" s="63"/>
      <c r="E851" s="63"/>
      <c r="F851" s="64"/>
      <c r="G851" s="58" t="s">
        <v>2931</v>
      </c>
      <c r="H851" s="52"/>
      <c r="I851" s="52" t="s">
        <v>2932</v>
      </c>
      <c r="J851" s="161">
        <v>1</v>
      </c>
      <c r="K851" s="252">
        <v>17196000</v>
      </c>
      <c r="L851" s="52" t="s">
        <v>743</v>
      </c>
      <c r="M851" s="52" t="s">
        <v>743</v>
      </c>
      <c r="N851" s="52" t="s">
        <v>743</v>
      </c>
      <c r="O851" s="52" t="s">
        <v>743</v>
      </c>
      <c r="P851" s="52" t="s">
        <v>743</v>
      </c>
      <c r="Q851" s="52" t="s">
        <v>743</v>
      </c>
      <c r="R851" s="52" t="s">
        <v>743</v>
      </c>
      <c r="S851" s="52" t="s">
        <v>743</v>
      </c>
      <c r="T851" s="52" t="s">
        <v>743</v>
      </c>
      <c r="U851" s="52" t="s">
        <v>743</v>
      </c>
      <c r="V851" s="259"/>
      <c r="W851" s="259"/>
      <c r="X851" s="259"/>
      <c r="Y851" s="165"/>
      <c r="Z851" s="165"/>
      <c r="AA851" s="165"/>
      <c r="AB851" s="165"/>
      <c r="AC851" s="165"/>
      <c r="AD851" s="165"/>
      <c r="AE851" s="165"/>
      <c r="AF851" s="165"/>
    </row>
    <row r="852" spans="1:32" ht="75">
      <c r="A852" s="165"/>
      <c r="B852" s="48"/>
      <c r="C852" s="62"/>
      <c r="D852" s="63"/>
      <c r="E852" s="63"/>
      <c r="F852" s="64"/>
      <c r="G852" s="58" t="s">
        <v>2933</v>
      </c>
      <c r="H852" s="52"/>
      <c r="I852" s="52" t="s">
        <v>743</v>
      </c>
      <c r="J852" s="52" t="s">
        <v>743</v>
      </c>
      <c r="K852" s="52" t="s">
        <v>743</v>
      </c>
      <c r="L852" s="52" t="s">
        <v>743</v>
      </c>
      <c r="M852" s="52" t="s">
        <v>743</v>
      </c>
      <c r="N852" s="52" t="s">
        <v>2922</v>
      </c>
      <c r="O852" s="252">
        <v>35000000</v>
      </c>
      <c r="P852" s="52" t="s">
        <v>2922</v>
      </c>
      <c r="Q852" s="252">
        <v>40000000</v>
      </c>
      <c r="R852" s="52" t="s">
        <v>743</v>
      </c>
      <c r="S852" s="52" t="s">
        <v>743</v>
      </c>
      <c r="T852" s="52" t="s">
        <v>743</v>
      </c>
      <c r="U852" s="52" t="s">
        <v>743</v>
      </c>
      <c r="V852" s="259"/>
      <c r="W852" s="259"/>
      <c r="X852" s="259"/>
      <c r="Y852" s="165"/>
      <c r="Z852" s="165"/>
      <c r="AA852" s="165"/>
      <c r="AB852" s="165"/>
      <c r="AC852" s="165"/>
      <c r="AD852" s="165"/>
      <c r="AE852" s="165"/>
      <c r="AF852" s="165"/>
    </row>
    <row r="853" spans="1:32" ht="45">
      <c r="A853" s="165"/>
      <c r="B853" s="48"/>
      <c r="C853" s="62"/>
      <c r="D853" s="63"/>
      <c r="E853" s="63"/>
      <c r="F853" s="64"/>
      <c r="G853" s="58" t="s">
        <v>2934</v>
      </c>
      <c r="H853" s="52"/>
      <c r="I853" s="52" t="s">
        <v>743</v>
      </c>
      <c r="J853" s="52" t="s">
        <v>743</v>
      </c>
      <c r="K853" s="52" t="s">
        <v>743</v>
      </c>
      <c r="L853" s="52" t="s">
        <v>743</v>
      </c>
      <c r="M853" s="52" t="s">
        <v>743</v>
      </c>
      <c r="N853" s="52" t="s">
        <v>743</v>
      </c>
      <c r="O853" s="52" t="s">
        <v>743</v>
      </c>
      <c r="P853" s="52" t="s">
        <v>743</v>
      </c>
      <c r="Q853" s="52" t="s">
        <v>743</v>
      </c>
      <c r="R853" s="52" t="s">
        <v>2935</v>
      </c>
      <c r="S853" s="252">
        <v>15000000</v>
      </c>
      <c r="T853" s="52" t="s">
        <v>2935</v>
      </c>
      <c r="U853" s="252">
        <v>15000000</v>
      </c>
      <c r="V853" s="259"/>
      <c r="W853" s="259"/>
      <c r="X853" s="259"/>
      <c r="Y853" s="165"/>
      <c r="Z853" s="165"/>
      <c r="AA853" s="165"/>
      <c r="AB853" s="165"/>
      <c r="AC853" s="165"/>
      <c r="AD853" s="165"/>
      <c r="AE853" s="165"/>
      <c r="AF853" s="165"/>
    </row>
    <row r="854" spans="1:32" ht="45">
      <c r="A854" s="165"/>
      <c r="B854" s="48"/>
      <c r="C854" s="62"/>
      <c r="D854" s="63"/>
      <c r="E854" s="63"/>
      <c r="F854" s="64"/>
      <c r="G854" s="58" t="s">
        <v>2936</v>
      </c>
      <c r="H854" s="52"/>
      <c r="I854" s="52" t="s">
        <v>743</v>
      </c>
      <c r="J854" s="52" t="s">
        <v>743</v>
      </c>
      <c r="K854" s="52" t="s">
        <v>743</v>
      </c>
      <c r="L854" s="52" t="s">
        <v>743</v>
      </c>
      <c r="M854" s="52" t="s">
        <v>743</v>
      </c>
      <c r="N854" s="52" t="s">
        <v>2922</v>
      </c>
      <c r="O854" s="252">
        <v>20000000</v>
      </c>
      <c r="P854" s="52" t="s">
        <v>2922</v>
      </c>
      <c r="Q854" s="252">
        <v>25000000</v>
      </c>
      <c r="R854" s="52" t="s">
        <v>2922</v>
      </c>
      <c r="S854" s="252">
        <v>30000000</v>
      </c>
      <c r="T854" s="52" t="s">
        <v>2922</v>
      </c>
      <c r="U854" s="252">
        <v>30000000</v>
      </c>
      <c r="V854" s="259"/>
      <c r="W854" s="259"/>
      <c r="X854" s="259"/>
      <c r="Y854" s="48"/>
      <c r="Z854" s="49"/>
      <c r="AA854" s="49"/>
      <c r="AB854" s="165"/>
      <c r="AC854" s="165"/>
      <c r="AD854" s="165"/>
      <c r="AE854" s="165"/>
      <c r="AF854" s="165"/>
    </row>
    <row r="855" spans="1:32" s="280" customFormat="1" ht="30" customHeight="1">
      <c r="A855" s="285"/>
      <c r="B855" s="1093" t="s">
        <v>4247</v>
      </c>
      <c r="C855" s="1094"/>
      <c r="D855" s="1094"/>
      <c r="E855" s="1094"/>
      <c r="F855" s="1094"/>
      <c r="G855" s="1095"/>
      <c r="H855" s="382"/>
      <c r="I855" s="382"/>
      <c r="J855" s="382"/>
      <c r="K855" s="382">
        <f>SUM(K830:K854)</f>
        <v>2243612500</v>
      </c>
      <c r="L855" s="382"/>
      <c r="M855" s="382">
        <f t="shared" ref="M855:U855" si="67">SUM(M830:M854)</f>
        <v>810000000</v>
      </c>
      <c r="N855" s="382"/>
      <c r="O855" s="382">
        <f t="shared" si="67"/>
        <v>1500000000</v>
      </c>
      <c r="P855" s="382"/>
      <c r="Q855" s="382">
        <f t="shared" si="67"/>
        <v>1405000000</v>
      </c>
      <c r="R855" s="382"/>
      <c r="S855" s="382">
        <f t="shared" si="67"/>
        <v>1680000000</v>
      </c>
      <c r="T855" s="382"/>
      <c r="U855" s="382">
        <f t="shared" si="67"/>
        <v>1680000000</v>
      </c>
      <c r="V855" s="382"/>
      <c r="W855" s="382"/>
      <c r="X855" s="382"/>
      <c r="Y855" s="321"/>
      <c r="Z855" s="322"/>
      <c r="AA855" s="322"/>
      <c r="AB855" s="285"/>
      <c r="AC855" s="285"/>
      <c r="AD855" s="285"/>
      <c r="AE855" s="285"/>
      <c r="AF855" s="285"/>
    </row>
    <row r="856" spans="1:32" ht="30">
      <c r="A856" s="165"/>
      <c r="B856" s="62" t="str">
        <f>'matrik MISI 6'!B84</f>
        <v>PENANAMAN MODAL</v>
      </c>
      <c r="C856" s="56"/>
      <c r="D856" s="57"/>
      <c r="E856" s="57"/>
      <c r="F856" s="58"/>
      <c r="G856" s="58"/>
      <c r="H856" s="52"/>
      <c r="I856" s="52"/>
      <c r="J856" s="52"/>
      <c r="K856" s="52"/>
      <c r="L856" s="52"/>
      <c r="M856" s="52"/>
      <c r="N856" s="52"/>
      <c r="O856" s="52"/>
      <c r="P856" s="52"/>
      <c r="Q856" s="52"/>
      <c r="R856" s="52"/>
      <c r="S856" s="52"/>
      <c r="T856" s="52"/>
      <c r="U856" s="52"/>
      <c r="V856" s="52"/>
      <c r="W856" s="52"/>
      <c r="X856" s="52"/>
      <c r="Y856" s="48"/>
      <c r="Z856" s="49"/>
      <c r="AA856" s="49"/>
      <c r="AB856" s="165"/>
      <c r="AC856" s="165"/>
      <c r="AD856" s="165"/>
      <c r="AE856" s="165"/>
      <c r="AF856" s="165"/>
    </row>
    <row r="857" spans="1:32" s="540" customFormat="1">
      <c r="B857" s="545"/>
      <c r="C857" s="593" t="e">
        <f>'matrik MISI 6'!#REF!</f>
        <v>#REF!</v>
      </c>
      <c r="D857" s="594" t="e">
        <f>'matrik MISI 6'!#REF!</f>
        <v>#REF!</v>
      </c>
      <c r="E857" s="594" t="e">
        <f>'matrik MISI 6'!#REF!</f>
        <v>#REF!</v>
      </c>
      <c r="F857" s="595">
        <v>15</v>
      </c>
      <c r="G857" s="548"/>
      <c r="H857" s="550"/>
      <c r="I857" s="550"/>
      <c r="J857" s="550"/>
      <c r="K857" s="550">
        <f>SUM(K858:K863)</f>
        <v>135880000</v>
      </c>
      <c r="L857" s="550">
        <f t="shared" ref="L857:U857" si="68">SUM(L858:L863)</f>
        <v>3300</v>
      </c>
      <c r="M857" s="550">
        <f t="shared" si="68"/>
        <v>300000000</v>
      </c>
      <c r="N857" s="550">
        <f t="shared" si="68"/>
        <v>3351</v>
      </c>
      <c r="O857" s="550">
        <f t="shared" si="68"/>
        <v>440000000</v>
      </c>
      <c r="P857" s="550">
        <f t="shared" si="68"/>
        <v>3401</v>
      </c>
      <c r="Q857" s="550">
        <f t="shared" si="68"/>
        <v>440000000</v>
      </c>
      <c r="R857" s="550">
        <f t="shared" si="68"/>
        <v>3450</v>
      </c>
      <c r="S857" s="550">
        <f t="shared" si="68"/>
        <v>440000000</v>
      </c>
      <c r="T857" s="550">
        <f t="shared" si="68"/>
        <v>3450</v>
      </c>
      <c r="U857" s="550">
        <f t="shared" si="68"/>
        <v>450000000</v>
      </c>
      <c r="V857" s="550"/>
      <c r="W857" s="550"/>
      <c r="X857" s="550"/>
      <c r="Y857" s="545"/>
      <c r="Z857" s="546"/>
      <c r="AA857" s="546"/>
    </row>
    <row r="858" spans="1:32" ht="30">
      <c r="A858" s="165"/>
      <c r="B858" s="48"/>
      <c r="C858" s="62"/>
      <c r="D858" s="63"/>
      <c r="E858" s="63"/>
      <c r="F858" s="64"/>
      <c r="G858" s="58" t="s">
        <v>2948</v>
      </c>
      <c r="H858" s="161"/>
      <c r="I858" s="161"/>
      <c r="J858" s="161"/>
      <c r="K858" s="52"/>
      <c r="L858" s="161"/>
      <c r="M858" s="52"/>
      <c r="N858" s="52">
        <v>1</v>
      </c>
      <c r="O858" s="252">
        <v>50000000</v>
      </c>
      <c r="P858" s="161"/>
      <c r="Q858" s="52"/>
      <c r="R858" s="161"/>
      <c r="S858" s="52"/>
      <c r="T858" s="161"/>
      <c r="U858" s="52"/>
      <c r="V858" s="52"/>
      <c r="W858" s="52"/>
      <c r="X858" s="52"/>
      <c r="Y858" s="48"/>
      <c r="Z858" s="49"/>
      <c r="AA858" s="49"/>
      <c r="AB858" s="165"/>
      <c r="AC858" s="165"/>
      <c r="AD858" s="165"/>
      <c r="AE858" s="165"/>
      <c r="AF858" s="165"/>
    </row>
    <row r="859" spans="1:32" ht="30">
      <c r="A859" s="165"/>
      <c r="B859" s="48"/>
      <c r="C859" s="62"/>
      <c r="D859" s="63"/>
      <c r="E859" s="63"/>
      <c r="F859" s="64"/>
      <c r="G859" s="58" t="s">
        <v>2949</v>
      </c>
      <c r="H859" s="52"/>
      <c r="I859" s="52"/>
      <c r="J859" s="52"/>
      <c r="K859" s="52"/>
      <c r="L859" s="52"/>
      <c r="M859" s="251" t="s">
        <v>1798</v>
      </c>
      <c r="N859" s="52"/>
      <c r="O859" s="252"/>
      <c r="P859" s="52">
        <v>1</v>
      </c>
      <c r="Q859" s="252">
        <v>30000000</v>
      </c>
      <c r="R859" s="52"/>
      <c r="S859" s="252"/>
      <c r="T859" s="52"/>
      <c r="U859" s="252"/>
      <c r="V859" s="52"/>
      <c r="W859" s="52"/>
      <c r="X859" s="52"/>
      <c r="Y859" s="48"/>
      <c r="Z859" s="49"/>
      <c r="AA859" s="49"/>
      <c r="AB859" s="165"/>
      <c r="AC859" s="165"/>
      <c r="AD859" s="165"/>
      <c r="AE859" s="165"/>
      <c r="AF859" s="165"/>
    </row>
    <row r="860" spans="1:32" ht="45">
      <c r="A860" s="165"/>
      <c r="B860" s="48"/>
      <c r="C860" s="62"/>
      <c r="D860" s="63"/>
      <c r="E860" s="63"/>
      <c r="F860" s="64"/>
      <c r="G860" s="58" t="s">
        <v>2950</v>
      </c>
      <c r="H860" s="52"/>
      <c r="I860" s="52"/>
      <c r="J860" s="52"/>
      <c r="K860" s="52"/>
      <c r="L860" s="52"/>
      <c r="M860" s="251"/>
      <c r="N860" s="52" t="s">
        <v>2937</v>
      </c>
      <c r="O860" s="252">
        <v>30000000</v>
      </c>
      <c r="P860" s="52" t="s">
        <v>2937</v>
      </c>
      <c r="Q860" s="252">
        <v>30000000</v>
      </c>
      <c r="R860" s="52" t="s">
        <v>2937</v>
      </c>
      <c r="S860" s="252">
        <v>40000000</v>
      </c>
      <c r="T860" s="52" t="s">
        <v>2937</v>
      </c>
      <c r="U860" s="252">
        <v>40000000</v>
      </c>
      <c r="V860" s="52"/>
      <c r="W860" s="52"/>
      <c r="X860" s="52"/>
      <c r="Y860" s="48"/>
      <c r="Z860" s="49"/>
      <c r="AA860" s="49"/>
      <c r="AB860" s="165"/>
      <c r="AC860" s="165"/>
      <c r="AD860" s="165"/>
      <c r="AE860" s="165"/>
      <c r="AF860" s="165"/>
    </row>
    <row r="861" spans="1:32" ht="45">
      <c r="A861" s="165"/>
      <c r="B861" s="48"/>
      <c r="C861" s="62"/>
      <c r="D861" s="63"/>
      <c r="E861" s="63"/>
      <c r="F861" s="64"/>
      <c r="G861" s="55" t="s">
        <v>4680</v>
      </c>
      <c r="H861" s="52"/>
      <c r="I861" s="52"/>
      <c r="J861" s="52"/>
      <c r="K861" s="52"/>
      <c r="L861" s="52"/>
      <c r="M861" s="741">
        <v>50000000</v>
      </c>
      <c r="N861" s="52"/>
      <c r="O861" s="742">
        <v>60000000</v>
      </c>
      <c r="P861" s="52"/>
      <c r="Q861" s="742">
        <v>70000000</v>
      </c>
      <c r="R861" s="52"/>
      <c r="S861" s="742">
        <v>80000000</v>
      </c>
      <c r="T861" s="52"/>
      <c r="U861" s="742">
        <v>80000000</v>
      </c>
      <c r="V861" s="52"/>
      <c r="W861" s="52"/>
      <c r="X861" s="52"/>
      <c r="Y861" s="48"/>
      <c r="Z861" s="49"/>
      <c r="AA861" s="49"/>
      <c r="AB861" s="165"/>
      <c r="AC861" s="165"/>
      <c r="AD861" s="165"/>
      <c r="AE861" s="165"/>
      <c r="AF861" s="165"/>
    </row>
    <row r="862" spans="1:32" ht="30">
      <c r="A862" s="165"/>
      <c r="B862" s="48"/>
      <c r="C862" s="62"/>
      <c r="D862" s="63"/>
      <c r="E862" s="63"/>
      <c r="F862" s="64"/>
      <c r="G862" s="58" t="s">
        <v>2951</v>
      </c>
      <c r="H862" s="52"/>
      <c r="I862" s="52"/>
      <c r="J862" s="52"/>
      <c r="K862" s="52"/>
      <c r="L862" s="52"/>
      <c r="M862" s="251"/>
      <c r="N862" s="52" t="s">
        <v>2937</v>
      </c>
      <c r="O862" s="252">
        <v>25000000</v>
      </c>
      <c r="P862" s="52" t="s">
        <v>2937</v>
      </c>
      <c r="Q862" s="252">
        <v>25000000</v>
      </c>
      <c r="R862" s="52" t="s">
        <v>2937</v>
      </c>
      <c r="S862" s="252">
        <v>30000000</v>
      </c>
      <c r="T862" s="52" t="s">
        <v>2937</v>
      </c>
      <c r="U862" s="252">
        <v>30000000</v>
      </c>
      <c r="V862" s="52"/>
      <c r="W862" s="52"/>
      <c r="X862" s="52"/>
      <c r="Y862" s="48"/>
      <c r="Z862" s="49"/>
      <c r="AA862" s="49"/>
      <c r="AB862" s="165"/>
      <c r="AC862" s="165"/>
      <c r="AD862" s="165"/>
      <c r="AE862" s="165"/>
      <c r="AF862" s="165"/>
    </row>
    <row r="863" spans="1:32" ht="30">
      <c r="A863" s="165"/>
      <c r="B863" s="48"/>
      <c r="C863" s="62"/>
      <c r="D863" s="63"/>
      <c r="E863" s="63"/>
      <c r="F863" s="64"/>
      <c r="G863" s="58" t="s">
        <v>2952</v>
      </c>
      <c r="H863" s="161">
        <v>1</v>
      </c>
      <c r="I863" s="52">
        <v>3000</v>
      </c>
      <c r="J863" s="161">
        <v>1</v>
      </c>
      <c r="K863" s="252">
        <v>135880000</v>
      </c>
      <c r="L863" s="52">
        <v>3300</v>
      </c>
      <c r="M863" s="231">
        <v>250000000</v>
      </c>
      <c r="N863" s="52">
        <v>3350</v>
      </c>
      <c r="O863" s="231">
        <v>275000000</v>
      </c>
      <c r="P863" s="52">
        <v>3400</v>
      </c>
      <c r="Q863" s="231">
        <v>285000000</v>
      </c>
      <c r="R863" s="52">
        <v>3450</v>
      </c>
      <c r="S863" s="231">
        <v>290000000</v>
      </c>
      <c r="T863" s="52">
        <v>3450</v>
      </c>
      <c r="U863" s="231">
        <v>300000000</v>
      </c>
      <c r="V863" s="52"/>
      <c r="W863" s="52"/>
      <c r="X863" s="52"/>
      <c r="Y863" s="48"/>
      <c r="Z863" s="49"/>
      <c r="AA863" s="49"/>
      <c r="AB863" s="165"/>
      <c r="AC863" s="165"/>
      <c r="AD863" s="165"/>
      <c r="AE863" s="165"/>
      <c r="AF863" s="165"/>
    </row>
    <row r="864" spans="1:32" s="540" customFormat="1">
      <c r="B864" s="545"/>
      <c r="C864" s="593">
        <f>'matrik MISI 6'!J91</f>
        <v>0</v>
      </c>
      <c r="D864" s="594">
        <f>'matrik MISI 6'!K91</f>
        <v>0</v>
      </c>
      <c r="E864" s="594">
        <f>'matrik MISI 6'!L91</f>
        <v>0</v>
      </c>
      <c r="F864" s="595">
        <v>16</v>
      </c>
      <c r="G864" s="548"/>
      <c r="H864" s="550"/>
      <c r="I864" s="550"/>
      <c r="J864" s="550"/>
      <c r="K864" s="551">
        <f>SUM(K865:K876)</f>
        <v>307735000</v>
      </c>
      <c r="L864" s="551">
        <f t="shared" ref="L864:S864" si="69">SUM(L865:L876)</f>
        <v>0</v>
      </c>
      <c r="M864" s="551">
        <f t="shared" si="69"/>
        <v>757212500</v>
      </c>
      <c r="N864" s="551">
        <f t="shared" si="69"/>
        <v>0</v>
      </c>
      <c r="O864" s="551">
        <f t="shared" si="69"/>
        <v>939860000</v>
      </c>
      <c r="P864" s="551">
        <f t="shared" si="69"/>
        <v>0</v>
      </c>
      <c r="Q864" s="551">
        <f t="shared" si="69"/>
        <v>740000000</v>
      </c>
      <c r="R864" s="551">
        <f t="shared" si="69"/>
        <v>0</v>
      </c>
      <c r="S864" s="551">
        <f t="shared" si="69"/>
        <v>895000000</v>
      </c>
      <c r="T864" s="551">
        <f>SUM(T868:T876)</f>
        <v>0</v>
      </c>
      <c r="U864" s="551">
        <f>SUM(U868:U876)</f>
        <v>715000000</v>
      </c>
      <c r="V864" s="551">
        <f>SUM(V868:V876)</f>
        <v>0</v>
      </c>
      <c r="W864" s="551">
        <f>SUM(W868:W876)</f>
        <v>0</v>
      </c>
      <c r="X864" s="550"/>
      <c r="Y864" s="545"/>
      <c r="Z864" s="546"/>
      <c r="AA864" s="546"/>
    </row>
    <row r="865" spans="1:32" ht="30">
      <c r="A865" s="165"/>
      <c r="B865" s="48"/>
      <c r="C865" s="62"/>
      <c r="D865" s="63"/>
      <c r="E865" s="63"/>
      <c r="F865" s="64"/>
      <c r="G865" s="55" t="s">
        <v>4653</v>
      </c>
      <c r="H865" s="52"/>
      <c r="I865" s="52"/>
      <c r="J865" s="52"/>
      <c r="K865" s="52"/>
      <c r="L865" s="52"/>
      <c r="M865" s="52"/>
      <c r="N865" s="52" t="s">
        <v>2937</v>
      </c>
      <c r="O865" s="231">
        <v>25000000</v>
      </c>
      <c r="P865" s="252" t="s">
        <v>2937</v>
      </c>
      <c r="Q865" s="252">
        <v>25000000</v>
      </c>
      <c r="R865" s="52" t="s">
        <v>2937</v>
      </c>
      <c r="S865" s="252">
        <v>30000000</v>
      </c>
      <c r="T865" s="52" t="s">
        <v>2937</v>
      </c>
      <c r="U865" s="252">
        <v>30000000</v>
      </c>
      <c r="V865" s="52"/>
      <c r="W865" s="52"/>
      <c r="X865" s="52"/>
      <c r="Y865" s="48"/>
      <c r="Z865" s="49"/>
      <c r="AA865" s="49"/>
      <c r="AB865" s="165"/>
      <c r="AC865" s="165"/>
      <c r="AD865" s="165"/>
      <c r="AE865" s="165"/>
      <c r="AF865" s="165"/>
    </row>
    <row r="866" spans="1:32">
      <c r="A866" s="165"/>
      <c r="B866" s="48"/>
      <c r="C866" s="62"/>
      <c r="D866" s="63"/>
      <c r="E866" s="63"/>
      <c r="F866" s="64"/>
      <c r="G866" s="55" t="s">
        <v>4679</v>
      </c>
      <c r="H866" s="52"/>
      <c r="I866" s="52"/>
      <c r="J866" s="52"/>
      <c r="K866" s="52"/>
      <c r="L866" s="52"/>
      <c r="M866" s="746">
        <v>100000000</v>
      </c>
      <c r="N866" s="52"/>
      <c r="O866" s="231"/>
      <c r="P866" s="742"/>
      <c r="Q866" s="742"/>
      <c r="R866" s="52"/>
      <c r="S866" s="742"/>
      <c r="T866" s="52"/>
      <c r="U866" s="742"/>
      <c r="V866" s="52"/>
      <c r="W866" s="52"/>
      <c r="X866" s="52"/>
      <c r="Y866" s="48"/>
      <c r="Z866" s="49"/>
      <c r="AA866" s="49"/>
      <c r="AB866" s="165"/>
      <c r="AC866" s="165"/>
      <c r="AD866" s="165"/>
      <c r="AE866" s="165"/>
      <c r="AF866" s="165"/>
    </row>
    <row r="867" spans="1:32">
      <c r="A867" s="165"/>
      <c r="B867" s="48"/>
      <c r="C867" s="62"/>
      <c r="D867" s="63"/>
      <c r="E867" s="63"/>
      <c r="F867" s="64"/>
      <c r="G867" s="55"/>
      <c r="H867" s="52"/>
      <c r="I867" s="52"/>
      <c r="J867" s="52"/>
      <c r="K867" s="52"/>
      <c r="L867" s="52"/>
      <c r="M867" s="746"/>
      <c r="N867" s="52"/>
      <c r="O867" s="231"/>
      <c r="P867" s="742"/>
      <c r="Q867" s="742"/>
      <c r="R867" s="52"/>
      <c r="S867" s="742"/>
      <c r="T867" s="52"/>
      <c r="U867" s="742"/>
      <c r="V867" s="52"/>
      <c r="W867" s="52"/>
      <c r="X867" s="52"/>
      <c r="Y867" s="48"/>
      <c r="Z867" s="49"/>
      <c r="AA867" s="49"/>
      <c r="AB867" s="165"/>
      <c r="AC867" s="165"/>
      <c r="AD867" s="165"/>
      <c r="AE867" s="165"/>
      <c r="AF867" s="165"/>
    </row>
    <row r="868" spans="1:32" ht="45">
      <c r="A868" s="165"/>
      <c r="B868" s="48"/>
      <c r="C868" s="62"/>
      <c r="D868" s="63"/>
      <c r="E868" s="63"/>
      <c r="F868" s="64"/>
      <c r="G868" s="58" t="s">
        <v>2938</v>
      </c>
      <c r="H868" s="161">
        <v>1</v>
      </c>
      <c r="I868" s="52" t="s">
        <v>2939</v>
      </c>
      <c r="J868" s="161">
        <v>1</v>
      </c>
      <c r="K868" s="252">
        <v>307735000</v>
      </c>
      <c r="L868" s="52" t="s">
        <v>2939</v>
      </c>
      <c r="M868" s="231">
        <v>450000000</v>
      </c>
      <c r="N868" s="52" t="s">
        <v>2939</v>
      </c>
      <c r="O868" s="231">
        <v>600000000</v>
      </c>
      <c r="P868" s="52" t="s">
        <v>2939</v>
      </c>
      <c r="Q868" s="231">
        <v>600000000</v>
      </c>
      <c r="R868" s="52" t="s">
        <v>2939</v>
      </c>
      <c r="S868" s="231">
        <v>600000000</v>
      </c>
      <c r="T868" s="52" t="s">
        <v>2939</v>
      </c>
      <c r="U868" s="231">
        <v>600000000</v>
      </c>
      <c r="V868" s="52"/>
      <c r="W868" s="52"/>
      <c r="X868" s="52"/>
      <c r="Y868" s="48"/>
      <c r="Z868" s="49"/>
      <c r="AA868" s="49"/>
      <c r="AB868" s="165"/>
      <c r="AC868" s="165"/>
      <c r="AD868" s="165"/>
      <c r="AE868" s="165"/>
      <c r="AF868" s="165"/>
    </row>
    <row r="869" spans="1:32" ht="30">
      <c r="A869" s="165"/>
      <c r="B869" s="48"/>
      <c r="C869" s="62"/>
      <c r="D869" s="63"/>
      <c r="E869" s="63"/>
      <c r="F869" s="64"/>
      <c r="G869" s="58" t="s">
        <v>2940</v>
      </c>
      <c r="H869" s="52"/>
      <c r="I869" s="52"/>
      <c r="J869" s="52"/>
      <c r="K869" s="52"/>
      <c r="L869" s="52"/>
      <c r="M869" s="52"/>
      <c r="N869" s="51" t="s">
        <v>2939</v>
      </c>
      <c r="O869" s="252">
        <v>10000000</v>
      </c>
      <c r="P869" s="52" t="s">
        <v>2939</v>
      </c>
      <c r="Q869" s="252">
        <v>10000000</v>
      </c>
      <c r="R869" s="52" t="s">
        <v>2941</v>
      </c>
      <c r="S869" s="252">
        <v>15000000</v>
      </c>
      <c r="T869" s="52" t="s">
        <v>2941</v>
      </c>
      <c r="U869" s="252">
        <v>15000000</v>
      </c>
      <c r="V869" s="52"/>
      <c r="W869" s="52"/>
      <c r="X869" s="52"/>
      <c r="Y869" s="48"/>
      <c r="Z869" s="49"/>
      <c r="AA869" s="49"/>
      <c r="AB869" s="165"/>
      <c r="AC869" s="165"/>
      <c r="AD869" s="165"/>
      <c r="AE869" s="165"/>
      <c r="AF869" s="165"/>
    </row>
    <row r="870" spans="1:32" ht="60">
      <c r="A870" s="165"/>
      <c r="B870" s="48"/>
      <c r="C870" s="62"/>
      <c r="D870" s="63"/>
      <c r="E870" s="63"/>
      <c r="F870" s="64"/>
      <c r="G870" s="58" t="s">
        <v>2942</v>
      </c>
      <c r="H870" s="52"/>
      <c r="I870" s="52"/>
      <c r="J870" s="52"/>
      <c r="K870" s="52"/>
      <c r="L870" s="52" t="s">
        <v>2937</v>
      </c>
      <c r="M870" s="252">
        <v>12212500</v>
      </c>
      <c r="N870" s="52" t="s">
        <v>2937</v>
      </c>
      <c r="O870" s="252">
        <v>50000000</v>
      </c>
      <c r="P870" s="52" t="s">
        <v>2943</v>
      </c>
      <c r="Q870" s="252">
        <v>50000000</v>
      </c>
      <c r="R870" s="52" t="s">
        <v>2937</v>
      </c>
      <c r="S870" s="252">
        <v>60000000</v>
      </c>
      <c r="T870" s="52" t="s">
        <v>2937</v>
      </c>
      <c r="U870" s="252">
        <v>60000000</v>
      </c>
      <c r="V870" s="52"/>
      <c r="W870" s="52"/>
      <c r="X870" s="52"/>
      <c r="Y870" s="48"/>
      <c r="Z870" s="49"/>
      <c r="AA870" s="49"/>
      <c r="AB870" s="165"/>
      <c r="AC870" s="165"/>
      <c r="AD870" s="165"/>
      <c r="AE870" s="165"/>
      <c r="AF870" s="165"/>
    </row>
    <row r="871" spans="1:32" ht="30">
      <c r="A871" s="165"/>
      <c r="B871" s="48"/>
      <c r="C871" s="62"/>
      <c r="D871" s="63"/>
      <c r="E871" s="63"/>
      <c r="F871" s="64"/>
      <c r="G871" s="58" t="s">
        <v>2944</v>
      </c>
      <c r="H871" s="52"/>
      <c r="I871" s="52"/>
      <c r="J871" s="52"/>
      <c r="K871" s="52"/>
      <c r="L871" s="52"/>
      <c r="M871" s="52"/>
      <c r="N871" s="52" t="s">
        <v>2937</v>
      </c>
      <c r="O871" s="252">
        <v>154860000</v>
      </c>
      <c r="P871" s="52"/>
      <c r="Q871" s="52"/>
      <c r="R871" s="52"/>
      <c r="S871" s="527">
        <v>150000000</v>
      </c>
      <c r="T871" s="52"/>
      <c r="U871" s="52"/>
      <c r="V871" s="52"/>
      <c r="W871" s="52"/>
      <c r="X871" s="52"/>
      <c r="Y871" s="48"/>
      <c r="Z871" s="49"/>
      <c r="AA871" s="49"/>
      <c r="AB871" s="165"/>
      <c r="AC871" s="165"/>
      <c r="AD871" s="165"/>
      <c r="AE871" s="165"/>
      <c r="AF871" s="165"/>
    </row>
    <row r="872" spans="1:32" ht="45">
      <c r="A872" s="165"/>
      <c r="B872" s="48"/>
      <c r="C872" s="62"/>
      <c r="D872" s="63"/>
      <c r="E872" s="63"/>
      <c r="F872" s="64"/>
      <c r="G872" s="58" t="s">
        <v>2945</v>
      </c>
      <c r="H872" s="52"/>
      <c r="I872" s="52"/>
      <c r="J872" s="52"/>
      <c r="K872" s="52"/>
      <c r="L872" s="52"/>
      <c r="M872" s="52"/>
      <c r="N872" s="52" t="s">
        <v>2939</v>
      </c>
      <c r="O872" s="252">
        <v>10000000</v>
      </c>
      <c r="P872" s="52" t="s">
        <v>2939</v>
      </c>
      <c r="Q872" s="252">
        <v>15000000</v>
      </c>
      <c r="R872" s="52" t="s">
        <v>2939</v>
      </c>
      <c r="S872" s="252">
        <v>20000000</v>
      </c>
      <c r="T872" s="52" t="s">
        <v>2939</v>
      </c>
      <c r="U872" s="252">
        <v>20000000</v>
      </c>
      <c r="V872" s="52"/>
      <c r="W872" s="52"/>
      <c r="X872" s="52"/>
      <c r="Y872" s="48"/>
      <c r="Z872" s="49"/>
      <c r="AA872" s="49"/>
      <c r="AB872" s="165"/>
      <c r="AC872" s="165"/>
      <c r="AD872" s="165"/>
      <c r="AE872" s="165"/>
      <c r="AF872" s="165"/>
    </row>
    <row r="873" spans="1:32" ht="45">
      <c r="A873" s="165"/>
      <c r="B873" s="48"/>
      <c r="C873" s="62"/>
      <c r="D873" s="63"/>
      <c r="E873" s="63"/>
      <c r="F873" s="64"/>
      <c r="G873" s="58" t="s">
        <v>2946</v>
      </c>
      <c r="H873" s="52"/>
      <c r="I873" s="52"/>
      <c r="J873" s="52"/>
      <c r="K873" s="52"/>
      <c r="L873" s="51" t="s">
        <v>2937</v>
      </c>
      <c r="M873" s="168">
        <v>75000000</v>
      </c>
      <c r="N873" s="52" t="s">
        <v>2937</v>
      </c>
      <c r="O873" s="252">
        <v>50000000</v>
      </c>
      <c r="P873" s="52"/>
      <c r="Q873" s="52"/>
      <c r="R873" s="52"/>
      <c r="S873" s="52"/>
      <c r="T873" s="52"/>
      <c r="U873" s="52"/>
      <c r="V873" s="52"/>
      <c r="W873" s="52"/>
      <c r="X873" s="52"/>
      <c r="Y873" s="48"/>
      <c r="Z873" s="49"/>
      <c r="AA873" s="49"/>
      <c r="AB873" s="165"/>
      <c r="AC873" s="165"/>
      <c r="AD873" s="165"/>
      <c r="AE873" s="165"/>
      <c r="AF873" s="165"/>
    </row>
    <row r="874" spans="1:32">
      <c r="A874" s="165"/>
      <c r="B874" s="48"/>
      <c r="C874" s="62"/>
      <c r="D874" s="63"/>
      <c r="E874" s="63"/>
      <c r="F874" s="64"/>
      <c r="G874" s="55" t="s">
        <v>4665</v>
      </c>
      <c r="H874" s="52"/>
      <c r="I874" s="52"/>
      <c r="J874" s="52"/>
      <c r="K874" s="52"/>
      <c r="L874" s="168" t="s">
        <v>2937</v>
      </c>
      <c r="M874" s="231">
        <v>30000000</v>
      </c>
      <c r="N874" s="52" t="s">
        <v>2937</v>
      </c>
      <c r="O874" s="252">
        <v>30000000</v>
      </c>
      <c r="P874" s="168" t="s">
        <v>2937</v>
      </c>
      <c r="Q874" s="231">
        <v>30000000</v>
      </c>
      <c r="R874" s="52"/>
      <c r="S874" s="52"/>
      <c r="T874" s="52"/>
      <c r="U874" s="52"/>
      <c r="V874" s="52"/>
      <c r="W874" s="52"/>
      <c r="X874" s="52"/>
      <c r="Y874" s="48"/>
      <c r="Z874" s="49"/>
      <c r="AA874" s="49"/>
      <c r="AB874" s="165"/>
      <c r="AC874" s="165"/>
      <c r="AD874" s="165"/>
      <c r="AE874" s="165"/>
      <c r="AF874" s="165"/>
    </row>
    <row r="875" spans="1:32">
      <c r="A875" s="165"/>
      <c r="B875" s="48"/>
      <c r="C875" s="62"/>
      <c r="D875" s="63"/>
      <c r="E875" s="63"/>
      <c r="F875" s="64"/>
      <c r="G875" s="55" t="s">
        <v>4666</v>
      </c>
      <c r="H875" s="52"/>
      <c r="I875" s="52"/>
      <c r="J875" s="52"/>
      <c r="K875" s="52"/>
      <c r="L875" s="168"/>
      <c r="M875" s="231">
        <v>80000000</v>
      </c>
      <c r="N875" s="52"/>
      <c r="O875" s="732"/>
      <c r="P875" s="168"/>
      <c r="Q875" s="231"/>
      <c r="R875" s="52"/>
      <c r="S875" s="52"/>
      <c r="T875" s="52"/>
      <c r="U875" s="52"/>
      <c r="V875" s="52"/>
      <c r="W875" s="52"/>
      <c r="X875" s="52"/>
      <c r="Y875" s="48"/>
      <c r="Z875" s="49"/>
      <c r="AA875" s="49"/>
      <c r="AB875" s="165"/>
      <c r="AC875" s="165"/>
      <c r="AD875" s="165"/>
      <c r="AE875" s="165"/>
      <c r="AF875" s="165"/>
    </row>
    <row r="876" spans="1:32" ht="45">
      <c r="A876" s="165"/>
      <c r="B876" s="48"/>
      <c r="C876" s="62"/>
      <c r="D876" s="63"/>
      <c r="E876" s="63"/>
      <c r="F876" s="64"/>
      <c r="G876" s="58" t="s">
        <v>2947</v>
      </c>
      <c r="H876" s="52"/>
      <c r="I876" s="52"/>
      <c r="J876" s="52"/>
      <c r="K876" s="52"/>
      <c r="L876" s="52"/>
      <c r="M876" s="168">
        <v>10000000</v>
      </c>
      <c r="N876" s="52" t="s">
        <v>2939</v>
      </c>
      <c r="O876" s="252">
        <v>10000000</v>
      </c>
      <c r="P876" s="52" t="s">
        <v>2939</v>
      </c>
      <c r="Q876" s="252">
        <v>10000000</v>
      </c>
      <c r="R876" s="52" t="s">
        <v>2941</v>
      </c>
      <c r="S876" s="252">
        <v>20000000</v>
      </c>
      <c r="T876" s="52" t="s">
        <v>2941</v>
      </c>
      <c r="U876" s="252">
        <v>20000000</v>
      </c>
      <c r="V876" s="52"/>
      <c r="W876" s="52"/>
      <c r="X876" s="52"/>
      <c r="Y876" s="48"/>
      <c r="Z876" s="49"/>
      <c r="AA876" s="49"/>
      <c r="AB876" s="165"/>
      <c r="AC876" s="165"/>
      <c r="AD876" s="165"/>
      <c r="AE876" s="165"/>
      <c r="AF876" s="165"/>
    </row>
    <row r="877" spans="1:32" s="280" customFormat="1" ht="30" customHeight="1">
      <c r="A877" s="285"/>
      <c r="B877" s="1093" t="s">
        <v>4248</v>
      </c>
      <c r="C877" s="1094"/>
      <c r="D877" s="1094"/>
      <c r="E877" s="1094"/>
      <c r="F877" s="1094"/>
      <c r="G877" s="1095"/>
      <c r="H877" s="382"/>
      <c r="I877" s="382"/>
      <c r="J877" s="382"/>
      <c r="K877" s="382">
        <f>SUM(K858:K876)</f>
        <v>751350000</v>
      </c>
      <c r="L877" s="382"/>
      <c r="M877" s="382">
        <f t="shared" ref="M877:W877" si="70">SUM(M858:M876)</f>
        <v>1814425000</v>
      </c>
      <c r="N877" s="382"/>
      <c r="O877" s="382">
        <f t="shared" si="70"/>
        <v>2319720000</v>
      </c>
      <c r="P877" s="382"/>
      <c r="Q877" s="382">
        <f t="shared" si="70"/>
        <v>1920000000</v>
      </c>
      <c r="R877" s="382"/>
      <c r="S877" s="382">
        <f t="shared" si="70"/>
        <v>2230000000</v>
      </c>
      <c r="T877" s="382"/>
      <c r="U877" s="382">
        <f t="shared" si="70"/>
        <v>1910000000</v>
      </c>
      <c r="V877" s="382">
        <f t="shared" si="70"/>
        <v>0</v>
      </c>
      <c r="W877" s="382">
        <f t="shared" si="70"/>
        <v>0</v>
      </c>
      <c r="X877" s="382"/>
      <c r="Y877" s="321"/>
      <c r="Z877" s="322"/>
      <c r="AA877" s="322"/>
      <c r="AB877" s="285"/>
      <c r="AC877" s="285"/>
      <c r="AD877" s="285"/>
      <c r="AE877" s="285"/>
      <c r="AF877" s="285"/>
    </row>
    <row r="878" spans="1:32">
      <c r="A878" s="165">
        <v>1</v>
      </c>
      <c r="B878" s="62" t="e">
        <f>'matrik MISI 2'!#REF!</f>
        <v>#REF!</v>
      </c>
      <c r="C878" s="56"/>
      <c r="D878" s="57"/>
      <c r="E878" s="57"/>
      <c r="F878" s="58"/>
      <c r="G878" s="58"/>
      <c r="H878" s="52"/>
      <c r="I878" s="52"/>
      <c r="J878" s="52"/>
      <c r="K878" s="52"/>
      <c r="L878" s="52"/>
      <c r="M878" s="52"/>
      <c r="N878" s="52"/>
      <c r="O878" s="52"/>
      <c r="P878" s="52"/>
      <c r="Q878" s="52"/>
      <c r="R878" s="52"/>
      <c r="S878" s="52"/>
      <c r="T878" s="52"/>
      <c r="U878" s="52"/>
      <c r="V878" s="52"/>
      <c r="W878" s="52"/>
      <c r="X878" s="52"/>
      <c r="Y878" s="48"/>
      <c r="Z878" s="49"/>
      <c r="AA878" s="49"/>
      <c r="AB878" s="165"/>
      <c r="AC878" s="165"/>
      <c r="AD878" s="165"/>
      <c r="AE878" s="165"/>
      <c r="AF878" s="165"/>
    </row>
    <row r="879" spans="1:32" s="540" customFormat="1" ht="60">
      <c r="B879" s="545"/>
      <c r="C879" s="593">
        <f>'matrik MISI 2'!J85</f>
        <v>1.17</v>
      </c>
      <c r="D879" s="594" t="str">
        <f>'matrik MISI 2'!K85</f>
        <v>xx</v>
      </c>
      <c r="E879" s="594">
        <f>'matrik MISI 2'!L85</f>
        <v>16</v>
      </c>
      <c r="F879" s="595" t="str">
        <f>'matrik MISI 2'!M85</f>
        <v>Program Pengelolaan Kekayaan Budaya</v>
      </c>
      <c r="G879" s="548"/>
      <c r="H879" s="550"/>
      <c r="I879" s="550"/>
      <c r="J879" s="550"/>
      <c r="K879" s="599">
        <f>SUM(K880:K887)</f>
        <v>260000000</v>
      </c>
      <c r="L879" s="599"/>
      <c r="M879" s="599">
        <f t="shared" ref="M879:S879" si="71">SUM(M880:M887)</f>
        <v>230719200</v>
      </c>
      <c r="N879" s="599"/>
      <c r="O879" s="599">
        <f t="shared" si="71"/>
        <v>955000000</v>
      </c>
      <c r="P879" s="599"/>
      <c r="Q879" s="599">
        <f t="shared" si="71"/>
        <v>975000000</v>
      </c>
      <c r="R879" s="599"/>
      <c r="S879" s="599">
        <f t="shared" si="71"/>
        <v>1050000000</v>
      </c>
      <c r="T879" s="550"/>
      <c r="U879" s="550"/>
      <c r="V879" s="550"/>
      <c r="W879" s="550"/>
      <c r="X879" s="550" t="str">
        <f>'matrik MISI 2'!X85</f>
        <v>Dinbudparpora</v>
      </c>
      <c r="Y879" s="545"/>
      <c r="Z879" s="546"/>
      <c r="AA879" s="546"/>
    </row>
    <row r="880" spans="1:32" s="165" customFormat="1" ht="105">
      <c r="B880" s="48"/>
      <c r="C880" s="62"/>
      <c r="D880" s="63"/>
      <c r="E880" s="63"/>
      <c r="F880" s="64"/>
      <c r="G880" s="408" t="s">
        <v>2953</v>
      </c>
      <c r="H880" s="241" t="s">
        <v>2954</v>
      </c>
      <c r="I880" s="157" t="s">
        <v>2955</v>
      </c>
      <c r="J880" s="157"/>
      <c r="K880" s="242">
        <v>20000000</v>
      </c>
      <c r="L880" s="157" t="s">
        <v>2956</v>
      </c>
      <c r="M880" s="242">
        <v>19430000</v>
      </c>
      <c r="N880" s="157" t="s">
        <v>2956</v>
      </c>
      <c r="O880" s="242">
        <v>20000000</v>
      </c>
      <c r="P880" s="157" t="s">
        <v>2957</v>
      </c>
      <c r="Q880" s="242">
        <v>25000000</v>
      </c>
      <c r="R880" s="157" t="s">
        <v>2957</v>
      </c>
      <c r="S880" s="242">
        <v>25000000</v>
      </c>
      <c r="T880" s="157" t="s">
        <v>2957</v>
      </c>
      <c r="U880" s="242">
        <v>25000000</v>
      </c>
      <c r="V880" s="52"/>
      <c r="W880" s="52"/>
      <c r="X880" s="52"/>
      <c r="Y880" s="48"/>
      <c r="Z880" s="49"/>
      <c r="AA880" s="49"/>
    </row>
    <row r="881" spans="2:27" s="165" customFormat="1" ht="165">
      <c r="B881" s="48"/>
      <c r="C881" s="62"/>
      <c r="D881" s="63"/>
      <c r="E881" s="63"/>
      <c r="F881" s="64"/>
      <c r="G881" s="408" t="s">
        <v>2958</v>
      </c>
      <c r="H881" s="242"/>
      <c r="I881" s="157" t="s">
        <v>2959</v>
      </c>
      <c r="J881" s="157"/>
      <c r="K881" s="242"/>
      <c r="L881" s="157" t="s">
        <v>2960</v>
      </c>
      <c r="M881" s="242">
        <v>6629500</v>
      </c>
      <c r="N881" s="157" t="s">
        <v>1798</v>
      </c>
      <c r="O881" s="243">
        <v>20000000</v>
      </c>
      <c r="P881" s="157" t="s">
        <v>1040</v>
      </c>
      <c r="Q881" s="157" t="s">
        <v>1040</v>
      </c>
      <c r="R881" s="157" t="s">
        <v>1040</v>
      </c>
      <c r="S881" s="157" t="s">
        <v>1040</v>
      </c>
      <c r="T881" s="157" t="s">
        <v>1040</v>
      </c>
      <c r="U881" s="157" t="s">
        <v>1040</v>
      </c>
      <c r="V881" s="52"/>
      <c r="W881" s="52"/>
      <c r="X881" s="52"/>
      <c r="Y881" s="48"/>
      <c r="Z881" s="49"/>
      <c r="AA881" s="49"/>
    </row>
    <row r="882" spans="2:27" s="165" customFormat="1" ht="150">
      <c r="B882" s="48"/>
      <c r="C882" s="62"/>
      <c r="D882" s="63"/>
      <c r="E882" s="63"/>
      <c r="F882" s="64"/>
      <c r="G882" s="408" t="s">
        <v>2961</v>
      </c>
      <c r="H882" s="242">
        <v>0</v>
      </c>
      <c r="I882" s="157" t="s">
        <v>2962</v>
      </c>
      <c r="J882" s="157"/>
      <c r="K882" s="242">
        <v>10000000</v>
      </c>
      <c r="L882" s="157" t="s">
        <v>2963</v>
      </c>
      <c r="M882" s="242">
        <v>6417200</v>
      </c>
      <c r="N882" s="157" t="s">
        <v>2963</v>
      </c>
      <c r="O882" s="243">
        <v>15000000</v>
      </c>
      <c r="P882" s="242" t="s">
        <v>1040</v>
      </c>
      <c r="Q882" s="242" t="s">
        <v>1040</v>
      </c>
      <c r="R882" s="242" t="s">
        <v>1040</v>
      </c>
      <c r="S882" s="242" t="s">
        <v>1040</v>
      </c>
      <c r="T882" s="242" t="s">
        <v>1040</v>
      </c>
      <c r="U882" s="242" t="s">
        <v>1040</v>
      </c>
      <c r="V882" s="52"/>
      <c r="W882" s="52"/>
      <c r="X882" s="52"/>
      <c r="Y882" s="48"/>
      <c r="Z882" s="49"/>
      <c r="AA882" s="49"/>
    </row>
    <row r="883" spans="2:27" s="165" customFormat="1" ht="60">
      <c r="B883" s="48"/>
      <c r="C883" s="62"/>
      <c r="D883" s="63"/>
      <c r="E883" s="63"/>
      <c r="F883" s="64"/>
      <c r="G883" s="408" t="s">
        <v>2964</v>
      </c>
      <c r="H883" s="242">
        <v>0</v>
      </c>
      <c r="I883" s="242" t="s">
        <v>1040</v>
      </c>
      <c r="J883" s="242" t="s">
        <v>1040</v>
      </c>
      <c r="K883" s="242" t="s">
        <v>1040</v>
      </c>
      <c r="L883" s="242" t="s">
        <v>1040</v>
      </c>
      <c r="M883" s="242" t="s">
        <v>1040</v>
      </c>
      <c r="N883" s="242" t="s">
        <v>1040</v>
      </c>
      <c r="O883" s="242" t="s">
        <v>1040</v>
      </c>
      <c r="P883" s="157" t="s">
        <v>2965</v>
      </c>
      <c r="Q883" s="243">
        <v>50000000</v>
      </c>
      <c r="R883" s="157" t="s">
        <v>2965</v>
      </c>
      <c r="S883" s="243">
        <v>50000000</v>
      </c>
      <c r="T883" s="157" t="s">
        <v>2965</v>
      </c>
      <c r="U883" s="243">
        <v>50000000</v>
      </c>
      <c r="V883" s="52"/>
      <c r="W883" s="52"/>
      <c r="X883" s="52"/>
      <c r="Y883" s="48"/>
      <c r="Z883" s="49"/>
      <c r="AA883" s="49"/>
    </row>
    <row r="884" spans="2:27" s="165" customFormat="1" ht="90">
      <c r="B884" s="48"/>
      <c r="C884" s="62"/>
      <c r="D884" s="63"/>
      <c r="E884" s="63"/>
      <c r="F884" s="64"/>
      <c r="G884" s="408" t="s">
        <v>2966</v>
      </c>
      <c r="H884" s="242">
        <v>0</v>
      </c>
      <c r="I884" s="242" t="s">
        <v>1040</v>
      </c>
      <c r="J884" s="242" t="s">
        <v>1040</v>
      </c>
      <c r="K884" s="242" t="s">
        <v>1040</v>
      </c>
      <c r="L884" s="242" t="s">
        <v>1040</v>
      </c>
      <c r="M884" s="242" t="s">
        <v>1040</v>
      </c>
      <c r="N884" s="157" t="s">
        <v>2496</v>
      </c>
      <c r="O884" s="243">
        <v>600000000</v>
      </c>
      <c r="P884" s="157" t="s">
        <v>2496</v>
      </c>
      <c r="Q884" s="243">
        <v>600000000</v>
      </c>
      <c r="R884" s="157" t="s">
        <v>2496</v>
      </c>
      <c r="S884" s="243">
        <v>650000000</v>
      </c>
      <c r="T884" s="157" t="s">
        <v>2496</v>
      </c>
      <c r="U884" s="243">
        <v>650000000</v>
      </c>
      <c r="V884" s="52"/>
      <c r="W884" s="52"/>
      <c r="X884" s="52"/>
      <c r="Y884" s="48"/>
      <c r="Z884" s="49"/>
      <c r="AA884" s="49"/>
    </row>
    <row r="885" spans="2:27" s="165" customFormat="1" ht="60">
      <c r="B885" s="48"/>
      <c r="C885" s="62"/>
      <c r="D885" s="63"/>
      <c r="E885" s="63"/>
      <c r="F885" s="64"/>
      <c r="G885" s="408" t="s">
        <v>2967</v>
      </c>
      <c r="H885" s="242">
        <v>0</v>
      </c>
      <c r="I885" s="242" t="s">
        <v>1040</v>
      </c>
      <c r="J885" s="242" t="s">
        <v>1040</v>
      </c>
      <c r="K885" s="242" t="s">
        <v>1040</v>
      </c>
      <c r="L885" s="157" t="s">
        <v>2968</v>
      </c>
      <c r="M885" s="242">
        <v>100000000</v>
      </c>
      <c r="N885" s="157" t="s">
        <v>2968</v>
      </c>
      <c r="O885" s="243">
        <v>100000000</v>
      </c>
      <c r="P885" s="157"/>
      <c r="Q885" s="157"/>
      <c r="R885" s="157"/>
      <c r="S885" s="157"/>
      <c r="T885" s="157"/>
      <c r="U885" s="157"/>
      <c r="V885" s="52"/>
      <c r="W885" s="52"/>
      <c r="X885" s="52"/>
      <c r="Y885" s="48"/>
      <c r="Z885" s="49"/>
      <c r="AA885" s="49"/>
    </row>
    <row r="886" spans="2:27" s="165" customFormat="1" ht="75">
      <c r="B886" s="48"/>
      <c r="C886" s="62"/>
      <c r="D886" s="63"/>
      <c r="E886" s="63"/>
      <c r="F886" s="64"/>
      <c r="G886" s="408" t="s">
        <v>2969</v>
      </c>
      <c r="H886" s="242">
        <v>0</v>
      </c>
      <c r="I886" s="157"/>
      <c r="J886" s="157"/>
      <c r="K886" s="242"/>
      <c r="L886" s="157"/>
      <c r="M886" s="242"/>
      <c r="N886" s="157"/>
      <c r="O886" s="243"/>
      <c r="P886" s="157"/>
      <c r="Q886" s="157"/>
      <c r="R886" s="157"/>
      <c r="S886" s="157"/>
      <c r="T886" s="157"/>
      <c r="U886" s="157"/>
      <c r="V886" s="52"/>
      <c r="W886" s="52"/>
      <c r="X886" s="52"/>
      <c r="Y886" s="48"/>
      <c r="Z886" s="49"/>
      <c r="AA886" s="49"/>
    </row>
    <row r="887" spans="2:27" s="165" customFormat="1" ht="210">
      <c r="B887" s="48"/>
      <c r="C887" s="62"/>
      <c r="D887" s="63"/>
      <c r="E887" s="63"/>
      <c r="F887" s="64"/>
      <c r="G887" s="408" t="s">
        <v>2970</v>
      </c>
      <c r="H887" s="242">
        <v>0</v>
      </c>
      <c r="I887" s="157" t="s">
        <v>2971</v>
      </c>
      <c r="J887" s="157"/>
      <c r="K887" s="242">
        <v>230000000</v>
      </c>
      <c r="L887" s="157" t="s">
        <v>2971</v>
      </c>
      <c r="M887" s="242">
        <v>98242500</v>
      </c>
      <c r="N887" s="157" t="s">
        <v>2972</v>
      </c>
      <c r="O887" s="244">
        <v>200000000</v>
      </c>
      <c r="P887" s="157" t="s">
        <v>2972</v>
      </c>
      <c r="Q887" s="244">
        <v>300000000</v>
      </c>
      <c r="R887" s="157" t="s">
        <v>2972</v>
      </c>
      <c r="S887" s="244">
        <v>325000000</v>
      </c>
      <c r="T887" s="157" t="s">
        <v>2972</v>
      </c>
      <c r="U887" s="244">
        <v>325000000</v>
      </c>
      <c r="V887" s="52"/>
      <c r="W887" s="52"/>
      <c r="X887" s="52"/>
      <c r="Y887" s="48"/>
      <c r="Z887" s="49"/>
      <c r="AA887" s="49"/>
    </row>
    <row r="888" spans="2:27" s="540" customFormat="1" ht="60">
      <c r="B888" s="545"/>
      <c r="C888" s="593">
        <f>'matrik MISI 2'!J88</f>
        <v>1.17</v>
      </c>
      <c r="D888" s="594" t="str">
        <f>'matrik MISI 2'!K88</f>
        <v>xx</v>
      </c>
      <c r="E888" s="594">
        <f>'matrik MISI 2'!L88</f>
        <v>17</v>
      </c>
      <c r="F888" s="595" t="str">
        <f>'matrik MISI 2'!M88</f>
        <v>Program Pengelolaan Keragaman Budaya</v>
      </c>
      <c r="G888" s="548"/>
      <c r="H888" s="550"/>
      <c r="I888" s="550"/>
      <c r="J888" s="550"/>
      <c r="K888" s="603">
        <f>SUM(K889:K899)</f>
        <v>397750000</v>
      </c>
      <c r="L888" s="603"/>
      <c r="M888" s="603">
        <f t="shared" ref="M888:S888" si="72">SUM(M889:M899)</f>
        <v>386062000</v>
      </c>
      <c r="N888" s="603"/>
      <c r="O888" s="603">
        <f t="shared" si="72"/>
        <v>547000000</v>
      </c>
      <c r="P888" s="603"/>
      <c r="Q888" s="603">
        <f t="shared" si="72"/>
        <v>665000000</v>
      </c>
      <c r="R888" s="603"/>
      <c r="S888" s="603">
        <f t="shared" si="72"/>
        <v>572000000</v>
      </c>
      <c r="T888" s="550"/>
      <c r="U888" s="550"/>
      <c r="V888" s="550"/>
      <c r="W888" s="550"/>
      <c r="X888" s="550" t="str">
        <f>'matrik MISI 2'!X88</f>
        <v>Dinbudparpora</v>
      </c>
      <c r="Y888" s="545"/>
      <c r="Z888" s="546"/>
      <c r="AA888" s="546"/>
    </row>
    <row r="889" spans="2:27" s="165" customFormat="1" ht="105">
      <c r="B889" s="48"/>
      <c r="C889" s="62"/>
      <c r="D889" s="63"/>
      <c r="E889" s="63"/>
      <c r="F889" s="64"/>
      <c r="G889" s="408" t="s">
        <v>2973</v>
      </c>
      <c r="H889" s="323">
        <v>1</v>
      </c>
      <c r="I889" s="157" t="s">
        <v>2974</v>
      </c>
      <c r="J889" s="157"/>
      <c r="K889" s="243"/>
      <c r="L889" s="157" t="s">
        <v>2975</v>
      </c>
      <c r="M889" s="242">
        <v>90000000</v>
      </c>
      <c r="N889" s="157" t="s">
        <v>2975</v>
      </c>
      <c r="O889" s="242">
        <v>150000000</v>
      </c>
      <c r="P889" s="157" t="s">
        <v>2975</v>
      </c>
      <c r="Q889" s="243">
        <v>250000000</v>
      </c>
      <c r="R889" s="157" t="s">
        <v>2975</v>
      </c>
      <c r="S889" s="242">
        <v>150000000</v>
      </c>
      <c r="T889" s="157" t="s">
        <v>2975</v>
      </c>
      <c r="U889" s="242">
        <v>150000000</v>
      </c>
      <c r="V889" s="52"/>
      <c r="W889" s="52"/>
      <c r="X889" s="52"/>
      <c r="Y889" s="48"/>
      <c r="Z889" s="49"/>
      <c r="AA889" s="49"/>
    </row>
    <row r="890" spans="2:27" s="165" customFormat="1" ht="105">
      <c r="B890" s="48"/>
      <c r="C890" s="62"/>
      <c r="D890" s="63"/>
      <c r="E890" s="63"/>
      <c r="F890" s="64"/>
      <c r="G890" s="408" t="s">
        <v>2976</v>
      </c>
      <c r="H890" s="241" t="s">
        <v>2977</v>
      </c>
      <c r="I890" s="157" t="s">
        <v>2976</v>
      </c>
      <c r="J890" s="157"/>
      <c r="K890" s="242">
        <v>20000000</v>
      </c>
      <c r="L890" s="157" t="s">
        <v>2978</v>
      </c>
      <c r="M890" s="242">
        <v>0</v>
      </c>
      <c r="N890" s="157" t="s">
        <v>2979</v>
      </c>
      <c r="O890" s="242">
        <v>35000000</v>
      </c>
      <c r="P890" s="157" t="s">
        <v>2979</v>
      </c>
      <c r="Q890" s="242">
        <v>35000000</v>
      </c>
      <c r="R890" s="157" t="s">
        <v>2979</v>
      </c>
      <c r="S890" s="242">
        <v>35000000</v>
      </c>
      <c r="T890" s="157" t="s">
        <v>2979</v>
      </c>
      <c r="U890" s="242">
        <v>35000000</v>
      </c>
      <c r="V890" s="52"/>
      <c r="W890" s="52"/>
      <c r="X890" s="52"/>
      <c r="Y890" s="48"/>
      <c r="Z890" s="49"/>
      <c r="AA890" s="49"/>
    </row>
    <row r="891" spans="2:27" s="165" customFormat="1" ht="135">
      <c r="B891" s="48"/>
      <c r="C891" s="62"/>
      <c r="D891" s="63"/>
      <c r="E891" s="63"/>
      <c r="F891" s="64"/>
      <c r="G891" s="408" t="s">
        <v>2980</v>
      </c>
      <c r="H891" s="324">
        <v>0</v>
      </c>
      <c r="I891" s="157" t="s">
        <v>2981</v>
      </c>
      <c r="J891" s="157"/>
      <c r="K891" s="324">
        <v>0</v>
      </c>
      <c r="L891" s="157" t="s">
        <v>2982</v>
      </c>
      <c r="M891" s="243">
        <v>8820000</v>
      </c>
      <c r="N891" s="157" t="s">
        <v>2982</v>
      </c>
      <c r="O891" s="243">
        <v>25000000</v>
      </c>
      <c r="P891" s="157" t="s">
        <v>2982</v>
      </c>
      <c r="Q891" s="243">
        <v>25000000</v>
      </c>
      <c r="R891" s="157" t="s">
        <v>2982</v>
      </c>
      <c r="S891" s="243">
        <v>25000000</v>
      </c>
      <c r="T891" s="157" t="s">
        <v>2982</v>
      </c>
      <c r="U891" s="243">
        <v>25000000</v>
      </c>
      <c r="V891" s="52"/>
      <c r="W891" s="52"/>
      <c r="X891" s="52"/>
      <c r="Y891" s="48"/>
      <c r="Z891" s="49"/>
      <c r="AA891" s="49"/>
    </row>
    <row r="892" spans="2:27" s="165" customFormat="1" ht="135">
      <c r="B892" s="48"/>
      <c r="C892" s="62"/>
      <c r="D892" s="63"/>
      <c r="E892" s="63"/>
      <c r="F892" s="64"/>
      <c r="G892" s="408" t="s">
        <v>2983</v>
      </c>
      <c r="H892" s="323"/>
      <c r="I892" s="157" t="s">
        <v>2984</v>
      </c>
      <c r="J892" s="157"/>
      <c r="K892" s="324">
        <v>0</v>
      </c>
      <c r="L892" s="157" t="s">
        <v>2985</v>
      </c>
      <c r="M892" s="243">
        <v>10000000</v>
      </c>
      <c r="N892" s="157" t="s">
        <v>2984</v>
      </c>
      <c r="O892" s="243">
        <v>25000000</v>
      </c>
      <c r="P892" s="157" t="s">
        <v>2986</v>
      </c>
      <c r="Q892" s="243">
        <v>25000000</v>
      </c>
      <c r="R892" s="157" t="s">
        <v>2986</v>
      </c>
      <c r="S892" s="243">
        <v>25000000</v>
      </c>
      <c r="T892" s="157" t="s">
        <v>2986</v>
      </c>
      <c r="U892" s="243">
        <v>25000000</v>
      </c>
      <c r="V892" s="52"/>
      <c r="W892" s="52"/>
      <c r="X892" s="52"/>
      <c r="Y892" s="48"/>
      <c r="Z892" s="49"/>
      <c r="AA892" s="49"/>
    </row>
    <row r="893" spans="2:27" s="165" customFormat="1" ht="180">
      <c r="B893" s="48"/>
      <c r="C893" s="62"/>
      <c r="D893" s="63"/>
      <c r="E893" s="63"/>
      <c r="F893" s="64"/>
      <c r="G893" s="408" t="s">
        <v>2987</v>
      </c>
      <c r="H893" s="323"/>
      <c r="I893" s="157" t="s">
        <v>2988</v>
      </c>
      <c r="J893" s="157"/>
      <c r="K893" s="324">
        <v>0</v>
      </c>
      <c r="L893" s="157" t="s">
        <v>2988</v>
      </c>
      <c r="M893" s="243">
        <v>7315000</v>
      </c>
      <c r="N893" s="157" t="s">
        <v>2988</v>
      </c>
      <c r="O893" s="243">
        <v>20000000</v>
      </c>
      <c r="P893" s="157" t="s">
        <v>2988</v>
      </c>
      <c r="Q893" s="243">
        <v>25000000</v>
      </c>
      <c r="R893" s="157" t="s">
        <v>2988</v>
      </c>
      <c r="S893" s="243">
        <v>25000000</v>
      </c>
      <c r="T893" s="157" t="s">
        <v>2988</v>
      </c>
      <c r="U893" s="243">
        <v>25000000</v>
      </c>
      <c r="V893" s="52"/>
      <c r="W893" s="52"/>
      <c r="X893" s="52"/>
      <c r="Y893" s="48"/>
      <c r="Z893" s="49"/>
      <c r="AA893" s="49"/>
    </row>
    <row r="894" spans="2:27" s="165" customFormat="1" ht="135">
      <c r="B894" s="48"/>
      <c r="C894" s="62"/>
      <c r="D894" s="63"/>
      <c r="E894" s="63"/>
      <c r="F894" s="64"/>
      <c r="G894" s="408" t="s">
        <v>2989</v>
      </c>
      <c r="H894" s="323">
        <v>0.80620000000000003</v>
      </c>
      <c r="I894" s="157" t="s">
        <v>2990</v>
      </c>
      <c r="J894" s="157"/>
      <c r="K894" s="242"/>
      <c r="L894" s="157" t="s">
        <v>2991</v>
      </c>
      <c r="M894" s="242">
        <v>9212000</v>
      </c>
      <c r="N894" s="157" t="s">
        <v>2992</v>
      </c>
      <c r="O894" s="242">
        <v>10000000</v>
      </c>
      <c r="P894" s="157" t="s">
        <v>2992</v>
      </c>
      <c r="Q894" s="242">
        <v>10000000</v>
      </c>
      <c r="R894" s="157" t="s">
        <v>2992</v>
      </c>
      <c r="S894" s="242">
        <v>10000000</v>
      </c>
      <c r="T894" s="157" t="s">
        <v>2992</v>
      </c>
      <c r="U894" s="242">
        <v>10000000</v>
      </c>
      <c r="V894" s="52"/>
      <c r="W894" s="52"/>
      <c r="X894" s="52"/>
      <c r="Y894" s="48"/>
      <c r="Z894" s="49"/>
      <c r="AA894" s="49"/>
    </row>
    <row r="895" spans="2:27" s="165" customFormat="1" ht="75">
      <c r="B895" s="48"/>
      <c r="C895" s="62"/>
      <c r="D895" s="63"/>
      <c r="E895" s="63"/>
      <c r="F895" s="64"/>
      <c r="G895" s="408" t="s">
        <v>2993</v>
      </c>
      <c r="H895" s="323">
        <v>1</v>
      </c>
      <c r="I895" s="157" t="s">
        <v>2994</v>
      </c>
      <c r="J895" s="157"/>
      <c r="K895" s="242">
        <v>1500000</v>
      </c>
      <c r="L895" s="157" t="s">
        <v>2994</v>
      </c>
      <c r="M895" s="324">
        <v>0</v>
      </c>
      <c r="N895" s="157" t="s">
        <v>2994</v>
      </c>
      <c r="O895" s="324">
        <v>0</v>
      </c>
      <c r="P895" s="157"/>
      <c r="Q895" s="157"/>
      <c r="R895" s="157"/>
      <c r="S895" s="157"/>
      <c r="T895" s="157"/>
      <c r="U895" s="157"/>
      <c r="V895" s="52"/>
      <c r="W895" s="52"/>
      <c r="X895" s="52"/>
      <c r="Y895" s="48"/>
      <c r="Z895" s="49"/>
      <c r="AA895" s="49"/>
    </row>
    <row r="896" spans="2:27" s="165" customFormat="1" ht="120">
      <c r="B896" s="48"/>
      <c r="C896" s="62"/>
      <c r="D896" s="63"/>
      <c r="E896" s="63"/>
      <c r="F896" s="64"/>
      <c r="G896" s="408" t="s">
        <v>2995</v>
      </c>
      <c r="H896" s="323">
        <v>0.9</v>
      </c>
      <c r="I896" s="157" t="s">
        <v>2996</v>
      </c>
      <c r="J896" s="157"/>
      <c r="K896" s="242">
        <v>6270000</v>
      </c>
      <c r="L896" s="157" t="s">
        <v>2997</v>
      </c>
      <c r="M896" s="243">
        <v>2000000</v>
      </c>
      <c r="N896" s="157" t="s">
        <v>2997</v>
      </c>
      <c r="O896" s="243">
        <v>2000000</v>
      </c>
      <c r="P896" s="157" t="s">
        <v>2997</v>
      </c>
      <c r="Q896" s="243">
        <v>2000000</v>
      </c>
      <c r="R896" s="157" t="s">
        <v>2997</v>
      </c>
      <c r="S896" s="243">
        <v>2000000</v>
      </c>
      <c r="T896" s="157" t="s">
        <v>2997</v>
      </c>
      <c r="U896" s="243">
        <v>2000000</v>
      </c>
      <c r="V896" s="52"/>
      <c r="W896" s="52"/>
      <c r="X896" s="52"/>
      <c r="Y896" s="48"/>
      <c r="Z896" s="49"/>
      <c r="AA896" s="49"/>
    </row>
    <row r="897" spans="1:32" s="165" customFormat="1" ht="60">
      <c r="B897" s="48"/>
      <c r="C897" s="62"/>
      <c r="D897" s="63"/>
      <c r="E897" s="63"/>
      <c r="F897" s="64"/>
      <c r="G897" s="408" t="s">
        <v>2998</v>
      </c>
      <c r="H897" s="323">
        <v>0.9889</v>
      </c>
      <c r="I897" s="157" t="s">
        <v>2999</v>
      </c>
      <c r="J897" s="157"/>
      <c r="K897" s="242">
        <v>264980000</v>
      </c>
      <c r="L897" s="157" t="s">
        <v>2999</v>
      </c>
      <c r="M897" s="242">
        <v>149825000</v>
      </c>
      <c r="N897" s="157" t="s">
        <v>2999</v>
      </c>
      <c r="O897" s="242">
        <v>145000000</v>
      </c>
      <c r="P897" s="157" t="s">
        <v>2999</v>
      </c>
      <c r="Q897" s="242">
        <v>150000000</v>
      </c>
      <c r="R897" s="157" t="s">
        <v>2999</v>
      </c>
      <c r="S897" s="242">
        <v>150000000</v>
      </c>
      <c r="T897" s="157" t="s">
        <v>2999</v>
      </c>
      <c r="U897" s="242">
        <v>150000000</v>
      </c>
      <c r="V897" s="52"/>
      <c r="W897" s="52"/>
      <c r="X897" s="52"/>
      <c r="Y897" s="48"/>
      <c r="Z897" s="49"/>
      <c r="AA897" s="49"/>
    </row>
    <row r="898" spans="1:32" s="165" customFormat="1" ht="105">
      <c r="B898" s="48"/>
      <c r="C898" s="62"/>
      <c r="D898" s="63"/>
      <c r="E898" s="63"/>
      <c r="F898" s="64"/>
      <c r="G898" s="408" t="s">
        <v>3000</v>
      </c>
      <c r="H898" s="323">
        <v>1</v>
      </c>
      <c r="I898" s="157" t="s">
        <v>3001</v>
      </c>
      <c r="J898" s="157"/>
      <c r="K898" s="242">
        <v>15000000</v>
      </c>
      <c r="L898" s="157" t="s">
        <v>3002</v>
      </c>
      <c r="M898" s="243">
        <v>14555000</v>
      </c>
      <c r="N898" s="157" t="s">
        <v>3003</v>
      </c>
      <c r="O898" s="243">
        <v>15000000</v>
      </c>
      <c r="P898" s="157" t="s">
        <v>3003</v>
      </c>
      <c r="Q898" s="243">
        <v>18000000</v>
      </c>
      <c r="R898" s="157" t="s">
        <v>3003</v>
      </c>
      <c r="S898" s="243">
        <v>20000000</v>
      </c>
      <c r="T898" s="157" t="s">
        <v>3003</v>
      </c>
      <c r="U898" s="243">
        <v>20000000</v>
      </c>
      <c r="V898" s="52"/>
      <c r="W898" s="52"/>
      <c r="X898" s="52"/>
      <c r="Y898" s="48"/>
      <c r="Z898" s="49"/>
      <c r="AA898" s="49"/>
    </row>
    <row r="899" spans="1:32" s="165" customFormat="1" ht="105">
      <c r="B899" s="48"/>
      <c r="C899" s="62"/>
      <c r="D899" s="63"/>
      <c r="E899" s="63"/>
      <c r="F899" s="64"/>
      <c r="G899" s="408" t="s">
        <v>3004</v>
      </c>
      <c r="H899" s="241" t="s">
        <v>3005</v>
      </c>
      <c r="I899" s="157" t="s">
        <v>3006</v>
      </c>
      <c r="J899" s="157"/>
      <c r="K899" s="242">
        <v>90000000</v>
      </c>
      <c r="L899" s="157" t="s">
        <v>3006</v>
      </c>
      <c r="M899" s="242">
        <v>94335000</v>
      </c>
      <c r="N899" s="157" t="s">
        <v>3006</v>
      </c>
      <c r="O899" s="242">
        <v>120000000</v>
      </c>
      <c r="P899" s="157" t="s">
        <v>3006</v>
      </c>
      <c r="Q899" s="242">
        <v>125000000</v>
      </c>
      <c r="R899" s="157" t="s">
        <v>3006</v>
      </c>
      <c r="S899" s="242">
        <v>130000000</v>
      </c>
      <c r="T899" s="157" t="s">
        <v>3006</v>
      </c>
      <c r="U899" s="242">
        <v>130000000</v>
      </c>
      <c r="V899" s="52"/>
      <c r="W899" s="52"/>
      <c r="X899" s="52"/>
      <c r="Y899" s="48"/>
      <c r="Z899" s="49"/>
      <c r="AA899" s="49"/>
    </row>
    <row r="900" spans="1:32" s="540" customFormat="1" ht="60">
      <c r="B900" s="545"/>
      <c r="C900" s="593">
        <f>'matrik MISI 2'!J80</f>
        <v>1.17</v>
      </c>
      <c r="D900" s="594" t="str">
        <f>'matrik MISI 2'!K80</f>
        <v>xx</v>
      </c>
      <c r="E900" s="594">
        <f>'matrik MISI 2'!L80</f>
        <v>19</v>
      </c>
      <c r="F900" s="595" t="str">
        <f>'matrik MISI 2'!M80</f>
        <v>Program Pengembangan Nilai Keagamaan</v>
      </c>
      <c r="G900" s="548"/>
      <c r="H900" s="550"/>
      <c r="I900" s="550"/>
      <c r="J900" s="550"/>
      <c r="K900" s="551">
        <f>SUM(K901:K905)</f>
        <v>843764800</v>
      </c>
      <c r="L900" s="551"/>
      <c r="M900" s="551">
        <f t="shared" ref="M900:U900" si="73">SUM(M901:M905)</f>
        <v>1008928500</v>
      </c>
      <c r="N900" s="551"/>
      <c r="O900" s="551">
        <f t="shared" si="73"/>
        <v>1060000000</v>
      </c>
      <c r="P900" s="551"/>
      <c r="Q900" s="551">
        <f t="shared" si="73"/>
        <v>1070000000</v>
      </c>
      <c r="R900" s="551"/>
      <c r="S900" s="551">
        <f t="shared" si="73"/>
        <v>1080000000</v>
      </c>
      <c r="T900" s="551"/>
      <c r="U900" s="551">
        <f t="shared" si="73"/>
        <v>1080000000</v>
      </c>
      <c r="V900" s="550"/>
      <c r="W900" s="550"/>
      <c r="X900" s="550">
        <f>'matrik MISI 2'!X80</f>
        <v>0</v>
      </c>
      <c r="Y900" s="545"/>
      <c r="Z900" s="546"/>
      <c r="AA900" s="546"/>
    </row>
    <row r="901" spans="1:32" s="165" customFormat="1" ht="90">
      <c r="B901" s="48"/>
      <c r="C901" s="62"/>
      <c r="D901" s="63"/>
      <c r="E901" s="63"/>
      <c r="F901" s="64"/>
      <c r="G901" s="58" t="s">
        <v>3007</v>
      </c>
      <c r="H901" s="161" t="s">
        <v>3008</v>
      </c>
      <c r="I901" s="161">
        <v>1</v>
      </c>
      <c r="J901" s="161">
        <v>1</v>
      </c>
      <c r="K901" s="259">
        <v>445825000</v>
      </c>
      <c r="L901" s="161">
        <v>1</v>
      </c>
      <c r="M901" s="325">
        <v>568928500</v>
      </c>
      <c r="N901" s="161">
        <v>1</v>
      </c>
      <c r="O901" s="259">
        <v>600000000</v>
      </c>
      <c r="P901" s="161">
        <v>1</v>
      </c>
      <c r="Q901" s="259">
        <v>600000000</v>
      </c>
      <c r="R901" s="161">
        <v>1</v>
      </c>
      <c r="S901" s="259">
        <v>600000000</v>
      </c>
      <c r="T901" s="161">
        <v>1</v>
      </c>
      <c r="U901" s="259">
        <v>600000000</v>
      </c>
      <c r="V901" s="52"/>
      <c r="W901" s="52"/>
      <c r="X901" s="52"/>
      <c r="Y901" s="48"/>
      <c r="Z901" s="49"/>
      <c r="AA901" s="49"/>
    </row>
    <row r="902" spans="1:32" s="165" customFormat="1" ht="60">
      <c r="B902" s="48"/>
      <c r="C902" s="62"/>
      <c r="D902" s="63"/>
      <c r="E902" s="63"/>
      <c r="F902" s="64"/>
      <c r="G902" s="270" t="s">
        <v>3009</v>
      </c>
      <c r="H902" s="161">
        <v>1</v>
      </c>
      <c r="I902" s="161">
        <v>1</v>
      </c>
      <c r="J902" s="161">
        <v>1</v>
      </c>
      <c r="K902" s="259">
        <v>205385800</v>
      </c>
      <c r="L902" s="161">
        <v>1</v>
      </c>
      <c r="M902" s="259">
        <v>210000000</v>
      </c>
      <c r="N902" s="161">
        <v>1</v>
      </c>
      <c r="O902" s="259">
        <v>220000000</v>
      </c>
      <c r="P902" s="161">
        <v>1</v>
      </c>
      <c r="Q902" s="259">
        <v>230000000</v>
      </c>
      <c r="R902" s="161">
        <v>1</v>
      </c>
      <c r="S902" s="259">
        <v>240000000</v>
      </c>
      <c r="T902" s="161">
        <v>1</v>
      </c>
      <c r="U902" s="259">
        <v>240000000</v>
      </c>
      <c r="V902" s="52"/>
      <c r="W902" s="52"/>
      <c r="X902" s="52"/>
      <c r="Y902" s="48"/>
      <c r="Z902" s="49"/>
      <c r="AA902" s="49"/>
    </row>
    <row r="903" spans="1:32" s="165" customFormat="1" ht="90">
      <c r="B903" s="48"/>
      <c r="C903" s="62"/>
      <c r="D903" s="63"/>
      <c r="E903" s="63"/>
      <c r="F903" s="64"/>
      <c r="G903" s="58" t="s">
        <v>3010</v>
      </c>
      <c r="H903" s="161">
        <v>1</v>
      </c>
      <c r="I903" s="161">
        <v>1</v>
      </c>
      <c r="J903" s="161">
        <v>1</v>
      </c>
      <c r="K903" s="259">
        <v>173500000</v>
      </c>
      <c r="L903" s="161">
        <v>1</v>
      </c>
      <c r="M903" s="259">
        <v>175000000</v>
      </c>
      <c r="N903" s="161">
        <v>1</v>
      </c>
      <c r="O903" s="259">
        <v>175000000</v>
      </c>
      <c r="P903" s="161">
        <v>1</v>
      </c>
      <c r="Q903" s="259">
        <v>175000000</v>
      </c>
      <c r="R903" s="161">
        <v>1</v>
      </c>
      <c r="S903" s="259">
        <v>175000000</v>
      </c>
      <c r="T903" s="161">
        <v>1</v>
      </c>
      <c r="U903" s="259">
        <v>175000000</v>
      </c>
      <c r="V903" s="52"/>
      <c r="W903" s="52"/>
      <c r="X903" s="52"/>
      <c r="Y903" s="48"/>
      <c r="Z903" s="49"/>
      <c r="AA903" s="49"/>
    </row>
    <row r="904" spans="1:32" s="165" customFormat="1" ht="60">
      <c r="B904" s="48"/>
      <c r="C904" s="62"/>
      <c r="D904" s="63"/>
      <c r="E904" s="63"/>
      <c r="F904" s="64"/>
      <c r="G904" s="58" t="s">
        <v>3011</v>
      </c>
      <c r="H904" s="52" t="s">
        <v>3012</v>
      </c>
      <c r="I904" s="161">
        <v>1</v>
      </c>
      <c r="J904" s="161">
        <v>1</v>
      </c>
      <c r="K904" s="259">
        <v>14604000</v>
      </c>
      <c r="L904" s="161">
        <v>1</v>
      </c>
      <c r="M904" s="259">
        <v>25000000</v>
      </c>
      <c r="N904" s="161">
        <v>1</v>
      </c>
      <c r="O904" s="259">
        <v>30000000</v>
      </c>
      <c r="P904" s="161">
        <v>1</v>
      </c>
      <c r="Q904" s="259">
        <v>30000000</v>
      </c>
      <c r="R904" s="161">
        <v>1</v>
      </c>
      <c r="S904" s="259">
        <v>30000000</v>
      </c>
      <c r="T904" s="161">
        <v>1</v>
      </c>
      <c r="U904" s="259">
        <v>30000000</v>
      </c>
      <c r="V904" s="52"/>
      <c r="W904" s="52"/>
      <c r="X904" s="52"/>
      <c r="Y904" s="48"/>
      <c r="Z904" s="49"/>
      <c r="AA904" s="49"/>
    </row>
    <row r="905" spans="1:32" s="165" customFormat="1" ht="60">
      <c r="B905" s="48"/>
      <c r="C905" s="62"/>
      <c r="D905" s="63"/>
      <c r="E905" s="63"/>
      <c r="F905" s="64"/>
      <c r="G905" s="58" t="s">
        <v>3013</v>
      </c>
      <c r="H905" s="52" t="s">
        <v>3012</v>
      </c>
      <c r="I905" s="161">
        <v>1</v>
      </c>
      <c r="J905" s="161">
        <v>1</v>
      </c>
      <c r="K905" s="259">
        <v>4450000</v>
      </c>
      <c r="L905" s="161">
        <v>1</v>
      </c>
      <c r="M905" s="259">
        <v>30000000</v>
      </c>
      <c r="N905" s="161">
        <v>1</v>
      </c>
      <c r="O905" s="259">
        <v>35000000</v>
      </c>
      <c r="P905" s="161">
        <v>1</v>
      </c>
      <c r="Q905" s="259">
        <v>35000000</v>
      </c>
      <c r="R905" s="161">
        <v>1</v>
      </c>
      <c r="S905" s="259">
        <v>35000000</v>
      </c>
      <c r="T905" s="161">
        <v>1</v>
      </c>
      <c r="U905" s="259">
        <v>35000000</v>
      </c>
      <c r="V905" s="52"/>
      <c r="W905" s="52"/>
      <c r="X905" s="52"/>
      <c r="Y905" s="48"/>
      <c r="Z905" s="49"/>
      <c r="AA905" s="49"/>
    </row>
    <row r="906" spans="1:32" s="280" customFormat="1" ht="30" customHeight="1">
      <c r="A906" s="285"/>
      <c r="B906" s="1093" t="s">
        <v>4249</v>
      </c>
      <c r="C906" s="1094"/>
      <c r="D906" s="1094"/>
      <c r="E906" s="1094"/>
      <c r="F906" s="1094"/>
      <c r="G906" s="1095"/>
      <c r="H906" s="382"/>
      <c r="I906" s="382"/>
      <c r="J906" s="382"/>
      <c r="K906" s="382">
        <f>SUM(K879:K905)</f>
        <v>3003029600</v>
      </c>
      <c r="L906" s="382"/>
      <c r="M906" s="382">
        <f t="shared" ref="M906:W906" si="74">SUM(M879:M905)</f>
        <v>3251419400</v>
      </c>
      <c r="N906" s="382"/>
      <c r="O906" s="382">
        <f t="shared" si="74"/>
        <v>5124000000</v>
      </c>
      <c r="P906" s="382"/>
      <c r="Q906" s="382">
        <f t="shared" si="74"/>
        <v>5420000000</v>
      </c>
      <c r="R906" s="382"/>
      <c r="S906" s="382">
        <f t="shared" si="74"/>
        <v>5404000000</v>
      </c>
      <c r="T906" s="382"/>
      <c r="U906" s="382">
        <f t="shared" si="74"/>
        <v>3782000000</v>
      </c>
      <c r="V906" s="382">
        <f t="shared" si="74"/>
        <v>0</v>
      </c>
      <c r="W906" s="382">
        <f t="shared" si="74"/>
        <v>0</v>
      </c>
      <c r="X906" s="382"/>
      <c r="Y906" s="321"/>
      <c r="Z906" s="322"/>
      <c r="AA906" s="322"/>
      <c r="AB906" s="285"/>
      <c r="AC906" s="285"/>
      <c r="AD906" s="285"/>
      <c r="AE906" s="285"/>
      <c r="AF906" s="285"/>
    </row>
    <row r="907" spans="1:32" ht="30">
      <c r="A907" s="165">
        <v>1</v>
      </c>
      <c r="B907" s="62" t="str">
        <f>'matrik MISI 2'!B71</f>
        <v>PEMUDA DAN OLAH RAGA</v>
      </c>
      <c r="C907" s="56"/>
      <c r="D907" s="57"/>
      <c r="E907" s="57"/>
      <c r="F907" s="58"/>
      <c r="G907" s="58"/>
      <c r="H907" s="52"/>
      <c r="I907" s="52"/>
      <c r="J907" s="52"/>
      <c r="K907" s="52"/>
      <c r="L907" s="52"/>
      <c r="M907" s="52"/>
      <c r="N907" s="52"/>
      <c r="O907" s="52"/>
      <c r="P907" s="52"/>
      <c r="Q907" s="52"/>
      <c r="R907" s="52"/>
      <c r="S907" s="52"/>
      <c r="T907" s="52"/>
      <c r="U907" s="52"/>
      <c r="V907" s="52"/>
      <c r="W907" s="52"/>
      <c r="X907" s="52"/>
      <c r="Y907" s="48"/>
      <c r="Z907" s="49"/>
      <c r="AA907" s="49"/>
      <c r="AB907" s="165"/>
      <c r="AC907" s="165"/>
      <c r="AD907" s="165"/>
      <c r="AE907" s="165"/>
      <c r="AF907" s="165"/>
    </row>
    <row r="908" spans="1:32" s="540" customFormat="1" ht="60">
      <c r="B908" s="545"/>
      <c r="C908" s="591">
        <f>'matrik MISI 2'!J72</f>
        <v>1.18</v>
      </c>
      <c r="D908" s="592" t="str">
        <f>'matrik MISI 2'!K72</f>
        <v>xx</v>
      </c>
      <c r="E908" s="592">
        <f>'matrik MISI 2'!L72</f>
        <v>20</v>
      </c>
      <c r="F908" s="548" t="str">
        <f>'matrik MISI 2'!M72</f>
        <v>Program Pembinaan dan Pemasyarakatan Olahraga</v>
      </c>
      <c r="G908" s="548"/>
      <c r="H908" s="550"/>
      <c r="I908" s="550"/>
      <c r="J908" s="550"/>
      <c r="K908" s="599">
        <f>SUM(K909:K920)</f>
        <v>284259000</v>
      </c>
      <c r="L908" s="599"/>
      <c r="M908" s="599">
        <f t="shared" ref="M908:U908" si="75">SUM(M909:M920)</f>
        <v>649790000</v>
      </c>
      <c r="N908" s="599"/>
      <c r="O908" s="599">
        <f t="shared" si="75"/>
        <v>700000000</v>
      </c>
      <c r="P908" s="599"/>
      <c r="Q908" s="599">
        <f t="shared" si="75"/>
        <v>805000000</v>
      </c>
      <c r="R908" s="599"/>
      <c r="S908" s="599">
        <f t="shared" si="75"/>
        <v>830000000</v>
      </c>
      <c r="T908" s="599"/>
      <c r="U908" s="599">
        <f t="shared" si="75"/>
        <v>810000000</v>
      </c>
      <c r="V908" s="550"/>
      <c r="W908" s="550"/>
      <c r="X908" s="550" t="str">
        <f>'matrik MISI 2'!X72</f>
        <v>Dinbudparpora</v>
      </c>
      <c r="Y908" s="545"/>
      <c r="Z908" s="546"/>
      <c r="AA908" s="546"/>
    </row>
    <row r="909" spans="1:32" ht="45">
      <c r="A909" s="165"/>
      <c r="B909" s="48"/>
      <c r="C909" s="56"/>
      <c r="D909" s="57"/>
      <c r="E909" s="57"/>
      <c r="F909" s="58"/>
      <c r="G909" s="408" t="s">
        <v>3014</v>
      </c>
      <c r="H909" s="241" t="s">
        <v>3015</v>
      </c>
      <c r="I909" s="157" t="s">
        <v>3016</v>
      </c>
      <c r="J909" s="306">
        <v>1</v>
      </c>
      <c r="K909" s="242">
        <v>24600000</v>
      </c>
      <c r="L909" s="157" t="s">
        <v>3017</v>
      </c>
      <c r="M909" s="243">
        <v>23800000</v>
      </c>
      <c r="N909" s="157" t="s">
        <v>3017</v>
      </c>
      <c r="O909" s="243">
        <v>30000000</v>
      </c>
      <c r="P909" s="157" t="s">
        <v>3017</v>
      </c>
      <c r="Q909" s="243">
        <v>35000000</v>
      </c>
      <c r="R909" s="157" t="s">
        <v>3017</v>
      </c>
      <c r="S909" s="243">
        <v>40000000</v>
      </c>
      <c r="T909" s="157" t="s">
        <v>3017</v>
      </c>
      <c r="U909" s="243">
        <v>40000000</v>
      </c>
      <c r="V909" s="52"/>
      <c r="W909" s="52"/>
      <c r="X909" s="52"/>
      <c r="Y909" s="48"/>
      <c r="Z909" s="49"/>
      <c r="AA909" s="49"/>
      <c r="AB909" s="165"/>
      <c r="AC909" s="165"/>
      <c r="AD909" s="165"/>
      <c r="AE909" s="165"/>
      <c r="AF909" s="165"/>
    </row>
    <row r="910" spans="1:32" ht="135">
      <c r="A910" s="165"/>
      <c r="B910" s="48"/>
      <c r="C910" s="56"/>
      <c r="D910" s="57"/>
      <c r="E910" s="57"/>
      <c r="F910" s="58"/>
      <c r="G910" s="408" t="s">
        <v>3018</v>
      </c>
      <c r="H910" s="241" t="s">
        <v>3019</v>
      </c>
      <c r="I910" s="306">
        <v>1</v>
      </c>
      <c r="J910" s="306">
        <v>1</v>
      </c>
      <c r="K910" s="242">
        <v>30000000</v>
      </c>
      <c r="L910" s="306">
        <v>1</v>
      </c>
      <c r="M910" s="242">
        <v>29160000</v>
      </c>
      <c r="N910" s="306">
        <v>1</v>
      </c>
      <c r="O910" s="243">
        <v>40000000</v>
      </c>
      <c r="P910" s="306">
        <v>1</v>
      </c>
      <c r="Q910" s="243">
        <v>75000000</v>
      </c>
      <c r="R910" s="306">
        <v>1</v>
      </c>
      <c r="S910" s="243">
        <v>80000000</v>
      </c>
      <c r="T910" s="306">
        <v>1</v>
      </c>
      <c r="U910" s="243">
        <v>80000000</v>
      </c>
      <c r="V910" s="52"/>
      <c r="W910" s="52"/>
      <c r="X910" s="52"/>
      <c r="Y910" s="48"/>
      <c r="Z910" s="49"/>
      <c r="AA910" s="49"/>
      <c r="AB910" s="165"/>
      <c r="AC910" s="165"/>
      <c r="AD910" s="165"/>
      <c r="AE910" s="165"/>
      <c r="AF910" s="165"/>
    </row>
    <row r="911" spans="1:32" ht="60">
      <c r="A911" s="165"/>
      <c r="B911" s="48"/>
      <c r="C911" s="56"/>
      <c r="D911" s="57"/>
      <c r="E911" s="57"/>
      <c r="F911" s="58"/>
      <c r="G911" s="408" t="s">
        <v>3020</v>
      </c>
      <c r="H911" s="324">
        <v>0</v>
      </c>
      <c r="I911" s="157"/>
      <c r="J911" s="157"/>
      <c r="K911" s="324">
        <v>0</v>
      </c>
      <c r="L911" s="306">
        <v>1</v>
      </c>
      <c r="M911" s="242">
        <v>50000000</v>
      </c>
      <c r="N911" s="306">
        <v>1</v>
      </c>
      <c r="O911" s="242">
        <v>50000000</v>
      </c>
      <c r="P911" s="306">
        <v>1</v>
      </c>
      <c r="Q911" s="242">
        <v>55000000</v>
      </c>
      <c r="R911" s="306">
        <v>1</v>
      </c>
      <c r="S911" s="242">
        <v>55000000</v>
      </c>
      <c r="T911" s="306">
        <v>1</v>
      </c>
      <c r="U911" s="242">
        <v>55000000</v>
      </c>
      <c r="V911" s="52"/>
      <c r="W911" s="52"/>
      <c r="X911" s="52"/>
      <c r="Y911" s="48"/>
      <c r="Z911" s="49"/>
      <c r="AA911" s="49"/>
      <c r="AB911" s="165"/>
      <c r="AC911" s="165"/>
      <c r="AD911" s="165"/>
      <c r="AE911" s="165"/>
      <c r="AF911" s="165"/>
    </row>
    <row r="912" spans="1:32" ht="45">
      <c r="A912" s="165"/>
      <c r="B912" s="48"/>
      <c r="C912" s="56"/>
      <c r="D912" s="57"/>
      <c r="E912" s="57"/>
      <c r="F912" s="58"/>
      <c r="G912" s="408" t="s">
        <v>5051</v>
      </c>
      <c r="H912" s="324"/>
      <c r="I912" s="157"/>
      <c r="J912" s="157"/>
      <c r="K912" s="324">
        <v>20000000</v>
      </c>
      <c r="L912" s="306"/>
      <c r="M912" s="242">
        <v>20000000</v>
      </c>
      <c r="N912" s="306"/>
      <c r="O912" s="242">
        <v>20000000</v>
      </c>
      <c r="P912" s="242">
        <v>20000000</v>
      </c>
      <c r="Q912" s="242">
        <v>20000000</v>
      </c>
      <c r="R912" s="242">
        <v>20000000</v>
      </c>
      <c r="S912" s="242">
        <v>20000000</v>
      </c>
      <c r="T912" s="306"/>
      <c r="U912" s="242"/>
      <c r="V912" s="52"/>
      <c r="W912" s="52"/>
      <c r="X912" s="52"/>
      <c r="Y912" s="48"/>
      <c r="Z912" s="49"/>
      <c r="AA912" s="49"/>
      <c r="AB912" s="165"/>
      <c r="AC912" s="165"/>
      <c r="AD912" s="165"/>
      <c r="AE912" s="165"/>
      <c r="AF912" s="165"/>
    </row>
    <row r="913" spans="1:32" ht="60">
      <c r="A913" s="165"/>
      <c r="B913" s="48"/>
      <c r="C913" s="56"/>
      <c r="D913" s="57"/>
      <c r="E913" s="57"/>
      <c r="F913" s="58"/>
      <c r="G913" s="408" t="s">
        <v>3021</v>
      </c>
      <c r="H913" s="324">
        <v>0</v>
      </c>
      <c r="I913" s="157"/>
      <c r="J913" s="157"/>
      <c r="K913" s="324">
        <v>0</v>
      </c>
      <c r="L913" s="306">
        <v>1</v>
      </c>
      <c r="M913" s="242">
        <v>75000000</v>
      </c>
      <c r="N913" s="306">
        <v>1</v>
      </c>
      <c r="O913" s="242">
        <v>75000000</v>
      </c>
      <c r="P913" s="306">
        <v>1</v>
      </c>
      <c r="Q913" s="242">
        <v>80000000</v>
      </c>
      <c r="R913" s="306">
        <v>1</v>
      </c>
      <c r="S913" s="242">
        <v>80000000</v>
      </c>
      <c r="T913" s="306">
        <v>1</v>
      </c>
      <c r="U913" s="242">
        <v>80000000</v>
      </c>
      <c r="V913" s="52"/>
      <c r="W913" s="52"/>
      <c r="X913" s="52"/>
      <c r="Y913" s="48"/>
      <c r="Z913" s="49"/>
      <c r="AA913" s="49"/>
      <c r="AB913" s="165"/>
      <c r="AC913" s="165"/>
      <c r="AD913" s="165"/>
      <c r="AE913" s="165"/>
      <c r="AF913" s="165"/>
    </row>
    <row r="914" spans="1:32" ht="45">
      <c r="A914" s="165"/>
      <c r="B914" s="48"/>
      <c r="C914" s="56"/>
      <c r="D914" s="57"/>
      <c r="E914" s="57"/>
      <c r="F914" s="58"/>
      <c r="G914" s="408" t="s">
        <v>3022</v>
      </c>
      <c r="H914" s="241" t="s">
        <v>3023</v>
      </c>
      <c r="I914" s="157" t="s">
        <v>3024</v>
      </c>
      <c r="J914" s="157" t="s">
        <v>3025</v>
      </c>
      <c r="K914" s="242">
        <v>14920000</v>
      </c>
      <c r="L914" s="157" t="s">
        <v>3026</v>
      </c>
      <c r="M914" s="242">
        <v>14770000</v>
      </c>
      <c r="N914" s="157" t="s">
        <v>3026</v>
      </c>
      <c r="O914" s="243">
        <v>20000000</v>
      </c>
      <c r="P914" s="157" t="s">
        <v>3027</v>
      </c>
      <c r="Q914" s="243">
        <v>25000000</v>
      </c>
      <c r="R914" s="157" t="s">
        <v>3028</v>
      </c>
      <c r="S914" s="243">
        <v>30000000</v>
      </c>
      <c r="T914" s="157" t="s">
        <v>3028</v>
      </c>
      <c r="U914" s="243">
        <v>30000000</v>
      </c>
      <c r="V914" s="52"/>
      <c r="W914" s="52"/>
      <c r="X914" s="52"/>
      <c r="Y914" s="48"/>
      <c r="Z914" s="49"/>
      <c r="AA914" s="49"/>
      <c r="AB914" s="165"/>
      <c r="AC914" s="165"/>
      <c r="AD914" s="165"/>
      <c r="AE914" s="165"/>
      <c r="AF914" s="165"/>
    </row>
    <row r="915" spans="1:32" ht="105">
      <c r="A915" s="165"/>
      <c r="B915" s="48"/>
      <c r="C915" s="56"/>
      <c r="D915" s="57"/>
      <c r="E915" s="57"/>
      <c r="F915" s="58"/>
      <c r="G915" s="408" t="s">
        <v>3029</v>
      </c>
      <c r="H915" s="241" t="s">
        <v>3030</v>
      </c>
      <c r="I915" s="157" t="s">
        <v>3031</v>
      </c>
      <c r="J915" s="157"/>
      <c r="K915" s="242">
        <v>59816000</v>
      </c>
      <c r="L915" s="157" t="s">
        <v>3031</v>
      </c>
      <c r="M915" s="242">
        <v>59310000</v>
      </c>
      <c r="N915" s="157" t="s">
        <v>3032</v>
      </c>
      <c r="O915" s="243">
        <v>65000000</v>
      </c>
      <c r="P915" s="157" t="s">
        <v>3033</v>
      </c>
      <c r="Q915" s="243">
        <v>70000000</v>
      </c>
      <c r="R915" s="157" t="s">
        <v>3034</v>
      </c>
      <c r="S915" s="243">
        <v>75000000</v>
      </c>
      <c r="T915" s="157" t="s">
        <v>3034</v>
      </c>
      <c r="U915" s="243">
        <v>75000000</v>
      </c>
      <c r="V915" s="52"/>
      <c r="W915" s="52"/>
      <c r="X915" s="52"/>
      <c r="Y915" s="48"/>
      <c r="Z915" s="49"/>
      <c r="AA915" s="49"/>
      <c r="AB915" s="165"/>
      <c r="AC915" s="165"/>
      <c r="AD915" s="165"/>
      <c r="AE915" s="165"/>
      <c r="AF915" s="165"/>
    </row>
    <row r="916" spans="1:32" ht="90">
      <c r="A916" s="165"/>
      <c r="B916" s="48"/>
      <c r="C916" s="56"/>
      <c r="D916" s="57"/>
      <c r="E916" s="57"/>
      <c r="F916" s="58"/>
      <c r="G916" s="408" t="s">
        <v>3035</v>
      </c>
      <c r="H916" s="241" t="s">
        <v>3036</v>
      </c>
      <c r="I916" s="306">
        <v>1</v>
      </c>
      <c r="J916" s="157"/>
      <c r="K916" s="242">
        <v>74940000</v>
      </c>
      <c r="L916" s="306">
        <v>1</v>
      </c>
      <c r="M916" s="242">
        <v>68850000</v>
      </c>
      <c r="N916" s="306">
        <v>1</v>
      </c>
      <c r="O916" s="242">
        <v>80000000</v>
      </c>
      <c r="P916" s="306">
        <v>1</v>
      </c>
      <c r="Q916" s="242">
        <v>85000000</v>
      </c>
      <c r="R916" s="306">
        <v>1</v>
      </c>
      <c r="S916" s="242">
        <v>90000000</v>
      </c>
      <c r="T916" s="306">
        <v>1</v>
      </c>
      <c r="U916" s="242">
        <v>90000000</v>
      </c>
      <c r="V916" s="52"/>
      <c r="W916" s="52"/>
      <c r="X916" s="52"/>
      <c r="Y916" s="48"/>
      <c r="Z916" s="49"/>
      <c r="AA916" s="49"/>
      <c r="AB916" s="165"/>
      <c r="AC916" s="165"/>
      <c r="AD916" s="165"/>
      <c r="AE916" s="165"/>
      <c r="AF916" s="165"/>
    </row>
    <row r="917" spans="1:32" ht="45">
      <c r="A917" s="165"/>
      <c r="B917" s="48"/>
      <c r="C917" s="56"/>
      <c r="D917" s="57"/>
      <c r="E917" s="57"/>
      <c r="F917" s="58"/>
      <c r="G917" s="408" t="s">
        <v>3037</v>
      </c>
      <c r="H917" s="241" t="s">
        <v>3038</v>
      </c>
      <c r="I917" s="306" t="s">
        <v>3039</v>
      </c>
      <c r="J917" s="157"/>
      <c r="K917" s="242">
        <v>30000000</v>
      </c>
      <c r="L917" s="306" t="s">
        <v>3039</v>
      </c>
      <c r="M917" s="242">
        <v>29000000</v>
      </c>
      <c r="N917" s="306" t="s">
        <v>3039</v>
      </c>
      <c r="O917" s="242">
        <v>40000000</v>
      </c>
      <c r="P917" s="306" t="s">
        <v>3039</v>
      </c>
      <c r="Q917" s="242">
        <v>45000000</v>
      </c>
      <c r="R917" s="306" t="s">
        <v>3039</v>
      </c>
      <c r="S917" s="242">
        <v>45000000</v>
      </c>
      <c r="T917" s="306" t="s">
        <v>3039</v>
      </c>
      <c r="U917" s="242">
        <v>45000000</v>
      </c>
      <c r="V917" s="52"/>
      <c r="W917" s="52"/>
      <c r="X917" s="52"/>
      <c r="Y917" s="48"/>
      <c r="Z917" s="49"/>
      <c r="AA917" s="49"/>
      <c r="AB917" s="165"/>
      <c r="AC917" s="165"/>
      <c r="AD917" s="165"/>
      <c r="AE917" s="165"/>
      <c r="AF917" s="165"/>
    </row>
    <row r="918" spans="1:32" ht="105">
      <c r="A918" s="165"/>
      <c r="B918" s="48"/>
      <c r="C918" s="56"/>
      <c r="D918" s="57"/>
      <c r="E918" s="57"/>
      <c r="F918" s="58"/>
      <c r="G918" s="408" t="s">
        <v>3040</v>
      </c>
      <c r="H918" s="326">
        <v>1</v>
      </c>
      <c r="I918" s="326" t="s">
        <v>3041</v>
      </c>
      <c r="J918" s="157"/>
      <c r="K918" s="242">
        <v>29983000</v>
      </c>
      <c r="L918" s="326" t="s">
        <v>3041</v>
      </c>
      <c r="M918" s="243">
        <v>29900000</v>
      </c>
      <c r="N918" s="326" t="s">
        <v>3041</v>
      </c>
      <c r="O918" s="243">
        <v>30000000</v>
      </c>
      <c r="P918" s="326" t="s">
        <v>3041</v>
      </c>
      <c r="Q918" s="243">
        <v>35000000</v>
      </c>
      <c r="R918" s="326" t="s">
        <v>3041</v>
      </c>
      <c r="S918" s="243">
        <v>35000000</v>
      </c>
      <c r="T918" s="326" t="s">
        <v>3041</v>
      </c>
      <c r="U918" s="243">
        <v>35000000</v>
      </c>
      <c r="V918" s="52"/>
      <c r="W918" s="52"/>
      <c r="X918" s="52"/>
      <c r="Y918" s="48"/>
      <c r="Z918" s="49"/>
      <c r="AA918" s="49"/>
      <c r="AB918" s="165"/>
      <c r="AC918" s="165"/>
      <c r="AD918" s="165"/>
      <c r="AE918" s="165"/>
      <c r="AF918" s="165"/>
    </row>
    <row r="919" spans="1:32" ht="45">
      <c r="A919" s="165"/>
      <c r="B919" s="48"/>
      <c r="C919" s="56"/>
      <c r="D919" s="57"/>
      <c r="E919" s="57"/>
      <c r="F919" s="58"/>
      <c r="G919" s="408" t="s">
        <v>3042</v>
      </c>
      <c r="H919" s="324">
        <v>0</v>
      </c>
      <c r="I919" s="157" t="s">
        <v>2994</v>
      </c>
      <c r="J919" s="157"/>
      <c r="K919" s="324">
        <v>0</v>
      </c>
      <c r="L919" s="157" t="s">
        <v>3043</v>
      </c>
      <c r="M919" s="243">
        <v>50000000</v>
      </c>
      <c r="N919" s="157" t="s">
        <v>3043</v>
      </c>
      <c r="O919" s="243">
        <v>50000000</v>
      </c>
      <c r="P919" s="157" t="s">
        <v>3043</v>
      </c>
      <c r="Q919" s="243">
        <v>55000000</v>
      </c>
      <c r="R919" s="157" t="s">
        <v>3043</v>
      </c>
      <c r="S919" s="243">
        <v>55000000</v>
      </c>
      <c r="T919" s="157" t="s">
        <v>3043</v>
      </c>
      <c r="U919" s="243">
        <v>55000000</v>
      </c>
      <c r="V919" s="52"/>
      <c r="W919" s="52"/>
      <c r="X919" s="52"/>
      <c r="Y919" s="48"/>
      <c r="Z919" s="49"/>
      <c r="AA919" s="49"/>
      <c r="AB919" s="165"/>
      <c r="AC919" s="165"/>
      <c r="AD919" s="165"/>
      <c r="AE919" s="165"/>
      <c r="AF919" s="165"/>
    </row>
    <row r="920" spans="1:32" ht="90">
      <c r="A920" s="165"/>
      <c r="B920" s="48"/>
      <c r="C920" s="56"/>
      <c r="D920" s="57"/>
      <c r="E920" s="57"/>
      <c r="F920" s="58"/>
      <c r="G920" s="408" t="s">
        <v>3044</v>
      </c>
      <c r="H920" s="324">
        <v>0</v>
      </c>
      <c r="I920" s="157" t="s">
        <v>2994</v>
      </c>
      <c r="J920" s="157"/>
      <c r="K920" s="324">
        <v>0</v>
      </c>
      <c r="L920" s="306">
        <v>1</v>
      </c>
      <c r="M920" s="243">
        <v>200000000</v>
      </c>
      <c r="N920" s="306">
        <v>1</v>
      </c>
      <c r="O920" s="243">
        <v>200000000</v>
      </c>
      <c r="P920" s="306">
        <v>1</v>
      </c>
      <c r="Q920" s="243">
        <v>225000000</v>
      </c>
      <c r="R920" s="306">
        <v>1</v>
      </c>
      <c r="S920" s="243">
        <v>225000000</v>
      </c>
      <c r="T920" s="306">
        <v>1</v>
      </c>
      <c r="U920" s="243">
        <v>225000000</v>
      </c>
      <c r="V920" s="52"/>
      <c r="W920" s="52"/>
      <c r="X920" s="52"/>
      <c r="Y920" s="48"/>
      <c r="Z920" s="49"/>
      <c r="AA920" s="49"/>
      <c r="AB920" s="165"/>
      <c r="AC920" s="165"/>
      <c r="AD920" s="165"/>
      <c r="AE920" s="165"/>
      <c r="AF920" s="165"/>
    </row>
    <row r="921" spans="1:32" s="540" customFormat="1" ht="75">
      <c r="B921" s="545"/>
      <c r="C921" s="591">
        <f>'matrik MISI 2'!J74</f>
        <v>1.18</v>
      </c>
      <c r="D921" s="592" t="str">
        <f>'matrik MISI 2'!K74</f>
        <v>xx</v>
      </c>
      <c r="E921" s="592">
        <f>'matrik MISI 2'!L74</f>
        <v>21</v>
      </c>
      <c r="F921" s="548" t="str">
        <f>'matrik MISI 2'!M74</f>
        <v>Program Peningkatan Sarana dan Prasarana Olahraga</v>
      </c>
      <c r="G921" s="548"/>
      <c r="H921" s="550"/>
      <c r="I921" s="550"/>
      <c r="J921" s="550"/>
      <c r="K921" s="599">
        <f>SUM(K922:K924)</f>
        <v>20000000</v>
      </c>
      <c r="L921" s="599"/>
      <c r="M921" s="599">
        <f t="shared" ref="M921:U921" si="76">SUM(M922:M924)</f>
        <v>24762500</v>
      </c>
      <c r="N921" s="599"/>
      <c r="O921" s="599">
        <f t="shared" si="76"/>
        <v>75000000</v>
      </c>
      <c r="P921" s="599"/>
      <c r="Q921" s="599">
        <f t="shared" si="76"/>
        <v>80000000</v>
      </c>
      <c r="R921" s="599"/>
      <c r="S921" s="599">
        <f t="shared" si="76"/>
        <v>85000000</v>
      </c>
      <c r="T921" s="599"/>
      <c r="U921" s="599">
        <f t="shared" si="76"/>
        <v>85000000</v>
      </c>
      <c r="V921" s="550"/>
      <c r="W921" s="550"/>
      <c r="X921" s="550" t="str">
        <f>'matrik MISI 2'!X74</f>
        <v>Dinbudparpora</v>
      </c>
      <c r="Y921" s="545"/>
      <c r="Z921" s="546"/>
      <c r="AA921" s="546"/>
    </row>
    <row r="922" spans="1:32" ht="90">
      <c r="A922" s="165"/>
      <c r="B922" s="48"/>
      <c r="C922" s="56"/>
      <c r="D922" s="57"/>
      <c r="E922" s="57"/>
      <c r="F922" s="58"/>
      <c r="G922" s="408" t="s">
        <v>3045</v>
      </c>
      <c r="H922" s="323">
        <v>0.84499999999999997</v>
      </c>
      <c r="I922" s="306">
        <v>1</v>
      </c>
      <c r="J922" s="306">
        <v>1</v>
      </c>
      <c r="K922" s="242">
        <v>20000000</v>
      </c>
      <c r="L922" s="157" t="s">
        <v>2968</v>
      </c>
      <c r="M922" s="242">
        <v>24762500</v>
      </c>
      <c r="N922" s="157" t="s">
        <v>3046</v>
      </c>
      <c r="O922" s="243">
        <v>75000000</v>
      </c>
      <c r="P922" s="157" t="s">
        <v>3047</v>
      </c>
      <c r="Q922" s="243">
        <v>80000000</v>
      </c>
      <c r="R922" s="157" t="s">
        <v>3047</v>
      </c>
      <c r="S922" s="243">
        <v>85000000</v>
      </c>
      <c r="T922" s="157" t="s">
        <v>3047</v>
      </c>
      <c r="U922" s="243">
        <v>85000000</v>
      </c>
      <c r="V922" s="52"/>
      <c r="W922" s="52"/>
      <c r="X922" s="52"/>
      <c r="Y922" s="48"/>
      <c r="Z922" s="49"/>
      <c r="AA922" s="49"/>
      <c r="AB922" s="165"/>
      <c r="AC922" s="165"/>
      <c r="AD922" s="165"/>
      <c r="AE922" s="165"/>
      <c r="AF922" s="165"/>
    </row>
    <row r="923" spans="1:32" ht="60">
      <c r="A923" s="165"/>
      <c r="B923" s="48"/>
      <c r="C923" s="56"/>
      <c r="D923" s="57"/>
      <c r="E923" s="57"/>
      <c r="F923" s="58"/>
      <c r="G923" s="408" t="s">
        <v>3048</v>
      </c>
      <c r="H923" s="241" t="s">
        <v>3049</v>
      </c>
      <c r="I923" s="306">
        <v>1</v>
      </c>
      <c r="J923" s="242">
        <v>0</v>
      </c>
      <c r="K923" s="242">
        <v>0</v>
      </c>
      <c r="L923" s="157" t="s">
        <v>2994</v>
      </c>
      <c r="M923" s="157">
        <v>0</v>
      </c>
      <c r="N923" s="157" t="s">
        <v>2994</v>
      </c>
      <c r="O923" s="157">
        <v>0</v>
      </c>
      <c r="P923" s="157" t="s">
        <v>2994</v>
      </c>
      <c r="Q923" s="157">
        <v>0</v>
      </c>
      <c r="R923" s="157" t="s">
        <v>2994</v>
      </c>
      <c r="S923" s="157">
        <v>0</v>
      </c>
      <c r="T923" s="157" t="s">
        <v>2994</v>
      </c>
      <c r="U923" s="157">
        <v>0</v>
      </c>
      <c r="V923" s="52"/>
      <c r="W923" s="52"/>
      <c r="X923" s="52"/>
      <c r="Y923" s="48"/>
      <c r="Z923" s="49"/>
      <c r="AA923" s="49"/>
      <c r="AB923" s="165"/>
      <c r="AC923" s="165"/>
      <c r="AD923" s="165"/>
      <c r="AE923" s="165"/>
      <c r="AF923" s="165"/>
    </row>
    <row r="924" spans="1:32" ht="45">
      <c r="A924" s="165"/>
      <c r="B924" s="48"/>
      <c r="C924" s="56"/>
      <c r="D924" s="57"/>
      <c r="E924" s="57"/>
      <c r="F924" s="58"/>
      <c r="G924" s="408" t="s">
        <v>3050</v>
      </c>
      <c r="H924" s="241" t="s">
        <v>3051</v>
      </c>
      <c r="I924" s="306">
        <v>1</v>
      </c>
      <c r="J924" s="242">
        <v>0</v>
      </c>
      <c r="K924" s="242">
        <v>0</v>
      </c>
      <c r="L924" s="157" t="s">
        <v>2994</v>
      </c>
      <c r="M924" s="157">
        <v>0</v>
      </c>
      <c r="N924" s="157" t="s">
        <v>2994</v>
      </c>
      <c r="O924" s="157">
        <v>0</v>
      </c>
      <c r="P924" s="157" t="s">
        <v>2994</v>
      </c>
      <c r="Q924" s="157">
        <v>0</v>
      </c>
      <c r="R924" s="157" t="s">
        <v>2994</v>
      </c>
      <c r="S924" s="157">
        <v>0</v>
      </c>
      <c r="T924" s="157" t="s">
        <v>2994</v>
      </c>
      <c r="U924" s="157">
        <v>0</v>
      </c>
      <c r="V924" s="52"/>
      <c r="W924" s="52"/>
      <c r="X924" s="52"/>
      <c r="Y924" s="48"/>
      <c r="Z924" s="49"/>
      <c r="AA924" s="49"/>
      <c r="AB924" s="165"/>
      <c r="AC924" s="165"/>
      <c r="AD924" s="165"/>
      <c r="AE924" s="165"/>
      <c r="AF924" s="165"/>
    </row>
    <row r="925" spans="1:32" s="279" customFormat="1" ht="30" customHeight="1">
      <c r="A925" s="284"/>
      <c r="B925" s="1103" t="s">
        <v>4250</v>
      </c>
      <c r="C925" s="1104"/>
      <c r="D925" s="1104"/>
      <c r="E925" s="1104"/>
      <c r="F925" s="1104"/>
      <c r="G925" s="1105"/>
      <c r="H925" s="327"/>
      <c r="I925" s="328"/>
      <c r="J925" s="329"/>
      <c r="K925" s="329">
        <f>SUM(K908:K924)</f>
        <v>608518000</v>
      </c>
      <c r="L925" s="329"/>
      <c r="M925" s="329">
        <f t="shared" ref="M925:W925" si="77">SUM(M908:M924)</f>
        <v>1349105000</v>
      </c>
      <c r="N925" s="329"/>
      <c r="O925" s="329">
        <f t="shared" si="77"/>
        <v>1550000000</v>
      </c>
      <c r="P925" s="329"/>
      <c r="Q925" s="329">
        <f t="shared" si="77"/>
        <v>1770000000</v>
      </c>
      <c r="R925" s="329"/>
      <c r="S925" s="329">
        <f t="shared" si="77"/>
        <v>1830000000</v>
      </c>
      <c r="T925" s="329"/>
      <c r="U925" s="329">
        <f t="shared" si="77"/>
        <v>1790000000</v>
      </c>
      <c r="V925" s="329">
        <f t="shared" si="77"/>
        <v>0</v>
      </c>
      <c r="W925" s="329">
        <f t="shared" si="77"/>
        <v>0</v>
      </c>
      <c r="X925" s="275"/>
      <c r="Y925" s="287"/>
      <c r="Z925" s="288"/>
      <c r="AA925" s="288"/>
      <c r="AB925" s="284"/>
      <c r="AC925" s="284"/>
      <c r="AD925" s="284"/>
      <c r="AE925" s="284"/>
      <c r="AF925" s="284"/>
    </row>
    <row r="926" spans="1:32" ht="60">
      <c r="A926" s="165">
        <v>1</v>
      </c>
      <c r="B926" s="62" t="str">
        <f>'matrik MISI 2'!B99</f>
        <v>KESATUAN BANGSA DAN POLITIK DALAM NEGERI</v>
      </c>
      <c r="C926" s="56"/>
      <c r="D926" s="57"/>
      <c r="E926" s="57"/>
      <c r="F926" s="58"/>
      <c r="G926" s="58"/>
      <c r="H926" s="52"/>
      <c r="I926" s="52"/>
      <c r="J926" s="52"/>
      <c r="K926" s="52"/>
      <c r="L926" s="52"/>
      <c r="M926" s="52"/>
      <c r="N926" s="52"/>
      <c r="O926" s="52"/>
      <c r="P926" s="52"/>
      <c r="Q926" s="52"/>
      <c r="R926" s="52"/>
      <c r="S926" s="52"/>
      <c r="T926" s="52"/>
      <c r="U926" s="52"/>
      <c r="V926" s="52"/>
      <c r="W926" s="52"/>
      <c r="X926" s="52"/>
      <c r="Y926" s="48"/>
      <c r="Z926" s="49"/>
      <c r="AA926" s="49"/>
      <c r="AB926" s="165"/>
      <c r="AC926" s="165"/>
      <c r="AD926" s="165"/>
      <c r="AE926" s="165"/>
      <c r="AF926" s="165"/>
    </row>
    <row r="927" spans="1:32" s="540" customFormat="1" ht="90">
      <c r="B927" s="545"/>
      <c r="C927" s="593">
        <f>'matrik MISI 2'!J106</f>
        <v>1.19</v>
      </c>
      <c r="D927" s="594" t="str">
        <f>'matrik MISI 2'!K106</f>
        <v>xx</v>
      </c>
      <c r="E927" s="594">
        <v>16</v>
      </c>
      <c r="F927" s="595" t="str">
        <f>'matrik MISI 2'!M106</f>
        <v>Program pemeliharaan kantrantibmas dan pencegahan tindak kriminal</v>
      </c>
      <c r="G927" s="548"/>
      <c r="H927" s="550"/>
      <c r="I927" s="550"/>
      <c r="J927" s="550"/>
      <c r="K927" s="615">
        <f>SUM(K928:K940)</f>
        <v>515000000</v>
      </c>
      <c r="L927" s="615"/>
      <c r="M927" s="615">
        <f t="shared" ref="M927:S927" si="78">SUM(M928:M940)</f>
        <v>660000000</v>
      </c>
      <c r="N927" s="615"/>
      <c r="O927" s="615">
        <f t="shared" si="78"/>
        <v>712500000</v>
      </c>
      <c r="P927" s="615"/>
      <c r="Q927" s="615">
        <f t="shared" si="78"/>
        <v>757500000</v>
      </c>
      <c r="R927" s="615"/>
      <c r="S927" s="615">
        <f t="shared" si="78"/>
        <v>835000000</v>
      </c>
      <c r="T927" s="550"/>
      <c r="U927" s="550"/>
      <c r="V927" s="550"/>
      <c r="W927" s="550"/>
      <c r="X927" s="550" t="str">
        <f>'matrik MISI 2'!X106</f>
        <v>Satuan Polisi Pamong Praja</v>
      </c>
      <c r="Y927" s="545"/>
      <c r="Z927" s="546"/>
      <c r="AA927" s="546"/>
    </row>
    <row r="928" spans="1:32" s="165" customFormat="1" ht="45">
      <c r="B928" s="48"/>
      <c r="C928" s="62"/>
      <c r="D928" s="63"/>
      <c r="E928" s="63"/>
      <c r="F928" s="64"/>
      <c r="G928" s="58" t="s">
        <v>3524</v>
      </c>
      <c r="H928" s="52" t="s">
        <v>3525</v>
      </c>
      <c r="I928" s="52"/>
      <c r="J928" s="52" t="s">
        <v>3503</v>
      </c>
      <c r="K928" s="330">
        <v>50000000</v>
      </c>
      <c r="L928" s="52" t="s">
        <v>3526</v>
      </c>
      <c r="M928" s="330">
        <v>80000000</v>
      </c>
      <c r="N928" s="52" t="s">
        <v>3526</v>
      </c>
      <c r="O928" s="330">
        <v>85000000</v>
      </c>
      <c r="P928" s="52" t="s">
        <v>3527</v>
      </c>
      <c r="Q928" s="330">
        <v>90000000</v>
      </c>
      <c r="R928" s="52" t="s">
        <v>3527</v>
      </c>
      <c r="S928" s="330">
        <v>95000000</v>
      </c>
      <c r="T928" s="52" t="s">
        <v>3527</v>
      </c>
      <c r="U928" s="330">
        <v>95000000</v>
      </c>
      <c r="V928" s="52"/>
      <c r="W928" s="52"/>
      <c r="X928" s="52"/>
      <c r="Y928" s="48"/>
      <c r="Z928" s="49"/>
      <c r="AA928" s="49"/>
    </row>
    <row r="929" spans="2:27" s="165" customFormat="1" ht="45">
      <c r="B929" s="48"/>
      <c r="C929" s="62"/>
      <c r="D929" s="63"/>
      <c r="E929" s="63"/>
      <c r="F929" s="64"/>
      <c r="G929" s="58" t="s">
        <v>3528</v>
      </c>
      <c r="H929" s="52" t="s">
        <v>3529</v>
      </c>
      <c r="I929" s="161">
        <v>0.6</v>
      </c>
      <c r="J929" s="161">
        <v>0.65</v>
      </c>
      <c r="K929" s="330">
        <v>50000000</v>
      </c>
      <c r="L929" s="161">
        <v>0.65</v>
      </c>
      <c r="M929" s="330">
        <v>80000000</v>
      </c>
      <c r="N929" s="161">
        <v>0.7</v>
      </c>
      <c r="O929" s="330">
        <v>85000000</v>
      </c>
      <c r="P929" s="161">
        <v>0.7</v>
      </c>
      <c r="Q929" s="330">
        <v>90000000</v>
      </c>
      <c r="R929" s="161">
        <v>0.75</v>
      </c>
      <c r="S929" s="330">
        <v>95000000</v>
      </c>
      <c r="T929" s="161">
        <v>0.75</v>
      </c>
      <c r="U929" s="330">
        <v>95000000</v>
      </c>
      <c r="V929" s="52"/>
      <c r="W929" s="52"/>
      <c r="X929" s="52"/>
      <c r="Y929" s="48"/>
      <c r="Z929" s="49"/>
      <c r="AA929" s="49"/>
    </row>
    <row r="930" spans="2:27" s="165" customFormat="1" ht="60">
      <c r="B930" s="48"/>
      <c r="C930" s="62"/>
      <c r="D930" s="63"/>
      <c r="E930" s="63"/>
      <c r="F930" s="64"/>
      <c r="G930" s="58" t="s">
        <v>3530</v>
      </c>
      <c r="H930" s="52"/>
      <c r="I930" s="52" t="s">
        <v>3531</v>
      </c>
      <c r="J930" s="52"/>
      <c r="K930" s="330"/>
      <c r="L930" s="52"/>
      <c r="M930" s="330"/>
      <c r="N930" s="52"/>
      <c r="O930" s="330"/>
      <c r="P930" s="52"/>
      <c r="Q930" s="330"/>
      <c r="R930" s="52" t="s">
        <v>3531</v>
      </c>
      <c r="S930" s="330">
        <v>30000000</v>
      </c>
      <c r="T930" s="52" t="s">
        <v>3531</v>
      </c>
      <c r="U930" s="330">
        <v>30000000</v>
      </c>
      <c r="V930" s="52"/>
      <c r="W930" s="52"/>
      <c r="X930" s="52"/>
      <c r="Y930" s="48"/>
      <c r="Z930" s="49"/>
      <c r="AA930" s="49"/>
    </row>
    <row r="931" spans="2:27" s="165" customFormat="1" ht="60">
      <c r="B931" s="48"/>
      <c r="C931" s="62"/>
      <c r="D931" s="63"/>
      <c r="E931" s="63"/>
      <c r="F931" s="64"/>
      <c r="G931" s="58" t="s">
        <v>3530</v>
      </c>
      <c r="H931" s="52"/>
      <c r="I931" s="52"/>
      <c r="J931" s="52" t="s">
        <v>3531</v>
      </c>
      <c r="K931" s="330">
        <v>35000000</v>
      </c>
      <c r="L931" s="52"/>
      <c r="M931" s="330"/>
      <c r="N931" s="52"/>
      <c r="O931" s="330"/>
      <c r="P931" s="52"/>
      <c r="Q931" s="330"/>
      <c r="R931" s="52"/>
      <c r="S931" s="330"/>
      <c r="T931" s="52"/>
      <c r="U931" s="330"/>
      <c r="V931" s="52"/>
      <c r="W931" s="52"/>
      <c r="X931" s="52"/>
      <c r="Y931" s="48"/>
      <c r="Z931" s="49"/>
      <c r="AA931" s="49"/>
    </row>
    <row r="932" spans="2:27" s="165" customFormat="1" ht="30">
      <c r="B932" s="48"/>
      <c r="C932" s="62"/>
      <c r="D932" s="63"/>
      <c r="E932" s="63"/>
      <c r="F932" s="64"/>
      <c r="G932" s="58" t="s">
        <v>3532</v>
      </c>
      <c r="H932" s="52"/>
      <c r="I932" s="52"/>
      <c r="J932" s="52" t="s">
        <v>3503</v>
      </c>
      <c r="K932" s="330">
        <v>10000000</v>
      </c>
      <c r="L932" s="52" t="s">
        <v>3503</v>
      </c>
      <c r="M932" s="330">
        <v>30000000</v>
      </c>
      <c r="N932" s="52" t="s">
        <v>3526</v>
      </c>
      <c r="O932" s="330">
        <v>35000000</v>
      </c>
      <c r="P932" s="52" t="s">
        <v>3526</v>
      </c>
      <c r="Q932" s="330">
        <v>37500000</v>
      </c>
      <c r="R932" s="52" t="s">
        <v>3527</v>
      </c>
      <c r="S932" s="330">
        <v>40000000</v>
      </c>
      <c r="T932" s="52" t="s">
        <v>3527</v>
      </c>
      <c r="U932" s="330">
        <v>40000000</v>
      </c>
      <c r="V932" s="52"/>
      <c r="W932" s="52"/>
      <c r="X932" s="52"/>
      <c r="Y932" s="48"/>
      <c r="Z932" s="49"/>
      <c r="AA932" s="49"/>
    </row>
    <row r="933" spans="2:27" s="165" customFormat="1" ht="60">
      <c r="B933" s="48"/>
      <c r="C933" s="62"/>
      <c r="D933" s="63"/>
      <c r="E933" s="63"/>
      <c r="F933" s="64"/>
      <c r="G933" s="58" t="s">
        <v>3533</v>
      </c>
      <c r="H933" s="52"/>
      <c r="I933" s="52"/>
      <c r="J933" s="52" t="s">
        <v>3534</v>
      </c>
      <c r="K933" s="330">
        <v>20000000</v>
      </c>
      <c r="L933" s="52" t="s">
        <v>3534</v>
      </c>
      <c r="M933" s="330">
        <v>35000000</v>
      </c>
      <c r="N933" s="52" t="s">
        <v>3534</v>
      </c>
      <c r="O933" s="330">
        <v>40000000</v>
      </c>
      <c r="P933" s="52" t="s">
        <v>3534</v>
      </c>
      <c r="Q933" s="330">
        <v>45000000</v>
      </c>
      <c r="R933" s="52" t="s">
        <v>3534</v>
      </c>
      <c r="S933" s="330">
        <v>50000000</v>
      </c>
      <c r="T933" s="52" t="s">
        <v>3534</v>
      </c>
      <c r="U933" s="330">
        <v>50000000</v>
      </c>
      <c r="V933" s="52"/>
      <c r="W933" s="52"/>
      <c r="X933" s="52"/>
      <c r="Y933" s="48"/>
      <c r="Z933" s="49"/>
      <c r="AA933" s="49"/>
    </row>
    <row r="934" spans="2:27" s="165" customFormat="1" ht="45">
      <c r="B934" s="48"/>
      <c r="C934" s="62"/>
      <c r="D934" s="63"/>
      <c r="E934" s="63"/>
      <c r="F934" s="64"/>
      <c r="G934" s="58" t="s">
        <v>3535</v>
      </c>
      <c r="H934" s="52" t="s">
        <v>3536</v>
      </c>
      <c r="I934" s="52" t="s">
        <v>3526</v>
      </c>
      <c r="J934" s="52" t="s">
        <v>3537</v>
      </c>
      <c r="K934" s="330">
        <v>20000000</v>
      </c>
      <c r="L934" s="52" t="s">
        <v>3538</v>
      </c>
      <c r="M934" s="330">
        <v>35000000</v>
      </c>
      <c r="N934" s="52" t="s">
        <v>3539</v>
      </c>
      <c r="O934" s="330">
        <v>40000000</v>
      </c>
      <c r="P934" s="52" t="s">
        <v>3540</v>
      </c>
      <c r="Q934" s="330">
        <v>42500000</v>
      </c>
      <c r="R934" s="52" t="s">
        <v>3541</v>
      </c>
      <c r="S934" s="330">
        <v>45000000</v>
      </c>
      <c r="T934" s="52" t="s">
        <v>3541</v>
      </c>
      <c r="U934" s="330">
        <v>45000000</v>
      </c>
      <c r="V934" s="52"/>
      <c r="W934" s="52"/>
      <c r="X934" s="52"/>
      <c r="Y934" s="48"/>
      <c r="Z934" s="49"/>
      <c r="AA934" s="49"/>
    </row>
    <row r="935" spans="2:27" s="165" customFormat="1" ht="60">
      <c r="B935" s="48"/>
      <c r="C935" s="62"/>
      <c r="D935" s="63"/>
      <c r="E935" s="63"/>
      <c r="F935" s="64"/>
      <c r="G935" s="58" t="s">
        <v>3542</v>
      </c>
      <c r="H935" s="52" t="s">
        <v>3543</v>
      </c>
      <c r="I935" s="52" t="s">
        <v>3544</v>
      </c>
      <c r="J935" s="52" t="s">
        <v>3544</v>
      </c>
      <c r="K935" s="330">
        <v>25000000</v>
      </c>
      <c r="L935" s="52" t="s">
        <v>3544</v>
      </c>
      <c r="M935" s="330">
        <v>50000000</v>
      </c>
      <c r="N935" s="52" t="s">
        <v>3544</v>
      </c>
      <c r="O935" s="330">
        <v>55000000</v>
      </c>
      <c r="P935" s="52" t="s">
        <v>3544</v>
      </c>
      <c r="Q935" s="330">
        <v>60000000</v>
      </c>
      <c r="R935" s="52" t="s">
        <v>3544</v>
      </c>
      <c r="S935" s="330">
        <v>65000000</v>
      </c>
      <c r="T935" s="52" t="s">
        <v>3544</v>
      </c>
      <c r="U935" s="330">
        <v>65000000</v>
      </c>
      <c r="V935" s="52"/>
      <c r="W935" s="52"/>
      <c r="X935" s="52"/>
      <c r="Y935" s="48"/>
      <c r="Z935" s="49"/>
      <c r="AA935" s="49"/>
    </row>
    <row r="936" spans="2:27" s="165" customFormat="1" ht="90">
      <c r="B936" s="48"/>
      <c r="C936" s="62"/>
      <c r="D936" s="63"/>
      <c r="E936" s="63"/>
      <c r="F936" s="64"/>
      <c r="G936" s="58" t="s">
        <v>3545</v>
      </c>
      <c r="H936" s="52"/>
      <c r="I936" s="52" t="s">
        <v>3546</v>
      </c>
      <c r="J936" s="52" t="s">
        <v>3546</v>
      </c>
      <c r="K936" s="330">
        <v>10000000</v>
      </c>
      <c r="L936" s="52" t="s">
        <v>3546</v>
      </c>
      <c r="M936" s="330">
        <v>15000000</v>
      </c>
      <c r="N936" s="52" t="s">
        <v>3546</v>
      </c>
      <c r="O936" s="330">
        <v>17500000</v>
      </c>
      <c r="P936" s="52" t="s">
        <v>3546</v>
      </c>
      <c r="Q936" s="330">
        <v>17500000</v>
      </c>
      <c r="R936" s="52" t="s">
        <v>3546</v>
      </c>
      <c r="S936" s="330">
        <v>20000000</v>
      </c>
      <c r="T936" s="52" t="s">
        <v>3546</v>
      </c>
      <c r="U936" s="330">
        <v>20000000</v>
      </c>
      <c r="V936" s="52"/>
      <c r="W936" s="52"/>
      <c r="X936" s="52"/>
      <c r="Y936" s="48"/>
      <c r="Z936" s="49"/>
      <c r="AA936" s="49"/>
    </row>
    <row r="937" spans="2:27" s="165" customFormat="1" ht="75">
      <c r="B937" s="48"/>
      <c r="C937" s="62"/>
      <c r="D937" s="63"/>
      <c r="E937" s="63"/>
      <c r="F937" s="64"/>
      <c r="G937" s="55" t="s">
        <v>4670</v>
      </c>
      <c r="H937" s="52"/>
      <c r="I937" s="52"/>
      <c r="J937" s="52"/>
      <c r="K937" s="330">
        <v>120000000</v>
      </c>
      <c r="L937" s="52"/>
      <c r="M937" s="330">
        <v>125000000</v>
      </c>
      <c r="N937" s="52"/>
      <c r="O937" s="330">
        <v>130000000</v>
      </c>
      <c r="P937" s="52"/>
      <c r="Q937" s="330">
        <v>135000000</v>
      </c>
      <c r="R937" s="52"/>
      <c r="S937" s="330">
        <v>140000000</v>
      </c>
      <c r="T937" s="52"/>
      <c r="U937" s="330">
        <v>140000000</v>
      </c>
      <c r="V937" s="52"/>
      <c r="W937" s="52"/>
      <c r="X937" s="51" t="s">
        <v>4671</v>
      </c>
      <c r="Y937" s="48"/>
      <c r="Z937" s="49"/>
      <c r="AA937" s="49"/>
    </row>
    <row r="938" spans="2:27" s="165" customFormat="1" ht="45">
      <c r="B938" s="48"/>
      <c r="C938" s="62"/>
      <c r="D938" s="63"/>
      <c r="E938" s="63"/>
      <c r="F938" s="64"/>
      <c r="G938" s="58" t="s">
        <v>3561</v>
      </c>
      <c r="H938" s="52" t="s">
        <v>3562</v>
      </c>
      <c r="I938" s="52" t="s">
        <v>3563</v>
      </c>
      <c r="J938" s="52" t="s">
        <v>3564</v>
      </c>
      <c r="K938" s="330">
        <v>40000000</v>
      </c>
      <c r="L938" s="52" t="s">
        <v>3564</v>
      </c>
      <c r="M938" s="330">
        <v>60000000</v>
      </c>
      <c r="N938" s="52" t="s">
        <v>3564</v>
      </c>
      <c r="O938" s="330">
        <v>65000000</v>
      </c>
      <c r="P938" s="52" t="s">
        <v>3564</v>
      </c>
      <c r="Q938" s="330">
        <v>70000000</v>
      </c>
      <c r="R938" s="52" t="s">
        <v>3564</v>
      </c>
      <c r="S938" s="330">
        <v>75000000</v>
      </c>
      <c r="T938" s="52" t="s">
        <v>3564</v>
      </c>
      <c r="U938" s="330">
        <v>75000000</v>
      </c>
      <c r="V938" s="52"/>
      <c r="W938" s="52"/>
      <c r="X938" s="52"/>
      <c r="Y938" s="48"/>
      <c r="Z938" s="49"/>
      <c r="AA938" s="49"/>
    </row>
    <row r="939" spans="2:27" s="165" customFormat="1" ht="45">
      <c r="B939" s="48"/>
      <c r="C939" s="62"/>
      <c r="D939" s="63"/>
      <c r="E939" s="63"/>
      <c r="F939" s="64"/>
      <c r="G939" s="58" t="s">
        <v>3561</v>
      </c>
      <c r="H939" s="52" t="s">
        <v>3565</v>
      </c>
      <c r="I939" s="52" t="s">
        <v>2905</v>
      </c>
      <c r="J939" s="52" t="s">
        <v>3566</v>
      </c>
      <c r="K939" s="330">
        <v>35000000</v>
      </c>
      <c r="L939" s="52" t="s">
        <v>3566</v>
      </c>
      <c r="M939" s="330">
        <v>40000000</v>
      </c>
      <c r="N939" s="52" t="s">
        <v>3566</v>
      </c>
      <c r="O939" s="330">
        <v>45000000</v>
      </c>
      <c r="P939" s="52" t="s">
        <v>3566</v>
      </c>
      <c r="Q939" s="330">
        <v>50000000</v>
      </c>
      <c r="R939" s="52" t="s">
        <v>3566</v>
      </c>
      <c r="S939" s="330">
        <v>55000000</v>
      </c>
      <c r="T939" s="52" t="s">
        <v>3566</v>
      </c>
      <c r="U939" s="330">
        <v>55000000</v>
      </c>
      <c r="V939" s="52"/>
      <c r="W939" s="52"/>
      <c r="X939" s="52"/>
      <c r="Y939" s="48"/>
      <c r="Z939" s="49"/>
      <c r="AA939" s="49"/>
    </row>
    <row r="940" spans="2:27" s="165" customFormat="1" ht="60">
      <c r="B940" s="48"/>
      <c r="C940" s="62"/>
      <c r="D940" s="63"/>
      <c r="E940" s="63"/>
      <c r="F940" s="64"/>
      <c r="G940" s="58" t="s">
        <v>3567</v>
      </c>
      <c r="H940" s="52"/>
      <c r="I940" s="52" t="s">
        <v>3568</v>
      </c>
      <c r="J940" s="52" t="s">
        <v>3540</v>
      </c>
      <c r="K940" s="330">
        <v>100000000</v>
      </c>
      <c r="L940" s="52" t="s">
        <v>3569</v>
      </c>
      <c r="M940" s="330">
        <v>110000000</v>
      </c>
      <c r="N940" s="52" t="s">
        <v>3541</v>
      </c>
      <c r="O940" s="330">
        <v>115000000</v>
      </c>
      <c r="P940" s="52" t="s">
        <v>3570</v>
      </c>
      <c r="Q940" s="330">
        <v>120000000</v>
      </c>
      <c r="R940" s="52" t="s">
        <v>3544</v>
      </c>
      <c r="S940" s="330">
        <v>125000000</v>
      </c>
      <c r="T940" s="52" t="s">
        <v>3544</v>
      </c>
      <c r="U940" s="330">
        <v>125000000</v>
      </c>
      <c r="V940" s="52"/>
      <c r="W940" s="52"/>
      <c r="X940" s="52"/>
      <c r="Y940" s="48"/>
      <c r="Z940" s="49"/>
      <c r="AA940" s="49"/>
    </row>
    <row r="941" spans="2:27" s="540" customFormat="1" ht="60">
      <c r="B941" s="545"/>
      <c r="C941" s="591">
        <f>'matrik MISI 2'!J103</f>
        <v>1.19</v>
      </c>
      <c r="D941" s="592" t="str">
        <f>'matrik MISI 2'!K103</f>
        <v>xx</v>
      </c>
      <c r="E941" s="592">
        <v>17</v>
      </c>
      <c r="F941" s="548" t="str">
        <f>'matrik MISI 2'!M103</f>
        <v>Program pengembangan wawasan kebangsaan</v>
      </c>
      <c r="G941" s="548"/>
      <c r="H941" s="550"/>
      <c r="I941" s="550"/>
      <c r="J941" s="550"/>
      <c r="K941" s="603">
        <f>SUM(K942:K949)</f>
        <v>258000000</v>
      </c>
      <c r="L941" s="603"/>
      <c r="M941" s="603">
        <f t="shared" ref="M941:U941" si="79">SUM(M942:M949)</f>
        <v>340000000</v>
      </c>
      <c r="N941" s="603"/>
      <c r="O941" s="603">
        <f t="shared" si="79"/>
        <v>367500000</v>
      </c>
      <c r="P941" s="603"/>
      <c r="Q941" s="603">
        <f t="shared" si="79"/>
        <v>385000000</v>
      </c>
      <c r="R941" s="603"/>
      <c r="S941" s="603">
        <f t="shared" si="79"/>
        <v>412500000</v>
      </c>
      <c r="T941" s="603"/>
      <c r="U941" s="603">
        <f t="shared" si="79"/>
        <v>412500000</v>
      </c>
      <c r="V941" s="550"/>
      <c r="W941" s="550"/>
      <c r="X941" s="550" t="str">
        <f>'matrik MISI 2'!X103</f>
        <v>Kantor KESBANG</v>
      </c>
      <c r="Y941" s="545"/>
      <c r="Z941" s="546"/>
      <c r="AA941" s="546"/>
    </row>
    <row r="942" spans="2:27" s="165" customFormat="1" ht="45">
      <c r="B942" s="48"/>
      <c r="C942" s="56"/>
      <c r="D942" s="57"/>
      <c r="E942" s="57"/>
      <c r="F942" s="58"/>
      <c r="G942" s="58" t="s">
        <v>3486</v>
      </c>
      <c r="H942" s="161">
        <v>1</v>
      </c>
      <c r="I942" s="52" t="s">
        <v>3487</v>
      </c>
      <c r="J942" s="52" t="s">
        <v>3487</v>
      </c>
      <c r="K942" s="251">
        <v>20000000</v>
      </c>
      <c r="L942" s="52" t="s">
        <v>3488</v>
      </c>
      <c r="M942" s="251">
        <v>30000000</v>
      </c>
      <c r="N942" s="52" t="s">
        <v>3488</v>
      </c>
      <c r="O942" s="251">
        <v>30000000</v>
      </c>
      <c r="P942" s="52" t="s">
        <v>3488</v>
      </c>
      <c r="Q942" s="251">
        <v>30000000</v>
      </c>
      <c r="R942" s="52" t="s">
        <v>3489</v>
      </c>
      <c r="S942" s="251">
        <v>40000000</v>
      </c>
      <c r="T942" s="52" t="s">
        <v>3489</v>
      </c>
      <c r="U942" s="251">
        <v>40000000</v>
      </c>
      <c r="V942" s="52"/>
      <c r="W942" s="52"/>
      <c r="X942" s="52"/>
      <c r="Y942" s="48"/>
      <c r="Z942" s="49"/>
      <c r="AA942" s="49"/>
    </row>
    <row r="943" spans="2:27" s="165" customFormat="1" ht="105">
      <c r="B943" s="48"/>
      <c r="C943" s="56"/>
      <c r="D943" s="57"/>
      <c r="E943" s="57"/>
      <c r="F943" s="58"/>
      <c r="G943" s="58" t="s">
        <v>3490</v>
      </c>
      <c r="H943" s="52"/>
      <c r="I943" s="52" t="s">
        <v>3491</v>
      </c>
      <c r="J943" s="52" t="s">
        <v>3491</v>
      </c>
      <c r="K943" s="251">
        <v>40000000</v>
      </c>
      <c r="L943" s="52" t="s">
        <v>3489</v>
      </c>
      <c r="M943" s="251">
        <v>60000000</v>
      </c>
      <c r="N943" s="52" t="s">
        <v>3489</v>
      </c>
      <c r="O943" s="251">
        <v>60000000</v>
      </c>
      <c r="P943" s="52" t="s">
        <v>3489</v>
      </c>
      <c r="Q943" s="251">
        <v>60000000</v>
      </c>
      <c r="R943" s="52" t="s">
        <v>3489</v>
      </c>
      <c r="S943" s="251">
        <v>60000000</v>
      </c>
      <c r="T943" s="52" t="s">
        <v>3489</v>
      </c>
      <c r="U943" s="251">
        <v>60000000</v>
      </c>
      <c r="V943" s="52"/>
      <c r="W943" s="52"/>
      <c r="X943" s="52"/>
      <c r="Y943" s="48"/>
      <c r="Z943" s="49"/>
      <c r="AA943" s="49"/>
    </row>
    <row r="944" spans="2:27" s="165" customFormat="1" ht="75">
      <c r="B944" s="48"/>
      <c r="C944" s="56"/>
      <c r="D944" s="57"/>
      <c r="E944" s="57"/>
      <c r="F944" s="58"/>
      <c r="G944" s="58" t="s">
        <v>3492</v>
      </c>
      <c r="H944" s="52"/>
      <c r="I944" s="52" t="s">
        <v>3493</v>
      </c>
      <c r="J944" s="52" t="s">
        <v>3493</v>
      </c>
      <c r="K944" s="251">
        <v>5000000</v>
      </c>
      <c r="L944" s="52" t="s">
        <v>3493</v>
      </c>
      <c r="M944" s="251">
        <v>10000000</v>
      </c>
      <c r="N944" s="52" t="s">
        <v>3493</v>
      </c>
      <c r="O944" s="251">
        <v>10000000</v>
      </c>
      <c r="P944" s="52" t="s">
        <v>3493</v>
      </c>
      <c r="Q944" s="251">
        <v>10000000</v>
      </c>
      <c r="R944" s="52" t="s">
        <v>3493</v>
      </c>
      <c r="S944" s="251">
        <v>10000000</v>
      </c>
      <c r="T944" s="52" t="s">
        <v>3493</v>
      </c>
      <c r="U944" s="251">
        <v>10000000</v>
      </c>
      <c r="V944" s="52"/>
      <c r="W944" s="52"/>
      <c r="X944" s="52"/>
      <c r="Y944" s="48"/>
      <c r="Z944" s="49"/>
      <c r="AA944" s="49"/>
    </row>
    <row r="945" spans="2:27" s="165" customFormat="1" ht="45">
      <c r="B945" s="48"/>
      <c r="C945" s="56"/>
      <c r="D945" s="57"/>
      <c r="E945" s="57"/>
      <c r="F945" s="58"/>
      <c r="G945" s="58" t="s">
        <v>3494</v>
      </c>
      <c r="H945" s="161">
        <v>1</v>
      </c>
      <c r="I945" s="52" t="s">
        <v>3495</v>
      </c>
      <c r="J945" s="52" t="s">
        <v>3495</v>
      </c>
      <c r="K945" s="251">
        <v>18000000</v>
      </c>
      <c r="L945" s="52" t="s">
        <v>3496</v>
      </c>
      <c r="M945" s="251">
        <v>30000000</v>
      </c>
      <c r="N945" s="52" t="s">
        <v>3496</v>
      </c>
      <c r="O945" s="251">
        <v>40000000</v>
      </c>
      <c r="P945" s="52" t="s">
        <v>3496</v>
      </c>
      <c r="Q945" s="251">
        <v>40000000</v>
      </c>
      <c r="R945" s="52" t="s">
        <v>3496</v>
      </c>
      <c r="S945" s="251">
        <v>50000000</v>
      </c>
      <c r="T945" s="52" t="s">
        <v>3496</v>
      </c>
      <c r="U945" s="251">
        <v>50000000</v>
      </c>
      <c r="V945" s="52"/>
      <c r="W945" s="52"/>
      <c r="X945" s="52"/>
      <c r="Y945" s="48"/>
      <c r="Z945" s="49"/>
      <c r="AA945" s="49"/>
    </row>
    <row r="946" spans="2:27" s="165" customFormat="1" ht="60">
      <c r="B946" s="48"/>
      <c r="C946" s="56"/>
      <c r="D946" s="57"/>
      <c r="E946" s="57"/>
      <c r="F946" s="58"/>
      <c r="G946" s="58" t="s">
        <v>3497</v>
      </c>
      <c r="H946" s="161">
        <v>1</v>
      </c>
      <c r="I946" s="52" t="s">
        <v>3498</v>
      </c>
      <c r="J946" s="52" t="s">
        <v>3499</v>
      </c>
      <c r="K946" s="251">
        <v>15000000</v>
      </c>
      <c r="L946" s="52" t="s">
        <v>3500</v>
      </c>
      <c r="M946" s="251">
        <v>20000000</v>
      </c>
      <c r="N946" s="52" t="s">
        <v>3500</v>
      </c>
      <c r="O946" s="251">
        <v>25000000</v>
      </c>
      <c r="P946" s="52" t="s">
        <v>3500</v>
      </c>
      <c r="Q946" s="251">
        <v>25000000</v>
      </c>
      <c r="R946" s="52" t="s">
        <v>3500</v>
      </c>
      <c r="S946" s="251">
        <v>30000000</v>
      </c>
      <c r="T946" s="52" t="s">
        <v>3500</v>
      </c>
      <c r="U946" s="251">
        <v>30000000</v>
      </c>
      <c r="V946" s="52"/>
      <c r="W946" s="52"/>
      <c r="X946" s="52"/>
      <c r="Y946" s="48"/>
      <c r="Z946" s="49"/>
      <c r="AA946" s="49"/>
    </row>
    <row r="947" spans="2:27" s="165" customFormat="1" ht="60">
      <c r="B947" s="48"/>
      <c r="C947" s="56"/>
      <c r="D947" s="57"/>
      <c r="E947" s="57"/>
      <c r="F947" s="58"/>
      <c r="G947" s="58" t="s">
        <v>3501</v>
      </c>
      <c r="H947" s="161">
        <v>1</v>
      </c>
      <c r="I947" s="52" t="s">
        <v>3502</v>
      </c>
      <c r="J947" s="52" t="s">
        <v>3502</v>
      </c>
      <c r="K947" s="251">
        <v>55000000</v>
      </c>
      <c r="L947" s="52" t="s">
        <v>3502</v>
      </c>
      <c r="M947" s="251">
        <v>60000000</v>
      </c>
      <c r="N947" s="52" t="s">
        <v>3502</v>
      </c>
      <c r="O947" s="251">
        <v>65000000</v>
      </c>
      <c r="P947" s="52" t="s">
        <v>3503</v>
      </c>
      <c r="Q947" s="251">
        <v>75000000</v>
      </c>
      <c r="R947" s="52" t="s">
        <v>3503</v>
      </c>
      <c r="S947" s="251">
        <v>75000000</v>
      </c>
      <c r="T947" s="52" t="s">
        <v>3503</v>
      </c>
      <c r="U947" s="251">
        <v>75000000</v>
      </c>
      <c r="V947" s="52"/>
      <c r="W947" s="52"/>
      <c r="X947" s="52"/>
      <c r="Y947" s="48"/>
      <c r="Z947" s="49"/>
      <c r="AA947" s="49"/>
    </row>
    <row r="948" spans="2:27" s="165" customFormat="1" ht="105">
      <c r="B948" s="48"/>
      <c r="C948" s="56"/>
      <c r="D948" s="57"/>
      <c r="E948" s="57"/>
      <c r="F948" s="58"/>
      <c r="G948" s="270" t="s">
        <v>3504</v>
      </c>
      <c r="H948" s="161">
        <v>1</v>
      </c>
      <c r="I948" s="52" t="s">
        <v>3505</v>
      </c>
      <c r="J948" s="52" t="s">
        <v>3506</v>
      </c>
      <c r="K948" s="251">
        <v>30000000</v>
      </c>
      <c r="L948" s="52" t="s">
        <v>3507</v>
      </c>
      <c r="M948" s="251">
        <v>40000000</v>
      </c>
      <c r="N948" s="52" t="s">
        <v>3507</v>
      </c>
      <c r="O948" s="251">
        <v>45000000</v>
      </c>
      <c r="P948" s="52" t="s">
        <v>3508</v>
      </c>
      <c r="Q948" s="251">
        <v>50000000</v>
      </c>
      <c r="R948" s="52" t="s">
        <v>3508</v>
      </c>
      <c r="S948" s="251">
        <v>50000000</v>
      </c>
      <c r="T948" s="52" t="s">
        <v>3508</v>
      </c>
      <c r="U948" s="251">
        <v>50000000</v>
      </c>
      <c r="V948" s="52"/>
      <c r="W948" s="52"/>
      <c r="X948" s="52"/>
      <c r="Y948" s="48"/>
      <c r="Z948" s="49"/>
      <c r="AA948" s="49"/>
    </row>
    <row r="949" spans="2:27" s="165" customFormat="1" ht="60">
      <c r="B949" s="48"/>
      <c r="C949" s="56"/>
      <c r="D949" s="57"/>
      <c r="E949" s="57"/>
      <c r="F949" s="58"/>
      <c r="G949" s="58" t="s">
        <v>3547</v>
      </c>
      <c r="H949" s="52" t="s">
        <v>3548</v>
      </c>
      <c r="I949" s="52" t="s">
        <v>3549</v>
      </c>
      <c r="J949" s="52" t="s">
        <v>3550</v>
      </c>
      <c r="K949" s="330">
        <v>75000000</v>
      </c>
      <c r="L949" s="52" t="s">
        <v>3550</v>
      </c>
      <c r="M949" s="330">
        <v>90000000</v>
      </c>
      <c r="N949" s="52" t="s">
        <v>3550</v>
      </c>
      <c r="O949" s="330">
        <v>92500000</v>
      </c>
      <c r="P949" s="52" t="s">
        <v>3550</v>
      </c>
      <c r="Q949" s="330">
        <v>95000000</v>
      </c>
      <c r="R949" s="52" t="s">
        <v>3550</v>
      </c>
      <c r="S949" s="330">
        <v>97500000</v>
      </c>
      <c r="T949" s="52" t="s">
        <v>3550</v>
      </c>
      <c r="U949" s="330">
        <v>97500000</v>
      </c>
      <c r="V949" s="52"/>
      <c r="W949" s="52"/>
      <c r="X949" s="52"/>
      <c r="Y949" s="48"/>
      <c r="Z949" s="49"/>
      <c r="AA949" s="49"/>
    </row>
    <row r="950" spans="2:27" s="540" customFormat="1" ht="90">
      <c r="B950" s="545"/>
      <c r="C950" s="591">
        <f>'matrik MISI 2'!J110</f>
        <v>1.19</v>
      </c>
      <c r="D950" s="592" t="str">
        <f>'matrik MISI 2'!K110</f>
        <v>xx</v>
      </c>
      <c r="E950" s="592">
        <v>19</v>
      </c>
      <c r="F950" s="548" t="str">
        <f>'matrik MISI 2'!M110</f>
        <v>Program pemberdayaan masyarakat untuk menjaga ketertiban dan keamanan</v>
      </c>
      <c r="G950" s="548"/>
      <c r="H950" s="550"/>
      <c r="I950" s="550"/>
      <c r="J950" s="550"/>
      <c r="K950" s="615">
        <f>SUM(K951:K958)</f>
        <v>1915000000</v>
      </c>
      <c r="L950" s="615"/>
      <c r="M950" s="615">
        <f t="shared" ref="M950:U950" si="80">SUM(M951:M958)</f>
        <v>235000000</v>
      </c>
      <c r="N950" s="615"/>
      <c r="O950" s="615">
        <f t="shared" si="80"/>
        <v>245000000</v>
      </c>
      <c r="P950" s="615"/>
      <c r="Q950" s="615">
        <f t="shared" si="80"/>
        <v>277500000</v>
      </c>
      <c r="R950" s="615"/>
      <c r="S950" s="615">
        <f t="shared" si="80"/>
        <v>1285000000</v>
      </c>
      <c r="T950" s="615"/>
      <c r="U950" s="615">
        <f t="shared" si="80"/>
        <v>1285000000</v>
      </c>
      <c r="V950" s="550"/>
      <c r="W950" s="550"/>
      <c r="X950" s="550" t="str">
        <f>'matrik MISI 2'!X110</f>
        <v>Satuan Polisi Pamong Praja</v>
      </c>
      <c r="Y950" s="545"/>
      <c r="Z950" s="546"/>
      <c r="AA950" s="546"/>
    </row>
    <row r="951" spans="2:27" s="165" customFormat="1" ht="60">
      <c r="B951" s="48"/>
      <c r="C951" s="56"/>
      <c r="D951" s="57"/>
      <c r="E951" s="57"/>
      <c r="F951" s="58"/>
      <c r="G951" s="58" t="s">
        <v>3551</v>
      </c>
      <c r="H951" s="52" t="s">
        <v>3552</v>
      </c>
      <c r="I951" s="52" t="s">
        <v>3553</v>
      </c>
      <c r="J951" s="52" t="s">
        <v>3553</v>
      </c>
      <c r="K951" s="330">
        <v>100000000</v>
      </c>
      <c r="L951" s="52" t="s">
        <v>3553</v>
      </c>
      <c r="M951" s="330">
        <v>130000000</v>
      </c>
      <c r="N951" s="52" t="s">
        <v>3553</v>
      </c>
      <c r="O951" s="330">
        <v>135000000</v>
      </c>
      <c r="P951" s="52" t="s">
        <v>3553</v>
      </c>
      <c r="Q951" s="330">
        <v>140000000</v>
      </c>
      <c r="R951" s="52" t="s">
        <v>3553</v>
      </c>
      <c r="S951" s="330">
        <v>145000000</v>
      </c>
      <c r="T951" s="52" t="s">
        <v>3553</v>
      </c>
      <c r="U951" s="330">
        <v>145000000</v>
      </c>
      <c r="V951" s="52"/>
      <c r="W951" s="52"/>
      <c r="X951" s="52"/>
      <c r="Y951" s="48"/>
      <c r="Z951" s="49"/>
      <c r="AA951" s="49"/>
    </row>
    <row r="952" spans="2:27" s="165" customFormat="1" ht="45">
      <c r="B952" s="48"/>
      <c r="C952" s="56"/>
      <c r="D952" s="57"/>
      <c r="E952" s="57"/>
      <c r="F952" s="58"/>
      <c r="G952" s="58" t="s">
        <v>3554</v>
      </c>
      <c r="H952" s="52"/>
      <c r="I952" s="52"/>
      <c r="J952" s="52" t="s">
        <v>3555</v>
      </c>
      <c r="K952" s="330">
        <v>300000000</v>
      </c>
      <c r="L952" s="52"/>
      <c r="M952" s="330"/>
      <c r="N952" s="52"/>
      <c r="O952" s="330"/>
      <c r="P952" s="52"/>
      <c r="Q952" s="330"/>
      <c r="R952" s="52"/>
      <c r="S952" s="330"/>
      <c r="T952" s="52"/>
      <c r="U952" s="330"/>
      <c r="V952" s="52"/>
      <c r="W952" s="52"/>
      <c r="X952" s="52"/>
      <c r="Y952" s="48"/>
      <c r="Z952" s="49"/>
      <c r="AA952" s="49"/>
    </row>
    <row r="953" spans="2:27" s="165" customFormat="1" ht="45">
      <c r="B953" s="48"/>
      <c r="C953" s="56"/>
      <c r="D953" s="57"/>
      <c r="E953" s="57"/>
      <c r="F953" s="58"/>
      <c r="G953" s="58" t="s">
        <v>3556</v>
      </c>
      <c r="H953" s="52"/>
      <c r="I953" s="52"/>
      <c r="J953" s="52"/>
      <c r="K953" s="330"/>
      <c r="L953" s="52" t="s">
        <v>2852</v>
      </c>
      <c r="M953" s="330">
        <v>75000000</v>
      </c>
      <c r="N953" s="52" t="s">
        <v>2852</v>
      </c>
      <c r="O953" s="330">
        <v>75000000</v>
      </c>
      <c r="P953" s="52" t="s">
        <v>2852</v>
      </c>
      <c r="Q953" s="330">
        <v>100000000</v>
      </c>
      <c r="R953" s="52" t="s">
        <v>2852</v>
      </c>
      <c r="S953" s="330">
        <v>100000000</v>
      </c>
      <c r="T953" s="52" t="s">
        <v>2852</v>
      </c>
      <c r="U953" s="330">
        <v>100000000</v>
      </c>
      <c r="V953" s="52"/>
      <c r="W953" s="52"/>
      <c r="X953" s="52"/>
      <c r="Y953" s="48"/>
      <c r="Z953" s="49"/>
      <c r="AA953" s="49"/>
    </row>
    <row r="954" spans="2:27" s="165" customFormat="1" ht="45">
      <c r="B954" s="48"/>
      <c r="C954" s="56"/>
      <c r="D954" s="57"/>
      <c r="E954" s="57"/>
      <c r="F954" s="58"/>
      <c r="G954" s="58" t="s">
        <v>3557</v>
      </c>
      <c r="H954" s="52"/>
      <c r="I954" s="52" t="s">
        <v>3544</v>
      </c>
      <c r="J954" s="52"/>
      <c r="K954" s="330"/>
      <c r="L954" s="52"/>
      <c r="M954" s="330"/>
      <c r="N954" s="52"/>
      <c r="O954" s="330"/>
      <c r="P954" s="52"/>
      <c r="Q954" s="330"/>
      <c r="R954" s="52" t="s">
        <v>3544</v>
      </c>
      <c r="S954" s="330">
        <v>1000000000</v>
      </c>
      <c r="T954" s="52" t="s">
        <v>3544</v>
      </c>
      <c r="U954" s="330">
        <v>1000000000</v>
      </c>
      <c r="V954" s="52"/>
      <c r="W954" s="52"/>
      <c r="X954" s="52"/>
      <c r="Y954" s="48"/>
      <c r="Z954" s="49"/>
      <c r="AA954" s="49"/>
    </row>
    <row r="955" spans="2:27" s="165" customFormat="1" ht="45">
      <c r="B955" s="48"/>
      <c r="C955" s="56"/>
      <c r="D955" s="57"/>
      <c r="E955" s="57"/>
      <c r="F955" s="58"/>
      <c r="G955" s="58" t="s">
        <v>3558</v>
      </c>
      <c r="H955" s="52"/>
      <c r="I955" s="52"/>
      <c r="J955" s="52" t="s">
        <v>3544</v>
      </c>
      <c r="K955" s="330">
        <v>800000000</v>
      </c>
      <c r="L955" s="52"/>
      <c r="M955" s="330"/>
      <c r="N955" s="52"/>
      <c r="O955" s="330"/>
      <c r="P955" s="52"/>
      <c r="Q955" s="330"/>
      <c r="R955" s="52"/>
      <c r="S955" s="330"/>
      <c r="T955" s="52"/>
      <c r="U955" s="330"/>
      <c r="V955" s="52"/>
      <c r="W955" s="52"/>
      <c r="X955" s="52"/>
      <c r="Y955" s="48"/>
      <c r="Z955" s="49"/>
      <c r="AA955" s="49"/>
    </row>
    <row r="956" spans="2:27" s="165" customFormat="1" ht="60">
      <c r="B956" s="48"/>
      <c r="C956" s="56"/>
      <c r="D956" s="57"/>
      <c r="E956" s="57"/>
      <c r="F956" s="58"/>
      <c r="G956" s="58" t="s">
        <v>3559</v>
      </c>
      <c r="H956" s="52"/>
      <c r="I956" s="52"/>
      <c r="J956" s="52" t="s">
        <v>3544</v>
      </c>
      <c r="K956" s="330">
        <v>700000000</v>
      </c>
      <c r="L956" s="52"/>
      <c r="M956" s="330"/>
      <c r="N956" s="52"/>
      <c r="O956" s="330"/>
      <c r="P956" s="52"/>
      <c r="Q956" s="330"/>
      <c r="R956" s="52"/>
      <c r="S956" s="330"/>
      <c r="T956" s="52"/>
      <c r="U956" s="330"/>
      <c r="V956" s="52"/>
      <c r="W956" s="52"/>
      <c r="X956" s="52"/>
      <c r="Y956" s="48"/>
      <c r="Z956" s="49"/>
      <c r="AA956" s="49"/>
    </row>
    <row r="957" spans="2:27" s="165" customFormat="1" ht="120">
      <c r="B957" s="48"/>
      <c r="C957" s="56"/>
      <c r="D957" s="57"/>
      <c r="E957" s="57"/>
      <c r="F957" s="58"/>
      <c r="G957" s="58" t="s">
        <v>1071</v>
      </c>
      <c r="H957" s="52"/>
      <c r="I957" s="52"/>
      <c r="J957" s="52"/>
      <c r="K957" s="330"/>
      <c r="L957" s="52"/>
      <c r="M957" s="330"/>
      <c r="N957" s="52"/>
      <c r="O957" s="330"/>
      <c r="P957" s="52"/>
      <c r="Q957" s="330"/>
      <c r="R957" s="52"/>
      <c r="S957" s="330"/>
      <c r="T957" s="52"/>
      <c r="U957" s="330"/>
      <c r="V957" s="52"/>
      <c r="W957" s="52"/>
      <c r="X957" s="52"/>
      <c r="Y957" s="48"/>
      <c r="Z957" s="49"/>
      <c r="AA957" s="49"/>
    </row>
    <row r="958" spans="2:27" s="165" customFormat="1" ht="45">
      <c r="B958" s="48"/>
      <c r="C958" s="56"/>
      <c r="D958" s="57"/>
      <c r="E958" s="57"/>
      <c r="F958" s="58"/>
      <c r="G958" s="58" t="s">
        <v>3560</v>
      </c>
      <c r="H958" s="52"/>
      <c r="I958" s="52"/>
      <c r="J958" s="52" t="s">
        <v>2740</v>
      </c>
      <c r="K958" s="330">
        <v>15000000</v>
      </c>
      <c r="L958" s="52" t="s">
        <v>3502</v>
      </c>
      <c r="M958" s="330">
        <v>30000000</v>
      </c>
      <c r="N958" s="52" t="s">
        <v>3503</v>
      </c>
      <c r="O958" s="330">
        <v>35000000</v>
      </c>
      <c r="P958" s="52" t="s">
        <v>3503</v>
      </c>
      <c r="Q958" s="330">
        <v>37500000</v>
      </c>
      <c r="R958" s="52" t="s">
        <v>3526</v>
      </c>
      <c r="S958" s="330">
        <v>40000000</v>
      </c>
      <c r="T958" s="52" t="s">
        <v>3526</v>
      </c>
      <c r="U958" s="330">
        <v>40000000</v>
      </c>
      <c r="V958" s="52"/>
      <c r="W958" s="52"/>
      <c r="X958" s="52"/>
      <c r="Y958" s="48"/>
      <c r="Z958" s="49"/>
      <c r="AA958" s="49"/>
    </row>
    <row r="959" spans="2:27" s="540" customFormat="1" ht="75">
      <c r="B959" s="545"/>
      <c r="C959" s="591">
        <f>'matrik MISI 2'!J101</f>
        <v>1.19</v>
      </c>
      <c r="D959" s="592" t="str">
        <f>'matrik MISI 2'!K101</f>
        <v>xx</v>
      </c>
      <c r="E959" s="592">
        <v>20</v>
      </c>
      <c r="F959" s="548" t="str">
        <f>'matrik MISI 2'!M101</f>
        <v>Program peningkatan pemberantasan penyakit masyarakat</v>
      </c>
      <c r="G959" s="548"/>
      <c r="H959" s="550"/>
      <c r="I959" s="550"/>
      <c r="J959" s="550"/>
      <c r="K959" s="603">
        <f>SUM(K960:K962)</f>
        <v>155445000</v>
      </c>
      <c r="L959" s="603"/>
      <c r="M959" s="603">
        <f t="shared" ref="M959:U959" si="81">SUM(M960:M962)</f>
        <v>195000000</v>
      </c>
      <c r="N959" s="603"/>
      <c r="O959" s="603">
        <f t="shared" si="81"/>
        <v>192000000</v>
      </c>
      <c r="P959" s="603"/>
      <c r="Q959" s="603">
        <f t="shared" si="81"/>
        <v>192000000</v>
      </c>
      <c r="R959" s="603"/>
      <c r="S959" s="603">
        <f t="shared" si="81"/>
        <v>230000000</v>
      </c>
      <c r="T959" s="603"/>
      <c r="U959" s="603">
        <f t="shared" si="81"/>
        <v>230000000</v>
      </c>
      <c r="V959" s="550"/>
      <c r="W959" s="550"/>
      <c r="X959" s="550" t="str">
        <f>'matrik MISI 2'!X101</f>
        <v>Kantor KESBANG</v>
      </c>
      <c r="Y959" s="545"/>
      <c r="Z959" s="546"/>
      <c r="AA959" s="546"/>
    </row>
    <row r="960" spans="2:27" s="165" customFormat="1" ht="60">
      <c r="B960" s="48"/>
      <c r="C960" s="56"/>
      <c r="D960" s="57"/>
      <c r="E960" s="57"/>
      <c r="F960" s="58"/>
      <c r="G960" s="58" t="s">
        <v>3509</v>
      </c>
      <c r="H960" s="161">
        <v>1</v>
      </c>
      <c r="I960" s="52" t="s">
        <v>3510</v>
      </c>
      <c r="J960" s="52" t="s">
        <v>3511</v>
      </c>
      <c r="K960" s="251">
        <v>15000000</v>
      </c>
      <c r="L960" s="52" t="s">
        <v>3487</v>
      </c>
      <c r="M960" s="251">
        <v>25000000</v>
      </c>
      <c r="N960" s="52" t="s">
        <v>3487</v>
      </c>
      <c r="O960" s="251">
        <v>25000000</v>
      </c>
      <c r="P960" s="52" t="s">
        <v>3487</v>
      </c>
      <c r="Q960" s="251">
        <v>25000000</v>
      </c>
      <c r="R960" s="52" t="s">
        <v>3488</v>
      </c>
      <c r="S960" s="251">
        <v>35000000</v>
      </c>
      <c r="T960" s="52" t="s">
        <v>3488</v>
      </c>
      <c r="U960" s="251">
        <v>35000000</v>
      </c>
      <c r="V960" s="52"/>
      <c r="W960" s="52"/>
      <c r="X960" s="52"/>
      <c r="Y960" s="49"/>
      <c r="Z960" s="49"/>
      <c r="AA960" s="49"/>
    </row>
    <row r="961" spans="1:32" s="165" customFormat="1" ht="90">
      <c r="B961" s="48"/>
      <c r="C961" s="56"/>
      <c r="D961" s="57"/>
      <c r="E961" s="57"/>
      <c r="F961" s="58"/>
      <c r="G961" s="58" t="s">
        <v>3512</v>
      </c>
      <c r="H961" s="161">
        <v>1</v>
      </c>
      <c r="I961" s="52" t="s">
        <v>2635</v>
      </c>
      <c r="J961" s="52" t="s">
        <v>2635</v>
      </c>
      <c r="K961" s="251">
        <v>100000000</v>
      </c>
      <c r="L961" s="161" t="s">
        <v>2635</v>
      </c>
      <c r="M961" s="251">
        <v>125000000</v>
      </c>
      <c r="N961" s="161" t="s">
        <v>2635</v>
      </c>
      <c r="O961" s="251">
        <v>125000000</v>
      </c>
      <c r="P961" s="161" t="s">
        <v>2635</v>
      </c>
      <c r="Q961" s="251">
        <v>125000000</v>
      </c>
      <c r="R961" s="52" t="s">
        <v>2635</v>
      </c>
      <c r="S961" s="251">
        <v>150000000</v>
      </c>
      <c r="T961" s="52" t="s">
        <v>2635</v>
      </c>
      <c r="U961" s="251">
        <v>150000000</v>
      </c>
      <c r="V961" s="52"/>
      <c r="W961" s="52"/>
      <c r="X961" s="52"/>
      <c r="Y961" s="49"/>
      <c r="Z961" s="49"/>
      <c r="AA961" s="49"/>
    </row>
    <row r="962" spans="1:32" s="165" customFormat="1" ht="60">
      <c r="B962" s="48"/>
      <c r="C962" s="56"/>
      <c r="D962" s="57"/>
      <c r="E962" s="57"/>
      <c r="F962" s="58"/>
      <c r="G962" s="58" t="s">
        <v>3513</v>
      </c>
      <c r="H962" s="161">
        <v>0.8</v>
      </c>
      <c r="I962" s="52">
        <v>80</v>
      </c>
      <c r="J962" s="52" t="s">
        <v>2807</v>
      </c>
      <c r="K962" s="251">
        <v>40445000</v>
      </c>
      <c r="L962" s="52">
        <v>25</v>
      </c>
      <c r="M962" s="251">
        <v>45000000</v>
      </c>
      <c r="N962" s="52">
        <v>20</v>
      </c>
      <c r="O962" s="251">
        <v>42000000</v>
      </c>
      <c r="P962" s="52">
        <v>20</v>
      </c>
      <c r="Q962" s="251">
        <v>42000000</v>
      </c>
      <c r="R962" s="52">
        <v>20</v>
      </c>
      <c r="S962" s="251">
        <v>45000000</v>
      </c>
      <c r="T962" s="52">
        <v>20</v>
      </c>
      <c r="U962" s="251">
        <v>45000000</v>
      </c>
      <c r="V962" s="52"/>
      <c r="W962" s="52"/>
      <c r="X962" s="52"/>
      <c r="Y962" s="49"/>
      <c r="Z962" s="49"/>
      <c r="AA962" s="49"/>
    </row>
    <row r="963" spans="1:32" s="540" customFormat="1" ht="60">
      <c r="B963" s="545"/>
      <c r="C963" s="591">
        <f>'matrik MISI 2'!J100</f>
        <v>1.19</v>
      </c>
      <c r="D963" s="592" t="str">
        <f>'matrik MISI 2'!K100</f>
        <v>xx</v>
      </c>
      <c r="E963" s="592">
        <v>21</v>
      </c>
      <c r="F963" s="548" t="str">
        <f>'matrik MISI 2'!M100</f>
        <v>Program pendidikan politik masyarakat</v>
      </c>
      <c r="G963" s="548"/>
      <c r="H963" s="550"/>
      <c r="I963" s="550"/>
      <c r="J963" s="550"/>
      <c r="K963" s="603">
        <f>SUM(K964:K972)</f>
        <v>1753080000</v>
      </c>
      <c r="L963" s="603">
        <f t="shared" ref="L963:W963" si="82">SUM(L964:L972)</f>
        <v>80</v>
      </c>
      <c r="M963" s="603">
        <f t="shared" si="82"/>
        <v>200000000</v>
      </c>
      <c r="N963" s="603">
        <f t="shared" si="82"/>
        <v>85</v>
      </c>
      <c r="O963" s="603">
        <f t="shared" si="82"/>
        <v>205000000</v>
      </c>
      <c r="P963" s="603">
        <f t="shared" si="82"/>
        <v>90</v>
      </c>
      <c r="Q963" s="603">
        <f t="shared" si="82"/>
        <v>425000000</v>
      </c>
      <c r="R963" s="603">
        <f t="shared" si="82"/>
        <v>100</v>
      </c>
      <c r="S963" s="603">
        <f t="shared" si="82"/>
        <v>570000000</v>
      </c>
      <c r="T963" s="603">
        <f t="shared" si="82"/>
        <v>100</v>
      </c>
      <c r="U963" s="603">
        <f t="shared" si="82"/>
        <v>21570000000</v>
      </c>
      <c r="V963" s="603">
        <f t="shared" si="82"/>
        <v>0</v>
      </c>
      <c r="W963" s="603">
        <f t="shared" si="82"/>
        <v>0</v>
      </c>
      <c r="X963" s="550" t="str">
        <f>'matrik MISI 2'!X100</f>
        <v>Kantor KESBANG</v>
      </c>
    </row>
    <row r="964" spans="1:32" s="165" customFormat="1" ht="45">
      <c r="B964" s="48"/>
      <c r="C964" s="56"/>
      <c r="D964" s="57"/>
      <c r="E964" s="57"/>
      <c r="F964" s="58"/>
      <c r="G964" s="58" t="s">
        <v>3514</v>
      </c>
      <c r="H964" s="161">
        <v>1</v>
      </c>
      <c r="I964" s="52" t="s">
        <v>3515</v>
      </c>
      <c r="J964" s="52">
        <v>30</v>
      </c>
      <c r="K964" s="251">
        <v>18485000</v>
      </c>
      <c r="L964" s="52">
        <v>35</v>
      </c>
      <c r="M964" s="251">
        <v>25000000</v>
      </c>
      <c r="N964" s="52">
        <v>40</v>
      </c>
      <c r="O964" s="251">
        <v>30000000</v>
      </c>
      <c r="P964" s="52">
        <v>45</v>
      </c>
      <c r="Q964" s="251">
        <v>45000000</v>
      </c>
      <c r="R964" s="52">
        <v>50</v>
      </c>
      <c r="S964" s="251">
        <v>50000000</v>
      </c>
      <c r="T964" s="52">
        <v>50</v>
      </c>
      <c r="U964" s="251">
        <v>50000000</v>
      </c>
      <c r="V964" s="52"/>
      <c r="W964" s="52"/>
      <c r="X964" s="52"/>
    </row>
    <row r="965" spans="1:32" s="165" customFormat="1" ht="75">
      <c r="B965" s="48"/>
      <c r="C965" s="56"/>
      <c r="D965" s="57"/>
      <c r="E965" s="57"/>
      <c r="F965" s="58"/>
      <c r="G965" s="58" t="s">
        <v>3516</v>
      </c>
      <c r="H965" s="161">
        <v>1</v>
      </c>
      <c r="I965" s="52" t="s">
        <v>3517</v>
      </c>
      <c r="J965" s="52">
        <v>40</v>
      </c>
      <c r="K965" s="251">
        <v>25000000</v>
      </c>
      <c r="L965" s="52">
        <v>45</v>
      </c>
      <c r="M965" s="251">
        <v>50000000</v>
      </c>
      <c r="N965" s="52">
        <v>45</v>
      </c>
      <c r="O965" s="251">
        <v>50000000</v>
      </c>
      <c r="P965" s="52">
        <v>45</v>
      </c>
      <c r="Q965" s="251">
        <v>50000000</v>
      </c>
      <c r="R965" s="52">
        <v>50</v>
      </c>
      <c r="S965" s="251">
        <v>60000000</v>
      </c>
      <c r="T965" s="52">
        <v>50</v>
      </c>
      <c r="U965" s="251">
        <v>60000000</v>
      </c>
      <c r="V965" s="52"/>
      <c r="W965" s="52"/>
      <c r="X965" s="52"/>
    </row>
    <row r="966" spans="1:32" s="165" customFormat="1" ht="60">
      <c r="B966" s="48"/>
      <c r="C966" s="56"/>
      <c r="D966" s="57"/>
      <c r="E966" s="57"/>
      <c r="F966" s="58"/>
      <c r="G966" s="58" t="s">
        <v>3518</v>
      </c>
      <c r="H966" s="161">
        <v>1</v>
      </c>
      <c r="I966" s="52" t="s">
        <v>3409</v>
      </c>
      <c r="J966" s="52">
        <v>60</v>
      </c>
      <c r="K966" s="251">
        <v>92670000</v>
      </c>
      <c r="L966" s="52" t="s">
        <v>3409</v>
      </c>
      <c r="M966" s="251">
        <v>100000000</v>
      </c>
      <c r="N966" s="52" t="s">
        <v>3409</v>
      </c>
      <c r="O966" s="251">
        <v>100000000</v>
      </c>
      <c r="P966" s="52" t="s">
        <v>3409</v>
      </c>
      <c r="Q966" s="251">
        <v>100000000</v>
      </c>
      <c r="R966" s="52" t="s">
        <v>3409</v>
      </c>
      <c r="S966" s="251">
        <v>125000000</v>
      </c>
      <c r="T966" s="52" t="s">
        <v>3409</v>
      </c>
      <c r="U966" s="251">
        <v>125000000</v>
      </c>
      <c r="V966" s="52"/>
      <c r="W966" s="52"/>
      <c r="X966" s="52"/>
    </row>
    <row r="967" spans="1:32" s="165" customFormat="1" ht="75">
      <c r="B967" s="48"/>
      <c r="C967" s="56"/>
      <c r="D967" s="57"/>
      <c r="E967" s="57"/>
      <c r="F967" s="58"/>
      <c r="G967" s="58" t="s">
        <v>3519</v>
      </c>
      <c r="H967" s="161">
        <v>1</v>
      </c>
      <c r="I967" s="52" t="s">
        <v>3520</v>
      </c>
      <c r="J967" s="52" t="s">
        <v>3521</v>
      </c>
      <c r="K967" s="739">
        <v>16925000</v>
      </c>
      <c r="L967" s="52" t="s">
        <v>3521</v>
      </c>
      <c r="M967" s="251">
        <v>25000000</v>
      </c>
      <c r="N967" s="52" t="s">
        <v>3521</v>
      </c>
      <c r="O967" s="251">
        <v>25000000</v>
      </c>
      <c r="P967" s="52" t="s">
        <v>3521</v>
      </c>
      <c r="Q967" s="251">
        <v>30000000</v>
      </c>
      <c r="R967" s="52" t="s">
        <v>3521</v>
      </c>
      <c r="S967" s="251">
        <v>35000000</v>
      </c>
      <c r="T967" s="52" t="s">
        <v>3521</v>
      </c>
      <c r="U967" s="251">
        <v>35000000</v>
      </c>
      <c r="V967" s="52"/>
      <c r="W967" s="52"/>
      <c r="X967" s="52"/>
    </row>
    <row r="968" spans="1:32" s="165" customFormat="1" ht="60">
      <c r="B968" s="48"/>
      <c r="C968" s="56"/>
      <c r="D968" s="57"/>
      <c r="E968" s="57"/>
      <c r="F968" s="58"/>
      <c r="G968" s="55" t="s">
        <v>4669</v>
      </c>
      <c r="H968" s="161"/>
      <c r="I968" s="52"/>
      <c r="J968" s="52"/>
      <c r="K968" s="741">
        <v>100000000</v>
      </c>
      <c r="L968" s="52"/>
      <c r="M968" s="741"/>
      <c r="N968" s="52"/>
      <c r="O968" s="741"/>
      <c r="P968" s="52"/>
      <c r="Q968" s="741">
        <v>200000000</v>
      </c>
      <c r="R968" s="52"/>
      <c r="S968" s="741">
        <v>300000000</v>
      </c>
      <c r="T968" s="52"/>
      <c r="U968" s="741">
        <v>300000000</v>
      </c>
      <c r="V968" s="52"/>
      <c r="W968" s="52"/>
      <c r="X968" s="51" t="s">
        <v>4671</v>
      </c>
    </row>
    <row r="969" spans="1:32" s="165" customFormat="1" ht="30">
      <c r="B969" s="48"/>
      <c r="C969" s="56"/>
      <c r="D969" s="57"/>
      <c r="E969" s="57"/>
      <c r="F969" s="58"/>
      <c r="G969" s="55" t="s">
        <v>4672</v>
      </c>
      <c r="H969" s="161"/>
      <c r="I969" s="52"/>
      <c r="J969" s="52"/>
      <c r="K969" s="741"/>
      <c r="L969" s="52"/>
      <c r="M969" s="741"/>
      <c r="N969" s="52"/>
      <c r="O969" s="741"/>
      <c r="P969" s="52"/>
      <c r="Q969" s="741"/>
      <c r="R969" s="52"/>
      <c r="S969" s="741"/>
      <c r="T969" s="52"/>
      <c r="U969" s="741">
        <v>20000000000</v>
      </c>
      <c r="V969" s="52"/>
      <c r="W969" s="52"/>
      <c r="X969" s="51"/>
    </row>
    <row r="970" spans="1:32" s="165" customFormat="1" ht="30">
      <c r="B970" s="48"/>
      <c r="C970" s="56"/>
      <c r="D970" s="57"/>
      <c r="E970" s="57"/>
      <c r="F970" s="58"/>
      <c r="G970" s="55" t="s">
        <v>4673</v>
      </c>
      <c r="H970" s="161"/>
      <c r="I970" s="52"/>
      <c r="J970" s="52"/>
      <c r="K970" s="741"/>
      <c r="L970" s="52"/>
      <c r="M970" s="741"/>
      <c r="N970" s="52"/>
      <c r="O970" s="741"/>
      <c r="P970" s="52"/>
      <c r="Q970" s="741"/>
      <c r="R970" s="52"/>
      <c r="S970" s="741"/>
      <c r="T970" s="52"/>
      <c r="U970" s="741">
        <v>1000000000</v>
      </c>
      <c r="V970" s="52"/>
      <c r="W970" s="52"/>
      <c r="X970" s="51"/>
    </row>
    <row r="971" spans="1:32" s="165" customFormat="1" ht="90">
      <c r="B971" s="48"/>
      <c r="C971" s="56"/>
      <c r="D971" s="57"/>
      <c r="E971" s="57"/>
      <c r="F971" s="58"/>
      <c r="G971" s="58" t="s">
        <v>3522</v>
      </c>
      <c r="H971" s="52"/>
      <c r="I971" s="52"/>
      <c r="J971" s="52"/>
      <c r="K971" s="330">
        <v>1000000000</v>
      </c>
      <c r="L971" s="52"/>
      <c r="M971" s="52"/>
      <c r="N971" s="52"/>
      <c r="O971" s="330"/>
      <c r="P971" s="52"/>
      <c r="Q971" s="330"/>
      <c r="R971" s="52"/>
      <c r="S971" s="330"/>
      <c r="T971" s="52"/>
      <c r="U971" s="330"/>
      <c r="V971" s="52"/>
      <c r="W971" s="52"/>
      <c r="X971" s="52"/>
    </row>
    <row r="972" spans="1:32" s="165" customFormat="1" ht="90">
      <c r="B972" s="48"/>
      <c r="C972" s="56"/>
      <c r="D972" s="57"/>
      <c r="E972" s="57"/>
      <c r="F972" s="58"/>
      <c r="G972" s="58" t="s">
        <v>3523</v>
      </c>
      <c r="H972" s="52"/>
      <c r="I972" s="52"/>
      <c r="J972" s="52"/>
      <c r="K972" s="330">
        <v>500000000</v>
      </c>
      <c r="L972" s="52"/>
      <c r="M972" s="52"/>
      <c r="N972" s="52"/>
      <c r="O972" s="330"/>
      <c r="P972" s="52"/>
      <c r="Q972" s="330"/>
      <c r="R972" s="52"/>
      <c r="S972" s="330"/>
      <c r="T972" s="52"/>
      <c r="U972" s="330"/>
      <c r="V972" s="52"/>
      <c r="W972" s="52"/>
      <c r="X972" s="52"/>
    </row>
    <row r="973" spans="1:32" s="280" customFormat="1" ht="45" customHeight="1">
      <c r="A973" s="285"/>
      <c r="B973" s="1093" t="s">
        <v>4251</v>
      </c>
      <c r="C973" s="1094"/>
      <c r="D973" s="1094"/>
      <c r="E973" s="1094"/>
      <c r="F973" s="1094"/>
      <c r="G973" s="1095"/>
      <c r="H973" s="382"/>
      <c r="I973" s="382"/>
      <c r="J973" s="382"/>
      <c r="K973" s="382">
        <f>SUM(K927:K972)</f>
        <v>9193050000</v>
      </c>
      <c r="L973" s="382"/>
      <c r="M973" s="382">
        <f t="shared" ref="M973:W973" si="83">SUM(M927:M972)</f>
        <v>3260000000</v>
      </c>
      <c r="N973" s="382"/>
      <c r="O973" s="382">
        <f t="shared" si="83"/>
        <v>3444000000</v>
      </c>
      <c r="P973" s="382"/>
      <c r="Q973" s="382">
        <f t="shared" si="83"/>
        <v>4074000000</v>
      </c>
      <c r="R973" s="382"/>
      <c r="S973" s="382">
        <f t="shared" si="83"/>
        <v>6665000000</v>
      </c>
      <c r="T973" s="382"/>
      <c r="U973" s="382">
        <f t="shared" si="83"/>
        <v>47830000000</v>
      </c>
      <c r="V973" s="382">
        <f t="shared" si="83"/>
        <v>0</v>
      </c>
      <c r="W973" s="382">
        <f t="shared" si="83"/>
        <v>0</v>
      </c>
      <c r="X973" s="382"/>
      <c r="Y973" s="285"/>
      <c r="Z973" s="285"/>
      <c r="AA973" s="285"/>
      <c r="AB973" s="285"/>
      <c r="AC973" s="285"/>
      <c r="AD973" s="285"/>
      <c r="AE973" s="285"/>
      <c r="AF973" s="285"/>
    </row>
    <row r="974" spans="1:32" ht="180">
      <c r="A974" s="165">
        <v>1</v>
      </c>
      <c r="B974" s="62" t="str">
        <f>'matrik MISI 6'!B21</f>
        <v>OTONOMI DAERAH, PEMERINTAHAN UMUM, ADMINISTRASI KEUANGAN DAERAH, PERANGKAT DAERAH, KEPEGAWAIAN, DAN PERSANDIAN</v>
      </c>
      <c r="C974" s="56"/>
      <c r="D974" s="57"/>
      <c r="E974" s="57"/>
      <c r="F974" s="58"/>
      <c r="G974" s="58"/>
      <c r="H974" s="52"/>
      <c r="I974" s="52"/>
      <c r="J974" s="52"/>
      <c r="K974" s="52"/>
      <c r="L974" s="52"/>
      <c r="M974" s="52"/>
      <c r="N974" s="52"/>
      <c r="O974" s="52"/>
      <c r="P974" s="52"/>
      <c r="Q974" s="52"/>
      <c r="R974" s="52"/>
      <c r="S974" s="52"/>
      <c r="T974" s="52"/>
      <c r="U974" s="52"/>
      <c r="V974" s="52"/>
      <c r="W974" s="52"/>
      <c r="X974" s="52"/>
      <c r="Y974" s="165"/>
      <c r="Z974" s="165"/>
      <c r="AA974" s="165"/>
      <c r="AB974" s="165"/>
      <c r="AC974" s="165"/>
      <c r="AD974" s="165"/>
      <c r="AE974" s="165"/>
      <c r="AF974" s="165"/>
    </row>
    <row r="975" spans="1:32" s="540" customFormat="1" ht="90">
      <c r="B975" s="545"/>
      <c r="C975" s="593" t="str">
        <f>'matrik MISI 6'!J35</f>
        <v>1.20</v>
      </c>
      <c r="D975" s="594" t="str">
        <f>'matrik MISI 6'!K35</f>
        <v>xx</v>
      </c>
      <c r="E975" s="594">
        <f>'matrik MISI 6'!L35</f>
        <v>15</v>
      </c>
      <c r="F975" s="595" t="str">
        <f>'matrik MISI 6'!M35</f>
        <v>Program Peningkatan Kapasitas Lembaga Perwakilan Rakyat Daerah</v>
      </c>
      <c r="G975" s="548"/>
      <c r="H975" s="550"/>
      <c r="I975" s="550"/>
      <c r="J975" s="550"/>
      <c r="K975" s="750">
        <f>SUM(K976:K985)</f>
        <v>8474776750</v>
      </c>
      <c r="L975" s="750"/>
      <c r="M975" s="750">
        <f t="shared" ref="M975:U975" si="84">SUM(M976:M985)</f>
        <v>8897630000</v>
      </c>
      <c r="N975" s="750"/>
      <c r="O975" s="750">
        <f t="shared" si="84"/>
        <v>9238000000</v>
      </c>
      <c r="P975" s="750"/>
      <c r="Q975" s="750">
        <f t="shared" si="84"/>
        <v>9819800000</v>
      </c>
      <c r="R975" s="750"/>
      <c r="S975" s="750">
        <f t="shared" si="84"/>
        <v>10368000000</v>
      </c>
      <c r="T975" s="750"/>
      <c r="U975" s="750">
        <f t="shared" si="84"/>
        <v>10368000000</v>
      </c>
      <c r="V975" s="550"/>
      <c r="W975" s="550"/>
      <c r="X975" s="550" t="str">
        <f>'matrik MISI 6'!X35</f>
        <v>Sekretariat DPRD</v>
      </c>
    </row>
    <row r="976" spans="1:32" s="165" customFormat="1" ht="30">
      <c r="B976" s="48"/>
      <c r="C976" s="62"/>
      <c r="D976" s="63"/>
      <c r="E976" s="63"/>
      <c r="F976" s="64"/>
      <c r="G976" s="270" t="s">
        <v>3052</v>
      </c>
      <c r="H976" s="158">
        <v>1</v>
      </c>
      <c r="I976" s="164" t="s">
        <v>3053</v>
      </c>
      <c r="J976" s="164" t="s">
        <v>3054</v>
      </c>
      <c r="K976" s="159">
        <v>1890000000</v>
      </c>
      <c r="L976" s="164" t="s">
        <v>3055</v>
      </c>
      <c r="M976" s="159">
        <v>1800000000</v>
      </c>
      <c r="N976" s="164" t="s">
        <v>3055</v>
      </c>
      <c r="O976" s="159">
        <v>1950000000</v>
      </c>
      <c r="P976" s="164" t="s">
        <v>3055</v>
      </c>
      <c r="Q976" s="159">
        <v>2100000000</v>
      </c>
      <c r="R976" s="164" t="s">
        <v>3055</v>
      </c>
      <c r="S976" s="159">
        <v>2250000000</v>
      </c>
      <c r="T976" s="164" t="s">
        <v>3055</v>
      </c>
      <c r="U976" s="159">
        <v>2250000000</v>
      </c>
      <c r="V976" s="52"/>
      <c r="W976" s="52"/>
      <c r="X976" s="52"/>
    </row>
    <row r="977" spans="2:24" s="165" customFormat="1" ht="45">
      <c r="B977" s="48"/>
      <c r="C977" s="62"/>
      <c r="D977" s="63"/>
      <c r="E977" s="63"/>
      <c r="F977" s="64"/>
      <c r="G977" s="270" t="s">
        <v>3056</v>
      </c>
      <c r="H977" s="158">
        <v>1</v>
      </c>
      <c r="I977" s="164" t="s">
        <v>3057</v>
      </c>
      <c r="J977" s="164" t="s">
        <v>3058</v>
      </c>
      <c r="K977" s="159">
        <v>94759250</v>
      </c>
      <c r="L977" s="164" t="s">
        <v>3059</v>
      </c>
      <c r="M977" s="159">
        <v>95000000</v>
      </c>
      <c r="N977" s="164" t="s">
        <v>3059</v>
      </c>
      <c r="O977" s="159">
        <v>100000000</v>
      </c>
      <c r="P977" s="164" t="s">
        <v>3059</v>
      </c>
      <c r="Q977" s="159">
        <v>105000000</v>
      </c>
      <c r="R977" s="164" t="s">
        <v>3059</v>
      </c>
      <c r="S977" s="159">
        <v>110000000</v>
      </c>
      <c r="T977" s="164" t="s">
        <v>3059</v>
      </c>
      <c r="U977" s="159">
        <v>110000000</v>
      </c>
      <c r="V977" s="52"/>
      <c r="W977" s="52"/>
      <c r="X977" s="52"/>
    </row>
    <row r="978" spans="2:24" s="165" customFormat="1" ht="30">
      <c r="B978" s="48"/>
      <c r="C978" s="62"/>
      <c r="D978" s="63"/>
      <c r="E978" s="63"/>
      <c r="F978" s="64"/>
      <c r="G978" s="270" t="s">
        <v>3060</v>
      </c>
      <c r="H978" s="158">
        <v>0</v>
      </c>
      <c r="I978" s="158" t="s">
        <v>3061</v>
      </c>
      <c r="J978" s="158">
        <v>1</v>
      </c>
      <c r="K978" s="159">
        <v>555117500</v>
      </c>
      <c r="L978" s="158" t="s">
        <v>3061</v>
      </c>
      <c r="M978" s="159">
        <v>610630000</v>
      </c>
      <c r="N978" s="158" t="s">
        <v>3061</v>
      </c>
      <c r="O978" s="159">
        <v>620000000</v>
      </c>
      <c r="P978" s="158" t="s">
        <v>3061</v>
      </c>
      <c r="Q978" s="159">
        <v>630000000</v>
      </c>
      <c r="R978" s="158" t="s">
        <v>3061</v>
      </c>
      <c r="S978" s="159">
        <v>640000000</v>
      </c>
      <c r="T978" s="158" t="s">
        <v>3061</v>
      </c>
      <c r="U978" s="159">
        <v>640000000</v>
      </c>
      <c r="V978" s="52"/>
      <c r="W978" s="52"/>
      <c r="X978" s="52"/>
    </row>
    <row r="979" spans="2:24" s="165" customFormat="1" ht="45">
      <c r="B979" s="48"/>
      <c r="C979" s="62"/>
      <c r="D979" s="63"/>
      <c r="E979" s="63"/>
      <c r="F979" s="64"/>
      <c r="G979" s="270" t="s">
        <v>3062</v>
      </c>
      <c r="H979" s="158">
        <v>1</v>
      </c>
      <c r="I979" s="158" t="s">
        <v>3061</v>
      </c>
      <c r="J979" s="158">
        <v>1</v>
      </c>
      <c r="K979" s="159">
        <v>1463150000</v>
      </c>
      <c r="L979" s="158" t="s">
        <v>3061</v>
      </c>
      <c r="M979" s="159">
        <v>1500000000</v>
      </c>
      <c r="N979" s="158" t="s">
        <v>3061</v>
      </c>
      <c r="O979" s="159">
        <f>10%*M979+M979</f>
        <v>1650000000</v>
      </c>
      <c r="P979" s="158" t="s">
        <v>3061</v>
      </c>
      <c r="Q979" s="159">
        <v>1800000000</v>
      </c>
      <c r="R979" s="158" t="s">
        <v>3061</v>
      </c>
      <c r="S979" s="159">
        <v>1950000000</v>
      </c>
      <c r="T979" s="158" t="s">
        <v>3061</v>
      </c>
      <c r="U979" s="159">
        <v>1950000000</v>
      </c>
      <c r="V979" s="52"/>
      <c r="W979" s="52"/>
      <c r="X979" s="52"/>
    </row>
    <row r="980" spans="2:24" s="165" customFormat="1" ht="45">
      <c r="B980" s="48"/>
      <c r="C980" s="62"/>
      <c r="D980" s="63"/>
      <c r="E980" s="63"/>
      <c r="F980" s="64"/>
      <c r="G980" s="270" t="s">
        <v>3063</v>
      </c>
      <c r="H980" s="158">
        <v>1</v>
      </c>
      <c r="I980" s="158" t="s">
        <v>2635</v>
      </c>
      <c r="J980" s="158">
        <v>1</v>
      </c>
      <c r="K980" s="159">
        <v>4278750000</v>
      </c>
      <c r="L980" s="158" t="s">
        <v>2635</v>
      </c>
      <c r="M980" s="159">
        <v>4500000000</v>
      </c>
      <c r="N980" s="158" t="s">
        <v>2635</v>
      </c>
      <c r="O980" s="159">
        <v>4750000000</v>
      </c>
      <c r="P980" s="158" t="s">
        <v>2635</v>
      </c>
      <c r="Q980" s="159">
        <v>5000000000</v>
      </c>
      <c r="R980" s="158" t="s">
        <v>2635</v>
      </c>
      <c r="S980" s="159">
        <v>5250000000</v>
      </c>
      <c r="T980" s="158" t="s">
        <v>2635</v>
      </c>
      <c r="U980" s="159">
        <v>5250000000</v>
      </c>
      <c r="V980" s="52"/>
      <c r="W980" s="52"/>
      <c r="X980" s="52"/>
    </row>
    <row r="981" spans="2:24" s="165" customFormat="1" ht="30">
      <c r="B981" s="48"/>
      <c r="C981" s="62"/>
      <c r="D981" s="63"/>
      <c r="E981" s="63"/>
      <c r="F981" s="64"/>
      <c r="G981" s="270" t="s">
        <v>3064</v>
      </c>
      <c r="H981" s="160">
        <v>0.89280000000000004</v>
      </c>
      <c r="I981" s="164" t="s">
        <v>3065</v>
      </c>
      <c r="J981" s="164" t="s">
        <v>3066</v>
      </c>
      <c r="K981" s="159">
        <v>168000000</v>
      </c>
      <c r="L981" s="164" t="s">
        <v>3065</v>
      </c>
      <c r="M981" s="159">
        <v>168000000</v>
      </c>
      <c r="N981" s="164" t="s">
        <v>3065</v>
      </c>
      <c r="O981" s="159">
        <v>168000000</v>
      </c>
      <c r="P981" s="164" t="s">
        <v>3065</v>
      </c>
      <c r="Q981" s="159">
        <f>O981*10%+O981</f>
        <v>184800000</v>
      </c>
      <c r="R981" s="164" t="s">
        <v>3065</v>
      </c>
      <c r="S981" s="159">
        <v>168000000</v>
      </c>
      <c r="T981" s="164" t="s">
        <v>3065</v>
      </c>
      <c r="U981" s="159">
        <v>168000000</v>
      </c>
      <c r="V981" s="52"/>
      <c r="W981" s="52"/>
      <c r="X981" s="52"/>
    </row>
    <row r="982" spans="2:24" s="165" customFormat="1" ht="30">
      <c r="B982" s="48"/>
      <c r="C982" s="62"/>
      <c r="D982" s="63"/>
      <c r="E982" s="63"/>
      <c r="F982" s="64"/>
      <c r="G982" s="270" t="s">
        <v>3067</v>
      </c>
      <c r="H982" s="158">
        <v>0</v>
      </c>
      <c r="I982" s="215">
        <v>1</v>
      </c>
      <c r="J982" s="158">
        <v>0</v>
      </c>
      <c r="K982" s="159">
        <v>25000000</v>
      </c>
      <c r="L982" s="158"/>
      <c r="M982" s="159"/>
      <c r="N982" s="158"/>
      <c r="O982" s="159"/>
      <c r="P982" s="158"/>
      <c r="Q982" s="159"/>
      <c r="R982" s="158"/>
      <c r="S982" s="159"/>
      <c r="T982" s="158"/>
      <c r="U982" s="159"/>
      <c r="V982" s="52"/>
      <c r="W982" s="52"/>
      <c r="X982" s="52"/>
    </row>
    <row r="983" spans="2:24" s="165" customFormat="1" ht="45">
      <c r="B983" s="48"/>
      <c r="C983" s="62"/>
      <c r="D983" s="63"/>
      <c r="E983" s="63"/>
      <c r="F983" s="64"/>
      <c r="G983" s="270" t="s">
        <v>3068</v>
      </c>
      <c r="H983" s="160"/>
      <c r="I983" s="158"/>
      <c r="J983" s="158"/>
      <c r="K983" s="159"/>
      <c r="L983" s="215">
        <v>45</v>
      </c>
      <c r="M983" s="159">
        <v>160000000</v>
      </c>
      <c r="N983" s="158"/>
      <c r="O983" s="159"/>
      <c r="P983" s="158"/>
      <c r="Q983" s="159"/>
      <c r="R983" s="158"/>
      <c r="S983" s="159"/>
      <c r="T983" s="158"/>
      <c r="U983" s="159"/>
      <c r="V983" s="52"/>
      <c r="W983" s="52"/>
      <c r="X983" s="52"/>
    </row>
    <row r="984" spans="2:24" s="165" customFormat="1" ht="30">
      <c r="B984" s="48"/>
      <c r="C984" s="62"/>
      <c r="D984" s="63"/>
      <c r="E984" s="63"/>
      <c r="F984" s="64"/>
      <c r="G984" s="270" t="s">
        <v>3069</v>
      </c>
      <c r="H984" s="160"/>
      <c r="I984" s="158"/>
      <c r="J984" s="158"/>
      <c r="K984" s="159"/>
      <c r="L984" s="215">
        <v>1</v>
      </c>
      <c r="M984" s="159">
        <v>19000000</v>
      </c>
      <c r="N984" s="158"/>
      <c r="O984" s="159"/>
      <c r="P984" s="158"/>
      <c r="Q984" s="159"/>
      <c r="R984" s="158"/>
      <c r="S984" s="159"/>
      <c r="T984" s="158"/>
      <c r="U984" s="159"/>
      <c r="V984" s="52"/>
      <c r="W984" s="52"/>
      <c r="X984" s="52"/>
    </row>
    <row r="985" spans="2:24" s="165" customFormat="1" ht="30">
      <c r="B985" s="48"/>
      <c r="C985" s="62"/>
      <c r="D985" s="63"/>
      <c r="E985" s="63"/>
      <c r="F985" s="64"/>
      <c r="G985" s="270" t="s">
        <v>3070</v>
      </c>
      <c r="H985" s="160"/>
      <c r="I985" s="158"/>
      <c r="J985" s="158"/>
      <c r="K985" s="159"/>
      <c r="L985" s="215">
        <v>1</v>
      </c>
      <c r="M985" s="159">
        <v>45000000</v>
      </c>
      <c r="N985" s="158"/>
      <c r="O985" s="159"/>
      <c r="P985" s="158"/>
      <c r="Q985" s="159"/>
      <c r="R985" s="158"/>
      <c r="S985" s="159"/>
      <c r="T985" s="158"/>
      <c r="U985" s="159"/>
      <c r="V985" s="52"/>
      <c r="W985" s="52"/>
      <c r="X985" s="52"/>
    </row>
    <row r="986" spans="2:24" s="540" customFormat="1" ht="105">
      <c r="B986" s="545"/>
      <c r="C986" s="591" t="str">
        <f>'matrik MISI 6'!J58</f>
        <v>1.20</v>
      </c>
      <c r="D986" s="592" t="str">
        <f>'matrik MISI 6'!K58</f>
        <v>xx</v>
      </c>
      <c r="E986" s="592">
        <f>'matrik MISI 6'!L58</f>
        <v>16</v>
      </c>
      <c r="F986" s="548" t="str">
        <f>'matrik MISI 6'!M58</f>
        <v>Program Peningkatan Pelayanan Kedinasan Kepala Daerah/Wakil Kepala Daerah</v>
      </c>
      <c r="G986" s="548"/>
      <c r="H986" s="550"/>
      <c r="I986" s="550"/>
      <c r="J986" s="550"/>
      <c r="K986" s="551">
        <f>SUM(K987:K989)</f>
        <v>2125000000</v>
      </c>
      <c r="L986" s="551"/>
      <c r="M986" s="551">
        <f t="shared" ref="M986:U986" si="85">SUM(M987:M989)</f>
        <v>2125000000</v>
      </c>
      <c r="N986" s="551"/>
      <c r="O986" s="551">
        <f t="shared" si="85"/>
        <v>2375000000</v>
      </c>
      <c r="P986" s="551"/>
      <c r="Q986" s="551">
        <f t="shared" si="85"/>
        <v>2625000000</v>
      </c>
      <c r="R986" s="551"/>
      <c r="S986" s="551">
        <f t="shared" si="85"/>
        <v>2875000000</v>
      </c>
      <c r="T986" s="551"/>
      <c r="U986" s="551">
        <f t="shared" si="85"/>
        <v>2875000000</v>
      </c>
      <c r="V986" s="550"/>
      <c r="W986" s="550"/>
      <c r="X986" s="550" t="str">
        <f>'matrik MISI 6'!X58</f>
        <v>Bagian Umum Setda</v>
      </c>
    </row>
    <row r="987" spans="2:24" s="165" customFormat="1" ht="30">
      <c r="B987" s="48"/>
      <c r="C987" s="56"/>
      <c r="D987" s="57"/>
      <c r="E987" s="57"/>
      <c r="F987" s="58"/>
      <c r="G987" s="270" t="s">
        <v>3071</v>
      </c>
      <c r="H987" s="257"/>
      <c r="I987" s="164" t="s">
        <v>3072</v>
      </c>
      <c r="J987" s="164" t="s">
        <v>3072</v>
      </c>
      <c r="K987" s="190">
        <v>600000000</v>
      </c>
      <c r="L987" s="164" t="s">
        <v>3072</v>
      </c>
      <c r="M987" s="190">
        <v>600000000</v>
      </c>
      <c r="N987" s="164" t="s">
        <v>3072</v>
      </c>
      <c r="O987" s="190">
        <v>600000000</v>
      </c>
      <c r="P987" s="164" t="s">
        <v>3072</v>
      </c>
      <c r="Q987" s="190">
        <v>600000000</v>
      </c>
      <c r="R987" s="164" t="s">
        <v>3072</v>
      </c>
      <c r="S987" s="190">
        <v>600000000</v>
      </c>
      <c r="T987" s="164" t="s">
        <v>3072</v>
      </c>
      <c r="U987" s="190">
        <v>600000000</v>
      </c>
      <c r="V987" s="190">
        <v>600000000</v>
      </c>
      <c r="W987" s="52"/>
      <c r="X987" s="52"/>
    </row>
    <row r="988" spans="2:24" s="165" customFormat="1" ht="30">
      <c r="B988" s="48"/>
      <c r="C988" s="56"/>
      <c r="D988" s="57"/>
      <c r="E988" s="57"/>
      <c r="F988" s="58"/>
      <c r="G988" s="270" t="s">
        <v>3073</v>
      </c>
      <c r="H988" s="257"/>
      <c r="I988" s="164" t="s">
        <v>3072</v>
      </c>
      <c r="J988" s="164" t="s">
        <v>3072</v>
      </c>
      <c r="K988" s="190">
        <v>25000000</v>
      </c>
      <c r="L988" s="164" t="s">
        <v>3072</v>
      </c>
      <c r="M988" s="190">
        <v>25000000</v>
      </c>
      <c r="N988" s="164" t="s">
        <v>3072</v>
      </c>
      <c r="O988" s="190">
        <v>25000000</v>
      </c>
      <c r="P988" s="164" t="s">
        <v>3072</v>
      </c>
      <c r="Q988" s="190">
        <v>25000000</v>
      </c>
      <c r="R988" s="164" t="s">
        <v>3072</v>
      </c>
      <c r="S988" s="190">
        <v>25000000</v>
      </c>
      <c r="T988" s="164" t="s">
        <v>3072</v>
      </c>
      <c r="U988" s="190">
        <v>25000000</v>
      </c>
      <c r="V988" s="190">
        <v>25000000</v>
      </c>
      <c r="W988" s="52"/>
      <c r="X988" s="52"/>
    </row>
    <row r="989" spans="2:24" s="165" customFormat="1" ht="120">
      <c r="B989" s="48"/>
      <c r="C989" s="56"/>
      <c r="D989" s="57"/>
      <c r="E989" s="57"/>
      <c r="F989" s="58"/>
      <c r="G989" s="270" t="s">
        <v>3074</v>
      </c>
      <c r="H989" s="257"/>
      <c r="I989" s="164" t="s">
        <v>3072</v>
      </c>
      <c r="J989" s="164" t="s">
        <v>3072</v>
      </c>
      <c r="K989" s="190">
        <v>1500000000</v>
      </c>
      <c r="L989" s="164" t="s">
        <v>3072</v>
      </c>
      <c r="M989" s="190">
        <v>1500000000</v>
      </c>
      <c r="N989" s="164" t="s">
        <v>3072</v>
      </c>
      <c r="O989" s="190">
        <v>1750000000</v>
      </c>
      <c r="P989" s="164" t="s">
        <v>3072</v>
      </c>
      <c r="Q989" s="190">
        <v>2000000000</v>
      </c>
      <c r="R989" s="164" t="s">
        <v>3072</v>
      </c>
      <c r="S989" s="190">
        <v>2250000000</v>
      </c>
      <c r="T989" s="164" t="s">
        <v>3072</v>
      </c>
      <c r="U989" s="190">
        <v>2250000000</v>
      </c>
      <c r="V989" s="190">
        <v>2250000000</v>
      </c>
      <c r="W989" s="52"/>
      <c r="X989" s="52"/>
    </row>
    <row r="990" spans="2:24" s="540" customFormat="1" ht="105">
      <c r="B990" s="545"/>
      <c r="C990" s="591" t="str">
        <f>'matrik MISI 6'!J69</f>
        <v>1.20</v>
      </c>
      <c r="D990" s="592" t="str">
        <f>'matrik MISI 6'!K69</f>
        <v>xx</v>
      </c>
      <c r="E990" s="592">
        <f>'matrik MISI 6'!L69</f>
        <v>17</v>
      </c>
      <c r="F990" s="548" t="str">
        <f>'matrik MISI 6'!M69</f>
        <v>Program Peningkatan dan Pengembangan Pengelolaan Keuangan Daerah</v>
      </c>
      <c r="G990" s="548"/>
      <c r="H990" s="550"/>
      <c r="I990" s="550"/>
      <c r="J990" s="550"/>
      <c r="K990" s="551">
        <f>SUM(K991:K1004)</f>
        <v>4199953100</v>
      </c>
      <c r="L990" s="551"/>
      <c r="M990" s="551">
        <f t="shared" ref="M990:U990" si="86">SUM(M991:M1004)</f>
        <v>4587245600</v>
      </c>
      <c r="N990" s="551"/>
      <c r="O990" s="551">
        <f t="shared" si="86"/>
        <v>4731641600</v>
      </c>
      <c r="P990" s="551"/>
      <c r="Q990" s="551">
        <f t="shared" si="86"/>
        <v>4979805760</v>
      </c>
      <c r="R990" s="551"/>
      <c r="S990" s="551">
        <f t="shared" si="86"/>
        <v>5287786336</v>
      </c>
      <c r="T990" s="551"/>
      <c r="U990" s="551">
        <f t="shared" si="86"/>
        <v>5222786336</v>
      </c>
      <c r="V990" s="550"/>
      <c r="W990" s="550"/>
      <c r="X990" s="550" t="str">
        <f>'matrik MISI 6'!X69</f>
        <v>DPPKAD</v>
      </c>
    </row>
    <row r="991" spans="2:24" s="165" customFormat="1">
      <c r="B991" s="48"/>
      <c r="C991" s="56"/>
      <c r="D991" s="57"/>
      <c r="E991" s="57"/>
      <c r="F991" s="58"/>
      <c r="G991" s="58" t="s">
        <v>3075</v>
      </c>
      <c r="H991" s="161">
        <v>0.7</v>
      </c>
      <c r="I991" s="161">
        <v>0.85</v>
      </c>
      <c r="J991" s="161">
        <v>0.85</v>
      </c>
      <c r="K991" s="252">
        <v>10000000</v>
      </c>
      <c r="L991" s="161">
        <v>0.87</v>
      </c>
      <c r="M991" s="52">
        <v>15000000</v>
      </c>
      <c r="N991" s="161">
        <v>0.87</v>
      </c>
      <c r="O991" s="252">
        <v>25000000</v>
      </c>
      <c r="P991" s="161">
        <v>0.85</v>
      </c>
      <c r="Q991" s="252">
        <v>25000000</v>
      </c>
      <c r="R991" s="161">
        <v>0.85</v>
      </c>
      <c r="S991" s="252">
        <v>15000000</v>
      </c>
      <c r="T991" s="161">
        <v>0.85</v>
      </c>
      <c r="U991" s="252">
        <v>15000000</v>
      </c>
      <c r="V991" s="52"/>
      <c r="W991" s="52"/>
      <c r="X991" s="52"/>
    </row>
    <row r="992" spans="2:24" s="165" customFormat="1" ht="30">
      <c r="B992" s="48"/>
      <c r="C992" s="56"/>
      <c r="D992" s="57"/>
      <c r="E992" s="57"/>
      <c r="F992" s="58"/>
      <c r="G992" s="58" t="s">
        <v>3076</v>
      </c>
      <c r="H992" s="161">
        <v>0.7</v>
      </c>
      <c r="I992" s="161">
        <v>0.75</v>
      </c>
      <c r="J992" s="161">
        <v>0.7</v>
      </c>
      <c r="K992" s="252">
        <v>200000000</v>
      </c>
      <c r="L992" s="161">
        <v>0.75</v>
      </c>
      <c r="M992" s="252">
        <v>200000000</v>
      </c>
      <c r="N992" s="161">
        <v>0.77</v>
      </c>
      <c r="O992" s="252">
        <v>210000000</v>
      </c>
      <c r="P992" s="161">
        <v>0.77</v>
      </c>
      <c r="Q992" s="252">
        <v>210000000</v>
      </c>
      <c r="R992" s="161">
        <v>0.8</v>
      </c>
      <c r="S992" s="252">
        <v>210000000</v>
      </c>
      <c r="T992" s="161">
        <v>0.8</v>
      </c>
      <c r="U992" s="252">
        <v>210000000</v>
      </c>
      <c r="V992" s="52"/>
      <c r="W992" s="52"/>
      <c r="X992" s="52"/>
    </row>
    <row r="993" spans="2:24" s="165" customFormat="1" ht="105">
      <c r="B993" s="48"/>
      <c r="C993" s="56"/>
      <c r="D993" s="57"/>
      <c r="E993" s="57"/>
      <c r="F993" s="58"/>
      <c r="G993" s="58" t="s">
        <v>3077</v>
      </c>
      <c r="H993" s="52" t="s">
        <v>3078</v>
      </c>
      <c r="I993" s="161">
        <v>0.85</v>
      </c>
      <c r="J993" s="161">
        <v>0.7</v>
      </c>
      <c r="K993" s="252">
        <v>448565500</v>
      </c>
      <c r="L993" s="161">
        <v>0.7</v>
      </c>
      <c r="M993" s="252">
        <v>437856000</v>
      </c>
      <c r="N993" s="161">
        <v>0.7</v>
      </c>
      <c r="O993" s="252">
        <v>481641600</v>
      </c>
      <c r="P993" s="161">
        <v>0.8</v>
      </c>
      <c r="Q993" s="252">
        <v>529805760</v>
      </c>
      <c r="R993" s="161">
        <v>0.8</v>
      </c>
      <c r="S993" s="252">
        <v>582786336</v>
      </c>
      <c r="T993" s="161">
        <v>0.8</v>
      </c>
      <c r="U993" s="252">
        <v>582786336</v>
      </c>
      <c r="V993" s="52"/>
      <c r="W993" s="52"/>
      <c r="X993" s="52"/>
    </row>
    <row r="994" spans="2:24" s="165" customFormat="1" ht="30">
      <c r="B994" s="48"/>
      <c r="C994" s="56"/>
      <c r="D994" s="57"/>
      <c r="E994" s="57"/>
      <c r="F994" s="58"/>
      <c r="G994" s="58" t="s">
        <v>3079</v>
      </c>
      <c r="H994" s="161">
        <v>0.75</v>
      </c>
      <c r="I994" s="161">
        <v>0.85</v>
      </c>
      <c r="J994" s="161">
        <v>0.83</v>
      </c>
      <c r="K994" s="252">
        <v>39930000</v>
      </c>
      <c r="L994" s="161">
        <v>0.83</v>
      </c>
      <c r="M994" s="252">
        <v>40000000</v>
      </c>
      <c r="N994" s="161">
        <v>0.83</v>
      </c>
      <c r="O994" s="252">
        <v>45000000</v>
      </c>
      <c r="P994" s="161">
        <v>0.83</v>
      </c>
      <c r="Q994" s="252">
        <v>45000000</v>
      </c>
      <c r="R994" s="161">
        <v>0.83</v>
      </c>
      <c r="S994" s="252">
        <v>45000000</v>
      </c>
      <c r="T994" s="161">
        <v>0.83</v>
      </c>
      <c r="U994" s="252">
        <v>45000000</v>
      </c>
      <c r="V994" s="52"/>
      <c r="W994" s="52"/>
      <c r="X994" s="52"/>
    </row>
    <row r="995" spans="2:24" s="165" customFormat="1" ht="45">
      <c r="B995" s="48"/>
      <c r="C995" s="56"/>
      <c r="D995" s="57"/>
      <c r="E995" s="57"/>
      <c r="F995" s="58"/>
      <c r="G995" s="58" t="s">
        <v>3080</v>
      </c>
      <c r="H995" s="161">
        <v>0.98</v>
      </c>
      <c r="I995" s="161">
        <v>0.98</v>
      </c>
      <c r="J995" s="161">
        <v>0.98</v>
      </c>
      <c r="K995" s="252">
        <v>2285000000</v>
      </c>
      <c r="L995" s="161">
        <v>0.98</v>
      </c>
      <c r="M995" s="252">
        <v>2750000000</v>
      </c>
      <c r="N995" s="161">
        <v>0.98</v>
      </c>
      <c r="O995" s="252">
        <v>2800000000</v>
      </c>
      <c r="P995" s="161">
        <v>0.98</v>
      </c>
      <c r="Q995" s="252">
        <v>3000000000</v>
      </c>
      <c r="R995" s="161">
        <v>0.98</v>
      </c>
      <c r="S995" s="252">
        <v>3250000000</v>
      </c>
      <c r="T995" s="161">
        <v>0.98</v>
      </c>
      <c r="U995" s="252">
        <v>3250000000</v>
      </c>
      <c r="V995" s="52"/>
      <c r="W995" s="52"/>
      <c r="X995" s="52"/>
    </row>
    <row r="996" spans="2:24" s="165" customFormat="1" ht="30">
      <c r="B996" s="48"/>
      <c r="C996" s="56"/>
      <c r="D996" s="57"/>
      <c r="E996" s="57"/>
      <c r="F996" s="58"/>
      <c r="G996" s="58" t="s">
        <v>3081</v>
      </c>
      <c r="H996" s="161">
        <v>0.88</v>
      </c>
      <c r="I996" s="161">
        <v>0.88</v>
      </c>
      <c r="J996" s="161">
        <v>0.75</v>
      </c>
      <c r="K996" s="252">
        <v>109789600</v>
      </c>
      <c r="L996" s="161">
        <v>0.75</v>
      </c>
      <c r="M996" s="252">
        <v>109789600</v>
      </c>
      <c r="N996" s="253" t="s">
        <v>743</v>
      </c>
      <c r="O996" s="253" t="s">
        <v>743</v>
      </c>
      <c r="P996" s="253" t="s">
        <v>743</v>
      </c>
      <c r="Q996" s="253" t="s">
        <v>743</v>
      </c>
      <c r="R996" s="253" t="s">
        <v>743</v>
      </c>
      <c r="S996" s="253" t="s">
        <v>743</v>
      </c>
      <c r="T996" s="253" t="s">
        <v>743</v>
      </c>
      <c r="U996" s="253" t="s">
        <v>743</v>
      </c>
      <c r="V996" s="52"/>
      <c r="W996" s="52"/>
      <c r="X996" s="52"/>
    </row>
    <row r="997" spans="2:24" s="165" customFormat="1" ht="75">
      <c r="B997" s="48"/>
      <c r="C997" s="56"/>
      <c r="D997" s="57"/>
      <c r="E997" s="57"/>
      <c r="F997" s="58"/>
      <c r="G997" s="58" t="s">
        <v>3082</v>
      </c>
      <c r="H997" s="161">
        <v>0.78</v>
      </c>
      <c r="I997" s="161">
        <v>0.8</v>
      </c>
      <c r="J997" s="161">
        <v>0.75</v>
      </c>
      <c r="K997" s="252">
        <v>700684500</v>
      </c>
      <c r="L997" s="161">
        <v>0.78</v>
      </c>
      <c r="M997" s="252">
        <v>623600000</v>
      </c>
      <c r="N997" s="161">
        <v>0.8</v>
      </c>
      <c r="O997" s="252">
        <v>750000000</v>
      </c>
      <c r="P997" s="161">
        <v>0.83</v>
      </c>
      <c r="Q997" s="252">
        <v>750000000</v>
      </c>
      <c r="R997" s="161">
        <v>0.87</v>
      </c>
      <c r="S997" s="252">
        <v>750000000</v>
      </c>
      <c r="T997" s="161">
        <v>0.87</v>
      </c>
      <c r="U997" s="252">
        <v>750000000</v>
      </c>
      <c r="V997" s="52"/>
      <c r="W997" s="52"/>
      <c r="X997" s="52"/>
    </row>
    <row r="998" spans="2:24" s="165" customFormat="1" ht="30">
      <c r="B998" s="48"/>
      <c r="C998" s="56"/>
      <c r="D998" s="57"/>
      <c r="E998" s="57"/>
      <c r="F998" s="58"/>
      <c r="G998" s="58" t="s">
        <v>3083</v>
      </c>
      <c r="H998" s="161">
        <v>0.94</v>
      </c>
      <c r="I998" s="161">
        <v>1</v>
      </c>
      <c r="J998" s="161">
        <v>0.93</v>
      </c>
      <c r="K998" s="252">
        <v>44825000</v>
      </c>
      <c r="L998" s="161">
        <v>0.93</v>
      </c>
      <c r="M998" s="252">
        <v>40000000</v>
      </c>
      <c r="N998" s="161">
        <v>0.95</v>
      </c>
      <c r="O998" s="252">
        <v>50000000</v>
      </c>
      <c r="P998" s="161">
        <v>0.98</v>
      </c>
      <c r="Q998" s="252">
        <v>50000000</v>
      </c>
      <c r="R998" s="161">
        <v>0.98</v>
      </c>
      <c r="S998" s="252">
        <v>50000000</v>
      </c>
      <c r="T998" s="161">
        <v>0.98</v>
      </c>
      <c r="U998" s="252">
        <v>50000000</v>
      </c>
      <c r="V998" s="52"/>
      <c r="W998" s="52"/>
      <c r="X998" s="52"/>
    </row>
    <row r="999" spans="2:24" s="165" customFormat="1" ht="105">
      <c r="B999" s="48"/>
      <c r="C999" s="56"/>
      <c r="D999" s="57"/>
      <c r="E999" s="57"/>
      <c r="F999" s="58"/>
      <c r="G999" s="58" t="s">
        <v>3084</v>
      </c>
      <c r="H999" s="161">
        <v>0.56000000000000005</v>
      </c>
      <c r="I999" s="52">
        <v>80</v>
      </c>
      <c r="J999" s="161">
        <v>0.6</v>
      </c>
      <c r="K999" s="252">
        <v>25000000</v>
      </c>
      <c r="L999" s="161">
        <v>0.6</v>
      </c>
      <c r="M999" s="252">
        <v>30000000</v>
      </c>
      <c r="N999" s="161">
        <v>0.65</v>
      </c>
      <c r="O999" s="252">
        <v>30000000</v>
      </c>
      <c r="P999" s="161">
        <v>0.65</v>
      </c>
      <c r="Q999" s="252">
        <v>30000000</v>
      </c>
      <c r="R999" s="161">
        <v>0.67</v>
      </c>
      <c r="S999" s="252">
        <v>30000000</v>
      </c>
      <c r="T999" s="161">
        <v>0.67</v>
      </c>
      <c r="U999" s="252">
        <v>30000000</v>
      </c>
      <c r="V999" s="52"/>
      <c r="W999" s="52"/>
      <c r="X999" s="52"/>
    </row>
    <row r="1000" spans="2:24" s="165" customFormat="1" ht="60">
      <c r="B1000" s="48"/>
      <c r="C1000" s="56"/>
      <c r="D1000" s="57"/>
      <c r="E1000" s="57"/>
      <c r="F1000" s="58"/>
      <c r="G1000" s="58" t="s">
        <v>3085</v>
      </c>
      <c r="H1000" s="161">
        <v>0.5</v>
      </c>
      <c r="I1000" s="161">
        <v>0.75</v>
      </c>
      <c r="J1000" s="161">
        <v>0.5</v>
      </c>
      <c r="K1000" s="252">
        <v>10000000</v>
      </c>
      <c r="L1000" s="161">
        <v>0.5</v>
      </c>
      <c r="M1000" s="252">
        <v>18000000</v>
      </c>
      <c r="N1000" s="161">
        <v>0.5</v>
      </c>
      <c r="O1000" s="252">
        <v>20000000</v>
      </c>
      <c r="P1000" s="161">
        <v>0.5</v>
      </c>
      <c r="Q1000" s="252">
        <v>25000000</v>
      </c>
      <c r="R1000" s="161">
        <v>0.5</v>
      </c>
      <c r="S1000" s="252">
        <v>30000000</v>
      </c>
      <c r="T1000" s="161">
        <v>0.5</v>
      </c>
      <c r="U1000" s="252">
        <v>30000000</v>
      </c>
      <c r="V1000" s="52"/>
      <c r="W1000" s="52"/>
      <c r="X1000" s="52"/>
    </row>
    <row r="1001" spans="2:24" s="165" customFormat="1">
      <c r="B1001" s="48"/>
      <c r="C1001" s="56"/>
      <c r="D1001" s="57"/>
      <c r="E1001" s="57"/>
      <c r="F1001" s="58"/>
      <c r="G1001" s="58" t="s">
        <v>3086</v>
      </c>
      <c r="H1001" s="161">
        <v>0.45</v>
      </c>
      <c r="I1001" s="161">
        <v>0.8</v>
      </c>
      <c r="J1001" s="161">
        <v>0.5</v>
      </c>
      <c r="K1001" s="252">
        <v>49773500</v>
      </c>
      <c r="L1001" s="161">
        <v>0.5</v>
      </c>
      <c r="M1001" s="252">
        <v>58000000</v>
      </c>
      <c r="N1001" s="161">
        <v>0.54</v>
      </c>
      <c r="O1001" s="252">
        <v>55000000</v>
      </c>
      <c r="P1001" s="161">
        <v>0.63</v>
      </c>
      <c r="Q1001" s="252">
        <v>50000000</v>
      </c>
      <c r="R1001" s="161">
        <v>0.63</v>
      </c>
      <c r="S1001" s="252">
        <v>50000000</v>
      </c>
      <c r="T1001" s="161">
        <v>0.63</v>
      </c>
      <c r="U1001" s="252">
        <v>50000000</v>
      </c>
      <c r="V1001" s="52"/>
      <c r="W1001" s="52"/>
      <c r="X1001" s="52"/>
    </row>
    <row r="1002" spans="2:24" s="165" customFormat="1" ht="45">
      <c r="B1002" s="48"/>
      <c r="C1002" s="56"/>
      <c r="D1002" s="57"/>
      <c r="E1002" s="57"/>
      <c r="F1002" s="58"/>
      <c r="G1002" s="58" t="s">
        <v>3087</v>
      </c>
      <c r="H1002" s="161">
        <v>0.45</v>
      </c>
      <c r="I1002" s="161">
        <v>0.75</v>
      </c>
      <c r="J1002" s="161">
        <v>0.6</v>
      </c>
      <c r="K1002" s="252">
        <v>126385000</v>
      </c>
      <c r="L1002" s="161">
        <v>0.6</v>
      </c>
      <c r="M1002" s="252">
        <v>110000000</v>
      </c>
      <c r="N1002" s="161">
        <v>0.63</v>
      </c>
      <c r="O1002" s="252">
        <v>100000000</v>
      </c>
      <c r="P1002" s="161">
        <v>0.68</v>
      </c>
      <c r="Q1002" s="252">
        <v>100000000</v>
      </c>
      <c r="R1002" s="161">
        <v>0.68</v>
      </c>
      <c r="S1002" s="252">
        <v>100000000</v>
      </c>
      <c r="T1002" s="161">
        <v>0.68</v>
      </c>
      <c r="U1002" s="252">
        <v>90000000</v>
      </c>
      <c r="V1002" s="52"/>
      <c r="W1002" s="52"/>
      <c r="X1002" s="52"/>
    </row>
    <row r="1003" spans="2:24" s="165" customFormat="1" ht="60">
      <c r="B1003" s="48"/>
      <c r="C1003" s="56"/>
      <c r="D1003" s="57"/>
      <c r="E1003" s="57"/>
      <c r="F1003" s="58"/>
      <c r="G1003" s="270" t="s">
        <v>4668</v>
      </c>
      <c r="H1003" s="161"/>
      <c r="I1003" s="161"/>
      <c r="J1003" s="161"/>
      <c r="K1003" s="742">
        <v>40000000</v>
      </c>
      <c r="L1003" s="161"/>
      <c r="M1003" s="742">
        <v>45000000</v>
      </c>
      <c r="N1003" s="161"/>
      <c r="O1003" s="742">
        <v>50000000</v>
      </c>
      <c r="P1003" s="161"/>
      <c r="Q1003" s="742">
        <v>50000000</v>
      </c>
      <c r="R1003" s="161"/>
      <c r="S1003" s="742">
        <v>55000000</v>
      </c>
      <c r="T1003" s="161"/>
      <c r="U1003" s="742"/>
      <c r="V1003" s="52"/>
      <c r="W1003" s="52"/>
      <c r="X1003" s="51" t="s">
        <v>4671</v>
      </c>
    </row>
    <row r="1004" spans="2:24" s="165" customFormat="1" ht="75">
      <c r="B1004" s="48"/>
      <c r="C1004" s="56"/>
      <c r="D1004" s="57"/>
      <c r="E1004" s="57"/>
      <c r="F1004" s="58"/>
      <c r="G1004" s="270" t="s">
        <v>3201</v>
      </c>
      <c r="H1004" s="161">
        <v>1</v>
      </c>
      <c r="I1004" s="164" t="s">
        <v>3202</v>
      </c>
      <c r="J1004" s="164" t="s">
        <v>3203</v>
      </c>
      <c r="K1004" s="251">
        <v>110000000</v>
      </c>
      <c r="L1004" s="164" t="s">
        <v>3204</v>
      </c>
      <c r="M1004" s="251">
        <v>110000000</v>
      </c>
      <c r="N1004" s="164" t="s">
        <v>3205</v>
      </c>
      <c r="O1004" s="251">
        <v>115000000</v>
      </c>
      <c r="P1004" s="164" t="s">
        <v>3206</v>
      </c>
      <c r="Q1004" s="251">
        <v>115000000</v>
      </c>
      <c r="R1004" s="164" t="s">
        <v>3207</v>
      </c>
      <c r="S1004" s="251">
        <v>120000000</v>
      </c>
      <c r="T1004" s="164" t="s">
        <v>3207</v>
      </c>
      <c r="U1004" s="251">
        <v>120000000</v>
      </c>
      <c r="V1004" s="52"/>
      <c r="W1004" s="52"/>
      <c r="X1004" s="52"/>
    </row>
    <row r="1005" spans="2:24" s="165" customFormat="1">
      <c r="B1005" s="48"/>
      <c r="C1005" s="56"/>
      <c r="D1005" s="57"/>
      <c r="E1005" s="57"/>
      <c r="F1005" s="58"/>
      <c r="H1005" s="161"/>
      <c r="I1005" s="164"/>
      <c r="J1005" s="164"/>
      <c r="K1005" s="741"/>
      <c r="L1005" s="164"/>
      <c r="M1005" s="741"/>
      <c r="N1005" s="164"/>
      <c r="O1005" s="741"/>
      <c r="P1005" s="164"/>
      <c r="Q1005" s="741"/>
      <c r="R1005" s="164"/>
      <c r="S1005" s="741"/>
      <c r="T1005" s="164"/>
      <c r="U1005" s="741"/>
      <c r="V1005" s="52"/>
      <c r="W1005" s="52"/>
      <c r="X1005" s="52"/>
    </row>
    <row r="1006" spans="2:24" s="540" customFormat="1" ht="105">
      <c r="B1006" s="545"/>
      <c r="C1006" s="591" t="str">
        <f>'matrik MISI 6'!J70</f>
        <v>1.20</v>
      </c>
      <c r="D1006" s="592" t="str">
        <f>'matrik MISI 6'!K70</f>
        <v>xx</v>
      </c>
      <c r="E1006" s="592">
        <f>'matrik MISI 6'!L70</f>
        <v>18</v>
      </c>
      <c r="F1006" s="548" t="str">
        <f>'matrik MISI 6'!M70</f>
        <v xml:space="preserve">Program Pembinaan dan Fasilitasi Pengelolaan Keuangan Kabupaten/Kota </v>
      </c>
      <c r="G1006" s="548"/>
      <c r="H1006" s="550"/>
      <c r="I1006" s="550"/>
      <c r="J1006" s="550"/>
      <c r="K1006" s="551">
        <f>SUM(K1007:K1017)</f>
        <v>664183500</v>
      </c>
      <c r="L1006" s="551"/>
      <c r="M1006" s="551">
        <f t="shared" ref="M1006:U1006" si="87">SUM(M1007:M1017)</f>
        <v>1117966000</v>
      </c>
      <c r="N1006" s="551"/>
      <c r="O1006" s="551">
        <f t="shared" si="87"/>
        <v>1093236000.8699999</v>
      </c>
      <c r="P1006" s="551"/>
      <c r="Q1006" s="551">
        <f t="shared" si="87"/>
        <v>1171059600.8699999</v>
      </c>
      <c r="R1006" s="551"/>
      <c r="S1006" s="551">
        <f t="shared" si="87"/>
        <v>1334780560.9000001</v>
      </c>
      <c r="T1006" s="551"/>
      <c r="U1006" s="551">
        <f t="shared" si="87"/>
        <v>940055562.73000002</v>
      </c>
      <c r="V1006" s="550"/>
      <c r="W1006" s="550"/>
      <c r="X1006" s="550" t="str">
        <f>'matrik MISI 6'!X70</f>
        <v>DPPKAD</v>
      </c>
    </row>
    <row r="1007" spans="2:24" s="165" customFormat="1" ht="60">
      <c r="B1007" s="48"/>
      <c r="C1007" s="56"/>
      <c r="D1007" s="57"/>
      <c r="E1007" s="57"/>
      <c r="F1007" s="58"/>
      <c r="G1007" s="58" t="s">
        <v>3088</v>
      </c>
      <c r="H1007" s="161">
        <v>0.68</v>
      </c>
      <c r="I1007" s="161">
        <v>0.87</v>
      </c>
      <c r="J1007" s="161">
        <v>0.77</v>
      </c>
      <c r="K1007" s="252">
        <v>224808500</v>
      </c>
      <c r="L1007" s="161">
        <v>0.85</v>
      </c>
      <c r="M1007" s="252">
        <v>225000000</v>
      </c>
      <c r="N1007" s="161">
        <v>0.87</v>
      </c>
      <c r="O1007" s="252">
        <v>325000000</v>
      </c>
      <c r="P1007" s="161">
        <v>0.87</v>
      </c>
      <c r="Q1007" s="252">
        <v>330500000</v>
      </c>
      <c r="R1007" s="161">
        <v>0.89</v>
      </c>
      <c r="S1007" s="252">
        <v>400000000</v>
      </c>
      <c r="T1007" s="161">
        <v>0.89</v>
      </c>
      <c r="U1007" s="252">
        <v>375000000</v>
      </c>
      <c r="V1007" s="52"/>
      <c r="W1007" s="52"/>
      <c r="X1007" s="52"/>
    </row>
    <row r="1008" spans="2:24" s="165" customFormat="1">
      <c r="B1008" s="48"/>
      <c r="C1008" s="56"/>
      <c r="D1008" s="57"/>
      <c r="E1008" s="57"/>
      <c r="F1008" s="58"/>
      <c r="G1008" s="58" t="s">
        <v>3089</v>
      </c>
      <c r="H1008" s="176" t="s">
        <v>743</v>
      </c>
      <c r="I1008" s="176" t="s">
        <v>743</v>
      </c>
      <c r="J1008" s="52"/>
      <c r="K1008" s="52"/>
      <c r="L1008" s="161">
        <v>0.8</v>
      </c>
      <c r="M1008" s="252">
        <v>75000000</v>
      </c>
      <c r="N1008" s="161">
        <v>0.8</v>
      </c>
      <c r="O1008" s="252">
        <v>120000000</v>
      </c>
      <c r="P1008" s="161">
        <v>0.86</v>
      </c>
      <c r="Q1008" s="252">
        <v>150000000</v>
      </c>
      <c r="R1008" s="161">
        <v>0.86</v>
      </c>
      <c r="S1008" s="252">
        <v>175000000</v>
      </c>
      <c r="T1008" s="161">
        <v>0.86</v>
      </c>
      <c r="U1008" s="252">
        <v>175000000</v>
      </c>
      <c r="V1008" s="52"/>
      <c r="W1008" s="52"/>
      <c r="X1008" s="52"/>
    </row>
    <row r="1009" spans="2:24" s="165" customFormat="1" ht="165">
      <c r="B1009" s="48"/>
      <c r="C1009" s="56"/>
      <c r="D1009" s="57"/>
      <c r="E1009" s="57"/>
      <c r="F1009" s="58"/>
      <c r="G1009" s="58" t="s">
        <v>3090</v>
      </c>
      <c r="H1009" s="52" t="s">
        <v>3091</v>
      </c>
      <c r="I1009" s="52" t="s">
        <v>3091</v>
      </c>
      <c r="J1009" s="52">
        <v>100</v>
      </c>
      <c r="K1009" s="252">
        <v>81475000</v>
      </c>
      <c r="L1009" s="52"/>
      <c r="M1009" s="252">
        <v>149986000</v>
      </c>
      <c r="N1009" s="52" t="s">
        <v>3091</v>
      </c>
      <c r="O1009" s="252">
        <v>157236000</v>
      </c>
      <c r="P1009" s="52" t="s">
        <v>3091</v>
      </c>
      <c r="Q1009" s="252">
        <v>172959600</v>
      </c>
      <c r="R1009" s="52" t="s">
        <v>3091</v>
      </c>
      <c r="S1009" s="252">
        <v>200255560</v>
      </c>
      <c r="T1009" s="52" t="s">
        <v>3091</v>
      </c>
      <c r="U1009" s="252">
        <v>190255560</v>
      </c>
      <c r="V1009" s="52"/>
      <c r="W1009" s="52"/>
      <c r="X1009" s="52"/>
    </row>
    <row r="1010" spans="2:24" s="165" customFormat="1" ht="90">
      <c r="B1010" s="48"/>
      <c r="C1010" s="56"/>
      <c r="D1010" s="57"/>
      <c r="E1010" s="57"/>
      <c r="F1010" s="58"/>
      <c r="G1010" s="58" t="s">
        <v>3092</v>
      </c>
      <c r="H1010" s="52" t="s">
        <v>3093</v>
      </c>
      <c r="I1010" s="191">
        <v>0.83099999999999996</v>
      </c>
      <c r="J1010" s="161">
        <v>0.95</v>
      </c>
      <c r="K1010" s="252">
        <v>200000000</v>
      </c>
      <c r="L1010" s="161">
        <v>0.95</v>
      </c>
      <c r="M1010" s="252">
        <v>193090000</v>
      </c>
      <c r="N1010" s="161">
        <v>0.87</v>
      </c>
      <c r="O1010" s="252">
        <v>250000000</v>
      </c>
      <c r="P1010" s="161">
        <v>0.88</v>
      </c>
      <c r="Q1010" s="252">
        <v>275000000</v>
      </c>
      <c r="R1010" s="161">
        <v>0.88</v>
      </c>
      <c r="S1010" s="252">
        <v>275000000</v>
      </c>
      <c r="T1010" s="161">
        <v>0.88</v>
      </c>
      <c r="U1010" s="161">
        <v>0.88</v>
      </c>
      <c r="V1010" s="252">
        <v>350000000</v>
      </c>
      <c r="W1010" s="52"/>
      <c r="X1010" s="52"/>
    </row>
    <row r="1011" spans="2:24" s="165" customFormat="1" ht="90">
      <c r="B1011" s="48"/>
      <c r="C1011" s="56"/>
      <c r="D1011" s="57"/>
      <c r="E1011" s="57"/>
      <c r="F1011" s="58"/>
      <c r="G1011" s="58" t="s">
        <v>3094</v>
      </c>
      <c r="H1011" s="52" t="s">
        <v>3095</v>
      </c>
      <c r="I1011" s="191">
        <v>0.95520000000000005</v>
      </c>
      <c r="J1011" s="176" t="s">
        <v>743</v>
      </c>
      <c r="K1011" s="176" t="s">
        <v>743</v>
      </c>
      <c r="L1011" s="176" t="s">
        <v>743</v>
      </c>
      <c r="M1011" s="176" t="s">
        <v>743</v>
      </c>
      <c r="N1011" s="176" t="s">
        <v>743</v>
      </c>
      <c r="O1011" s="161">
        <v>0.87</v>
      </c>
      <c r="P1011" s="252">
        <v>100000000</v>
      </c>
      <c r="Q1011" s="161">
        <v>0.87</v>
      </c>
      <c r="R1011" s="252">
        <v>125000000</v>
      </c>
      <c r="S1011" s="161">
        <v>0.9</v>
      </c>
      <c r="T1011" s="252">
        <v>125000000</v>
      </c>
      <c r="U1011" s="161">
        <v>0.9</v>
      </c>
      <c r="V1011" s="252">
        <v>1750000000</v>
      </c>
      <c r="W1011" s="52"/>
      <c r="X1011" s="52"/>
    </row>
    <row r="1012" spans="2:24" s="165" customFormat="1" ht="120">
      <c r="B1012" s="48"/>
      <c r="C1012" s="56"/>
      <c r="D1012" s="57"/>
      <c r="E1012" s="57"/>
      <c r="F1012" s="58"/>
      <c r="G1012" s="58" t="s">
        <v>3096</v>
      </c>
      <c r="H1012" s="52" t="s">
        <v>3097</v>
      </c>
      <c r="I1012" s="52" t="s">
        <v>3098</v>
      </c>
      <c r="J1012" s="176" t="s">
        <v>743</v>
      </c>
      <c r="K1012" s="176" t="s">
        <v>743</v>
      </c>
      <c r="L1012" s="176" t="s">
        <v>743</v>
      </c>
      <c r="M1012" s="176" t="s">
        <v>743</v>
      </c>
      <c r="N1012" s="176" t="s">
        <v>743</v>
      </c>
      <c r="O1012" s="176" t="s">
        <v>743</v>
      </c>
      <c r="P1012" s="176" t="s">
        <v>743</v>
      </c>
      <c r="Q1012" s="176" t="s">
        <v>743</v>
      </c>
      <c r="R1012" s="176" t="s">
        <v>743</v>
      </c>
      <c r="S1012" s="176" t="s">
        <v>743</v>
      </c>
      <c r="T1012" s="176" t="s">
        <v>743</v>
      </c>
      <c r="U1012" s="176" t="s">
        <v>743</v>
      </c>
      <c r="V1012" s="176" t="s">
        <v>743</v>
      </c>
      <c r="W1012" s="52"/>
      <c r="X1012" s="52"/>
    </row>
    <row r="1013" spans="2:24" s="165" customFormat="1" ht="90">
      <c r="B1013" s="48"/>
      <c r="C1013" s="56"/>
      <c r="D1013" s="57"/>
      <c r="E1013" s="57"/>
      <c r="F1013" s="58"/>
      <c r="G1013" s="58" t="s">
        <v>3099</v>
      </c>
      <c r="H1013" s="52" t="s">
        <v>3100</v>
      </c>
      <c r="I1013" s="176" t="s">
        <v>743</v>
      </c>
      <c r="J1013" s="161">
        <v>0.83</v>
      </c>
      <c r="K1013" s="742">
        <v>20000000</v>
      </c>
      <c r="L1013" s="252"/>
      <c r="M1013" s="742">
        <v>19890000</v>
      </c>
      <c r="N1013" s="252"/>
      <c r="O1013" s="742">
        <v>25000000</v>
      </c>
      <c r="P1013" s="252"/>
      <c r="Q1013" s="742">
        <v>30000000</v>
      </c>
      <c r="R1013" s="252"/>
      <c r="S1013" s="742">
        <v>30000000</v>
      </c>
      <c r="T1013" s="252"/>
      <c r="U1013" s="161"/>
      <c r="V1013" s="252">
        <v>40000000</v>
      </c>
      <c r="W1013" s="52"/>
      <c r="X1013" s="52"/>
    </row>
    <row r="1014" spans="2:24" s="165" customFormat="1" ht="300">
      <c r="B1014" s="48"/>
      <c r="C1014" s="56"/>
      <c r="D1014" s="57"/>
      <c r="E1014" s="57"/>
      <c r="F1014" s="58"/>
      <c r="G1014" s="58" t="s">
        <v>3101</v>
      </c>
      <c r="H1014" s="52" t="s">
        <v>3102</v>
      </c>
      <c r="I1014" s="161">
        <v>0.83</v>
      </c>
      <c r="J1014" s="161">
        <v>0.95</v>
      </c>
      <c r="K1014" s="252">
        <v>80000000</v>
      </c>
      <c r="L1014" s="161">
        <v>0.87</v>
      </c>
      <c r="M1014" s="252">
        <v>80000000</v>
      </c>
      <c r="N1014" s="161">
        <v>0.87</v>
      </c>
      <c r="O1014" s="252">
        <v>100000000</v>
      </c>
      <c r="P1014" s="161">
        <v>0.89</v>
      </c>
      <c r="Q1014" s="252">
        <v>120000000</v>
      </c>
      <c r="R1014" s="161">
        <v>0.89</v>
      </c>
      <c r="S1014" s="252">
        <v>120000000</v>
      </c>
      <c r="T1014" s="161">
        <v>0.89</v>
      </c>
      <c r="U1014" s="259">
        <f>S1014</f>
        <v>120000000</v>
      </c>
      <c r="V1014" s="252">
        <v>160000000</v>
      </c>
      <c r="W1014" s="52"/>
      <c r="X1014" s="52"/>
    </row>
    <row r="1015" spans="2:24" s="165" customFormat="1" ht="75">
      <c r="B1015" s="48"/>
      <c r="C1015" s="56"/>
      <c r="D1015" s="57"/>
      <c r="E1015" s="57"/>
      <c r="F1015" s="58"/>
      <c r="G1015" s="58" t="s">
        <v>3103</v>
      </c>
      <c r="H1015" s="52" t="s">
        <v>3104</v>
      </c>
      <c r="I1015" s="176" t="s">
        <v>743</v>
      </c>
      <c r="J1015" s="176" t="s">
        <v>743</v>
      </c>
      <c r="K1015" s="176" t="s">
        <v>743</v>
      </c>
      <c r="L1015" s="176" t="s">
        <v>743</v>
      </c>
      <c r="M1015" s="252">
        <v>15000000</v>
      </c>
      <c r="O1015" s="252">
        <v>50000000</v>
      </c>
      <c r="Q1015" s="252">
        <v>20000000</v>
      </c>
      <c r="S1015" s="252">
        <f>20000000+34725000</f>
        <v>54725000</v>
      </c>
      <c r="U1015" s="161">
        <v>0.95</v>
      </c>
      <c r="V1015" s="252">
        <v>25000000</v>
      </c>
      <c r="W1015" s="52"/>
      <c r="X1015" s="52"/>
    </row>
    <row r="1016" spans="2:24" s="165" customFormat="1" ht="90">
      <c r="B1016" s="48"/>
      <c r="C1016" s="56"/>
      <c r="D1016" s="57"/>
      <c r="E1016" s="57"/>
      <c r="F1016" s="58"/>
      <c r="G1016" s="58" t="s">
        <v>3105</v>
      </c>
      <c r="H1016" s="52" t="s">
        <v>3106</v>
      </c>
      <c r="I1016" s="176" t="s">
        <v>743</v>
      </c>
      <c r="J1016" s="176" t="s">
        <v>743</v>
      </c>
      <c r="K1016" s="176" t="s">
        <v>743</v>
      </c>
      <c r="L1016" s="161">
        <v>0.93</v>
      </c>
      <c r="M1016" s="252">
        <v>300000000</v>
      </c>
      <c r="N1016" s="252"/>
      <c r="O1016" s="176" t="s">
        <v>743</v>
      </c>
      <c r="P1016" s="176" t="s">
        <v>743</v>
      </c>
      <c r="Q1016" s="176" t="s">
        <v>743</v>
      </c>
      <c r="R1016" s="176" t="s">
        <v>743</v>
      </c>
      <c r="S1016" s="176" t="s">
        <v>743</v>
      </c>
      <c r="T1016" s="176" t="s">
        <v>743</v>
      </c>
      <c r="U1016" s="176" t="s">
        <v>743</v>
      </c>
      <c r="V1016" s="176" t="s">
        <v>743</v>
      </c>
      <c r="W1016" s="52"/>
      <c r="X1016" s="52"/>
    </row>
    <row r="1017" spans="2:24" s="165" customFormat="1" ht="105">
      <c r="B1017" s="48"/>
      <c r="C1017" s="56"/>
      <c r="D1017" s="57"/>
      <c r="E1017" s="57"/>
      <c r="F1017" s="58"/>
      <c r="G1017" s="58" t="s">
        <v>3117</v>
      </c>
      <c r="H1017" s="52" t="s">
        <v>3112</v>
      </c>
      <c r="I1017" s="161">
        <v>1</v>
      </c>
      <c r="J1017" s="161">
        <v>1</v>
      </c>
      <c r="K1017" s="260">
        <v>57900000</v>
      </c>
      <c r="L1017" s="161">
        <v>1</v>
      </c>
      <c r="M1017" s="260">
        <v>60000000</v>
      </c>
      <c r="N1017" s="161">
        <v>1</v>
      </c>
      <c r="O1017" s="260">
        <v>66000000</v>
      </c>
      <c r="P1017" s="161">
        <v>1</v>
      </c>
      <c r="Q1017" s="260">
        <v>72600000</v>
      </c>
      <c r="R1017" s="161">
        <v>1</v>
      </c>
      <c r="S1017" s="260">
        <v>79800000</v>
      </c>
      <c r="T1017" s="161">
        <v>1</v>
      </c>
      <c r="U1017" s="260">
        <v>79800000</v>
      </c>
      <c r="V1017" s="176"/>
      <c r="W1017" s="52"/>
      <c r="X1017" s="52"/>
    </row>
    <row r="1018" spans="2:24" s="540" customFormat="1" ht="75">
      <c r="B1018" s="545"/>
      <c r="C1018" s="591" t="str">
        <f>'matrik MISI 6'!J64</f>
        <v>1.20</v>
      </c>
      <c r="D1018" s="592" t="str">
        <f>'matrik MISI 6'!K64</f>
        <v>xx</v>
      </c>
      <c r="E1018" s="592">
        <f>'matrik MISI 6'!L64</f>
        <v>19</v>
      </c>
      <c r="F1018" s="548" t="str">
        <f>'matrik MISI 6'!M64</f>
        <v>Program Pembinaan dan Fasilitasi Pengelolaan Keuangan Desa</v>
      </c>
      <c r="G1018" s="548"/>
      <c r="H1018" s="550"/>
      <c r="I1018" s="550"/>
      <c r="J1018" s="550"/>
      <c r="K1018" s="603">
        <f>SUM(K1019:K1022)</f>
        <v>233300000</v>
      </c>
      <c r="L1018" s="603">
        <f t="shared" ref="L1018:U1018" si="88">SUM(L1019:L1022)</f>
        <v>0</v>
      </c>
      <c r="M1018" s="603">
        <f t="shared" si="88"/>
        <v>255000000</v>
      </c>
      <c r="N1018" s="603">
        <f t="shared" si="88"/>
        <v>0</v>
      </c>
      <c r="O1018" s="603">
        <f t="shared" si="88"/>
        <v>265000000</v>
      </c>
      <c r="P1018" s="603">
        <f t="shared" si="88"/>
        <v>0</v>
      </c>
      <c r="Q1018" s="603">
        <f t="shared" si="88"/>
        <v>275000000</v>
      </c>
      <c r="R1018" s="603">
        <f t="shared" si="88"/>
        <v>0</v>
      </c>
      <c r="S1018" s="603">
        <f t="shared" si="88"/>
        <v>215000000</v>
      </c>
      <c r="T1018" s="603">
        <f t="shared" si="88"/>
        <v>0</v>
      </c>
      <c r="U1018" s="603">
        <f t="shared" si="88"/>
        <v>215000000</v>
      </c>
      <c r="V1018" s="550"/>
      <c r="W1018" s="550"/>
      <c r="X1018" s="550" t="str">
        <f>'matrik MISI 6'!X64</f>
        <v>Bagian Pemerintahan Desa Setda dan Kecamatan</v>
      </c>
    </row>
    <row r="1019" spans="2:24" s="165" customFormat="1" ht="60">
      <c r="B1019" s="48"/>
      <c r="C1019" s="56"/>
      <c r="D1019" s="57"/>
      <c r="E1019" s="57"/>
      <c r="F1019" s="58"/>
      <c r="G1019" s="58" t="s">
        <v>3107</v>
      </c>
      <c r="H1019" s="52" t="s">
        <v>3108</v>
      </c>
      <c r="I1019" s="52" t="s">
        <v>3108</v>
      </c>
      <c r="J1019" s="52" t="s">
        <v>3108</v>
      </c>
      <c r="K1019" s="251">
        <v>73300000</v>
      </c>
      <c r="L1019" s="52" t="s">
        <v>3108</v>
      </c>
      <c r="M1019" s="251">
        <v>85000000</v>
      </c>
      <c r="N1019" s="52" t="s">
        <v>3108</v>
      </c>
      <c r="O1019" s="251">
        <v>85000000</v>
      </c>
      <c r="P1019" s="52" t="s">
        <v>3108</v>
      </c>
      <c r="Q1019" s="251">
        <v>85000000</v>
      </c>
      <c r="R1019" s="52" t="s">
        <v>3108</v>
      </c>
      <c r="S1019" s="251">
        <v>85000000</v>
      </c>
      <c r="T1019" s="52" t="s">
        <v>3108</v>
      </c>
      <c r="U1019" s="251">
        <v>85000000</v>
      </c>
      <c r="V1019" s="52"/>
      <c r="W1019" s="52"/>
      <c r="X1019" s="52"/>
    </row>
    <row r="1020" spans="2:24" s="165" customFormat="1" ht="30">
      <c r="B1020" s="48"/>
      <c r="C1020" s="56"/>
      <c r="D1020" s="57"/>
      <c r="E1020" s="57"/>
      <c r="F1020" s="58"/>
      <c r="G1020" s="58" t="s">
        <v>3109</v>
      </c>
      <c r="H1020" s="52" t="s">
        <v>3108</v>
      </c>
      <c r="I1020" s="52" t="s">
        <v>3108</v>
      </c>
      <c r="J1020" s="52" t="s">
        <v>3108</v>
      </c>
      <c r="K1020" s="251"/>
      <c r="L1020" s="52" t="s">
        <v>3108</v>
      </c>
      <c r="M1020" s="251"/>
      <c r="N1020" s="52" t="s">
        <v>3108</v>
      </c>
      <c r="O1020" s="251"/>
      <c r="P1020" s="52" t="s">
        <v>3108</v>
      </c>
      <c r="Q1020" s="251"/>
      <c r="R1020" s="52" t="s">
        <v>3108</v>
      </c>
      <c r="S1020" s="251"/>
      <c r="T1020" s="52" t="s">
        <v>3108</v>
      </c>
      <c r="U1020" s="251"/>
      <c r="V1020" s="52"/>
      <c r="W1020" s="52"/>
      <c r="X1020" s="52"/>
    </row>
    <row r="1021" spans="2:24" s="165" customFormat="1" ht="60">
      <c r="B1021" s="48"/>
      <c r="C1021" s="56"/>
      <c r="D1021" s="57"/>
      <c r="E1021" s="57"/>
      <c r="F1021" s="58"/>
      <c r="G1021" s="58" t="s">
        <v>3590</v>
      </c>
      <c r="H1021" s="52" t="s">
        <v>3591</v>
      </c>
      <c r="I1021" s="52" t="s">
        <v>3592</v>
      </c>
      <c r="J1021" s="52" t="s">
        <v>3592</v>
      </c>
      <c r="K1021" s="260">
        <v>50000000</v>
      </c>
      <c r="L1021" s="52" t="s">
        <v>3592</v>
      </c>
      <c r="M1021" s="260">
        <v>55000000</v>
      </c>
      <c r="N1021" s="52" t="s">
        <v>3592</v>
      </c>
      <c r="O1021" s="260">
        <v>60000000</v>
      </c>
      <c r="P1021" s="52" t="s">
        <v>3592</v>
      </c>
      <c r="Q1021" s="260">
        <v>65000000</v>
      </c>
      <c r="R1021" s="52" t="s">
        <v>3592</v>
      </c>
      <c r="S1021" s="260">
        <v>70000000</v>
      </c>
      <c r="T1021" s="52" t="s">
        <v>3592</v>
      </c>
      <c r="U1021" s="260">
        <v>70000000</v>
      </c>
      <c r="V1021" s="52"/>
      <c r="W1021" s="52"/>
      <c r="X1021" s="52"/>
    </row>
    <row r="1022" spans="2:24" s="165" customFormat="1" ht="30">
      <c r="B1022" s="48"/>
      <c r="C1022" s="56"/>
      <c r="D1022" s="57"/>
      <c r="E1022" s="57"/>
      <c r="F1022" s="58"/>
      <c r="G1022" s="58" t="s">
        <v>1667</v>
      </c>
      <c r="H1022" s="260" t="s">
        <v>3320</v>
      </c>
      <c r="I1022" s="260" t="s">
        <v>3320</v>
      </c>
      <c r="J1022" s="260" t="s">
        <v>3593</v>
      </c>
      <c r="K1022" s="260">
        <v>110000000</v>
      </c>
      <c r="L1022" s="260" t="s">
        <v>3593</v>
      </c>
      <c r="M1022" s="260">
        <v>115000000</v>
      </c>
      <c r="N1022" s="260" t="s">
        <v>3593</v>
      </c>
      <c r="O1022" s="260">
        <v>120000000</v>
      </c>
      <c r="P1022" s="260" t="s">
        <v>3593</v>
      </c>
      <c r="Q1022" s="260">
        <v>125000000</v>
      </c>
      <c r="R1022" s="260" t="s">
        <v>3320</v>
      </c>
      <c r="S1022" s="260">
        <v>60000000</v>
      </c>
      <c r="T1022" s="260" t="s">
        <v>3320</v>
      </c>
      <c r="U1022" s="260">
        <v>60000000</v>
      </c>
      <c r="V1022" s="52"/>
      <c r="W1022" s="52"/>
      <c r="X1022" s="52"/>
    </row>
    <row r="1023" spans="2:24" s="540" customFormat="1" ht="135">
      <c r="B1023" s="545"/>
      <c r="C1023" s="591" t="str">
        <f>'matrik MISI 6'!J51</f>
        <v>1.20</v>
      </c>
      <c r="D1023" s="592" t="str">
        <f>'matrik MISI 6'!K51</f>
        <v>xx</v>
      </c>
      <c r="E1023" s="592">
        <f>'matrik MISI 6'!L51</f>
        <v>20</v>
      </c>
      <c r="F1023" s="548" t="str">
        <f>'matrik MISI 6'!M51</f>
        <v>Program Peningkatan Sistem Pengawasan Internal dan Pengendalian Pelaksanaan Kebijakan Daerah</v>
      </c>
      <c r="G1023" s="548"/>
      <c r="H1023" s="550"/>
      <c r="I1023" s="550"/>
      <c r="J1023" s="550"/>
      <c r="K1023" s="599">
        <f>SUM(K1024:K1034)</f>
        <v>621895000</v>
      </c>
      <c r="L1023" s="599"/>
      <c r="M1023" s="599">
        <f t="shared" ref="M1023:W1023" si="89">SUM(M1024:M1034)</f>
        <v>601998000</v>
      </c>
      <c r="N1023" s="599"/>
      <c r="O1023" s="599">
        <f t="shared" si="89"/>
        <v>633695000</v>
      </c>
      <c r="P1023" s="599"/>
      <c r="Q1023" s="599">
        <f t="shared" si="89"/>
        <v>689060000</v>
      </c>
      <c r="R1023" s="599"/>
      <c r="S1023" s="599">
        <f t="shared" si="89"/>
        <v>828390000</v>
      </c>
      <c r="T1023" s="599"/>
      <c r="U1023" s="599">
        <f t="shared" si="89"/>
        <v>828390000</v>
      </c>
      <c r="V1023" s="599">
        <f t="shared" si="89"/>
        <v>0</v>
      </c>
      <c r="W1023" s="599">
        <f t="shared" si="89"/>
        <v>0</v>
      </c>
      <c r="X1023" s="550" t="str">
        <f>'matrik MISI 6'!X51</f>
        <v>Bagian Pembangunan Setda</v>
      </c>
    </row>
    <row r="1024" spans="2:24" s="165" customFormat="1" ht="60">
      <c r="B1024" s="48"/>
      <c r="C1024" s="56"/>
      <c r="D1024" s="57"/>
      <c r="E1024" s="57"/>
      <c r="F1024" s="58"/>
      <c r="G1024" s="58" t="s">
        <v>3110</v>
      </c>
      <c r="H1024" s="191">
        <v>0.61250000000000004</v>
      </c>
      <c r="I1024" s="161">
        <v>1</v>
      </c>
      <c r="J1024" s="161">
        <v>1</v>
      </c>
      <c r="K1024" s="260">
        <v>81000000</v>
      </c>
      <c r="L1024" s="161">
        <v>1</v>
      </c>
      <c r="M1024" s="260">
        <v>60000000</v>
      </c>
      <c r="N1024" s="161">
        <v>1</v>
      </c>
      <c r="O1024" s="260">
        <v>66000000</v>
      </c>
      <c r="P1024" s="161">
        <v>1</v>
      </c>
      <c r="Q1024" s="260">
        <v>72600000</v>
      </c>
      <c r="R1024" s="161">
        <v>1</v>
      </c>
      <c r="S1024" s="260">
        <v>79800000</v>
      </c>
      <c r="T1024" s="161">
        <v>1</v>
      </c>
      <c r="U1024" s="260">
        <v>79800000</v>
      </c>
      <c r="V1024" s="52"/>
      <c r="W1024" s="52"/>
      <c r="X1024" s="52"/>
    </row>
    <row r="1025" spans="2:24" s="165" customFormat="1" ht="45">
      <c r="B1025" s="48"/>
      <c r="C1025" s="56"/>
      <c r="D1025" s="57"/>
      <c r="E1025" s="57"/>
      <c r="F1025" s="58"/>
      <c r="G1025" s="58" t="s">
        <v>3111</v>
      </c>
      <c r="H1025" s="52" t="s">
        <v>3112</v>
      </c>
      <c r="I1025" s="161">
        <v>0</v>
      </c>
      <c r="J1025" s="161">
        <v>0</v>
      </c>
      <c r="K1025" s="52">
        <v>0</v>
      </c>
      <c r="L1025" s="161">
        <v>0</v>
      </c>
      <c r="M1025" s="52">
        <v>0</v>
      </c>
      <c r="N1025" s="161">
        <v>0</v>
      </c>
      <c r="O1025" s="52">
        <v>0</v>
      </c>
      <c r="P1025" s="161">
        <v>0</v>
      </c>
      <c r="Q1025" s="52">
        <v>0</v>
      </c>
      <c r="R1025" s="161">
        <v>0</v>
      </c>
      <c r="S1025" s="52">
        <v>0</v>
      </c>
      <c r="T1025" s="161">
        <v>0</v>
      </c>
      <c r="U1025" s="52">
        <v>0</v>
      </c>
      <c r="V1025" s="52"/>
      <c r="W1025" s="52"/>
      <c r="X1025" s="52"/>
    </row>
    <row r="1026" spans="2:24" s="165" customFormat="1">
      <c r="B1026" s="48"/>
      <c r="C1026" s="56"/>
      <c r="D1026" s="57"/>
      <c r="E1026" s="57"/>
      <c r="F1026" s="58"/>
      <c r="G1026" s="58" t="s">
        <v>3113</v>
      </c>
      <c r="H1026" s="52" t="s">
        <v>3112</v>
      </c>
      <c r="I1026" s="161">
        <v>0</v>
      </c>
      <c r="J1026" s="161">
        <v>0</v>
      </c>
      <c r="K1026" s="52">
        <v>0</v>
      </c>
      <c r="L1026" s="161">
        <v>0</v>
      </c>
      <c r="M1026" s="52">
        <v>0</v>
      </c>
      <c r="N1026" s="161">
        <v>0</v>
      </c>
      <c r="O1026" s="52">
        <v>0</v>
      </c>
      <c r="P1026" s="161">
        <v>0</v>
      </c>
      <c r="Q1026" s="52">
        <v>0</v>
      </c>
      <c r="R1026" s="161">
        <v>0</v>
      </c>
      <c r="S1026" s="52">
        <v>0</v>
      </c>
      <c r="T1026" s="161">
        <v>0</v>
      </c>
      <c r="U1026" s="52">
        <v>0</v>
      </c>
      <c r="V1026" s="52"/>
      <c r="W1026" s="52"/>
      <c r="X1026" s="52"/>
    </row>
    <row r="1027" spans="2:24" s="165" customFormat="1" ht="45">
      <c r="B1027" s="48"/>
      <c r="C1027" s="56"/>
      <c r="D1027" s="57"/>
      <c r="E1027" s="57"/>
      <c r="F1027" s="58"/>
      <c r="G1027" s="58" t="s">
        <v>3114</v>
      </c>
      <c r="H1027" s="161">
        <v>0</v>
      </c>
      <c r="I1027" s="161">
        <v>1</v>
      </c>
      <c r="J1027" s="161">
        <v>1</v>
      </c>
      <c r="K1027" s="260">
        <v>202895000</v>
      </c>
      <c r="L1027" s="161">
        <v>1</v>
      </c>
      <c r="M1027" s="260">
        <v>203000000</v>
      </c>
      <c r="N1027" s="161">
        <v>1</v>
      </c>
      <c r="O1027" s="260">
        <f>M1027+M1027*10/100</f>
        <v>223300000</v>
      </c>
      <c r="P1027" s="161">
        <v>1</v>
      </c>
      <c r="Q1027" s="260">
        <f>O1027+O1027*10/100</f>
        <v>245630000</v>
      </c>
      <c r="R1027" s="161">
        <v>1</v>
      </c>
      <c r="S1027" s="260">
        <v>270190000</v>
      </c>
      <c r="T1027" s="161">
        <v>1</v>
      </c>
      <c r="U1027" s="260">
        <v>270190000</v>
      </c>
      <c r="V1027" s="52"/>
      <c r="W1027" s="52"/>
      <c r="X1027" s="52"/>
    </row>
    <row r="1028" spans="2:24" s="165" customFormat="1" ht="30">
      <c r="B1028" s="48"/>
      <c r="C1028" s="56"/>
      <c r="D1028" s="57"/>
      <c r="E1028" s="57"/>
      <c r="F1028" s="58"/>
      <c r="G1028" s="58" t="s">
        <v>3115</v>
      </c>
      <c r="H1028" s="161">
        <v>0</v>
      </c>
      <c r="I1028" s="161">
        <v>1</v>
      </c>
      <c r="J1028" s="161">
        <v>1</v>
      </c>
      <c r="K1028" s="260">
        <v>75000000</v>
      </c>
      <c r="L1028" s="161">
        <v>1</v>
      </c>
      <c r="M1028" s="260">
        <v>48998000</v>
      </c>
      <c r="N1028" s="161">
        <v>1</v>
      </c>
      <c r="O1028" s="260">
        <v>53895000</v>
      </c>
      <c r="P1028" s="161">
        <v>1</v>
      </c>
      <c r="Q1028" s="260">
        <v>59280000</v>
      </c>
      <c r="R1028" s="161">
        <v>1</v>
      </c>
      <c r="S1028" s="260">
        <v>65200000</v>
      </c>
      <c r="T1028" s="161">
        <v>1</v>
      </c>
      <c r="U1028" s="260">
        <v>65200000</v>
      </c>
      <c r="V1028" s="52"/>
      <c r="W1028" s="52"/>
      <c r="X1028" s="52"/>
    </row>
    <row r="1029" spans="2:24" s="165" customFormat="1" ht="45">
      <c r="B1029" s="48"/>
      <c r="C1029" s="56"/>
      <c r="D1029" s="57"/>
      <c r="E1029" s="57"/>
      <c r="F1029" s="58"/>
      <c r="G1029" s="58" t="s">
        <v>3116</v>
      </c>
      <c r="H1029" s="161">
        <v>0</v>
      </c>
      <c r="I1029" s="161">
        <v>1</v>
      </c>
      <c r="J1029" s="161">
        <v>1</v>
      </c>
      <c r="K1029" s="260">
        <v>50000000</v>
      </c>
      <c r="L1029" s="161">
        <v>1</v>
      </c>
      <c r="M1029" s="260">
        <v>55000000</v>
      </c>
      <c r="N1029" s="161">
        <v>1</v>
      </c>
      <c r="O1029" s="260">
        <f>M1029+M1029*10/100</f>
        <v>60500000</v>
      </c>
      <c r="P1029" s="161">
        <v>1</v>
      </c>
      <c r="Q1029" s="260">
        <f>O1029+O1029*10/100</f>
        <v>66550000</v>
      </c>
      <c r="R1029" s="161">
        <v>1</v>
      </c>
      <c r="S1029" s="260">
        <v>73200000</v>
      </c>
      <c r="T1029" s="161">
        <v>1</v>
      </c>
      <c r="U1029" s="260">
        <v>73200000</v>
      </c>
      <c r="V1029" s="52"/>
      <c r="W1029" s="52"/>
      <c r="X1029" s="52"/>
    </row>
    <row r="1030" spans="2:24" s="165" customFormat="1" ht="30">
      <c r="B1030" s="48"/>
      <c r="C1030" s="56"/>
      <c r="D1030" s="57"/>
      <c r="E1030" s="57"/>
      <c r="F1030" s="58"/>
      <c r="G1030" s="55" t="s">
        <v>4674</v>
      </c>
      <c r="H1030" s="161"/>
      <c r="I1030" s="161"/>
      <c r="J1030" s="161"/>
      <c r="K1030" s="747">
        <v>20000000</v>
      </c>
      <c r="L1030" s="161"/>
      <c r="M1030" s="747">
        <v>30000000</v>
      </c>
      <c r="N1030" s="161"/>
      <c r="O1030" s="747">
        <v>35000000</v>
      </c>
      <c r="P1030" s="161"/>
      <c r="Q1030" s="747">
        <v>40000000</v>
      </c>
      <c r="R1030" s="161"/>
      <c r="S1030" s="747">
        <v>45000000</v>
      </c>
      <c r="T1030" s="161"/>
      <c r="U1030" s="747">
        <v>45000000</v>
      </c>
      <c r="V1030" s="52"/>
      <c r="W1030" s="52"/>
      <c r="X1030" s="51" t="s">
        <v>4671</v>
      </c>
    </row>
    <row r="1031" spans="2:24" s="165" customFormat="1" ht="75">
      <c r="B1031" s="48"/>
      <c r="C1031" s="56"/>
      <c r="D1031" s="57"/>
      <c r="E1031" s="57"/>
      <c r="F1031" s="58"/>
      <c r="G1031" s="55" t="s">
        <v>4675</v>
      </c>
      <c r="H1031" s="161"/>
      <c r="I1031" s="161"/>
      <c r="J1031" s="161"/>
      <c r="K1031" s="747">
        <v>150000000</v>
      </c>
      <c r="L1031" s="161"/>
      <c r="M1031" s="747">
        <v>160000000</v>
      </c>
      <c r="N1031" s="161"/>
      <c r="O1031" s="747">
        <v>170000000</v>
      </c>
      <c r="P1031" s="161"/>
      <c r="Q1031" s="747">
        <v>180000000</v>
      </c>
      <c r="R1031" s="161"/>
      <c r="S1031" s="747">
        <v>270000000</v>
      </c>
      <c r="T1031" s="161"/>
      <c r="U1031" s="747">
        <v>270000000</v>
      </c>
      <c r="V1031" s="52"/>
      <c r="W1031" s="52"/>
      <c r="X1031" s="51" t="s">
        <v>4671</v>
      </c>
    </row>
    <row r="1032" spans="2:24" s="165" customFormat="1" ht="105">
      <c r="B1032" s="48"/>
      <c r="C1032" s="56"/>
      <c r="D1032" s="57"/>
      <c r="E1032" s="57"/>
      <c r="F1032" s="58"/>
      <c r="G1032" s="270" t="s">
        <v>3198</v>
      </c>
      <c r="H1032" s="52"/>
      <c r="I1032" s="52"/>
      <c r="J1032" s="164" t="s">
        <v>3198</v>
      </c>
      <c r="K1032" s="251">
        <v>43000000</v>
      </c>
      <c r="L1032" s="52"/>
      <c r="M1032" s="52"/>
      <c r="N1032" s="52"/>
      <c r="O1032" s="52"/>
      <c r="P1032" s="52"/>
      <c r="Q1032" s="52"/>
      <c r="R1032" s="52"/>
      <c r="S1032" s="52"/>
      <c r="T1032" s="52"/>
      <c r="U1032" s="52"/>
      <c r="V1032" s="52"/>
      <c r="W1032" s="52"/>
      <c r="X1032" s="52"/>
    </row>
    <row r="1033" spans="2:24" s="165" customFormat="1" ht="120">
      <c r="B1033" s="48"/>
      <c r="C1033" s="56"/>
      <c r="D1033" s="57"/>
      <c r="E1033" s="57"/>
      <c r="F1033" s="58"/>
      <c r="G1033" s="270" t="s">
        <v>3199</v>
      </c>
      <c r="H1033" s="52"/>
      <c r="I1033" s="52"/>
      <c r="J1033" s="52"/>
      <c r="K1033" s="52"/>
      <c r="L1033" s="164" t="s">
        <v>3199</v>
      </c>
      <c r="M1033" s="251">
        <v>45000000</v>
      </c>
      <c r="N1033" s="52"/>
      <c r="O1033" s="52"/>
      <c r="P1033" s="52"/>
      <c r="Q1033" s="52"/>
      <c r="R1033" s="52"/>
      <c r="S1033" s="52"/>
      <c r="T1033" s="52"/>
      <c r="U1033" s="52"/>
      <c r="V1033" s="52"/>
      <c r="W1033" s="52"/>
      <c r="X1033" s="52"/>
    </row>
    <row r="1034" spans="2:24" s="165" customFormat="1" ht="105">
      <c r="B1034" s="48"/>
      <c r="C1034" s="56"/>
      <c r="D1034" s="57"/>
      <c r="E1034" s="57"/>
      <c r="F1034" s="58"/>
      <c r="G1034" s="270" t="s">
        <v>3200</v>
      </c>
      <c r="H1034" s="52"/>
      <c r="I1034" s="52"/>
      <c r="J1034" s="52"/>
      <c r="K1034" s="52"/>
      <c r="L1034" s="52"/>
      <c r="M1034" s="52"/>
      <c r="N1034" s="164" t="s">
        <v>3200</v>
      </c>
      <c r="O1034" s="251">
        <v>25000000</v>
      </c>
      <c r="P1034" s="164" t="s">
        <v>3200</v>
      </c>
      <c r="Q1034" s="251">
        <v>25000000</v>
      </c>
      <c r="R1034" s="164" t="s">
        <v>3200</v>
      </c>
      <c r="S1034" s="251">
        <v>25000000</v>
      </c>
      <c r="T1034" s="164" t="s">
        <v>3200</v>
      </c>
      <c r="U1034" s="251">
        <v>25000000</v>
      </c>
      <c r="V1034" s="52"/>
      <c r="W1034" s="52"/>
      <c r="X1034" s="52"/>
    </row>
    <row r="1035" spans="2:24" s="540" customFormat="1" ht="105">
      <c r="B1035" s="545"/>
      <c r="C1035" s="591" t="str">
        <f>'matrik MISI 6'!J37</f>
        <v>1.20</v>
      </c>
      <c r="D1035" s="592" t="str">
        <f>'matrik MISI 6'!K37</f>
        <v>xx</v>
      </c>
      <c r="E1035" s="592">
        <f>'matrik MISI 6'!L37</f>
        <v>21</v>
      </c>
      <c r="F1035" s="548" t="str">
        <f>'matrik MISI 6'!M37</f>
        <v>Program Peningkatan Profesionalisme Tenaga Pemeriksa dan Aparatur Pengawasan</v>
      </c>
      <c r="G1035" s="548"/>
      <c r="H1035" s="550"/>
      <c r="I1035" s="550"/>
      <c r="J1035" s="550"/>
      <c r="K1035" s="551">
        <f>SUM(K1036:K1040)</f>
        <v>748833550</v>
      </c>
      <c r="L1035" s="551">
        <f t="shared" ref="L1035:U1035" si="90">SUM(L1036:L1040)</f>
        <v>0</v>
      </c>
      <c r="M1035" s="551">
        <f t="shared" si="90"/>
        <v>816473000</v>
      </c>
      <c r="N1035" s="551">
        <f t="shared" si="90"/>
        <v>0</v>
      </c>
      <c r="O1035" s="551">
        <f t="shared" si="90"/>
        <v>856473000</v>
      </c>
      <c r="P1035" s="551">
        <f t="shared" si="90"/>
        <v>0</v>
      </c>
      <c r="Q1035" s="551">
        <f t="shared" si="90"/>
        <v>942120300</v>
      </c>
      <c r="R1035" s="551">
        <f t="shared" si="90"/>
        <v>0</v>
      </c>
      <c r="S1035" s="551">
        <f t="shared" si="90"/>
        <v>1036332330</v>
      </c>
      <c r="T1035" s="551">
        <f t="shared" si="90"/>
        <v>0</v>
      </c>
      <c r="U1035" s="551">
        <f t="shared" si="90"/>
        <v>1139965563</v>
      </c>
      <c r="V1035" s="550"/>
      <c r="W1035" s="550"/>
      <c r="X1035" s="550" t="str">
        <f>'matrik MISI 6'!X37</f>
        <v>Inspektorat</v>
      </c>
    </row>
    <row r="1036" spans="2:24" s="165" customFormat="1" ht="75">
      <c r="B1036" s="48"/>
      <c r="C1036" s="56"/>
      <c r="D1036" s="57"/>
      <c r="E1036" s="57"/>
      <c r="F1036" s="58"/>
      <c r="G1036" s="58" t="s">
        <v>3118</v>
      </c>
      <c r="H1036" s="331"/>
      <c r="I1036" s="52" t="s">
        <v>3119</v>
      </c>
      <c r="J1036" s="158">
        <v>1</v>
      </c>
      <c r="K1036" s="331">
        <v>678960000</v>
      </c>
      <c r="L1036" s="52" t="s">
        <v>3119</v>
      </c>
      <c r="M1036" s="331">
        <v>746473000</v>
      </c>
      <c r="N1036" s="52" t="s">
        <v>3119</v>
      </c>
      <c r="O1036" s="331">
        <v>746473000</v>
      </c>
      <c r="P1036" s="52" t="s">
        <v>3119</v>
      </c>
      <c r="Q1036" s="331">
        <f>O1036+(O1036*10%)</f>
        <v>821120300</v>
      </c>
      <c r="R1036" s="52" t="s">
        <v>3119</v>
      </c>
      <c r="S1036" s="331">
        <f t="shared" ref="S1036:S1048" si="91">Q1036+(Q1036*10%)</f>
        <v>903232330</v>
      </c>
      <c r="T1036" s="52" t="s">
        <v>3119</v>
      </c>
      <c r="U1036" s="331">
        <f t="shared" ref="U1036:U1039" si="92">S1036+(S1036*10%)</f>
        <v>993555563</v>
      </c>
      <c r="V1036" s="52"/>
      <c r="W1036" s="52"/>
      <c r="X1036" s="52"/>
    </row>
    <row r="1037" spans="2:24" s="165" customFormat="1" ht="90">
      <c r="B1037" s="48"/>
      <c r="C1037" s="56"/>
      <c r="D1037" s="57"/>
      <c r="E1037" s="57"/>
      <c r="F1037" s="58"/>
      <c r="G1037" s="58" t="s">
        <v>3120</v>
      </c>
      <c r="H1037" s="331"/>
      <c r="I1037" s="52" t="s">
        <v>3121</v>
      </c>
      <c r="J1037" s="158">
        <v>1</v>
      </c>
      <c r="K1037" s="331">
        <v>24969250</v>
      </c>
      <c r="L1037" s="52" t="s">
        <v>3121</v>
      </c>
      <c r="M1037" s="331">
        <v>30000000</v>
      </c>
      <c r="N1037" s="52" t="s">
        <v>3121</v>
      </c>
      <c r="O1037" s="331">
        <v>35000000</v>
      </c>
      <c r="P1037" s="52" t="s">
        <v>3121</v>
      </c>
      <c r="Q1037" s="331">
        <f>O1037+(O1037*10%)</f>
        <v>38500000</v>
      </c>
      <c r="R1037" s="52" t="s">
        <v>3121</v>
      </c>
      <c r="S1037" s="331">
        <f t="shared" si="91"/>
        <v>42350000</v>
      </c>
      <c r="T1037" s="52" t="s">
        <v>3121</v>
      </c>
      <c r="U1037" s="331">
        <f t="shared" si="92"/>
        <v>46585000</v>
      </c>
      <c r="V1037" s="52"/>
      <c r="W1037" s="52"/>
      <c r="X1037" s="52"/>
    </row>
    <row r="1038" spans="2:24" s="165" customFormat="1" ht="75">
      <c r="B1038" s="48"/>
      <c r="C1038" s="56"/>
      <c r="D1038" s="57"/>
      <c r="E1038" s="57"/>
      <c r="F1038" s="58"/>
      <c r="G1038" s="58" t="s">
        <v>3122</v>
      </c>
      <c r="H1038" s="332">
        <v>0</v>
      </c>
      <c r="I1038" s="52" t="s">
        <v>3123</v>
      </c>
      <c r="J1038" s="158">
        <v>1</v>
      </c>
      <c r="K1038" s="331">
        <v>29930000</v>
      </c>
      <c r="L1038" s="52" t="s">
        <v>3123</v>
      </c>
      <c r="M1038" s="331">
        <v>40000000</v>
      </c>
      <c r="N1038" s="52" t="s">
        <v>3123</v>
      </c>
      <c r="O1038" s="331">
        <v>45000000</v>
      </c>
      <c r="P1038" s="52" t="s">
        <v>3123</v>
      </c>
      <c r="Q1038" s="331">
        <f>O1038+(O1038*10%)</f>
        <v>49500000</v>
      </c>
      <c r="R1038" s="52" t="s">
        <v>3123</v>
      </c>
      <c r="S1038" s="331">
        <f t="shared" si="91"/>
        <v>54450000</v>
      </c>
      <c r="T1038" s="52" t="s">
        <v>3123</v>
      </c>
      <c r="U1038" s="331">
        <f t="shared" si="92"/>
        <v>59895000</v>
      </c>
      <c r="V1038" s="52"/>
      <c r="W1038" s="52"/>
      <c r="X1038" s="52"/>
    </row>
    <row r="1039" spans="2:24" s="165" customFormat="1" ht="90">
      <c r="B1039" s="48"/>
      <c r="C1039" s="56"/>
      <c r="D1039" s="57"/>
      <c r="E1039" s="57"/>
      <c r="F1039" s="58"/>
      <c r="G1039" s="58" t="s">
        <v>3124</v>
      </c>
      <c r="H1039" s="332">
        <v>0</v>
      </c>
      <c r="I1039" s="52" t="s">
        <v>3125</v>
      </c>
      <c r="J1039" s="158">
        <v>1</v>
      </c>
      <c r="K1039" s="331">
        <v>14974300</v>
      </c>
      <c r="L1039" s="52" t="s">
        <v>3126</v>
      </c>
      <c r="M1039" s="332" t="s">
        <v>3127</v>
      </c>
      <c r="N1039" s="52" t="s">
        <v>3126</v>
      </c>
      <c r="O1039" s="331">
        <v>30000000</v>
      </c>
      <c r="P1039" s="52" t="s">
        <v>3126</v>
      </c>
      <c r="Q1039" s="331">
        <f>O1039+(O1039*10%)</f>
        <v>33000000</v>
      </c>
      <c r="R1039" s="52" t="s">
        <v>3126</v>
      </c>
      <c r="S1039" s="331">
        <f t="shared" si="91"/>
        <v>36300000</v>
      </c>
      <c r="T1039" s="52" t="s">
        <v>3126</v>
      </c>
      <c r="U1039" s="331">
        <f t="shared" si="92"/>
        <v>39930000</v>
      </c>
      <c r="V1039" s="52"/>
      <c r="W1039" s="52"/>
      <c r="X1039" s="52"/>
    </row>
    <row r="1040" spans="2:24" s="165" customFormat="1" ht="75">
      <c r="B1040" s="48"/>
      <c r="C1040" s="56"/>
      <c r="D1040" s="57"/>
      <c r="E1040" s="57"/>
      <c r="F1040" s="58"/>
      <c r="G1040" s="58" t="s">
        <v>3128</v>
      </c>
      <c r="H1040" s="332">
        <v>0</v>
      </c>
      <c r="I1040" s="52" t="s">
        <v>3129</v>
      </c>
      <c r="J1040" s="158">
        <v>1</v>
      </c>
      <c r="K1040" s="331"/>
      <c r="L1040" s="52"/>
      <c r="M1040" s="332" t="s">
        <v>3127</v>
      </c>
      <c r="N1040" s="52"/>
      <c r="O1040" s="332" t="s">
        <v>3127</v>
      </c>
      <c r="P1040" s="52"/>
      <c r="Q1040" s="257"/>
      <c r="R1040" s="52"/>
      <c r="S1040" s="331"/>
      <c r="T1040" s="52"/>
      <c r="U1040" s="331"/>
      <c r="V1040" s="52"/>
      <c r="W1040" s="52"/>
      <c r="X1040" s="52"/>
    </row>
    <row r="1041" spans="2:24" s="540" customFormat="1" ht="105">
      <c r="B1041" s="545"/>
      <c r="C1041" s="591" t="str">
        <f>'matrik MISI 6'!J38</f>
        <v>1.20</v>
      </c>
      <c r="D1041" s="592" t="str">
        <f>'matrik MISI 6'!K38</f>
        <v>xx</v>
      </c>
      <c r="E1041" s="592">
        <f>'matrik MISI 6'!L38</f>
        <v>22</v>
      </c>
      <c r="F1041" s="548" t="str">
        <f>'matrik MISI 6'!M38</f>
        <v>Program Penataan dan Penyempurnaan Kebijakan Sistem dan Prosedur Pengawasan</v>
      </c>
      <c r="G1041" s="548"/>
      <c r="H1041" s="751"/>
      <c r="I1041" s="550"/>
      <c r="J1041" s="752"/>
      <c r="K1041" s="753">
        <f>SUM(K1042:K1048)</f>
        <v>293295800</v>
      </c>
      <c r="L1041" s="753"/>
      <c r="M1041" s="753">
        <f t="shared" ref="M1041:U1041" si="93">SUM(M1042:M1048)</f>
        <v>304300000</v>
      </c>
      <c r="N1041" s="753"/>
      <c r="O1041" s="753">
        <f t="shared" si="93"/>
        <v>356000000</v>
      </c>
      <c r="P1041" s="753"/>
      <c r="Q1041" s="753">
        <f t="shared" si="93"/>
        <v>391600000</v>
      </c>
      <c r="R1041" s="753"/>
      <c r="S1041" s="753">
        <f t="shared" si="93"/>
        <v>430760000</v>
      </c>
      <c r="T1041" s="753"/>
      <c r="U1041" s="753">
        <f t="shared" si="93"/>
        <v>473836000</v>
      </c>
      <c r="V1041" s="550"/>
      <c r="W1041" s="550"/>
      <c r="X1041" s="550"/>
    </row>
    <row r="1042" spans="2:24" s="165" customFormat="1" ht="75">
      <c r="B1042" s="48"/>
      <c r="G1042" s="58" t="s">
        <v>3130</v>
      </c>
      <c r="H1042" s="332">
        <v>0</v>
      </c>
      <c r="I1042" s="52" t="s">
        <v>3131</v>
      </c>
      <c r="J1042" s="158">
        <v>1</v>
      </c>
      <c r="K1042" s="331">
        <v>24980000</v>
      </c>
      <c r="L1042" s="52" t="s">
        <v>3131</v>
      </c>
      <c r="M1042" s="331">
        <v>40000000</v>
      </c>
      <c r="N1042" s="52" t="s">
        <v>3131</v>
      </c>
      <c r="O1042" s="331">
        <v>50000000</v>
      </c>
      <c r="P1042" s="52" t="s">
        <v>3131</v>
      </c>
      <c r="Q1042" s="331">
        <f>O1042+(O1042*10%)</f>
        <v>55000000</v>
      </c>
      <c r="R1042" s="52" t="s">
        <v>3131</v>
      </c>
      <c r="S1042" s="331">
        <f t="shared" si="91"/>
        <v>60500000</v>
      </c>
      <c r="T1042" s="52" t="s">
        <v>3131</v>
      </c>
      <c r="U1042" s="331">
        <f t="shared" ref="U1042:U1044" si="94">S1042+(S1042*10%)</f>
        <v>66550000</v>
      </c>
      <c r="V1042" s="52"/>
      <c r="W1042" s="52"/>
      <c r="X1042" s="52"/>
    </row>
    <row r="1043" spans="2:24" s="165" customFormat="1" ht="90">
      <c r="B1043" s="48"/>
      <c r="C1043" s="56"/>
      <c r="D1043" s="57"/>
      <c r="E1043" s="57"/>
      <c r="F1043" s="58"/>
      <c r="G1043" s="58" t="s">
        <v>3133</v>
      </c>
      <c r="H1043" s="331"/>
      <c r="I1043" s="52" t="s">
        <v>3134</v>
      </c>
      <c r="J1043" s="158">
        <v>1</v>
      </c>
      <c r="K1043" s="331">
        <v>33000000</v>
      </c>
      <c r="L1043" s="52" t="s">
        <v>3134</v>
      </c>
      <c r="M1043" s="331">
        <v>36300000</v>
      </c>
      <c r="N1043" s="52" t="s">
        <v>3134</v>
      </c>
      <c r="O1043" s="331">
        <v>40000000</v>
      </c>
      <c r="P1043" s="52" t="s">
        <v>3134</v>
      </c>
      <c r="Q1043" s="331">
        <f>O1043+(O1043*10%)</f>
        <v>44000000</v>
      </c>
      <c r="R1043" s="52" t="s">
        <v>3134</v>
      </c>
      <c r="S1043" s="331">
        <f t="shared" si="91"/>
        <v>48400000</v>
      </c>
      <c r="T1043" s="52" t="s">
        <v>3134</v>
      </c>
      <c r="U1043" s="331">
        <f t="shared" si="94"/>
        <v>53240000</v>
      </c>
      <c r="V1043" s="52"/>
      <c r="W1043" s="52"/>
      <c r="X1043" s="52"/>
    </row>
    <row r="1044" spans="2:24" s="165" customFormat="1" ht="60">
      <c r="B1044" s="48"/>
      <c r="C1044" s="56"/>
      <c r="D1044" s="57"/>
      <c r="E1044" s="57"/>
      <c r="F1044" s="58"/>
      <c r="G1044" s="58" t="s">
        <v>3135</v>
      </c>
      <c r="H1044" s="332">
        <v>0</v>
      </c>
      <c r="I1044" s="52" t="s">
        <v>3136</v>
      </c>
      <c r="J1044" s="158">
        <v>1</v>
      </c>
      <c r="K1044" s="332">
        <v>0</v>
      </c>
      <c r="L1044" s="52" t="s">
        <v>3136</v>
      </c>
      <c r="M1044" s="332">
        <v>40000000</v>
      </c>
      <c r="N1044" s="52" t="s">
        <v>3136</v>
      </c>
      <c r="O1044" s="331">
        <v>45000000</v>
      </c>
      <c r="P1044" s="52" t="s">
        <v>3136</v>
      </c>
      <c r="Q1044" s="331">
        <f>O1044+(O1044*10%)</f>
        <v>49500000</v>
      </c>
      <c r="R1044" s="52" t="s">
        <v>3136</v>
      </c>
      <c r="S1044" s="331">
        <f t="shared" si="91"/>
        <v>54450000</v>
      </c>
      <c r="T1044" s="52" t="s">
        <v>3136</v>
      </c>
      <c r="U1044" s="331">
        <f t="shared" si="94"/>
        <v>59895000</v>
      </c>
      <c r="V1044" s="52"/>
      <c r="W1044" s="52"/>
      <c r="X1044" s="52"/>
    </row>
    <row r="1045" spans="2:24" s="165" customFormat="1" ht="45">
      <c r="B1045" s="48"/>
      <c r="C1045" s="56"/>
      <c r="D1045" s="57"/>
      <c r="E1045" s="57"/>
      <c r="F1045" s="58"/>
      <c r="G1045" s="416" t="s">
        <v>3132</v>
      </c>
      <c r="H1045" s="164"/>
      <c r="I1045" s="158">
        <v>0.1</v>
      </c>
      <c r="J1045" s="158"/>
      <c r="K1045" s="333">
        <f>SUM(K1046:K1048)</f>
        <v>117657900</v>
      </c>
      <c r="L1045" s="158">
        <v>0.15</v>
      </c>
      <c r="M1045" s="257"/>
      <c r="N1045" s="158">
        <v>0.2</v>
      </c>
      <c r="O1045" s="257"/>
      <c r="P1045" s="158">
        <v>0.25</v>
      </c>
      <c r="Q1045" s="331"/>
      <c r="R1045" s="158">
        <v>0.3</v>
      </c>
      <c r="S1045" s="331"/>
      <c r="T1045" s="158">
        <v>0.3</v>
      </c>
      <c r="U1045" s="331"/>
      <c r="V1045" s="52"/>
      <c r="W1045" s="52"/>
      <c r="X1045" s="52"/>
    </row>
    <row r="1046" spans="2:24" s="165" customFormat="1" ht="90">
      <c r="B1046" s="48"/>
      <c r="C1046" s="56"/>
      <c r="D1046" s="57"/>
      <c r="E1046" s="57"/>
      <c r="F1046" s="58"/>
      <c r="G1046" s="58" t="s">
        <v>3137</v>
      </c>
      <c r="H1046" s="331"/>
      <c r="I1046" s="52" t="s">
        <v>3138</v>
      </c>
      <c r="J1046" s="158">
        <v>1</v>
      </c>
      <c r="K1046" s="331">
        <v>29745000</v>
      </c>
      <c r="L1046" s="52" t="s">
        <v>3138</v>
      </c>
      <c r="M1046" s="331">
        <v>33000000</v>
      </c>
      <c r="N1046" s="52" t="s">
        <v>3138</v>
      </c>
      <c r="O1046" s="331">
        <v>36000000</v>
      </c>
      <c r="P1046" s="52" t="s">
        <v>3138</v>
      </c>
      <c r="Q1046" s="331">
        <f>O1046+(O1046*10%)</f>
        <v>39600000</v>
      </c>
      <c r="R1046" s="52" t="s">
        <v>3138</v>
      </c>
      <c r="S1046" s="331">
        <f t="shared" si="91"/>
        <v>43560000</v>
      </c>
      <c r="T1046" s="52" t="s">
        <v>3138</v>
      </c>
      <c r="U1046" s="331">
        <f t="shared" ref="U1046:U1048" si="95">S1046+(S1046*10%)</f>
        <v>47916000</v>
      </c>
      <c r="V1046" s="52"/>
      <c r="W1046" s="52"/>
      <c r="X1046" s="52"/>
    </row>
    <row r="1047" spans="2:24" s="165" customFormat="1" ht="105">
      <c r="B1047" s="48"/>
      <c r="C1047" s="56"/>
      <c r="D1047" s="57"/>
      <c r="E1047" s="57"/>
      <c r="F1047" s="58"/>
      <c r="G1047" s="58" t="s">
        <v>3139</v>
      </c>
      <c r="H1047" s="331"/>
      <c r="I1047" s="52" t="s">
        <v>3140</v>
      </c>
      <c r="J1047" s="158">
        <v>1</v>
      </c>
      <c r="K1047" s="331">
        <v>26943000</v>
      </c>
      <c r="L1047" s="52" t="s">
        <v>3140</v>
      </c>
      <c r="M1047" s="331">
        <v>30000000</v>
      </c>
      <c r="N1047" s="52" t="s">
        <v>3140</v>
      </c>
      <c r="O1047" s="331">
        <v>35000000</v>
      </c>
      <c r="P1047" s="52" t="s">
        <v>3140</v>
      </c>
      <c r="Q1047" s="331">
        <f>O1047+(O1047*10%)</f>
        <v>38500000</v>
      </c>
      <c r="R1047" s="52" t="s">
        <v>3140</v>
      </c>
      <c r="S1047" s="331">
        <f t="shared" si="91"/>
        <v>42350000</v>
      </c>
      <c r="T1047" s="52" t="s">
        <v>3140</v>
      </c>
      <c r="U1047" s="331">
        <f t="shared" si="95"/>
        <v>46585000</v>
      </c>
      <c r="V1047" s="52"/>
      <c r="W1047" s="52"/>
      <c r="X1047" s="52"/>
    </row>
    <row r="1048" spans="2:24" s="165" customFormat="1" ht="105">
      <c r="B1048" s="48"/>
      <c r="C1048" s="56"/>
      <c r="D1048" s="57"/>
      <c r="E1048" s="57"/>
      <c r="F1048" s="58"/>
      <c r="G1048" s="58" t="s">
        <v>3141</v>
      </c>
      <c r="H1048" s="332">
        <v>0</v>
      </c>
      <c r="I1048" s="52" t="s">
        <v>3142</v>
      </c>
      <c r="J1048" s="158">
        <v>1</v>
      </c>
      <c r="K1048" s="331">
        <v>60969900</v>
      </c>
      <c r="L1048" s="52" t="s">
        <v>3142</v>
      </c>
      <c r="M1048" s="331">
        <v>125000000</v>
      </c>
      <c r="N1048" s="52" t="s">
        <v>3142</v>
      </c>
      <c r="O1048" s="331">
        <v>150000000</v>
      </c>
      <c r="P1048" s="52" t="s">
        <v>3142</v>
      </c>
      <c r="Q1048" s="331">
        <f>O1048+(O1048*10%)</f>
        <v>165000000</v>
      </c>
      <c r="R1048" s="52" t="s">
        <v>3142</v>
      </c>
      <c r="S1048" s="331">
        <f t="shared" si="91"/>
        <v>181500000</v>
      </c>
      <c r="T1048" s="52" t="s">
        <v>3142</v>
      </c>
      <c r="U1048" s="331">
        <f t="shared" si="95"/>
        <v>199650000</v>
      </c>
      <c r="V1048" s="52"/>
      <c r="W1048" s="52"/>
      <c r="X1048" s="52"/>
    </row>
    <row r="1049" spans="2:24" s="540" customFormat="1" ht="45">
      <c r="B1049" s="545"/>
      <c r="C1049" s="591" t="str">
        <f>'matrik MISI 6'!J59</f>
        <v>1.20</v>
      </c>
      <c r="D1049" s="592" t="str">
        <f>'matrik MISI 6'!K59</f>
        <v>xx</v>
      </c>
      <c r="E1049" s="592">
        <f>'matrik MISI 6'!L59</f>
        <v>25</v>
      </c>
      <c r="F1049" s="548" t="str">
        <f>'matrik MISI 6'!M59</f>
        <v>Program Kerjasama  Daerah</v>
      </c>
      <c r="G1049" s="548"/>
      <c r="H1049" s="550"/>
      <c r="I1049" s="550"/>
      <c r="J1049" s="550"/>
      <c r="K1049" s="550"/>
      <c r="L1049" s="550"/>
      <c r="M1049" s="599">
        <f>SUM(M1050)</f>
        <v>35000000</v>
      </c>
      <c r="N1049" s="599">
        <f t="shared" ref="N1049:U1049" si="96">SUM(N1050)</f>
        <v>1</v>
      </c>
      <c r="O1049" s="599">
        <f t="shared" si="96"/>
        <v>35000000</v>
      </c>
      <c r="P1049" s="599">
        <f t="shared" si="96"/>
        <v>1</v>
      </c>
      <c r="Q1049" s="599">
        <f t="shared" si="96"/>
        <v>45000000</v>
      </c>
      <c r="R1049" s="599">
        <f t="shared" si="96"/>
        <v>1</v>
      </c>
      <c r="S1049" s="599">
        <f t="shared" si="96"/>
        <v>45000000</v>
      </c>
      <c r="T1049" s="599">
        <f t="shared" si="96"/>
        <v>1</v>
      </c>
      <c r="U1049" s="599">
        <f t="shared" si="96"/>
        <v>45000000</v>
      </c>
      <c r="V1049" s="550"/>
      <c r="W1049" s="550"/>
      <c r="X1049" s="550" t="str">
        <f>'matrik MISI 6'!X59</f>
        <v>Bagian Pemerintahan Umum Setda</v>
      </c>
    </row>
    <row r="1050" spans="2:24" s="165" customFormat="1" ht="150">
      <c r="B1050" s="48"/>
      <c r="C1050" s="62"/>
      <c r="D1050" s="63"/>
      <c r="E1050" s="63"/>
      <c r="F1050" s="64"/>
      <c r="G1050" s="58" t="s">
        <v>3143</v>
      </c>
      <c r="H1050" s="52" t="s">
        <v>2536</v>
      </c>
      <c r="I1050" s="52" t="s">
        <v>2521</v>
      </c>
      <c r="J1050" s="52" t="s">
        <v>2521</v>
      </c>
      <c r="K1050" s="260">
        <v>20000000</v>
      </c>
      <c r="L1050" s="179">
        <v>1</v>
      </c>
      <c r="M1050" s="260">
        <v>35000000</v>
      </c>
      <c r="N1050" s="179">
        <v>1</v>
      </c>
      <c r="O1050" s="260">
        <v>35000000</v>
      </c>
      <c r="P1050" s="179">
        <v>1</v>
      </c>
      <c r="Q1050" s="260">
        <v>45000000</v>
      </c>
      <c r="R1050" s="179">
        <v>1</v>
      </c>
      <c r="S1050" s="260">
        <v>45000000</v>
      </c>
      <c r="T1050" s="179">
        <v>1</v>
      </c>
      <c r="U1050" s="260">
        <v>45000000</v>
      </c>
      <c r="V1050" s="52"/>
      <c r="W1050" s="52"/>
      <c r="X1050" s="52"/>
    </row>
    <row r="1051" spans="2:24" s="540" customFormat="1" ht="75">
      <c r="B1051" s="545"/>
      <c r="C1051" s="593" t="str">
        <f>'matrik MISI 6'!J39</f>
        <v>1.20</v>
      </c>
      <c r="D1051" s="594" t="str">
        <f>'matrik MISI 6'!K39</f>
        <v>xx</v>
      </c>
      <c r="E1051" s="594">
        <f>'matrik MISI 6'!L39</f>
        <v>26</v>
      </c>
      <c r="F1051" s="595" t="str">
        <f>'matrik MISI 6'!M39</f>
        <v>Program Penataan Peraturan Perundang-undangan</v>
      </c>
      <c r="G1051" s="548"/>
      <c r="H1051" s="550"/>
      <c r="I1051" s="550"/>
      <c r="J1051" s="550"/>
      <c r="K1051" s="551">
        <f>SUM(K1052:K1065)</f>
        <v>1190778500</v>
      </c>
      <c r="L1051" s="551"/>
      <c r="M1051" s="551">
        <f t="shared" ref="M1051:S1051" si="97">SUM(M1052:M1065)</f>
        <v>1870778500</v>
      </c>
      <c r="N1051" s="551"/>
      <c r="O1051" s="551">
        <f t="shared" si="97"/>
        <v>1095778500</v>
      </c>
      <c r="P1051" s="551"/>
      <c r="Q1051" s="551">
        <f t="shared" si="97"/>
        <v>1110778500</v>
      </c>
      <c r="R1051" s="551"/>
      <c r="S1051" s="551">
        <f t="shared" si="97"/>
        <v>1175778500</v>
      </c>
      <c r="T1051" s="550"/>
      <c r="U1051" s="550"/>
      <c r="V1051" s="550"/>
      <c r="W1051" s="550"/>
      <c r="X1051" s="550" t="s">
        <v>3170</v>
      </c>
    </row>
    <row r="1052" spans="2:24" s="165" customFormat="1" ht="45">
      <c r="B1052" s="48"/>
      <c r="C1052" s="62"/>
      <c r="D1052" s="63"/>
      <c r="E1052" s="63"/>
      <c r="F1052" s="64"/>
      <c r="G1052" s="58" t="s">
        <v>3144</v>
      </c>
      <c r="H1052" s="291" t="s">
        <v>3145</v>
      </c>
      <c r="I1052" s="291" t="s">
        <v>3146</v>
      </c>
      <c r="J1052" s="52" t="s">
        <v>3147</v>
      </c>
      <c r="K1052" s="259">
        <v>87376000</v>
      </c>
      <c r="L1052" s="52" t="s">
        <v>3147</v>
      </c>
      <c r="M1052" s="259">
        <v>87376000</v>
      </c>
      <c r="N1052" s="52" t="s">
        <v>3147</v>
      </c>
      <c r="O1052" s="259">
        <v>87376000</v>
      </c>
      <c r="P1052" s="52" t="s">
        <v>3147</v>
      </c>
      <c r="Q1052" s="259">
        <v>87376000</v>
      </c>
      <c r="R1052" s="52" t="s">
        <v>3147</v>
      </c>
      <c r="S1052" s="259">
        <v>87376000</v>
      </c>
      <c r="T1052" s="52" t="s">
        <v>3147</v>
      </c>
      <c r="U1052" s="259">
        <v>87376000</v>
      </c>
      <c r="V1052" s="52"/>
      <c r="W1052" s="52"/>
      <c r="X1052" s="52"/>
    </row>
    <row r="1053" spans="2:24" s="165" customFormat="1" ht="45">
      <c r="B1053" s="48"/>
      <c r="C1053" s="62"/>
      <c r="D1053" s="63"/>
      <c r="E1053" s="63"/>
      <c r="F1053" s="64"/>
      <c r="G1053" s="58" t="s">
        <v>3148</v>
      </c>
      <c r="H1053" s="291" t="s">
        <v>3149</v>
      </c>
      <c r="I1053" s="291" t="s">
        <v>3150</v>
      </c>
      <c r="J1053" s="52" t="s">
        <v>3150</v>
      </c>
      <c r="K1053" s="230">
        <v>55979500</v>
      </c>
      <c r="L1053" s="52" t="s">
        <v>3150</v>
      </c>
      <c r="M1053" s="259">
        <v>55979500</v>
      </c>
      <c r="N1053" s="52" t="s">
        <v>3150</v>
      </c>
      <c r="O1053" s="260">
        <v>55979500</v>
      </c>
      <c r="P1053" s="52" t="s">
        <v>3150</v>
      </c>
      <c r="Q1053" s="260">
        <v>55979500</v>
      </c>
      <c r="R1053" s="52" t="s">
        <v>3150</v>
      </c>
      <c r="S1053" s="260">
        <v>55979500</v>
      </c>
      <c r="T1053" s="52" t="s">
        <v>3150</v>
      </c>
      <c r="U1053" s="260">
        <v>55979500</v>
      </c>
      <c r="V1053" s="52"/>
      <c r="W1053" s="52"/>
      <c r="X1053" s="52"/>
    </row>
    <row r="1054" spans="2:24" s="165" customFormat="1" ht="135">
      <c r="B1054" s="48"/>
      <c r="C1054" s="62"/>
      <c r="D1054" s="63"/>
      <c r="E1054" s="63"/>
      <c r="F1054" s="64"/>
      <c r="G1054" s="58" t="s">
        <v>3151</v>
      </c>
      <c r="H1054" s="291" t="s">
        <v>3152</v>
      </c>
      <c r="I1054" s="291" t="s">
        <v>3153</v>
      </c>
      <c r="J1054" s="52" t="s">
        <v>3154</v>
      </c>
      <c r="K1054" s="259">
        <v>169575000</v>
      </c>
      <c r="L1054" s="291" t="s">
        <v>3155</v>
      </c>
      <c r="M1054" s="259">
        <v>169575000</v>
      </c>
      <c r="N1054" s="291" t="s">
        <v>3155</v>
      </c>
      <c r="O1054" s="259">
        <v>169575000</v>
      </c>
      <c r="P1054" s="291" t="s">
        <v>3155</v>
      </c>
      <c r="Q1054" s="259">
        <v>169575000</v>
      </c>
      <c r="R1054" s="291" t="s">
        <v>3155</v>
      </c>
      <c r="S1054" s="259">
        <v>169575000</v>
      </c>
      <c r="T1054" s="291" t="s">
        <v>3155</v>
      </c>
      <c r="U1054" s="259">
        <v>169575000</v>
      </c>
      <c r="V1054" s="52"/>
      <c r="W1054" s="52"/>
      <c r="X1054" s="52"/>
    </row>
    <row r="1055" spans="2:24" s="165" customFormat="1" ht="30">
      <c r="B1055" s="48"/>
      <c r="C1055" s="62"/>
      <c r="D1055" s="63"/>
      <c r="E1055" s="63"/>
      <c r="F1055" s="64"/>
      <c r="G1055" s="58" t="s">
        <v>3156</v>
      </c>
      <c r="H1055" s="291" t="s">
        <v>3157</v>
      </c>
      <c r="I1055" s="291" t="s">
        <v>3158</v>
      </c>
      <c r="J1055" s="52" t="s">
        <v>3158</v>
      </c>
      <c r="K1055" s="334">
        <v>43360000</v>
      </c>
      <c r="L1055" s="52" t="s">
        <v>3158</v>
      </c>
      <c r="M1055" s="217">
        <v>43360000</v>
      </c>
      <c r="N1055" s="52" t="s">
        <v>3158</v>
      </c>
      <c r="O1055" s="217">
        <v>43360000</v>
      </c>
      <c r="P1055" s="52" t="s">
        <v>3158</v>
      </c>
      <c r="Q1055" s="217">
        <v>43360000</v>
      </c>
      <c r="R1055" s="52" t="s">
        <v>3158</v>
      </c>
      <c r="S1055" s="217">
        <v>43360000</v>
      </c>
      <c r="T1055" s="52" t="s">
        <v>3158</v>
      </c>
      <c r="U1055" s="217">
        <v>43360000</v>
      </c>
      <c r="V1055" s="52"/>
      <c r="W1055" s="52"/>
      <c r="X1055" s="52"/>
    </row>
    <row r="1056" spans="2:24" s="165" customFormat="1" ht="60">
      <c r="B1056" s="48"/>
      <c r="C1056" s="62"/>
      <c r="D1056" s="63"/>
      <c r="E1056" s="63"/>
      <c r="F1056" s="64"/>
      <c r="G1056" s="58" t="s">
        <v>3159</v>
      </c>
      <c r="H1056" s="291" t="s">
        <v>2360</v>
      </c>
      <c r="I1056" s="291" t="s">
        <v>2360</v>
      </c>
      <c r="J1056" s="161">
        <v>1</v>
      </c>
      <c r="K1056" s="259">
        <v>29820000</v>
      </c>
      <c r="L1056" s="161">
        <v>1</v>
      </c>
      <c r="M1056" s="259">
        <v>29820000</v>
      </c>
      <c r="N1056" s="161">
        <v>1</v>
      </c>
      <c r="O1056" s="259">
        <v>29820000</v>
      </c>
      <c r="P1056" s="161">
        <v>1</v>
      </c>
      <c r="Q1056" s="259">
        <v>29820000</v>
      </c>
      <c r="R1056" s="161">
        <v>1</v>
      </c>
      <c r="S1056" s="259">
        <v>29820000</v>
      </c>
      <c r="T1056" s="161">
        <v>1</v>
      </c>
      <c r="U1056" s="259">
        <v>29820000</v>
      </c>
      <c r="V1056" s="52"/>
      <c r="W1056" s="52"/>
      <c r="X1056" s="52"/>
    </row>
    <row r="1057" spans="2:24" s="165" customFormat="1" ht="30">
      <c r="B1057" s="48"/>
      <c r="C1057" s="62"/>
      <c r="D1057" s="63"/>
      <c r="E1057" s="63"/>
      <c r="F1057" s="64"/>
      <c r="G1057" s="58" t="s">
        <v>3160</v>
      </c>
      <c r="H1057" s="291" t="s">
        <v>3161</v>
      </c>
      <c r="I1057" s="291" t="s">
        <v>3161</v>
      </c>
      <c r="J1057" s="52" t="s">
        <v>3162</v>
      </c>
      <c r="K1057" s="229">
        <v>50612000</v>
      </c>
      <c r="L1057" s="52" t="s">
        <v>3162</v>
      </c>
      <c r="M1057" s="229">
        <v>50612000</v>
      </c>
      <c r="N1057" s="52" t="s">
        <v>3162</v>
      </c>
      <c r="O1057" s="229">
        <v>50612000</v>
      </c>
      <c r="P1057" s="52" t="s">
        <v>3162</v>
      </c>
      <c r="Q1057" s="229">
        <v>50612000</v>
      </c>
      <c r="R1057" s="52" t="s">
        <v>3162</v>
      </c>
      <c r="S1057" s="229">
        <v>50612000</v>
      </c>
      <c r="T1057" s="52" t="s">
        <v>3162</v>
      </c>
      <c r="U1057" s="229">
        <v>50612000</v>
      </c>
      <c r="V1057" s="52"/>
      <c r="W1057" s="52"/>
      <c r="X1057" s="52"/>
    </row>
    <row r="1058" spans="2:24" s="165" customFormat="1" ht="45">
      <c r="B1058" s="48"/>
      <c r="C1058" s="62"/>
      <c r="D1058" s="63"/>
      <c r="E1058" s="63"/>
      <c r="F1058" s="64"/>
      <c r="G1058" s="58" t="s">
        <v>3163</v>
      </c>
      <c r="H1058" s="291" t="s">
        <v>3164</v>
      </c>
      <c r="I1058" s="291" t="s">
        <v>3164</v>
      </c>
      <c r="J1058" s="52" t="s">
        <v>3165</v>
      </c>
      <c r="K1058" s="229">
        <v>67588000</v>
      </c>
      <c r="L1058" s="52" t="s">
        <v>3165</v>
      </c>
      <c r="M1058" s="229">
        <v>67588000</v>
      </c>
      <c r="N1058" s="52" t="s">
        <v>3165</v>
      </c>
      <c r="O1058" s="229">
        <v>67588000</v>
      </c>
      <c r="P1058" s="52" t="s">
        <v>3165</v>
      </c>
      <c r="Q1058" s="229">
        <v>67588000</v>
      </c>
      <c r="R1058" s="52" t="s">
        <v>3166</v>
      </c>
      <c r="S1058" s="229">
        <v>67588000</v>
      </c>
      <c r="T1058" s="52" t="s">
        <v>3166</v>
      </c>
      <c r="U1058" s="229">
        <v>67588000</v>
      </c>
      <c r="V1058" s="52"/>
      <c r="W1058" s="52"/>
      <c r="X1058" s="52"/>
    </row>
    <row r="1059" spans="2:24" s="165" customFormat="1" ht="45">
      <c r="B1059" s="48"/>
      <c r="C1059" s="62"/>
      <c r="D1059" s="63"/>
      <c r="E1059" s="63"/>
      <c r="F1059" s="64"/>
      <c r="G1059" s="58" t="s">
        <v>3167</v>
      </c>
      <c r="H1059" s="291" t="s">
        <v>3168</v>
      </c>
      <c r="I1059" s="291" t="s">
        <v>3169</v>
      </c>
      <c r="J1059" s="291" t="s">
        <v>3168</v>
      </c>
      <c r="K1059" s="229">
        <v>31468000</v>
      </c>
      <c r="L1059" s="291" t="s">
        <v>3168</v>
      </c>
      <c r="M1059" s="229">
        <v>31468000</v>
      </c>
      <c r="N1059" s="291" t="s">
        <v>3168</v>
      </c>
      <c r="O1059" s="229">
        <v>31468000</v>
      </c>
      <c r="P1059" s="291" t="s">
        <v>3168</v>
      </c>
      <c r="Q1059" s="229">
        <v>31468000</v>
      </c>
      <c r="R1059" s="291" t="s">
        <v>3168</v>
      </c>
      <c r="S1059" s="229">
        <v>31468000</v>
      </c>
      <c r="T1059" s="291" t="s">
        <v>3168</v>
      </c>
      <c r="U1059" s="229">
        <v>31468000</v>
      </c>
      <c r="V1059" s="52"/>
      <c r="W1059" s="52"/>
      <c r="X1059" s="52"/>
    </row>
    <row r="1060" spans="2:24" s="165" customFormat="1" ht="90">
      <c r="B1060" s="48"/>
      <c r="C1060" s="62"/>
      <c r="D1060" s="63"/>
      <c r="E1060" s="63"/>
      <c r="F1060" s="64"/>
      <c r="G1060" s="270" t="s">
        <v>3182</v>
      </c>
      <c r="H1060" s="161">
        <v>1</v>
      </c>
      <c r="I1060" s="52" t="s">
        <v>3183</v>
      </c>
      <c r="J1060" s="52" t="s">
        <v>3184</v>
      </c>
      <c r="K1060" s="251">
        <v>140000000</v>
      </c>
      <c r="L1060" s="52" t="s">
        <v>3185</v>
      </c>
      <c r="M1060" s="251">
        <v>150000000</v>
      </c>
      <c r="N1060" s="52" t="s">
        <v>3186</v>
      </c>
      <c r="O1060" s="251">
        <v>150000000</v>
      </c>
      <c r="P1060" s="52" t="s">
        <v>3186</v>
      </c>
      <c r="Q1060" s="251">
        <v>150000000</v>
      </c>
      <c r="R1060" s="52" t="s">
        <v>3186</v>
      </c>
      <c r="S1060" s="251">
        <v>150000000</v>
      </c>
      <c r="T1060" s="52" t="s">
        <v>3186</v>
      </c>
      <c r="U1060" s="251">
        <v>150000000</v>
      </c>
      <c r="V1060" s="52"/>
      <c r="W1060" s="52"/>
      <c r="X1060" s="52"/>
    </row>
    <row r="1061" spans="2:24" s="165" customFormat="1" ht="105">
      <c r="B1061" s="48"/>
      <c r="C1061" s="62"/>
      <c r="D1061" s="63"/>
      <c r="E1061" s="63"/>
      <c r="F1061" s="64"/>
      <c r="G1061" s="270" t="s">
        <v>3187</v>
      </c>
      <c r="H1061" s="161">
        <v>1</v>
      </c>
      <c r="I1061" s="52"/>
      <c r="J1061" s="335" t="s">
        <v>3188</v>
      </c>
      <c r="K1061" s="251">
        <v>90000000</v>
      </c>
      <c r="L1061" s="335" t="s">
        <v>3189</v>
      </c>
      <c r="M1061" s="251">
        <v>180000000</v>
      </c>
      <c r="N1061" s="335" t="s">
        <v>3190</v>
      </c>
      <c r="O1061" s="251">
        <v>200000000</v>
      </c>
      <c r="P1061" s="335" t="s">
        <v>3190</v>
      </c>
      <c r="Q1061" s="251">
        <v>200000000</v>
      </c>
      <c r="R1061" s="335" t="s">
        <v>3191</v>
      </c>
      <c r="S1061" s="251">
        <v>250000000</v>
      </c>
      <c r="T1061" s="335" t="s">
        <v>3191</v>
      </c>
      <c r="U1061" s="251">
        <v>250000000</v>
      </c>
      <c r="V1061" s="52"/>
      <c r="W1061" s="52"/>
      <c r="X1061" s="52"/>
    </row>
    <row r="1062" spans="2:24" s="165" customFormat="1" ht="105">
      <c r="B1062" s="48"/>
      <c r="C1062" s="62"/>
      <c r="D1062" s="63"/>
      <c r="E1062" s="63"/>
      <c r="F1062" s="64"/>
      <c r="G1062" s="270" t="s">
        <v>3192</v>
      </c>
      <c r="H1062" s="176" t="s">
        <v>743</v>
      </c>
      <c r="I1062" s="52"/>
      <c r="J1062" s="164" t="s">
        <v>3192</v>
      </c>
      <c r="K1062" s="251">
        <v>80000000</v>
      </c>
      <c r="L1062" s="164" t="s">
        <v>3192</v>
      </c>
      <c r="M1062" s="251">
        <v>900000000</v>
      </c>
      <c r="N1062" s="164" t="s">
        <v>3192</v>
      </c>
      <c r="O1062" s="251">
        <v>100000000</v>
      </c>
      <c r="P1062" s="164" t="s">
        <v>3192</v>
      </c>
      <c r="Q1062" s="251">
        <v>110000000</v>
      </c>
      <c r="R1062" s="164" t="s">
        <v>3192</v>
      </c>
      <c r="S1062" s="251">
        <v>120000000</v>
      </c>
      <c r="T1062" s="164" t="s">
        <v>3192</v>
      </c>
      <c r="U1062" s="251">
        <v>120000000</v>
      </c>
      <c r="V1062" s="52"/>
      <c r="W1062" s="52"/>
      <c r="X1062" s="52"/>
    </row>
    <row r="1063" spans="2:24" s="165" customFormat="1" ht="150">
      <c r="B1063" s="48"/>
      <c r="C1063" s="62"/>
      <c r="D1063" s="63"/>
      <c r="E1063" s="63"/>
      <c r="F1063" s="64"/>
      <c r="G1063" s="270" t="s">
        <v>3193</v>
      </c>
      <c r="H1063" s="176" t="s">
        <v>743</v>
      </c>
      <c r="I1063" s="176" t="s">
        <v>743</v>
      </c>
      <c r="J1063" s="52" t="s">
        <v>3194</v>
      </c>
      <c r="K1063" s="251">
        <v>170000000</v>
      </c>
      <c r="L1063" s="176" t="s">
        <v>743</v>
      </c>
      <c r="M1063" s="176" t="s">
        <v>743</v>
      </c>
      <c r="N1063" s="176" t="s">
        <v>743</v>
      </c>
      <c r="O1063" s="176" t="s">
        <v>743</v>
      </c>
      <c r="P1063" s="176" t="s">
        <v>743</v>
      </c>
      <c r="Q1063" s="176" t="s">
        <v>743</v>
      </c>
      <c r="R1063" s="176" t="s">
        <v>743</v>
      </c>
      <c r="S1063" s="176" t="s">
        <v>743</v>
      </c>
      <c r="T1063" s="176" t="s">
        <v>743</v>
      </c>
      <c r="U1063" s="176" t="s">
        <v>743</v>
      </c>
      <c r="V1063" s="52"/>
      <c r="W1063" s="52"/>
      <c r="X1063" s="52"/>
    </row>
    <row r="1064" spans="2:24" s="165" customFormat="1" ht="105">
      <c r="B1064" s="48"/>
      <c r="C1064" s="62"/>
      <c r="D1064" s="63"/>
      <c r="E1064" s="63"/>
      <c r="F1064" s="64"/>
      <c r="G1064" s="270" t="s">
        <v>3195</v>
      </c>
      <c r="H1064" s="52" t="s">
        <v>3196</v>
      </c>
      <c r="I1064" s="176" t="s">
        <v>743</v>
      </c>
      <c r="J1064" s="164" t="s">
        <v>3195</v>
      </c>
      <c r="K1064" s="251">
        <v>75000000</v>
      </c>
      <c r="L1064" s="176" t="s">
        <v>743</v>
      </c>
      <c r="M1064" s="176" t="s">
        <v>743</v>
      </c>
      <c r="N1064" s="176" t="s">
        <v>743</v>
      </c>
      <c r="O1064" s="176" t="s">
        <v>743</v>
      </c>
      <c r="P1064" s="176" t="s">
        <v>743</v>
      </c>
      <c r="Q1064" s="176" t="s">
        <v>743</v>
      </c>
      <c r="R1064" s="176" t="s">
        <v>743</v>
      </c>
      <c r="S1064" s="176" t="s">
        <v>743</v>
      </c>
      <c r="T1064" s="176" t="s">
        <v>743</v>
      </c>
      <c r="U1064" s="176" t="s">
        <v>743</v>
      </c>
      <c r="V1064" s="52"/>
      <c r="W1064" s="52"/>
      <c r="X1064" s="52"/>
    </row>
    <row r="1065" spans="2:24" s="165" customFormat="1" ht="120">
      <c r="B1065" s="48"/>
      <c r="C1065" s="62"/>
      <c r="D1065" s="63"/>
      <c r="E1065" s="63"/>
      <c r="F1065" s="64"/>
      <c r="G1065" s="417" t="s">
        <v>3197</v>
      </c>
      <c r="H1065" s="52" t="s">
        <v>3196</v>
      </c>
      <c r="I1065" s="335" t="s">
        <v>3197</v>
      </c>
      <c r="J1065" s="335" t="s">
        <v>3197</v>
      </c>
      <c r="K1065" s="251">
        <v>100000000</v>
      </c>
      <c r="L1065" s="335" t="s">
        <v>3197</v>
      </c>
      <c r="M1065" s="251">
        <v>105000000</v>
      </c>
      <c r="N1065" s="335" t="s">
        <v>3197</v>
      </c>
      <c r="O1065" s="251">
        <v>110000000</v>
      </c>
      <c r="P1065" s="335" t="s">
        <v>3197</v>
      </c>
      <c r="Q1065" s="251">
        <v>115000000</v>
      </c>
      <c r="R1065" s="335" t="s">
        <v>3197</v>
      </c>
      <c r="S1065" s="251">
        <v>120000000</v>
      </c>
      <c r="T1065" s="335" t="s">
        <v>3197</v>
      </c>
      <c r="U1065" s="251">
        <v>120000000</v>
      </c>
      <c r="V1065" s="52"/>
      <c r="W1065" s="52"/>
      <c r="X1065" s="52"/>
    </row>
    <row r="1066" spans="2:24" s="540" customFormat="1" ht="60">
      <c r="B1066" s="545"/>
      <c r="C1066" s="591" t="str">
        <f>'matrik MISI 6'!J43</f>
        <v>1.20</v>
      </c>
      <c r="D1066" s="592" t="str">
        <f>'matrik MISI 6'!K43</f>
        <v>xx</v>
      </c>
      <c r="E1066" s="592">
        <f>'matrik MISI 6'!L43</f>
        <v>27</v>
      </c>
      <c r="F1066" s="548" t="str">
        <f>'matrik MISI 6'!M43</f>
        <v>Program Penataan Daerah Otonomi Baru</v>
      </c>
      <c r="G1066" s="548"/>
      <c r="H1066" s="550"/>
      <c r="I1066" s="550"/>
      <c r="J1066" s="550"/>
      <c r="K1066" s="551">
        <f>SUM(K1067:K1080)</f>
        <v>10020000000</v>
      </c>
      <c r="L1066" s="551"/>
      <c r="M1066" s="551">
        <f>SUM(M1067:M1080)</f>
        <v>10392000000</v>
      </c>
      <c r="N1066" s="551"/>
      <c r="O1066" s="551">
        <f>SUM(O1067:O1080)</f>
        <v>10354000000</v>
      </c>
      <c r="P1066" s="551"/>
      <c r="Q1066" s="551">
        <f>SUM(Q1067:Q1080)</f>
        <v>10416000000</v>
      </c>
      <c r="R1066" s="551"/>
      <c r="S1066" s="551">
        <f>SUM(S1067:S1080)</f>
        <v>10558000000</v>
      </c>
      <c r="T1066" s="551"/>
      <c r="U1066" s="551">
        <f>SUM(U1067:U1078)</f>
        <v>558000000</v>
      </c>
      <c r="V1066" s="550"/>
      <c r="W1066" s="550"/>
      <c r="X1066" s="550" t="str">
        <f>'matrik MISI 6'!X39</f>
        <v>Bagian Organisasi dan Tata Laksana Setda</v>
      </c>
    </row>
    <row r="1067" spans="2:24" s="165" customFormat="1" ht="120">
      <c r="B1067" s="48"/>
      <c r="C1067" s="62"/>
      <c r="D1067" s="63"/>
      <c r="E1067" s="63"/>
      <c r="F1067" s="64"/>
      <c r="G1067" s="270" t="s">
        <v>3171</v>
      </c>
      <c r="H1067" s="161"/>
      <c r="I1067" s="164" t="s">
        <v>3171</v>
      </c>
      <c r="J1067" s="52"/>
      <c r="K1067" s="52"/>
      <c r="L1067" s="52"/>
      <c r="M1067" s="52"/>
      <c r="N1067" s="52"/>
      <c r="O1067" s="52"/>
      <c r="P1067" s="52"/>
      <c r="Q1067" s="52"/>
      <c r="R1067" s="164" t="s">
        <v>3172</v>
      </c>
      <c r="S1067" s="251">
        <v>70000000</v>
      </c>
      <c r="T1067" s="164" t="s">
        <v>3172</v>
      </c>
      <c r="U1067" s="251">
        <v>70000000</v>
      </c>
      <c r="V1067" s="52"/>
      <c r="W1067" s="52"/>
      <c r="X1067" s="52"/>
    </row>
    <row r="1068" spans="2:24" s="165" customFormat="1" ht="75">
      <c r="B1068" s="48"/>
      <c r="C1068" s="62"/>
      <c r="D1068" s="63"/>
      <c r="E1068" s="63"/>
      <c r="F1068" s="64"/>
      <c r="G1068" s="270" t="s">
        <v>3173</v>
      </c>
      <c r="H1068" s="52"/>
      <c r="I1068" s="52"/>
      <c r="J1068" s="52"/>
      <c r="K1068" s="52"/>
      <c r="L1068" s="52"/>
      <c r="M1068" s="52"/>
      <c r="N1068" s="164" t="s">
        <v>3173</v>
      </c>
      <c r="O1068" s="251">
        <v>20000000</v>
      </c>
      <c r="P1068" s="52"/>
      <c r="Q1068" s="52"/>
      <c r="R1068" s="52"/>
      <c r="S1068" s="52"/>
      <c r="T1068" s="52"/>
      <c r="U1068" s="52"/>
      <c r="V1068" s="52"/>
      <c r="W1068" s="52"/>
      <c r="X1068" s="52"/>
    </row>
    <row r="1069" spans="2:24" s="165" customFormat="1" ht="180">
      <c r="B1069" s="48"/>
      <c r="C1069" s="62"/>
      <c r="D1069" s="63"/>
      <c r="E1069" s="63"/>
      <c r="F1069" s="64"/>
      <c r="G1069" s="270" t="s">
        <v>3174</v>
      </c>
      <c r="H1069" s="52"/>
      <c r="I1069" s="52"/>
      <c r="J1069" s="164" t="s">
        <v>3174</v>
      </c>
      <c r="K1069" s="251">
        <v>20000000</v>
      </c>
      <c r="L1069" s="164" t="s">
        <v>3174</v>
      </c>
      <c r="M1069" s="251">
        <v>22000000</v>
      </c>
      <c r="N1069" s="164" t="s">
        <v>3174</v>
      </c>
      <c r="O1069" s="251">
        <v>24000000</v>
      </c>
      <c r="P1069" s="164" t="s">
        <v>3174</v>
      </c>
      <c r="Q1069" s="251">
        <v>26000000</v>
      </c>
      <c r="R1069" s="164" t="s">
        <v>3174</v>
      </c>
      <c r="S1069" s="251">
        <v>28000000</v>
      </c>
      <c r="T1069" s="164" t="s">
        <v>3174</v>
      </c>
      <c r="U1069" s="251">
        <v>28000000</v>
      </c>
      <c r="V1069" s="52"/>
      <c r="W1069" s="52"/>
      <c r="X1069" s="52"/>
    </row>
    <row r="1070" spans="2:24" s="165" customFormat="1" ht="120">
      <c r="B1070" s="48"/>
      <c r="C1070" s="62"/>
      <c r="D1070" s="63"/>
      <c r="E1070" s="63"/>
      <c r="F1070" s="64"/>
      <c r="G1070" s="270" t="s">
        <v>3175</v>
      </c>
      <c r="H1070" s="161">
        <v>1</v>
      </c>
      <c r="I1070" s="164" t="s">
        <v>3175</v>
      </c>
      <c r="J1070" s="52"/>
      <c r="K1070" s="52"/>
      <c r="L1070" s="52"/>
      <c r="M1070" s="52"/>
      <c r="N1070" s="52"/>
      <c r="O1070" s="52"/>
      <c r="P1070" s="164" t="s">
        <v>3175</v>
      </c>
      <c r="Q1070" s="251">
        <v>150000000</v>
      </c>
      <c r="R1070" s="52"/>
      <c r="S1070" s="52"/>
      <c r="T1070" s="52"/>
      <c r="U1070" s="52"/>
      <c r="V1070" s="52"/>
      <c r="W1070" s="52"/>
      <c r="X1070" s="52"/>
    </row>
    <row r="1071" spans="2:24" s="165" customFormat="1" ht="105">
      <c r="B1071" s="48"/>
      <c r="C1071" s="62"/>
      <c r="D1071" s="63"/>
      <c r="E1071" s="63"/>
      <c r="F1071" s="64"/>
      <c r="G1071" s="270" t="s">
        <v>3176</v>
      </c>
      <c r="H1071" s="52"/>
      <c r="I1071" s="52"/>
      <c r="J1071" s="164" t="s">
        <v>3176</v>
      </c>
      <c r="K1071" s="251">
        <v>150000000</v>
      </c>
      <c r="L1071" s="52"/>
      <c r="M1071" s="52"/>
      <c r="N1071" s="52"/>
      <c r="O1071" s="52"/>
      <c r="P1071" s="52"/>
      <c r="Q1071" s="52"/>
      <c r="R1071" s="164" t="s">
        <v>3176</v>
      </c>
      <c r="S1071" s="251">
        <v>50000000</v>
      </c>
      <c r="T1071" s="164" t="s">
        <v>3176</v>
      </c>
      <c r="U1071" s="251">
        <v>50000000</v>
      </c>
      <c r="V1071" s="52"/>
      <c r="W1071" s="52"/>
      <c r="X1071" s="52"/>
    </row>
    <row r="1072" spans="2:24" s="165" customFormat="1" ht="45">
      <c r="B1072" s="48"/>
      <c r="C1072" s="62"/>
      <c r="D1072" s="63"/>
      <c r="E1072" s="63"/>
      <c r="F1072" s="64"/>
      <c r="G1072" s="270" t="s">
        <v>3177</v>
      </c>
      <c r="H1072" s="52"/>
      <c r="I1072" s="52"/>
      <c r="J1072" s="164" t="s">
        <v>3177</v>
      </c>
      <c r="K1072" s="251">
        <v>265000000</v>
      </c>
      <c r="L1072" s="52"/>
      <c r="M1072" s="52"/>
      <c r="N1072" s="52"/>
      <c r="O1072" s="52"/>
      <c r="P1072" s="52"/>
      <c r="Q1072" s="52"/>
      <c r="R1072" s="164" t="s">
        <v>3177</v>
      </c>
      <c r="S1072" s="251">
        <v>150000000</v>
      </c>
      <c r="T1072" s="164" t="s">
        <v>3177</v>
      </c>
      <c r="U1072" s="251">
        <v>150000000</v>
      </c>
      <c r="V1072" s="52"/>
      <c r="W1072" s="52"/>
      <c r="X1072" s="52"/>
    </row>
    <row r="1073" spans="2:24" s="165" customFormat="1" ht="60">
      <c r="B1073" s="48"/>
      <c r="C1073" s="62"/>
      <c r="D1073" s="63"/>
      <c r="E1073" s="63"/>
      <c r="F1073" s="64"/>
      <c r="G1073" s="270" t="s">
        <v>3178</v>
      </c>
      <c r="H1073" s="52"/>
      <c r="I1073" s="52"/>
      <c r="J1073" s="164" t="s">
        <v>3178</v>
      </c>
      <c r="K1073" s="251">
        <v>20000000</v>
      </c>
      <c r="L1073" s="52"/>
      <c r="M1073" s="52"/>
      <c r="N1073" s="164" t="s">
        <v>3178</v>
      </c>
      <c r="O1073" s="251">
        <v>20000000</v>
      </c>
      <c r="P1073" s="52"/>
      <c r="Q1073" s="52"/>
      <c r="R1073" s="52"/>
      <c r="S1073" s="52"/>
      <c r="T1073" s="52"/>
      <c r="U1073" s="52"/>
      <c r="V1073" s="52"/>
      <c r="W1073" s="52"/>
      <c r="X1073" s="52"/>
    </row>
    <row r="1074" spans="2:24" s="165" customFormat="1" ht="45">
      <c r="B1074" s="48"/>
      <c r="C1074" s="56"/>
      <c r="D1074" s="57"/>
      <c r="E1074" s="57"/>
      <c r="F1074" s="58"/>
      <c r="G1074" s="55" t="s">
        <v>4678</v>
      </c>
      <c r="H1074" s="52"/>
      <c r="I1074" s="52"/>
      <c r="J1074" s="52"/>
      <c r="K1074" s="746">
        <v>40000000</v>
      </c>
      <c r="L1074" s="746"/>
      <c r="M1074" s="746">
        <v>40000000</v>
      </c>
      <c r="N1074" s="746"/>
      <c r="O1074" s="746">
        <v>40000000</v>
      </c>
      <c r="P1074" s="746"/>
      <c r="Q1074" s="746">
        <v>40000000</v>
      </c>
      <c r="R1074" s="746"/>
      <c r="S1074" s="746">
        <v>40000000</v>
      </c>
      <c r="T1074" s="746"/>
      <c r="U1074" s="746">
        <v>40000000</v>
      </c>
      <c r="V1074" s="52"/>
      <c r="W1074" s="52"/>
      <c r="X1074" s="51" t="s">
        <v>4671</v>
      </c>
    </row>
    <row r="1075" spans="2:24" s="165" customFormat="1" ht="45">
      <c r="B1075" s="48"/>
      <c r="C1075" s="62"/>
      <c r="D1075" s="63"/>
      <c r="E1075" s="63"/>
      <c r="F1075" s="64"/>
      <c r="G1075" s="270" t="s">
        <v>3179</v>
      </c>
      <c r="H1075" s="191">
        <v>0.93330000000000002</v>
      </c>
      <c r="I1075" s="164" t="s">
        <v>3179</v>
      </c>
      <c r="J1075" s="52"/>
      <c r="K1075" s="52"/>
      <c r="L1075" s="52"/>
      <c r="M1075" s="52"/>
      <c r="N1075" s="164" t="s">
        <v>3179</v>
      </c>
      <c r="O1075" s="251">
        <v>50000000</v>
      </c>
      <c r="P1075" s="52"/>
      <c r="Q1075" s="52"/>
      <c r="R1075" s="52"/>
      <c r="S1075" s="52"/>
      <c r="T1075" s="52"/>
      <c r="U1075" s="52"/>
      <c r="V1075" s="52"/>
      <c r="W1075" s="52"/>
      <c r="X1075" s="52"/>
    </row>
    <row r="1076" spans="2:24" s="165" customFormat="1" ht="75">
      <c r="B1076" s="48"/>
      <c r="C1076" s="62"/>
      <c r="D1076" s="63"/>
      <c r="E1076" s="63"/>
      <c r="F1076" s="64"/>
      <c r="G1076" s="58" t="s">
        <v>3180</v>
      </c>
      <c r="H1076" s="52"/>
      <c r="I1076" s="52"/>
      <c r="J1076" s="52"/>
      <c r="K1076" s="52"/>
      <c r="L1076" s="52" t="s">
        <v>3180</v>
      </c>
      <c r="M1076" s="251">
        <v>150000000</v>
      </c>
      <c r="N1076" s="52"/>
      <c r="O1076" s="52"/>
      <c r="P1076" s="52"/>
      <c r="Q1076" s="52"/>
      <c r="R1076" s="52"/>
      <c r="S1076" s="52"/>
      <c r="T1076" s="52"/>
      <c r="U1076" s="52"/>
      <c r="V1076" s="52"/>
      <c r="W1076" s="52"/>
      <c r="X1076" s="52"/>
    </row>
    <row r="1077" spans="2:24" s="165" customFormat="1" ht="90">
      <c r="B1077" s="48"/>
      <c r="C1077" s="62"/>
      <c r="D1077" s="63"/>
      <c r="E1077" s="63"/>
      <c r="F1077" s="64"/>
      <c r="G1077" s="270" t="s">
        <v>3181</v>
      </c>
      <c r="H1077" s="52"/>
      <c r="I1077" s="52"/>
      <c r="J1077" s="52"/>
      <c r="K1077" s="52"/>
      <c r="L1077" s="164" t="s">
        <v>3181</v>
      </c>
      <c r="M1077" s="251">
        <v>30000000</v>
      </c>
      <c r="N1077" s="52"/>
      <c r="O1077" s="52"/>
      <c r="P1077" s="52"/>
      <c r="Q1077" s="52"/>
      <c r="R1077" s="52"/>
      <c r="S1077" s="52"/>
      <c r="T1077" s="52"/>
      <c r="U1077" s="52"/>
      <c r="V1077" s="52"/>
      <c r="W1077" s="52"/>
      <c r="X1077" s="52"/>
    </row>
    <row r="1078" spans="2:24" s="165" customFormat="1" ht="60">
      <c r="B1078" s="48"/>
      <c r="C1078" s="62"/>
      <c r="D1078" s="63"/>
      <c r="E1078" s="63"/>
      <c r="F1078" s="64"/>
      <c r="G1078" s="270" t="s">
        <v>3208</v>
      </c>
      <c r="H1078" s="161">
        <v>1</v>
      </c>
      <c r="I1078" s="52" t="s">
        <v>3209</v>
      </c>
      <c r="J1078" s="52" t="s">
        <v>3210</v>
      </c>
      <c r="K1078" s="251">
        <v>85000000</v>
      </c>
      <c r="L1078" s="52" t="s">
        <v>3210</v>
      </c>
      <c r="M1078" s="251">
        <v>150000000</v>
      </c>
      <c r="N1078" s="52" t="s">
        <v>3211</v>
      </c>
      <c r="O1078" s="251">
        <v>200000000</v>
      </c>
      <c r="P1078" s="52" t="s">
        <v>3211</v>
      </c>
      <c r="Q1078" s="251">
        <v>200000000</v>
      </c>
      <c r="R1078" s="52" t="s">
        <v>3212</v>
      </c>
      <c r="S1078" s="251">
        <v>220000000</v>
      </c>
      <c r="T1078" s="52" t="s">
        <v>3212</v>
      </c>
      <c r="U1078" s="251">
        <v>220000000</v>
      </c>
      <c r="V1078" s="52"/>
      <c r="W1078" s="52"/>
      <c r="X1078" s="52"/>
    </row>
    <row r="1079" spans="2:24" s="165" customFormat="1" ht="30">
      <c r="B1079" s="48"/>
      <c r="C1079" s="56"/>
      <c r="D1079" s="57"/>
      <c r="E1079" s="57"/>
      <c r="F1079" s="58"/>
      <c r="G1079" s="55" t="s">
        <v>4232</v>
      </c>
      <c r="H1079" s="161">
        <v>1</v>
      </c>
      <c r="I1079" s="161">
        <v>1</v>
      </c>
      <c r="J1079" s="161">
        <v>1</v>
      </c>
      <c r="K1079" s="259">
        <f>7500000000-560000000</f>
        <v>6940000000</v>
      </c>
      <c r="L1079" s="161">
        <v>1</v>
      </c>
      <c r="M1079" s="746">
        <v>7500000000</v>
      </c>
      <c r="N1079" s="161">
        <v>1</v>
      </c>
      <c r="O1079" s="259">
        <f>M1079</f>
        <v>7500000000</v>
      </c>
      <c r="P1079" s="161">
        <v>1</v>
      </c>
      <c r="Q1079" s="259">
        <f>O1079</f>
        <v>7500000000</v>
      </c>
      <c r="R1079" s="161">
        <v>1</v>
      </c>
      <c r="S1079" s="259">
        <f>Q1079</f>
        <v>7500000000</v>
      </c>
      <c r="T1079" s="161">
        <v>1</v>
      </c>
      <c r="U1079" s="259">
        <f>S1079</f>
        <v>7500000000</v>
      </c>
      <c r="V1079" s="52"/>
      <c r="W1079" s="52"/>
      <c r="X1079" s="52"/>
    </row>
    <row r="1080" spans="2:24" s="165" customFormat="1" ht="30">
      <c r="B1080" s="48"/>
      <c r="C1080" s="56"/>
      <c r="D1080" s="57"/>
      <c r="E1080" s="57"/>
      <c r="F1080" s="58"/>
      <c r="G1080" s="55" t="s">
        <v>4233</v>
      </c>
      <c r="H1080" s="161">
        <v>1</v>
      </c>
      <c r="I1080" s="161">
        <v>1</v>
      </c>
      <c r="J1080" s="161">
        <v>1</v>
      </c>
      <c r="K1080" s="259">
        <v>2500000000</v>
      </c>
      <c r="L1080" s="161">
        <v>1</v>
      </c>
      <c r="M1080" s="259">
        <f>K1080</f>
        <v>2500000000</v>
      </c>
      <c r="N1080" s="161">
        <v>1</v>
      </c>
      <c r="O1080" s="746">
        <f>M1080</f>
        <v>2500000000</v>
      </c>
      <c r="P1080" s="161">
        <v>1</v>
      </c>
      <c r="Q1080" s="746">
        <f>O1080</f>
        <v>2500000000</v>
      </c>
      <c r="R1080" s="161">
        <v>1</v>
      </c>
      <c r="S1080" s="746">
        <f>Q1080</f>
        <v>2500000000</v>
      </c>
      <c r="T1080" s="161">
        <v>1</v>
      </c>
      <c r="U1080" s="259">
        <f>S1080</f>
        <v>2500000000</v>
      </c>
      <c r="V1080" s="52"/>
      <c r="W1080" s="52"/>
      <c r="X1080" s="52"/>
    </row>
    <row r="1081" spans="2:24" s="540" customFormat="1" ht="45">
      <c r="B1081" s="545"/>
      <c r="C1081" s="591" t="str">
        <f>'matrik MISI 6'!J24</f>
        <v>1.20</v>
      </c>
      <c r="D1081" s="592" t="str">
        <f>'matrik MISI 6'!K24</f>
        <v>xx</v>
      </c>
      <c r="E1081" s="592">
        <f>'matrik MISI 6'!L24</f>
        <v>32</v>
      </c>
      <c r="F1081" s="548" t="str">
        <f>'matrik MISI 6'!M24</f>
        <v>Program Pendidikan Kedinasan</v>
      </c>
      <c r="G1081" s="548"/>
      <c r="H1081" s="550"/>
      <c r="I1081" s="550"/>
      <c r="J1081" s="550"/>
      <c r="K1081" s="551">
        <f>SUM(K1082)</f>
        <v>999845000</v>
      </c>
      <c r="L1081" s="551"/>
      <c r="M1081" s="551">
        <f t="shared" ref="M1081:U1081" si="98">SUM(M1082)</f>
        <v>1000000000</v>
      </c>
      <c r="N1081" s="551"/>
      <c r="O1081" s="551">
        <f t="shared" si="98"/>
        <v>1250000000</v>
      </c>
      <c r="P1081" s="551"/>
      <c r="Q1081" s="551">
        <f t="shared" si="98"/>
        <v>1250000000</v>
      </c>
      <c r="R1081" s="551"/>
      <c r="S1081" s="551">
        <f t="shared" si="98"/>
        <v>1250000000</v>
      </c>
      <c r="T1081" s="551"/>
      <c r="U1081" s="551">
        <f t="shared" si="98"/>
        <v>1250000000</v>
      </c>
      <c r="V1081" s="550"/>
      <c r="W1081" s="550"/>
      <c r="X1081" s="550" t="str">
        <f>'matrik MISI 6'!X24</f>
        <v>Badan Kepegawaian Daerah (BKD)</v>
      </c>
    </row>
    <row r="1082" spans="2:24" s="165" customFormat="1" ht="60">
      <c r="B1082" s="48"/>
      <c r="C1082" s="62"/>
      <c r="D1082" s="63"/>
      <c r="E1082" s="63"/>
      <c r="F1082" s="64"/>
      <c r="G1082" s="58" t="s">
        <v>3220</v>
      </c>
      <c r="H1082" s="52">
        <v>26</v>
      </c>
      <c r="I1082" s="252">
        <v>25</v>
      </c>
      <c r="J1082" s="252">
        <v>43</v>
      </c>
      <c r="K1082" s="252">
        <v>999845000</v>
      </c>
      <c r="L1082" s="252">
        <v>45</v>
      </c>
      <c r="M1082" s="252">
        <v>1000000000</v>
      </c>
      <c r="N1082" s="252">
        <v>50</v>
      </c>
      <c r="O1082" s="252">
        <v>1250000000</v>
      </c>
      <c r="P1082" s="252">
        <v>50</v>
      </c>
      <c r="Q1082" s="742">
        <v>1250000000</v>
      </c>
      <c r="R1082" s="252">
        <v>50</v>
      </c>
      <c r="S1082" s="742">
        <v>1250000000</v>
      </c>
      <c r="T1082" s="252">
        <v>50</v>
      </c>
      <c r="U1082" s="742">
        <v>1250000000</v>
      </c>
      <c r="V1082" s="52"/>
      <c r="W1082" s="52"/>
      <c r="X1082" s="52"/>
    </row>
    <row r="1083" spans="2:24" s="540" customFormat="1" ht="75">
      <c r="B1083" s="545"/>
      <c r="C1083" s="593" t="str">
        <f>'matrik MISI 6'!J22</f>
        <v>1.20</v>
      </c>
      <c r="D1083" s="594" t="str">
        <f>'matrik MISI 6'!K22</f>
        <v>xx</v>
      </c>
      <c r="E1083" s="594">
        <f>'matrik MISI 6'!L22</f>
        <v>33</v>
      </c>
      <c r="F1083" s="595" t="str">
        <f>'matrik MISI 6'!M22</f>
        <v>Program Peningkatan Kapasitas Sumber Daya Aparatur</v>
      </c>
      <c r="G1083" s="548"/>
      <c r="H1083" s="550"/>
      <c r="I1083" s="550"/>
      <c r="J1083" s="550"/>
      <c r="K1083" s="551">
        <f>SUM(K1084:K1091)</f>
        <v>744900000</v>
      </c>
      <c r="L1083" s="551"/>
      <c r="M1083" s="551">
        <f t="shared" ref="M1083:U1083" si="99">SUM(M1084:M1091)</f>
        <v>2190000000</v>
      </c>
      <c r="N1083" s="551"/>
      <c r="O1083" s="551">
        <f t="shared" si="99"/>
        <v>2195000000</v>
      </c>
      <c r="P1083" s="551"/>
      <c r="Q1083" s="551">
        <f t="shared" si="99"/>
        <v>2275000000</v>
      </c>
      <c r="R1083" s="551"/>
      <c r="S1083" s="551">
        <f t="shared" si="99"/>
        <v>2390000000</v>
      </c>
      <c r="T1083" s="551"/>
      <c r="U1083" s="551">
        <f t="shared" si="99"/>
        <v>2390000000</v>
      </c>
      <c r="V1083" s="550"/>
      <c r="W1083" s="550"/>
      <c r="X1083" s="550" t="str">
        <f>'matrik MISI 6'!X27</f>
        <v>Badan Kepegawaian Daerah (BKD)</v>
      </c>
    </row>
    <row r="1084" spans="2:24" s="165" customFormat="1" ht="45">
      <c r="B1084" s="48"/>
      <c r="C1084" s="62"/>
      <c r="D1084" s="63"/>
      <c r="E1084" s="63"/>
      <c r="F1084" s="64"/>
      <c r="G1084" s="58" t="s">
        <v>3213</v>
      </c>
      <c r="H1084" s="176">
        <v>202</v>
      </c>
      <c r="I1084" s="253" t="s">
        <v>743</v>
      </c>
      <c r="J1084" s="252">
        <v>8</v>
      </c>
      <c r="K1084" s="252">
        <v>125000000</v>
      </c>
      <c r="L1084" s="252">
        <v>261</v>
      </c>
      <c r="M1084" s="252">
        <v>1540000000</v>
      </c>
      <c r="N1084" s="252">
        <v>225</v>
      </c>
      <c r="O1084" s="252">
        <v>1500000000</v>
      </c>
      <c r="P1084" s="252">
        <v>225</v>
      </c>
      <c r="Q1084" s="252">
        <v>1600000000</v>
      </c>
      <c r="R1084" s="252">
        <v>225</v>
      </c>
      <c r="S1084" s="252">
        <v>1700000000</v>
      </c>
      <c r="T1084" s="252">
        <v>225</v>
      </c>
      <c r="U1084" s="252">
        <v>1700000000</v>
      </c>
      <c r="V1084" s="52"/>
      <c r="W1084" s="52"/>
      <c r="X1084" s="52"/>
    </row>
    <row r="1085" spans="2:24" s="165" customFormat="1" ht="75">
      <c r="B1085" s="48"/>
      <c r="C1085" s="62"/>
      <c r="D1085" s="63"/>
      <c r="E1085" s="63"/>
      <c r="F1085" s="64"/>
      <c r="G1085" s="58" t="s">
        <v>3214</v>
      </c>
      <c r="H1085" s="52">
        <v>140</v>
      </c>
      <c r="I1085" s="253">
        <v>110</v>
      </c>
      <c r="J1085" s="252">
        <v>110</v>
      </c>
      <c r="K1085" s="252">
        <v>150000000</v>
      </c>
      <c r="L1085" s="252">
        <v>120</v>
      </c>
      <c r="M1085" s="252">
        <v>200000000</v>
      </c>
      <c r="N1085" s="252">
        <v>120</v>
      </c>
      <c r="O1085" s="252">
        <v>200000000</v>
      </c>
      <c r="P1085" s="252">
        <v>120</v>
      </c>
      <c r="Q1085" s="252">
        <v>200000000</v>
      </c>
      <c r="R1085" s="252">
        <v>120</v>
      </c>
      <c r="S1085" s="252">
        <v>200000000</v>
      </c>
      <c r="T1085" s="252">
        <v>120</v>
      </c>
      <c r="U1085" s="252">
        <v>200000000</v>
      </c>
      <c r="V1085" s="52"/>
      <c r="W1085" s="52"/>
      <c r="X1085" s="52"/>
    </row>
    <row r="1086" spans="2:24" s="165" customFormat="1" ht="45">
      <c r="B1086" s="48"/>
      <c r="C1086" s="62"/>
      <c r="D1086" s="63"/>
      <c r="E1086" s="63"/>
      <c r="F1086" s="64"/>
      <c r="G1086" s="58" t="s">
        <v>3215</v>
      </c>
      <c r="H1086" s="176" t="s">
        <v>743</v>
      </c>
      <c r="I1086" s="253" t="s">
        <v>743</v>
      </c>
      <c r="J1086" s="252">
        <v>261</v>
      </c>
      <c r="K1086" s="252">
        <v>130500000</v>
      </c>
      <c r="L1086" s="252">
        <v>225</v>
      </c>
      <c r="M1086" s="252">
        <v>100000000</v>
      </c>
      <c r="N1086" s="252">
        <v>225</v>
      </c>
      <c r="O1086" s="252">
        <v>100000000</v>
      </c>
      <c r="P1086" s="252">
        <v>225</v>
      </c>
      <c r="Q1086" s="252">
        <v>100000000</v>
      </c>
      <c r="R1086" s="252">
        <v>225</v>
      </c>
      <c r="S1086" s="252">
        <v>100000000</v>
      </c>
      <c r="T1086" s="252">
        <v>225</v>
      </c>
      <c r="U1086" s="252">
        <v>100000000</v>
      </c>
      <c r="V1086" s="52"/>
      <c r="W1086" s="52"/>
      <c r="X1086" s="52"/>
    </row>
    <row r="1087" spans="2:24" s="165" customFormat="1" ht="90">
      <c r="B1087" s="48"/>
      <c r="C1087" s="62"/>
      <c r="D1087" s="63"/>
      <c r="E1087" s="63"/>
      <c r="F1087" s="64"/>
      <c r="G1087" s="58" t="s">
        <v>3216</v>
      </c>
      <c r="H1087" s="176" t="s">
        <v>743</v>
      </c>
      <c r="I1087" s="252">
        <v>375</v>
      </c>
      <c r="J1087" s="253" t="s">
        <v>743</v>
      </c>
      <c r="K1087" s="253" t="s">
        <v>743</v>
      </c>
      <c r="L1087" s="253" t="s">
        <v>743</v>
      </c>
      <c r="M1087" s="253" t="s">
        <v>743</v>
      </c>
      <c r="N1087" s="252">
        <v>300</v>
      </c>
      <c r="O1087" s="252">
        <v>30000000</v>
      </c>
      <c r="P1087" s="253" t="s">
        <v>743</v>
      </c>
      <c r="Q1087" s="253" t="s">
        <v>743</v>
      </c>
      <c r="R1087" s="253" t="s">
        <v>743</v>
      </c>
      <c r="S1087" s="253" t="s">
        <v>743</v>
      </c>
      <c r="T1087" s="253" t="s">
        <v>743</v>
      </c>
      <c r="U1087" s="253" t="s">
        <v>743</v>
      </c>
      <c r="V1087" s="52"/>
      <c r="W1087" s="52"/>
      <c r="X1087" s="52"/>
    </row>
    <row r="1088" spans="2:24" s="165" customFormat="1" ht="60">
      <c r="B1088" s="48"/>
      <c r="C1088" s="62"/>
      <c r="D1088" s="63"/>
      <c r="E1088" s="63"/>
      <c r="F1088" s="64"/>
      <c r="G1088" s="58" t="s">
        <v>3217</v>
      </c>
      <c r="H1088" s="176" t="s">
        <v>743</v>
      </c>
      <c r="I1088" s="253" t="s">
        <v>743</v>
      </c>
      <c r="J1088" s="252">
        <v>24</v>
      </c>
      <c r="K1088" s="252">
        <v>20000000</v>
      </c>
      <c r="L1088" s="252">
        <v>24</v>
      </c>
      <c r="M1088" s="252">
        <v>20000000</v>
      </c>
      <c r="N1088" s="252">
        <v>24</v>
      </c>
      <c r="O1088" s="252">
        <v>20000000</v>
      </c>
      <c r="P1088" s="252">
        <v>24</v>
      </c>
      <c r="Q1088" s="252">
        <v>20000000</v>
      </c>
      <c r="R1088" s="252">
        <v>24</v>
      </c>
      <c r="S1088" s="252">
        <v>20000000</v>
      </c>
      <c r="T1088" s="252">
        <v>24</v>
      </c>
      <c r="U1088" s="252">
        <v>20000000</v>
      </c>
      <c r="V1088" s="52"/>
      <c r="W1088" s="52"/>
      <c r="X1088" s="52"/>
    </row>
    <row r="1089" spans="2:24" s="165" customFormat="1" ht="45">
      <c r="B1089" s="48"/>
      <c r="C1089" s="62"/>
      <c r="D1089" s="63"/>
      <c r="E1089" s="63"/>
      <c r="F1089" s="64"/>
      <c r="G1089" s="58" t="s">
        <v>3218</v>
      </c>
      <c r="H1089" s="176" t="s">
        <v>743</v>
      </c>
      <c r="I1089" s="253" t="s">
        <v>743</v>
      </c>
      <c r="J1089" s="252">
        <v>150</v>
      </c>
      <c r="K1089" s="252">
        <v>149400000</v>
      </c>
      <c r="L1089" s="252">
        <v>150</v>
      </c>
      <c r="M1089" s="252">
        <v>150000000</v>
      </c>
      <c r="N1089" s="252">
        <v>150</v>
      </c>
      <c r="O1089" s="252">
        <v>150000000</v>
      </c>
      <c r="P1089" s="252">
        <v>150</v>
      </c>
      <c r="Q1089" s="252">
        <v>150000000</v>
      </c>
      <c r="R1089" s="252">
        <v>150</v>
      </c>
      <c r="S1089" s="252">
        <v>150000000</v>
      </c>
      <c r="T1089" s="252">
        <v>150</v>
      </c>
      <c r="U1089" s="252">
        <v>150000000</v>
      </c>
      <c r="V1089" s="52"/>
      <c r="W1089" s="52"/>
      <c r="X1089" s="52"/>
    </row>
    <row r="1090" spans="2:24" s="165" customFormat="1" ht="60">
      <c r="B1090" s="48"/>
      <c r="C1090" s="62"/>
      <c r="D1090" s="63"/>
      <c r="E1090" s="63"/>
      <c r="F1090" s="64"/>
      <c r="G1090" s="55" t="s">
        <v>4676</v>
      </c>
      <c r="H1090" s="176"/>
      <c r="I1090" s="743"/>
      <c r="J1090" s="742"/>
      <c r="K1090" s="742">
        <v>20000000</v>
      </c>
      <c r="L1090" s="742"/>
      <c r="M1090" s="742">
        <v>20000000</v>
      </c>
      <c r="N1090" s="742"/>
      <c r="O1090" s="742">
        <v>25000000</v>
      </c>
      <c r="P1090" s="742"/>
      <c r="Q1090" s="742">
        <v>25000000</v>
      </c>
      <c r="R1090" s="742"/>
      <c r="S1090" s="742">
        <v>30000000</v>
      </c>
      <c r="T1090" s="742"/>
      <c r="U1090" s="742">
        <v>30000000</v>
      </c>
      <c r="V1090" s="52"/>
      <c r="W1090" s="52"/>
      <c r="X1090" s="51" t="s">
        <v>4671</v>
      </c>
    </row>
    <row r="1091" spans="2:24" s="165" customFormat="1" ht="60">
      <c r="B1091" s="48"/>
      <c r="C1091" s="62"/>
      <c r="D1091" s="63"/>
      <c r="E1091" s="63"/>
      <c r="F1091" s="64"/>
      <c r="G1091" s="58" t="s">
        <v>3219</v>
      </c>
      <c r="H1091" s="52">
        <v>180</v>
      </c>
      <c r="I1091" s="253" t="s">
        <v>743</v>
      </c>
      <c r="J1091" s="252">
        <v>50</v>
      </c>
      <c r="K1091" s="252">
        <v>150000000</v>
      </c>
      <c r="L1091" s="252">
        <v>50</v>
      </c>
      <c r="M1091" s="252">
        <v>160000000</v>
      </c>
      <c r="N1091" s="252">
        <v>50</v>
      </c>
      <c r="O1091" s="252">
        <v>170000000</v>
      </c>
      <c r="P1091" s="252">
        <v>50</v>
      </c>
      <c r="Q1091" s="252">
        <v>180000000</v>
      </c>
      <c r="R1091" s="252">
        <v>50</v>
      </c>
      <c r="S1091" s="252">
        <v>190000000</v>
      </c>
      <c r="T1091" s="252">
        <v>50</v>
      </c>
      <c r="U1091" s="252">
        <v>190000000</v>
      </c>
      <c r="V1091" s="52"/>
      <c r="W1091" s="52"/>
      <c r="X1091" s="52"/>
    </row>
    <row r="1092" spans="2:24" s="540" customFormat="1" ht="60">
      <c r="B1092" s="545"/>
      <c r="C1092" s="593" t="str">
        <f>'matrik MISI 6'!J25</f>
        <v>1.20</v>
      </c>
      <c r="D1092" s="594" t="str">
        <f>'matrik MISI 6'!K25</f>
        <v>xx</v>
      </c>
      <c r="E1092" s="594">
        <f>'matrik MISI 6'!L25</f>
        <v>34</v>
      </c>
      <c r="F1092" s="595" t="str">
        <f>'matrik MISI 6'!M25</f>
        <v>Program Pembinaan dan Pengembangan Aparatur</v>
      </c>
      <c r="G1092" s="548"/>
      <c r="H1092" s="550"/>
      <c r="I1092" s="550"/>
      <c r="J1092" s="550"/>
      <c r="K1092" s="551">
        <f>SUM(K1093:K1106)</f>
        <v>1335970000</v>
      </c>
      <c r="L1092" s="551"/>
      <c r="M1092" s="551">
        <f t="shared" ref="M1092:S1092" si="100">SUM(M1093:M1106)</f>
        <v>1114500000</v>
      </c>
      <c r="N1092" s="551"/>
      <c r="O1092" s="551">
        <f t="shared" si="100"/>
        <v>1120500000</v>
      </c>
      <c r="P1092" s="551"/>
      <c r="Q1092" s="551">
        <f t="shared" si="100"/>
        <v>1120500000</v>
      </c>
      <c r="R1092" s="551"/>
      <c r="S1092" s="551">
        <f t="shared" si="100"/>
        <v>1120500000</v>
      </c>
      <c r="T1092" s="550"/>
      <c r="U1092" s="550"/>
      <c r="V1092" s="550"/>
      <c r="W1092" s="550"/>
      <c r="X1092" s="550" t="str">
        <f>'matrik MISI 6'!X25</f>
        <v>Badan Kepegawaian Daerah (BKD)</v>
      </c>
    </row>
    <row r="1093" spans="2:24" s="165" customFormat="1" ht="90">
      <c r="B1093" s="48"/>
      <c r="C1093" s="62"/>
      <c r="D1093" s="63"/>
      <c r="E1093" s="63"/>
      <c r="F1093" s="64"/>
      <c r="G1093" s="58" t="s">
        <v>3221</v>
      </c>
      <c r="H1093" s="52">
        <v>27</v>
      </c>
      <c r="I1093" s="252">
        <v>25</v>
      </c>
      <c r="J1093" s="252">
        <v>25</v>
      </c>
      <c r="K1093" s="252">
        <v>15000000</v>
      </c>
      <c r="L1093" s="252">
        <v>25</v>
      </c>
      <c r="M1093" s="252">
        <v>20000000</v>
      </c>
      <c r="N1093" s="252">
        <v>25</v>
      </c>
      <c r="O1093" s="252">
        <v>20000000</v>
      </c>
      <c r="P1093" s="252">
        <v>25</v>
      </c>
      <c r="Q1093" s="252">
        <v>20000000</v>
      </c>
      <c r="R1093" s="252">
        <v>25</v>
      </c>
      <c r="S1093" s="252">
        <v>20000000</v>
      </c>
      <c r="T1093" s="252">
        <v>25</v>
      </c>
      <c r="U1093" s="252">
        <v>20000000</v>
      </c>
      <c r="V1093" s="52"/>
      <c r="W1093" s="52"/>
      <c r="X1093" s="52"/>
    </row>
    <row r="1094" spans="2:24" s="165" customFormat="1" ht="45">
      <c r="B1094" s="48"/>
      <c r="C1094" s="62"/>
      <c r="D1094" s="63"/>
      <c r="E1094" s="63"/>
      <c r="F1094" s="64"/>
      <c r="G1094" s="58" t="s">
        <v>3222</v>
      </c>
      <c r="H1094" s="52" t="s">
        <v>743</v>
      </c>
      <c r="I1094" s="252">
        <v>10</v>
      </c>
      <c r="J1094" s="252" t="s">
        <v>743</v>
      </c>
      <c r="K1094" s="252" t="s">
        <v>743</v>
      </c>
      <c r="L1094" s="252">
        <v>10</v>
      </c>
      <c r="M1094" s="252">
        <v>15000000</v>
      </c>
      <c r="N1094" s="252">
        <v>10</v>
      </c>
      <c r="O1094" s="252">
        <v>15000000</v>
      </c>
      <c r="P1094" s="252">
        <v>10</v>
      </c>
      <c r="Q1094" s="252">
        <v>15000000</v>
      </c>
      <c r="R1094" s="252">
        <v>10</v>
      </c>
      <c r="S1094" s="252">
        <v>15000000</v>
      </c>
      <c r="T1094" s="252">
        <v>10</v>
      </c>
      <c r="U1094" s="252">
        <v>15000000</v>
      </c>
      <c r="V1094" s="52"/>
      <c r="W1094" s="52"/>
      <c r="X1094" s="52"/>
    </row>
    <row r="1095" spans="2:24" s="165" customFormat="1" ht="60">
      <c r="B1095" s="48"/>
      <c r="C1095" s="62"/>
      <c r="D1095" s="63"/>
      <c r="E1095" s="63"/>
      <c r="F1095" s="64"/>
      <c r="G1095" s="58" t="s">
        <v>3223</v>
      </c>
      <c r="H1095" s="52">
        <v>49</v>
      </c>
      <c r="I1095" s="252">
        <v>50</v>
      </c>
      <c r="J1095" s="252">
        <v>55</v>
      </c>
      <c r="K1095" s="252">
        <v>7500000</v>
      </c>
      <c r="L1095" s="252">
        <v>55</v>
      </c>
      <c r="M1095" s="252">
        <v>7500000</v>
      </c>
      <c r="N1095" s="252">
        <v>55</v>
      </c>
      <c r="O1095" s="252">
        <v>7500000</v>
      </c>
      <c r="P1095" s="252">
        <v>55</v>
      </c>
      <c r="Q1095" s="252">
        <v>7500000</v>
      </c>
      <c r="R1095" s="252">
        <v>55</v>
      </c>
      <c r="S1095" s="252">
        <v>7500000</v>
      </c>
      <c r="T1095" s="252">
        <v>55</v>
      </c>
      <c r="U1095" s="252">
        <v>7500000</v>
      </c>
      <c r="V1095" s="52"/>
      <c r="W1095" s="52"/>
      <c r="X1095" s="52"/>
    </row>
    <row r="1096" spans="2:24" s="165" customFormat="1" ht="30">
      <c r="B1096" s="48"/>
      <c r="C1096" s="62"/>
      <c r="D1096" s="63"/>
      <c r="E1096" s="63"/>
      <c r="F1096" s="64"/>
      <c r="G1096" s="58" t="s">
        <v>3224</v>
      </c>
      <c r="H1096" s="176">
        <v>8</v>
      </c>
      <c r="I1096" s="252">
        <v>261</v>
      </c>
      <c r="J1096" s="252">
        <v>225</v>
      </c>
      <c r="K1096" s="252">
        <v>500000000</v>
      </c>
      <c r="L1096" s="252">
        <v>225</v>
      </c>
      <c r="M1096" s="252">
        <v>500000000</v>
      </c>
      <c r="N1096" s="252">
        <v>225</v>
      </c>
      <c r="O1096" s="252">
        <v>500000000</v>
      </c>
      <c r="P1096" s="252">
        <v>225</v>
      </c>
      <c r="Q1096" s="252">
        <v>500000000</v>
      </c>
      <c r="R1096" s="252">
        <v>225</v>
      </c>
      <c r="S1096" s="252">
        <v>500000000</v>
      </c>
      <c r="T1096" s="252">
        <v>225</v>
      </c>
      <c r="U1096" s="252">
        <v>500000000</v>
      </c>
      <c r="V1096" s="52"/>
      <c r="W1096" s="52"/>
      <c r="X1096" s="52"/>
    </row>
    <row r="1097" spans="2:24" s="165" customFormat="1" ht="45">
      <c r="B1097" s="48"/>
      <c r="C1097" s="62"/>
      <c r="D1097" s="63"/>
      <c r="E1097" s="63"/>
      <c r="F1097" s="64"/>
      <c r="G1097" s="58" t="s">
        <v>3225</v>
      </c>
      <c r="H1097" s="176">
        <v>202</v>
      </c>
      <c r="I1097" s="253">
        <v>8</v>
      </c>
      <c r="J1097" s="252">
        <v>261</v>
      </c>
      <c r="K1097" s="252">
        <v>13600000</v>
      </c>
      <c r="L1097" s="252">
        <v>225</v>
      </c>
      <c r="M1097" s="252">
        <v>13000000</v>
      </c>
      <c r="N1097" s="252">
        <v>225</v>
      </c>
      <c r="O1097" s="252">
        <v>13000000</v>
      </c>
      <c r="P1097" s="252">
        <v>225</v>
      </c>
      <c r="Q1097" s="252">
        <v>13000000</v>
      </c>
      <c r="R1097" s="252">
        <v>225</v>
      </c>
      <c r="S1097" s="252">
        <v>13000000</v>
      </c>
      <c r="T1097" s="252">
        <v>225</v>
      </c>
      <c r="U1097" s="252">
        <v>13000000</v>
      </c>
      <c r="V1097" s="52"/>
      <c r="W1097" s="52"/>
      <c r="X1097" s="52"/>
    </row>
    <row r="1098" spans="2:24" s="165" customFormat="1" ht="45">
      <c r="B1098" s="48"/>
      <c r="C1098" s="62"/>
      <c r="D1098" s="63"/>
      <c r="E1098" s="63"/>
      <c r="F1098" s="64"/>
      <c r="G1098" s="58" t="s">
        <v>3226</v>
      </c>
      <c r="H1098" s="52">
        <v>12</v>
      </c>
      <c r="I1098" s="252">
        <v>18</v>
      </c>
      <c r="J1098" s="252">
        <v>18</v>
      </c>
      <c r="K1098" s="252">
        <v>159675000</v>
      </c>
      <c r="L1098" s="252">
        <v>12</v>
      </c>
      <c r="M1098" s="252">
        <v>110000000</v>
      </c>
      <c r="N1098" s="252">
        <v>12</v>
      </c>
      <c r="O1098" s="252">
        <v>110000000</v>
      </c>
      <c r="P1098" s="252">
        <v>12</v>
      </c>
      <c r="Q1098" s="252">
        <v>110000000</v>
      </c>
      <c r="R1098" s="252">
        <v>12</v>
      </c>
      <c r="S1098" s="252">
        <v>110000000</v>
      </c>
      <c r="T1098" s="252">
        <v>12</v>
      </c>
      <c r="U1098" s="252">
        <v>110000000</v>
      </c>
      <c r="V1098" s="52"/>
      <c r="W1098" s="52"/>
      <c r="X1098" s="52"/>
    </row>
    <row r="1099" spans="2:24" s="165" customFormat="1" ht="45">
      <c r="B1099" s="48"/>
      <c r="C1099" s="62"/>
      <c r="D1099" s="63"/>
      <c r="E1099" s="63"/>
      <c r="F1099" s="64"/>
      <c r="G1099" s="58" t="s">
        <v>3227</v>
      </c>
      <c r="H1099" s="176" t="s">
        <v>743</v>
      </c>
      <c r="I1099" s="253" t="s">
        <v>743</v>
      </c>
      <c r="J1099" s="252">
        <v>300</v>
      </c>
      <c r="K1099" s="252">
        <v>207000000</v>
      </c>
      <c r="L1099" s="252">
        <v>10</v>
      </c>
      <c r="M1099" s="252">
        <v>30000000</v>
      </c>
      <c r="N1099" s="252">
        <v>10</v>
      </c>
      <c r="O1099" s="252">
        <v>35000000</v>
      </c>
      <c r="P1099" s="252">
        <v>10</v>
      </c>
      <c r="Q1099" s="252">
        <v>35000000</v>
      </c>
      <c r="R1099" s="252">
        <v>10</v>
      </c>
      <c r="S1099" s="252">
        <v>35000000</v>
      </c>
      <c r="T1099" s="252">
        <v>10</v>
      </c>
      <c r="U1099" s="252">
        <v>35000000</v>
      </c>
      <c r="V1099" s="52"/>
      <c r="W1099" s="52"/>
      <c r="X1099" s="52"/>
    </row>
    <row r="1100" spans="2:24" s="165" customFormat="1" ht="45">
      <c r="B1100" s="48"/>
      <c r="C1100" s="62"/>
      <c r="D1100" s="63"/>
      <c r="E1100" s="63"/>
      <c r="F1100" s="64"/>
      <c r="G1100" s="58" t="s">
        <v>3228</v>
      </c>
      <c r="H1100" s="52">
        <v>1</v>
      </c>
      <c r="I1100" s="252">
        <v>1</v>
      </c>
      <c r="J1100" s="252">
        <v>1</v>
      </c>
      <c r="K1100" s="252">
        <v>14775000</v>
      </c>
      <c r="L1100" s="252">
        <v>1</v>
      </c>
      <c r="M1100" s="252">
        <v>15000000</v>
      </c>
      <c r="N1100" s="252">
        <v>1</v>
      </c>
      <c r="O1100" s="252">
        <v>15000000</v>
      </c>
      <c r="P1100" s="252">
        <v>1</v>
      </c>
      <c r="Q1100" s="252">
        <v>15000000</v>
      </c>
      <c r="R1100" s="252">
        <v>1</v>
      </c>
      <c r="S1100" s="252">
        <v>15000000</v>
      </c>
      <c r="T1100" s="252">
        <v>1</v>
      </c>
      <c r="U1100" s="252">
        <v>15000000</v>
      </c>
      <c r="V1100" s="52"/>
      <c r="W1100" s="52"/>
      <c r="X1100" s="52"/>
    </row>
    <row r="1101" spans="2:24" s="165" customFormat="1" ht="45">
      <c r="B1101" s="48"/>
      <c r="C1101" s="62"/>
      <c r="D1101" s="63"/>
      <c r="E1101" s="63"/>
      <c r="F1101" s="64"/>
      <c r="G1101" s="58" t="s">
        <v>3229</v>
      </c>
      <c r="H1101" s="52">
        <v>27</v>
      </c>
      <c r="I1101" s="252">
        <v>16</v>
      </c>
      <c r="J1101" s="252">
        <v>14</v>
      </c>
      <c r="K1101" s="252">
        <v>63000000</v>
      </c>
      <c r="L1101" s="252">
        <v>20</v>
      </c>
      <c r="M1101" s="252">
        <v>70000000</v>
      </c>
      <c r="N1101" s="252">
        <v>20</v>
      </c>
      <c r="O1101" s="252">
        <v>70000000</v>
      </c>
      <c r="P1101" s="252">
        <v>20</v>
      </c>
      <c r="Q1101" s="252">
        <v>70000000</v>
      </c>
      <c r="R1101" s="252">
        <v>20</v>
      </c>
      <c r="S1101" s="252">
        <v>70000000</v>
      </c>
      <c r="T1101" s="252">
        <v>20</v>
      </c>
      <c r="U1101" s="252">
        <v>70000000</v>
      </c>
      <c r="V1101" s="52"/>
      <c r="W1101" s="52"/>
      <c r="X1101" s="52"/>
    </row>
    <row r="1102" spans="2:24" s="165" customFormat="1" ht="75">
      <c r="B1102" s="48"/>
      <c r="C1102" s="62"/>
      <c r="D1102" s="63"/>
      <c r="E1102" s="63"/>
      <c r="F1102" s="64"/>
      <c r="G1102" s="58" t="s">
        <v>3230</v>
      </c>
      <c r="H1102" s="52">
        <v>1524</v>
      </c>
      <c r="I1102" s="252">
        <v>1600</v>
      </c>
      <c r="J1102" s="252">
        <v>1500</v>
      </c>
      <c r="K1102" s="252">
        <v>75000000</v>
      </c>
      <c r="L1102" s="252">
        <v>1500</v>
      </c>
      <c r="M1102" s="252">
        <v>75000000</v>
      </c>
      <c r="N1102" s="252">
        <v>1400</v>
      </c>
      <c r="O1102" s="252">
        <v>75000000</v>
      </c>
      <c r="P1102" s="252">
        <v>1300</v>
      </c>
      <c r="Q1102" s="252">
        <v>75000000</v>
      </c>
      <c r="R1102" s="252">
        <v>1200</v>
      </c>
      <c r="S1102" s="252">
        <v>75000000</v>
      </c>
      <c r="T1102" s="252">
        <v>1200</v>
      </c>
      <c r="U1102" s="252">
        <v>75000000</v>
      </c>
      <c r="V1102" s="52"/>
      <c r="W1102" s="52"/>
      <c r="X1102" s="52"/>
    </row>
    <row r="1103" spans="2:24" s="165" customFormat="1" ht="75">
      <c r="B1103" s="48"/>
      <c r="C1103" s="62"/>
      <c r="D1103" s="63"/>
      <c r="E1103" s="63"/>
      <c r="F1103" s="64"/>
      <c r="G1103" s="58" t="s">
        <v>3231</v>
      </c>
      <c r="H1103" s="52">
        <v>1065</v>
      </c>
      <c r="I1103" s="252">
        <v>860</v>
      </c>
      <c r="J1103" s="252">
        <v>392</v>
      </c>
      <c r="K1103" s="252">
        <v>20000000</v>
      </c>
      <c r="L1103" s="252">
        <v>550</v>
      </c>
      <c r="M1103" s="252">
        <v>20000000</v>
      </c>
      <c r="N1103" s="252">
        <v>555</v>
      </c>
      <c r="O1103" s="252">
        <v>20000000</v>
      </c>
      <c r="P1103" s="252">
        <v>560</v>
      </c>
      <c r="Q1103" s="252">
        <v>20000000</v>
      </c>
      <c r="R1103" s="252">
        <v>528</v>
      </c>
      <c r="S1103" s="252">
        <v>20000000</v>
      </c>
      <c r="T1103" s="252">
        <v>528</v>
      </c>
      <c r="U1103" s="252">
        <v>20000000</v>
      </c>
      <c r="V1103" s="52"/>
      <c r="W1103" s="52"/>
      <c r="X1103" s="52"/>
    </row>
    <row r="1104" spans="2:24" s="165" customFormat="1" ht="90">
      <c r="B1104" s="48"/>
      <c r="C1104" s="62"/>
      <c r="D1104" s="63"/>
      <c r="E1104" s="63"/>
      <c r="F1104" s="64"/>
      <c r="G1104" s="58" t="s">
        <v>3232</v>
      </c>
      <c r="H1104" s="260" t="s">
        <v>3233</v>
      </c>
      <c r="I1104" s="252" t="s">
        <v>3234</v>
      </c>
      <c r="J1104" s="252" t="s">
        <v>3235</v>
      </c>
      <c r="K1104" s="252">
        <v>40000000</v>
      </c>
      <c r="L1104" s="252" t="s">
        <v>3234</v>
      </c>
      <c r="M1104" s="252">
        <v>20000000</v>
      </c>
      <c r="N1104" s="252" t="s">
        <v>3234</v>
      </c>
      <c r="O1104" s="252">
        <v>20000000</v>
      </c>
      <c r="P1104" s="252" t="s">
        <v>3234</v>
      </c>
      <c r="Q1104" s="252">
        <v>20000000</v>
      </c>
      <c r="R1104" s="252" t="s">
        <v>3234</v>
      </c>
      <c r="S1104" s="252">
        <v>20000000</v>
      </c>
      <c r="T1104" s="252" t="s">
        <v>3234</v>
      </c>
      <c r="U1104" s="252">
        <v>20000000</v>
      </c>
      <c r="V1104" s="52"/>
      <c r="W1104" s="52"/>
      <c r="X1104" s="52"/>
    </row>
    <row r="1105" spans="1:32" s="165" customFormat="1" ht="60">
      <c r="B1105" s="48"/>
      <c r="C1105" s="62"/>
      <c r="D1105" s="63"/>
      <c r="E1105" s="63"/>
      <c r="F1105" s="64"/>
      <c r="G1105" s="58" t="s">
        <v>3236</v>
      </c>
      <c r="H1105" s="52">
        <v>10</v>
      </c>
      <c r="I1105" s="252">
        <v>10</v>
      </c>
      <c r="J1105" s="252">
        <v>7</v>
      </c>
      <c r="K1105" s="252">
        <v>32020000</v>
      </c>
      <c r="L1105" s="252">
        <v>5</v>
      </c>
      <c r="M1105" s="252">
        <v>30000000</v>
      </c>
      <c r="N1105" s="252">
        <v>5</v>
      </c>
      <c r="O1105" s="252">
        <v>30000000</v>
      </c>
      <c r="P1105" s="252">
        <v>5</v>
      </c>
      <c r="Q1105" s="252">
        <v>30000000</v>
      </c>
      <c r="R1105" s="252">
        <v>5</v>
      </c>
      <c r="S1105" s="252">
        <v>30000000</v>
      </c>
      <c r="T1105" s="252">
        <v>5</v>
      </c>
      <c r="U1105" s="252">
        <v>30000000</v>
      </c>
      <c r="V1105" s="52"/>
      <c r="W1105" s="52"/>
      <c r="X1105" s="52"/>
    </row>
    <row r="1106" spans="1:32" s="165" customFormat="1" ht="45">
      <c r="B1106" s="48"/>
      <c r="C1106" s="62"/>
      <c r="D1106" s="63"/>
      <c r="E1106" s="63"/>
      <c r="F1106" s="64"/>
      <c r="G1106" s="58" t="s">
        <v>3237</v>
      </c>
      <c r="H1106" s="176" t="s">
        <v>743</v>
      </c>
      <c r="I1106" s="253" t="s">
        <v>743</v>
      </c>
      <c r="J1106" s="252">
        <v>72</v>
      </c>
      <c r="K1106" s="252">
        <v>188400000</v>
      </c>
      <c r="L1106" s="252">
        <v>72</v>
      </c>
      <c r="M1106" s="252">
        <v>189000000</v>
      </c>
      <c r="N1106" s="252">
        <v>72</v>
      </c>
      <c r="O1106" s="252">
        <v>190000000</v>
      </c>
      <c r="P1106" s="252">
        <v>72</v>
      </c>
      <c r="Q1106" s="252">
        <v>190000000</v>
      </c>
      <c r="R1106" s="252">
        <v>72</v>
      </c>
      <c r="S1106" s="252">
        <v>190000000</v>
      </c>
      <c r="T1106" s="252">
        <v>72</v>
      </c>
      <c r="U1106" s="252">
        <v>190000000</v>
      </c>
      <c r="V1106" s="52"/>
      <c r="W1106" s="52"/>
      <c r="X1106" s="52"/>
    </row>
    <row r="1107" spans="1:32" s="280" customFormat="1" ht="33.75" customHeight="1">
      <c r="A1107" s="285"/>
      <c r="B1107" s="1093" t="s">
        <v>4252</v>
      </c>
      <c r="C1107" s="1094"/>
      <c r="D1107" s="1094"/>
      <c r="E1107" s="1094"/>
      <c r="F1107" s="1094"/>
      <c r="G1107" s="1095"/>
      <c r="H1107" s="382"/>
      <c r="I1107" s="382"/>
      <c r="J1107" s="382"/>
      <c r="K1107" s="382">
        <f>K1092+K1083+K1081+K1066+K1051+K1049+K1041+K1035+K1023+K1018+K1006+K990+K986+K975</f>
        <v>31652731200</v>
      </c>
      <c r="L1107" s="748"/>
      <c r="M1107" s="748">
        <f t="shared" ref="M1107:U1107" si="101">M1092+M1083+M1081+M1066+M1051+M1049+M1041+M1035+M1023+M1018+M1006+M990+M986+M975</f>
        <v>35307891100</v>
      </c>
      <c r="N1107" s="748"/>
      <c r="O1107" s="748">
        <f t="shared" si="101"/>
        <v>35599324100.869995</v>
      </c>
      <c r="P1107" s="748"/>
      <c r="Q1107" s="748">
        <f t="shared" si="101"/>
        <v>37110724160.869995</v>
      </c>
      <c r="R1107" s="748"/>
      <c r="S1107" s="748">
        <f t="shared" si="101"/>
        <v>38915327726.900002</v>
      </c>
      <c r="T1107" s="748"/>
      <c r="U1107" s="748">
        <f t="shared" si="101"/>
        <v>26306033461.73</v>
      </c>
      <c r="V1107" s="385" t="e">
        <f>#REF!-#REF!</f>
        <v>#REF!</v>
      </c>
      <c r="W1107" s="385" t="e">
        <f>#REF!-#REF!</f>
        <v>#REF!</v>
      </c>
      <c r="X1107" s="274"/>
      <c r="Y1107" s="285"/>
      <c r="Z1107" s="285"/>
      <c r="AA1107" s="285"/>
      <c r="AB1107" s="285"/>
      <c r="AC1107" s="285"/>
      <c r="AD1107" s="285"/>
      <c r="AE1107" s="285"/>
      <c r="AF1107" s="285"/>
    </row>
    <row r="1108" spans="1:32" ht="30">
      <c r="A1108" s="165">
        <v>1</v>
      </c>
      <c r="B1108" s="62" t="str">
        <f>'matrik MISI 1'!B59</f>
        <v>KETAHANAN PANGAN</v>
      </c>
      <c r="C1108" s="56"/>
      <c r="D1108" s="57"/>
      <c r="E1108" s="57"/>
      <c r="F1108" s="58"/>
      <c r="G1108" s="58"/>
      <c r="H1108" s="259"/>
      <c r="I1108" s="259"/>
      <c r="J1108" s="259"/>
      <c r="K1108" s="259"/>
      <c r="L1108" s="259"/>
      <c r="M1108" s="259"/>
      <c r="N1108" s="259"/>
      <c r="O1108" s="259"/>
      <c r="P1108" s="259"/>
      <c r="Q1108" s="259"/>
      <c r="R1108" s="259"/>
      <c r="S1108" s="259"/>
      <c r="T1108" s="259"/>
      <c r="U1108" s="259"/>
      <c r="V1108" s="259"/>
      <c r="W1108" s="259"/>
      <c r="X1108" s="259"/>
      <c r="Y1108" s="165"/>
      <c r="Z1108" s="165"/>
      <c r="AA1108" s="165"/>
      <c r="AB1108" s="165"/>
      <c r="AC1108" s="165"/>
      <c r="AD1108" s="165"/>
      <c r="AE1108" s="165"/>
      <c r="AF1108" s="165"/>
    </row>
    <row r="1109" spans="1:32" s="540" customFormat="1" ht="60">
      <c r="B1109" s="545"/>
      <c r="C1109" s="593" t="str">
        <f>'matrik MISI 1'!J60</f>
        <v>1.21</v>
      </c>
      <c r="D1109" s="594" t="str">
        <f>'matrik MISI 1'!K60</f>
        <v>xx</v>
      </c>
      <c r="E1109" s="594">
        <f>'matrik MISI 1'!L60</f>
        <v>16</v>
      </c>
      <c r="F1109" s="595" t="str">
        <f>'matrik MISI 1'!M60</f>
        <v>Program peningkatan ketahanan pangan</v>
      </c>
      <c r="G1109" s="548"/>
      <c r="H1109" s="551"/>
      <c r="I1109" s="551"/>
      <c r="J1109" s="551"/>
      <c r="K1109" s="551">
        <f>SUM(K1110:K1137)</f>
        <v>321997000</v>
      </c>
      <c r="L1109" s="551"/>
      <c r="M1109" s="551">
        <f t="shared" ref="M1109:U1109" si="102">SUM(M1110:M1137)</f>
        <v>604000000</v>
      </c>
      <c r="N1109" s="551"/>
      <c r="O1109" s="551">
        <f t="shared" si="102"/>
        <v>646500000</v>
      </c>
      <c r="P1109" s="551"/>
      <c r="Q1109" s="551">
        <f t="shared" si="102"/>
        <v>692500000</v>
      </c>
      <c r="R1109" s="551"/>
      <c r="S1109" s="551">
        <f t="shared" si="102"/>
        <v>720000000</v>
      </c>
      <c r="T1109" s="551"/>
      <c r="U1109" s="551">
        <f t="shared" si="102"/>
        <v>680000000</v>
      </c>
      <c r="V1109" s="551"/>
      <c r="W1109" s="551"/>
      <c r="X1109" s="551" t="str">
        <f>'matrik MISI 1'!X60</f>
        <v>KKP</v>
      </c>
    </row>
    <row r="1110" spans="1:32" ht="75">
      <c r="A1110" s="165"/>
      <c r="B1110" s="48"/>
      <c r="C1110" s="62"/>
      <c r="D1110" s="63"/>
      <c r="E1110" s="63"/>
      <c r="F1110" s="64"/>
      <c r="G1110" s="58" t="s">
        <v>3244</v>
      </c>
      <c r="H1110" s="52" t="s">
        <v>3245</v>
      </c>
      <c r="I1110" s="52" t="s">
        <v>3245</v>
      </c>
      <c r="J1110" s="52" t="s">
        <v>3245</v>
      </c>
      <c r="K1110" s="260">
        <f>[2]Sheet1!$H$56</f>
        <v>14398500</v>
      </c>
      <c r="L1110" s="52" t="str">
        <f>J1110</f>
        <v>1 kali rakor</v>
      </c>
      <c r="M1110" s="260">
        <v>15000000</v>
      </c>
      <c r="N1110" s="52" t="str">
        <f>L1110</f>
        <v>1 kali rakor</v>
      </c>
      <c r="O1110" s="260">
        <v>16000000</v>
      </c>
      <c r="P1110" s="52" t="str">
        <f>N1110</f>
        <v>1 kali rakor</v>
      </c>
      <c r="Q1110" s="260">
        <v>17500000</v>
      </c>
      <c r="R1110" s="52" t="str">
        <f>P1110</f>
        <v>1 kali rakor</v>
      </c>
      <c r="S1110" s="260">
        <v>19000000</v>
      </c>
      <c r="T1110" s="52" t="str">
        <f>R1110</f>
        <v>1 kali rakor</v>
      </c>
      <c r="U1110" s="260">
        <v>19000000</v>
      </c>
      <c r="V1110" s="259"/>
      <c r="W1110" s="259"/>
      <c r="X1110" s="259"/>
      <c r="Y1110" s="165"/>
      <c r="Z1110" s="165"/>
      <c r="AA1110" s="165"/>
      <c r="AB1110" s="165"/>
      <c r="AC1110" s="165"/>
      <c r="AD1110" s="165"/>
      <c r="AE1110" s="165"/>
      <c r="AF1110" s="165"/>
    </row>
    <row r="1111" spans="1:32" ht="45">
      <c r="A1111" s="165"/>
      <c r="B1111" s="48"/>
      <c r="C1111" s="62"/>
      <c r="D1111" s="63"/>
      <c r="E1111" s="63"/>
      <c r="F1111" s="64"/>
      <c r="G1111" s="58" t="s">
        <v>3246</v>
      </c>
      <c r="H1111" s="52" t="s">
        <v>3247</v>
      </c>
      <c r="I1111" s="52" t="s">
        <v>3247</v>
      </c>
      <c r="J1111" s="52" t="s">
        <v>3247</v>
      </c>
      <c r="K1111" s="260">
        <f>[2]Sheet1!$H$53</f>
        <v>13500000</v>
      </c>
      <c r="L1111" s="52" t="s">
        <v>3247</v>
      </c>
      <c r="M1111" s="260">
        <v>17000000</v>
      </c>
      <c r="N1111" s="52" t="s">
        <v>3247</v>
      </c>
      <c r="O1111" s="260">
        <v>17000000</v>
      </c>
      <c r="P1111" s="52" t="s">
        <v>3247</v>
      </c>
      <c r="Q1111" s="260">
        <v>17000000</v>
      </c>
      <c r="R1111" s="52" t="s">
        <v>3247</v>
      </c>
      <c r="S1111" s="260">
        <v>17000000</v>
      </c>
      <c r="T1111" s="52" t="s">
        <v>3247</v>
      </c>
      <c r="U1111" s="260">
        <v>17000000</v>
      </c>
      <c r="V1111" s="259"/>
      <c r="W1111" s="259"/>
      <c r="X1111" s="259"/>
      <c r="Y1111" s="165"/>
      <c r="Z1111" s="165"/>
      <c r="AA1111" s="165"/>
      <c r="AB1111" s="165"/>
      <c r="AC1111" s="165"/>
      <c r="AD1111" s="165"/>
      <c r="AE1111" s="165"/>
      <c r="AF1111" s="165"/>
    </row>
    <row r="1112" spans="1:32" ht="30">
      <c r="A1112" s="165"/>
      <c r="B1112" s="48"/>
      <c r="C1112" s="62"/>
      <c r="D1112" s="63"/>
      <c r="E1112" s="63"/>
      <c r="F1112" s="64"/>
      <c r="G1112" s="58" t="s">
        <v>3248</v>
      </c>
      <c r="H1112" s="52" t="s">
        <v>3249</v>
      </c>
      <c r="I1112" s="52" t="s">
        <v>3250</v>
      </c>
      <c r="J1112" s="52" t="s">
        <v>3251</v>
      </c>
      <c r="K1112" s="260">
        <f>[2]Sheet1!$H$95</f>
        <v>20000000</v>
      </c>
      <c r="L1112" s="52" t="s">
        <v>3251</v>
      </c>
      <c r="M1112" s="260">
        <v>22000000</v>
      </c>
      <c r="N1112" s="52" t="s">
        <v>3251</v>
      </c>
      <c r="O1112" s="260">
        <v>24000000</v>
      </c>
      <c r="P1112" s="52" t="s">
        <v>3251</v>
      </c>
      <c r="Q1112" s="260">
        <v>26000000</v>
      </c>
      <c r="R1112" s="52" t="s">
        <v>3251</v>
      </c>
      <c r="S1112" s="260">
        <v>28000000</v>
      </c>
      <c r="T1112" s="52" t="s">
        <v>3251</v>
      </c>
      <c r="U1112" s="260">
        <v>28000000</v>
      </c>
      <c r="V1112" s="259"/>
      <c r="W1112" s="259"/>
      <c r="X1112" s="259"/>
      <c r="Y1112" s="165"/>
      <c r="Z1112" s="165"/>
      <c r="AA1112" s="165"/>
      <c r="AB1112" s="165"/>
      <c r="AC1112" s="165"/>
      <c r="AD1112" s="165"/>
      <c r="AE1112" s="165"/>
      <c r="AF1112" s="165"/>
    </row>
    <row r="1113" spans="1:32" ht="45">
      <c r="A1113" s="165"/>
      <c r="B1113" s="48"/>
      <c r="C1113" s="62"/>
      <c r="D1113" s="63"/>
      <c r="E1113" s="63"/>
      <c r="F1113" s="64"/>
      <c r="G1113" s="58" t="s">
        <v>3252</v>
      </c>
      <c r="H1113" s="52" t="s">
        <v>3249</v>
      </c>
      <c r="I1113" s="52" t="s">
        <v>3250</v>
      </c>
      <c r="J1113" s="52" t="s">
        <v>3253</v>
      </c>
      <c r="K1113" s="52"/>
      <c r="L1113" s="52" t="s">
        <v>3251</v>
      </c>
      <c r="M1113" s="52"/>
      <c r="N1113" s="52" t="s">
        <v>3251</v>
      </c>
      <c r="O1113" s="52"/>
      <c r="P1113" s="52" t="s">
        <v>3251</v>
      </c>
      <c r="Q1113" s="52"/>
      <c r="R1113" s="52" t="s">
        <v>3251</v>
      </c>
      <c r="S1113" s="260"/>
      <c r="T1113" s="52" t="s">
        <v>3251</v>
      </c>
      <c r="U1113" s="260"/>
      <c r="V1113" s="259"/>
      <c r="W1113" s="259"/>
      <c r="X1113" s="259"/>
      <c r="Y1113" s="165"/>
      <c r="Z1113" s="165"/>
      <c r="AA1113" s="165"/>
      <c r="AB1113" s="165"/>
      <c r="AC1113" s="165"/>
      <c r="AD1113" s="165"/>
      <c r="AE1113" s="165"/>
      <c r="AF1113" s="165"/>
    </row>
    <row r="1114" spans="1:32" ht="45">
      <c r="A1114" s="165"/>
      <c r="B1114" s="48"/>
      <c r="C1114" s="62"/>
      <c r="D1114" s="63"/>
      <c r="E1114" s="63"/>
      <c r="F1114" s="64"/>
      <c r="G1114" s="58" t="s">
        <v>3254</v>
      </c>
      <c r="H1114" s="52"/>
      <c r="I1114" s="52"/>
      <c r="J1114" s="52"/>
      <c r="K1114" s="52"/>
      <c r="L1114" s="52"/>
      <c r="M1114" s="52"/>
      <c r="N1114" s="52"/>
      <c r="O1114" s="52"/>
      <c r="P1114" s="52"/>
      <c r="Q1114" s="52"/>
      <c r="R1114" s="52"/>
      <c r="S1114" s="52"/>
      <c r="T1114" s="52"/>
      <c r="U1114" s="52"/>
      <c r="V1114" s="259"/>
      <c r="W1114" s="259"/>
      <c r="X1114" s="259"/>
      <c r="Y1114" s="165"/>
      <c r="Z1114" s="165"/>
      <c r="AA1114" s="165"/>
      <c r="AB1114" s="165"/>
      <c r="AC1114" s="165"/>
      <c r="AD1114" s="165"/>
      <c r="AE1114" s="165"/>
      <c r="AF1114" s="165"/>
    </row>
    <row r="1115" spans="1:32" ht="30">
      <c r="A1115" s="165"/>
      <c r="B1115" s="48"/>
      <c r="C1115" s="62"/>
      <c r="D1115" s="63"/>
      <c r="E1115" s="63"/>
      <c r="F1115" s="64"/>
      <c r="G1115" s="173" t="s">
        <v>3255</v>
      </c>
      <c r="H1115" s="52" t="s">
        <v>3249</v>
      </c>
      <c r="I1115" s="52" t="s">
        <v>3250</v>
      </c>
      <c r="J1115" s="52" t="s">
        <v>3253</v>
      </c>
      <c r="K1115" s="260">
        <v>48000000</v>
      </c>
      <c r="L1115" s="52" t="s">
        <v>3256</v>
      </c>
      <c r="M1115" s="260">
        <v>30000000</v>
      </c>
      <c r="N1115" s="52" t="s">
        <v>3256</v>
      </c>
      <c r="O1115" s="260">
        <v>30000000</v>
      </c>
      <c r="P1115" s="52" t="s">
        <v>3256</v>
      </c>
      <c r="Q1115" s="260">
        <v>30000000</v>
      </c>
      <c r="R1115" s="52" t="s">
        <v>3256</v>
      </c>
      <c r="S1115" s="260">
        <v>30000000</v>
      </c>
      <c r="T1115" s="52" t="s">
        <v>3256</v>
      </c>
      <c r="U1115" s="260">
        <v>30000000</v>
      </c>
      <c r="V1115" s="259"/>
      <c r="W1115" s="259"/>
      <c r="X1115" s="259"/>
      <c r="Y1115" s="165"/>
      <c r="Z1115" s="165"/>
      <c r="AA1115" s="165"/>
      <c r="AB1115" s="165"/>
      <c r="AC1115" s="165"/>
      <c r="AD1115" s="165"/>
      <c r="AE1115" s="165"/>
      <c r="AF1115" s="165"/>
    </row>
    <row r="1116" spans="1:32">
      <c r="A1116" s="165"/>
      <c r="B1116" s="48"/>
      <c r="C1116" s="62"/>
      <c r="D1116" s="63"/>
      <c r="E1116" s="63"/>
      <c r="F1116" s="64"/>
      <c r="G1116" s="173" t="s">
        <v>3257</v>
      </c>
      <c r="H1116" s="52">
        <v>0</v>
      </c>
      <c r="I1116" s="52">
        <v>0</v>
      </c>
      <c r="J1116" s="52">
        <v>0</v>
      </c>
      <c r="K1116" s="52">
        <v>0</v>
      </c>
      <c r="L1116" s="52" t="s">
        <v>3258</v>
      </c>
      <c r="M1116" s="260">
        <v>45000000</v>
      </c>
      <c r="N1116" s="52" t="s">
        <v>3258</v>
      </c>
      <c r="O1116" s="260">
        <v>45000000</v>
      </c>
      <c r="P1116" s="52" t="s">
        <v>3258</v>
      </c>
      <c r="Q1116" s="260">
        <v>45000000</v>
      </c>
      <c r="R1116" s="52" t="s">
        <v>3258</v>
      </c>
      <c r="S1116" s="260">
        <v>45000000</v>
      </c>
      <c r="T1116" s="52" t="s">
        <v>3258</v>
      </c>
      <c r="U1116" s="260">
        <v>45000000</v>
      </c>
      <c r="V1116" s="259"/>
      <c r="W1116" s="259"/>
      <c r="X1116" s="259"/>
      <c r="Y1116" s="165"/>
      <c r="Z1116" s="165"/>
      <c r="AA1116" s="165"/>
      <c r="AB1116" s="165"/>
      <c r="AC1116" s="165"/>
      <c r="AD1116" s="165"/>
      <c r="AE1116" s="165"/>
      <c r="AF1116" s="165"/>
    </row>
    <row r="1117" spans="1:32" ht="90">
      <c r="A1117" s="165"/>
      <c r="B1117" s="48"/>
      <c r="C1117" s="62"/>
      <c r="D1117" s="63"/>
      <c r="E1117" s="63"/>
      <c r="F1117" s="64"/>
      <c r="G1117" s="58" t="s">
        <v>3259</v>
      </c>
      <c r="H1117" s="52" t="s">
        <v>3260</v>
      </c>
      <c r="I1117" s="52" t="s">
        <v>3261</v>
      </c>
      <c r="J1117" s="52" t="s">
        <v>2650</v>
      </c>
      <c r="K1117" s="260">
        <f>[2]Sheet1!$H$54</f>
        <v>49946000</v>
      </c>
      <c r="L1117" s="52" t="s">
        <v>2650</v>
      </c>
      <c r="M1117" s="260">
        <v>80000000</v>
      </c>
      <c r="N1117" s="52" t="s">
        <v>2650</v>
      </c>
      <c r="O1117" s="260">
        <v>80000000</v>
      </c>
      <c r="P1117" s="52" t="s">
        <v>2650</v>
      </c>
      <c r="Q1117" s="260">
        <v>80000000</v>
      </c>
      <c r="R1117" s="52" t="s">
        <v>2650</v>
      </c>
      <c r="S1117" s="260">
        <v>80000000</v>
      </c>
      <c r="T1117" s="52" t="s">
        <v>2650</v>
      </c>
      <c r="U1117" s="260">
        <v>80000000</v>
      </c>
      <c r="V1117" s="259"/>
      <c r="W1117" s="259"/>
      <c r="X1117" s="259"/>
      <c r="Y1117" s="165"/>
      <c r="Z1117" s="165"/>
      <c r="AA1117" s="165"/>
      <c r="AB1117" s="165"/>
      <c r="AC1117" s="165"/>
      <c r="AD1117" s="165"/>
      <c r="AE1117" s="165"/>
      <c r="AF1117" s="165"/>
    </row>
    <row r="1118" spans="1:32" ht="30">
      <c r="A1118" s="165"/>
      <c r="B1118" s="48"/>
      <c r="C1118" s="62"/>
      <c r="D1118" s="63"/>
      <c r="E1118" s="63"/>
      <c r="F1118" s="64"/>
      <c r="G1118" s="58" t="s">
        <v>3262</v>
      </c>
      <c r="H1118" s="52" t="s">
        <v>3263</v>
      </c>
      <c r="I1118" s="52" t="s">
        <v>3249</v>
      </c>
      <c r="J1118" s="52" t="s">
        <v>3249</v>
      </c>
      <c r="K1118" s="260">
        <f>[2]Sheet1!$H$100</f>
        <v>19344000</v>
      </c>
      <c r="L1118" s="52" t="s">
        <v>3264</v>
      </c>
      <c r="M1118" s="260">
        <v>30000000</v>
      </c>
      <c r="N1118" s="52" t="s">
        <v>3265</v>
      </c>
      <c r="O1118" s="260">
        <v>37500000</v>
      </c>
      <c r="P1118" s="52" t="s">
        <v>3265</v>
      </c>
      <c r="Q1118" s="260">
        <v>38000000</v>
      </c>
      <c r="R1118" s="52" t="s">
        <v>3266</v>
      </c>
      <c r="S1118" s="260">
        <v>40000000</v>
      </c>
      <c r="T1118" s="52" t="s">
        <v>3266</v>
      </c>
      <c r="U1118" s="260">
        <v>40000000</v>
      </c>
      <c r="V1118" s="259"/>
      <c r="W1118" s="259"/>
      <c r="X1118" s="259"/>
      <c r="Y1118" s="165"/>
      <c r="Z1118" s="165"/>
      <c r="AA1118" s="165"/>
      <c r="AB1118" s="165"/>
      <c r="AC1118" s="165"/>
      <c r="AD1118" s="165"/>
      <c r="AE1118" s="165"/>
      <c r="AF1118" s="165"/>
    </row>
    <row r="1119" spans="1:32" ht="45">
      <c r="A1119" s="165"/>
      <c r="B1119" s="48"/>
      <c r="C1119" s="62"/>
      <c r="D1119" s="63"/>
      <c r="E1119" s="63"/>
      <c r="F1119" s="64"/>
      <c r="G1119" s="58" t="s">
        <v>3267</v>
      </c>
      <c r="H1119" s="52" t="s">
        <v>3263</v>
      </c>
      <c r="I1119" s="52" t="s">
        <v>3263</v>
      </c>
      <c r="J1119" s="52" t="s">
        <v>3268</v>
      </c>
      <c r="K1119" s="1110">
        <f>[2]Sheet1!$H$99</f>
        <v>74241500</v>
      </c>
      <c r="L1119" s="52" t="s">
        <v>3263</v>
      </c>
      <c r="M1119" s="52"/>
      <c r="N1119" s="52" t="s">
        <v>3263</v>
      </c>
      <c r="O1119" s="52"/>
      <c r="P1119" s="52" t="s">
        <v>3263</v>
      </c>
      <c r="Q1119" s="52"/>
      <c r="R1119" s="52" t="s">
        <v>3263</v>
      </c>
      <c r="S1119" s="52"/>
      <c r="T1119" s="52" t="s">
        <v>3263</v>
      </c>
      <c r="U1119" s="52"/>
      <c r="V1119" s="259"/>
      <c r="W1119" s="259"/>
      <c r="X1119" s="259"/>
      <c r="Y1119" s="165"/>
      <c r="Z1119" s="165"/>
      <c r="AA1119" s="165"/>
      <c r="AB1119" s="165"/>
      <c r="AC1119" s="165"/>
      <c r="AD1119" s="165"/>
      <c r="AE1119" s="165"/>
      <c r="AF1119" s="165"/>
    </row>
    <row r="1120" spans="1:32" ht="60">
      <c r="A1120" s="165"/>
      <c r="B1120" s="48"/>
      <c r="C1120" s="62"/>
      <c r="D1120" s="63"/>
      <c r="E1120" s="63"/>
      <c r="F1120" s="64"/>
      <c r="G1120" s="58" t="s">
        <v>3269</v>
      </c>
      <c r="H1120" s="52" t="s">
        <v>2939</v>
      </c>
      <c r="I1120" s="52" t="s">
        <v>2939</v>
      </c>
      <c r="J1120" s="52" t="s">
        <v>2939</v>
      </c>
      <c r="K1120" s="1110"/>
      <c r="L1120" s="52" t="s">
        <v>2939</v>
      </c>
      <c r="M1120" s="52"/>
      <c r="N1120" s="52" t="s">
        <v>2939</v>
      </c>
      <c r="O1120" s="52"/>
      <c r="P1120" s="52" t="s">
        <v>2939</v>
      </c>
      <c r="Q1120" s="52"/>
      <c r="R1120" s="52" t="s">
        <v>2939</v>
      </c>
      <c r="S1120" s="52"/>
      <c r="T1120" s="52" t="s">
        <v>2939</v>
      </c>
      <c r="U1120" s="52"/>
      <c r="V1120" s="259"/>
      <c r="W1120" s="259"/>
      <c r="X1120" s="259"/>
      <c r="Y1120" s="165"/>
      <c r="Z1120" s="165"/>
      <c r="AA1120" s="165"/>
      <c r="AB1120" s="165"/>
      <c r="AC1120" s="165"/>
      <c r="AD1120" s="165"/>
      <c r="AE1120" s="165"/>
      <c r="AF1120" s="165"/>
    </row>
    <row r="1121" spans="1:32" ht="45">
      <c r="A1121" s="165"/>
      <c r="B1121" s="48"/>
      <c r="C1121" s="62"/>
      <c r="D1121" s="63"/>
      <c r="E1121" s="63"/>
      <c r="F1121" s="64"/>
      <c r="G1121" s="58" t="s">
        <v>3270</v>
      </c>
      <c r="H1121" s="52" t="s">
        <v>3271</v>
      </c>
      <c r="I1121" s="52" t="s">
        <v>3271</v>
      </c>
      <c r="J1121" s="52" t="s">
        <v>3271</v>
      </c>
      <c r="K1121" s="1110"/>
      <c r="L1121" s="52" t="s">
        <v>3271</v>
      </c>
      <c r="M1121" s="260">
        <v>85000000</v>
      </c>
      <c r="N1121" s="52" t="s">
        <v>3271</v>
      </c>
      <c r="O1121" s="260">
        <v>95000000</v>
      </c>
      <c r="P1121" s="52" t="s">
        <v>3271</v>
      </c>
      <c r="Q1121" s="260">
        <v>100000000</v>
      </c>
      <c r="R1121" s="52" t="s">
        <v>3271</v>
      </c>
      <c r="S1121" s="260">
        <v>110000000</v>
      </c>
      <c r="T1121" s="52" t="s">
        <v>3271</v>
      </c>
      <c r="U1121" s="260">
        <v>110000000</v>
      </c>
      <c r="V1121" s="259"/>
      <c r="W1121" s="259"/>
      <c r="X1121" s="259"/>
      <c r="Y1121" s="165"/>
      <c r="Z1121" s="165"/>
      <c r="AA1121" s="165"/>
      <c r="AB1121" s="165"/>
      <c r="AC1121" s="165"/>
      <c r="AD1121" s="165"/>
      <c r="AE1121" s="165"/>
      <c r="AF1121" s="165"/>
    </row>
    <row r="1122" spans="1:32" ht="45">
      <c r="A1122" s="165"/>
      <c r="B1122" s="48"/>
      <c r="C1122" s="62"/>
      <c r="D1122" s="63"/>
      <c r="E1122" s="63"/>
      <c r="F1122" s="64"/>
      <c r="G1122" s="58" t="s">
        <v>3272</v>
      </c>
      <c r="H1122" s="52" t="s">
        <v>3273</v>
      </c>
      <c r="I1122" s="52" t="s">
        <v>3273</v>
      </c>
      <c r="J1122" s="52" t="s">
        <v>3274</v>
      </c>
      <c r="K1122" s="1110"/>
      <c r="L1122" s="52" t="s">
        <v>3275</v>
      </c>
      <c r="M1122" s="52"/>
      <c r="N1122" s="52" t="s">
        <v>3276</v>
      </c>
      <c r="O1122" s="52"/>
      <c r="P1122" s="52" t="s">
        <v>3277</v>
      </c>
      <c r="Q1122" s="52"/>
      <c r="R1122" s="52" t="s">
        <v>3278</v>
      </c>
      <c r="S1122" s="52"/>
      <c r="T1122" s="52" t="s">
        <v>3278</v>
      </c>
      <c r="U1122" s="52"/>
      <c r="V1122" s="259"/>
      <c r="W1122" s="259"/>
      <c r="X1122" s="259"/>
      <c r="Y1122" s="165"/>
      <c r="Z1122" s="165"/>
      <c r="AA1122" s="165"/>
      <c r="AB1122" s="165"/>
      <c r="AC1122" s="165"/>
      <c r="AD1122" s="165"/>
      <c r="AE1122" s="165"/>
      <c r="AF1122" s="165"/>
    </row>
    <row r="1123" spans="1:32" ht="45">
      <c r="A1123" s="165"/>
      <c r="B1123" s="48"/>
      <c r="C1123" s="62"/>
      <c r="D1123" s="63"/>
      <c r="E1123" s="63"/>
      <c r="F1123" s="64"/>
      <c r="G1123" s="58" t="s">
        <v>3279</v>
      </c>
      <c r="H1123" s="52" t="s">
        <v>2937</v>
      </c>
      <c r="I1123" s="52" t="s">
        <v>2937</v>
      </c>
      <c r="J1123" s="52" t="s">
        <v>2937</v>
      </c>
      <c r="K1123" s="1110"/>
      <c r="L1123" s="52" t="s">
        <v>2937</v>
      </c>
      <c r="M1123" s="52"/>
      <c r="N1123" s="52" t="s">
        <v>2937</v>
      </c>
      <c r="O1123" s="52"/>
      <c r="P1123" s="52" t="s">
        <v>2937</v>
      </c>
      <c r="Q1123" s="52"/>
      <c r="R1123" s="52" t="s">
        <v>2937</v>
      </c>
      <c r="S1123" s="52"/>
      <c r="T1123" s="52" t="s">
        <v>2937</v>
      </c>
      <c r="U1123" s="52"/>
      <c r="V1123" s="259"/>
      <c r="W1123" s="259"/>
      <c r="X1123" s="259"/>
      <c r="Y1123" s="165"/>
      <c r="Z1123" s="165"/>
      <c r="AA1123" s="165"/>
      <c r="AB1123" s="165"/>
      <c r="AC1123" s="165"/>
      <c r="AD1123" s="165"/>
      <c r="AE1123" s="165"/>
      <c r="AF1123" s="165"/>
    </row>
    <row r="1124" spans="1:32" ht="45">
      <c r="A1124" s="165"/>
      <c r="B1124" s="48"/>
      <c r="C1124" s="62"/>
      <c r="D1124" s="63"/>
      <c r="E1124" s="63"/>
      <c r="F1124" s="64"/>
      <c r="G1124" s="58" t="s">
        <v>3280</v>
      </c>
      <c r="H1124" s="52" t="s">
        <v>2937</v>
      </c>
      <c r="I1124" s="52" t="s">
        <v>2937</v>
      </c>
      <c r="J1124" s="52" t="s">
        <v>2937</v>
      </c>
      <c r="K1124" s="1110"/>
      <c r="L1124" s="52" t="s">
        <v>2937</v>
      </c>
      <c r="M1124" s="52"/>
      <c r="N1124" s="52" t="s">
        <v>2937</v>
      </c>
      <c r="O1124" s="52"/>
      <c r="P1124" s="52" t="s">
        <v>2937</v>
      </c>
      <c r="Q1124" s="52"/>
      <c r="R1124" s="52" t="s">
        <v>2937</v>
      </c>
      <c r="S1124" s="52"/>
      <c r="T1124" s="52" t="s">
        <v>2937</v>
      </c>
      <c r="U1124" s="52"/>
      <c r="V1124" s="259"/>
      <c r="W1124" s="259"/>
      <c r="X1124" s="259"/>
      <c r="Y1124" s="165"/>
      <c r="Z1124" s="165"/>
      <c r="AA1124" s="165"/>
      <c r="AB1124" s="165"/>
      <c r="AC1124" s="165"/>
      <c r="AD1124" s="165"/>
      <c r="AE1124" s="165"/>
      <c r="AF1124" s="165"/>
    </row>
    <row r="1125" spans="1:32" ht="30">
      <c r="A1125" s="165"/>
      <c r="B1125" s="48"/>
      <c r="C1125" s="62"/>
      <c r="D1125" s="63"/>
      <c r="E1125" s="63"/>
      <c r="F1125" s="64"/>
      <c r="G1125" s="58" t="s">
        <v>3248</v>
      </c>
      <c r="H1125" s="52">
        <v>0</v>
      </c>
      <c r="I1125" s="52">
        <v>0</v>
      </c>
      <c r="J1125" s="52" t="s">
        <v>3258</v>
      </c>
      <c r="K1125" s="260">
        <f>[2]Sheet1!$I$98</f>
        <v>23509000</v>
      </c>
      <c r="L1125" s="52" t="s">
        <v>3256</v>
      </c>
      <c r="M1125" s="260">
        <v>50000000</v>
      </c>
      <c r="N1125" s="52" t="s">
        <v>3268</v>
      </c>
      <c r="O1125" s="260">
        <v>70000000</v>
      </c>
      <c r="P1125" s="52" t="s">
        <v>3251</v>
      </c>
      <c r="Q1125" s="260">
        <v>80000000</v>
      </c>
      <c r="R1125" s="52" t="s">
        <v>3263</v>
      </c>
      <c r="S1125" s="260">
        <v>90000000</v>
      </c>
      <c r="T1125" s="52" t="s">
        <v>3263</v>
      </c>
      <c r="U1125" s="260">
        <v>90000000</v>
      </c>
      <c r="V1125" s="259"/>
      <c r="W1125" s="259"/>
      <c r="X1125" s="259"/>
      <c r="Y1125" s="165"/>
      <c r="Z1125" s="165"/>
      <c r="AA1125" s="165"/>
      <c r="AB1125" s="165"/>
      <c r="AC1125" s="165"/>
      <c r="AD1125" s="165"/>
      <c r="AE1125" s="165"/>
      <c r="AF1125" s="165"/>
    </row>
    <row r="1126" spans="1:32" ht="45">
      <c r="A1126" s="165"/>
      <c r="B1126" s="48"/>
      <c r="C1126" s="62"/>
      <c r="D1126" s="63"/>
      <c r="E1126" s="63"/>
      <c r="F1126" s="64"/>
      <c r="G1126" s="58" t="s">
        <v>3281</v>
      </c>
      <c r="H1126" s="52"/>
      <c r="I1126" s="52"/>
      <c r="J1126" s="52"/>
      <c r="K1126" s="52"/>
      <c r="L1126" s="52"/>
      <c r="M1126" s="52"/>
      <c r="N1126" s="52"/>
      <c r="O1126" s="52"/>
      <c r="P1126" s="52"/>
      <c r="Q1126" s="52"/>
      <c r="R1126" s="52"/>
      <c r="S1126" s="52"/>
      <c r="T1126" s="52"/>
      <c r="U1126" s="52"/>
      <c r="V1126" s="259"/>
      <c r="W1126" s="259"/>
      <c r="X1126" s="259"/>
      <c r="Y1126" s="165"/>
      <c r="Z1126" s="165"/>
      <c r="AA1126" s="165"/>
      <c r="AB1126" s="165"/>
      <c r="AC1126" s="165"/>
      <c r="AD1126" s="165"/>
      <c r="AE1126" s="165"/>
      <c r="AF1126" s="165"/>
    </row>
    <row r="1127" spans="1:32" ht="45">
      <c r="A1127" s="165"/>
      <c r="B1127" s="48"/>
      <c r="C1127" s="62"/>
      <c r="D1127" s="63"/>
      <c r="E1127" s="63"/>
      <c r="F1127" s="64"/>
      <c r="G1127" s="58" t="s">
        <v>3282</v>
      </c>
      <c r="H1127" s="52"/>
      <c r="I1127" s="52"/>
      <c r="J1127" s="52"/>
      <c r="K1127" s="52"/>
      <c r="L1127" s="52"/>
      <c r="M1127" s="52"/>
      <c r="N1127" s="52"/>
      <c r="O1127" s="52"/>
      <c r="P1127" s="52"/>
      <c r="Q1127" s="52"/>
      <c r="R1127" s="52"/>
      <c r="S1127" s="52"/>
      <c r="T1127" s="52"/>
      <c r="U1127" s="52"/>
      <c r="V1127" s="259"/>
      <c r="W1127" s="259"/>
      <c r="X1127" s="259"/>
      <c r="Y1127" s="165"/>
      <c r="Z1127" s="165"/>
      <c r="AA1127" s="165"/>
      <c r="AB1127" s="165"/>
      <c r="AC1127" s="165"/>
      <c r="AD1127" s="165"/>
      <c r="AE1127" s="165"/>
      <c r="AF1127" s="165"/>
    </row>
    <row r="1128" spans="1:32" ht="60">
      <c r="A1128" s="165"/>
      <c r="B1128" s="48"/>
      <c r="C1128" s="62"/>
      <c r="D1128" s="63"/>
      <c r="E1128" s="63"/>
      <c r="F1128" s="64"/>
      <c r="G1128" s="58" t="s">
        <v>3283</v>
      </c>
      <c r="H1128" s="52"/>
      <c r="I1128" s="52"/>
      <c r="J1128" s="52"/>
      <c r="K1128" s="52"/>
      <c r="L1128" s="52"/>
      <c r="M1128" s="52"/>
      <c r="N1128" s="52"/>
      <c r="O1128" s="52"/>
      <c r="P1128" s="52"/>
      <c r="Q1128" s="52"/>
      <c r="R1128" s="52"/>
      <c r="S1128" s="52"/>
      <c r="T1128" s="52"/>
      <c r="U1128" s="52"/>
      <c r="V1128" s="259"/>
      <c r="W1128" s="259"/>
      <c r="X1128" s="259"/>
      <c r="Y1128" s="165"/>
      <c r="Z1128" s="165"/>
      <c r="AA1128" s="165"/>
      <c r="AB1128" s="165"/>
      <c r="AC1128" s="165"/>
      <c r="AD1128" s="165"/>
      <c r="AE1128" s="165"/>
      <c r="AF1128" s="165"/>
    </row>
    <row r="1129" spans="1:32" ht="45">
      <c r="A1129" s="165"/>
      <c r="B1129" s="48"/>
      <c r="C1129" s="62"/>
      <c r="D1129" s="63"/>
      <c r="E1129" s="63"/>
      <c r="F1129" s="64"/>
      <c r="G1129" s="58" t="s">
        <v>3284</v>
      </c>
      <c r="H1129" s="52">
        <v>0</v>
      </c>
      <c r="I1129" s="52">
        <v>0</v>
      </c>
      <c r="J1129" s="52">
        <v>0</v>
      </c>
      <c r="K1129" s="52">
        <v>0</v>
      </c>
      <c r="L1129" s="52" t="s">
        <v>3263</v>
      </c>
      <c r="M1129" s="260">
        <v>50000000</v>
      </c>
      <c r="N1129" s="52" t="s">
        <v>3263</v>
      </c>
      <c r="O1129" s="260">
        <v>50000000</v>
      </c>
      <c r="P1129" s="52" t="s">
        <v>3263</v>
      </c>
      <c r="Q1129" s="260">
        <v>75000000</v>
      </c>
      <c r="R1129" s="52" t="s">
        <v>3263</v>
      </c>
      <c r="S1129" s="260">
        <v>75000000</v>
      </c>
      <c r="T1129" s="52" t="s">
        <v>3263</v>
      </c>
      <c r="U1129" s="260">
        <v>75000000</v>
      </c>
      <c r="V1129" s="259"/>
      <c r="W1129" s="259"/>
      <c r="X1129" s="259"/>
      <c r="Y1129" s="165"/>
      <c r="Z1129" s="165"/>
      <c r="AA1129" s="165"/>
      <c r="AB1129" s="165"/>
      <c r="AC1129" s="165"/>
      <c r="AD1129" s="165"/>
      <c r="AE1129" s="165"/>
      <c r="AF1129" s="165"/>
    </row>
    <row r="1130" spans="1:32" ht="30">
      <c r="A1130" s="165"/>
      <c r="B1130" s="48"/>
      <c r="C1130" s="62"/>
      <c r="D1130" s="63"/>
      <c r="E1130" s="63"/>
      <c r="F1130" s="64"/>
      <c r="G1130" s="58" t="s">
        <v>3285</v>
      </c>
      <c r="H1130" s="52"/>
      <c r="I1130" s="52"/>
      <c r="J1130" s="52"/>
      <c r="K1130" s="52"/>
      <c r="L1130" s="52"/>
      <c r="M1130" s="52"/>
      <c r="N1130" s="52"/>
      <c r="O1130" s="52"/>
      <c r="P1130" s="52"/>
      <c r="Q1130" s="52"/>
      <c r="R1130" s="52"/>
      <c r="S1130" s="52"/>
      <c r="T1130" s="52"/>
      <c r="U1130" s="52"/>
      <c r="V1130" s="259"/>
      <c r="W1130" s="259"/>
      <c r="X1130" s="259"/>
      <c r="Y1130" s="165"/>
      <c r="Z1130" s="165"/>
      <c r="AA1130" s="165"/>
      <c r="AB1130" s="165"/>
      <c r="AC1130" s="165"/>
      <c r="AD1130" s="165"/>
      <c r="AE1130" s="165"/>
      <c r="AF1130" s="165"/>
    </row>
    <row r="1131" spans="1:32" ht="45">
      <c r="A1131" s="165"/>
      <c r="B1131" s="48"/>
      <c r="C1131" s="62"/>
      <c r="D1131" s="63"/>
      <c r="E1131" s="63"/>
      <c r="F1131" s="64"/>
      <c r="G1131" s="58" t="s">
        <v>3286</v>
      </c>
      <c r="H1131" s="52"/>
      <c r="I1131" s="52"/>
      <c r="J1131" s="52"/>
      <c r="K1131" s="52"/>
      <c r="L1131" s="52"/>
      <c r="M1131" s="52"/>
      <c r="N1131" s="52"/>
      <c r="O1131" s="52"/>
      <c r="P1131" s="52"/>
      <c r="Q1131" s="52"/>
      <c r="R1131" s="52"/>
      <c r="S1131" s="52"/>
      <c r="T1131" s="52"/>
      <c r="U1131" s="52"/>
      <c r="V1131" s="259"/>
      <c r="W1131" s="259"/>
      <c r="X1131" s="259"/>
      <c r="Y1131" s="165"/>
      <c r="Z1131" s="165"/>
      <c r="AA1131" s="165"/>
      <c r="AB1131" s="165"/>
      <c r="AC1131" s="165"/>
      <c r="AD1131" s="165"/>
      <c r="AE1131" s="165"/>
      <c r="AF1131" s="165"/>
    </row>
    <row r="1132" spans="1:32" ht="30">
      <c r="A1132" s="165"/>
      <c r="B1132" s="48"/>
      <c r="C1132" s="62"/>
      <c r="D1132" s="63"/>
      <c r="E1132" s="63"/>
      <c r="F1132" s="64"/>
      <c r="G1132" s="58" t="s">
        <v>3248</v>
      </c>
      <c r="H1132" s="52" t="s">
        <v>2504</v>
      </c>
      <c r="I1132" s="52" t="s">
        <v>3287</v>
      </c>
      <c r="J1132" s="52" t="s">
        <v>2526</v>
      </c>
      <c r="K1132" s="260">
        <f>[2]Sheet1!$H$79</f>
        <v>34062000</v>
      </c>
      <c r="L1132" s="52" t="s">
        <v>2501</v>
      </c>
      <c r="M1132" s="260">
        <v>50000000</v>
      </c>
      <c r="N1132" s="52" t="s">
        <v>2501</v>
      </c>
      <c r="O1132" s="260">
        <v>52000000</v>
      </c>
      <c r="P1132" s="52" t="s">
        <v>2501</v>
      </c>
      <c r="Q1132" s="260">
        <v>54000000</v>
      </c>
      <c r="R1132" s="52" t="s">
        <v>2501</v>
      </c>
      <c r="S1132" s="260">
        <v>56000000</v>
      </c>
      <c r="T1132" s="52" t="s">
        <v>2501</v>
      </c>
      <c r="U1132" s="260">
        <v>56000000</v>
      </c>
      <c r="V1132" s="259"/>
      <c r="W1132" s="259"/>
      <c r="X1132" s="259"/>
      <c r="Y1132" s="165"/>
      <c r="Z1132" s="165"/>
      <c r="AA1132" s="165"/>
      <c r="AB1132" s="165"/>
      <c r="AC1132" s="165"/>
      <c r="AD1132" s="165"/>
      <c r="AE1132" s="165"/>
      <c r="AF1132" s="165"/>
    </row>
    <row r="1133" spans="1:32">
      <c r="A1133" s="165"/>
      <c r="B1133" s="48"/>
      <c r="C1133" s="62"/>
      <c r="D1133" s="63"/>
      <c r="E1133" s="63"/>
      <c r="F1133" s="64"/>
      <c r="G1133" s="58" t="s">
        <v>3288</v>
      </c>
      <c r="H1133" s="52"/>
      <c r="I1133" s="52"/>
      <c r="J1133" s="52"/>
      <c r="K1133" s="52"/>
      <c r="L1133" s="52"/>
      <c r="M1133" s="52"/>
      <c r="N1133" s="52"/>
      <c r="O1133" s="52"/>
      <c r="P1133" s="52"/>
      <c r="Q1133" s="52"/>
      <c r="R1133" s="52"/>
      <c r="S1133" s="52"/>
      <c r="T1133" s="52"/>
      <c r="U1133" s="52"/>
      <c r="V1133" s="259"/>
      <c r="W1133" s="259"/>
      <c r="X1133" s="259"/>
      <c r="Y1133" s="165"/>
      <c r="Z1133" s="165"/>
      <c r="AA1133" s="165"/>
      <c r="AB1133" s="165"/>
      <c r="AC1133" s="165"/>
      <c r="AD1133" s="165"/>
      <c r="AE1133" s="165"/>
      <c r="AF1133" s="165"/>
    </row>
    <row r="1134" spans="1:32" ht="75">
      <c r="A1134" s="165"/>
      <c r="B1134" s="48"/>
      <c r="C1134" s="62"/>
      <c r="D1134" s="60" t="s">
        <v>1798</v>
      </c>
      <c r="E1134" s="63"/>
      <c r="F1134" s="64"/>
      <c r="G1134" s="58" t="s">
        <v>3289</v>
      </c>
      <c r="H1134" s="52"/>
      <c r="I1134" s="52"/>
      <c r="J1134" s="52"/>
      <c r="K1134" s="52"/>
      <c r="L1134" s="52"/>
      <c r="M1134" s="52"/>
      <c r="N1134" s="52"/>
      <c r="O1134" s="52"/>
      <c r="P1134" s="52"/>
      <c r="Q1134" s="52"/>
      <c r="R1134" s="52"/>
      <c r="S1134" s="52"/>
      <c r="T1134" s="52"/>
      <c r="U1134" s="52"/>
      <c r="V1134" s="259"/>
      <c r="W1134" s="259"/>
      <c r="X1134" s="259"/>
      <c r="Y1134" s="165"/>
      <c r="Z1134" s="165"/>
      <c r="AA1134" s="165"/>
      <c r="AB1134" s="165"/>
      <c r="AC1134" s="165"/>
      <c r="AD1134" s="165"/>
      <c r="AE1134" s="165"/>
      <c r="AF1134" s="165"/>
    </row>
    <row r="1135" spans="1:32" ht="30">
      <c r="A1135" s="165"/>
      <c r="B1135" s="48"/>
      <c r="C1135" s="62"/>
      <c r="D1135" s="63"/>
      <c r="E1135" s="63"/>
      <c r="F1135" s="64"/>
      <c r="G1135" s="58" t="s">
        <v>3290</v>
      </c>
      <c r="H1135" s="52" t="s">
        <v>2501</v>
      </c>
      <c r="I1135" s="52" t="s">
        <v>2501</v>
      </c>
      <c r="J1135" s="52" t="s">
        <v>2501</v>
      </c>
      <c r="K1135" s="260">
        <f>[2]Sheet1!$H$96</f>
        <v>20000000</v>
      </c>
      <c r="L1135" s="52" t="s">
        <v>2501</v>
      </c>
      <c r="M1135" s="260">
        <f>[2]Sheet1!$H$96</f>
        <v>20000000</v>
      </c>
      <c r="N1135" s="52" t="s">
        <v>2501</v>
      </c>
      <c r="O1135" s="260">
        <f>[2]Sheet1!$H$96</f>
        <v>20000000</v>
      </c>
      <c r="P1135" s="52" t="s">
        <v>2501</v>
      </c>
      <c r="Q1135" s="260">
        <f>[2]Sheet1!$H$96</f>
        <v>20000000</v>
      </c>
      <c r="R1135" s="52" t="s">
        <v>2501</v>
      </c>
      <c r="S1135" s="260">
        <f>[2]Sheet1!$H$96</f>
        <v>20000000</v>
      </c>
      <c r="T1135" s="52" t="s">
        <v>2501</v>
      </c>
      <c r="U1135" s="260">
        <f>[2]Sheet1!$H$96</f>
        <v>20000000</v>
      </c>
      <c r="V1135" s="259"/>
      <c r="W1135" s="259"/>
      <c r="X1135" s="259"/>
      <c r="Y1135" s="165"/>
      <c r="Z1135" s="165"/>
      <c r="AA1135" s="165"/>
      <c r="AB1135" s="165"/>
      <c r="AC1135" s="165"/>
      <c r="AD1135" s="165"/>
      <c r="AE1135" s="165"/>
      <c r="AF1135" s="165"/>
    </row>
    <row r="1136" spans="1:32" ht="255">
      <c r="A1136" s="165"/>
      <c r="B1136" s="48"/>
      <c r="C1136" s="62"/>
      <c r="D1136" s="63"/>
      <c r="E1136" s="63"/>
      <c r="F1136" s="64"/>
      <c r="G1136" s="58" t="s">
        <v>3291</v>
      </c>
      <c r="H1136" s="52">
        <v>0</v>
      </c>
      <c r="I1136" s="52">
        <v>0</v>
      </c>
      <c r="J1136" s="52">
        <v>0</v>
      </c>
      <c r="K1136" s="52">
        <v>0</v>
      </c>
      <c r="L1136" s="52" t="s">
        <v>3292</v>
      </c>
      <c r="M1136" s="260">
        <v>100000000</v>
      </c>
      <c r="N1136" s="52" t="s">
        <v>3292</v>
      </c>
      <c r="O1136" s="797">
        <v>100000000</v>
      </c>
      <c r="P1136" s="52" t="s">
        <v>3292</v>
      </c>
      <c r="Q1136" s="797">
        <v>100000000</v>
      </c>
      <c r="R1136" s="52" t="s">
        <v>3292</v>
      </c>
      <c r="S1136" s="797">
        <v>100000000</v>
      </c>
      <c r="T1136" s="52" t="s">
        <v>3292</v>
      </c>
      <c r="U1136" s="260">
        <v>60000000</v>
      </c>
      <c r="V1136" s="259"/>
      <c r="W1136" s="259"/>
      <c r="X1136" s="259"/>
      <c r="Y1136" s="165"/>
      <c r="Z1136" s="165"/>
      <c r="AA1136" s="165"/>
      <c r="AB1136" s="165"/>
      <c r="AC1136" s="165"/>
      <c r="AD1136" s="165"/>
      <c r="AE1136" s="165"/>
      <c r="AF1136" s="165"/>
    </row>
    <row r="1137" spans="1:32" ht="105">
      <c r="A1137" s="165"/>
      <c r="B1137" s="48"/>
      <c r="C1137" s="62"/>
      <c r="D1137" s="63"/>
      <c r="E1137" s="63"/>
      <c r="F1137" s="64"/>
      <c r="G1137" s="58" t="s">
        <v>3293</v>
      </c>
      <c r="H1137" s="52" t="s">
        <v>3292</v>
      </c>
      <c r="I1137" s="52" t="s">
        <v>3292</v>
      </c>
      <c r="J1137" s="161">
        <v>1</v>
      </c>
      <c r="K1137" s="260">
        <f>[2]Sheet1!$H$115</f>
        <v>4996000</v>
      </c>
      <c r="L1137" s="52" t="s">
        <v>3292</v>
      </c>
      <c r="M1137" s="260">
        <v>10000000</v>
      </c>
      <c r="N1137" s="52" t="s">
        <v>3292</v>
      </c>
      <c r="O1137" s="260">
        <v>10000000</v>
      </c>
      <c r="P1137" s="52" t="s">
        <v>3292</v>
      </c>
      <c r="Q1137" s="260">
        <v>10000000</v>
      </c>
      <c r="R1137" s="52" t="s">
        <v>3292</v>
      </c>
      <c r="S1137" s="260">
        <v>10000000</v>
      </c>
      <c r="T1137" s="52" t="s">
        <v>3292</v>
      </c>
      <c r="U1137" s="260">
        <v>10000000</v>
      </c>
      <c r="V1137" s="259"/>
      <c r="W1137" s="259"/>
      <c r="X1137" s="259"/>
      <c r="Y1137" s="165"/>
      <c r="Z1137" s="165"/>
      <c r="AA1137" s="165"/>
      <c r="AB1137" s="165"/>
      <c r="AC1137" s="165"/>
      <c r="AD1137" s="165"/>
      <c r="AE1137" s="165"/>
      <c r="AF1137" s="165"/>
    </row>
    <row r="1138" spans="1:32" s="280" customFormat="1" ht="30" customHeight="1">
      <c r="A1138" s="285"/>
      <c r="B1138" s="1093" t="s">
        <v>4253</v>
      </c>
      <c r="C1138" s="1094"/>
      <c r="D1138" s="1094"/>
      <c r="E1138" s="1094"/>
      <c r="F1138" s="1094"/>
      <c r="G1138" s="1095"/>
      <c r="H1138" s="382"/>
      <c r="I1138" s="382"/>
      <c r="J1138" s="382"/>
      <c r="K1138" s="382">
        <f>SUM(K1110:K1137)</f>
        <v>321997000</v>
      </c>
      <c r="L1138" s="382"/>
      <c r="M1138" s="382">
        <f t="shared" ref="M1138:U1138" si="103">SUM(M1110:M1137)</f>
        <v>604000000</v>
      </c>
      <c r="N1138" s="382"/>
      <c r="O1138" s="382">
        <f t="shared" si="103"/>
        <v>646500000</v>
      </c>
      <c r="P1138" s="382"/>
      <c r="Q1138" s="382">
        <f t="shared" si="103"/>
        <v>692500000</v>
      </c>
      <c r="R1138" s="382"/>
      <c r="S1138" s="382">
        <f t="shared" si="103"/>
        <v>720000000</v>
      </c>
      <c r="T1138" s="382"/>
      <c r="U1138" s="382">
        <f t="shared" si="103"/>
        <v>680000000</v>
      </c>
      <c r="V1138" s="382"/>
      <c r="W1138" s="382"/>
      <c r="X1138" s="382"/>
      <c r="Y1138" s="285"/>
      <c r="Z1138" s="285"/>
      <c r="AA1138" s="285"/>
      <c r="AB1138" s="285"/>
      <c r="AC1138" s="285"/>
      <c r="AD1138" s="285"/>
      <c r="AE1138" s="285"/>
      <c r="AF1138" s="285"/>
    </row>
    <row r="1139" spans="1:32" ht="60">
      <c r="A1139" s="165">
        <v>1</v>
      </c>
      <c r="B1139" s="62" t="str">
        <f>'matrik MISI 2'!B43</f>
        <v>PEMBERDAYAAN MASYARAKAT DAN DESA</v>
      </c>
      <c r="C1139" s="56"/>
      <c r="D1139" s="57"/>
      <c r="E1139" s="57"/>
      <c r="F1139" s="58"/>
      <c r="G1139" s="58"/>
      <c r="H1139" s="52"/>
      <c r="I1139" s="52"/>
      <c r="J1139" s="52"/>
      <c r="K1139" s="52"/>
      <c r="L1139" s="52"/>
      <c r="M1139" s="52"/>
      <c r="N1139" s="52"/>
      <c r="O1139" s="52"/>
      <c r="P1139" s="52"/>
      <c r="Q1139" s="52"/>
      <c r="R1139" s="52"/>
      <c r="S1139" s="52"/>
      <c r="T1139" s="52"/>
      <c r="U1139" s="52"/>
      <c r="V1139" s="52"/>
      <c r="W1139" s="52"/>
      <c r="X1139" s="52"/>
      <c r="Y1139" s="165"/>
      <c r="Z1139" s="165"/>
      <c r="AA1139" s="165"/>
      <c r="AB1139" s="165"/>
      <c r="AC1139" s="165"/>
      <c r="AD1139" s="165"/>
      <c r="AE1139" s="165"/>
      <c r="AF1139" s="165"/>
    </row>
    <row r="1140" spans="1:32" s="540" customFormat="1" ht="75">
      <c r="B1140" s="545"/>
      <c r="C1140" s="591">
        <f>'matrik MISI 2'!J47</f>
        <v>1.22</v>
      </c>
      <c r="D1140" s="592" t="str">
        <f>'matrik MISI 2'!K47</f>
        <v>xx</v>
      </c>
      <c r="E1140" s="592">
        <f>'matrik MISI 2'!L47</f>
        <v>15</v>
      </c>
      <c r="F1140" s="548" t="str">
        <f>'matrik MISI 2'!M47</f>
        <v>Program Peningkatan Keberdayaan Masyarakat Desa</v>
      </c>
      <c r="G1140" s="548"/>
      <c r="H1140" s="550"/>
      <c r="I1140" s="550"/>
      <c r="J1140" s="550"/>
      <c r="K1140" s="551">
        <f>SUM(K1141:K1152)</f>
        <v>3752000000</v>
      </c>
      <c r="L1140" s="551"/>
      <c r="M1140" s="551">
        <f t="shared" ref="M1140:O1140" si="104">SUM(M1141:M1152)</f>
        <v>1374000000</v>
      </c>
      <c r="N1140" s="551"/>
      <c r="O1140" s="551">
        <f t="shared" si="104"/>
        <v>1394200000</v>
      </c>
      <c r="P1140" s="551"/>
      <c r="Q1140" s="551">
        <f t="shared" ref="Q1140" si="105">SUM(Q1141:Q1152)</f>
        <v>1437920000</v>
      </c>
      <c r="R1140" s="551"/>
      <c r="S1140" s="551">
        <f t="shared" ref="S1140" si="106">SUM(S1141:S1152)</f>
        <v>1480512000</v>
      </c>
      <c r="T1140" s="551"/>
      <c r="U1140" s="551">
        <f t="shared" ref="U1140" si="107">SUM(U1141:U1152)</f>
        <v>1527363200</v>
      </c>
      <c r="V1140" s="550"/>
      <c r="W1140" s="550"/>
      <c r="X1140" s="550" t="str">
        <f>'matrik MISI 2'!X47</f>
        <v>BAPERMADES</v>
      </c>
    </row>
    <row r="1141" spans="1:32" s="165" customFormat="1" ht="75">
      <c r="B1141" s="48"/>
      <c r="C1141" s="56"/>
      <c r="D1141" s="57"/>
      <c r="E1141" s="57"/>
      <c r="F1141" s="58"/>
      <c r="G1141" s="58" t="s">
        <v>3319</v>
      </c>
      <c r="H1141" s="176" t="s">
        <v>743</v>
      </c>
      <c r="I1141" s="176" t="s">
        <v>743</v>
      </c>
      <c r="J1141" s="176" t="s">
        <v>743</v>
      </c>
      <c r="K1141" s="176" t="s">
        <v>743</v>
      </c>
      <c r="L1141" s="52" t="s">
        <v>3320</v>
      </c>
      <c r="M1141" s="251">
        <v>20000000</v>
      </c>
      <c r="N1141" s="176" t="s">
        <v>743</v>
      </c>
      <c r="O1141" s="176" t="s">
        <v>743</v>
      </c>
      <c r="P1141" s="176" t="s">
        <v>743</v>
      </c>
      <c r="Q1141" s="176" t="s">
        <v>743</v>
      </c>
      <c r="R1141" s="176" t="s">
        <v>743</v>
      </c>
      <c r="S1141" s="176" t="s">
        <v>743</v>
      </c>
      <c r="T1141" s="176" t="s">
        <v>743</v>
      </c>
      <c r="U1141" s="176" t="s">
        <v>743</v>
      </c>
      <c r="V1141" s="52"/>
      <c r="W1141" s="52"/>
      <c r="X1141" s="52"/>
    </row>
    <row r="1142" spans="1:32" s="165" customFormat="1" ht="75">
      <c r="B1142" s="48"/>
      <c r="C1142" s="56"/>
      <c r="D1142" s="57"/>
      <c r="E1142" s="57"/>
      <c r="F1142" s="58"/>
      <c r="G1142" s="58" t="s">
        <v>3321</v>
      </c>
      <c r="H1142" s="52" t="s">
        <v>3322</v>
      </c>
      <c r="I1142" s="52" t="s">
        <v>3323</v>
      </c>
      <c r="J1142" s="52" t="s">
        <v>3324</v>
      </c>
      <c r="K1142" s="251">
        <v>20000000</v>
      </c>
      <c r="L1142" s="52" t="s">
        <v>3324</v>
      </c>
      <c r="M1142" s="251">
        <v>25000000</v>
      </c>
      <c r="N1142" s="52" t="s">
        <v>3324</v>
      </c>
      <c r="O1142" s="251">
        <v>25000000</v>
      </c>
      <c r="P1142" s="52" t="s">
        <v>3324</v>
      </c>
      <c r="Q1142" s="251">
        <v>30000000</v>
      </c>
      <c r="R1142" s="52" t="s">
        <v>3324</v>
      </c>
      <c r="S1142" s="252">
        <v>30000000</v>
      </c>
      <c r="T1142" s="52" t="s">
        <v>3324</v>
      </c>
      <c r="U1142" s="252">
        <v>30000000</v>
      </c>
      <c r="V1142" s="52"/>
      <c r="W1142" s="52"/>
      <c r="X1142" s="52"/>
    </row>
    <row r="1143" spans="1:32" s="165" customFormat="1" ht="60">
      <c r="B1143" s="48"/>
      <c r="C1143" s="56"/>
      <c r="D1143" s="57"/>
      <c r="E1143" s="57"/>
      <c r="F1143" s="58"/>
      <c r="G1143" s="58" t="s">
        <v>3325</v>
      </c>
      <c r="H1143" s="52" t="s">
        <v>3326</v>
      </c>
      <c r="I1143" s="52" t="s">
        <v>3327</v>
      </c>
      <c r="J1143" s="52" t="s">
        <v>3327</v>
      </c>
      <c r="K1143" s="252">
        <v>27500000</v>
      </c>
      <c r="L1143" s="52" t="s">
        <v>3327</v>
      </c>
      <c r="M1143" s="252">
        <v>30000000</v>
      </c>
      <c r="N1143" s="52" t="s">
        <v>3327</v>
      </c>
      <c r="O1143" s="252">
        <v>35000000</v>
      </c>
      <c r="P1143" s="52" t="s">
        <v>3327</v>
      </c>
      <c r="Q1143" s="252">
        <v>35000000</v>
      </c>
      <c r="R1143" s="52" t="s">
        <v>3327</v>
      </c>
      <c r="S1143" s="252">
        <v>35000000</v>
      </c>
      <c r="T1143" s="52" t="s">
        <v>3327</v>
      </c>
      <c r="U1143" s="252">
        <v>35000000</v>
      </c>
      <c r="V1143" s="52"/>
      <c r="W1143" s="52"/>
      <c r="X1143" s="52"/>
    </row>
    <row r="1144" spans="1:32" s="165" customFormat="1" ht="90">
      <c r="B1144" s="48"/>
      <c r="C1144" s="56"/>
      <c r="D1144" s="57"/>
      <c r="E1144" s="57"/>
      <c r="F1144" s="58"/>
      <c r="G1144" s="58" t="s">
        <v>3328</v>
      </c>
      <c r="H1144" s="52" t="s">
        <v>3329</v>
      </c>
      <c r="I1144" s="52" t="s">
        <v>3329</v>
      </c>
      <c r="J1144" s="176" t="s">
        <v>743</v>
      </c>
      <c r="K1144" s="176" t="s">
        <v>743</v>
      </c>
      <c r="L1144" s="176" t="s">
        <v>743</v>
      </c>
      <c r="M1144" s="176" t="s">
        <v>743</v>
      </c>
      <c r="N1144" s="176" t="s">
        <v>743</v>
      </c>
      <c r="O1144" s="176" t="s">
        <v>743</v>
      </c>
      <c r="P1144" s="176" t="s">
        <v>743</v>
      </c>
      <c r="Q1144" s="176" t="s">
        <v>743</v>
      </c>
      <c r="R1144" s="176" t="s">
        <v>743</v>
      </c>
      <c r="S1144" s="176" t="s">
        <v>743</v>
      </c>
      <c r="T1144" s="176" t="s">
        <v>743</v>
      </c>
      <c r="U1144" s="176" t="s">
        <v>743</v>
      </c>
      <c r="V1144" s="52"/>
      <c r="W1144" s="52"/>
      <c r="X1144" s="52"/>
    </row>
    <row r="1145" spans="1:32" s="165" customFormat="1" ht="45">
      <c r="B1145" s="48"/>
      <c r="C1145" s="56"/>
      <c r="D1145" s="57"/>
      <c r="E1145" s="57"/>
      <c r="F1145" s="58"/>
      <c r="G1145" s="58" t="s">
        <v>3330</v>
      </c>
      <c r="H1145" s="52" t="s">
        <v>3331</v>
      </c>
      <c r="I1145" s="52" t="s">
        <v>3331</v>
      </c>
      <c r="J1145" s="52" t="s">
        <v>3332</v>
      </c>
      <c r="K1145" s="252">
        <v>115000000</v>
      </c>
      <c r="L1145" s="52" t="s">
        <v>3332</v>
      </c>
      <c r="M1145" s="252">
        <v>115000000</v>
      </c>
      <c r="N1145" s="52" t="s">
        <v>3332</v>
      </c>
      <c r="O1145" s="252">
        <v>115000000</v>
      </c>
      <c r="P1145" s="52" t="s">
        <v>3332</v>
      </c>
      <c r="Q1145" s="252">
        <v>115000000</v>
      </c>
      <c r="R1145" s="52" t="s">
        <v>3332</v>
      </c>
      <c r="S1145" s="252">
        <v>115000000</v>
      </c>
      <c r="T1145" s="52" t="s">
        <v>3332</v>
      </c>
      <c r="U1145" s="252">
        <v>115000000</v>
      </c>
      <c r="V1145" s="52"/>
      <c r="W1145" s="52"/>
      <c r="X1145" s="52"/>
    </row>
    <row r="1146" spans="1:32" s="165" customFormat="1" ht="60">
      <c r="B1146" s="48"/>
      <c r="C1146" s="56"/>
      <c r="D1146" s="57"/>
      <c r="E1146" s="57"/>
      <c r="F1146" s="58"/>
      <c r="G1146" s="58" t="s">
        <v>3333</v>
      </c>
      <c r="H1146" s="252">
        <v>20000000</v>
      </c>
      <c r="I1146" s="52" t="s">
        <v>3334</v>
      </c>
      <c r="J1146" s="52" t="s">
        <v>3334</v>
      </c>
      <c r="K1146" s="252">
        <v>22000000</v>
      </c>
      <c r="L1146" s="52" t="s">
        <v>3334</v>
      </c>
      <c r="M1146" s="252">
        <v>22000000</v>
      </c>
      <c r="N1146" s="52" t="s">
        <v>3334</v>
      </c>
      <c r="O1146" s="252">
        <v>22000000</v>
      </c>
      <c r="P1146" s="52" t="s">
        <v>3334</v>
      </c>
      <c r="Q1146" s="252">
        <v>22000000</v>
      </c>
      <c r="R1146" s="52" t="s">
        <v>3334</v>
      </c>
      <c r="S1146" s="252">
        <v>22000000</v>
      </c>
      <c r="T1146" s="52" t="s">
        <v>3334</v>
      </c>
      <c r="U1146" s="252">
        <v>22000000</v>
      </c>
      <c r="V1146" s="52"/>
      <c r="W1146" s="52"/>
      <c r="X1146" s="52"/>
    </row>
    <row r="1147" spans="1:32" s="165" customFormat="1" ht="45">
      <c r="B1147" s="48"/>
      <c r="C1147" s="56"/>
      <c r="D1147" s="57"/>
      <c r="E1147" s="57"/>
      <c r="F1147" s="58"/>
      <c r="G1147" s="58" t="s">
        <v>3335</v>
      </c>
      <c r="H1147" s="52" t="s">
        <v>3336</v>
      </c>
      <c r="I1147" s="52" t="s">
        <v>3337</v>
      </c>
      <c r="J1147" s="52" t="s">
        <v>3338</v>
      </c>
      <c r="K1147" s="252">
        <v>2437500000</v>
      </c>
      <c r="L1147" s="52" t="s">
        <v>3338</v>
      </c>
      <c r="M1147" s="252"/>
      <c r="N1147" s="52" t="s">
        <v>3338</v>
      </c>
      <c r="O1147" s="252"/>
      <c r="P1147" s="52" t="s">
        <v>3338</v>
      </c>
      <c r="Q1147" s="252"/>
      <c r="R1147" s="52" t="s">
        <v>3338</v>
      </c>
      <c r="S1147" s="252"/>
      <c r="T1147" s="52" t="s">
        <v>3338</v>
      </c>
      <c r="U1147" s="252"/>
      <c r="V1147" s="52"/>
      <c r="W1147" s="52"/>
      <c r="X1147" s="52"/>
    </row>
    <row r="1148" spans="1:32" s="165" customFormat="1" ht="45">
      <c r="B1148" s="48"/>
      <c r="C1148" s="56"/>
      <c r="D1148" s="57"/>
      <c r="E1148" s="57"/>
      <c r="F1148" s="58"/>
      <c r="G1148" s="58" t="s">
        <v>3339</v>
      </c>
      <c r="H1148" s="52" t="s">
        <v>2505</v>
      </c>
      <c r="I1148" s="52" t="s">
        <v>2505</v>
      </c>
      <c r="J1148" s="52" t="s">
        <v>2505</v>
      </c>
      <c r="K1148" s="252">
        <v>300000000</v>
      </c>
      <c r="L1148" s="52" t="s">
        <v>2505</v>
      </c>
      <c r="M1148" s="252">
        <v>300000000</v>
      </c>
      <c r="N1148" s="52" t="s">
        <v>2505</v>
      </c>
      <c r="O1148" s="252">
        <v>300000000</v>
      </c>
      <c r="P1148" s="52" t="s">
        <v>2505</v>
      </c>
      <c r="Q1148" s="252">
        <v>300000000</v>
      </c>
      <c r="R1148" s="52" t="s">
        <v>2505</v>
      </c>
      <c r="S1148" s="252">
        <v>300000000</v>
      </c>
      <c r="T1148" s="52" t="s">
        <v>2505</v>
      </c>
      <c r="U1148" s="252">
        <v>300000000</v>
      </c>
      <c r="V1148" s="52"/>
      <c r="W1148" s="52"/>
      <c r="X1148" s="52"/>
    </row>
    <row r="1149" spans="1:32" s="165" customFormat="1" ht="45">
      <c r="B1149" s="48"/>
      <c r="C1149" s="56"/>
      <c r="D1149" s="57"/>
      <c r="E1149" s="57"/>
      <c r="F1149" s="58"/>
      <c r="G1149" s="58" t="s">
        <v>3339</v>
      </c>
      <c r="H1149" s="52" t="s">
        <v>2505</v>
      </c>
      <c r="I1149" s="52" t="s">
        <v>2505</v>
      </c>
      <c r="J1149" s="52" t="s">
        <v>2505</v>
      </c>
      <c r="K1149" s="252">
        <v>310000000</v>
      </c>
      <c r="L1149" s="52" t="s">
        <v>2505</v>
      </c>
      <c r="M1149" s="252">
        <v>310000000</v>
      </c>
      <c r="N1149" s="52" t="s">
        <v>2505</v>
      </c>
      <c r="O1149" s="252">
        <v>310000000</v>
      </c>
      <c r="P1149" s="52" t="s">
        <v>2505</v>
      </c>
      <c r="Q1149" s="252">
        <v>310000000</v>
      </c>
      <c r="R1149" s="52" t="s">
        <v>2505</v>
      </c>
      <c r="S1149" s="252">
        <v>310000000</v>
      </c>
      <c r="T1149" s="52" t="s">
        <v>2505</v>
      </c>
      <c r="U1149" s="252">
        <v>310000000</v>
      </c>
      <c r="V1149" s="52"/>
      <c r="W1149" s="52"/>
      <c r="X1149" s="52"/>
    </row>
    <row r="1150" spans="1:32" s="165" customFormat="1" ht="60">
      <c r="B1150" s="48"/>
      <c r="C1150" s="56"/>
      <c r="D1150" s="57"/>
      <c r="E1150" s="57"/>
      <c r="F1150" s="58"/>
      <c r="G1150" s="58" t="s">
        <v>3340</v>
      </c>
      <c r="H1150" s="52" t="s">
        <v>2504</v>
      </c>
      <c r="I1150" s="52" t="s">
        <v>2504</v>
      </c>
      <c r="J1150" s="52" t="s">
        <v>2505</v>
      </c>
      <c r="K1150" s="252">
        <v>320000000</v>
      </c>
      <c r="L1150" s="52" t="s">
        <v>2505</v>
      </c>
      <c r="M1150" s="252">
        <f>(K1150*10/100)+K1150</f>
        <v>352000000</v>
      </c>
      <c r="N1150" s="52" t="s">
        <v>2505</v>
      </c>
      <c r="O1150" s="252">
        <f>(M1150*10/100)+M1150</f>
        <v>387200000</v>
      </c>
      <c r="P1150" s="52" t="s">
        <v>2505</v>
      </c>
      <c r="Q1150" s="252">
        <f>(O1150*10/100)+O1150</f>
        <v>425920000</v>
      </c>
      <c r="R1150" s="52" t="s">
        <v>2505</v>
      </c>
      <c r="S1150" s="252">
        <f>(Q1150*10/100)+Q1150</f>
        <v>468512000</v>
      </c>
      <c r="T1150" s="52" t="s">
        <v>2505</v>
      </c>
      <c r="U1150" s="252">
        <f>(S1150*10/100)+S1150</f>
        <v>515363200</v>
      </c>
      <c r="V1150" s="52"/>
      <c r="W1150" s="52"/>
      <c r="X1150" s="52"/>
    </row>
    <row r="1151" spans="1:32" s="165" customFormat="1" ht="60">
      <c r="B1151" s="48"/>
      <c r="C1151" s="56"/>
      <c r="D1151" s="57"/>
      <c r="E1151" s="57"/>
      <c r="F1151" s="58"/>
      <c r="G1151" s="58" t="s">
        <v>3341</v>
      </c>
      <c r="H1151" s="52" t="s">
        <v>3342</v>
      </c>
      <c r="I1151" s="52" t="s">
        <v>3343</v>
      </c>
      <c r="J1151" s="52" t="s">
        <v>3344</v>
      </c>
      <c r="K1151" s="252">
        <v>90000000</v>
      </c>
      <c r="L1151" s="52" t="s">
        <v>3344</v>
      </c>
      <c r="M1151" s="252">
        <v>90000000</v>
      </c>
      <c r="N1151" s="52" t="s">
        <v>3344</v>
      </c>
      <c r="O1151" s="252">
        <v>90000000</v>
      </c>
      <c r="P1151" s="52" t="s">
        <v>3344</v>
      </c>
      <c r="Q1151" s="252">
        <v>90000000</v>
      </c>
      <c r="R1151" s="52" t="s">
        <v>3344</v>
      </c>
      <c r="S1151" s="252">
        <v>90000000</v>
      </c>
      <c r="T1151" s="52" t="s">
        <v>3344</v>
      </c>
      <c r="U1151" s="252">
        <v>90000000</v>
      </c>
      <c r="V1151" s="52"/>
      <c r="W1151" s="52"/>
      <c r="X1151" s="52"/>
    </row>
    <row r="1152" spans="1:32" s="165" customFormat="1" ht="45">
      <c r="B1152" s="48"/>
      <c r="C1152" s="56"/>
      <c r="D1152" s="57"/>
      <c r="E1152" s="57"/>
      <c r="F1152" s="58"/>
      <c r="G1152" s="58" t="s">
        <v>3345</v>
      </c>
      <c r="H1152" s="191">
        <v>0.17910000000000001</v>
      </c>
      <c r="I1152" s="161">
        <v>0.16</v>
      </c>
      <c r="J1152" s="161">
        <v>0.16</v>
      </c>
      <c r="K1152" s="252">
        <v>110000000</v>
      </c>
      <c r="L1152" s="161">
        <v>0.16</v>
      </c>
      <c r="M1152" s="252">
        <v>110000000</v>
      </c>
      <c r="N1152" s="161">
        <v>0.16</v>
      </c>
      <c r="O1152" s="252">
        <v>110000000</v>
      </c>
      <c r="P1152" s="161">
        <v>0.16</v>
      </c>
      <c r="Q1152" s="252">
        <v>110000000</v>
      </c>
      <c r="R1152" s="161">
        <v>0.16</v>
      </c>
      <c r="S1152" s="252">
        <v>110000000</v>
      </c>
      <c r="T1152" s="161">
        <v>0.16</v>
      </c>
      <c r="U1152" s="252">
        <v>110000000</v>
      </c>
      <c r="V1152" s="52"/>
      <c r="W1152" s="52"/>
      <c r="X1152" s="52"/>
    </row>
    <row r="1153" spans="2:24" s="540" customFormat="1" ht="75">
      <c r="B1153" s="545"/>
      <c r="C1153" s="591">
        <f>'matrik MISI 2'!J46</f>
        <v>1.22</v>
      </c>
      <c r="D1153" s="592" t="str">
        <f>'matrik MISI 2'!K46</f>
        <v>xx</v>
      </c>
      <c r="E1153" s="592">
        <f>'matrik MISI 2'!L46</f>
        <v>16</v>
      </c>
      <c r="F1153" s="548" t="str">
        <f>'matrik MISI 2'!M46</f>
        <v>Program Pengembangan Lembaga Ekonomi Pedesaan</v>
      </c>
      <c r="G1153" s="548"/>
      <c r="H1153" s="550"/>
      <c r="I1153" s="550"/>
      <c r="J1153" s="550"/>
      <c r="K1153" s="551">
        <f>SUM(K1154:K1155)</f>
        <v>146500000</v>
      </c>
      <c r="L1153" s="551"/>
      <c r="M1153" s="551">
        <f t="shared" ref="M1153:U1153" si="108">SUM(M1154:M1155)</f>
        <v>153000000</v>
      </c>
      <c r="N1153" s="551"/>
      <c r="O1153" s="551">
        <f t="shared" si="108"/>
        <v>167500000</v>
      </c>
      <c r="P1153" s="551"/>
      <c r="Q1153" s="551">
        <f t="shared" si="108"/>
        <v>167500000</v>
      </c>
      <c r="R1153" s="551"/>
      <c r="S1153" s="551">
        <f t="shared" si="108"/>
        <v>167500000</v>
      </c>
      <c r="T1153" s="551"/>
      <c r="U1153" s="551">
        <f t="shared" si="108"/>
        <v>167500000</v>
      </c>
      <c r="V1153" s="550"/>
      <c r="W1153" s="550"/>
      <c r="X1153" s="550" t="str">
        <f>'matrik MISI 2'!X46</f>
        <v>BAPERMADES</v>
      </c>
    </row>
    <row r="1154" spans="2:24" s="165" customFormat="1" ht="90">
      <c r="B1154" s="48"/>
      <c r="C1154" s="56"/>
      <c r="D1154" s="57"/>
      <c r="E1154" s="57"/>
      <c r="F1154" s="58"/>
      <c r="G1154" s="58" t="s">
        <v>3312</v>
      </c>
      <c r="H1154" s="52" t="s">
        <v>3313</v>
      </c>
      <c r="I1154" s="176" t="s">
        <v>743</v>
      </c>
      <c r="J1154" s="52" t="s">
        <v>3314</v>
      </c>
      <c r="K1154" s="252">
        <v>80000000</v>
      </c>
      <c r="L1154" s="52" t="s">
        <v>3314</v>
      </c>
      <c r="M1154" s="252">
        <v>87000000</v>
      </c>
      <c r="N1154" s="52" t="s">
        <v>3314</v>
      </c>
      <c r="O1154" s="252">
        <v>95000000</v>
      </c>
      <c r="P1154" s="52" t="s">
        <v>3315</v>
      </c>
      <c r="Q1154" s="252">
        <v>95000000</v>
      </c>
      <c r="R1154" s="52" t="s">
        <v>3315</v>
      </c>
      <c r="S1154" s="252">
        <v>95000000</v>
      </c>
      <c r="T1154" s="52" t="s">
        <v>3315</v>
      </c>
      <c r="U1154" s="252">
        <v>95000000</v>
      </c>
      <c r="V1154" s="52"/>
      <c r="W1154" s="52"/>
      <c r="X1154" s="52"/>
    </row>
    <row r="1155" spans="2:24" s="165" customFormat="1" ht="105">
      <c r="B1155" s="48"/>
      <c r="C1155" s="56"/>
      <c r="D1155" s="57"/>
      <c r="E1155" s="57"/>
      <c r="F1155" s="58"/>
      <c r="G1155" s="58" t="s">
        <v>3316</v>
      </c>
      <c r="H1155" s="52" t="s">
        <v>3317</v>
      </c>
      <c r="I1155" s="52" t="s">
        <v>3318</v>
      </c>
      <c r="J1155" s="52" t="s">
        <v>2915</v>
      </c>
      <c r="K1155" s="252">
        <v>66500000</v>
      </c>
      <c r="L1155" s="52" t="s">
        <v>2915</v>
      </c>
      <c r="M1155" s="252">
        <v>66000000</v>
      </c>
      <c r="N1155" s="52" t="s">
        <v>2915</v>
      </c>
      <c r="O1155" s="252">
        <v>72500000</v>
      </c>
      <c r="P1155" s="52" t="s">
        <v>2915</v>
      </c>
      <c r="Q1155" s="252">
        <v>72500000</v>
      </c>
      <c r="R1155" s="52" t="s">
        <v>2915</v>
      </c>
      <c r="S1155" s="252">
        <v>72500000</v>
      </c>
      <c r="T1155" s="52" t="s">
        <v>2915</v>
      </c>
      <c r="U1155" s="252">
        <v>72500000</v>
      </c>
      <c r="V1155" s="52"/>
      <c r="W1155" s="52"/>
      <c r="X1155" s="52"/>
    </row>
    <row r="1156" spans="2:24" s="540" customFormat="1" ht="120">
      <c r="B1156" s="545"/>
      <c r="C1156" s="591">
        <f>'matrik MISI 2'!J45</f>
        <v>1.22</v>
      </c>
      <c r="D1156" s="592" t="str">
        <f>'matrik MISI 2'!K45</f>
        <v>xx</v>
      </c>
      <c r="E1156" s="592">
        <f>'matrik MISI 2'!L45</f>
        <v>17</v>
      </c>
      <c r="F1156" s="548" t="str">
        <f>'matrik MISI 2'!M45</f>
        <v>Program Peningkatan Partisipasi Masyarakat dalam Membangun Desa/Kelurahan</v>
      </c>
      <c r="G1156" s="548"/>
      <c r="H1156" s="550"/>
      <c r="I1156" s="550"/>
      <c r="J1156" s="550"/>
      <c r="K1156" s="603">
        <f>SUM(K1157:K1164)</f>
        <v>9587000000</v>
      </c>
      <c r="L1156" s="603"/>
      <c r="M1156" s="603">
        <f t="shared" ref="M1156:U1156" si="109">SUM(M1157:M1164)</f>
        <v>9567500000</v>
      </c>
      <c r="N1156" s="603"/>
      <c r="O1156" s="603">
        <f t="shared" si="109"/>
        <v>9567500000</v>
      </c>
      <c r="P1156" s="603"/>
      <c r="Q1156" s="603">
        <f t="shared" si="109"/>
        <v>9567500000</v>
      </c>
      <c r="R1156" s="603"/>
      <c r="S1156" s="603">
        <f t="shared" si="109"/>
        <v>9567500000</v>
      </c>
      <c r="T1156" s="603"/>
      <c r="U1156" s="603">
        <f t="shared" si="109"/>
        <v>9567500000</v>
      </c>
      <c r="V1156" s="550"/>
      <c r="W1156" s="550"/>
      <c r="X1156" s="550" t="str">
        <f>'matrik MISI 2'!X45</f>
        <v>BAPERMADES</v>
      </c>
    </row>
    <row r="1157" spans="2:24" s="165" customFormat="1" ht="30">
      <c r="B1157" s="48"/>
      <c r="C1157" s="56"/>
      <c r="D1157" s="57"/>
      <c r="E1157" s="57"/>
      <c r="F1157" s="58"/>
      <c r="G1157" s="58" t="s">
        <v>3301</v>
      </c>
      <c r="H1157" s="52" t="s">
        <v>3108</v>
      </c>
      <c r="I1157" s="52" t="s">
        <v>3108</v>
      </c>
      <c r="J1157" s="52" t="s">
        <v>3108</v>
      </c>
      <c r="K1157" s="251">
        <v>40000000</v>
      </c>
      <c r="L1157" s="52" t="s">
        <v>3108</v>
      </c>
      <c r="M1157" s="251">
        <v>30000000</v>
      </c>
      <c r="N1157" s="52" t="s">
        <v>3108</v>
      </c>
      <c r="O1157" s="251">
        <v>30000000</v>
      </c>
      <c r="P1157" s="52" t="s">
        <v>3108</v>
      </c>
      <c r="Q1157" s="251">
        <v>30000000</v>
      </c>
      <c r="R1157" s="52" t="s">
        <v>3108</v>
      </c>
      <c r="S1157" s="251">
        <v>30000000</v>
      </c>
      <c r="T1157" s="52" t="s">
        <v>3108</v>
      </c>
      <c r="U1157" s="251">
        <v>30000000</v>
      </c>
      <c r="V1157" s="52"/>
      <c r="W1157" s="52"/>
      <c r="X1157" s="52"/>
    </row>
    <row r="1158" spans="2:24" s="165" customFormat="1" ht="45">
      <c r="B1158" s="48"/>
      <c r="C1158" s="56"/>
      <c r="D1158" s="57"/>
      <c r="E1158" s="57"/>
      <c r="F1158" s="58"/>
      <c r="G1158" s="58" t="s">
        <v>3302</v>
      </c>
      <c r="H1158" s="176" t="s">
        <v>743</v>
      </c>
      <c r="I1158" s="176" t="s">
        <v>743</v>
      </c>
      <c r="J1158" s="52" t="s">
        <v>3108</v>
      </c>
      <c r="K1158" s="251">
        <v>80000000</v>
      </c>
      <c r="L1158" s="52"/>
      <c r="M1158" s="52"/>
      <c r="N1158" s="52"/>
      <c r="O1158" s="52"/>
      <c r="P1158" s="52"/>
      <c r="Q1158" s="52"/>
      <c r="R1158" s="52"/>
      <c r="S1158" s="52"/>
      <c r="T1158" s="52"/>
      <c r="U1158" s="52"/>
      <c r="V1158" s="52"/>
      <c r="W1158" s="52"/>
      <c r="X1158" s="52"/>
    </row>
    <row r="1159" spans="2:24" s="165" customFormat="1" ht="75">
      <c r="B1159" s="48"/>
      <c r="C1159" s="56"/>
      <c r="D1159" s="57"/>
      <c r="E1159" s="57"/>
      <c r="F1159" s="58"/>
      <c r="G1159" s="58" t="s">
        <v>3303</v>
      </c>
      <c r="H1159" s="176" t="s">
        <v>743</v>
      </c>
      <c r="I1159" s="176" t="s">
        <v>743</v>
      </c>
      <c r="J1159" s="52" t="s">
        <v>3108</v>
      </c>
      <c r="K1159" s="251">
        <v>40000000</v>
      </c>
      <c r="L1159" s="52" t="s">
        <v>3108</v>
      </c>
      <c r="M1159" s="251">
        <v>35000000</v>
      </c>
      <c r="N1159" s="52" t="s">
        <v>3108</v>
      </c>
      <c r="O1159" s="251">
        <v>35000000</v>
      </c>
      <c r="P1159" s="52" t="s">
        <v>3108</v>
      </c>
      <c r="Q1159" s="251">
        <v>35000000</v>
      </c>
      <c r="R1159" s="52" t="s">
        <v>3108</v>
      </c>
      <c r="S1159" s="251">
        <v>35000000</v>
      </c>
      <c r="T1159" s="52" t="s">
        <v>3108</v>
      </c>
      <c r="U1159" s="251">
        <v>35000000</v>
      </c>
      <c r="V1159" s="52"/>
      <c r="W1159" s="52"/>
      <c r="X1159" s="52"/>
    </row>
    <row r="1160" spans="2:24" s="165" customFormat="1" ht="90">
      <c r="B1160" s="48"/>
      <c r="C1160" s="56"/>
      <c r="D1160" s="57"/>
      <c r="E1160" s="57"/>
      <c r="F1160" s="58"/>
      <c r="G1160" s="58" t="s">
        <v>3304</v>
      </c>
      <c r="H1160" s="52" t="s">
        <v>3305</v>
      </c>
      <c r="I1160" s="52" t="s">
        <v>3305</v>
      </c>
      <c r="J1160" s="52" t="s">
        <v>3305</v>
      </c>
      <c r="K1160" s="251">
        <v>20000000</v>
      </c>
      <c r="L1160" s="52" t="s">
        <v>3305</v>
      </c>
      <c r="M1160" s="251">
        <v>40000000</v>
      </c>
      <c r="N1160" s="52" t="s">
        <v>3305</v>
      </c>
      <c r="O1160" s="251">
        <v>40000000</v>
      </c>
      <c r="P1160" s="52" t="s">
        <v>3305</v>
      </c>
      <c r="Q1160" s="251">
        <v>40000000</v>
      </c>
      <c r="R1160" s="52" t="s">
        <v>3305</v>
      </c>
      <c r="S1160" s="251">
        <v>40000000</v>
      </c>
      <c r="T1160" s="52" t="s">
        <v>3305</v>
      </c>
      <c r="U1160" s="251">
        <v>40000000</v>
      </c>
      <c r="V1160" s="52"/>
      <c r="W1160" s="52"/>
      <c r="X1160" s="52"/>
    </row>
    <row r="1161" spans="2:24" s="165" customFormat="1" ht="90">
      <c r="B1161" s="48"/>
      <c r="C1161" s="56"/>
      <c r="D1161" s="57"/>
      <c r="E1161" s="57"/>
      <c r="F1161" s="58"/>
      <c r="G1161" s="58" t="s">
        <v>3306</v>
      </c>
      <c r="H1161" s="52" t="s">
        <v>3307</v>
      </c>
      <c r="I1161" s="52" t="s">
        <v>3307</v>
      </c>
      <c r="J1161" s="52" t="s">
        <v>3307</v>
      </c>
      <c r="K1161" s="252">
        <v>122000000</v>
      </c>
      <c r="L1161" s="52" t="s">
        <v>3307</v>
      </c>
      <c r="M1161" s="252">
        <v>135000000</v>
      </c>
      <c r="N1161" s="52" t="s">
        <v>3307</v>
      </c>
      <c r="O1161" s="252">
        <v>135000000</v>
      </c>
      <c r="P1161" s="52" t="s">
        <v>3307</v>
      </c>
      <c r="Q1161" s="252">
        <v>135000000</v>
      </c>
      <c r="R1161" s="52" t="s">
        <v>3307</v>
      </c>
      <c r="S1161" s="252">
        <v>135000000</v>
      </c>
      <c r="T1161" s="52" t="s">
        <v>3307</v>
      </c>
      <c r="U1161" s="252">
        <v>135000000</v>
      </c>
      <c r="V1161" s="52"/>
      <c r="W1161" s="52"/>
      <c r="X1161" s="52"/>
    </row>
    <row r="1162" spans="2:24" s="165" customFormat="1" ht="180">
      <c r="B1162" s="48"/>
      <c r="C1162" s="56"/>
      <c r="D1162" s="57"/>
      <c r="E1162" s="57"/>
      <c r="F1162" s="58"/>
      <c r="G1162" s="58" t="s">
        <v>3308</v>
      </c>
      <c r="H1162" s="52" t="s">
        <v>3309</v>
      </c>
      <c r="I1162" s="52" t="s">
        <v>3309</v>
      </c>
      <c r="J1162" s="52" t="s">
        <v>3310</v>
      </c>
      <c r="K1162" s="252">
        <v>255000000</v>
      </c>
      <c r="L1162" s="52" t="s">
        <v>3310</v>
      </c>
      <c r="M1162" s="252">
        <v>297500000</v>
      </c>
      <c r="N1162" s="52" t="s">
        <v>3310</v>
      </c>
      <c r="O1162" s="252">
        <v>297500000</v>
      </c>
      <c r="P1162" s="52" t="s">
        <v>3310</v>
      </c>
      <c r="Q1162" s="252">
        <v>297500000</v>
      </c>
      <c r="R1162" s="52" t="s">
        <v>3310</v>
      </c>
      <c r="S1162" s="252">
        <v>297500000</v>
      </c>
      <c r="T1162" s="52" t="s">
        <v>3310</v>
      </c>
      <c r="U1162" s="252">
        <v>297500000</v>
      </c>
      <c r="V1162" s="52"/>
      <c r="W1162" s="52"/>
      <c r="X1162" s="52"/>
    </row>
    <row r="1163" spans="2:24" s="165" customFormat="1" ht="45">
      <c r="B1163" s="48"/>
      <c r="C1163" s="56"/>
      <c r="D1163" s="57"/>
      <c r="E1163" s="57"/>
      <c r="F1163" s="58"/>
      <c r="G1163" s="58" t="s">
        <v>3311</v>
      </c>
      <c r="H1163" s="52" t="s">
        <v>2504</v>
      </c>
      <c r="I1163" s="52" t="s">
        <v>2504</v>
      </c>
      <c r="J1163" s="52" t="s">
        <v>2504</v>
      </c>
      <c r="K1163" s="252">
        <v>30000000</v>
      </c>
      <c r="L1163" s="52" t="s">
        <v>2504</v>
      </c>
      <c r="M1163" s="252">
        <v>30000000</v>
      </c>
      <c r="N1163" s="52" t="s">
        <v>2504</v>
      </c>
      <c r="O1163" s="252">
        <v>30000000</v>
      </c>
      <c r="P1163" s="52" t="s">
        <v>2504</v>
      </c>
      <c r="Q1163" s="252">
        <v>30000000</v>
      </c>
      <c r="R1163" s="52" t="s">
        <v>2504</v>
      </c>
      <c r="S1163" s="252">
        <v>30000000</v>
      </c>
      <c r="T1163" s="52" t="s">
        <v>2504</v>
      </c>
      <c r="U1163" s="252">
        <v>30000000</v>
      </c>
      <c r="V1163" s="52"/>
      <c r="W1163" s="52"/>
      <c r="X1163" s="52"/>
    </row>
    <row r="1164" spans="2:24" s="165" customFormat="1" ht="45">
      <c r="B1164" s="48"/>
      <c r="C1164" s="56"/>
      <c r="D1164" s="57"/>
      <c r="E1164" s="57"/>
      <c r="F1164" s="58"/>
      <c r="G1164" s="58" t="s">
        <v>3346</v>
      </c>
      <c r="H1164" s="52" t="s">
        <v>3347</v>
      </c>
      <c r="I1164" s="52" t="s">
        <v>3329</v>
      </c>
      <c r="J1164" s="52" t="s">
        <v>3329</v>
      </c>
      <c r="K1164" s="252">
        <v>9000000000</v>
      </c>
      <c r="L1164" s="52" t="s">
        <v>3329</v>
      </c>
      <c r="M1164" s="252">
        <v>9000000000</v>
      </c>
      <c r="N1164" s="52" t="s">
        <v>3329</v>
      </c>
      <c r="O1164" s="252">
        <v>9000000000</v>
      </c>
      <c r="P1164" s="52" t="s">
        <v>3329</v>
      </c>
      <c r="Q1164" s="252">
        <v>9000000000</v>
      </c>
      <c r="R1164" s="52" t="s">
        <v>3329</v>
      </c>
      <c r="S1164" s="252">
        <v>9000000000</v>
      </c>
      <c r="T1164" s="52" t="s">
        <v>3329</v>
      </c>
      <c r="U1164" s="252">
        <v>9000000000</v>
      </c>
      <c r="V1164" s="52"/>
      <c r="W1164" s="52"/>
      <c r="X1164" s="52"/>
    </row>
    <row r="1165" spans="2:24" s="540" customFormat="1" ht="90">
      <c r="B1165" s="601"/>
      <c r="C1165" s="591">
        <f>'matrik MISI 2'!J51</f>
        <v>1.22</v>
      </c>
      <c r="D1165" s="592" t="str">
        <f>'matrik MISI 2'!K51</f>
        <v>xx</v>
      </c>
      <c r="E1165" s="592">
        <f>'matrik MISI 2'!L51</f>
        <v>18</v>
      </c>
      <c r="F1165" s="548" t="str">
        <f>'matrik MISI 2'!M51</f>
        <v>Program Peningkatan Kapasitas Aparatur Pemerintah Desa</v>
      </c>
      <c r="G1165" s="548"/>
      <c r="H1165" s="550"/>
      <c r="I1165" s="550"/>
      <c r="J1165" s="550"/>
      <c r="K1165" s="599">
        <f>SUM(K1166:K1168)</f>
        <v>180000000</v>
      </c>
      <c r="L1165" s="599">
        <f t="shared" ref="L1165:U1165" si="110">SUM(L1166:L1168)</f>
        <v>0</v>
      </c>
      <c r="M1165" s="599">
        <f t="shared" si="110"/>
        <v>182500000</v>
      </c>
      <c r="N1165" s="599">
        <f t="shared" si="110"/>
        <v>0</v>
      </c>
      <c r="O1165" s="599">
        <f t="shared" si="110"/>
        <v>115000000</v>
      </c>
      <c r="P1165" s="599">
        <f t="shared" si="110"/>
        <v>0</v>
      </c>
      <c r="Q1165" s="599">
        <f t="shared" si="110"/>
        <v>137500000</v>
      </c>
      <c r="R1165" s="599">
        <f t="shared" si="110"/>
        <v>0</v>
      </c>
      <c r="S1165" s="599">
        <f t="shared" si="110"/>
        <v>90000000</v>
      </c>
      <c r="T1165" s="599">
        <f t="shared" si="110"/>
        <v>0</v>
      </c>
      <c r="U1165" s="599">
        <f t="shared" si="110"/>
        <v>90000000</v>
      </c>
      <c r="V1165" s="550"/>
      <c r="W1165" s="550"/>
      <c r="X1165" s="550" t="str">
        <f>'matrik MISI 2'!X51</f>
        <v>BAPERMADES</v>
      </c>
    </row>
    <row r="1166" spans="2:24" s="165" customFormat="1" ht="75">
      <c r="B1166" s="48"/>
      <c r="C1166" s="56"/>
      <c r="D1166" s="57"/>
      <c r="E1166" s="57"/>
      <c r="F1166" s="58"/>
      <c r="G1166" s="58" t="s">
        <v>1601</v>
      </c>
      <c r="H1166" s="52" t="s">
        <v>3575</v>
      </c>
      <c r="I1166" s="52" t="s">
        <v>3576</v>
      </c>
      <c r="J1166" s="52" t="s">
        <v>3577</v>
      </c>
      <c r="K1166" s="320" t="s">
        <v>743</v>
      </c>
      <c r="L1166" s="52" t="s">
        <v>3577</v>
      </c>
      <c r="M1166" s="320" t="s">
        <v>743</v>
      </c>
      <c r="N1166" s="52" t="s">
        <v>3577</v>
      </c>
      <c r="O1166" s="320" t="s">
        <v>743</v>
      </c>
      <c r="P1166" s="52" t="s">
        <v>3577</v>
      </c>
      <c r="Q1166" s="320" t="s">
        <v>743</v>
      </c>
      <c r="R1166" s="52" t="s">
        <v>3577</v>
      </c>
      <c r="S1166" s="320" t="s">
        <v>743</v>
      </c>
      <c r="T1166" s="52" t="s">
        <v>3577</v>
      </c>
      <c r="U1166" s="320" t="s">
        <v>743</v>
      </c>
      <c r="V1166" s="52"/>
      <c r="W1166" s="52"/>
      <c r="X1166" s="52"/>
    </row>
    <row r="1167" spans="2:24" s="165" customFormat="1" ht="45">
      <c r="B1167" s="48"/>
      <c r="C1167" s="56"/>
      <c r="D1167" s="57"/>
      <c r="E1167" s="57"/>
      <c r="F1167" s="58"/>
      <c r="G1167" s="58" t="s">
        <v>1603</v>
      </c>
      <c r="H1167" s="52" t="s">
        <v>3578</v>
      </c>
      <c r="I1167" s="52" t="s">
        <v>3579</v>
      </c>
      <c r="J1167" s="52" t="s">
        <v>3580</v>
      </c>
      <c r="K1167" s="260">
        <v>150000000</v>
      </c>
      <c r="L1167" s="52" t="s">
        <v>3581</v>
      </c>
      <c r="M1167" s="260">
        <v>150000000</v>
      </c>
      <c r="N1167" s="52" t="s">
        <v>3582</v>
      </c>
      <c r="O1167" s="260">
        <v>80000000</v>
      </c>
      <c r="P1167" s="52" t="s">
        <v>3583</v>
      </c>
      <c r="Q1167" s="260">
        <v>100000000</v>
      </c>
      <c r="R1167" s="52" t="s">
        <v>3584</v>
      </c>
      <c r="S1167" s="260">
        <v>50000000</v>
      </c>
      <c r="T1167" s="52" t="s">
        <v>3584</v>
      </c>
      <c r="U1167" s="260">
        <v>50000000</v>
      </c>
      <c r="V1167" s="52"/>
      <c r="W1167" s="52"/>
      <c r="X1167" s="52"/>
    </row>
    <row r="1168" spans="2:24" s="165" customFormat="1" ht="45">
      <c r="B1168" s="48"/>
      <c r="C1168" s="56"/>
      <c r="D1168" s="57"/>
      <c r="E1168" s="57"/>
      <c r="F1168" s="58"/>
      <c r="G1168" s="58" t="s">
        <v>1606</v>
      </c>
      <c r="H1168" s="52" t="s">
        <v>3585</v>
      </c>
      <c r="I1168" s="52" t="s">
        <v>3586</v>
      </c>
      <c r="J1168" s="52" t="s">
        <v>3587</v>
      </c>
      <c r="K1168" s="260">
        <v>30000000</v>
      </c>
      <c r="L1168" s="52" t="s">
        <v>3588</v>
      </c>
      <c r="M1168" s="260">
        <v>32500000</v>
      </c>
      <c r="N1168" s="52" t="s">
        <v>3589</v>
      </c>
      <c r="O1168" s="260">
        <v>35000000</v>
      </c>
      <c r="P1168" s="52" t="s">
        <v>3589</v>
      </c>
      <c r="Q1168" s="260">
        <v>37500000</v>
      </c>
      <c r="R1168" s="52" t="s">
        <v>3589</v>
      </c>
      <c r="S1168" s="260">
        <v>40000000</v>
      </c>
      <c r="T1168" s="52" t="s">
        <v>3589</v>
      </c>
      <c r="U1168" s="260">
        <v>40000000</v>
      </c>
      <c r="V1168" s="52"/>
      <c r="W1168" s="52"/>
      <c r="X1168" s="52"/>
    </row>
    <row r="1169" spans="1:32" s="540" customFormat="1" ht="75">
      <c r="B1169" s="545"/>
      <c r="C1169" s="591">
        <f>'matrik MISI 2'!J44</f>
        <v>1.22</v>
      </c>
      <c r="D1169" s="592" t="str">
        <f>'matrik MISI 2'!K44</f>
        <v>xx</v>
      </c>
      <c r="E1169" s="592">
        <f>'matrik MISI 2'!L44</f>
        <v>22</v>
      </c>
      <c r="F1169" s="548" t="str">
        <f>'matrik MISI 2'!M44</f>
        <v>Program Peningkatan Ketahanan Masyarakat Desa</v>
      </c>
      <c r="G1169" s="548"/>
      <c r="H1169" s="550"/>
      <c r="I1169" s="550"/>
      <c r="J1169" s="550"/>
      <c r="K1169" s="551">
        <f>SUM(K1170:K1172)</f>
        <v>194000000</v>
      </c>
      <c r="L1169" s="551">
        <f t="shared" ref="L1169:T1169" si="111">SUM(L1170:L1172)</f>
        <v>0</v>
      </c>
      <c r="M1169" s="551">
        <f t="shared" si="111"/>
        <v>194000000</v>
      </c>
      <c r="N1169" s="551">
        <f t="shared" si="111"/>
        <v>0</v>
      </c>
      <c r="O1169" s="551">
        <f t="shared" si="111"/>
        <v>194000000</v>
      </c>
      <c r="P1169" s="551">
        <f t="shared" si="111"/>
        <v>0</v>
      </c>
      <c r="Q1169" s="551">
        <f t="shared" si="111"/>
        <v>194000000</v>
      </c>
      <c r="R1169" s="551">
        <f t="shared" si="111"/>
        <v>0</v>
      </c>
      <c r="S1169" s="551">
        <f t="shared" si="111"/>
        <v>194000000</v>
      </c>
      <c r="T1169" s="551">
        <f t="shared" si="111"/>
        <v>0</v>
      </c>
      <c r="U1169" s="551">
        <f>SUM(U1170:U1172)</f>
        <v>194000000</v>
      </c>
      <c r="V1169" s="551">
        <f t="shared" ref="V1169" si="112">SUM(V1170:V1172)</f>
        <v>0</v>
      </c>
      <c r="W1169" s="551">
        <f t="shared" ref="W1169" si="113">SUM(W1170:W1172)</f>
        <v>0</v>
      </c>
      <c r="X1169" s="550" t="str">
        <f>'matrik MISI 2'!X44</f>
        <v>BAPERMADES</v>
      </c>
    </row>
    <row r="1170" spans="1:32" s="165" customFormat="1" ht="240">
      <c r="B1170" s="48"/>
      <c r="C1170" s="56"/>
      <c r="D1170" s="57"/>
      <c r="E1170" s="57"/>
      <c r="F1170" s="58"/>
      <c r="G1170" s="58" t="s">
        <v>3294</v>
      </c>
      <c r="H1170" s="52" t="s">
        <v>3295</v>
      </c>
      <c r="I1170" s="52" t="s">
        <v>3296</v>
      </c>
      <c r="J1170" s="52" t="s">
        <v>3296</v>
      </c>
      <c r="K1170" s="252">
        <v>100000000</v>
      </c>
      <c r="L1170" s="52" t="s">
        <v>3296</v>
      </c>
      <c r="M1170" s="252">
        <v>100000000</v>
      </c>
      <c r="N1170" s="52" t="s">
        <v>3296</v>
      </c>
      <c r="O1170" s="252">
        <v>100000000</v>
      </c>
      <c r="P1170" s="52" t="s">
        <v>3296</v>
      </c>
      <c r="Q1170" s="252">
        <v>100000000</v>
      </c>
      <c r="R1170" s="52" t="s">
        <v>3296</v>
      </c>
      <c r="S1170" s="252">
        <v>100000000</v>
      </c>
      <c r="T1170" s="52" t="s">
        <v>3296</v>
      </c>
      <c r="U1170" s="252">
        <v>100000000</v>
      </c>
      <c r="V1170" s="52"/>
      <c r="W1170" s="52"/>
      <c r="X1170" s="52"/>
    </row>
    <row r="1171" spans="1:32" s="165" customFormat="1" ht="60">
      <c r="B1171" s="48"/>
      <c r="C1171" s="56"/>
      <c r="D1171" s="57"/>
      <c r="E1171" s="57"/>
      <c r="F1171" s="58"/>
      <c r="G1171" s="58" t="s">
        <v>3297</v>
      </c>
      <c r="H1171" s="52" t="s">
        <v>3298</v>
      </c>
      <c r="I1171" s="52" t="s">
        <v>3298</v>
      </c>
      <c r="J1171" s="52" t="s">
        <v>3298</v>
      </c>
      <c r="K1171" s="252">
        <v>24000000</v>
      </c>
      <c r="L1171" s="52" t="s">
        <v>3298</v>
      </c>
      <c r="M1171" s="252">
        <v>24000000</v>
      </c>
      <c r="N1171" s="52" t="s">
        <v>3298</v>
      </c>
      <c r="O1171" s="252">
        <v>24000000</v>
      </c>
      <c r="P1171" s="52" t="s">
        <v>3298</v>
      </c>
      <c r="Q1171" s="252">
        <v>24000000</v>
      </c>
      <c r="R1171" s="52" t="s">
        <v>3298</v>
      </c>
      <c r="S1171" s="252">
        <v>24000000</v>
      </c>
      <c r="T1171" s="52" t="s">
        <v>3298</v>
      </c>
      <c r="U1171" s="252">
        <v>24000000</v>
      </c>
      <c r="V1171" s="52"/>
      <c r="W1171" s="52"/>
      <c r="X1171" s="52"/>
    </row>
    <row r="1172" spans="1:32" s="165" customFormat="1" ht="30">
      <c r="B1172" s="48"/>
      <c r="C1172" s="56"/>
      <c r="D1172" s="57"/>
      <c r="E1172" s="57"/>
      <c r="F1172" s="58"/>
      <c r="G1172" s="58" t="s">
        <v>3299</v>
      </c>
      <c r="H1172" s="176" t="s">
        <v>743</v>
      </c>
      <c r="I1172" s="176" t="s">
        <v>743</v>
      </c>
      <c r="J1172" s="52" t="s">
        <v>3300</v>
      </c>
      <c r="K1172" s="252">
        <v>70000000</v>
      </c>
      <c r="L1172" s="52" t="s">
        <v>3300</v>
      </c>
      <c r="M1172" s="252">
        <v>70000000</v>
      </c>
      <c r="N1172" s="52" t="s">
        <v>3300</v>
      </c>
      <c r="O1172" s="252">
        <v>70000000</v>
      </c>
      <c r="P1172" s="52" t="s">
        <v>3300</v>
      </c>
      <c r="Q1172" s="252">
        <v>70000000</v>
      </c>
      <c r="R1172" s="52" t="s">
        <v>3300</v>
      </c>
      <c r="S1172" s="252">
        <v>70000000</v>
      </c>
      <c r="T1172" s="52" t="s">
        <v>3300</v>
      </c>
      <c r="U1172" s="252">
        <v>70000000</v>
      </c>
      <c r="V1172" s="52"/>
      <c r="W1172" s="52"/>
      <c r="X1172" s="52"/>
    </row>
    <row r="1173" spans="1:32" s="280" customFormat="1">
      <c r="A1173" s="285"/>
      <c r="B1173" s="1093" t="s">
        <v>4254</v>
      </c>
      <c r="C1173" s="1094"/>
      <c r="D1173" s="1094"/>
      <c r="E1173" s="1094"/>
      <c r="F1173" s="1094"/>
      <c r="G1173" s="1095"/>
      <c r="H1173" s="382"/>
      <c r="I1173" s="382"/>
      <c r="J1173" s="382"/>
      <c r="K1173" s="315">
        <f>SUM(K1140:K1172)</f>
        <v>27719000000</v>
      </c>
      <c r="L1173" s="315"/>
      <c r="M1173" s="315">
        <f t="shared" ref="M1173:W1173" si="114">SUM(M1140:M1172)</f>
        <v>22942000000</v>
      </c>
      <c r="N1173" s="315"/>
      <c r="O1173" s="315">
        <f t="shared" si="114"/>
        <v>22876400000</v>
      </c>
      <c r="P1173" s="315"/>
      <c r="Q1173" s="315">
        <f t="shared" si="114"/>
        <v>23008840000</v>
      </c>
      <c r="R1173" s="315"/>
      <c r="S1173" s="315">
        <f t="shared" si="114"/>
        <v>22999024000</v>
      </c>
      <c r="T1173" s="315"/>
      <c r="U1173" s="315">
        <f t="shared" si="114"/>
        <v>23092726400</v>
      </c>
      <c r="V1173" s="315">
        <f t="shared" si="114"/>
        <v>0</v>
      </c>
      <c r="W1173" s="315">
        <f t="shared" si="114"/>
        <v>0</v>
      </c>
      <c r="X1173" s="382"/>
      <c r="Y1173" s="285"/>
      <c r="Z1173" s="285"/>
      <c r="AA1173" s="285"/>
      <c r="AB1173" s="285"/>
      <c r="AC1173" s="285"/>
      <c r="AD1173" s="285"/>
      <c r="AE1173" s="285"/>
      <c r="AF1173" s="285"/>
    </row>
    <row r="1174" spans="1:32">
      <c r="A1174" s="165">
        <v>1</v>
      </c>
      <c r="B1174" s="62" t="str">
        <f>'matrik MISI 6'!B104</f>
        <v>STATISTIK</v>
      </c>
      <c r="C1174" s="56"/>
      <c r="D1174" s="57"/>
      <c r="E1174" s="57"/>
      <c r="F1174" s="58"/>
      <c r="G1174" s="58"/>
      <c r="H1174" s="52"/>
      <c r="I1174" s="52"/>
      <c r="J1174" s="52"/>
      <c r="K1174" s="52"/>
      <c r="L1174" s="52"/>
      <c r="M1174" s="52"/>
      <c r="N1174" s="52"/>
      <c r="O1174" s="52"/>
      <c r="P1174" s="52"/>
      <c r="Q1174" s="52"/>
      <c r="R1174" s="52"/>
      <c r="S1174" s="52"/>
      <c r="T1174" s="52"/>
      <c r="U1174" s="52"/>
      <c r="V1174" s="52"/>
      <c r="W1174" s="52"/>
      <c r="X1174" s="52"/>
      <c r="Y1174" s="165"/>
      <c r="Z1174" s="165"/>
      <c r="AA1174" s="165"/>
      <c r="AB1174" s="165"/>
      <c r="AC1174" s="165"/>
      <c r="AD1174" s="165"/>
      <c r="AE1174" s="165"/>
      <c r="AF1174" s="165"/>
    </row>
    <row r="1175" spans="1:32" s="540" customFormat="1" ht="75">
      <c r="B1175" s="545"/>
      <c r="C1175" s="591">
        <f>'matrik MISI 6'!J105</f>
        <v>1.23</v>
      </c>
      <c r="D1175" s="592" t="str">
        <f>'matrik MISI 6'!K105</f>
        <v>xx</v>
      </c>
      <c r="E1175" s="592">
        <f>'matrik MISI 6'!L105</f>
        <v>15</v>
      </c>
      <c r="F1175" s="548" t="str">
        <f>'matrik MISI 6'!M105</f>
        <v>Program Pengembangan Data/Informasi/Statistik Daerah</v>
      </c>
      <c r="G1175" s="548"/>
      <c r="H1175" s="550"/>
      <c r="I1175" s="550"/>
      <c r="J1175" s="550"/>
      <c r="K1175" s="603">
        <f>SUM(K1176:K1179)</f>
        <v>761542000</v>
      </c>
      <c r="L1175" s="603"/>
      <c r="M1175" s="603">
        <f t="shared" ref="M1175:U1175" si="115">SUM(M1176:M1179)</f>
        <v>641029000</v>
      </c>
      <c r="N1175" s="603"/>
      <c r="O1175" s="603">
        <f t="shared" si="115"/>
        <v>688632000</v>
      </c>
      <c r="P1175" s="603"/>
      <c r="Q1175" s="603">
        <f t="shared" si="115"/>
        <v>1017995000</v>
      </c>
      <c r="R1175" s="603"/>
      <c r="S1175" s="603">
        <f t="shared" si="115"/>
        <v>884294000</v>
      </c>
      <c r="T1175" s="603"/>
      <c r="U1175" s="603">
        <f t="shared" si="115"/>
        <v>884294000</v>
      </c>
      <c r="V1175" s="550"/>
      <c r="W1175" s="550"/>
      <c r="X1175" s="550" t="str">
        <f>'matrik MISI 6'!X105</f>
        <v>Bappeda</v>
      </c>
    </row>
    <row r="1176" spans="1:32" s="165" customFormat="1" ht="60">
      <c r="B1176" s="48"/>
      <c r="C1176" s="56"/>
      <c r="D1176" s="57"/>
      <c r="E1176" s="57"/>
      <c r="F1176" s="58"/>
      <c r="G1176" s="58" t="s">
        <v>3348</v>
      </c>
      <c r="H1176" s="52"/>
      <c r="I1176" s="52" t="s">
        <v>3349</v>
      </c>
      <c r="J1176" s="52" t="s">
        <v>3351</v>
      </c>
      <c r="K1176" s="251">
        <v>61515000</v>
      </c>
      <c r="L1176" s="52" t="s">
        <v>3349</v>
      </c>
      <c r="M1176" s="251">
        <f>('[3]pemb desa'!K1074*10/100)+'[3]pemb desa'!K1074</f>
        <v>0</v>
      </c>
      <c r="N1176" s="52" t="s">
        <v>3349</v>
      </c>
      <c r="O1176" s="251">
        <f>(M1176*10/100)+M1176</f>
        <v>0</v>
      </c>
      <c r="P1176" s="52" t="s">
        <v>3349</v>
      </c>
      <c r="Q1176" s="251">
        <f>(O1176*10/100)+O1176</f>
        <v>0</v>
      </c>
      <c r="R1176" s="52" t="s">
        <v>3349</v>
      </c>
      <c r="S1176" s="251">
        <f>(Q1176*10/100)+Q1176</f>
        <v>0</v>
      </c>
      <c r="T1176" s="52" t="s">
        <v>3349</v>
      </c>
      <c r="U1176" s="251">
        <f>(S1176*10/100)+S1176</f>
        <v>0</v>
      </c>
      <c r="V1176" s="52"/>
      <c r="W1176" s="52"/>
      <c r="X1176" s="52"/>
    </row>
    <row r="1177" spans="1:32" s="165" customFormat="1" ht="75">
      <c r="B1177" s="48"/>
      <c r="C1177" s="56"/>
      <c r="D1177" s="57"/>
      <c r="E1177" s="57"/>
      <c r="F1177" s="58"/>
      <c r="G1177" s="58" t="s">
        <v>3350</v>
      </c>
      <c r="H1177" s="52"/>
      <c r="I1177" s="52" t="s">
        <v>3349</v>
      </c>
      <c r="J1177" s="52" t="s">
        <v>3349</v>
      </c>
      <c r="K1177" s="251">
        <v>160027000</v>
      </c>
      <c r="L1177" s="338" t="s">
        <v>3349</v>
      </c>
      <c r="M1177" s="251">
        <f>160027000+16002000</f>
        <v>176029000</v>
      </c>
      <c r="N1177" s="338" t="s">
        <v>3349</v>
      </c>
      <c r="O1177" s="251">
        <f>176029000+17603000</f>
        <v>193632000</v>
      </c>
      <c r="P1177" s="338" t="s">
        <v>3349</v>
      </c>
      <c r="Q1177" s="251">
        <f>193632000+19363000</f>
        <v>212995000</v>
      </c>
      <c r="R1177" s="338" t="s">
        <v>3349</v>
      </c>
      <c r="S1177" s="251">
        <f>212995000+21299000</f>
        <v>234294000</v>
      </c>
      <c r="T1177" s="338" t="s">
        <v>3349</v>
      </c>
      <c r="U1177" s="251">
        <f>212995000+21299000</f>
        <v>234294000</v>
      </c>
      <c r="V1177" s="52"/>
      <c r="W1177" s="52"/>
      <c r="X1177" s="52"/>
    </row>
    <row r="1178" spans="1:32" s="165" customFormat="1" ht="45">
      <c r="B1178" s="48"/>
      <c r="C1178" s="56"/>
      <c r="D1178" s="57"/>
      <c r="E1178" s="57"/>
      <c r="F1178" s="58"/>
      <c r="G1178" s="55" t="s">
        <v>4677</v>
      </c>
      <c r="H1178" s="52"/>
      <c r="I1178" s="52"/>
      <c r="J1178" s="52"/>
      <c r="K1178" s="741">
        <v>75000000</v>
      </c>
      <c r="L1178" s="338"/>
      <c r="M1178" s="741"/>
      <c r="N1178" s="338"/>
      <c r="O1178" s="741"/>
      <c r="P1178" s="338"/>
      <c r="Q1178" s="741"/>
      <c r="R1178" s="338"/>
      <c r="S1178" s="741"/>
      <c r="T1178" s="338"/>
      <c r="U1178" s="741"/>
      <c r="V1178" s="52"/>
      <c r="W1178" s="52"/>
      <c r="X1178" s="51" t="s">
        <v>4671</v>
      </c>
    </row>
    <row r="1179" spans="1:32" s="165" customFormat="1" ht="30">
      <c r="B1179" s="48"/>
      <c r="C1179" s="56"/>
      <c r="D1179" s="57"/>
      <c r="E1179" s="57"/>
      <c r="F1179" s="58"/>
      <c r="G1179" s="58" t="s">
        <v>4267</v>
      </c>
      <c r="H1179" s="161">
        <v>1</v>
      </c>
      <c r="I1179" s="161">
        <v>1</v>
      </c>
      <c r="J1179" s="161">
        <v>1</v>
      </c>
      <c r="K1179" s="337">
        <v>465000000</v>
      </c>
      <c r="L1179" s="161">
        <v>1</v>
      </c>
      <c r="M1179" s="337">
        <v>465000000</v>
      </c>
      <c r="N1179" s="161">
        <v>1</v>
      </c>
      <c r="O1179" s="337">
        <v>495000000</v>
      </c>
      <c r="P1179" s="161">
        <v>1</v>
      </c>
      <c r="Q1179" s="337">
        <v>805000000</v>
      </c>
      <c r="R1179" s="161">
        <v>1</v>
      </c>
      <c r="S1179" s="337">
        <v>650000000</v>
      </c>
      <c r="T1179" s="161">
        <v>1</v>
      </c>
      <c r="U1179" s="259">
        <f>S1179</f>
        <v>650000000</v>
      </c>
      <c r="V1179" s="52"/>
      <c r="W1179" s="52"/>
      <c r="X1179" s="52"/>
    </row>
    <row r="1180" spans="1:32" s="280" customFormat="1">
      <c r="A1180" s="285"/>
      <c r="B1180" s="1093" t="s">
        <v>4255</v>
      </c>
      <c r="C1180" s="1094"/>
      <c r="D1180" s="1094"/>
      <c r="E1180" s="1094"/>
      <c r="F1180" s="1094"/>
      <c r="G1180" s="1095"/>
      <c r="H1180" s="382"/>
      <c r="I1180" s="382"/>
      <c r="J1180" s="382"/>
      <c r="K1180" s="315">
        <f>SUM(K1176:K1179)</f>
        <v>761542000</v>
      </c>
      <c r="L1180" s="315"/>
      <c r="M1180" s="315">
        <f t="shared" ref="M1180:W1180" si="116">SUM(M1176:M1179)</f>
        <v>641029000</v>
      </c>
      <c r="N1180" s="315"/>
      <c r="O1180" s="315">
        <f t="shared" si="116"/>
        <v>688632000</v>
      </c>
      <c r="P1180" s="315"/>
      <c r="Q1180" s="315">
        <f t="shared" si="116"/>
        <v>1017995000</v>
      </c>
      <c r="R1180" s="315"/>
      <c r="S1180" s="315">
        <f t="shared" si="116"/>
        <v>884294000</v>
      </c>
      <c r="T1180" s="315"/>
      <c r="U1180" s="315">
        <f t="shared" si="116"/>
        <v>884294000</v>
      </c>
      <c r="V1180" s="315">
        <f t="shared" si="116"/>
        <v>0</v>
      </c>
      <c r="W1180" s="315">
        <f t="shared" si="116"/>
        <v>0</v>
      </c>
      <c r="X1180" s="382"/>
      <c r="Y1180" s="285"/>
      <c r="Z1180" s="285"/>
      <c r="AA1180" s="285"/>
      <c r="AB1180" s="285"/>
      <c r="AC1180" s="285"/>
      <c r="AD1180" s="285"/>
      <c r="AE1180" s="285"/>
      <c r="AF1180" s="285"/>
    </row>
    <row r="1181" spans="1:32">
      <c r="A1181" s="165">
        <v>1</v>
      </c>
      <c r="B1181" s="62" t="str">
        <f>'matrik MISI 6'!B74</f>
        <v>KEARSIPAN</v>
      </c>
      <c r="C1181" s="56"/>
      <c r="D1181" s="57"/>
      <c r="E1181" s="57"/>
      <c r="F1181" s="58"/>
      <c r="G1181" s="58"/>
      <c r="H1181" s="52"/>
      <c r="I1181" s="52"/>
      <c r="J1181" s="52"/>
      <c r="K1181" s="52"/>
      <c r="L1181" s="52"/>
      <c r="M1181" s="52"/>
      <c r="N1181" s="52"/>
      <c r="O1181" s="52"/>
      <c r="P1181" s="52"/>
      <c r="Q1181" s="52"/>
      <c r="R1181" s="52"/>
      <c r="S1181" s="52"/>
      <c r="T1181" s="52"/>
      <c r="U1181" s="52"/>
      <c r="V1181" s="52"/>
      <c r="W1181" s="52"/>
      <c r="X1181" s="52"/>
      <c r="Y1181" s="165"/>
      <c r="Z1181" s="165"/>
      <c r="AA1181" s="165"/>
      <c r="AB1181" s="165"/>
      <c r="AC1181" s="165"/>
      <c r="AD1181" s="165"/>
      <c r="AE1181" s="165"/>
      <c r="AF1181" s="165"/>
    </row>
    <row r="1182" spans="1:32" s="165" customFormat="1" ht="90">
      <c r="B1182" s="48"/>
      <c r="C1182" s="56">
        <f>'matrik MISI 6'!J75</f>
        <v>1.24</v>
      </c>
      <c r="D1182" s="57" t="str">
        <f>'matrik MISI 6'!K75</f>
        <v>xx</v>
      </c>
      <c r="E1182" s="57">
        <f>'matrik MISI 6'!L75</f>
        <v>15</v>
      </c>
      <c r="F1182" s="58" t="str">
        <f>'matrik MISI 6'!M75</f>
        <v>Program Perbaikan Sistem Administrasi Kearsipan Daerah</v>
      </c>
      <c r="G1182" s="58"/>
      <c r="H1182" s="52"/>
      <c r="I1182" s="52"/>
      <c r="J1182" s="52"/>
      <c r="K1182" s="679">
        <f>K1183</f>
        <v>80000000</v>
      </c>
      <c r="L1182" s="679"/>
      <c r="M1182" s="679">
        <f t="shared" ref="M1182:O1182" si="117">M1183</f>
        <v>80000000</v>
      </c>
      <c r="N1182" s="679"/>
      <c r="O1182" s="679">
        <f t="shared" si="117"/>
        <v>80000000</v>
      </c>
      <c r="P1182" s="679"/>
      <c r="Q1182" s="679">
        <f>Q1183</f>
        <v>80000000</v>
      </c>
      <c r="R1182" s="679"/>
      <c r="S1182" s="679">
        <f t="shared" ref="S1182" si="118">S1183</f>
        <v>80000000</v>
      </c>
      <c r="T1182" s="679"/>
      <c r="U1182" s="679">
        <f t="shared" ref="U1182" si="119">U1183</f>
        <v>80000000</v>
      </c>
      <c r="V1182" s="52"/>
      <c r="W1182" s="52"/>
      <c r="X1182" s="52" t="str">
        <f>'matrik MISI 6'!X75</f>
        <v>Kantor Arsip, Perpustakaan, dan Dokumentasi</v>
      </c>
    </row>
    <row r="1183" spans="1:32" s="165" customFormat="1" ht="150">
      <c r="B1183" s="48"/>
      <c r="C1183" s="56"/>
      <c r="D1183" s="57"/>
      <c r="E1183" s="57"/>
      <c r="F1183" s="58"/>
      <c r="G1183" s="58" t="s">
        <v>3377</v>
      </c>
      <c r="H1183" s="52" t="s">
        <v>3378</v>
      </c>
      <c r="I1183" s="52" t="s">
        <v>3379</v>
      </c>
      <c r="J1183" s="52" t="s">
        <v>3380</v>
      </c>
      <c r="K1183" s="260">
        <v>80000000</v>
      </c>
      <c r="L1183" s="52" t="s">
        <v>3381</v>
      </c>
      <c r="M1183" s="330">
        <v>80000000</v>
      </c>
      <c r="N1183" s="52" t="s">
        <v>3381</v>
      </c>
      <c r="O1183" s="330">
        <v>80000000</v>
      </c>
      <c r="P1183" s="52" t="s">
        <v>3381</v>
      </c>
      <c r="Q1183" s="260">
        <v>80000000</v>
      </c>
      <c r="R1183" s="52" t="s">
        <v>3381</v>
      </c>
      <c r="S1183" s="330">
        <v>80000000</v>
      </c>
      <c r="T1183" s="52" t="s">
        <v>3381</v>
      </c>
      <c r="U1183" s="330">
        <v>80000000</v>
      </c>
      <c r="V1183" s="52"/>
      <c r="W1183" s="52"/>
      <c r="X1183" s="52"/>
    </row>
    <row r="1184" spans="1:32" s="540" customFormat="1" ht="75">
      <c r="B1184" s="545"/>
      <c r="C1184" s="591">
        <f>'matrik MISI 6'!J76</f>
        <v>1.24</v>
      </c>
      <c r="D1184" s="592" t="str">
        <f>'matrik MISI 6'!K76</f>
        <v>xx</v>
      </c>
      <c r="E1184" s="592">
        <f>'matrik MISI 6'!L76</f>
        <v>16</v>
      </c>
      <c r="F1184" s="548" t="str">
        <f>'matrik MISI 6'!M76</f>
        <v>Program Penyelamatan dan Pelestarian Dokumen/Arsip Daerah</v>
      </c>
      <c r="G1184" s="548"/>
      <c r="H1184" s="550"/>
      <c r="I1184" s="550"/>
      <c r="J1184" s="550"/>
      <c r="K1184" s="550"/>
      <c r="L1184" s="550"/>
      <c r="M1184" s="550"/>
      <c r="N1184" s="550"/>
      <c r="O1184" s="550"/>
      <c r="P1184" s="550"/>
      <c r="Q1184" s="550"/>
      <c r="R1184" s="550"/>
      <c r="S1184" s="550"/>
      <c r="T1184" s="550"/>
      <c r="U1184" s="550"/>
      <c r="V1184" s="550"/>
      <c r="W1184" s="550"/>
      <c r="X1184" s="550"/>
    </row>
    <row r="1185" spans="1:32" s="165" customFormat="1" ht="195">
      <c r="B1185" s="48"/>
      <c r="C1185" s="56"/>
      <c r="D1185" s="57"/>
      <c r="E1185" s="57"/>
      <c r="F1185" s="58"/>
      <c r="G1185" s="58" t="s">
        <v>3382</v>
      </c>
      <c r="H1185" s="52" t="s">
        <v>3383</v>
      </c>
      <c r="I1185" s="52" t="s">
        <v>3384</v>
      </c>
      <c r="J1185" s="52" t="s">
        <v>3385</v>
      </c>
      <c r="K1185" s="260">
        <v>50000000</v>
      </c>
      <c r="L1185" s="52" t="s">
        <v>3386</v>
      </c>
      <c r="M1185" s="260">
        <v>90000000</v>
      </c>
      <c r="N1185" s="52" t="s">
        <v>3387</v>
      </c>
      <c r="O1185" s="260">
        <v>40000000</v>
      </c>
      <c r="P1185" s="52" t="s">
        <v>3388</v>
      </c>
      <c r="Q1185" s="260">
        <v>95000000</v>
      </c>
      <c r="R1185" s="52" t="s">
        <v>3389</v>
      </c>
      <c r="S1185" s="330">
        <v>40000000</v>
      </c>
      <c r="T1185" s="52" t="s">
        <v>3389</v>
      </c>
      <c r="U1185" s="330">
        <v>40000000</v>
      </c>
      <c r="V1185" s="52"/>
      <c r="W1185" s="52"/>
      <c r="X1185" s="52"/>
    </row>
    <row r="1186" spans="1:32" s="165" customFormat="1" ht="90">
      <c r="B1186" s="66"/>
      <c r="C1186" s="56">
        <f>'matrik MISI 6'!J77</f>
        <v>1.24</v>
      </c>
      <c r="D1186" s="57" t="str">
        <f>'matrik MISI 6'!K77</f>
        <v>xx</v>
      </c>
      <c r="E1186" s="57">
        <f>'matrik MISI 6'!L77</f>
        <v>17</v>
      </c>
      <c r="F1186" s="58" t="str">
        <f>'matrik MISI 6'!M77</f>
        <v>Program Pemeliharaan Rutin/Berkala Sarana dan Prasarana Kearsipan</v>
      </c>
      <c r="G1186" s="58"/>
      <c r="H1186" s="52"/>
      <c r="I1186" s="52"/>
      <c r="J1186" s="52"/>
      <c r="K1186" s="679">
        <f>SUM(K1187)</f>
        <v>4200000</v>
      </c>
      <c r="L1186" s="679">
        <f t="shared" ref="L1186:P1186" si="120">SUM(L1187)</f>
        <v>0</v>
      </c>
      <c r="M1186" s="679">
        <f t="shared" si="120"/>
        <v>4200000</v>
      </c>
      <c r="N1186" s="679">
        <f t="shared" si="120"/>
        <v>0</v>
      </c>
      <c r="O1186" s="679">
        <f t="shared" si="120"/>
        <v>4200000</v>
      </c>
      <c r="P1186" s="679">
        <f t="shared" si="120"/>
        <v>0</v>
      </c>
      <c r="Q1186" s="679">
        <f>SUM(Q1187)</f>
        <v>4200000</v>
      </c>
      <c r="R1186" s="679">
        <f t="shared" ref="R1186" si="121">SUM(R1187)</f>
        <v>0</v>
      </c>
      <c r="S1186" s="679">
        <f t="shared" ref="S1186" si="122">SUM(S1187)</f>
        <v>4200000</v>
      </c>
      <c r="T1186" s="679">
        <f t="shared" ref="T1186" si="123">SUM(T1187)</f>
        <v>0</v>
      </c>
      <c r="U1186" s="679">
        <f t="shared" ref="U1186" si="124">SUM(U1187)</f>
        <v>4200000</v>
      </c>
      <c r="V1186" s="52"/>
      <c r="W1186" s="52"/>
      <c r="X1186" s="52"/>
    </row>
    <row r="1187" spans="1:32" s="165" customFormat="1" ht="30">
      <c r="B1187" s="48"/>
      <c r="C1187" s="56"/>
      <c r="D1187" s="57"/>
      <c r="E1187" s="57"/>
      <c r="F1187" s="50"/>
      <c r="G1187" s="58" t="s">
        <v>3390</v>
      </c>
      <c r="H1187" s="52" t="s">
        <v>3391</v>
      </c>
      <c r="I1187" s="161">
        <v>1</v>
      </c>
      <c r="J1187" s="52" t="s">
        <v>3391</v>
      </c>
      <c r="K1187" s="260">
        <v>4200000</v>
      </c>
      <c r="L1187" s="52" t="s">
        <v>3391</v>
      </c>
      <c r="M1187" s="260">
        <v>4200000</v>
      </c>
      <c r="N1187" s="52" t="s">
        <v>3391</v>
      </c>
      <c r="O1187" s="260">
        <v>4200000</v>
      </c>
      <c r="P1187" s="52" t="s">
        <v>3391</v>
      </c>
      <c r="Q1187" s="260">
        <v>4200000</v>
      </c>
      <c r="R1187" s="52" t="s">
        <v>3391</v>
      </c>
      <c r="S1187" s="330">
        <v>4200000</v>
      </c>
      <c r="T1187" s="52" t="s">
        <v>3391</v>
      </c>
      <c r="U1187" s="330">
        <v>4200000</v>
      </c>
      <c r="V1187" s="52"/>
      <c r="W1187" s="52"/>
      <c r="X1187" s="52"/>
    </row>
    <row r="1188" spans="1:32" s="280" customFormat="1" ht="30" customHeight="1">
      <c r="A1188" s="285"/>
      <c r="B1188" s="1093" t="s">
        <v>4256</v>
      </c>
      <c r="C1188" s="1094"/>
      <c r="D1188" s="1094"/>
      <c r="E1188" s="1094"/>
      <c r="F1188" s="1094"/>
      <c r="G1188" s="1095"/>
      <c r="H1188" s="382"/>
      <c r="I1188" s="382"/>
      <c r="J1188" s="382"/>
      <c r="K1188" s="382">
        <f>SUM(K1182:K1187)</f>
        <v>218400000</v>
      </c>
      <c r="L1188" s="382"/>
      <c r="M1188" s="382">
        <f t="shared" ref="M1188:W1188" si="125">SUM(M1182:M1187)</f>
        <v>258400000</v>
      </c>
      <c r="N1188" s="382"/>
      <c r="O1188" s="382">
        <f t="shared" si="125"/>
        <v>208400000</v>
      </c>
      <c r="P1188" s="382"/>
      <c r="Q1188" s="382">
        <f t="shared" si="125"/>
        <v>263400000</v>
      </c>
      <c r="R1188" s="382"/>
      <c r="S1188" s="382">
        <f t="shared" si="125"/>
        <v>208400000</v>
      </c>
      <c r="T1188" s="382"/>
      <c r="U1188" s="382">
        <f t="shared" si="125"/>
        <v>208400000</v>
      </c>
      <c r="V1188" s="382">
        <f t="shared" si="125"/>
        <v>0</v>
      </c>
      <c r="W1188" s="382">
        <f t="shared" si="125"/>
        <v>0</v>
      </c>
      <c r="X1188" s="382"/>
      <c r="Y1188" s="285"/>
      <c r="Z1188" s="285"/>
      <c r="AA1188" s="285"/>
      <c r="AB1188" s="285"/>
      <c r="AC1188" s="285"/>
      <c r="AD1188" s="285"/>
      <c r="AE1188" s="285"/>
      <c r="AF1188" s="285"/>
    </row>
    <row r="1189" spans="1:32" ht="45">
      <c r="A1189" s="165">
        <v>1</v>
      </c>
      <c r="B1189" s="62" t="str">
        <f>'matrik MISI 6'!B106</f>
        <v>KOMUNIKASI DAN INFORMATIKA</v>
      </c>
      <c r="C1189" s="56"/>
      <c r="D1189" s="57"/>
      <c r="E1189" s="57"/>
      <c r="F1189" s="58"/>
      <c r="G1189" s="58"/>
      <c r="H1189" s="52"/>
      <c r="I1189" s="52"/>
      <c r="J1189" s="52"/>
      <c r="K1189" s="52"/>
      <c r="L1189" s="52"/>
      <c r="M1189" s="52"/>
      <c r="N1189" s="52"/>
      <c r="O1189" s="52"/>
      <c r="P1189" s="52"/>
      <c r="Q1189" s="52"/>
      <c r="R1189" s="52"/>
      <c r="S1189" s="52"/>
      <c r="T1189" s="52"/>
      <c r="U1189" s="52"/>
      <c r="V1189" s="52"/>
      <c r="W1189" s="52"/>
      <c r="X1189" s="52"/>
      <c r="Y1189" s="165"/>
      <c r="Z1189" s="165"/>
      <c r="AA1189" s="165"/>
      <c r="AB1189" s="165"/>
      <c r="AC1189" s="165"/>
      <c r="AD1189" s="165"/>
      <c r="AE1189" s="165"/>
      <c r="AF1189" s="165"/>
    </row>
    <row r="1190" spans="1:32" s="540" customFormat="1" ht="75">
      <c r="B1190" s="545"/>
      <c r="C1190" s="591">
        <f>'matrik MISI 6'!J118</f>
        <v>1.25</v>
      </c>
      <c r="D1190" s="592" t="str">
        <f>'matrik MISI 6'!K118</f>
        <v>xx</v>
      </c>
      <c r="E1190" s="592">
        <f>'matrik MISI 6'!L118</f>
        <v>15</v>
      </c>
      <c r="F1190" s="548" t="str">
        <f>'matrik MISI 6'!M118</f>
        <v>program pengembangan  komunikasi, informasi dan media massa</v>
      </c>
      <c r="G1190" s="548"/>
      <c r="H1190" s="550"/>
      <c r="I1190" s="550"/>
      <c r="J1190" s="550"/>
      <c r="K1190" s="551">
        <f>SUM(K1191:K1222)</f>
        <v>1818651040</v>
      </c>
      <c r="L1190" s="551"/>
      <c r="M1190" s="551">
        <f t="shared" ref="M1190:U1190" si="126">SUM(M1191:M1222)</f>
        <v>2384983000</v>
      </c>
      <c r="N1190" s="551"/>
      <c r="O1190" s="551">
        <f t="shared" si="126"/>
        <v>4202300000</v>
      </c>
      <c r="P1190" s="551"/>
      <c r="Q1190" s="551">
        <f t="shared" si="126"/>
        <v>4769800000</v>
      </c>
      <c r="R1190" s="551"/>
      <c r="S1190" s="551">
        <f t="shared" si="126"/>
        <v>4847300000</v>
      </c>
      <c r="T1190" s="551"/>
      <c r="U1190" s="551">
        <f t="shared" si="126"/>
        <v>4797300000</v>
      </c>
      <c r="V1190" s="550"/>
      <c r="W1190" s="550"/>
      <c r="X1190" s="550" t="str">
        <f>'matrik MISI 6'!X118</f>
        <v>Bagian Santel dan PDE, Dishubkominfo dan Bappeda</v>
      </c>
    </row>
    <row r="1191" spans="1:32" s="165" customFormat="1" ht="60">
      <c r="B1191" s="48"/>
      <c r="C1191" s="56"/>
      <c r="D1191" s="57"/>
      <c r="E1191" s="57"/>
      <c r="F1191" s="58"/>
      <c r="G1191" s="58" t="s">
        <v>3392</v>
      </c>
      <c r="H1191" s="161">
        <v>1</v>
      </c>
      <c r="I1191" s="52" t="s">
        <v>3393</v>
      </c>
      <c r="J1191" s="161">
        <v>1</v>
      </c>
      <c r="K1191" s="249">
        <v>30000000</v>
      </c>
      <c r="L1191" s="52" t="s">
        <v>3394</v>
      </c>
      <c r="M1191" s="238">
        <v>50000000</v>
      </c>
      <c r="N1191" s="52" t="s">
        <v>3395</v>
      </c>
      <c r="O1191" s="238">
        <v>70000000</v>
      </c>
      <c r="P1191" s="52" t="s">
        <v>3396</v>
      </c>
      <c r="Q1191" s="249">
        <v>90000000</v>
      </c>
      <c r="R1191" s="52" t="s">
        <v>3397</v>
      </c>
      <c r="S1191" s="249">
        <v>110000000</v>
      </c>
      <c r="T1191" s="52" t="s">
        <v>3397</v>
      </c>
      <c r="U1191" s="290">
        <v>110000000</v>
      </c>
      <c r="V1191" s="52"/>
      <c r="W1191" s="52"/>
      <c r="X1191" s="52"/>
    </row>
    <row r="1192" spans="1:32" s="165" customFormat="1" ht="60">
      <c r="B1192" s="48"/>
      <c r="C1192" s="56"/>
      <c r="D1192" s="57"/>
      <c r="E1192" s="57"/>
      <c r="F1192" s="58"/>
      <c r="G1192" s="58" t="s">
        <v>3398</v>
      </c>
      <c r="H1192" s="161"/>
      <c r="I1192" s="52"/>
      <c r="J1192" s="161"/>
      <c r="K1192" s="249"/>
      <c r="L1192" s="52" t="s">
        <v>3399</v>
      </c>
      <c r="M1192" s="238">
        <v>15000000</v>
      </c>
      <c r="N1192" s="52" t="s">
        <v>3400</v>
      </c>
      <c r="O1192" s="238">
        <v>30000000</v>
      </c>
      <c r="P1192" s="52" t="s">
        <v>3401</v>
      </c>
      <c r="Q1192" s="249">
        <v>45000000</v>
      </c>
      <c r="R1192" s="52" t="s">
        <v>3402</v>
      </c>
      <c r="S1192" s="249">
        <v>60000000</v>
      </c>
      <c r="T1192" s="52" t="s">
        <v>3402</v>
      </c>
      <c r="U1192" s="290">
        <v>60000000</v>
      </c>
      <c r="V1192" s="52"/>
      <c r="W1192" s="52"/>
      <c r="X1192" s="52"/>
    </row>
    <row r="1193" spans="1:32" s="165" customFormat="1" ht="45">
      <c r="B1193" s="48"/>
      <c r="C1193" s="56"/>
      <c r="D1193" s="57"/>
      <c r="E1193" s="57"/>
      <c r="F1193" s="58"/>
      <c r="G1193" s="58" t="s">
        <v>3403</v>
      </c>
      <c r="H1193" s="161"/>
      <c r="I1193" s="52"/>
      <c r="J1193" s="161"/>
      <c r="K1193" s="249"/>
      <c r="L1193" s="52" t="s">
        <v>3404</v>
      </c>
      <c r="M1193" s="238">
        <v>10000000</v>
      </c>
      <c r="N1193" s="52" t="s">
        <v>3404</v>
      </c>
      <c r="O1193" s="238">
        <v>10000000</v>
      </c>
      <c r="P1193" s="52" t="s">
        <v>3404</v>
      </c>
      <c r="Q1193" s="249">
        <v>10000000</v>
      </c>
      <c r="R1193" s="52" t="s">
        <v>3404</v>
      </c>
      <c r="S1193" s="249">
        <v>10000000</v>
      </c>
      <c r="T1193" s="52" t="s">
        <v>3404</v>
      </c>
      <c r="U1193" s="290">
        <v>10000000</v>
      </c>
      <c r="V1193" s="52"/>
      <c r="W1193" s="52"/>
      <c r="X1193" s="52"/>
    </row>
    <row r="1194" spans="1:32" s="165" customFormat="1" ht="105">
      <c r="B1194" s="48"/>
      <c r="C1194" s="56"/>
      <c r="D1194" s="57"/>
      <c r="E1194" s="57"/>
      <c r="F1194" s="58"/>
      <c r="G1194" s="58" t="s">
        <v>3405</v>
      </c>
      <c r="H1194" s="161">
        <v>0.99086941926821082</v>
      </c>
      <c r="I1194" s="52" t="s">
        <v>2620</v>
      </c>
      <c r="J1194" s="52">
        <v>1</v>
      </c>
      <c r="K1194" s="249">
        <v>30000000</v>
      </c>
      <c r="L1194" s="238" t="s">
        <v>2620</v>
      </c>
      <c r="M1194" s="238">
        <v>30000000</v>
      </c>
      <c r="N1194" s="238" t="s">
        <v>2620</v>
      </c>
      <c r="O1194" s="238">
        <v>45000000</v>
      </c>
      <c r="P1194" s="238" t="s">
        <v>2620</v>
      </c>
      <c r="Q1194" s="249">
        <v>50000000</v>
      </c>
      <c r="R1194" s="238" t="s">
        <v>2620</v>
      </c>
      <c r="S1194" s="249">
        <v>60000000</v>
      </c>
      <c r="T1194" s="238" t="s">
        <v>2620</v>
      </c>
      <c r="U1194" s="290">
        <v>60000000</v>
      </c>
      <c r="V1194" s="52"/>
      <c r="W1194" s="52"/>
      <c r="X1194" s="52"/>
    </row>
    <row r="1195" spans="1:32" s="165" customFormat="1" ht="120">
      <c r="B1195" s="48"/>
      <c r="C1195" s="56"/>
      <c r="D1195" s="57"/>
      <c r="E1195" s="57"/>
      <c r="F1195" s="58"/>
      <c r="G1195" s="58" t="s">
        <v>3406</v>
      </c>
      <c r="H1195" s="161" t="s">
        <v>1040</v>
      </c>
      <c r="I1195" s="52" t="s">
        <v>1040</v>
      </c>
      <c r="J1195" s="161" t="s">
        <v>1040</v>
      </c>
      <c r="K1195" s="249" t="s">
        <v>1040</v>
      </c>
      <c r="L1195" s="238" t="s">
        <v>3407</v>
      </c>
      <c r="M1195" s="238">
        <v>20000000</v>
      </c>
      <c r="N1195" s="238" t="s">
        <v>3407</v>
      </c>
      <c r="O1195" s="238">
        <v>25000000</v>
      </c>
      <c r="P1195" s="238" t="s">
        <v>3407</v>
      </c>
      <c r="Q1195" s="249">
        <v>30000000</v>
      </c>
      <c r="R1195" s="238" t="s">
        <v>3407</v>
      </c>
      <c r="S1195" s="249">
        <v>35000000</v>
      </c>
      <c r="T1195" s="238" t="s">
        <v>3407</v>
      </c>
      <c r="U1195" s="290">
        <v>35000000</v>
      </c>
      <c r="V1195" s="52"/>
      <c r="W1195" s="52"/>
      <c r="X1195" s="52"/>
    </row>
    <row r="1196" spans="1:32" s="165" customFormat="1" ht="45">
      <c r="B1196" s="48"/>
      <c r="C1196" s="56"/>
      <c r="D1196" s="57"/>
      <c r="E1196" s="57"/>
      <c r="F1196" s="58"/>
      <c r="G1196" s="58" t="s">
        <v>3408</v>
      </c>
      <c r="H1196" s="161"/>
      <c r="I1196" s="52"/>
      <c r="J1196" s="52"/>
      <c r="K1196" s="249"/>
      <c r="L1196" s="238" t="s">
        <v>3409</v>
      </c>
      <c r="M1196" s="238">
        <v>35000000</v>
      </c>
      <c r="N1196" s="238" t="s">
        <v>3409</v>
      </c>
      <c r="O1196" s="238">
        <v>35000000</v>
      </c>
      <c r="P1196" s="238" t="s">
        <v>3409</v>
      </c>
      <c r="Q1196" s="249">
        <v>35000000</v>
      </c>
      <c r="R1196" s="238" t="s">
        <v>3409</v>
      </c>
      <c r="S1196" s="249">
        <v>35000000</v>
      </c>
      <c r="T1196" s="238" t="s">
        <v>3409</v>
      </c>
      <c r="U1196" s="290">
        <v>35000000</v>
      </c>
      <c r="V1196" s="52"/>
      <c r="W1196" s="52"/>
      <c r="X1196" s="52"/>
    </row>
    <row r="1197" spans="1:32" s="165" customFormat="1" ht="75">
      <c r="B1197" s="48"/>
      <c r="C1197" s="56"/>
      <c r="D1197" s="57"/>
      <c r="E1197" s="57"/>
      <c r="F1197" s="58"/>
      <c r="G1197" s="58" t="s">
        <v>3410</v>
      </c>
      <c r="H1197" s="161">
        <v>1</v>
      </c>
      <c r="I1197" s="52" t="s">
        <v>3411</v>
      </c>
      <c r="J1197" s="161">
        <v>1</v>
      </c>
      <c r="K1197" s="249">
        <v>19655000</v>
      </c>
      <c r="L1197" s="52" t="s">
        <v>3412</v>
      </c>
      <c r="M1197" s="238">
        <v>20000000</v>
      </c>
      <c r="N1197" s="52" t="s">
        <v>3413</v>
      </c>
      <c r="O1197" s="238">
        <v>25000000</v>
      </c>
      <c r="P1197" s="52" t="s">
        <v>3414</v>
      </c>
      <c r="Q1197" s="249">
        <v>30000000</v>
      </c>
      <c r="R1197" s="52" t="s">
        <v>3415</v>
      </c>
      <c r="S1197" s="249">
        <v>35000000</v>
      </c>
      <c r="T1197" s="52" t="s">
        <v>3415</v>
      </c>
      <c r="U1197" s="290">
        <v>35000000</v>
      </c>
      <c r="V1197" s="52"/>
      <c r="W1197" s="52"/>
      <c r="X1197" s="52"/>
    </row>
    <row r="1198" spans="1:32" s="165" customFormat="1" ht="30">
      <c r="B1198" s="48"/>
      <c r="C1198" s="56"/>
      <c r="D1198" s="57"/>
      <c r="E1198" s="57"/>
      <c r="F1198" s="58"/>
      <c r="G1198" s="58" t="s">
        <v>3416</v>
      </c>
      <c r="H1198" s="52"/>
      <c r="I1198" s="52"/>
      <c r="J1198" s="161"/>
      <c r="K1198" s="249"/>
      <c r="L1198" s="52" t="s">
        <v>2665</v>
      </c>
      <c r="M1198" s="238">
        <v>20000000</v>
      </c>
      <c r="N1198" s="52" t="s">
        <v>2665</v>
      </c>
      <c r="O1198" s="238">
        <v>20000000</v>
      </c>
      <c r="P1198" s="52" t="s">
        <v>2665</v>
      </c>
      <c r="Q1198" s="249">
        <v>20000000</v>
      </c>
      <c r="R1198" s="52" t="s">
        <v>2665</v>
      </c>
      <c r="S1198" s="249">
        <v>20000000</v>
      </c>
      <c r="T1198" s="52" t="s">
        <v>2665</v>
      </c>
      <c r="U1198" s="290">
        <v>20000000</v>
      </c>
      <c r="V1198" s="52"/>
      <c r="W1198" s="52"/>
      <c r="X1198" s="52"/>
    </row>
    <row r="1199" spans="1:32" s="165" customFormat="1" ht="30">
      <c r="B1199" s="48"/>
      <c r="C1199" s="56"/>
      <c r="D1199" s="57"/>
      <c r="E1199" s="57"/>
      <c r="F1199" s="58"/>
      <c r="G1199" s="58" t="s">
        <v>3417</v>
      </c>
      <c r="H1199" s="161">
        <v>1</v>
      </c>
      <c r="I1199" s="52" t="s">
        <v>2937</v>
      </c>
      <c r="J1199" s="161">
        <v>1</v>
      </c>
      <c r="K1199" s="249">
        <v>19655000</v>
      </c>
      <c r="L1199" s="52" t="s">
        <v>3418</v>
      </c>
      <c r="M1199" s="238">
        <v>15000000</v>
      </c>
      <c r="N1199" s="52" t="s">
        <v>3271</v>
      </c>
      <c r="O1199" s="238">
        <v>20000000</v>
      </c>
      <c r="P1199" s="52" t="s">
        <v>3271</v>
      </c>
      <c r="Q1199" s="249">
        <v>20000000</v>
      </c>
      <c r="R1199" s="52" t="s">
        <v>3419</v>
      </c>
      <c r="S1199" s="249">
        <v>30000000</v>
      </c>
      <c r="T1199" s="52" t="s">
        <v>3419</v>
      </c>
      <c r="U1199" s="290">
        <v>30000000</v>
      </c>
      <c r="V1199" s="52"/>
      <c r="W1199" s="52"/>
      <c r="X1199" s="52"/>
    </row>
    <row r="1200" spans="1:32" s="165" customFormat="1" ht="30">
      <c r="B1200" s="48"/>
      <c r="C1200" s="56"/>
      <c r="D1200" s="57"/>
      <c r="E1200" s="57"/>
      <c r="F1200" s="58"/>
      <c r="G1200" s="58" t="s">
        <v>3417</v>
      </c>
      <c r="H1200" s="52"/>
      <c r="I1200" s="52"/>
      <c r="J1200" s="52"/>
      <c r="K1200" s="259"/>
      <c r="L1200" s="52" t="s">
        <v>3418</v>
      </c>
      <c r="M1200" s="238">
        <v>15000000</v>
      </c>
      <c r="N1200" s="52" t="s">
        <v>3418</v>
      </c>
      <c r="O1200" s="238">
        <v>15000000</v>
      </c>
      <c r="P1200" s="52" t="s">
        <v>3418</v>
      </c>
      <c r="Q1200" s="249">
        <v>15000000</v>
      </c>
      <c r="R1200" s="52" t="s">
        <v>3418</v>
      </c>
      <c r="S1200" s="249">
        <v>15000000</v>
      </c>
      <c r="T1200" s="52" t="s">
        <v>3418</v>
      </c>
      <c r="U1200" s="290">
        <v>15000000</v>
      </c>
      <c r="V1200" s="52"/>
      <c r="W1200" s="52"/>
      <c r="X1200" s="52"/>
    </row>
    <row r="1201" spans="2:24" s="165" customFormat="1" ht="105">
      <c r="B1201" s="48"/>
      <c r="C1201" s="56"/>
      <c r="D1201" s="57"/>
      <c r="E1201" s="57"/>
      <c r="F1201" s="58"/>
      <c r="G1201" s="58" t="s">
        <v>3420</v>
      </c>
      <c r="H1201" s="52"/>
      <c r="I1201" s="161">
        <v>1</v>
      </c>
      <c r="J1201" s="161">
        <v>1</v>
      </c>
      <c r="K1201" s="259">
        <v>20000000</v>
      </c>
      <c r="L1201" s="161">
        <v>1</v>
      </c>
      <c r="M1201" s="187">
        <v>30000000</v>
      </c>
      <c r="N1201" s="161">
        <v>1</v>
      </c>
      <c r="O1201" s="187">
        <v>50000000</v>
      </c>
      <c r="P1201" s="161">
        <v>1</v>
      </c>
      <c r="Q1201" s="259">
        <v>60000000</v>
      </c>
      <c r="R1201" s="161">
        <v>1</v>
      </c>
      <c r="S1201" s="259">
        <v>70000000</v>
      </c>
      <c r="T1201" s="161">
        <v>1</v>
      </c>
      <c r="U1201" s="187">
        <v>70000000</v>
      </c>
      <c r="V1201" s="52"/>
      <c r="W1201" s="52"/>
      <c r="X1201" s="52"/>
    </row>
    <row r="1202" spans="2:24" s="165" customFormat="1" ht="150">
      <c r="B1202" s="48"/>
      <c r="C1202" s="56"/>
      <c r="D1202" s="57"/>
      <c r="E1202" s="57"/>
      <c r="F1202" s="58"/>
      <c r="G1202" s="58" t="s">
        <v>3421</v>
      </c>
      <c r="H1202" s="161">
        <v>1</v>
      </c>
      <c r="I1202" s="161">
        <v>1</v>
      </c>
      <c r="J1202" s="161">
        <v>1</v>
      </c>
      <c r="K1202" s="259">
        <v>9416250</v>
      </c>
      <c r="L1202" s="161">
        <v>1</v>
      </c>
      <c r="M1202" s="187">
        <v>7683000</v>
      </c>
      <c r="N1202" s="161">
        <v>1</v>
      </c>
      <c r="O1202" s="187">
        <v>10000000</v>
      </c>
      <c r="P1202" s="161">
        <v>1</v>
      </c>
      <c r="Q1202" s="259">
        <v>12500000</v>
      </c>
      <c r="R1202" s="161">
        <v>1</v>
      </c>
      <c r="S1202" s="259">
        <v>15000000</v>
      </c>
      <c r="T1202" s="161">
        <v>1</v>
      </c>
      <c r="U1202" s="187">
        <v>15000000</v>
      </c>
      <c r="V1202" s="52"/>
      <c r="W1202" s="52"/>
      <c r="X1202" s="52"/>
    </row>
    <row r="1203" spans="2:24" s="165" customFormat="1" ht="45">
      <c r="B1203" s="48"/>
      <c r="C1203" s="56"/>
      <c r="D1203" s="57"/>
      <c r="E1203" s="57"/>
      <c r="F1203" s="58"/>
      <c r="G1203" s="58" t="s">
        <v>3440</v>
      </c>
      <c r="H1203" s="52">
        <v>63626400</v>
      </c>
      <c r="I1203" s="161">
        <v>1</v>
      </c>
      <c r="J1203" s="161">
        <v>1</v>
      </c>
      <c r="K1203" s="259">
        <v>79999900</v>
      </c>
      <c r="L1203" s="161">
        <v>1</v>
      </c>
      <c r="M1203" s="52">
        <v>100000000</v>
      </c>
      <c r="N1203" s="161">
        <v>1</v>
      </c>
      <c r="O1203" s="52">
        <v>125000000</v>
      </c>
      <c r="P1203" s="161">
        <v>1</v>
      </c>
      <c r="Q1203" s="259">
        <v>150000000</v>
      </c>
      <c r="R1203" s="161">
        <v>1</v>
      </c>
      <c r="S1203" s="259">
        <v>175000000</v>
      </c>
      <c r="T1203" s="161">
        <v>1</v>
      </c>
      <c r="U1203" s="187">
        <v>150000000</v>
      </c>
      <c r="V1203" s="52"/>
      <c r="W1203" s="52"/>
      <c r="X1203" s="52"/>
    </row>
    <row r="1204" spans="2:24" s="165" customFormat="1" ht="45">
      <c r="B1204" s="48"/>
      <c r="C1204" s="56"/>
      <c r="D1204" s="57"/>
      <c r="E1204" s="57"/>
      <c r="F1204" s="58"/>
      <c r="G1204" s="58" t="s">
        <v>3442</v>
      </c>
      <c r="H1204" s="52">
        <v>32015000</v>
      </c>
      <c r="I1204" s="161">
        <v>1</v>
      </c>
      <c r="J1204" s="161">
        <v>1</v>
      </c>
      <c r="K1204" s="259">
        <v>100000000</v>
      </c>
      <c r="L1204" s="161">
        <v>1</v>
      </c>
      <c r="M1204" s="52">
        <v>150000000</v>
      </c>
      <c r="N1204" s="161">
        <v>1</v>
      </c>
      <c r="O1204" s="52">
        <v>150000000</v>
      </c>
      <c r="P1204" s="161">
        <v>1</v>
      </c>
      <c r="Q1204" s="259">
        <v>175000000</v>
      </c>
      <c r="R1204" s="161">
        <v>1</v>
      </c>
      <c r="S1204" s="259">
        <v>175000000</v>
      </c>
      <c r="T1204" s="161">
        <v>1</v>
      </c>
      <c r="U1204" s="187">
        <v>175000000</v>
      </c>
      <c r="V1204" s="52"/>
      <c r="W1204" s="52"/>
      <c r="X1204" s="52"/>
    </row>
    <row r="1205" spans="2:24" s="165" customFormat="1" ht="45">
      <c r="B1205" s="48"/>
      <c r="C1205" s="56"/>
      <c r="D1205" s="57"/>
      <c r="E1205" s="57"/>
      <c r="F1205" s="58"/>
      <c r="G1205" s="58" t="s">
        <v>3443</v>
      </c>
      <c r="H1205" s="52">
        <v>118207050</v>
      </c>
      <c r="I1205" s="161">
        <v>1</v>
      </c>
      <c r="J1205" s="161">
        <v>1</v>
      </c>
      <c r="K1205" s="259">
        <v>129999990</v>
      </c>
      <c r="L1205" s="161">
        <v>1</v>
      </c>
      <c r="M1205" s="52">
        <v>150000000</v>
      </c>
      <c r="N1205" s="161">
        <v>1</v>
      </c>
      <c r="O1205" s="52">
        <v>150000000</v>
      </c>
      <c r="P1205" s="161">
        <v>1</v>
      </c>
      <c r="Q1205" s="259">
        <v>175000000</v>
      </c>
      <c r="R1205" s="161">
        <v>1</v>
      </c>
      <c r="S1205" s="53">
        <v>175000000</v>
      </c>
      <c r="T1205" s="161">
        <v>1</v>
      </c>
      <c r="U1205" s="187">
        <v>175000000</v>
      </c>
      <c r="V1205" s="52"/>
      <c r="W1205" s="52"/>
      <c r="X1205" s="52"/>
    </row>
    <row r="1206" spans="2:24" s="165" customFormat="1" ht="45">
      <c r="B1206" s="48"/>
      <c r="C1206" s="56"/>
      <c r="D1206" s="57"/>
      <c r="E1206" s="57"/>
      <c r="F1206" s="58"/>
      <c r="G1206" s="58" t="s">
        <v>3444</v>
      </c>
      <c r="H1206" s="52">
        <v>48821250</v>
      </c>
      <c r="I1206" s="161">
        <v>1</v>
      </c>
      <c r="J1206" s="161">
        <v>1</v>
      </c>
      <c r="K1206" s="259">
        <v>152000000</v>
      </c>
      <c r="L1206" s="52"/>
      <c r="M1206" s="52">
        <v>225000000</v>
      </c>
      <c r="N1206" s="161">
        <v>1</v>
      </c>
      <c r="O1206" s="52">
        <v>200000000</v>
      </c>
      <c r="P1206" s="161">
        <v>1</v>
      </c>
      <c r="Q1206" s="259">
        <v>230000000</v>
      </c>
      <c r="R1206" s="161">
        <v>1</v>
      </c>
      <c r="S1206" s="259">
        <v>230000000</v>
      </c>
      <c r="T1206" s="161">
        <v>1</v>
      </c>
      <c r="U1206" s="187">
        <v>230000000</v>
      </c>
      <c r="V1206" s="52"/>
      <c r="W1206" s="52"/>
      <c r="X1206" s="52"/>
    </row>
    <row r="1207" spans="2:24" s="165" customFormat="1" ht="45">
      <c r="B1207" s="48"/>
      <c r="C1207" s="56"/>
      <c r="D1207" s="57"/>
      <c r="E1207" s="57"/>
      <c r="F1207" s="58"/>
      <c r="G1207" s="58" t="s">
        <v>3445</v>
      </c>
      <c r="H1207" s="52">
        <v>11861200</v>
      </c>
      <c r="I1207" s="161">
        <v>1</v>
      </c>
      <c r="J1207" s="161">
        <v>1</v>
      </c>
      <c r="K1207" s="259">
        <v>125000</v>
      </c>
      <c r="L1207" s="161">
        <v>1</v>
      </c>
      <c r="M1207" s="52">
        <v>25000000</v>
      </c>
      <c r="N1207" s="161">
        <v>1</v>
      </c>
      <c r="O1207" s="52">
        <v>25000000</v>
      </c>
      <c r="P1207" s="161">
        <v>1</v>
      </c>
      <c r="Q1207" s="259">
        <v>30000000</v>
      </c>
      <c r="R1207" s="161">
        <v>1</v>
      </c>
      <c r="S1207" s="259">
        <v>30000000</v>
      </c>
      <c r="T1207" s="161">
        <v>1</v>
      </c>
      <c r="U1207" s="187">
        <v>30000000</v>
      </c>
      <c r="V1207" s="52"/>
      <c r="W1207" s="52"/>
      <c r="X1207" s="52"/>
    </row>
    <row r="1208" spans="2:24" s="165" customFormat="1" ht="60">
      <c r="B1208" s="48"/>
      <c r="C1208" s="56"/>
      <c r="D1208" s="57"/>
      <c r="E1208" s="57"/>
      <c r="F1208" s="58"/>
      <c r="G1208" s="58" t="s">
        <v>3448</v>
      </c>
      <c r="H1208" s="52">
        <v>19375000</v>
      </c>
      <c r="I1208" s="161">
        <v>1</v>
      </c>
      <c r="J1208" s="161">
        <v>1</v>
      </c>
      <c r="K1208" s="259">
        <v>59999950</v>
      </c>
      <c r="L1208" s="161">
        <v>1</v>
      </c>
      <c r="M1208" s="52">
        <v>100000000</v>
      </c>
      <c r="N1208" s="161">
        <v>1</v>
      </c>
      <c r="O1208" s="52">
        <v>150000000</v>
      </c>
      <c r="P1208" s="161">
        <v>1</v>
      </c>
      <c r="Q1208" s="259">
        <v>175000000</v>
      </c>
      <c r="R1208" s="161">
        <v>1</v>
      </c>
      <c r="S1208" s="259">
        <v>175000000</v>
      </c>
      <c r="T1208" s="161">
        <v>1</v>
      </c>
      <c r="U1208" s="187">
        <v>175000000</v>
      </c>
      <c r="V1208" s="52"/>
      <c r="W1208" s="52"/>
      <c r="X1208" s="52"/>
    </row>
    <row r="1209" spans="2:24" s="165" customFormat="1" ht="45">
      <c r="B1209" s="48"/>
      <c r="C1209" s="56"/>
      <c r="D1209" s="57"/>
      <c r="E1209" s="57"/>
      <c r="F1209" s="58"/>
      <c r="G1209" s="58" t="s">
        <v>3449</v>
      </c>
      <c r="H1209" s="52">
        <v>184326448</v>
      </c>
      <c r="I1209" s="161">
        <v>1</v>
      </c>
      <c r="J1209" s="161">
        <v>1</v>
      </c>
      <c r="K1209" s="259">
        <v>124999950</v>
      </c>
      <c r="L1209" s="161">
        <v>1</v>
      </c>
      <c r="M1209" s="52">
        <v>150000000</v>
      </c>
      <c r="N1209" s="161">
        <v>1</v>
      </c>
      <c r="O1209" s="52">
        <v>150000000</v>
      </c>
      <c r="P1209" s="161">
        <v>1</v>
      </c>
      <c r="Q1209" s="259">
        <v>175000000</v>
      </c>
      <c r="R1209" s="161">
        <v>1</v>
      </c>
      <c r="S1209" s="259">
        <v>200000000</v>
      </c>
      <c r="T1209" s="161">
        <v>1</v>
      </c>
      <c r="U1209" s="187">
        <v>175000000</v>
      </c>
      <c r="V1209" s="52"/>
      <c r="W1209" s="52"/>
      <c r="X1209" s="52"/>
    </row>
    <row r="1210" spans="2:24" s="165" customFormat="1" ht="30">
      <c r="B1210" s="48"/>
      <c r="C1210" s="56"/>
      <c r="D1210" s="57"/>
      <c r="E1210" s="57"/>
      <c r="F1210" s="58"/>
      <c r="G1210" s="58" t="s">
        <v>3450</v>
      </c>
      <c r="H1210" s="52" t="s">
        <v>743</v>
      </c>
      <c r="I1210" s="161">
        <v>1</v>
      </c>
      <c r="J1210" s="161">
        <v>1</v>
      </c>
      <c r="K1210" s="259">
        <v>75000000</v>
      </c>
      <c r="L1210" s="161"/>
      <c r="M1210" s="52" t="s">
        <v>743</v>
      </c>
      <c r="N1210" s="52"/>
      <c r="O1210" s="52" t="s">
        <v>743</v>
      </c>
      <c r="P1210" s="161">
        <v>1</v>
      </c>
      <c r="Q1210" s="259">
        <v>100000000</v>
      </c>
      <c r="R1210" s="52"/>
      <c r="S1210" s="259" t="s">
        <v>743</v>
      </c>
      <c r="T1210" s="161">
        <v>1</v>
      </c>
      <c r="U1210" s="187">
        <v>100000000</v>
      </c>
      <c r="V1210" s="52"/>
      <c r="W1210" s="52"/>
      <c r="X1210" s="52"/>
    </row>
    <row r="1211" spans="2:24" s="165" customFormat="1" ht="60">
      <c r="B1211" s="48"/>
      <c r="C1211" s="56"/>
      <c r="D1211" s="57"/>
      <c r="E1211" s="57"/>
      <c r="F1211" s="58"/>
      <c r="G1211" s="58" t="s">
        <v>3451</v>
      </c>
      <c r="H1211" s="52" t="s">
        <v>743</v>
      </c>
      <c r="I1211" s="161">
        <v>1</v>
      </c>
      <c r="J1211" s="52"/>
      <c r="K1211" s="259" t="s">
        <v>743</v>
      </c>
      <c r="L1211" s="52"/>
      <c r="M1211" s="52" t="s">
        <v>743</v>
      </c>
      <c r="N1211" s="52"/>
      <c r="O1211" s="52" t="s">
        <v>743</v>
      </c>
      <c r="P1211" s="52"/>
      <c r="Q1211" s="259" t="s">
        <v>743</v>
      </c>
      <c r="R1211" s="161">
        <v>1</v>
      </c>
      <c r="S1211" s="259">
        <v>100000000</v>
      </c>
      <c r="T1211" s="161">
        <v>1</v>
      </c>
      <c r="U1211" s="187" t="s">
        <v>743</v>
      </c>
      <c r="V1211" s="52"/>
      <c r="W1211" s="52"/>
      <c r="X1211" s="52"/>
    </row>
    <row r="1212" spans="2:24" s="165" customFormat="1" ht="45">
      <c r="B1212" s="48"/>
      <c r="C1212" s="56"/>
      <c r="D1212" s="57"/>
      <c r="E1212" s="54" t="s">
        <v>1798</v>
      </c>
      <c r="F1212" s="58"/>
      <c r="G1212" s="58" t="s">
        <v>3452</v>
      </c>
      <c r="H1212" s="52" t="s">
        <v>743</v>
      </c>
      <c r="I1212" s="161" t="s">
        <v>743</v>
      </c>
      <c r="J1212" s="161">
        <v>1</v>
      </c>
      <c r="K1212" s="259">
        <v>102500000</v>
      </c>
      <c r="L1212" s="161">
        <v>1</v>
      </c>
      <c r="M1212" s="52" t="s">
        <v>3453</v>
      </c>
      <c r="N1212" s="161">
        <v>1</v>
      </c>
      <c r="O1212" s="52">
        <v>1500000000</v>
      </c>
      <c r="P1212" s="161">
        <v>1</v>
      </c>
      <c r="Q1212" s="259">
        <v>1500000000</v>
      </c>
      <c r="R1212" s="161">
        <v>1</v>
      </c>
      <c r="S1212" s="259">
        <v>1500000000</v>
      </c>
      <c r="T1212" s="161">
        <v>1</v>
      </c>
      <c r="U1212" s="187">
        <v>1500000000</v>
      </c>
      <c r="V1212" s="52"/>
      <c r="W1212" s="52"/>
      <c r="X1212" s="52"/>
    </row>
    <row r="1213" spans="2:24" s="165" customFormat="1" ht="30">
      <c r="B1213" s="48"/>
      <c r="C1213" s="56"/>
      <c r="D1213" s="57"/>
      <c r="E1213" s="57"/>
      <c r="F1213" s="58"/>
      <c r="G1213" s="58" t="s">
        <v>3454</v>
      </c>
      <c r="H1213" s="52">
        <v>53310145</v>
      </c>
      <c r="I1213" s="161">
        <v>1</v>
      </c>
      <c r="J1213" s="161">
        <v>1</v>
      </c>
      <c r="K1213" s="259" t="s">
        <v>3455</v>
      </c>
      <c r="L1213" s="161">
        <v>1</v>
      </c>
      <c r="M1213" s="52" t="s">
        <v>3441</v>
      </c>
      <c r="N1213" s="161">
        <v>1</v>
      </c>
      <c r="O1213" s="52">
        <v>125000000</v>
      </c>
      <c r="P1213" s="161">
        <v>1</v>
      </c>
      <c r="Q1213" s="259">
        <v>150000000</v>
      </c>
      <c r="R1213" s="161">
        <v>1</v>
      </c>
      <c r="S1213" s="259">
        <v>150000000</v>
      </c>
      <c r="T1213" s="161">
        <v>1</v>
      </c>
      <c r="U1213" s="187">
        <v>150000000</v>
      </c>
      <c r="V1213" s="52"/>
      <c r="W1213" s="52"/>
      <c r="X1213" s="52"/>
    </row>
    <row r="1214" spans="2:24" s="165" customFormat="1" ht="90">
      <c r="B1214" s="48"/>
      <c r="C1214" s="56"/>
      <c r="D1214" s="57"/>
      <c r="E1214" s="57"/>
      <c r="F1214" s="58"/>
      <c r="G1214" s="58" t="s">
        <v>3456</v>
      </c>
      <c r="H1214" s="339">
        <v>1</v>
      </c>
      <c r="I1214" s="339">
        <v>1</v>
      </c>
      <c r="J1214" s="339">
        <v>1</v>
      </c>
      <c r="K1214" s="259">
        <v>50000000</v>
      </c>
      <c r="L1214" s="339">
        <v>1</v>
      </c>
      <c r="M1214" s="260">
        <v>50000000</v>
      </c>
      <c r="N1214" s="339">
        <v>1</v>
      </c>
      <c r="O1214" s="260">
        <v>50000000</v>
      </c>
      <c r="P1214" s="339">
        <v>1</v>
      </c>
      <c r="Q1214" s="259">
        <v>50000000</v>
      </c>
      <c r="R1214" s="339">
        <v>1</v>
      </c>
      <c r="S1214" s="259">
        <v>50000000</v>
      </c>
      <c r="T1214" s="339">
        <v>1</v>
      </c>
      <c r="U1214" s="187">
        <v>50000000</v>
      </c>
      <c r="V1214" s="52"/>
      <c r="W1214" s="52"/>
      <c r="X1214" s="52"/>
    </row>
    <row r="1215" spans="2:24" s="165" customFormat="1" ht="75">
      <c r="B1215" s="48"/>
      <c r="C1215" s="56"/>
      <c r="D1215" s="57"/>
      <c r="E1215" s="57"/>
      <c r="F1215" s="58"/>
      <c r="G1215" s="58" t="s">
        <v>3457</v>
      </c>
      <c r="H1215" s="52" t="s">
        <v>3458</v>
      </c>
      <c r="I1215" s="52" t="s">
        <v>3459</v>
      </c>
      <c r="J1215" s="52" t="s">
        <v>3460</v>
      </c>
      <c r="K1215" s="259">
        <v>500000000</v>
      </c>
      <c r="L1215" s="52" t="s">
        <v>3460</v>
      </c>
      <c r="M1215" s="260">
        <v>500000000</v>
      </c>
      <c r="N1215" s="52" t="s">
        <v>3460</v>
      </c>
      <c r="O1215" s="260">
        <v>500000000</v>
      </c>
      <c r="P1215" s="52" t="s">
        <v>3460</v>
      </c>
      <c r="Q1215" s="259">
        <v>500000000</v>
      </c>
      <c r="R1215" s="52" t="s">
        <v>3460</v>
      </c>
      <c r="S1215" s="259">
        <v>500000000</v>
      </c>
      <c r="T1215" s="52" t="s">
        <v>3460</v>
      </c>
      <c r="U1215" s="187">
        <v>500000000</v>
      </c>
      <c r="V1215" s="52"/>
      <c r="W1215" s="52"/>
      <c r="X1215" s="52"/>
    </row>
    <row r="1216" spans="2:24" s="165" customFormat="1" ht="120">
      <c r="B1216" s="48"/>
      <c r="C1216" s="56"/>
      <c r="D1216" s="57"/>
      <c r="E1216" s="57"/>
      <c r="F1216" s="58"/>
      <c r="G1216" s="58" t="s">
        <v>3461</v>
      </c>
      <c r="H1216" s="176" t="s">
        <v>743</v>
      </c>
      <c r="I1216" s="176" t="s">
        <v>743</v>
      </c>
      <c r="J1216" s="176" t="s">
        <v>743</v>
      </c>
      <c r="K1216" s="217" t="s">
        <v>743</v>
      </c>
      <c r="L1216" s="52" t="s">
        <v>3462</v>
      </c>
      <c r="M1216" s="260">
        <v>300000000</v>
      </c>
      <c r="N1216" s="52" t="s">
        <v>3463</v>
      </c>
      <c r="O1216" s="260">
        <v>150000000</v>
      </c>
      <c r="P1216" s="52" t="s">
        <v>3464</v>
      </c>
      <c r="Q1216" s="259">
        <v>50000000</v>
      </c>
      <c r="R1216" s="52" t="s">
        <v>3464</v>
      </c>
      <c r="S1216" s="259">
        <v>50000000</v>
      </c>
      <c r="T1216" s="52" t="s">
        <v>3464</v>
      </c>
      <c r="U1216" s="187">
        <v>50000000</v>
      </c>
      <c r="V1216" s="52"/>
      <c r="W1216" s="52"/>
      <c r="X1216" s="52"/>
    </row>
    <row r="1217" spans="2:24" s="165" customFormat="1" ht="150">
      <c r="B1217" s="48"/>
      <c r="C1217" s="56"/>
      <c r="D1217" s="57"/>
      <c r="E1217" s="57"/>
      <c r="F1217" s="58"/>
      <c r="G1217" s="58" t="s">
        <v>3469</v>
      </c>
      <c r="H1217" s="339">
        <v>1</v>
      </c>
      <c r="I1217" s="339">
        <v>1</v>
      </c>
      <c r="J1217" s="339" t="s">
        <v>3470</v>
      </c>
      <c r="K1217" s="259">
        <v>77300000</v>
      </c>
      <c r="L1217" s="339" t="s">
        <v>3470</v>
      </c>
      <c r="M1217" s="52">
        <v>77300000</v>
      </c>
      <c r="N1217" s="339" t="s">
        <v>3470</v>
      </c>
      <c r="O1217" s="52">
        <v>77300000</v>
      </c>
      <c r="P1217" s="339" t="s">
        <v>3470</v>
      </c>
      <c r="Q1217" s="259">
        <v>77300000</v>
      </c>
      <c r="R1217" s="339" t="s">
        <v>3470</v>
      </c>
      <c r="S1217" s="259">
        <v>77300000</v>
      </c>
      <c r="T1217" s="339" t="s">
        <v>3470</v>
      </c>
      <c r="U1217" s="187">
        <v>77300000</v>
      </c>
      <c r="V1217" s="52"/>
      <c r="W1217" s="52"/>
      <c r="X1217" s="52"/>
    </row>
    <row r="1218" spans="2:24" s="165" customFormat="1" ht="165">
      <c r="B1218" s="48"/>
      <c r="C1218" s="56"/>
      <c r="D1218" s="57"/>
      <c r="E1218" s="57"/>
      <c r="F1218" s="58"/>
      <c r="G1218" s="58" t="s">
        <v>3471</v>
      </c>
      <c r="H1218" s="52" t="s">
        <v>3472</v>
      </c>
      <c r="I1218" s="260" t="s">
        <v>3473</v>
      </c>
      <c r="J1218" s="52" t="s">
        <v>3474</v>
      </c>
      <c r="K1218" s="259">
        <v>138000000</v>
      </c>
      <c r="L1218" s="52" t="s">
        <v>3475</v>
      </c>
      <c r="M1218" s="260">
        <v>140000000</v>
      </c>
      <c r="N1218" s="52" t="s">
        <v>3476</v>
      </c>
      <c r="O1218" s="260">
        <v>280000000</v>
      </c>
      <c r="P1218" s="52" t="s">
        <v>3477</v>
      </c>
      <c r="Q1218" s="259">
        <v>500000000</v>
      </c>
      <c r="R1218" s="52" t="s">
        <v>3477</v>
      </c>
      <c r="S1218" s="259">
        <v>500000000</v>
      </c>
      <c r="T1218" s="52" t="s">
        <v>3477</v>
      </c>
      <c r="U1218" s="187">
        <v>500000000</v>
      </c>
      <c r="V1218" s="52"/>
      <c r="W1218" s="52"/>
      <c r="X1218" s="52"/>
    </row>
    <row r="1219" spans="2:24" s="165" customFormat="1" ht="90">
      <c r="B1219" s="48"/>
      <c r="C1219" s="56"/>
      <c r="D1219" s="57"/>
      <c r="E1219" s="57"/>
      <c r="F1219" s="58"/>
      <c r="G1219" s="58" t="s">
        <v>3478</v>
      </c>
      <c r="H1219" s="176" t="s">
        <v>743</v>
      </c>
      <c r="I1219" s="176" t="s">
        <v>743</v>
      </c>
      <c r="J1219" s="176" t="s">
        <v>743</v>
      </c>
      <c r="K1219" s="217" t="s">
        <v>743</v>
      </c>
      <c r="L1219" s="52" t="s">
        <v>3479</v>
      </c>
      <c r="M1219" s="260">
        <v>50000000</v>
      </c>
      <c r="N1219" s="52" t="s">
        <v>3479</v>
      </c>
      <c r="O1219" s="260">
        <v>50000000</v>
      </c>
      <c r="P1219" s="52" t="s">
        <v>3479</v>
      </c>
      <c r="Q1219" s="259">
        <v>50000000</v>
      </c>
      <c r="R1219" s="176" t="s">
        <v>743</v>
      </c>
      <c r="S1219" s="217" t="s">
        <v>743</v>
      </c>
      <c r="T1219" s="176" t="s">
        <v>743</v>
      </c>
      <c r="U1219" s="340" t="s">
        <v>743</v>
      </c>
      <c r="V1219" s="52"/>
      <c r="W1219" s="52"/>
      <c r="X1219" s="52"/>
    </row>
    <row r="1220" spans="2:24" s="165" customFormat="1" ht="45">
      <c r="B1220" s="48"/>
      <c r="C1220" s="56"/>
      <c r="D1220" s="57"/>
      <c r="E1220" s="57"/>
      <c r="F1220" s="58"/>
      <c r="G1220" s="58" t="s">
        <v>3480</v>
      </c>
      <c r="H1220" s="245" t="s">
        <v>3481</v>
      </c>
      <c r="I1220" s="245" t="s">
        <v>3481</v>
      </c>
      <c r="J1220" s="176" t="s">
        <v>743</v>
      </c>
      <c r="K1220" s="217" t="s">
        <v>743</v>
      </c>
      <c r="L1220" s="176" t="s">
        <v>743</v>
      </c>
      <c r="M1220" s="176" t="s">
        <v>743</v>
      </c>
      <c r="N1220" s="245" t="s">
        <v>3481</v>
      </c>
      <c r="O1220" s="260">
        <v>15000000</v>
      </c>
      <c r="P1220" s="245" t="s">
        <v>3481</v>
      </c>
      <c r="Q1220" s="259">
        <v>15000000</v>
      </c>
      <c r="R1220" s="245" t="s">
        <v>3481</v>
      </c>
      <c r="S1220" s="259">
        <v>15000000</v>
      </c>
      <c r="T1220" s="245" t="s">
        <v>3481</v>
      </c>
      <c r="U1220" s="187">
        <v>15000000</v>
      </c>
      <c r="V1220" s="52"/>
      <c r="W1220" s="52"/>
      <c r="X1220" s="52"/>
    </row>
    <row r="1221" spans="2:24" s="165" customFormat="1" ht="180">
      <c r="B1221" s="48"/>
      <c r="C1221" s="56"/>
      <c r="D1221" s="57"/>
      <c r="E1221" s="57"/>
      <c r="F1221" s="58"/>
      <c r="G1221" s="58" t="s">
        <v>3482</v>
      </c>
      <c r="H1221" s="339">
        <v>1</v>
      </c>
      <c r="I1221" s="339">
        <v>1</v>
      </c>
      <c r="J1221" s="339" t="s">
        <v>3483</v>
      </c>
      <c r="K1221" s="259">
        <v>100000000</v>
      </c>
      <c r="L1221" s="339" t="s">
        <v>3483</v>
      </c>
      <c r="M1221" s="260">
        <v>100000000</v>
      </c>
      <c r="N1221" s="339" t="s">
        <v>3483</v>
      </c>
      <c r="O1221" s="341">
        <v>150000000</v>
      </c>
      <c r="P1221" s="339" t="s">
        <v>3483</v>
      </c>
      <c r="Q1221" s="259">
        <v>250000000</v>
      </c>
      <c r="R1221" s="339" t="s">
        <v>3483</v>
      </c>
      <c r="S1221" s="259">
        <v>250000000</v>
      </c>
      <c r="T1221" s="339" t="s">
        <v>3483</v>
      </c>
      <c r="U1221" s="187">
        <v>250000000</v>
      </c>
      <c r="V1221" s="52"/>
      <c r="W1221" s="52"/>
      <c r="X1221" s="52"/>
    </row>
    <row r="1222" spans="2:24" s="165" customFormat="1" ht="60">
      <c r="B1222" s="48"/>
      <c r="C1222" s="56"/>
      <c r="D1222" s="57"/>
      <c r="E1222" s="57"/>
      <c r="F1222" s="58"/>
      <c r="G1222" s="58" t="s">
        <v>3484</v>
      </c>
      <c r="H1222" s="176" t="s">
        <v>743</v>
      </c>
      <c r="I1222" s="176" t="s">
        <v>743</v>
      </c>
      <c r="J1222" s="176" t="s">
        <v>743</v>
      </c>
      <c r="K1222" s="217" t="s">
        <v>743</v>
      </c>
      <c r="L1222" s="339" t="s">
        <v>3481</v>
      </c>
      <c r="M1222" s="260" t="s">
        <v>3485</v>
      </c>
      <c r="N1222" s="339" t="s">
        <v>3481</v>
      </c>
      <c r="O1222" s="260" t="s">
        <v>3485</v>
      </c>
      <c r="P1222" s="339" t="s">
        <v>3481</v>
      </c>
      <c r="Q1222" s="259" t="s">
        <v>3485</v>
      </c>
      <c r="R1222" s="339" t="s">
        <v>3481</v>
      </c>
      <c r="S1222" s="259" t="s">
        <v>3485</v>
      </c>
      <c r="T1222" s="339" t="s">
        <v>3481</v>
      </c>
      <c r="U1222" s="187" t="s">
        <v>3485</v>
      </c>
      <c r="V1222" s="52"/>
      <c r="W1222" s="52"/>
      <c r="X1222" s="52"/>
    </row>
    <row r="1223" spans="2:24" s="540" customFormat="1" ht="90">
      <c r="B1223" s="601"/>
      <c r="C1223" s="591">
        <f>'matrik MISI 6'!J121</f>
        <v>1.25</v>
      </c>
      <c r="D1223" s="592" t="str">
        <f>'matrik MISI 6'!K121</f>
        <v>xx</v>
      </c>
      <c r="E1223" s="592">
        <f>'matrik MISI 6'!L121</f>
        <v>16</v>
      </c>
      <c r="F1223" s="548" t="str">
        <f>'matrik MISI 6'!M121</f>
        <v>program pengkajian dan penelitian bidang informasi dan komunikasi</v>
      </c>
      <c r="G1223" s="548"/>
      <c r="H1223" s="550"/>
      <c r="I1223" s="550"/>
      <c r="J1223" s="550"/>
      <c r="K1223" s="551">
        <f>SUM(K1224:K1236)</f>
        <v>38845000</v>
      </c>
      <c r="L1223" s="551"/>
      <c r="M1223" s="551">
        <f t="shared" ref="M1223:U1223" si="127">SUM(M1224:M1236)</f>
        <v>703460000</v>
      </c>
      <c r="N1223" s="551"/>
      <c r="O1223" s="551">
        <f t="shared" si="127"/>
        <v>149000000</v>
      </c>
      <c r="P1223" s="551"/>
      <c r="Q1223" s="551">
        <f t="shared" si="127"/>
        <v>180000000</v>
      </c>
      <c r="R1223" s="551"/>
      <c r="S1223" s="551">
        <f t="shared" si="127"/>
        <v>215000000</v>
      </c>
      <c r="T1223" s="551"/>
      <c r="U1223" s="551">
        <f t="shared" si="127"/>
        <v>215000000</v>
      </c>
      <c r="V1223" s="550"/>
      <c r="W1223" s="550"/>
      <c r="X1223" s="550" t="str">
        <f>'matrik MISI 6'!X121</f>
        <v>DISHUBKOMINFO / Bagian Santel dan PDE</v>
      </c>
    </row>
    <row r="1224" spans="2:24" s="165" customFormat="1" ht="90">
      <c r="B1224" s="48"/>
      <c r="C1224" s="56"/>
      <c r="D1224" s="57"/>
      <c r="E1224" s="57"/>
      <c r="F1224" s="58"/>
      <c r="G1224" s="58" t="s">
        <v>3422</v>
      </c>
      <c r="H1224" s="161">
        <v>1</v>
      </c>
      <c r="I1224" s="52" t="s">
        <v>2939</v>
      </c>
      <c r="J1224" s="161">
        <v>1</v>
      </c>
      <c r="K1224" s="249">
        <v>9895000</v>
      </c>
      <c r="L1224" s="52" t="s">
        <v>2939</v>
      </c>
      <c r="M1224" s="238">
        <v>9460000</v>
      </c>
      <c r="N1224" s="52" t="s">
        <v>2939</v>
      </c>
      <c r="O1224" s="238">
        <v>10000000</v>
      </c>
      <c r="P1224" s="52" t="s">
        <v>2939</v>
      </c>
      <c r="Q1224" s="249">
        <v>10000000</v>
      </c>
      <c r="R1224" s="52" t="s">
        <v>2939</v>
      </c>
      <c r="S1224" s="249">
        <v>10000000</v>
      </c>
      <c r="T1224" s="52" t="s">
        <v>2939</v>
      </c>
      <c r="U1224" s="290">
        <v>10000000</v>
      </c>
      <c r="V1224" s="52"/>
      <c r="W1224" s="52"/>
      <c r="X1224" s="52"/>
    </row>
    <row r="1225" spans="2:24" s="165" customFormat="1" ht="45">
      <c r="B1225" s="48"/>
      <c r="C1225" s="56"/>
      <c r="D1225" s="57"/>
      <c r="E1225" s="57"/>
      <c r="F1225" s="58"/>
      <c r="G1225" s="58" t="s">
        <v>3423</v>
      </c>
      <c r="H1225" s="161"/>
      <c r="I1225" s="52"/>
      <c r="J1225" s="161"/>
      <c r="K1225" s="249"/>
      <c r="L1225" s="52" t="s">
        <v>2665</v>
      </c>
      <c r="M1225" s="238">
        <v>125000000</v>
      </c>
      <c r="N1225" s="52"/>
      <c r="O1225" s="238"/>
      <c r="P1225" s="52"/>
      <c r="Q1225" s="249"/>
      <c r="R1225" s="52"/>
      <c r="S1225" s="249"/>
      <c r="T1225" s="52"/>
      <c r="U1225" s="290"/>
      <c r="V1225" s="52"/>
      <c r="W1225" s="52"/>
      <c r="X1225" s="52"/>
    </row>
    <row r="1226" spans="2:24" s="165" customFormat="1" ht="90">
      <c r="B1226" s="48"/>
      <c r="C1226" s="56"/>
      <c r="D1226" s="57"/>
      <c r="E1226" s="57"/>
      <c r="F1226" s="58"/>
      <c r="G1226" s="58" t="s">
        <v>3424</v>
      </c>
      <c r="H1226" s="52"/>
      <c r="I1226" s="52"/>
      <c r="J1226" s="52"/>
      <c r="K1226" s="259"/>
      <c r="L1226" s="52" t="s">
        <v>2665</v>
      </c>
      <c r="M1226" s="238">
        <v>350000000</v>
      </c>
      <c r="N1226" s="52"/>
      <c r="O1226" s="238"/>
      <c r="P1226" s="52"/>
      <c r="Q1226" s="249"/>
      <c r="R1226" s="52"/>
      <c r="S1226" s="249"/>
      <c r="T1226" s="52"/>
      <c r="U1226" s="290"/>
      <c r="V1226" s="52"/>
      <c r="W1226" s="52"/>
      <c r="X1226" s="52"/>
    </row>
    <row r="1227" spans="2:24" s="165" customFormat="1" ht="60">
      <c r="B1227" s="48"/>
      <c r="C1227" s="56"/>
      <c r="D1227" s="57"/>
      <c r="E1227" s="57"/>
      <c r="F1227" s="58"/>
      <c r="G1227" s="58" t="s">
        <v>3425</v>
      </c>
      <c r="H1227" s="52"/>
      <c r="I1227" s="52"/>
      <c r="J1227" s="52"/>
      <c r="K1227" s="259"/>
      <c r="L1227" s="52"/>
      <c r="M1227" s="238"/>
      <c r="N1227" s="52" t="s">
        <v>2937</v>
      </c>
      <c r="O1227" s="238">
        <v>15000000</v>
      </c>
      <c r="P1227" s="52" t="s">
        <v>2937</v>
      </c>
      <c r="Q1227" s="249">
        <v>20000000</v>
      </c>
      <c r="R1227" s="52" t="s">
        <v>2937</v>
      </c>
      <c r="S1227" s="249">
        <v>25000000</v>
      </c>
      <c r="T1227" s="52" t="s">
        <v>2937</v>
      </c>
      <c r="U1227" s="290">
        <v>25000000</v>
      </c>
      <c r="V1227" s="52"/>
      <c r="W1227" s="52"/>
      <c r="X1227" s="52"/>
    </row>
    <row r="1228" spans="2:24" s="165" customFormat="1" ht="90">
      <c r="B1228" s="48"/>
      <c r="C1228" s="56"/>
      <c r="D1228" s="57"/>
      <c r="E1228" s="57"/>
      <c r="F1228" s="58"/>
      <c r="G1228" s="58" t="s">
        <v>3426</v>
      </c>
      <c r="H1228" s="52"/>
      <c r="I1228" s="52"/>
      <c r="J1228" s="52"/>
      <c r="K1228" s="259"/>
      <c r="L1228" s="52"/>
      <c r="M1228" s="238"/>
      <c r="N1228" s="52" t="s">
        <v>2937</v>
      </c>
      <c r="O1228" s="238">
        <v>75000000</v>
      </c>
      <c r="P1228" s="52" t="s">
        <v>2937</v>
      </c>
      <c r="Q1228" s="249">
        <v>85000000</v>
      </c>
      <c r="R1228" s="52" t="s">
        <v>2937</v>
      </c>
      <c r="S1228" s="249">
        <v>100000000</v>
      </c>
      <c r="T1228" s="52" t="s">
        <v>2937</v>
      </c>
      <c r="U1228" s="290">
        <v>100000000</v>
      </c>
      <c r="V1228" s="52"/>
      <c r="W1228" s="52"/>
      <c r="X1228" s="52"/>
    </row>
    <row r="1229" spans="2:24" s="165" customFormat="1" ht="120">
      <c r="B1229" s="48"/>
      <c r="C1229" s="56"/>
      <c r="D1229" s="57"/>
      <c r="E1229" s="57"/>
      <c r="F1229" s="58"/>
      <c r="G1229" s="418" t="s">
        <v>3427</v>
      </c>
      <c r="H1229" s="161">
        <v>0.94494949494949498</v>
      </c>
      <c r="I1229" s="238" t="s">
        <v>3409</v>
      </c>
      <c r="J1229" s="161">
        <v>1</v>
      </c>
      <c r="K1229" s="249">
        <v>4950000</v>
      </c>
      <c r="L1229" s="238" t="s">
        <v>743</v>
      </c>
      <c r="M1229" s="238" t="s">
        <v>743</v>
      </c>
      <c r="N1229" s="238" t="s">
        <v>743</v>
      </c>
      <c r="O1229" s="238" t="s">
        <v>743</v>
      </c>
      <c r="P1229" s="238" t="s">
        <v>743</v>
      </c>
      <c r="Q1229" s="249" t="s">
        <v>743</v>
      </c>
      <c r="R1229" s="238" t="s">
        <v>743</v>
      </c>
      <c r="S1229" s="249" t="s">
        <v>743</v>
      </c>
      <c r="T1229" s="238" t="s">
        <v>743</v>
      </c>
      <c r="U1229" s="290" t="s">
        <v>743</v>
      </c>
      <c r="V1229" s="52"/>
      <c r="W1229" s="52"/>
      <c r="X1229" s="52"/>
    </row>
    <row r="1230" spans="2:24" s="165" customFormat="1" ht="75">
      <c r="B1230" s="48"/>
      <c r="C1230" s="56"/>
      <c r="D1230" s="57"/>
      <c r="E1230" s="57"/>
      <c r="F1230" s="58"/>
      <c r="G1230" s="419" t="s">
        <v>3428</v>
      </c>
      <c r="H1230" s="161"/>
      <c r="I1230" s="52" t="s">
        <v>2620</v>
      </c>
      <c r="J1230" s="161">
        <v>1</v>
      </c>
      <c r="K1230" s="249">
        <v>24000000</v>
      </c>
      <c r="L1230" s="52" t="s">
        <v>2620</v>
      </c>
      <c r="M1230" s="238">
        <v>24000000</v>
      </c>
      <c r="N1230" s="52" t="s">
        <v>2620</v>
      </c>
      <c r="O1230" s="238">
        <v>24000000</v>
      </c>
      <c r="P1230" s="52" t="s">
        <v>2620</v>
      </c>
      <c r="Q1230" s="249">
        <v>30000000</v>
      </c>
      <c r="R1230" s="52" t="s">
        <v>2620</v>
      </c>
      <c r="S1230" s="249">
        <v>35000000</v>
      </c>
      <c r="T1230" s="52" t="s">
        <v>2620</v>
      </c>
      <c r="U1230" s="290">
        <v>35000000</v>
      </c>
      <c r="V1230" s="52"/>
      <c r="W1230" s="52"/>
      <c r="X1230" s="52"/>
    </row>
    <row r="1231" spans="2:24" s="165" customFormat="1" ht="90">
      <c r="B1231" s="48"/>
      <c r="C1231" s="56"/>
      <c r="D1231" s="57"/>
      <c r="E1231" s="57"/>
      <c r="F1231" s="58"/>
      <c r="G1231" s="419" t="s">
        <v>3429</v>
      </c>
      <c r="H1231" s="161"/>
      <c r="I1231" s="52"/>
      <c r="J1231" s="161"/>
      <c r="K1231" s="249"/>
      <c r="L1231" s="52" t="s">
        <v>2620</v>
      </c>
      <c r="M1231" s="238">
        <v>10000000</v>
      </c>
      <c r="N1231" s="52" t="s">
        <v>2620</v>
      </c>
      <c r="O1231" s="238">
        <v>15000000</v>
      </c>
      <c r="P1231" s="52" t="s">
        <v>2620</v>
      </c>
      <c r="Q1231" s="249">
        <v>20000000</v>
      </c>
      <c r="R1231" s="52" t="s">
        <v>2620</v>
      </c>
      <c r="S1231" s="249">
        <v>25000000</v>
      </c>
      <c r="T1231" s="52" t="s">
        <v>2620</v>
      </c>
      <c r="U1231" s="290">
        <v>25000000</v>
      </c>
      <c r="V1231" s="52"/>
      <c r="W1231" s="52"/>
      <c r="X1231" s="52"/>
    </row>
    <row r="1232" spans="2:24" s="165" customFormat="1" ht="75">
      <c r="B1232" s="48"/>
      <c r="C1232" s="56"/>
      <c r="D1232" s="57"/>
      <c r="E1232" s="57"/>
      <c r="F1232" s="58"/>
      <c r="G1232" s="419" t="s">
        <v>3430</v>
      </c>
      <c r="H1232" s="161"/>
      <c r="I1232" s="52"/>
      <c r="J1232" s="161"/>
      <c r="K1232" s="249"/>
      <c r="L1232" s="52" t="s">
        <v>2620</v>
      </c>
      <c r="M1232" s="238">
        <v>5000000</v>
      </c>
      <c r="N1232" s="52" t="s">
        <v>2620</v>
      </c>
      <c r="O1232" s="238">
        <v>10000000</v>
      </c>
      <c r="P1232" s="52" t="s">
        <v>2620</v>
      </c>
      <c r="Q1232" s="249">
        <v>15000000</v>
      </c>
      <c r="R1232" s="52" t="s">
        <v>2620</v>
      </c>
      <c r="S1232" s="249">
        <v>20000000</v>
      </c>
      <c r="T1232" s="52" t="s">
        <v>2620</v>
      </c>
      <c r="U1232" s="290">
        <v>20000000</v>
      </c>
      <c r="V1232" s="52"/>
      <c r="W1232" s="52"/>
      <c r="X1232" s="52"/>
    </row>
    <row r="1233" spans="1:32" s="165" customFormat="1" ht="60">
      <c r="B1233" s="48"/>
      <c r="C1233" s="56"/>
      <c r="D1233" s="57"/>
      <c r="E1233" s="57"/>
      <c r="F1233" s="58"/>
      <c r="G1233" s="419" t="s">
        <v>3431</v>
      </c>
      <c r="H1233" s="161"/>
      <c r="I1233" s="52"/>
      <c r="J1233" s="161"/>
      <c r="K1233" s="249"/>
      <c r="L1233" s="52" t="s">
        <v>2620</v>
      </c>
      <c r="M1233" s="238">
        <v>15000000</v>
      </c>
      <c r="N1233" s="52" t="s">
        <v>2620</v>
      </c>
      <c r="O1233" s="238"/>
      <c r="P1233" s="52"/>
      <c r="Q1233" s="249"/>
      <c r="R1233" s="52"/>
      <c r="S1233" s="249"/>
      <c r="T1233" s="52"/>
      <c r="U1233" s="290"/>
      <c r="V1233" s="52"/>
      <c r="W1233" s="52"/>
      <c r="X1233" s="52"/>
    </row>
    <row r="1234" spans="1:32" s="165" customFormat="1" ht="105">
      <c r="B1234" s="48"/>
      <c r="C1234" s="56"/>
      <c r="D1234" s="57"/>
      <c r="E1234" s="57"/>
      <c r="F1234" s="58"/>
      <c r="G1234" s="419" t="s">
        <v>3432</v>
      </c>
      <c r="H1234" s="161"/>
      <c r="I1234" s="52"/>
      <c r="J1234" s="161"/>
      <c r="K1234" s="249"/>
      <c r="L1234" s="52" t="s">
        <v>2620</v>
      </c>
      <c r="M1234" s="238">
        <v>100000000</v>
      </c>
      <c r="N1234" s="52" t="s">
        <v>2620</v>
      </c>
      <c r="O1234" s="238"/>
      <c r="P1234" s="52"/>
      <c r="Q1234" s="249"/>
      <c r="R1234" s="52"/>
      <c r="S1234" s="249"/>
      <c r="T1234" s="52"/>
      <c r="U1234" s="290"/>
      <c r="V1234" s="52"/>
      <c r="W1234" s="52"/>
      <c r="X1234" s="52"/>
    </row>
    <row r="1235" spans="1:32" s="165" customFormat="1" ht="60">
      <c r="B1235" s="48"/>
      <c r="C1235" s="56"/>
      <c r="D1235" s="57"/>
      <c r="E1235" s="57"/>
      <c r="F1235" s="58"/>
      <c r="G1235" s="419" t="s">
        <v>3433</v>
      </c>
      <c r="H1235" s="161"/>
      <c r="I1235" s="52"/>
      <c r="J1235" s="161"/>
      <c r="K1235" s="249"/>
      <c r="L1235" s="52" t="s">
        <v>2620</v>
      </c>
      <c r="M1235" s="238">
        <v>15000000</v>
      </c>
      <c r="N1235" s="52" t="s">
        <v>2620</v>
      </c>
      <c r="O1235" s="238"/>
      <c r="P1235" s="52"/>
      <c r="Q1235" s="249"/>
      <c r="R1235" s="52"/>
      <c r="S1235" s="249"/>
      <c r="T1235" s="52"/>
      <c r="U1235" s="290"/>
      <c r="V1235" s="52"/>
      <c r="W1235" s="52"/>
      <c r="X1235" s="52"/>
    </row>
    <row r="1236" spans="1:32" s="165" customFormat="1" ht="75">
      <c r="B1236" s="48"/>
      <c r="C1236" s="56"/>
      <c r="D1236" s="57"/>
      <c r="E1236" s="57"/>
      <c r="F1236" s="58"/>
      <c r="G1236" s="419" t="s">
        <v>3434</v>
      </c>
      <c r="H1236" s="52"/>
      <c r="I1236" s="52"/>
      <c r="J1236" s="161"/>
      <c r="K1236" s="249"/>
      <c r="L1236" s="52" t="s">
        <v>2620</v>
      </c>
      <c r="M1236" s="238">
        <v>50000000</v>
      </c>
      <c r="N1236" s="52" t="s">
        <v>2620</v>
      </c>
      <c r="O1236" s="238"/>
      <c r="P1236" s="52"/>
      <c r="Q1236" s="249"/>
      <c r="R1236" s="52"/>
      <c r="S1236" s="249"/>
      <c r="T1236" s="52"/>
      <c r="U1236" s="290"/>
      <c r="V1236" s="52"/>
      <c r="W1236" s="52"/>
      <c r="X1236" s="52"/>
    </row>
    <row r="1237" spans="1:32" s="540" customFormat="1" ht="60">
      <c r="B1237" s="545"/>
      <c r="C1237" s="591">
        <f>'matrik MISI 6'!J120</f>
        <v>1.25</v>
      </c>
      <c r="D1237" s="592" t="str">
        <f>'matrik MISI 6'!K120</f>
        <v>xx</v>
      </c>
      <c r="E1237" s="592">
        <f>'matrik MISI 6'!L120</f>
        <v>17</v>
      </c>
      <c r="F1237" s="548" t="str">
        <f>'matrik MISI 6'!M120</f>
        <v>program pengembangan SDM informasi dan komunikasi</v>
      </c>
      <c r="G1237" s="548"/>
      <c r="H1237" s="550"/>
      <c r="I1237" s="550"/>
      <c r="J1237" s="550"/>
      <c r="K1237" s="551">
        <f>SUM(K1238:K1241)</f>
        <v>9460000</v>
      </c>
      <c r="L1237" s="551"/>
      <c r="M1237" s="551">
        <f t="shared" ref="M1237:U1237" si="128">SUM(M1238:M1241)</f>
        <v>250000000</v>
      </c>
      <c r="N1237" s="551"/>
      <c r="O1237" s="551">
        <f t="shared" si="128"/>
        <v>170000000</v>
      </c>
      <c r="P1237" s="551"/>
      <c r="Q1237" s="551">
        <f t="shared" si="128"/>
        <v>175000000</v>
      </c>
      <c r="R1237" s="551"/>
      <c r="S1237" s="551">
        <f t="shared" si="128"/>
        <v>180000000</v>
      </c>
      <c r="T1237" s="551"/>
      <c r="U1237" s="551">
        <f t="shared" si="128"/>
        <v>30000000</v>
      </c>
      <c r="V1237" s="550"/>
      <c r="W1237" s="550"/>
      <c r="X1237" s="550"/>
    </row>
    <row r="1238" spans="1:32" s="165" customFormat="1" ht="90">
      <c r="B1238" s="48"/>
      <c r="C1238" s="56"/>
      <c r="D1238" s="57"/>
      <c r="E1238" s="57"/>
      <c r="F1238" s="58"/>
      <c r="G1238" s="58" t="s">
        <v>3435</v>
      </c>
      <c r="H1238" s="161">
        <v>0.86346855983772819</v>
      </c>
      <c r="I1238" s="52"/>
      <c r="J1238" s="161">
        <v>1</v>
      </c>
      <c r="K1238" s="249">
        <v>9460000</v>
      </c>
      <c r="L1238" s="52" t="s">
        <v>3436</v>
      </c>
      <c r="M1238" s="238">
        <v>15000000</v>
      </c>
      <c r="N1238" s="52" t="s">
        <v>3437</v>
      </c>
      <c r="O1238" s="238">
        <v>20000000</v>
      </c>
      <c r="P1238" s="52" t="s">
        <v>3438</v>
      </c>
      <c r="Q1238" s="249">
        <v>25000000</v>
      </c>
      <c r="R1238" s="52" t="s">
        <v>3439</v>
      </c>
      <c r="S1238" s="249">
        <v>30000000</v>
      </c>
      <c r="T1238" s="52" t="s">
        <v>3439</v>
      </c>
      <c r="U1238" s="290">
        <v>30000000</v>
      </c>
      <c r="V1238" s="52"/>
      <c r="W1238" s="52"/>
      <c r="X1238" s="52"/>
    </row>
    <row r="1239" spans="1:32" s="165" customFormat="1" ht="30">
      <c r="B1239" s="48"/>
      <c r="C1239" s="56"/>
      <c r="D1239" s="57"/>
      <c r="E1239" s="57"/>
      <c r="F1239" s="58"/>
      <c r="G1239" s="55" t="s">
        <v>4686</v>
      </c>
      <c r="H1239" s="161"/>
      <c r="I1239" s="52"/>
      <c r="J1239" s="161"/>
      <c r="K1239" s="794"/>
      <c r="L1239" s="52"/>
      <c r="M1239" s="238">
        <v>150000000</v>
      </c>
      <c r="N1239" s="52"/>
      <c r="O1239" s="238">
        <v>150000000</v>
      </c>
      <c r="P1239" s="52"/>
      <c r="Q1239" s="238">
        <v>150000000</v>
      </c>
      <c r="R1239" s="52"/>
      <c r="S1239" s="238">
        <v>150000000</v>
      </c>
      <c r="T1239" s="52"/>
      <c r="U1239" s="290"/>
      <c r="V1239" s="52"/>
      <c r="W1239" s="52"/>
      <c r="X1239" s="52"/>
    </row>
    <row r="1240" spans="1:32" s="165" customFormat="1" ht="45">
      <c r="B1240" s="48"/>
      <c r="C1240" s="56"/>
      <c r="D1240" s="57"/>
      <c r="E1240" s="57"/>
      <c r="F1240" s="58"/>
      <c r="G1240" s="58" t="s">
        <v>3465</v>
      </c>
      <c r="H1240" s="176" t="s">
        <v>743</v>
      </c>
      <c r="I1240" s="176" t="s">
        <v>743</v>
      </c>
      <c r="J1240" s="176" t="s">
        <v>743</v>
      </c>
      <c r="K1240" s="217" t="s">
        <v>743</v>
      </c>
      <c r="L1240" s="339" t="s">
        <v>3466</v>
      </c>
      <c r="M1240" s="52">
        <v>35000000</v>
      </c>
      <c r="N1240" s="176" t="s">
        <v>743</v>
      </c>
      <c r="O1240" s="176" t="s">
        <v>743</v>
      </c>
      <c r="P1240" s="176" t="s">
        <v>743</v>
      </c>
      <c r="Q1240" s="217" t="s">
        <v>743</v>
      </c>
      <c r="R1240" s="176" t="s">
        <v>743</v>
      </c>
      <c r="S1240" s="217" t="s">
        <v>743</v>
      </c>
      <c r="T1240" s="176" t="s">
        <v>743</v>
      </c>
      <c r="U1240" s="340" t="s">
        <v>743</v>
      </c>
      <c r="V1240" s="52"/>
      <c r="W1240" s="52"/>
      <c r="X1240" s="52"/>
    </row>
    <row r="1241" spans="1:32" s="165" customFormat="1" ht="75">
      <c r="B1241" s="48"/>
      <c r="C1241" s="56"/>
      <c r="D1241" s="57"/>
      <c r="E1241" s="57"/>
      <c r="F1241" s="58"/>
      <c r="G1241" s="58" t="s">
        <v>3467</v>
      </c>
      <c r="H1241" s="176" t="s">
        <v>743</v>
      </c>
      <c r="I1241" s="176" t="s">
        <v>743</v>
      </c>
      <c r="J1241" s="176" t="s">
        <v>743</v>
      </c>
      <c r="K1241" s="217" t="s">
        <v>743</v>
      </c>
      <c r="L1241" s="339" t="s">
        <v>3468</v>
      </c>
      <c r="M1241" s="52">
        <v>50000000</v>
      </c>
      <c r="N1241" s="176" t="s">
        <v>743</v>
      </c>
      <c r="O1241" s="176" t="s">
        <v>743</v>
      </c>
      <c r="P1241" s="176" t="s">
        <v>743</v>
      </c>
      <c r="Q1241" s="217" t="s">
        <v>743</v>
      </c>
      <c r="R1241" s="176" t="s">
        <v>743</v>
      </c>
      <c r="S1241" s="217" t="s">
        <v>743</v>
      </c>
      <c r="T1241" s="176" t="s">
        <v>743</v>
      </c>
      <c r="U1241" s="340" t="s">
        <v>743</v>
      </c>
      <c r="V1241" s="52"/>
      <c r="W1241" s="52"/>
      <c r="X1241" s="52"/>
    </row>
    <row r="1242" spans="1:32" s="280" customFormat="1" ht="30" customHeight="1">
      <c r="A1242" s="285"/>
      <c r="B1242" s="1093" t="s">
        <v>4257</v>
      </c>
      <c r="C1242" s="1094"/>
      <c r="D1242" s="1094"/>
      <c r="E1242" s="1094"/>
      <c r="F1242" s="1094"/>
      <c r="G1242" s="1095"/>
      <c r="H1242" s="342"/>
      <c r="I1242" s="342"/>
      <c r="J1242" s="342"/>
      <c r="K1242" s="342">
        <f>SUM(K1191:K1241)</f>
        <v>1915261040</v>
      </c>
      <c r="L1242" s="342">
        <f t="shared" ref="L1242:N1242" si="129">SUM(L1191:L1241)</f>
        <v>11</v>
      </c>
      <c r="M1242" s="342">
        <f t="shared" si="129"/>
        <v>4291903000</v>
      </c>
      <c r="N1242" s="342">
        <f t="shared" si="129"/>
        <v>12</v>
      </c>
      <c r="O1242" s="342">
        <f t="shared" ref="O1242" si="130">SUM(O1191:O1241)</f>
        <v>4840300000</v>
      </c>
      <c r="P1242" s="342"/>
      <c r="Q1242" s="342">
        <f t="shared" ref="Q1242" si="131">SUM(Q1191:Q1241)</f>
        <v>5479800000</v>
      </c>
      <c r="R1242" s="342"/>
      <c r="S1242" s="342">
        <f t="shared" ref="S1242" si="132">SUM(S1191:S1241)</f>
        <v>5637300000</v>
      </c>
      <c r="T1242" s="342"/>
      <c r="U1242" s="343">
        <f>SUM(U1191:U1241)</f>
        <v>5287300000</v>
      </c>
      <c r="V1242" s="342">
        <f t="shared" ref="V1242:W1242" si="133">SUM(V1191:V1241)</f>
        <v>0</v>
      </c>
      <c r="W1242" s="342">
        <f t="shared" si="133"/>
        <v>0</v>
      </c>
      <c r="X1242" s="342"/>
      <c r="Y1242" s="285"/>
      <c r="Z1242" s="285"/>
      <c r="AA1242" s="285"/>
      <c r="AB1242" s="285"/>
      <c r="AC1242" s="285"/>
      <c r="AD1242" s="285"/>
      <c r="AE1242" s="285"/>
      <c r="AF1242" s="285"/>
    </row>
    <row r="1243" spans="1:32" ht="30">
      <c r="A1243" s="165">
        <v>1</v>
      </c>
      <c r="B1243" s="62" t="str">
        <f>'matrik MISI 6'!B100</f>
        <v>PERPUSTAKAAN</v>
      </c>
      <c r="C1243" s="56"/>
      <c r="D1243" s="57"/>
      <c r="E1243" s="57"/>
      <c r="F1243" s="58"/>
      <c r="G1243" s="58"/>
      <c r="H1243" s="52"/>
      <c r="I1243" s="52"/>
      <c r="J1243" s="52"/>
      <c r="K1243" s="52"/>
      <c r="L1243" s="52"/>
      <c r="M1243" s="52"/>
      <c r="N1243" s="52"/>
      <c r="O1243" s="52"/>
      <c r="P1243" s="52"/>
      <c r="Q1243" s="52"/>
      <c r="R1243" s="52"/>
      <c r="S1243" s="52"/>
      <c r="T1243" s="52"/>
      <c r="U1243" s="52"/>
      <c r="V1243" s="52"/>
      <c r="W1243" s="52"/>
      <c r="X1243" s="52"/>
      <c r="Y1243" s="165"/>
      <c r="Z1243" s="165"/>
      <c r="AA1243" s="165"/>
      <c r="AB1243" s="165"/>
      <c r="AC1243" s="165"/>
      <c r="AD1243" s="165"/>
      <c r="AE1243" s="165"/>
      <c r="AF1243" s="165"/>
    </row>
    <row r="1244" spans="1:32" s="540" customFormat="1" ht="75">
      <c r="B1244" s="545"/>
      <c r="C1244" s="593">
        <v>1.26</v>
      </c>
      <c r="D1244" s="594" t="str">
        <f>'matrik MISI 6'!K101</f>
        <v>xx</v>
      </c>
      <c r="E1244" s="594">
        <v>15</v>
      </c>
      <c r="F1244" s="595" t="str">
        <f>'matrik MISI 6'!M101</f>
        <v>Program Pengembangan Budaya Baca dan Pembinaan Perpustakaan</v>
      </c>
      <c r="G1244" s="548"/>
      <c r="H1244" s="550"/>
      <c r="I1244" s="550"/>
      <c r="J1244" s="550"/>
      <c r="K1244" s="615">
        <f>SUM(K1245:K1253)</f>
        <v>694000000</v>
      </c>
      <c r="L1244" s="550"/>
      <c r="M1244" s="615">
        <f>SUM(M1245:M1253)</f>
        <v>988500000</v>
      </c>
      <c r="N1244" s="550"/>
      <c r="O1244" s="615">
        <f>SUM(O1245:O1253)</f>
        <v>1174000000</v>
      </c>
      <c r="P1244" s="550"/>
      <c r="Q1244" s="615">
        <f>SUM(Q1245:Q1253)</f>
        <v>1330000000</v>
      </c>
      <c r="R1244" s="550"/>
      <c r="S1244" s="615">
        <f>SUM(S1245:S1253)</f>
        <v>1482500000</v>
      </c>
      <c r="T1244" s="550"/>
      <c r="U1244" s="550"/>
      <c r="V1244" s="550"/>
      <c r="W1244" s="550"/>
      <c r="X1244" s="550" t="str">
        <f>'matrik MISI 6'!X101</f>
        <v>Kantor Arsip, Perpustakaan, dan Dokumentasi</v>
      </c>
    </row>
    <row r="1245" spans="1:32" s="165" customFormat="1" ht="285">
      <c r="B1245" s="48"/>
      <c r="C1245" s="62"/>
      <c r="D1245" s="63"/>
      <c r="E1245" s="63"/>
      <c r="F1245" s="64"/>
      <c r="G1245" s="58" t="s">
        <v>3919</v>
      </c>
      <c r="H1245" s="52" t="s">
        <v>3352</v>
      </c>
      <c r="I1245" s="52" t="s">
        <v>3353</v>
      </c>
      <c r="J1245" s="164" t="s">
        <v>3354</v>
      </c>
      <c r="K1245" s="344">
        <v>30000000</v>
      </c>
      <c r="L1245" s="164" t="s">
        <v>3355</v>
      </c>
      <c r="M1245" s="344">
        <v>40000000</v>
      </c>
      <c r="N1245" s="164" t="s">
        <v>3356</v>
      </c>
      <c r="O1245" s="344">
        <v>50000000</v>
      </c>
      <c r="P1245" s="164" t="s">
        <v>3357</v>
      </c>
      <c r="Q1245" s="344">
        <v>60000000</v>
      </c>
      <c r="R1245" s="164" t="s">
        <v>3358</v>
      </c>
      <c r="S1245" s="344">
        <v>70000000</v>
      </c>
      <c r="T1245" s="164" t="s">
        <v>3358</v>
      </c>
      <c r="U1245" s="344">
        <v>70000000</v>
      </c>
      <c r="V1245" s="52"/>
      <c r="W1245" s="52"/>
      <c r="X1245" s="52"/>
    </row>
    <row r="1246" spans="1:32" s="165" customFormat="1" ht="135">
      <c r="B1246" s="48"/>
      <c r="C1246" s="62"/>
      <c r="D1246" s="63"/>
      <c r="E1246" s="63"/>
      <c r="F1246" s="64"/>
      <c r="G1246" s="58" t="s">
        <v>3920</v>
      </c>
      <c r="H1246" s="52" t="s">
        <v>3359</v>
      </c>
      <c r="I1246" s="52" t="s">
        <v>3359</v>
      </c>
      <c r="J1246" s="52" t="s">
        <v>3359</v>
      </c>
      <c r="K1246" s="344">
        <v>36500000</v>
      </c>
      <c r="L1246" s="52" t="s">
        <v>3360</v>
      </c>
      <c r="M1246" s="344">
        <v>50000000</v>
      </c>
      <c r="N1246" s="52" t="s">
        <v>3361</v>
      </c>
      <c r="O1246" s="344">
        <v>60000000</v>
      </c>
      <c r="P1246" s="52" t="s">
        <v>3361</v>
      </c>
      <c r="Q1246" s="344">
        <v>70000000</v>
      </c>
      <c r="R1246" s="52" t="s">
        <v>3361</v>
      </c>
      <c r="S1246" s="344">
        <v>75000000</v>
      </c>
      <c r="T1246" s="52" t="s">
        <v>3361</v>
      </c>
      <c r="U1246" s="344">
        <v>75000000</v>
      </c>
      <c r="V1246" s="52"/>
      <c r="W1246" s="52"/>
      <c r="X1246" s="52"/>
    </row>
    <row r="1247" spans="1:32" s="165" customFormat="1" ht="105">
      <c r="B1247" s="48"/>
      <c r="C1247" s="62"/>
      <c r="D1247" s="63"/>
      <c r="E1247" s="63"/>
      <c r="F1247" s="64"/>
      <c r="G1247" s="58" t="s">
        <v>3921</v>
      </c>
      <c r="H1247" s="52" t="s">
        <v>2611</v>
      </c>
      <c r="I1247" s="52" t="s">
        <v>2558</v>
      </c>
      <c r="J1247" s="52" t="s">
        <v>2558</v>
      </c>
      <c r="K1247" s="344">
        <v>110000000</v>
      </c>
      <c r="L1247" s="52" t="s">
        <v>2558</v>
      </c>
      <c r="M1247" s="344">
        <v>200000000</v>
      </c>
      <c r="N1247" s="52" t="s">
        <v>2558</v>
      </c>
      <c r="O1247" s="344">
        <v>250000000</v>
      </c>
      <c r="P1247" s="52" t="s">
        <v>2558</v>
      </c>
      <c r="Q1247" s="344">
        <v>275000000</v>
      </c>
      <c r="R1247" s="52" t="s">
        <v>2558</v>
      </c>
      <c r="S1247" s="344">
        <v>300000000</v>
      </c>
      <c r="T1247" s="52" t="s">
        <v>2558</v>
      </c>
      <c r="U1247" s="344">
        <v>300000000</v>
      </c>
      <c r="V1247" s="52"/>
      <c r="W1247" s="52"/>
      <c r="X1247" s="52"/>
    </row>
    <row r="1248" spans="1:32" s="165" customFormat="1" ht="120">
      <c r="B1248" s="48"/>
      <c r="C1248" s="62"/>
      <c r="D1248" s="63"/>
      <c r="E1248" s="63"/>
      <c r="F1248" s="64"/>
      <c r="G1248" s="58" t="s">
        <v>3922</v>
      </c>
      <c r="H1248" s="52" t="s">
        <v>3362</v>
      </c>
      <c r="I1248" s="52" t="s">
        <v>3363</v>
      </c>
      <c r="J1248" s="52" t="s">
        <v>3363</v>
      </c>
      <c r="K1248" s="344">
        <v>2500000</v>
      </c>
      <c r="L1248" s="52" t="s">
        <v>3363</v>
      </c>
      <c r="M1248" s="344">
        <v>3500000</v>
      </c>
      <c r="N1248" s="52" t="s">
        <v>3363</v>
      </c>
      <c r="O1248" s="344">
        <v>4000000</v>
      </c>
      <c r="P1248" s="52" t="s">
        <v>3363</v>
      </c>
      <c r="Q1248" s="344">
        <v>5000000</v>
      </c>
      <c r="R1248" s="52" t="s">
        <v>3363</v>
      </c>
      <c r="S1248" s="344">
        <v>7500000</v>
      </c>
      <c r="T1248" s="52" t="s">
        <v>3363</v>
      </c>
      <c r="U1248" s="344">
        <v>7500000</v>
      </c>
      <c r="V1248" s="52"/>
      <c r="W1248" s="52"/>
      <c r="X1248" s="52"/>
    </row>
    <row r="1249" spans="1:32" s="165" customFormat="1" ht="150">
      <c r="B1249" s="48"/>
      <c r="C1249" s="62"/>
      <c r="D1249" s="63"/>
      <c r="E1249" s="63"/>
      <c r="F1249" s="64"/>
      <c r="G1249" s="58" t="s">
        <v>3923</v>
      </c>
      <c r="H1249" s="52">
        <v>0</v>
      </c>
      <c r="I1249" s="52" t="s">
        <v>3364</v>
      </c>
      <c r="J1249" s="52" t="s">
        <v>3364</v>
      </c>
      <c r="K1249" s="344">
        <v>50000000</v>
      </c>
      <c r="L1249" s="52" t="s">
        <v>3364</v>
      </c>
      <c r="M1249" s="344">
        <v>75000000</v>
      </c>
      <c r="N1249" s="52" t="s">
        <v>3364</v>
      </c>
      <c r="O1249" s="344">
        <v>100000000</v>
      </c>
      <c r="P1249" s="52" t="s">
        <v>3364</v>
      </c>
      <c r="Q1249" s="344">
        <v>125000000</v>
      </c>
      <c r="R1249" s="52" t="s">
        <v>3364</v>
      </c>
      <c r="S1249" s="344">
        <v>150000000</v>
      </c>
      <c r="T1249" s="52" t="s">
        <v>3364</v>
      </c>
      <c r="U1249" s="344">
        <v>150000000</v>
      </c>
      <c r="V1249" s="52"/>
      <c r="W1249" s="52"/>
      <c r="X1249" s="52"/>
    </row>
    <row r="1250" spans="1:32" s="165" customFormat="1" ht="105">
      <c r="B1250" s="48"/>
      <c r="C1250" s="62"/>
      <c r="D1250" s="63"/>
      <c r="E1250" s="63"/>
      <c r="F1250" s="64"/>
      <c r="G1250" s="58" t="s">
        <v>3924</v>
      </c>
      <c r="H1250" s="52" t="s">
        <v>3365</v>
      </c>
      <c r="I1250" s="52" t="s">
        <v>3365</v>
      </c>
      <c r="J1250" s="52" t="s">
        <v>3365</v>
      </c>
      <c r="K1250" s="344">
        <v>50000000</v>
      </c>
      <c r="L1250" s="52" t="s">
        <v>3365</v>
      </c>
      <c r="M1250" s="344">
        <v>65000000</v>
      </c>
      <c r="N1250" s="52" t="s">
        <v>3365</v>
      </c>
      <c r="O1250" s="344">
        <v>70000000</v>
      </c>
      <c r="P1250" s="52" t="s">
        <v>3365</v>
      </c>
      <c r="Q1250" s="344">
        <v>75000000</v>
      </c>
      <c r="R1250" s="52" t="s">
        <v>3365</v>
      </c>
      <c r="S1250" s="344">
        <v>80000000</v>
      </c>
      <c r="T1250" s="52" t="s">
        <v>3365</v>
      </c>
      <c r="U1250" s="344">
        <v>80000000</v>
      </c>
      <c r="V1250" s="52"/>
      <c r="W1250" s="52"/>
      <c r="X1250" s="52"/>
    </row>
    <row r="1251" spans="1:32" s="165" customFormat="1" ht="165">
      <c r="B1251" s="48"/>
      <c r="C1251" s="62"/>
      <c r="D1251" s="63"/>
      <c r="E1251" s="63"/>
      <c r="F1251" s="64"/>
      <c r="G1251" s="58" t="s">
        <v>3925</v>
      </c>
      <c r="H1251" s="52" t="s">
        <v>3366</v>
      </c>
      <c r="I1251" s="52" t="s">
        <v>3367</v>
      </c>
      <c r="J1251" s="52" t="s">
        <v>3367</v>
      </c>
      <c r="K1251" s="345">
        <v>125000000</v>
      </c>
      <c r="L1251" s="52" t="s">
        <v>3367</v>
      </c>
      <c r="M1251" s="344">
        <v>175000000</v>
      </c>
      <c r="N1251" s="52" t="s">
        <v>3367</v>
      </c>
      <c r="O1251" s="344">
        <v>200000000</v>
      </c>
      <c r="P1251" s="52" t="s">
        <v>3367</v>
      </c>
      <c r="Q1251" s="344">
        <v>225000000</v>
      </c>
      <c r="R1251" s="52" t="s">
        <v>3367</v>
      </c>
      <c r="S1251" s="344">
        <v>250000000</v>
      </c>
      <c r="T1251" s="52" t="s">
        <v>3367</v>
      </c>
      <c r="U1251" s="344">
        <v>250000000</v>
      </c>
      <c r="V1251" s="52"/>
      <c r="W1251" s="52"/>
      <c r="X1251" s="52"/>
    </row>
    <row r="1252" spans="1:32" s="165" customFormat="1" ht="225">
      <c r="B1252" s="48"/>
      <c r="C1252" s="62"/>
      <c r="D1252" s="63"/>
      <c r="E1252" s="63"/>
      <c r="F1252" s="64"/>
      <c r="G1252" s="58" t="s">
        <v>3926</v>
      </c>
      <c r="H1252" s="52" t="s">
        <v>3368</v>
      </c>
      <c r="I1252" s="52" t="s">
        <v>3368</v>
      </c>
      <c r="J1252" s="52" t="s">
        <v>3369</v>
      </c>
      <c r="K1252" s="345">
        <v>250000000</v>
      </c>
      <c r="L1252" s="52" t="s">
        <v>3370</v>
      </c>
      <c r="M1252" s="344">
        <v>350000000</v>
      </c>
      <c r="N1252" s="52" t="s">
        <v>3371</v>
      </c>
      <c r="O1252" s="344">
        <v>400000000</v>
      </c>
      <c r="P1252" s="52" t="s">
        <v>3372</v>
      </c>
      <c r="Q1252" s="344">
        <v>450000000</v>
      </c>
      <c r="R1252" s="52" t="s">
        <v>3373</v>
      </c>
      <c r="S1252" s="344">
        <v>500000000</v>
      </c>
      <c r="T1252" s="52" t="s">
        <v>3373</v>
      </c>
      <c r="U1252" s="344">
        <v>500000000</v>
      </c>
      <c r="V1252" s="52"/>
      <c r="W1252" s="52"/>
      <c r="X1252" s="52"/>
    </row>
    <row r="1253" spans="1:32" s="165" customFormat="1" ht="150">
      <c r="B1253" s="48"/>
      <c r="C1253" s="62"/>
      <c r="D1253" s="63"/>
      <c r="E1253" s="63"/>
      <c r="F1253" s="64"/>
      <c r="G1253" s="58" t="s">
        <v>3927</v>
      </c>
      <c r="H1253" s="52" t="s">
        <v>3374</v>
      </c>
      <c r="I1253" s="52" t="s">
        <v>3375</v>
      </c>
      <c r="J1253" s="52" t="s">
        <v>3376</v>
      </c>
      <c r="K1253" s="345">
        <v>40000000</v>
      </c>
      <c r="L1253" s="52" t="s">
        <v>3376</v>
      </c>
      <c r="M1253" s="344">
        <v>30000000</v>
      </c>
      <c r="N1253" s="52" t="s">
        <v>3376</v>
      </c>
      <c r="O1253" s="344">
        <v>40000000</v>
      </c>
      <c r="P1253" s="52" t="s">
        <v>3376</v>
      </c>
      <c r="Q1253" s="344">
        <v>45000000</v>
      </c>
      <c r="R1253" s="52" t="s">
        <v>3376</v>
      </c>
      <c r="S1253" s="344">
        <v>50000000</v>
      </c>
      <c r="T1253" s="52" t="s">
        <v>3376</v>
      </c>
      <c r="U1253" s="344">
        <v>50000000</v>
      </c>
      <c r="V1253" s="52"/>
      <c r="W1253" s="52"/>
      <c r="X1253" s="52"/>
    </row>
    <row r="1254" spans="1:32" s="280" customFormat="1" ht="30" customHeight="1">
      <c r="A1254" s="285"/>
      <c r="B1254" s="1093" t="s">
        <v>4258</v>
      </c>
      <c r="C1254" s="1094"/>
      <c r="D1254" s="1094"/>
      <c r="E1254" s="1094"/>
      <c r="F1254" s="1094"/>
      <c r="G1254" s="1095"/>
      <c r="H1254" s="342"/>
      <c r="I1254" s="342"/>
      <c r="J1254" s="342"/>
      <c r="K1254" s="342">
        <f>SUM(K1245:K1253)</f>
        <v>694000000</v>
      </c>
      <c r="L1254" s="342"/>
      <c r="M1254" s="342">
        <f t="shared" ref="M1254:W1254" si="134">SUM(M1245:M1253)</f>
        <v>988500000</v>
      </c>
      <c r="N1254" s="342"/>
      <c r="O1254" s="342">
        <f t="shared" si="134"/>
        <v>1174000000</v>
      </c>
      <c r="P1254" s="342"/>
      <c r="Q1254" s="342">
        <f t="shared" si="134"/>
        <v>1330000000</v>
      </c>
      <c r="R1254" s="342"/>
      <c r="S1254" s="342">
        <f t="shared" si="134"/>
        <v>1482500000</v>
      </c>
      <c r="T1254" s="342"/>
      <c r="U1254" s="342">
        <f t="shared" si="134"/>
        <v>1482500000</v>
      </c>
      <c r="V1254" s="342">
        <f t="shared" si="134"/>
        <v>0</v>
      </c>
      <c r="W1254" s="342">
        <f t="shared" si="134"/>
        <v>0</v>
      </c>
      <c r="X1254" s="342"/>
      <c r="Y1254" s="285"/>
      <c r="Z1254" s="285"/>
      <c r="AA1254" s="285"/>
      <c r="AB1254" s="285"/>
      <c r="AC1254" s="285"/>
      <c r="AD1254" s="285"/>
      <c r="AE1254" s="285"/>
      <c r="AF1254" s="285"/>
    </row>
    <row r="1255" spans="1:32" s="391" customFormat="1" ht="30">
      <c r="B1255" s="397" t="s">
        <v>1801</v>
      </c>
      <c r="C1255" s="392"/>
      <c r="D1255" s="393"/>
      <c r="E1255" s="393"/>
      <c r="F1255" s="394"/>
      <c r="G1255" s="394"/>
      <c r="H1255" s="395"/>
      <c r="I1255" s="395"/>
      <c r="J1255" s="395"/>
      <c r="K1255" s="395"/>
      <c r="L1255" s="395"/>
      <c r="M1255" s="395"/>
      <c r="N1255" s="395"/>
      <c r="O1255" s="395"/>
      <c r="P1255" s="395"/>
      <c r="Q1255" s="395"/>
      <c r="R1255" s="395"/>
      <c r="S1255" s="395"/>
      <c r="T1255" s="395"/>
      <c r="U1255" s="395"/>
      <c r="V1255" s="395"/>
      <c r="W1255" s="395"/>
      <c r="X1255" s="395"/>
    </row>
    <row r="1256" spans="1:32">
      <c r="A1256" s="165">
        <v>1</v>
      </c>
      <c r="B1256" s="62" t="str">
        <f>'matrik MISI 1'!B6</f>
        <v>PERTANIAN</v>
      </c>
      <c r="C1256" s="56"/>
      <c r="D1256" s="57"/>
      <c r="E1256" s="57"/>
      <c r="F1256" s="58"/>
      <c r="G1256" s="58"/>
      <c r="H1256" s="259"/>
      <c r="I1256" s="259"/>
      <c r="J1256" s="259"/>
      <c r="K1256" s="259"/>
      <c r="L1256" s="259"/>
      <c r="M1256" s="259"/>
      <c r="N1256" s="259"/>
      <c r="O1256" s="259"/>
      <c r="P1256" s="259"/>
      <c r="Q1256" s="259"/>
      <c r="R1256" s="259"/>
      <c r="S1256" s="259"/>
      <c r="T1256" s="259"/>
      <c r="U1256" s="259"/>
      <c r="V1256" s="259"/>
      <c r="W1256" s="259"/>
      <c r="X1256" s="259"/>
      <c r="Y1256" s="165"/>
      <c r="Z1256" s="165"/>
      <c r="AA1256" s="165"/>
      <c r="AB1256" s="165"/>
      <c r="AC1256" s="165"/>
      <c r="AD1256" s="165"/>
      <c r="AE1256" s="165"/>
      <c r="AF1256" s="165"/>
    </row>
    <row r="1257" spans="1:32" s="165" customFormat="1" ht="90">
      <c r="B1257" s="48"/>
      <c r="C1257" s="62" t="str">
        <f>'matrik MISI 1'!J12</f>
        <v>2.01</v>
      </c>
      <c r="D1257" s="63" t="str">
        <f>'matrik MISI 1'!K12</f>
        <v>xx</v>
      </c>
      <c r="E1257" s="63">
        <f>'matrik MISI 1'!L12</f>
        <v>17</v>
      </c>
      <c r="F1257" s="64" t="str">
        <f>'matrik MISI 1'!M12</f>
        <v>Program Peningkatan Pemasaran hasil produksi pertanian/perkebunan</v>
      </c>
      <c r="G1257" s="58"/>
      <c r="H1257" s="259"/>
      <c r="I1257" s="259"/>
      <c r="J1257" s="259"/>
      <c r="K1257" s="259"/>
      <c r="L1257" s="259"/>
      <c r="M1257" s="259"/>
      <c r="N1257" s="259"/>
      <c r="O1257" s="259"/>
      <c r="P1257" s="259"/>
      <c r="Q1257" s="259"/>
      <c r="R1257" s="259"/>
      <c r="S1257" s="259"/>
      <c r="T1257" s="259"/>
      <c r="U1257" s="259"/>
      <c r="V1257" s="259"/>
      <c r="W1257" s="259"/>
      <c r="X1257" s="259" t="str">
        <f>'matrik MISI 1'!X12</f>
        <v>DINTANBUNHUT</v>
      </c>
    </row>
    <row r="1258" spans="1:32" s="165" customFormat="1" ht="90">
      <c r="B1258" s="48"/>
      <c r="C1258" s="62"/>
      <c r="D1258" s="63"/>
      <c r="E1258" s="63"/>
      <c r="F1258" s="64"/>
      <c r="G1258" s="420" t="s">
        <v>3928</v>
      </c>
      <c r="H1258" s="150" t="s">
        <v>2521</v>
      </c>
      <c r="I1258" s="150" t="s">
        <v>3929</v>
      </c>
      <c r="J1258" s="150" t="s">
        <v>3929</v>
      </c>
      <c r="K1258" s="152">
        <v>40000000</v>
      </c>
      <c r="L1258" s="150" t="s">
        <v>3929</v>
      </c>
      <c r="M1258" s="152">
        <v>40000000</v>
      </c>
      <c r="N1258" s="150" t="s">
        <v>3929</v>
      </c>
      <c r="O1258" s="152">
        <v>45000000</v>
      </c>
      <c r="P1258" s="150" t="s">
        <v>3929</v>
      </c>
      <c r="Q1258" s="152">
        <v>45000000</v>
      </c>
      <c r="R1258" s="150" t="s">
        <v>3929</v>
      </c>
      <c r="S1258" s="152">
        <v>50000000</v>
      </c>
      <c r="T1258" s="150" t="s">
        <v>3929</v>
      </c>
      <c r="U1258" s="152">
        <v>50000000</v>
      </c>
      <c r="V1258" s="259"/>
      <c r="W1258" s="259"/>
      <c r="X1258" s="259"/>
    </row>
    <row r="1259" spans="1:32" s="165" customFormat="1" ht="165">
      <c r="B1259" s="48"/>
      <c r="C1259" s="62"/>
      <c r="D1259" s="63"/>
      <c r="E1259" s="63"/>
      <c r="F1259" s="64"/>
      <c r="G1259" s="420" t="s">
        <v>3930</v>
      </c>
      <c r="H1259" s="150" t="s">
        <v>743</v>
      </c>
      <c r="I1259" s="150" t="s">
        <v>743</v>
      </c>
      <c r="J1259" s="150" t="s">
        <v>3931</v>
      </c>
      <c r="K1259" s="152">
        <v>300000000</v>
      </c>
      <c r="L1259" s="150" t="s">
        <v>3931</v>
      </c>
      <c r="M1259" s="152">
        <v>300000000</v>
      </c>
      <c r="N1259" s="150" t="s">
        <v>3931</v>
      </c>
      <c r="O1259" s="152">
        <f>M1259+(M1259*10%)</f>
        <v>330000000</v>
      </c>
      <c r="P1259" s="150" t="s">
        <v>3931</v>
      </c>
      <c r="Q1259" s="152">
        <f>O1259</f>
        <v>330000000</v>
      </c>
      <c r="R1259" s="150" t="s">
        <v>3931</v>
      </c>
      <c r="S1259" s="152">
        <f>Q1259</f>
        <v>330000000</v>
      </c>
      <c r="T1259" s="150" t="s">
        <v>3931</v>
      </c>
      <c r="U1259" s="152">
        <f>S1259</f>
        <v>330000000</v>
      </c>
      <c r="V1259" s="259"/>
      <c r="W1259" s="259"/>
      <c r="X1259" s="259"/>
    </row>
    <row r="1260" spans="1:32" s="165" customFormat="1" ht="120">
      <c r="B1260" s="48"/>
      <c r="C1260" s="62"/>
      <c r="D1260" s="63"/>
      <c r="E1260" s="63"/>
      <c r="F1260" s="64"/>
      <c r="G1260" s="420" t="s">
        <v>3932</v>
      </c>
      <c r="H1260" s="150" t="s">
        <v>743</v>
      </c>
      <c r="I1260" s="150" t="s">
        <v>743</v>
      </c>
      <c r="J1260" s="152" t="s">
        <v>743</v>
      </c>
      <c r="K1260" s="152">
        <v>0</v>
      </c>
      <c r="L1260" s="150" t="s">
        <v>3933</v>
      </c>
      <c r="M1260" s="152">
        <v>30000000</v>
      </c>
      <c r="N1260" s="150" t="s">
        <v>3933</v>
      </c>
      <c r="O1260" s="152">
        <v>30000000</v>
      </c>
      <c r="P1260" s="150" t="s">
        <v>3933</v>
      </c>
      <c r="Q1260" s="152">
        <v>40000000</v>
      </c>
      <c r="R1260" s="150" t="s">
        <v>3933</v>
      </c>
      <c r="S1260" s="152">
        <v>40000000</v>
      </c>
      <c r="T1260" s="150" t="s">
        <v>3933</v>
      </c>
      <c r="U1260" s="152">
        <v>40000000</v>
      </c>
      <c r="V1260" s="259"/>
      <c r="W1260" s="259"/>
      <c r="X1260" s="259"/>
    </row>
    <row r="1261" spans="1:32" s="165" customFormat="1" ht="105">
      <c r="B1261" s="48"/>
      <c r="C1261" s="62" t="str">
        <f>'matrik MISI 1'!J7</f>
        <v>2.01.</v>
      </c>
      <c r="D1261" s="63" t="str">
        <f>'matrik MISI 1'!K7</f>
        <v>xx</v>
      </c>
      <c r="E1261" s="63">
        <f>'matrik MISI 1'!L7</f>
        <v>18</v>
      </c>
      <c r="F1261" s="64" t="str">
        <f>'matrik MISI 1'!M7</f>
        <v>Program Peningkatan Penerapan Teknologi Pertanian / Peternakan / Perkebunan</v>
      </c>
      <c r="G1261" s="58"/>
      <c r="H1261" s="259"/>
      <c r="I1261" s="259"/>
      <c r="J1261" s="259"/>
      <c r="K1261" s="259"/>
      <c r="L1261" s="259"/>
      <c r="M1261" s="259"/>
      <c r="N1261" s="259"/>
      <c r="O1261" s="259"/>
      <c r="P1261" s="259"/>
      <c r="Q1261" s="259"/>
      <c r="R1261" s="259"/>
      <c r="S1261" s="259"/>
      <c r="T1261" s="259"/>
      <c r="U1261" s="259"/>
      <c r="V1261" s="259"/>
      <c r="W1261" s="259"/>
      <c r="X1261" s="259" t="str">
        <f>'matrik MISI 1'!X7</f>
        <v>DINTANBUNHUT</v>
      </c>
    </row>
    <row r="1262" spans="1:32" s="165" customFormat="1" ht="30">
      <c r="B1262" s="48"/>
      <c r="C1262" s="62"/>
      <c r="D1262" s="63"/>
      <c r="E1262" s="63"/>
      <c r="F1262" s="64"/>
      <c r="G1262" s="421" t="s">
        <v>4117</v>
      </c>
      <c r="H1262" s="346"/>
      <c r="I1262" s="346"/>
      <c r="J1262" s="346"/>
      <c r="K1262" s="347">
        <v>60000000</v>
      </c>
      <c r="L1262" s="346"/>
      <c r="M1262" s="347">
        <v>65000000</v>
      </c>
      <c r="N1262" s="346"/>
      <c r="O1262" s="347">
        <v>70000000</v>
      </c>
      <c r="P1262" s="346"/>
      <c r="Q1262" s="347">
        <v>80000000</v>
      </c>
      <c r="R1262" s="346"/>
      <c r="S1262" s="347">
        <v>85000000</v>
      </c>
      <c r="T1262" s="346"/>
      <c r="U1262" s="347">
        <v>85000000</v>
      </c>
      <c r="V1262" s="259"/>
      <c r="W1262" s="259"/>
      <c r="X1262" s="259"/>
    </row>
    <row r="1263" spans="1:32" s="165" customFormat="1" ht="45">
      <c r="B1263" s="48"/>
      <c r="C1263" s="62"/>
      <c r="D1263" s="63"/>
      <c r="E1263" s="63"/>
      <c r="F1263" s="64"/>
      <c r="G1263" s="68" t="s">
        <v>4120</v>
      </c>
      <c r="H1263" s="348" t="s">
        <v>4121</v>
      </c>
      <c r="I1263" s="348">
        <v>50</v>
      </c>
      <c r="J1263" s="348" t="s">
        <v>4122</v>
      </c>
      <c r="K1263" s="349"/>
      <c r="L1263" s="348" t="s">
        <v>4122</v>
      </c>
      <c r="M1263" s="349"/>
      <c r="N1263" s="348" t="s">
        <v>4123</v>
      </c>
      <c r="O1263" s="349"/>
      <c r="P1263" s="348" t="s">
        <v>4123</v>
      </c>
      <c r="Q1263" s="349"/>
      <c r="R1263" s="348" t="s">
        <v>4124</v>
      </c>
      <c r="S1263" s="349"/>
      <c r="T1263" s="348" t="s">
        <v>4124</v>
      </c>
      <c r="U1263" s="349"/>
      <c r="V1263" s="259"/>
      <c r="W1263" s="259"/>
      <c r="X1263" s="259"/>
    </row>
    <row r="1264" spans="1:32" s="165" customFormat="1" ht="60">
      <c r="B1264" s="48"/>
      <c r="C1264" s="62"/>
      <c r="D1264" s="63"/>
      <c r="E1264" s="63"/>
      <c r="F1264" s="64"/>
      <c r="G1264" s="58" t="s">
        <v>4125</v>
      </c>
      <c r="H1264" s="237">
        <v>0</v>
      </c>
      <c r="I1264" s="237">
        <v>0</v>
      </c>
      <c r="J1264" s="245" t="s">
        <v>4122</v>
      </c>
      <c r="K1264" s="260"/>
      <c r="L1264" s="245" t="s">
        <v>4122</v>
      </c>
      <c r="M1264" s="260"/>
      <c r="N1264" s="245" t="s">
        <v>4123</v>
      </c>
      <c r="O1264" s="260"/>
      <c r="P1264" s="245" t="s">
        <v>4123</v>
      </c>
      <c r="Q1264" s="260"/>
      <c r="R1264" s="245" t="s">
        <v>4124</v>
      </c>
      <c r="S1264" s="260"/>
      <c r="T1264" s="245" t="s">
        <v>4124</v>
      </c>
      <c r="U1264" s="260"/>
      <c r="V1264" s="259"/>
      <c r="W1264" s="259"/>
      <c r="X1264" s="259"/>
    </row>
    <row r="1265" spans="2:24" s="165" customFormat="1" ht="30">
      <c r="B1265" s="48"/>
      <c r="C1265" s="62"/>
      <c r="D1265" s="63"/>
      <c r="E1265" s="63"/>
      <c r="F1265" s="64"/>
      <c r="G1265" s="58" t="s">
        <v>4126</v>
      </c>
      <c r="H1265" s="237">
        <v>0</v>
      </c>
      <c r="I1265" s="237">
        <v>0</v>
      </c>
      <c r="J1265" s="245" t="s">
        <v>4127</v>
      </c>
      <c r="K1265" s="260"/>
      <c r="L1265" s="245" t="s">
        <v>4128</v>
      </c>
      <c r="M1265" s="260"/>
      <c r="N1265" s="245" t="s">
        <v>4128</v>
      </c>
      <c r="O1265" s="260"/>
      <c r="P1265" s="245" t="s">
        <v>4128</v>
      </c>
      <c r="Q1265" s="260"/>
      <c r="R1265" s="245" t="s">
        <v>4128</v>
      </c>
      <c r="S1265" s="260"/>
      <c r="T1265" s="245" t="s">
        <v>4128</v>
      </c>
      <c r="U1265" s="260"/>
      <c r="V1265" s="259"/>
      <c r="W1265" s="259"/>
      <c r="X1265" s="259"/>
    </row>
    <row r="1266" spans="2:24" s="165" customFormat="1" ht="45">
      <c r="B1266" s="48"/>
      <c r="C1266" s="62"/>
      <c r="D1266" s="63"/>
      <c r="E1266" s="63"/>
      <c r="F1266" s="64"/>
      <c r="G1266" s="422" t="s">
        <v>4118</v>
      </c>
      <c r="H1266" s="52"/>
      <c r="I1266" s="52"/>
      <c r="J1266" s="350"/>
      <c r="K1266" s="351">
        <v>100000</v>
      </c>
      <c r="L1266" s="52"/>
      <c r="M1266" s="260">
        <v>110000000</v>
      </c>
      <c r="N1266" s="52"/>
      <c r="O1266" s="260">
        <v>120000000</v>
      </c>
      <c r="P1266" s="52"/>
      <c r="Q1266" s="260">
        <v>130000000</v>
      </c>
      <c r="R1266" s="52"/>
      <c r="S1266" s="260">
        <v>140000000</v>
      </c>
      <c r="T1266" s="52"/>
      <c r="U1266" s="260">
        <v>140000000</v>
      </c>
      <c r="V1266" s="259"/>
      <c r="W1266" s="259"/>
      <c r="X1266" s="259"/>
    </row>
    <row r="1267" spans="2:24" s="165" customFormat="1" ht="45">
      <c r="B1267" s="48"/>
      <c r="C1267" s="62"/>
      <c r="D1267" s="63"/>
      <c r="E1267" s="63"/>
      <c r="F1267" s="64"/>
      <c r="G1267" s="422" t="s">
        <v>4129</v>
      </c>
      <c r="H1267" s="237">
        <v>0</v>
      </c>
      <c r="I1267" s="237">
        <v>0</v>
      </c>
      <c r="J1267" s="313">
        <v>0</v>
      </c>
      <c r="K1267" s="313">
        <v>0</v>
      </c>
      <c r="L1267" s="237">
        <v>0</v>
      </c>
      <c r="M1267" s="260" t="s">
        <v>4130</v>
      </c>
      <c r="N1267" s="52"/>
      <c r="O1267" s="260"/>
      <c r="P1267" s="52" t="s">
        <v>4130</v>
      </c>
      <c r="Q1267" s="260"/>
      <c r="R1267" s="52" t="s">
        <v>4130</v>
      </c>
      <c r="S1267" s="260"/>
      <c r="T1267" s="52" t="s">
        <v>4130</v>
      </c>
      <c r="U1267" s="260"/>
      <c r="V1267" s="259"/>
      <c r="W1267" s="259"/>
      <c r="X1267" s="259"/>
    </row>
    <row r="1268" spans="2:24" s="165" customFormat="1" ht="45">
      <c r="B1268" s="48"/>
      <c r="C1268" s="62"/>
      <c r="D1268" s="63"/>
      <c r="E1268" s="63"/>
      <c r="F1268" s="64"/>
      <c r="G1268" s="422" t="s">
        <v>4131</v>
      </c>
      <c r="H1268" s="237">
        <v>0</v>
      </c>
      <c r="I1268" s="237">
        <v>0</v>
      </c>
      <c r="J1268" s="313">
        <v>0</v>
      </c>
      <c r="K1268" s="313">
        <v>0</v>
      </c>
      <c r="L1268" s="237">
        <v>0</v>
      </c>
      <c r="M1268" s="52" t="s">
        <v>2515</v>
      </c>
      <c r="N1268" s="52"/>
      <c r="O1268" s="52"/>
      <c r="P1268" s="52" t="s">
        <v>2515</v>
      </c>
      <c r="Q1268" s="52"/>
      <c r="R1268" s="52" t="s">
        <v>2515</v>
      </c>
      <c r="S1268" s="52"/>
      <c r="T1268" s="52" t="s">
        <v>2515</v>
      </c>
      <c r="U1268" s="52"/>
      <c r="V1268" s="259"/>
      <c r="W1268" s="259"/>
      <c r="X1268" s="259"/>
    </row>
    <row r="1269" spans="2:24" s="165" customFormat="1" ht="45">
      <c r="B1269" s="48"/>
      <c r="C1269" s="62"/>
      <c r="D1269" s="63"/>
      <c r="E1269" s="63"/>
      <c r="F1269" s="64"/>
      <c r="G1269" s="422" t="s">
        <v>4132</v>
      </c>
      <c r="H1269" s="237">
        <v>0</v>
      </c>
      <c r="I1269" s="237">
        <v>0</v>
      </c>
      <c r="J1269" s="313">
        <v>0</v>
      </c>
      <c r="K1269" s="313">
        <v>0</v>
      </c>
      <c r="L1269" s="237">
        <v>0</v>
      </c>
      <c r="M1269" s="52" t="s">
        <v>2652</v>
      </c>
      <c r="N1269" s="52"/>
      <c r="O1269" s="52"/>
      <c r="P1269" s="52" t="s">
        <v>2652</v>
      </c>
      <c r="Q1269" s="52"/>
      <c r="R1269" s="52" t="s">
        <v>2652</v>
      </c>
      <c r="S1269" s="52"/>
      <c r="T1269" s="52" t="s">
        <v>2652</v>
      </c>
      <c r="U1269" s="52"/>
      <c r="V1269" s="259"/>
      <c r="W1269" s="259"/>
      <c r="X1269" s="259"/>
    </row>
    <row r="1270" spans="2:24" s="165" customFormat="1" ht="60">
      <c r="B1270" s="48"/>
      <c r="C1270" s="62"/>
      <c r="D1270" s="63"/>
      <c r="E1270" s="63"/>
      <c r="F1270" s="64"/>
      <c r="G1270" s="422" t="s">
        <v>4119</v>
      </c>
      <c r="H1270" s="52"/>
      <c r="I1270" s="52"/>
      <c r="J1270" s="245"/>
      <c r="K1270" s="260">
        <v>3000000000</v>
      </c>
      <c r="L1270" s="245"/>
      <c r="M1270" s="260">
        <v>1000000000</v>
      </c>
      <c r="N1270" s="245"/>
      <c r="O1270" s="260">
        <v>1000000000</v>
      </c>
      <c r="P1270" s="245"/>
      <c r="Q1270" s="260">
        <v>1000000000</v>
      </c>
      <c r="R1270" s="245"/>
      <c r="S1270" s="260">
        <v>1000000000</v>
      </c>
      <c r="T1270" s="245"/>
      <c r="U1270" s="260">
        <v>1000000000</v>
      </c>
      <c r="V1270" s="259"/>
      <c r="W1270" s="259"/>
      <c r="X1270" s="259"/>
    </row>
    <row r="1271" spans="2:24" s="165" customFormat="1" ht="105">
      <c r="B1271" s="48"/>
      <c r="C1271" s="62"/>
      <c r="D1271" s="63"/>
      <c r="E1271" s="63"/>
      <c r="F1271" s="64"/>
      <c r="G1271" s="422" t="s">
        <v>4133</v>
      </c>
      <c r="H1271" s="52" t="s">
        <v>4134</v>
      </c>
      <c r="I1271" s="52" t="s">
        <v>4135</v>
      </c>
      <c r="J1271" s="245" t="s">
        <v>4136</v>
      </c>
      <c r="K1271" s="260"/>
      <c r="L1271" s="260" t="s">
        <v>4137</v>
      </c>
      <c r="M1271" s="260"/>
      <c r="N1271" s="260" t="s">
        <v>4137</v>
      </c>
      <c r="O1271" s="260"/>
      <c r="P1271" s="260" t="s">
        <v>4137</v>
      </c>
      <c r="Q1271" s="260"/>
      <c r="R1271" s="260" t="s">
        <v>4137</v>
      </c>
      <c r="S1271" s="260"/>
      <c r="T1271" s="260" t="s">
        <v>4137</v>
      </c>
      <c r="U1271" s="260"/>
      <c r="V1271" s="259"/>
      <c r="W1271" s="259"/>
      <c r="X1271" s="259"/>
    </row>
    <row r="1272" spans="2:24" s="165" customFormat="1" ht="60">
      <c r="B1272" s="48"/>
      <c r="C1272" s="62"/>
      <c r="D1272" s="63"/>
      <c r="E1272" s="63"/>
      <c r="F1272" s="64"/>
      <c r="G1272" s="422" t="s">
        <v>4138</v>
      </c>
      <c r="H1272" s="52" t="s">
        <v>4139</v>
      </c>
      <c r="I1272" s="52" t="s">
        <v>4140</v>
      </c>
      <c r="J1272" s="52" t="s">
        <v>4141</v>
      </c>
      <c r="K1272" s="260"/>
      <c r="L1272" s="52" t="s">
        <v>4142</v>
      </c>
      <c r="M1272" s="52"/>
      <c r="N1272" s="52" t="s">
        <v>4142</v>
      </c>
      <c r="O1272" s="52"/>
      <c r="P1272" s="52" t="s">
        <v>4142</v>
      </c>
      <c r="Q1272" s="52"/>
      <c r="R1272" s="52" t="s">
        <v>4142</v>
      </c>
      <c r="S1272" s="52"/>
      <c r="T1272" s="52" t="s">
        <v>4142</v>
      </c>
      <c r="U1272" s="52"/>
      <c r="V1272" s="259"/>
      <c r="W1272" s="259"/>
      <c r="X1272" s="259"/>
    </row>
    <row r="1273" spans="2:24" s="165" customFormat="1" ht="75">
      <c r="B1273" s="48"/>
      <c r="C1273" s="62"/>
      <c r="D1273" s="63"/>
      <c r="E1273" s="63"/>
      <c r="F1273" s="64"/>
      <c r="G1273" s="422" t="s">
        <v>4143</v>
      </c>
      <c r="H1273" s="52" t="s">
        <v>4144</v>
      </c>
      <c r="I1273" s="52"/>
      <c r="J1273" s="245" t="s">
        <v>4145</v>
      </c>
      <c r="K1273" s="260"/>
      <c r="L1273" s="245" t="s">
        <v>4146</v>
      </c>
      <c r="M1273" s="260"/>
      <c r="N1273" s="245" t="s">
        <v>4146</v>
      </c>
      <c r="O1273" s="260"/>
      <c r="P1273" s="245" t="s">
        <v>4146</v>
      </c>
      <c r="Q1273" s="260"/>
      <c r="R1273" s="245" t="s">
        <v>4146</v>
      </c>
      <c r="S1273" s="260"/>
      <c r="T1273" s="245" t="s">
        <v>4146</v>
      </c>
      <c r="U1273" s="260"/>
      <c r="V1273" s="259"/>
      <c r="W1273" s="259"/>
      <c r="X1273" s="259"/>
    </row>
    <row r="1274" spans="2:24" s="165" customFormat="1" ht="60">
      <c r="B1274" s="48"/>
      <c r="C1274" s="62"/>
      <c r="D1274" s="63"/>
      <c r="E1274" s="63"/>
      <c r="F1274" s="64"/>
      <c r="G1274" s="422" t="s">
        <v>4147</v>
      </c>
      <c r="H1274" s="52"/>
      <c r="I1274" s="52" t="s">
        <v>4148</v>
      </c>
      <c r="J1274" s="245" t="s">
        <v>4149</v>
      </c>
      <c r="K1274" s="260"/>
      <c r="L1274" s="245" t="s">
        <v>4149</v>
      </c>
      <c r="M1274" s="260"/>
      <c r="N1274" s="245" t="s">
        <v>4149</v>
      </c>
      <c r="O1274" s="260"/>
      <c r="P1274" s="245" t="s">
        <v>4149</v>
      </c>
      <c r="Q1274" s="260"/>
      <c r="R1274" s="245" t="s">
        <v>4149</v>
      </c>
      <c r="S1274" s="260"/>
      <c r="T1274" s="245" t="s">
        <v>4149</v>
      </c>
      <c r="U1274" s="260"/>
      <c r="V1274" s="259"/>
      <c r="W1274" s="259"/>
      <c r="X1274" s="259"/>
    </row>
    <row r="1275" spans="2:24" s="165" customFormat="1" ht="60">
      <c r="B1275" s="48"/>
      <c r="C1275" s="62"/>
      <c r="D1275" s="63"/>
      <c r="E1275" s="63"/>
      <c r="F1275" s="64"/>
      <c r="G1275" s="422" t="s">
        <v>4150</v>
      </c>
      <c r="H1275" s="52"/>
      <c r="I1275" s="52"/>
      <c r="J1275" s="352"/>
      <c r="K1275" s="351">
        <v>20000</v>
      </c>
      <c r="L1275" s="352"/>
      <c r="M1275" s="260">
        <v>25000000</v>
      </c>
      <c r="N1275" s="245"/>
      <c r="O1275" s="260">
        <v>30000000</v>
      </c>
      <c r="P1275" s="245"/>
      <c r="Q1275" s="260">
        <v>35000000</v>
      </c>
      <c r="R1275" s="245"/>
      <c r="S1275" s="260">
        <v>40000000</v>
      </c>
      <c r="T1275" s="245"/>
      <c r="U1275" s="260">
        <v>40000000</v>
      </c>
      <c r="V1275" s="259"/>
      <c r="W1275" s="259"/>
      <c r="X1275" s="259"/>
    </row>
    <row r="1276" spans="2:24" s="165" customFormat="1" ht="60">
      <c r="B1276" s="48"/>
      <c r="C1276" s="62"/>
      <c r="D1276" s="63"/>
      <c r="E1276" s="63"/>
      <c r="F1276" s="64"/>
      <c r="G1276" s="422" t="s">
        <v>4151</v>
      </c>
      <c r="H1276" s="237">
        <v>0</v>
      </c>
      <c r="I1276" s="237">
        <v>0</v>
      </c>
      <c r="J1276" s="237">
        <v>0</v>
      </c>
      <c r="K1276" s="237">
        <v>0</v>
      </c>
      <c r="L1276" s="237">
        <v>0</v>
      </c>
      <c r="M1276" s="260"/>
      <c r="N1276" s="245" t="s">
        <v>4152</v>
      </c>
      <c r="O1276" s="260"/>
      <c r="P1276" s="245" t="s">
        <v>4152</v>
      </c>
      <c r="Q1276" s="260"/>
      <c r="R1276" s="245" t="s">
        <v>4152</v>
      </c>
      <c r="S1276" s="260"/>
      <c r="T1276" s="245" t="s">
        <v>4152</v>
      </c>
      <c r="U1276" s="260"/>
      <c r="V1276" s="259"/>
      <c r="W1276" s="259"/>
      <c r="X1276" s="259"/>
    </row>
    <row r="1277" spans="2:24" s="165" customFormat="1" ht="75">
      <c r="B1277" s="48"/>
      <c r="C1277" s="62"/>
      <c r="D1277" s="63"/>
      <c r="E1277" s="63"/>
      <c r="F1277" s="64"/>
      <c r="G1277" s="422" t="s">
        <v>4153</v>
      </c>
      <c r="H1277" s="237">
        <v>0</v>
      </c>
      <c r="I1277" s="237">
        <v>0</v>
      </c>
      <c r="J1277" s="237">
        <v>0</v>
      </c>
      <c r="K1277" s="237">
        <v>0</v>
      </c>
      <c r="L1277" s="237">
        <v>0</v>
      </c>
      <c r="M1277" s="260"/>
      <c r="N1277" s="245" t="s">
        <v>4154</v>
      </c>
      <c r="O1277" s="260"/>
      <c r="P1277" s="245" t="s">
        <v>4154</v>
      </c>
      <c r="Q1277" s="260"/>
      <c r="R1277" s="245" t="s">
        <v>4154</v>
      </c>
      <c r="S1277" s="260"/>
      <c r="T1277" s="245" t="s">
        <v>4154</v>
      </c>
      <c r="U1277" s="260"/>
      <c r="V1277" s="259"/>
      <c r="W1277" s="259"/>
      <c r="X1277" s="259"/>
    </row>
    <row r="1278" spans="2:24" s="165" customFormat="1" ht="75">
      <c r="B1278" s="48"/>
      <c r="C1278" s="62"/>
      <c r="D1278" s="63"/>
      <c r="E1278" s="63"/>
      <c r="F1278" s="64"/>
      <c r="G1278" s="58" t="s">
        <v>4155</v>
      </c>
      <c r="H1278" s="237">
        <v>0</v>
      </c>
      <c r="I1278" s="237">
        <v>0</v>
      </c>
      <c r="J1278" s="237">
        <v>0</v>
      </c>
      <c r="K1278" s="237">
        <v>0</v>
      </c>
      <c r="L1278" s="237">
        <v>0</v>
      </c>
      <c r="M1278" s="260"/>
      <c r="N1278" s="245" t="s">
        <v>4156</v>
      </c>
      <c r="O1278" s="260"/>
      <c r="P1278" s="245" t="s">
        <v>4156</v>
      </c>
      <c r="Q1278" s="260"/>
      <c r="R1278" s="245" t="s">
        <v>4156</v>
      </c>
      <c r="S1278" s="260"/>
      <c r="T1278" s="245" t="s">
        <v>4156</v>
      </c>
      <c r="U1278" s="260"/>
      <c r="V1278" s="259"/>
      <c r="W1278" s="259"/>
      <c r="X1278" s="259"/>
    </row>
    <row r="1279" spans="2:24" s="165" customFormat="1" ht="60">
      <c r="B1279" s="48"/>
      <c r="C1279" s="62"/>
      <c r="D1279" s="63"/>
      <c r="E1279" s="63"/>
      <c r="F1279" s="64"/>
      <c r="G1279" s="422" t="s">
        <v>4157</v>
      </c>
      <c r="H1279" s="237"/>
      <c r="I1279" s="237"/>
      <c r="J1279" s="237"/>
      <c r="K1279" s="237"/>
      <c r="L1279" s="237"/>
      <c r="M1279" s="260">
        <v>200000000</v>
      </c>
      <c r="N1279" s="245"/>
      <c r="O1279" s="260">
        <v>200000000</v>
      </c>
      <c r="P1279" s="245"/>
      <c r="Q1279" s="260">
        <v>200000000</v>
      </c>
      <c r="R1279" s="245"/>
      <c r="S1279" s="260">
        <v>200000000</v>
      </c>
      <c r="T1279" s="245"/>
      <c r="U1279" s="260">
        <v>200000000</v>
      </c>
      <c r="V1279" s="259"/>
      <c r="W1279" s="259"/>
      <c r="X1279" s="259"/>
    </row>
    <row r="1280" spans="2:24" s="165" customFormat="1" ht="45">
      <c r="B1280" s="48"/>
      <c r="C1280" s="62"/>
      <c r="D1280" s="63"/>
      <c r="E1280" s="63"/>
      <c r="F1280" s="64"/>
      <c r="G1280" s="422" t="s">
        <v>4158</v>
      </c>
      <c r="H1280" s="237">
        <v>0</v>
      </c>
      <c r="I1280" s="237">
        <v>0</v>
      </c>
      <c r="J1280" s="237">
        <v>0</v>
      </c>
      <c r="K1280" s="237">
        <v>0</v>
      </c>
      <c r="L1280" s="237">
        <v>0</v>
      </c>
      <c r="M1280" s="260"/>
      <c r="N1280" s="245" t="s">
        <v>4159</v>
      </c>
      <c r="O1280" s="260"/>
      <c r="P1280" s="245" t="s">
        <v>4159</v>
      </c>
      <c r="Q1280" s="260"/>
      <c r="R1280" s="245" t="s">
        <v>4159</v>
      </c>
      <c r="S1280" s="260"/>
      <c r="T1280" s="245" t="s">
        <v>4159</v>
      </c>
      <c r="U1280" s="260"/>
      <c r="V1280" s="259"/>
      <c r="W1280" s="259"/>
      <c r="X1280" s="259"/>
    </row>
    <row r="1281" spans="2:24" s="165" customFormat="1" ht="90">
      <c r="B1281" s="48"/>
      <c r="C1281" s="62"/>
      <c r="D1281" s="63"/>
      <c r="E1281" s="63"/>
      <c r="F1281" s="64"/>
      <c r="G1281" s="422" t="s">
        <v>4160</v>
      </c>
      <c r="H1281" s="237">
        <v>0</v>
      </c>
      <c r="I1281" s="237">
        <v>0</v>
      </c>
      <c r="J1281" s="237">
        <v>0</v>
      </c>
      <c r="K1281" s="237">
        <v>0</v>
      </c>
      <c r="L1281" s="237">
        <v>0</v>
      </c>
      <c r="M1281" s="260"/>
      <c r="N1281" s="245" t="s">
        <v>3773</v>
      </c>
      <c r="O1281" s="260"/>
      <c r="P1281" s="245" t="s">
        <v>3773</v>
      </c>
      <c r="Q1281" s="260"/>
      <c r="R1281" s="245" t="s">
        <v>3773</v>
      </c>
      <c r="S1281" s="260"/>
      <c r="T1281" s="245" t="s">
        <v>3773</v>
      </c>
      <c r="U1281" s="260"/>
      <c r="V1281" s="259"/>
      <c r="W1281" s="259"/>
      <c r="X1281" s="259"/>
    </row>
    <row r="1282" spans="2:24" s="165" customFormat="1" ht="45">
      <c r="B1282" s="48"/>
      <c r="C1282" s="62"/>
      <c r="D1282" s="63"/>
      <c r="E1282" s="63"/>
      <c r="F1282" s="64"/>
      <c r="G1282" s="58" t="s">
        <v>4161</v>
      </c>
      <c r="H1282" s="237">
        <v>0</v>
      </c>
      <c r="I1282" s="237">
        <v>0</v>
      </c>
      <c r="J1282" s="237">
        <v>0</v>
      </c>
      <c r="K1282" s="237">
        <v>0</v>
      </c>
      <c r="L1282" s="237">
        <v>0</v>
      </c>
      <c r="M1282" s="260"/>
      <c r="N1282" s="245" t="s">
        <v>4162</v>
      </c>
      <c r="O1282" s="260"/>
      <c r="P1282" s="245" t="s">
        <v>4162</v>
      </c>
      <c r="Q1282" s="260"/>
      <c r="R1282" s="245" t="s">
        <v>4162</v>
      </c>
      <c r="S1282" s="260"/>
      <c r="T1282" s="245" t="s">
        <v>4162</v>
      </c>
      <c r="U1282" s="260"/>
      <c r="V1282" s="259"/>
      <c r="W1282" s="259"/>
      <c r="X1282" s="259"/>
    </row>
    <row r="1283" spans="2:24" s="165" customFormat="1" ht="75">
      <c r="B1283" s="48"/>
      <c r="C1283" s="62" t="str">
        <f>'matrik MISI 1'!J13</f>
        <v>2.01</v>
      </c>
      <c r="D1283" s="63" t="str">
        <f>'matrik MISI 1'!K13</f>
        <v>xx</v>
      </c>
      <c r="E1283" s="63">
        <f>'matrik MISI 1'!L13</f>
        <v>19</v>
      </c>
      <c r="F1283" s="64" t="str">
        <f>'matrik MISI 1'!M13</f>
        <v>Program peningkatan produksi pertanian/perkebunan</v>
      </c>
      <c r="G1283" s="58"/>
      <c r="H1283" s="259"/>
      <c r="I1283" s="259"/>
      <c r="J1283" s="259"/>
      <c r="K1283" s="259"/>
      <c r="L1283" s="259"/>
      <c r="M1283" s="259"/>
      <c r="N1283" s="259"/>
      <c r="O1283" s="259"/>
      <c r="P1283" s="259"/>
      <c r="Q1283" s="259"/>
      <c r="R1283" s="259"/>
      <c r="S1283" s="259"/>
      <c r="T1283" s="259"/>
      <c r="U1283" s="259"/>
      <c r="V1283" s="259"/>
      <c r="W1283" s="259"/>
      <c r="X1283" s="259" t="str">
        <f>'matrik MISI 1'!X13</f>
        <v>DINTANBUNHUT</v>
      </c>
    </row>
    <row r="1284" spans="2:24" s="165" customFormat="1" ht="390">
      <c r="B1284" s="48"/>
      <c r="C1284" s="62"/>
      <c r="D1284" s="63"/>
      <c r="E1284" s="63"/>
      <c r="F1284" s="64"/>
      <c r="G1284" s="420" t="s">
        <v>3594</v>
      </c>
      <c r="H1284" s="150" t="s">
        <v>3595</v>
      </c>
      <c r="I1284" s="150" t="s">
        <v>3596</v>
      </c>
      <c r="J1284" s="150" t="s">
        <v>3597</v>
      </c>
      <c r="K1284" s="152">
        <v>5304230000</v>
      </c>
      <c r="L1284" s="150" t="s">
        <v>3598</v>
      </c>
      <c r="M1284" s="152">
        <v>5304230000</v>
      </c>
      <c r="N1284" s="150" t="s">
        <v>3598</v>
      </c>
      <c r="O1284" s="152">
        <v>5304230000</v>
      </c>
      <c r="P1284" s="150" t="s">
        <v>3598</v>
      </c>
      <c r="Q1284" s="152">
        <v>5304230000</v>
      </c>
      <c r="R1284" s="150" t="s">
        <v>3598</v>
      </c>
      <c r="S1284" s="152">
        <v>5304230000</v>
      </c>
      <c r="T1284" s="150" t="s">
        <v>3598</v>
      </c>
      <c r="U1284" s="152">
        <v>5304230000</v>
      </c>
      <c r="V1284" s="259"/>
      <c r="W1284" s="259"/>
      <c r="X1284" s="259"/>
    </row>
    <row r="1285" spans="2:24" s="165" customFormat="1" ht="390">
      <c r="B1285" s="48"/>
      <c r="C1285" s="62"/>
      <c r="D1285" s="63"/>
      <c r="E1285" s="63"/>
      <c r="F1285" s="64"/>
      <c r="G1285" s="420" t="s">
        <v>3599</v>
      </c>
      <c r="H1285" s="150"/>
      <c r="I1285" s="150" t="s">
        <v>3600</v>
      </c>
      <c r="J1285" s="150" t="s">
        <v>3601</v>
      </c>
      <c r="K1285" s="152">
        <v>615000000</v>
      </c>
      <c r="L1285" s="150" t="s">
        <v>3598</v>
      </c>
      <c r="M1285" s="152">
        <v>650000000</v>
      </c>
      <c r="N1285" s="150" t="s">
        <v>3602</v>
      </c>
      <c r="O1285" s="152">
        <v>675000000</v>
      </c>
      <c r="P1285" s="150" t="s">
        <v>3602</v>
      </c>
      <c r="Q1285" s="152">
        <v>700000000</v>
      </c>
      <c r="R1285" s="150" t="s">
        <v>3602</v>
      </c>
      <c r="S1285" s="152">
        <v>725000000</v>
      </c>
      <c r="T1285" s="150" t="s">
        <v>3602</v>
      </c>
      <c r="U1285" s="152">
        <v>725000000</v>
      </c>
      <c r="V1285" s="259"/>
      <c r="W1285" s="259"/>
      <c r="X1285" s="259"/>
    </row>
    <row r="1286" spans="2:24" s="165" customFormat="1" ht="330">
      <c r="B1286" s="48"/>
      <c r="C1286" s="62"/>
      <c r="D1286" s="63"/>
      <c r="E1286" s="63"/>
      <c r="F1286" s="64"/>
      <c r="G1286" s="420" t="s">
        <v>3603</v>
      </c>
      <c r="H1286" s="150" t="s">
        <v>3604</v>
      </c>
      <c r="I1286" s="165" t="s">
        <v>3605</v>
      </c>
      <c r="J1286" s="165" t="s">
        <v>3606</v>
      </c>
      <c r="K1286" s="152">
        <v>300000000</v>
      </c>
      <c r="L1286" s="165" t="s">
        <v>3606</v>
      </c>
      <c r="M1286" s="152">
        <f>K1286</f>
        <v>300000000</v>
      </c>
      <c r="N1286" s="165" t="s">
        <v>3607</v>
      </c>
      <c r="O1286" s="152">
        <v>350000000</v>
      </c>
      <c r="P1286" s="165" t="s">
        <v>3607</v>
      </c>
      <c r="Q1286" s="152">
        <v>350000000</v>
      </c>
      <c r="R1286" s="165" t="s">
        <v>3607</v>
      </c>
      <c r="S1286" s="152">
        <f>Q1286</f>
        <v>350000000</v>
      </c>
      <c r="T1286" s="165" t="s">
        <v>3607</v>
      </c>
      <c r="U1286" s="152">
        <f>S1286</f>
        <v>350000000</v>
      </c>
      <c r="V1286" s="259"/>
      <c r="W1286" s="259"/>
      <c r="X1286" s="259"/>
    </row>
    <row r="1287" spans="2:24" s="165" customFormat="1" ht="210">
      <c r="B1287" s="48"/>
      <c r="C1287" s="62"/>
      <c r="D1287" s="63"/>
      <c r="E1287" s="63"/>
      <c r="F1287" s="64"/>
      <c r="G1287" s="420" t="s">
        <v>3608</v>
      </c>
      <c r="H1287" s="150" t="s">
        <v>743</v>
      </c>
      <c r="I1287" s="150" t="s">
        <v>743</v>
      </c>
      <c r="J1287" s="152" t="s">
        <v>743</v>
      </c>
      <c r="K1287" s="152">
        <v>0</v>
      </c>
      <c r="L1287" s="152" t="s">
        <v>3609</v>
      </c>
      <c r="M1287" s="152">
        <v>250000000</v>
      </c>
      <c r="N1287" s="152" t="s">
        <v>3610</v>
      </c>
      <c r="O1287" s="152">
        <v>250000000</v>
      </c>
      <c r="P1287" s="152" t="s">
        <v>3609</v>
      </c>
      <c r="Q1287" s="152">
        <v>250000000</v>
      </c>
      <c r="R1287" s="152" t="s">
        <v>3609</v>
      </c>
      <c r="S1287" s="152">
        <v>250000000</v>
      </c>
      <c r="T1287" s="152" t="s">
        <v>3609</v>
      </c>
      <c r="U1287" s="152">
        <v>250000000</v>
      </c>
      <c r="V1287" s="259"/>
      <c r="W1287" s="259"/>
      <c r="X1287" s="259"/>
    </row>
    <row r="1288" spans="2:24" s="165" customFormat="1" ht="75">
      <c r="B1288" s="48"/>
      <c r="C1288" s="62"/>
      <c r="D1288" s="63"/>
      <c r="E1288" s="63"/>
      <c r="F1288" s="64"/>
      <c r="G1288" s="420" t="s">
        <v>3611</v>
      </c>
      <c r="H1288" s="150"/>
      <c r="I1288" s="150" t="s">
        <v>3612</v>
      </c>
      <c r="J1288" s="150" t="s">
        <v>3613</v>
      </c>
      <c r="K1288" s="152">
        <v>1000000000</v>
      </c>
      <c r="L1288" s="150" t="s">
        <v>3614</v>
      </c>
      <c r="M1288" s="152">
        <f>K1288</f>
        <v>1000000000</v>
      </c>
      <c r="N1288" s="150" t="s">
        <v>3615</v>
      </c>
      <c r="O1288" s="152">
        <f>K1288</f>
        <v>1000000000</v>
      </c>
      <c r="P1288" s="150" t="s">
        <v>3615</v>
      </c>
      <c r="Q1288" s="152">
        <f>O1288</f>
        <v>1000000000</v>
      </c>
      <c r="R1288" s="150" t="s">
        <v>3615</v>
      </c>
      <c r="S1288" s="152">
        <f>Q1288</f>
        <v>1000000000</v>
      </c>
      <c r="T1288" s="150" t="s">
        <v>3615</v>
      </c>
      <c r="U1288" s="152">
        <f>S1288</f>
        <v>1000000000</v>
      </c>
      <c r="V1288" s="259"/>
      <c r="W1288" s="259"/>
      <c r="X1288" s="259"/>
    </row>
    <row r="1289" spans="2:24" s="165" customFormat="1" ht="255">
      <c r="B1289" s="48"/>
      <c r="C1289" s="62"/>
      <c r="D1289" s="63"/>
      <c r="E1289" s="63"/>
      <c r="F1289" s="64"/>
      <c r="G1289" s="420" t="s">
        <v>3616</v>
      </c>
      <c r="H1289" s="150" t="s">
        <v>3617</v>
      </c>
      <c r="I1289" s="150" t="s">
        <v>3618</v>
      </c>
      <c r="J1289" s="150" t="s">
        <v>3619</v>
      </c>
      <c r="K1289" s="152">
        <v>80000000</v>
      </c>
      <c r="L1289" s="150" t="s">
        <v>3619</v>
      </c>
      <c r="M1289" s="152">
        <v>90000000</v>
      </c>
      <c r="N1289" s="150" t="s">
        <v>3619</v>
      </c>
      <c r="O1289" s="152">
        <v>90000000</v>
      </c>
      <c r="P1289" s="150" t="s">
        <v>3619</v>
      </c>
      <c r="Q1289" s="152">
        <v>100000000</v>
      </c>
      <c r="R1289" s="150" t="s">
        <v>3619</v>
      </c>
      <c r="S1289" s="152">
        <v>100000000</v>
      </c>
      <c r="T1289" s="150" t="s">
        <v>3619</v>
      </c>
      <c r="U1289" s="152">
        <v>100000000</v>
      </c>
      <c r="V1289" s="259"/>
      <c r="W1289" s="259"/>
      <c r="X1289" s="259"/>
    </row>
    <row r="1290" spans="2:24" s="165" customFormat="1" ht="120">
      <c r="B1290" s="48"/>
      <c r="C1290" s="62"/>
      <c r="D1290" s="63"/>
      <c r="E1290" s="63"/>
      <c r="F1290" s="64"/>
      <c r="G1290" s="420" t="s">
        <v>3620</v>
      </c>
      <c r="H1290" s="150" t="s">
        <v>743</v>
      </c>
      <c r="I1290" s="150" t="s">
        <v>3621</v>
      </c>
      <c r="J1290" s="150" t="s">
        <v>3622</v>
      </c>
      <c r="K1290" s="152">
        <v>20000000</v>
      </c>
      <c r="L1290" s="150" t="s">
        <v>3622</v>
      </c>
      <c r="M1290" s="152">
        <v>20000000</v>
      </c>
      <c r="N1290" s="150" t="s">
        <v>3622</v>
      </c>
      <c r="O1290" s="152">
        <v>20000000</v>
      </c>
      <c r="P1290" s="150" t="s">
        <v>3622</v>
      </c>
      <c r="Q1290" s="152">
        <v>20000000</v>
      </c>
      <c r="R1290" s="150" t="s">
        <v>3622</v>
      </c>
      <c r="S1290" s="152">
        <v>20000000</v>
      </c>
      <c r="T1290" s="150" t="s">
        <v>3622</v>
      </c>
      <c r="U1290" s="152">
        <v>20000000</v>
      </c>
      <c r="V1290" s="259"/>
      <c r="W1290" s="259"/>
      <c r="X1290" s="259"/>
    </row>
    <row r="1291" spans="2:24" s="165" customFormat="1" ht="240">
      <c r="B1291" s="48"/>
      <c r="C1291" s="62"/>
      <c r="D1291" s="63"/>
      <c r="E1291" s="63"/>
      <c r="F1291" s="64"/>
      <c r="G1291" s="420" t="s">
        <v>3623</v>
      </c>
      <c r="H1291" s="150" t="s">
        <v>3624</v>
      </c>
      <c r="I1291" s="178" t="s">
        <v>3625</v>
      </c>
      <c r="J1291" s="178" t="s">
        <v>3626</v>
      </c>
      <c r="K1291" s="152">
        <v>1150000000</v>
      </c>
      <c r="L1291" s="178" t="s">
        <v>3627</v>
      </c>
      <c r="M1291" s="152">
        <v>500000000</v>
      </c>
      <c r="N1291" s="178" t="s">
        <v>3628</v>
      </c>
      <c r="O1291" s="152">
        <v>500000000</v>
      </c>
      <c r="P1291" s="178" t="s">
        <v>3628</v>
      </c>
      <c r="Q1291" s="152">
        <v>600000000</v>
      </c>
      <c r="R1291" s="178" t="s">
        <v>3628</v>
      </c>
      <c r="S1291" s="152">
        <v>600000000</v>
      </c>
      <c r="T1291" s="178" t="s">
        <v>3628</v>
      </c>
      <c r="U1291" s="152">
        <v>600000000</v>
      </c>
      <c r="V1291" s="259"/>
      <c r="W1291" s="259"/>
      <c r="X1291" s="259"/>
    </row>
    <row r="1292" spans="2:24" s="165" customFormat="1" ht="255">
      <c r="B1292" s="48"/>
      <c r="C1292" s="62"/>
      <c r="D1292" s="63"/>
      <c r="E1292" s="63"/>
      <c r="F1292" s="64"/>
      <c r="G1292" s="420" t="s">
        <v>3629</v>
      </c>
      <c r="H1292" s="150" t="s">
        <v>743</v>
      </c>
      <c r="I1292" s="150" t="s">
        <v>3630</v>
      </c>
      <c r="J1292" s="150" t="s">
        <v>3631</v>
      </c>
      <c r="K1292" s="152">
        <v>525000000</v>
      </c>
      <c r="L1292" s="150" t="s">
        <v>3631</v>
      </c>
      <c r="M1292" s="152">
        <v>525000000</v>
      </c>
      <c r="N1292" s="150" t="s">
        <v>3631</v>
      </c>
      <c r="O1292" s="152">
        <v>600000000</v>
      </c>
      <c r="P1292" s="150" t="s">
        <v>3631</v>
      </c>
      <c r="Q1292" s="152">
        <v>625000000</v>
      </c>
      <c r="R1292" s="150" t="s">
        <v>3631</v>
      </c>
      <c r="S1292" s="152">
        <v>650000000</v>
      </c>
      <c r="T1292" s="150" t="s">
        <v>3631</v>
      </c>
      <c r="U1292" s="152">
        <v>650000000</v>
      </c>
      <c r="V1292" s="259"/>
      <c r="W1292" s="259"/>
      <c r="X1292" s="259"/>
    </row>
    <row r="1293" spans="2:24" s="165" customFormat="1" ht="315">
      <c r="B1293" s="48"/>
      <c r="C1293" s="62"/>
      <c r="D1293" s="63"/>
      <c r="E1293" s="63"/>
      <c r="F1293" s="64"/>
      <c r="G1293" s="420" t="s">
        <v>3632</v>
      </c>
      <c r="H1293" s="150" t="s">
        <v>743</v>
      </c>
      <c r="I1293" s="150" t="s">
        <v>3633</v>
      </c>
      <c r="J1293" s="150" t="s">
        <v>3634</v>
      </c>
      <c r="K1293" s="152">
        <v>100000000</v>
      </c>
      <c r="L1293" s="150" t="s">
        <v>3635</v>
      </c>
      <c r="M1293" s="152">
        <v>200000000</v>
      </c>
      <c r="N1293" s="150" t="s">
        <v>3635</v>
      </c>
      <c r="O1293" s="152">
        <v>200000000</v>
      </c>
      <c r="P1293" s="150" t="s">
        <v>3635</v>
      </c>
      <c r="Q1293" s="152">
        <v>200000000</v>
      </c>
      <c r="R1293" s="150" t="s">
        <v>3635</v>
      </c>
      <c r="S1293" s="152">
        <v>200000000</v>
      </c>
      <c r="T1293" s="150" t="s">
        <v>3635</v>
      </c>
      <c r="U1293" s="152">
        <v>200000000</v>
      </c>
      <c r="V1293" s="259"/>
      <c r="W1293" s="259"/>
      <c r="X1293" s="259"/>
    </row>
    <row r="1294" spans="2:24" s="165" customFormat="1" ht="300">
      <c r="B1294" s="48"/>
      <c r="C1294" s="62"/>
      <c r="D1294" s="63"/>
      <c r="E1294" s="63"/>
      <c r="F1294" s="64"/>
      <c r="G1294" s="420" t="s">
        <v>3636</v>
      </c>
      <c r="H1294" s="150" t="s">
        <v>3637</v>
      </c>
      <c r="I1294" s="150" t="s">
        <v>3638</v>
      </c>
      <c r="J1294" s="150" t="s">
        <v>3639</v>
      </c>
      <c r="K1294" s="152">
        <v>150000000</v>
      </c>
      <c r="L1294" s="150" t="s">
        <v>3640</v>
      </c>
      <c r="M1294" s="152">
        <v>350000000</v>
      </c>
      <c r="N1294" s="150" t="s">
        <v>3640</v>
      </c>
      <c r="O1294" s="152">
        <v>350000000</v>
      </c>
      <c r="P1294" s="150" t="s">
        <v>3640</v>
      </c>
      <c r="Q1294" s="152">
        <v>375000000</v>
      </c>
      <c r="R1294" s="150" t="s">
        <v>3640</v>
      </c>
      <c r="S1294" s="152">
        <f>Q1294</f>
        <v>375000000</v>
      </c>
      <c r="T1294" s="150" t="s">
        <v>3640</v>
      </c>
      <c r="U1294" s="152">
        <f>S1294</f>
        <v>375000000</v>
      </c>
      <c r="V1294" s="259"/>
      <c r="W1294" s="259"/>
      <c r="X1294" s="259"/>
    </row>
    <row r="1295" spans="2:24" s="165" customFormat="1" ht="195">
      <c r="B1295" s="48"/>
      <c r="C1295" s="62"/>
      <c r="D1295" s="63"/>
      <c r="E1295" s="63"/>
      <c r="F1295" s="64"/>
      <c r="G1295" s="420" t="s">
        <v>3641</v>
      </c>
      <c r="H1295" s="150" t="s">
        <v>3642</v>
      </c>
      <c r="I1295" s="150" t="s">
        <v>3643</v>
      </c>
      <c r="J1295" s="150" t="s">
        <v>3643</v>
      </c>
      <c r="K1295" s="152">
        <v>250000000</v>
      </c>
      <c r="L1295" s="150" t="s">
        <v>3643</v>
      </c>
      <c r="M1295" s="152">
        <v>275000000</v>
      </c>
      <c r="N1295" s="150" t="s">
        <v>3643</v>
      </c>
      <c r="O1295" s="152">
        <v>275000000</v>
      </c>
      <c r="P1295" s="150" t="s">
        <v>3643</v>
      </c>
      <c r="Q1295" s="152">
        <v>300000000</v>
      </c>
      <c r="R1295" s="150" t="s">
        <v>3643</v>
      </c>
      <c r="S1295" s="152">
        <v>300000000</v>
      </c>
      <c r="T1295" s="150" t="s">
        <v>3643</v>
      </c>
      <c r="U1295" s="152">
        <v>300000000</v>
      </c>
      <c r="V1295" s="259"/>
      <c r="W1295" s="259"/>
      <c r="X1295" s="259"/>
    </row>
    <row r="1296" spans="2:24" s="165" customFormat="1" ht="120">
      <c r="B1296" s="48"/>
      <c r="C1296" s="62"/>
      <c r="D1296" s="63"/>
      <c r="E1296" s="63"/>
      <c r="F1296" s="64"/>
      <c r="G1296" s="420" t="s">
        <v>3644</v>
      </c>
      <c r="H1296" s="150" t="s">
        <v>743</v>
      </c>
      <c r="I1296" s="150" t="s">
        <v>3645</v>
      </c>
      <c r="J1296" s="150" t="s">
        <v>3645</v>
      </c>
      <c r="K1296" s="152">
        <v>150000000</v>
      </c>
      <c r="L1296" s="150" t="s">
        <v>3646</v>
      </c>
      <c r="M1296" s="152">
        <v>250000000</v>
      </c>
      <c r="N1296" s="150" t="s">
        <v>3646</v>
      </c>
      <c r="O1296" s="152">
        <v>250000000</v>
      </c>
      <c r="P1296" s="150" t="s">
        <v>3647</v>
      </c>
      <c r="Q1296" s="152">
        <v>250000000</v>
      </c>
      <c r="R1296" s="150" t="s">
        <v>3648</v>
      </c>
      <c r="S1296" s="152">
        <v>250000000</v>
      </c>
      <c r="T1296" s="150" t="s">
        <v>3648</v>
      </c>
      <c r="U1296" s="152">
        <v>250000000</v>
      </c>
      <c r="V1296" s="259"/>
      <c r="W1296" s="259"/>
      <c r="X1296" s="259"/>
    </row>
    <row r="1297" spans="2:24" s="165" customFormat="1" ht="180">
      <c r="B1297" s="48"/>
      <c r="C1297" s="62"/>
      <c r="D1297" s="63"/>
      <c r="E1297" s="63"/>
      <c r="F1297" s="64"/>
      <c r="G1297" s="420" t="s">
        <v>3649</v>
      </c>
      <c r="H1297" s="150" t="s">
        <v>743</v>
      </c>
      <c r="I1297" s="165" t="s">
        <v>743</v>
      </c>
      <c r="J1297" s="150" t="s">
        <v>3650</v>
      </c>
      <c r="K1297" s="152">
        <v>100000000</v>
      </c>
      <c r="L1297" s="150" t="s">
        <v>3650</v>
      </c>
      <c r="M1297" s="152">
        <v>125000000</v>
      </c>
      <c r="N1297" s="150" t="s">
        <v>3650</v>
      </c>
      <c r="O1297" s="152">
        <v>125000000</v>
      </c>
      <c r="P1297" s="150" t="s">
        <v>3650</v>
      </c>
      <c r="Q1297" s="152">
        <v>150000000</v>
      </c>
      <c r="R1297" s="150" t="s">
        <v>3650</v>
      </c>
      <c r="S1297" s="152">
        <v>150000000</v>
      </c>
      <c r="T1297" s="150" t="s">
        <v>3650</v>
      </c>
      <c r="U1297" s="152">
        <v>150000000</v>
      </c>
      <c r="V1297" s="259"/>
      <c r="W1297" s="259"/>
      <c r="X1297" s="259"/>
    </row>
    <row r="1298" spans="2:24" s="165" customFormat="1" ht="225">
      <c r="B1298" s="48"/>
      <c r="C1298" s="62"/>
      <c r="D1298" s="63"/>
      <c r="E1298" s="63"/>
      <c r="F1298" s="64"/>
      <c r="G1298" s="420" t="s">
        <v>3651</v>
      </c>
      <c r="H1298" s="150" t="s">
        <v>743</v>
      </c>
      <c r="I1298" s="150" t="s">
        <v>743</v>
      </c>
      <c r="J1298" s="152" t="s">
        <v>743</v>
      </c>
      <c r="K1298" s="152">
        <v>0</v>
      </c>
      <c r="L1298" s="150" t="s">
        <v>3652</v>
      </c>
      <c r="M1298" s="152">
        <v>100000000</v>
      </c>
      <c r="N1298" s="150" t="s">
        <v>3652</v>
      </c>
      <c r="O1298" s="152">
        <v>125000000</v>
      </c>
      <c r="P1298" s="150" t="s">
        <v>3652</v>
      </c>
      <c r="Q1298" s="152">
        <v>150000000</v>
      </c>
      <c r="R1298" s="150" t="s">
        <v>3652</v>
      </c>
      <c r="S1298" s="152">
        <v>175000000</v>
      </c>
      <c r="T1298" s="150" t="s">
        <v>3652</v>
      </c>
      <c r="U1298" s="152">
        <v>175000000</v>
      </c>
      <c r="V1298" s="259"/>
      <c r="W1298" s="259"/>
      <c r="X1298" s="259"/>
    </row>
    <row r="1299" spans="2:24" s="165" customFormat="1" ht="90">
      <c r="B1299" s="48"/>
      <c r="C1299" s="62"/>
      <c r="D1299" s="63"/>
      <c r="E1299" s="63"/>
      <c r="F1299" s="64"/>
      <c r="G1299" s="420" t="s">
        <v>3653</v>
      </c>
      <c r="H1299" s="150" t="s">
        <v>743</v>
      </c>
      <c r="I1299" s="150" t="s">
        <v>3654</v>
      </c>
      <c r="J1299" s="150" t="s">
        <v>3655</v>
      </c>
      <c r="K1299" s="152">
        <v>75000000</v>
      </c>
      <c r="L1299" s="150" t="s">
        <v>3655</v>
      </c>
      <c r="M1299" s="152">
        <v>75000000</v>
      </c>
      <c r="N1299" s="150" t="s">
        <v>3655</v>
      </c>
      <c r="O1299" s="152">
        <v>75000000</v>
      </c>
      <c r="P1299" s="150" t="s">
        <v>3655</v>
      </c>
      <c r="Q1299" s="152">
        <v>75000000</v>
      </c>
      <c r="R1299" s="150" t="s">
        <v>3655</v>
      </c>
      <c r="S1299" s="152">
        <v>75000000</v>
      </c>
      <c r="T1299" s="150" t="s">
        <v>3655</v>
      </c>
      <c r="U1299" s="152">
        <v>75000000</v>
      </c>
      <c r="V1299" s="259"/>
      <c r="W1299" s="259"/>
      <c r="X1299" s="259"/>
    </row>
    <row r="1300" spans="2:24" s="165" customFormat="1" ht="180">
      <c r="B1300" s="48"/>
      <c r="C1300" s="62"/>
      <c r="D1300" s="63"/>
      <c r="E1300" s="63"/>
      <c r="F1300" s="64"/>
      <c r="G1300" s="420" t="s">
        <v>3656</v>
      </c>
      <c r="H1300" s="150" t="s">
        <v>743</v>
      </c>
      <c r="I1300" s="150" t="s">
        <v>743</v>
      </c>
      <c r="J1300" s="150" t="s">
        <v>743</v>
      </c>
      <c r="K1300" s="152">
        <v>0</v>
      </c>
      <c r="L1300" s="150" t="s">
        <v>3657</v>
      </c>
      <c r="M1300" s="152">
        <v>20000000</v>
      </c>
      <c r="N1300" s="150" t="s">
        <v>3657</v>
      </c>
      <c r="O1300" s="152">
        <v>20000000</v>
      </c>
      <c r="P1300" s="150" t="s">
        <v>3657</v>
      </c>
      <c r="Q1300" s="152">
        <v>20000000</v>
      </c>
      <c r="R1300" s="150" t="s">
        <v>3657</v>
      </c>
      <c r="S1300" s="152">
        <v>20000000</v>
      </c>
      <c r="T1300" s="150" t="s">
        <v>3657</v>
      </c>
      <c r="U1300" s="152">
        <v>20000000</v>
      </c>
      <c r="V1300" s="259"/>
      <c r="W1300" s="259"/>
      <c r="X1300" s="259"/>
    </row>
    <row r="1301" spans="2:24" s="165" customFormat="1" ht="90">
      <c r="B1301" s="48"/>
      <c r="C1301" s="62"/>
      <c r="D1301" s="63"/>
      <c r="E1301" s="63"/>
      <c r="F1301" s="64"/>
      <c r="G1301" s="420" t="s">
        <v>3934</v>
      </c>
      <c r="H1301" s="150" t="s">
        <v>3935</v>
      </c>
      <c r="I1301" s="150" t="s">
        <v>3936</v>
      </c>
      <c r="J1301" s="150" t="s">
        <v>3936</v>
      </c>
      <c r="K1301" s="152">
        <v>50000000</v>
      </c>
      <c r="L1301" s="150" t="s">
        <v>3936</v>
      </c>
      <c r="M1301" s="152">
        <v>75000000</v>
      </c>
      <c r="N1301" s="150" t="s">
        <v>3936</v>
      </c>
      <c r="O1301" s="152">
        <v>75000000</v>
      </c>
      <c r="P1301" s="150" t="s">
        <v>3936</v>
      </c>
      <c r="Q1301" s="152">
        <v>100000000</v>
      </c>
      <c r="R1301" s="150" t="s">
        <v>3936</v>
      </c>
      <c r="S1301" s="152">
        <v>100000000</v>
      </c>
      <c r="T1301" s="150" t="s">
        <v>3936</v>
      </c>
      <c r="U1301" s="152">
        <v>100000000</v>
      </c>
      <c r="V1301" s="259"/>
      <c r="W1301" s="259"/>
      <c r="X1301" s="259"/>
    </row>
    <row r="1302" spans="2:24" s="165" customFormat="1" ht="90">
      <c r="B1302" s="48"/>
      <c r="C1302" s="62"/>
      <c r="D1302" s="63"/>
      <c r="E1302" s="63"/>
      <c r="F1302" s="64"/>
      <c r="G1302" s="420" t="s">
        <v>3937</v>
      </c>
      <c r="H1302" s="150" t="s">
        <v>3938</v>
      </c>
      <c r="I1302" s="150" t="s">
        <v>3939</v>
      </c>
      <c r="J1302" s="150" t="s">
        <v>3939</v>
      </c>
      <c r="K1302" s="152">
        <v>102800000</v>
      </c>
      <c r="L1302" s="150" t="s">
        <v>3939</v>
      </c>
      <c r="M1302" s="152">
        <v>60000000</v>
      </c>
      <c r="N1302" s="150" t="s">
        <v>3939</v>
      </c>
      <c r="O1302" s="152">
        <v>30000000</v>
      </c>
      <c r="P1302" s="150" t="s">
        <v>743</v>
      </c>
      <c r="Q1302" s="152">
        <v>0</v>
      </c>
      <c r="R1302" s="150" t="s">
        <v>743</v>
      </c>
      <c r="S1302" s="152">
        <v>0</v>
      </c>
      <c r="T1302" s="150" t="s">
        <v>743</v>
      </c>
      <c r="U1302" s="152">
        <v>0</v>
      </c>
      <c r="V1302" s="259"/>
      <c r="W1302" s="259"/>
      <c r="X1302" s="259"/>
    </row>
    <row r="1303" spans="2:24" s="165" customFormat="1" ht="120">
      <c r="B1303" s="48"/>
      <c r="C1303" s="62"/>
      <c r="D1303" s="63"/>
      <c r="E1303" s="63"/>
      <c r="F1303" s="64"/>
      <c r="G1303" s="420" t="s">
        <v>3940</v>
      </c>
      <c r="H1303" s="150" t="s">
        <v>743</v>
      </c>
      <c r="I1303" s="150" t="s">
        <v>743</v>
      </c>
      <c r="J1303" s="150" t="s">
        <v>743</v>
      </c>
      <c r="K1303" s="152">
        <v>0</v>
      </c>
      <c r="L1303" s="150" t="s">
        <v>3941</v>
      </c>
      <c r="M1303" s="152">
        <v>100000000</v>
      </c>
      <c r="N1303" s="150" t="s">
        <v>3941</v>
      </c>
      <c r="O1303" s="152">
        <v>100000000</v>
      </c>
      <c r="P1303" s="150" t="s">
        <v>3941</v>
      </c>
      <c r="Q1303" s="152">
        <v>100000000</v>
      </c>
      <c r="R1303" s="150" t="s">
        <v>3941</v>
      </c>
      <c r="S1303" s="152">
        <v>100000000</v>
      </c>
      <c r="T1303" s="150" t="s">
        <v>3941</v>
      </c>
      <c r="U1303" s="152">
        <v>100000000</v>
      </c>
      <c r="V1303" s="259"/>
      <c r="W1303" s="259"/>
      <c r="X1303" s="259"/>
    </row>
    <row r="1304" spans="2:24" s="165" customFormat="1" ht="135">
      <c r="B1304" s="48"/>
      <c r="C1304" s="62"/>
      <c r="D1304" s="63"/>
      <c r="E1304" s="63"/>
      <c r="F1304" s="64"/>
      <c r="G1304" s="420" t="s">
        <v>3942</v>
      </c>
      <c r="H1304" s="150" t="s">
        <v>3943</v>
      </c>
      <c r="I1304" s="150" t="s">
        <v>3944</v>
      </c>
      <c r="J1304" s="150" t="s">
        <v>3945</v>
      </c>
      <c r="K1304" s="353">
        <v>30000000</v>
      </c>
      <c r="L1304" s="150" t="s">
        <v>3945</v>
      </c>
      <c r="M1304" s="353">
        <v>50000000</v>
      </c>
      <c r="N1304" s="150" t="s">
        <v>3945</v>
      </c>
      <c r="O1304" s="353">
        <v>60000000</v>
      </c>
      <c r="P1304" s="150" t="s">
        <v>3945</v>
      </c>
      <c r="Q1304" s="353">
        <v>75000000</v>
      </c>
      <c r="R1304" s="150" t="s">
        <v>3945</v>
      </c>
      <c r="S1304" s="353">
        <v>80000000</v>
      </c>
      <c r="T1304" s="150" t="s">
        <v>3945</v>
      </c>
      <c r="U1304" s="353">
        <v>80000000</v>
      </c>
      <c r="V1304" s="259"/>
      <c r="W1304" s="259"/>
      <c r="X1304" s="259"/>
    </row>
    <row r="1305" spans="2:24" s="165" customFormat="1" ht="75">
      <c r="B1305" s="48"/>
      <c r="C1305" s="62"/>
      <c r="D1305" s="63"/>
      <c r="E1305" s="63"/>
      <c r="F1305" s="64"/>
      <c r="G1305" s="420" t="s">
        <v>3946</v>
      </c>
      <c r="H1305" s="150" t="s">
        <v>743</v>
      </c>
      <c r="I1305" s="150" t="s">
        <v>743</v>
      </c>
      <c r="J1305" s="150" t="s">
        <v>3947</v>
      </c>
      <c r="K1305" s="353">
        <v>100000000</v>
      </c>
      <c r="L1305" s="150" t="s">
        <v>3947</v>
      </c>
      <c r="M1305" s="353">
        <v>100000000</v>
      </c>
      <c r="N1305" s="150" t="s">
        <v>3947</v>
      </c>
      <c r="O1305" s="353">
        <v>110000000</v>
      </c>
      <c r="P1305" s="150" t="s">
        <v>3947</v>
      </c>
      <c r="Q1305" s="353">
        <f>O1305</f>
        <v>110000000</v>
      </c>
      <c r="R1305" s="150" t="s">
        <v>3947</v>
      </c>
      <c r="S1305" s="353">
        <v>120000000</v>
      </c>
      <c r="T1305" s="150" t="s">
        <v>3947</v>
      </c>
      <c r="U1305" s="353">
        <v>120000000</v>
      </c>
      <c r="V1305" s="259"/>
      <c r="W1305" s="259"/>
      <c r="X1305" s="259"/>
    </row>
    <row r="1306" spans="2:24" s="165" customFormat="1" ht="195">
      <c r="B1306" s="48"/>
      <c r="C1306" s="62"/>
      <c r="D1306" s="63"/>
      <c r="E1306" s="63"/>
      <c r="F1306" s="64"/>
      <c r="G1306" s="420" t="s">
        <v>3948</v>
      </c>
      <c r="H1306" s="150" t="s">
        <v>743</v>
      </c>
      <c r="I1306" s="150" t="s">
        <v>3949</v>
      </c>
      <c r="J1306" s="150" t="s">
        <v>3950</v>
      </c>
      <c r="K1306" s="353">
        <v>150000000</v>
      </c>
      <c r="L1306" s="150" t="s">
        <v>3950</v>
      </c>
      <c r="M1306" s="353">
        <f>K1306</f>
        <v>150000000</v>
      </c>
      <c r="N1306" s="150" t="s">
        <v>3950</v>
      </c>
      <c r="O1306" s="353">
        <f>M1306+(M1306*10%)</f>
        <v>165000000</v>
      </c>
      <c r="P1306" s="150" t="s">
        <v>3950</v>
      </c>
      <c r="Q1306" s="353">
        <f>O1306</f>
        <v>165000000</v>
      </c>
      <c r="R1306" s="150" t="s">
        <v>3950</v>
      </c>
      <c r="S1306" s="353">
        <v>180000000</v>
      </c>
      <c r="T1306" s="150" t="s">
        <v>3950</v>
      </c>
      <c r="U1306" s="353">
        <v>180000000</v>
      </c>
      <c r="V1306" s="259"/>
      <c r="W1306" s="259"/>
      <c r="X1306" s="259"/>
    </row>
    <row r="1307" spans="2:24" s="165" customFormat="1" ht="165">
      <c r="B1307" s="48"/>
      <c r="C1307" s="62"/>
      <c r="D1307" s="63"/>
      <c r="E1307" s="63"/>
      <c r="F1307" s="64"/>
      <c r="G1307" s="420" t="s">
        <v>3951</v>
      </c>
      <c r="H1307" s="150" t="s">
        <v>3952</v>
      </c>
      <c r="I1307" s="150" t="s">
        <v>3953</v>
      </c>
      <c r="J1307" s="150" t="s">
        <v>3954</v>
      </c>
      <c r="K1307" s="353">
        <v>100000000</v>
      </c>
      <c r="L1307" s="150" t="s">
        <v>3955</v>
      </c>
      <c r="M1307" s="353">
        <v>300000000</v>
      </c>
      <c r="N1307" s="150" t="s">
        <v>3955</v>
      </c>
      <c r="O1307" s="353">
        <v>300000000</v>
      </c>
      <c r="P1307" s="150" t="s">
        <v>3955</v>
      </c>
      <c r="Q1307" s="353">
        <v>330000000</v>
      </c>
      <c r="R1307" s="150" t="s">
        <v>3955</v>
      </c>
      <c r="S1307" s="353">
        <v>330000000</v>
      </c>
      <c r="T1307" s="150" t="s">
        <v>3955</v>
      </c>
      <c r="U1307" s="353">
        <v>330000000</v>
      </c>
      <c r="V1307" s="259"/>
      <c r="W1307" s="259"/>
      <c r="X1307" s="259"/>
    </row>
    <row r="1308" spans="2:24" s="165" customFormat="1" ht="120">
      <c r="B1308" s="48"/>
      <c r="C1308" s="62"/>
      <c r="D1308" s="63"/>
      <c r="E1308" s="63"/>
      <c r="F1308" s="64"/>
      <c r="G1308" s="420" t="s">
        <v>3956</v>
      </c>
      <c r="H1308" s="150" t="s">
        <v>3957</v>
      </c>
      <c r="I1308" s="150" t="s">
        <v>3958</v>
      </c>
      <c r="J1308" s="150" t="s">
        <v>3958</v>
      </c>
      <c r="K1308" s="353">
        <v>25000000</v>
      </c>
      <c r="L1308" s="150" t="s">
        <v>3958</v>
      </c>
      <c r="M1308" s="353">
        <v>25000000</v>
      </c>
      <c r="N1308" s="150" t="s">
        <v>3958</v>
      </c>
      <c r="O1308" s="353">
        <v>30000000</v>
      </c>
      <c r="P1308" s="150" t="s">
        <v>3958</v>
      </c>
      <c r="Q1308" s="353">
        <v>30000000</v>
      </c>
      <c r="R1308" s="150" t="s">
        <v>3958</v>
      </c>
      <c r="S1308" s="353">
        <v>30000000</v>
      </c>
      <c r="T1308" s="150" t="s">
        <v>3958</v>
      </c>
      <c r="U1308" s="353">
        <v>30000000</v>
      </c>
      <c r="V1308" s="259"/>
      <c r="W1308" s="259"/>
      <c r="X1308" s="259"/>
    </row>
    <row r="1309" spans="2:24" s="165" customFormat="1" ht="120">
      <c r="B1309" s="48"/>
      <c r="C1309" s="62"/>
      <c r="D1309" s="63"/>
      <c r="E1309" s="63"/>
      <c r="F1309" s="64"/>
      <c r="G1309" s="420" t="s">
        <v>3959</v>
      </c>
      <c r="H1309" s="150" t="s">
        <v>3960</v>
      </c>
      <c r="I1309" s="150" t="s">
        <v>3961</v>
      </c>
      <c r="J1309" s="150" t="s">
        <v>3962</v>
      </c>
      <c r="K1309" s="152">
        <v>108200000</v>
      </c>
      <c r="L1309" s="150" t="s">
        <v>3963</v>
      </c>
      <c r="M1309" s="152">
        <v>75000000</v>
      </c>
      <c r="N1309" s="150" t="s">
        <v>3963</v>
      </c>
      <c r="O1309" s="152">
        <v>35000000</v>
      </c>
      <c r="P1309" s="150" t="s">
        <v>743</v>
      </c>
      <c r="Q1309" s="152">
        <v>0</v>
      </c>
      <c r="R1309" s="150" t="s">
        <v>743</v>
      </c>
      <c r="S1309" s="152">
        <v>0</v>
      </c>
      <c r="T1309" s="150" t="s">
        <v>743</v>
      </c>
      <c r="U1309" s="152">
        <v>0</v>
      </c>
      <c r="V1309" s="259"/>
      <c r="W1309" s="259"/>
      <c r="X1309" s="259"/>
    </row>
    <row r="1310" spans="2:24" s="165" customFormat="1" ht="90">
      <c r="B1310" s="48"/>
      <c r="C1310" s="62"/>
      <c r="D1310" s="63"/>
      <c r="E1310" s="63"/>
      <c r="F1310" s="64"/>
      <c r="G1310" s="420" t="s">
        <v>3964</v>
      </c>
      <c r="H1310" s="150" t="s">
        <v>743</v>
      </c>
      <c r="I1310" s="150" t="s">
        <v>3964</v>
      </c>
      <c r="J1310" s="150" t="s">
        <v>3964</v>
      </c>
      <c r="K1310" s="353">
        <v>75000000</v>
      </c>
      <c r="L1310" s="150" t="s">
        <v>3964</v>
      </c>
      <c r="M1310" s="353">
        <f>K1310</f>
        <v>75000000</v>
      </c>
      <c r="N1310" s="150" t="s">
        <v>3964</v>
      </c>
      <c r="O1310" s="353">
        <f>M1310+(M1310*10%)</f>
        <v>82500000</v>
      </c>
      <c r="P1310" s="150" t="s">
        <v>3964</v>
      </c>
      <c r="Q1310" s="353">
        <f>O1310</f>
        <v>82500000</v>
      </c>
      <c r="R1310" s="150" t="s">
        <v>3964</v>
      </c>
      <c r="S1310" s="353">
        <f>Q1310</f>
        <v>82500000</v>
      </c>
      <c r="T1310" s="150" t="s">
        <v>3964</v>
      </c>
      <c r="U1310" s="353">
        <f>S1310</f>
        <v>82500000</v>
      </c>
      <c r="V1310" s="259"/>
      <c r="W1310" s="259"/>
      <c r="X1310" s="259"/>
    </row>
    <row r="1311" spans="2:24" s="165" customFormat="1" ht="75">
      <c r="B1311" s="48"/>
      <c r="C1311" s="62"/>
      <c r="D1311" s="63"/>
      <c r="E1311" s="63"/>
      <c r="F1311" s="64"/>
      <c r="G1311" s="420" t="s">
        <v>3965</v>
      </c>
      <c r="H1311" s="150" t="s">
        <v>3966</v>
      </c>
      <c r="I1311" s="150" t="s">
        <v>3967</v>
      </c>
      <c r="J1311" s="354" t="s">
        <v>3968</v>
      </c>
      <c r="K1311" s="353">
        <v>50000000</v>
      </c>
      <c r="L1311" s="354" t="s">
        <v>3969</v>
      </c>
      <c r="M1311" s="353">
        <v>200000000</v>
      </c>
      <c r="N1311" s="354" t="s">
        <v>3969</v>
      </c>
      <c r="O1311" s="353">
        <v>200000000</v>
      </c>
      <c r="P1311" s="354" t="s">
        <v>3969</v>
      </c>
      <c r="Q1311" s="353">
        <v>200000000</v>
      </c>
      <c r="R1311" s="354" t="s">
        <v>3969</v>
      </c>
      <c r="S1311" s="353">
        <v>200000000</v>
      </c>
      <c r="T1311" s="354" t="s">
        <v>3969</v>
      </c>
      <c r="U1311" s="353">
        <v>200000000</v>
      </c>
      <c r="V1311" s="259"/>
      <c r="W1311" s="259"/>
      <c r="X1311" s="259"/>
    </row>
    <row r="1312" spans="2:24" s="165" customFormat="1" ht="150">
      <c r="B1312" s="48"/>
      <c r="C1312" s="62"/>
      <c r="D1312" s="63"/>
      <c r="E1312" s="63"/>
      <c r="F1312" s="64"/>
      <c r="G1312" s="420" t="s">
        <v>3970</v>
      </c>
      <c r="H1312" s="150" t="s">
        <v>3971</v>
      </c>
      <c r="I1312" s="150" t="s">
        <v>3972</v>
      </c>
      <c r="J1312" s="150" t="s">
        <v>3973</v>
      </c>
      <c r="K1312" s="152">
        <v>150000000</v>
      </c>
      <c r="L1312" s="150" t="s">
        <v>3973</v>
      </c>
      <c r="M1312" s="152">
        <v>150000000</v>
      </c>
      <c r="N1312" s="150" t="s">
        <v>3973</v>
      </c>
      <c r="O1312" s="152">
        <v>150000000</v>
      </c>
      <c r="P1312" s="150" t="s">
        <v>3973</v>
      </c>
      <c r="Q1312" s="152">
        <v>150000000</v>
      </c>
      <c r="R1312" s="150" t="s">
        <v>3973</v>
      </c>
      <c r="S1312" s="152">
        <v>150000000</v>
      </c>
      <c r="T1312" s="150" t="s">
        <v>3973</v>
      </c>
      <c r="U1312" s="152">
        <v>150000000</v>
      </c>
      <c r="V1312" s="259"/>
      <c r="W1312" s="259"/>
      <c r="X1312" s="259"/>
    </row>
    <row r="1313" spans="2:24" s="165" customFormat="1" ht="195">
      <c r="B1313" s="48"/>
      <c r="C1313" s="62"/>
      <c r="D1313" s="63"/>
      <c r="E1313" s="63"/>
      <c r="F1313" s="64"/>
      <c r="G1313" s="420" t="s">
        <v>3974</v>
      </c>
      <c r="H1313" s="150" t="s">
        <v>3975</v>
      </c>
      <c r="I1313" s="150" t="s">
        <v>3976</v>
      </c>
      <c r="J1313" s="354" t="s">
        <v>743</v>
      </c>
      <c r="K1313" s="353">
        <v>0</v>
      </c>
      <c r="L1313" s="150" t="s">
        <v>3977</v>
      </c>
      <c r="M1313" s="152">
        <v>200000000</v>
      </c>
      <c r="N1313" s="150" t="s">
        <v>3977</v>
      </c>
      <c r="O1313" s="152">
        <v>200000000</v>
      </c>
      <c r="P1313" s="150" t="s">
        <v>3977</v>
      </c>
      <c r="Q1313" s="152">
        <v>225000000</v>
      </c>
      <c r="R1313" s="150" t="s">
        <v>3977</v>
      </c>
      <c r="S1313" s="152">
        <f>Q1313</f>
        <v>225000000</v>
      </c>
      <c r="T1313" s="150" t="s">
        <v>3977</v>
      </c>
      <c r="U1313" s="152">
        <f>S1313</f>
        <v>225000000</v>
      </c>
      <c r="V1313" s="259"/>
      <c r="W1313" s="259"/>
      <c r="X1313" s="259"/>
    </row>
    <row r="1314" spans="2:24" s="165" customFormat="1" ht="105">
      <c r="B1314" s="48"/>
      <c r="C1314" s="62"/>
      <c r="D1314" s="63"/>
      <c r="E1314" s="63"/>
      <c r="F1314" s="64"/>
      <c r="G1314" s="420" t="s">
        <v>3978</v>
      </c>
      <c r="H1314" s="150" t="s">
        <v>3979</v>
      </c>
      <c r="I1314" s="150" t="s">
        <v>3980</v>
      </c>
      <c r="J1314" s="354" t="s">
        <v>3981</v>
      </c>
      <c r="K1314" s="353">
        <v>160000050</v>
      </c>
      <c r="L1314" s="354" t="s">
        <v>3982</v>
      </c>
      <c r="M1314" s="353">
        <v>200000000</v>
      </c>
      <c r="N1314" s="354" t="s">
        <v>3982</v>
      </c>
      <c r="O1314" s="353">
        <v>200000000</v>
      </c>
      <c r="P1314" s="354" t="s">
        <v>3982</v>
      </c>
      <c r="Q1314" s="353">
        <v>200000000</v>
      </c>
      <c r="R1314" s="354" t="s">
        <v>3982</v>
      </c>
      <c r="S1314" s="353">
        <v>200000000</v>
      </c>
      <c r="T1314" s="354" t="s">
        <v>3982</v>
      </c>
      <c r="U1314" s="353">
        <v>200000000</v>
      </c>
      <c r="V1314" s="259"/>
      <c r="W1314" s="259"/>
      <c r="X1314" s="259"/>
    </row>
    <row r="1315" spans="2:24" s="165" customFormat="1" ht="105">
      <c r="B1315" s="48"/>
      <c r="C1315" s="62"/>
      <c r="D1315" s="63"/>
      <c r="E1315" s="63"/>
      <c r="F1315" s="64"/>
      <c r="G1315" s="420" t="s">
        <v>3983</v>
      </c>
      <c r="H1315" s="150" t="s">
        <v>743</v>
      </c>
      <c r="I1315" s="150" t="s">
        <v>743</v>
      </c>
      <c r="J1315" s="354" t="s">
        <v>743</v>
      </c>
      <c r="K1315" s="353">
        <v>0</v>
      </c>
      <c r="L1315" s="353" t="s">
        <v>3984</v>
      </c>
      <c r="M1315" s="353">
        <v>100000000</v>
      </c>
      <c r="N1315" s="353" t="s">
        <v>3984</v>
      </c>
      <c r="O1315" s="353">
        <v>100000000</v>
      </c>
      <c r="P1315" s="353" t="s">
        <v>3984</v>
      </c>
      <c r="Q1315" s="353">
        <v>100000000</v>
      </c>
      <c r="R1315" s="353" t="s">
        <v>3984</v>
      </c>
      <c r="S1315" s="353">
        <v>100000000</v>
      </c>
      <c r="T1315" s="353" t="s">
        <v>3984</v>
      </c>
      <c r="U1315" s="353">
        <v>100000000</v>
      </c>
      <c r="V1315" s="259"/>
      <c r="W1315" s="259"/>
      <c r="X1315" s="259"/>
    </row>
    <row r="1316" spans="2:24" s="165" customFormat="1" ht="90">
      <c r="B1316" s="48"/>
      <c r="C1316" s="62" t="str">
        <f>'matrik MISI 1'!J35</f>
        <v>2.01.</v>
      </c>
      <c r="D1316" s="63" t="str">
        <f>'matrik MISI 1'!K35</f>
        <v>xx</v>
      </c>
      <c r="E1316" s="63">
        <f>'matrik MISI 1'!L35</f>
        <v>20</v>
      </c>
      <c r="F1316" s="64" t="str">
        <f>'matrik MISI 1'!M35</f>
        <v>Program Pemberdayaan Penyuluh Pertanian, Perikanan dan Kehutanan</v>
      </c>
      <c r="G1316" s="58"/>
      <c r="H1316" s="259"/>
      <c r="I1316" s="259"/>
      <c r="J1316" s="259"/>
      <c r="K1316" s="259"/>
      <c r="L1316" s="259"/>
      <c r="M1316" s="259"/>
      <c r="N1316" s="259"/>
      <c r="O1316" s="259"/>
      <c r="P1316" s="259"/>
      <c r="Q1316" s="259"/>
      <c r="R1316" s="259"/>
      <c r="S1316" s="259"/>
      <c r="T1316" s="259"/>
      <c r="U1316" s="259"/>
      <c r="V1316" s="259"/>
      <c r="W1316" s="259"/>
      <c r="X1316" s="259" t="str">
        <f>'matrik MISI 1'!X35</f>
        <v>BAPELUH</v>
      </c>
    </row>
    <row r="1317" spans="2:24" s="165" customFormat="1" ht="30">
      <c r="B1317" s="48"/>
      <c r="C1317" s="62"/>
      <c r="D1317" s="63"/>
      <c r="E1317" s="63"/>
      <c r="F1317" s="64"/>
      <c r="G1317" s="173" t="s">
        <v>4053</v>
      </c>
      <c r="H1317" s="245" t="s">
        <v>1798</v>
      </c>
      <c r="I1317" s="245"/>
      <c r="J1317" s="246"/>
      <c r="K1317" s="260">
        <v>50000000</v>
      </c>
      <c r="L1317" s="246"/>
      <c r="M1317" s="260">
        <f>50000000+36125000+43350000+21675000+40000000</f>
        <v>191150000</v>
      </c>
      <c r="N1317" s="246"/>
      <c r="O1317" s="260">
        <f>50000000+36125000+43350000+21675000+40000000</f>
        <v>191150000</v>
      </c>
      <c r="P1317" s="246"/>
      <c r="Q1317" s="260">
        <f>50000000+36125000+57800000+21675000+40000000</f>
        <v>205600000</v>
      </c>
      <c r="R1317" s="246"/>
      <c r="S1317" s="260">
        <f>50000000+36125000+57800000+21675000+40000000</f>
        <v>205600000</v>
      </c>
      <c r="T1317" s="246"/>
      <c r="U1317" s="260">
        <f>50000000+36125000+57800000+21675000+40000000</f>
        <v>205600000</v>
      </c>
      <c r="V1317" s="259"/>
      <c r="W1317" s="259"/>
      <c r="X1317" s="259"/>
    </row>
    <row r="1318" spans="2:24" s="165" customFormat="1" ht="45">
      <c r="B1318" s="48"/>
      <c r="C1318" s="62"/>
      <c r="D1318" s="63"/>
      <c r="E1318" s="63"/>
      <c r="F1318" s="64"/>
      <c r="G1318" s="173" t="s">
        <v>4054</v>
      </c>
      <c r="H1318" s="246"/>
      <c r="I1318" s="246"/>
      <c r="J1318" s="246"/>
      <c r="K1318" s="260">
        <v>143074800</v>
      </c>
      <c r="L1318" s="246"/>
      <c r="M1318" s="260">
        <f>161324800-6750000+6750000</f>
        <v>161324800</v>
      </c>
      <c r="N1318" s="246"/>
      <c r="O1318" s="260">
        <f>161324800+(0.05*161324800)-6750000+6750000</f>
        <v>169391040</v>
      </c>
      <c r="P1318" s="246"/>
      <c r="Q1318" s="260">
        <f>166324800+(0.05*169391040)-9750000+9750000</f>
        <v>174794352</v>
      </c>
      <c r="R1318" s="246"/>
      <c r="S1318" s="260">
        <f>166324800+(0.05*174794352)-9750000+9750000</f>
        <v>175064517.59999999</v>
      </c>
      <c r="T1318" s="246"/>
      <c r="U1318" s="260">
        <f>166324800+(0.05*174794352)-9750000+9750000</f>
        <v>175064517.59999999</v>
      </c>
      <c r="V1318" s="259"/>
      <c r="W1318" s="259"/>
      <c r="X1318" s="259"/>
    </row>
    <row r="1319" spans="2:24" s="165" customFormat="1" ht="30">
      <c r="B1319" s="48"/>
      <c r="C1319" s="62"/>
      <c r="D1319" s="63"/>
      <c r="E1319" s="63"/>
      <c r="F1319" s="64"/>
      <c r="G1319" s="173" t="s">
        <v>4055</v>
      </c>
      <c r="H1319" s="245"/>
      <c r="I1319" s="245"/>
      <c r="J1319" s="245"/>
      <c r="K1319" s="260">
        <f>120*2*750000</f>
        <v>180000000</v>
      </c>
      <c r="L1319" s="245"/>
      <c r="M1319" s="260">
        <f>120*2*800000</f>
        <v>192000000</v>
      </c>
      <c r="N1319" s="245"/>
      <c r="O1319" s="260">
        <f>120*2*800000</f>
        <v>192000000</v>
      </c>
      <c r="P1319" s="245"/>
      <c r="Q1319" s="260">
        <f>120*2*850000</f>
        <v>204000000</v>
      </c>
      <c r="R1319" s="245"/>
      <c r="S1319" s="260">
        <f>120*2*900000</f>
        <v>216000000</v>
      </c>
      <c r="T1319" s="245"/>
      <c r="U1319" s="260">
        <f>120*2*900000</f>
        <v>216000000</v>
      </c>
      <c r="V1319" s="259"/>
      <c r="W1319" s="259"/>
      <c r="X1319" s="259"/>
    </row>
    <row r="1320" spans="2:24" s="165" customFormat="1" ht="90">
      <c r="B1320" s="48"/>
      <c r="C1320" s="62" t="str">
        <f>'matrik MISI 1'!J14</f>
        <v>2.01</v>
      </c>
      <c r="D1320" s="63" t="str">
        <f>'matrik MISI 1'!K14</f>
        <v>xx</v>
      </c>
      <c r="E1320" s="63">
        <f>'matrik MISI 1'!L14</f>
        <v>21</v>
      </c>
      <c r="F1320" s="64" t="str">
        <f>'matrik MISI 1'!M14</f>
        <v>Program pencegahan dan penanggulangan penyakit ternak</v>
      </c>
      <c r="G1320" s="58"/>
      <c r="H1320" s="259"/>
      <c r="I1320" s="259"/>
      <c r="J1320" s="259"/>
      <c r="K1320" s="259"/>
      <c r="L1320" s="259"/>
      <c r="M1320" s="259"/>
      <c r="N1320" s="259"/>
      <c r="O1320" s="259"/>
      <c r="P1320" s="259"/>
      <c r="Q1320" s="259"/>
      <c r="R1320" s="259"/>
      <c r="S1320" s="259"/>
      <c r="T1320" s="259"/>
      <c r="U1320" s="259"/>
      <c r="V1320" s="259"/>
      <c r="W1320" s="259"/>
      <c r="X1320" s="259" t="str">
        <f>'matrik MISI 1'!X14</f>
        <v>DINAKAN</v>
      </c>
    </row>
    <row r="1321" spans="2:24" s="165" customFormat="1" ht="45">
      <c r="B1321" s="48"/>
      <c r="C1321" s="62"/>
      <c r="D1321" s="63"/>
      <c r="E1321" s="63"/>
      <c r="F1321" s="64"/>
      <c r="G1321" s="58" t="s">
        <v>4085</v>
      </c>
      <c r="H1321" s="237">
        <v>0</v>
      </c>
      <c r="I1321" s="237">
        <v>0</v>
      </c>
      <c r="J1321" s="52" t="s">
        <v>4086</v>
      </c>
      <c r="K1321" s="251">
        <v>238030000</v>
      </c>
      <c r="L1321" s="52" t="s">
        <v>4087</v>
      </c>
      <c r="M1321" s="251">
        <v>250000000</v>
      </c>
      <c r="N1321" s="52" t="s">
        <v>4088</v>
      </c>
      <c r="O1321" s="251">
        <v>275000000</v>
      </c>
      <c r="P1321" s="52" t="s">
        <v>4089</v>
      </c>
      <c r="Q1321" s="251">
        <v>300000000</v>
      </c>
      <c r="R1321" s="52" t="s">
        <v>4090</v>
      </c>
      <c r="S1321" s="251">
        <v>325000000</v>
      </c>
      <c r="T1321" s="52" t="s">
        <v>4090</v>
      </c>
      <c r="U1321" s="251">
        <v>325000000</v>
      </c>
      <c r="V1321" s="259"/>
      <c r="W1321" s="259"/>
      <c r="X1321" s="259"/>
    </row>
    <row r="1322" spans="2:24" s="165" customFormat="1" ht="45">
      <c r="B1322" s="48"/>
      <c r="C1322" s="62"/>
      <c r="D1322" s="63"/>
      <c r="E1322" s="63"/>
      <c r="F1322" s="64"/>
      <c r="G1322" s="270" t="s">
        <v>4091</v>
      </c>
      <c r="H1322" s="237">
        <v>0</v>
      </c>
      <c r="I1322" s="237">
        <v>0</v>
      </c>
      <c r="J1322" s="161" t="s">
        <v>2650</v>
      </c>
      <c r="K1322" s="52" t="s">
        <v>4092</v>
      </c>
      <c r="L1322" s="161" t="s">
        <v>2650</v>
      </c>
      <c r="M1322" s="52" t="s">
        <v>4093</v>
      </c>
      <c r="N1322" s="161" t="s">
        <v>2650</v>
      </c>
      <c r="O1322" s="52" t="s">
        <v>4094</v>
      </c>
      <c r="P1322" s="161" t="s">
        <v>2650</v>
      </c>
      <c r="Q1322" s="52" t="s">
        <v>4095</v>
      </c>
      <c r="R1322" s="161" t="s">
        <v>2650</v>
      </c>
      <c r="S1322" s="52" t="s">
        <v>4096</v>
      </c>
      <c r="T1322" s="161" t="s">
        <v>2650</v>
      </c>
      <c r="U1322" s="52" t="s">
        <v>4096</v>
      </c>
      <c r="V1322" s="259"/>
      <c r="W1322" s="259"/>
      <c r="X1322" s="259"/>
    </row>
    <row r="1323" spans="2:24" s="165" customFormat="1" ht="45">
      <c r="B1323" s="48"/>
      <c r="C1323" s="62"/>
      <c r="D1323" s="63"/>
      <c r="E1323" s="63"/>
      <c r="F1323" s="64"/>
      <c r="G1323" s="423" t="s">
        <v>4097</v>
      </c>
      <c r="H1323" s="237">
        <v>0</v>
      </c>
      <c r="I1323" s="237">
        <v>0</v>
      </c>
      <c r="J1323" s="161">
        <v>0</v>
      </c>
      <c r="K1323" s="52">
        <v>0</v>
      </c>
      <c r="L1323" s="161" t="s">
        <v>4098</v>
      </c>
      <c r="M1323" s="161" t="s">
        <v>4099</v>
      </c>
      <c r="N1323" s="161" t="s">
        <v>4100</v>
      </c>
      <c r="O1323" s="161" t="s">
        <v>3447</v>
      </c>
      <c r="P1323" s="161" t="s">
        <v>4101</v>
      </c>
      <c r="Q1323" s="161" t="s">
        <v>4102</v>
      </c>
      <c r="R1323" s="161" t="s">
        <v>4103</v>
      </c>
      <c r="S1323" s="161" t="s">
        <v>4104</v>
      </c>
      <c r="T1323" s="161" t="s">
        <v>4103</v>
      </c>
      <c r="U1323" s="161" t="s">
        <v>4104</v>
      </c>
      <c r="V1323" s="259"/>
      <c r="W1323" s="259"/>
      <c r="X1323" s="259"/>
    </row>
    <row r="1324" spans="2:24" s="165" customFormat="1" ht="45">
      <c r="B1324" s="48"/>
      <c r="C1324" s="62"/>
      <c r="D1324" s="63"/>
      <c r="E1324" s="63"/>
      <c r="F1324" s="64"/>
      <c r="G1324" s="58" t="s">
        <v>4105</v>
      </c>
      <c r="H1324" s="52" t="s">
        <v>4106</v>
      </c>
      <c r="I1324" s="52" t="s">
        <v>4107</v>
      </c>
      <c r="J1324" s="52" t="s">
        <v>4108</v>
      </c>
      <c r="K1324" s="52" t="s">
        <v>4109</v>
      </c>
      <c r="L1324" s="52" t="s">
        <v>4107</v>
      </c>
      <c r="M1324" s="52" t="s">
        <v>4110</v>
      </c>
      <c r="N1324" s="52" t="s">
        <v>4111</v>
      </c>
      <c r="O1324" s="52" t="s">
        <v>4099</v>
      </c>
      <c r="P1324" s="52" t="s">
        <v>4112</v>
      </c>
      <c r="Q1324" s="52" t="s">
        <v>3446</v>
      </c>
      <c r="R1324" s="52" t="s">
        <v>4113</v>
      </c>
      <c r="S1324" s="251">
        <v>30000000</v>
      </c>
      <c r="T1324" s="52" t="s">
        <v>4113</v>
      </c>
      <c r="U1324" s="251">
        <v>30000000</v>
      </c>
      <c r="V1324" s="259"/>
      <c r="W1324" s="259"/>
      <c r="X1324" s="259"/>
    </row>
    <row r="1325" spans="2:24" s="165" customFormat="1" ht="45">
      <c r="B1325" s="48"/>
      <c r="C1325" s="62"/>
      <c r="D1325" s="63"/>
      <c r="E1325" s="63"/>
      <c r="F1325" s="64"/>
      <c r="G1325" s="58" t="s">
        <v>4114</v>
      </c>
      <c r="H1325" s="52" t="s">
        <v>4115</v>
      </c>
      <c r="I1325" s="52" t="s">
        <v>4116</v>
      </c>
      <c r="J1325" s="52" t="s">
        <v>4116</v>
      </c>
      <c r="K1325" s="52" t="s">
        <v>4109</v>
      </c>
      <c r="L1325" s="52" t="s">
        <v>4116</v>
      </c>
      <c r="M1325" s="52" t="s">
        <v>4099</v>
      </c>
      <c r="N1325" s="52" t="s">
        <v>4116</v>
      </c>
      <c r="O1325" s="52" t="s">
        <v>3446</v>
      </c>
      <c r="P1325" s="52" t="s">
        <v>4116</v>
      </c>
      <c r="Q1325" s="52" t="s">
        <v>3446</v>
      </c>
      <c r="R1325" s="52" t="s">
        <v>4116</v>
      </c>
      <c r="S1325" s="52" t="s">
        <v>3447</v>
      </c>
      <c r="T1325" s="52" t="s">
        <v>4116</v>
      </c>
      <c r="U1325" s="52" t="s">
        <v>3447</v>
      </c>
      <c r="V1325" s="259"/>
      <c r="W1325" s="259"/>
      <c r="X1325" s="259"/>
    </row>
    <row r="1326" spans="2:24" s="165" customFormat="1" ht="60">
      <c r="B1326" s="48"/>
      <c r="C1326" s="62">
        <v>2.0099999999999998</v>
      </c>
      <c r="D1326" s="63" t="s">
        <v>773</v>
      </c>
      <c r="E1326" s="63">
        <f>'matrik MISI 1'!L26</f>
        <v>22</v>
      </c>
      <c r="F1326" s="64" t="str">
        <f>'matrik MISI 1'!M26</f>
        <v>Program Peningkatan Produksi Hasil peternakan</v>
      </c>
      <c r="G1326" s="58"/>
      <c r="H1326" s="259"/>
      <c r="I1326" s="259"/>
      <c r="J1326" s="259"/>
      <c r="K1326" s="259"/>
      <c r="L1326" s="259"/>
      <c r="M1326" s="259"/>
      <c r="N1326" s="259"/>
      <c r="O1326" s="259"/>
      <c r="P1326" s="259"/>
      <c r="Q1326" s="259"/>
      <c r="R1326" s="259"/>
      <c r="S1326" s="259"/>
      <c r="T1326" s="259"/>
      <c r="U1326" s="259"/>
      <c r="V1326" s="259"/>
      <c r="W1326" s="259"/>
      <c r="X1326" s="259" t="str">
        <f>'matrik MISI 1'!X26</f>
        <v>DINAKAN</v>
      </c>
    </row>
    <row r="1327" spans="2:24" s="165" customFormat="1" ht="45">
      <c r="B1327" s="48"/>
      <c r="C1327" s="62"/>
      <c r="D1327" s="63"/>
      <c r="E1327" s="63"/>
      <c r="F1327" s="64"/>
      <c r="G1327" s="424" t="s">
        <v>4163</v>
      </c>
      <c r="H1327" s="52"/>
      <c r="I1327" s="57"/>
      <c r="J1327" s="245"/>
      <c r="K1327" s="355">
        <v>40000000</v>
      </c>
      <c r="L1327" s="245"/>
      <c r="M1327" s="355">
        <v>50000000</v>
      </c>
      <c r="N1327" s="245"/>
      <c r="O1327" s="355">
        <v>60000000</v>
      </c>
      <c r="P1327" s="245"/>
      <c r="Q1327" s="355">
        <v>60000000</v>
      </c>
      <c r="R1327" s="245"/>
      <c r="S1327" s="260">
        <v>65000000</v>
      </c>
      <c r="T1327" s="245"/>
      <c r="U1327" s="260">
        <v>65000000</v>
      </c>
      <c r="V1327" s="259"/>
      <c r="W1327" s="259"/>
      <c r="X1327" s="259"/>
    </row>
    <row r="1328" spans="2:24" s="165" customFormat="1" ht="60">
      <c r="B1328" s="48"/>
      <c r="C1328" s="62"/>
      <c r="D1328" s="63"/>
      <c r="E1328" s="63"/>
      <c r="F1328" s="64"/>
      <c r="G1328" s="425" t="s">
        <v>4230</v>
      </c>
      <c r="H1328" s="237">
        <v>0</v>
      </c>
      <c r="I1328" s="356">
        <v>0</v>
      </c>
      <c r="J1328" s="245" t="s">
        <v>2913</v>
      </c>
      <c r="K1328" s="355"/>
      <c r="L1328" s="245" t="s">
        <v>2913</v>
      </c>
      <c r="M1328" s="355"/>
      <c r="N1328" s="245" t="s">
        <v>2913</v>
      </c>
      <c r="O1328" s="355"/>
      <c r="P1328" s="245" t="s">
        <v>2913</v>
      </c>
      <c r="Q1328" s="355"/>
      <c r="R1328" s="245" t="s">
        <v>2913</v>
      </c>
      <c r="S1328" s="260"/>
      <c r="T1328" s="245" t="s">
        <v>2913</v>
      </c>
      <c r="U1328" s="260"/>
      <c r="V1328" s="259"/>
      <c r="W1328" s="259"/>
      <c r="X1328" s="259"/>
    </row>
    <row r="1329" spans="2:24" s="165" customFormat="1" ht="45">
      <c r="B1329" s="48"/>
      <c r="C1329" s="62"/>
      <c r="D1329" s="63"/>
      <c r="E1329" s="63"/>
      <c r="F1329" s="64"/>
      <c r="G1329" s="57" t="s">
        <v>4164</v>
      </c>
      <c r="H1329" s="237">
        <v>0</v>
      </c>
      <c r="I1329" s="356">
        <v>0</v>
      </c>
      <c r="J1329" s="245" t="s">
        <v>2913</v>
      </c>
      <c r="K1329" s="355"/>
      <c r="L1329" s="245" t="s">
        <v>2913</v>
      </c>
      <c r="M1329" s="355"/>
      <c r="N1329" s="245" t="s">
        <v>2913</v>
      </c>
      <c r="O1329" s="355"/>
      <c r="P1329" s="245" t="s">
        <v>2913</v>
      </c>
      <c r="Q1329" s="355"/>
      <c r="R1329" s="245" t="s">
        <v>2913</v>
      </c>
      <c r="S1329" s="260"/>
      <c r="T1329" s="245" t="s">
        <v>2913</v>
      </c>
      <c r="U1329" s="260"/>
      <c r="V1329" s="259"/>
      <c r="W1329" s="259"/>
      <c r="X1329" s="259"/>
    </row>
    <row r="1330" spans="2:24" s="165" customFormat="1" ht="45">
      <c r="B1330" s="48"/>
      <c r="C1330" s="62"/>
      <c r="D1330" s="63"/>
      <c r="E1330" s="63"/>
      <c r="F1330" s="64"/>
      <c r="G1330" s="57" t="s">
        <v>4165</v>
      </c>
      <c r="H1330" s="237">
        <v>0</v>
      </c>
      <c r="I1330" s="356">
        <v>0</v>
      </c>
      <c r="J1330" s="52" t="s">
        <v>3805</v>
      </c>
      <c r="K1330" s="355"/>
      <c r="L1330" s="52" t="s">
        <v>3805</v>
      </c>
      <c r="M1330" s="355"/>
      <c r="N1330" s="52" t="s">
        <v>3805</v>
      </c>
      <c r="O1330" s="355"/>
      <c r="P1330" s="52" t="s">
        <v>3805</v>
      </c>
      <c r="Q1330" s="355"/>
      <c r="R1330" s="52" t="s">
        <v>3805</v>
      </c>
      <c r="S1330" s="260"/>
      <c r="T1330" s="52" t="s">
        <v>3805</v>
      </c>
      <c r="U1330" s="260"/>
      <c r="V1330" s="259"/>
      <c r="W1330" s="259"/>
      <c r="X1330" s="259"/>
    </row>
    <row r="1331" spans="2:24" s="165" customFormat="1" ht="45">
      <c r="B1331" s="48"/>
      <c r="C1331" s="62"/>
      <c r="D1331" s="63"/>
      <c r="E1331" s="63"/>
      <c r="F1331" s="64"/>
      <c r="G1331" s="424" t="s">
        <v>4166</v>
      </c>
      <c r="H1331" s="357"/>
      <c r="I1331" s="358"/>
      <c r="J1331" s="45"/>
      <c r="K1331" s="359"/>
      <c r="L1331" s="45"/>
      <c r="M1331" s="359">
        <v>25000000</v>
      </c>
      <c r="N1331" s="45"/>
      <c r="O1331" s="359">
        <v>25000000</v>
      </c>
      <c r="P1331" s="45"/>
      <c r="Q1331" s="359">
        <v>25000000</v>
      </c>
      <c r="R1331" s="45"/>
      <c r="S1331" s="359">
        <v>25000000</v>
      </c>
      <c r="T1331" s="45"/>
      <c r="U1331" s="359">
        <v>25000000</v>
      </c>
      <c r="V1331" s="259"/>
      <c r="W1331" s="259"/>
      <c r="X1331" s="259"/>
    </row>
    <row r="1332" spans="2:24" s="165" customFormat="1" ht="45">
      <c r="B1332" s="48"/>
      <c r="C1332" s="62"/>
      <c r="D1332" s="63"/>
      <c r="E1332" s="63"/>
      <c r="F1332" s="64"/>
      <c r="G1332" s="425" t="s">
        <v>4167</v>
      </c>
      <c r="H1332" s="237">
        <v>0</v>
      </c>
      <c r="I1332" s="356">
        <v>0</v>
      </c>
      <c r="J1332" s="52"/>
      <c r="K1332" s="355"/>
      <c r="L1332" s="52" t="s">
        <v>4168</v>
      </c>
      <c r="M1332" s="355"/>
      <c r="N1332" s="52" t="s">
        <v>4168</v>
      </c>
      <c r="O1332" s="355"/>
      <c r="P1332" s="52" t="s">
        <v>4168</v>
      </c>
      <c r="Q1332" s="355"/>
      <c r="R1332" s="52" t="s">
        <v>4168</v>
      </c>
      <c r="S1332" s="355"/>
      <c r="T1332" s="52" t="s">
        <v>4168</v>
      </c>
      <c r="U1332" s="355"/>
      <c r="V1332" s="259"/>
      <c r="W1332" s="259"/>
      <c r="X1332" s="259"/>
    </row>
    <row r="1333" spans="2:24" s="165" customFormat="1" ht="45">
      <c r="B1333" s="48"/>
      <c r="C1333" s="62" t="str">
        <f>'matrik MISI 1'!J37</f>
        <v>2.01.</v>
      </c>
      <c r="D1333" s="63" t="str">
        <f>'matrik MISI 1'!K37</f>
        <v>xx</v>
      </c>
      <c r="E1333" s="63">
        <f>'matrik MISI 1'!L37</f>
        <v>25</v>
      </c>
      <c r="F1333" s="64" t="str">
        <f>'matrik MISI 1'!M37</f>
        <v>Program Pemberdayaan Petani</v>
      </c>
      <c r="G1333" s="58"/>
      <c r="H1333" s="259"/>
      <c r="I1333" s="259"/>
      <c r="J1333" s="259"/>
      <c r="K1333" s="259"/>
      <c r="L1333" s="259"/>
      <c r="M1333" s="259"/>
      <c r="N1333" s="259"/>
      <c r="O1333" s="259"/>
      <c r="P1333" s="259"/>
      <c r="Q1333" s="259"/>
      <c r="R1333" s="259"/>
      <c r="S1333" s="259"/>
      <c r="T1333" s="259"/>
      <c r="U1333" s="259"/>
      <c r="V1333" s="259"/>
      <c r="W1333" s="259"/>
      <c r="X1333" s="259" t="str">
        <f>'matrik MISI 1'!X37</f>
        <v>BAPELUH</v>
      </c>
    </row>
    <row r="1334" spans="2:24" s="165" customFormat="1" ht="90">
      <c r="B1334" s="48"/>
      <c r="C1334" s="62"/>
      <c r="D1334" s="63"/>
      <c r="E1334" s="63"/>
      <c r="F1334" s="64"/>
      <c r="G1334" s="173" t="s">
        <v>4056</v>
      </c>
      <c r="H1334" s="360">
        <f>110/1540*100</f>
        <v>7.1428571428571423</v>
      </c>
      <c r="I1334" s="360">
        <f>110/1540*100</f>
        <v>7.1428571428571423</v>
      </c>
      <c r="J1334" s="360">
        <f>124/1540*100</f>
        <v>8.0519480519480524</v>
      </c>
      <c r="K1334" s="260">
        <v>0</v>
      </c>
      <c r="L1334" s="360">
        <f>124/1540*100</f>
        <v>8.0519480519480524</v>
      </c>
      <c r="M1334" s="260">
        <f>1500000+1240000+1500000</f>
        <v>4240000</v>
      </c>
      <c r="N1334" s="360">
        <f>124/1540*100</f>
        <v>8.0519480519480524</v>
      </c>
      <c r="O1334" s="260">
        <f>1500000+1240000+1500000+260000</f>
        <v>4500000</v>
      </c>
      <c r="P1334" s="360">
        <f>124/1540*100</f>
        <v>8.0519480519480524</v>
      </c>
      <c r="Q1334" s="260">
        <f>1500000+1240000+1500000+260000</f>
        <v>4500000</v>
      </c>
      <c r="R1334" s="360">
        <f>124/1540*100</f>
        <v>8.0519480519480524</v>
      </c>
      <c r="S1334" s="260">
        <f>1500000+1240000+1500000+500000+10000</f>
        <v>4750000</v>
      </c>
      <c r="T1334" s="360">
        <f>124/1540*100</f>
        <v>8.0519480519480524</v>
      </c>
      <c r="U1334" s="260">
        <f>1500000+1240000+1500000+500000+10000</f>
        <v>4750000</v>
      </c>
      <c r="V1334" s="259"/>
      <c r="W1334" s="259"/>
      <c r="X1334" s="259"/>
    </row>
    <row r="1335" spans="2:24" s="165" customFormat="1">
      <c r="B1335" s="48"/>
      <c r="C1335" s="62"/>
      <c r="D1335" s="63"/>
      <c r="E1335" s="63"/>
      <c r="F1335" s="64"/>
      <c r="G1335" s="173" t="s">
        <v>4057</v>
      </c>
      <c r="H1335" s="245">
        <v>104</v>
      </c>
      <c r="I1335" s="245">
        <v>105</v>
      </c>
      <c r="J1335" s="245">
        <v>100</v>
      </c>
      <c r="K1335" s="260"/>
      <c r="L1335" s="245">
        <v>100</v>
      </c>
      <c r="M1335" s="260" t="s">
        <v>1798</v>
      </c>
      <c r="N1335" s="245">
        <v>100</v>
      </c>
      <c r="O1335" s="260" t="s">
        <v>1798</v>
      </c>
      <c r="P1335" s="245">
        <v>100</v>
      </c>
      <c r="Q1335" s="260" t="s">
        <v>1798</v>
      </c>
      <c r="R1335" s="245">
        <v>100</v>
      </c>
      <c r="S1335" s="260" t="s">
        <v>1798</v>
      </c>
      <c r="T1335" s="245">
        <v>100</v>
      </c>
      <c r="U1335" s="260" t="s">
        <v>1798</v>
      </c>
      <c r="V1335" s="259"/>
      <c r="W1335" s="259"/>
      <c r="X1335" s="259"/>
    </row>
    <row r="1336" spans="2:24" s="165" customFormat="1">
      <c r="B1336" s="48"/>
      <c r="C1336" s="62"/>
      <c r="D1336" s="63"/>
      <c r="E1336" s="63"/>
      <c r="F1336" s="64"/>
      <c r="G1336" s="173" t="s">
        <v>4058</v>
      </c>
      <c r="H1336" s="245">
        <v>4</v>
      </c>
      <c r="I1336" s="245">
        <v>5</v>
      </c>
      <c r="J1336" s="245">
        <v>20</v>
      </c>
      <c r="K1336" s="260"/>
      <c r="L1336" s="245">
        <v>20</v>
      </c>
      <c r="M1336" s="260"/>
      <c r="N1336" s="245">
        <v>20</v>
      </c>
      <c r="O1336" s="260"/>
      <c r="P1336" s="245">
        <v>20</v>
      </c>
      <c r="Q1336" s="260"/>
      <c r="R1336" s="245">
        <v>20</v>
      </c>
      <c r="S1336" s="260"/>
      <c r="T1336" s="245">
        <v>20</v>
      </c>
      <c r="U1336" s="260"/>
      <c r="V1336" s="259"/>
      <c r="W1336" s="259"/>
      <c r="X1336" s="259"/>
    </row>
    <row r="1337" spans="2:24" s="165" customFormat="1">
      <c r="B1337" s="48"/>
      <c r="C1337" s="62"/>
      <c r="D1337" s="63"/>
      <c r="E1337" s="63"/>
      <c r="F1337" s="64"/>
      <c r="G1337" s="173" t="s">
        <v>4059</v>
      </c>
      <c r="H1337" s="245">
        <v>2</v>
      </c>
      <c r="I1337" s="245">
        <v>0</v>
      </c>
      <c r="J1337" s="245">
        <v>4</v>
      </c>
      <c r="K1337" s="260"/>
      <c r="L1337" s="245">
        <v>4</v>
      </c>
      <c r="M1337" s="260"/>
      <c r="N1337" s="245">
        <v>4</v>
      </c>
      <c r="O1337" s="260"/>
      <c r="P1337" s="245">
        <v>4</v>
      </c>
      <c r="Q1337" s="260"/>
      <c r="R1337" s="245">
        <v>4</v>
      </c>
      <c r="S1337" s="260"/>
      <c r="T1337" s="245">
        <v>4</v>
      </c>
      <c r="U1337" s="260"/>
      <c r="V1337" s="259"/>
      <c r="W1337" s="259"/>
      <c r="X1337" s="259"/>
    </row>
    <row r="1338" spans="2:24" s="165" customFormat="1">
      <c r="B1338" s="48"/>
      <c r="C1338" s="62"/>
      <c r="D1338" s="63"/>
      <c r="E1338" s="63"/>
      <c r="F1338" s="64"/>
      <c r="G1338" s="173" t="s">
        <v>4060</v>
      </c>
      <c r="H1338" s="245">
        <v>1540</v>
      </c>
      <c r="I1338" s="245">
        <v>1540</v>
      </c>
      <c r="J1338" s="245">
        <v>1540</v>
      </c>
      <c r="K1338" s="260"/>
      <c r="L1338" s="245">
        <v>1540</v>
      </c>
      <c r="M1338" s="260"/>
      <c r="N1338" s="245">
        <v>1540</v>
      </c>
      <c r="O1338" s="260"/>
      <c r="P1338" s="245">
        <v>1540</v>
      </c>
      <c r="Q1338" s="260"/>
      <c r="R1338" s="245">
        <v>1540</v>
      </c>
      <c r="S1338" s="260"/>
      <c r="T1338" s="245">
        <v>1540</v>
      </c>
      <c r="U1338" s="260"/>
      <c r="V1338" s="259"/>
      <c r="W1338" s="259"/>
      <c r="X1338" s="259"/>
    </row>
    <row r="1339" spans="2:24" s="165" customFormat="1" ht="30">
      <c r="B1339" s="48"/>
      <c r="C1339" s="62"/>
      <c r="D1339" s="63"/>
      <c r="E1339" s="63"/>
      <c r="F1339" s="64"/>
      <c r="G1339" s="173" t="s">
        <v>4061</v>
      </c>
      <c r="H1339" s="245">
        <f>H1335+H1336+H1337</f>
        <v>110</v>
      </c>
      <c r="I1339" s="245">
        <f>SUM(I1335:I1337)</f>
        <v>110</v>
      </c>
      <c r="J1339" s="245">
        <f>SUM(J1335:J1337)</f>
        <v>124</v>
      </c>
      <c r="K1339" s="260"/>
      <c r="L1339" s="245">
        <f>SUM(L1335:L1337)</f>
        <v>124</v>
      </c>
      <c r="M1339" s="260"/>
      <c r="N1339" s="245">
        <f>SUM(N1335:N1337)</f>
        <v>124</v>
      </c>
      <c r="O1339" s="260"/>
      <c r="P1339" s="245">
        <v>124</v>
      </c>
      <c r="Q1339" s="260"/>
      <c r="R1339" s="245">
        <f>SUM(R1335:R1337)</f>
        <v>124</v>
      </c>
      <c r="S1339" s="260"/>
      <c r="T1339" s="245">
        <f>SUM(T1335:T1337)</f>
        <v>124</v>
      </c>
      <c r="U1339" s="260"/>
      <c r="V1339" s="259"/>
      <c r="W1339" s="259"/>
      <c r="X1339" s="259"/>
    </row>
    <row r="1340" spans="2:24" s="165" customFormat="1" ht="90">
      <c r="B1340" s="48"/>
      <c r="C1340" s="62"/>
      <c r="D1340" s="63"/>
      <c r="E1340" s="63"/>
      <c r="F1340" s="64"/>
      <c r="G1340" s="173" t="s">
        <v>4062</v>
      </c>
      <c r="H1340" s="260">
        <v>0</v>
      </c>
      <c r="I1340" s="260">
        <v>0</v>
      </c>
      <c r="J1340" s="260">
        <v>0</v>
      </c>
      <c r="K1340" s="260">
        <v>0</v>
      </c>
      <c r="L1340" s="260">
        <v>1</v>
      </c>
      <c r="M1340" s="361">
        <f>15000000+1000000+1500000+(2250000*6)</f>
        <v>31000000</v>
      </c>
      <c r="N1340" s="260">
        <v>1</v>
      </c>
      <c r="O1340" s="361">
        <f>15000000+1000000+1500000+(2250000*6)+(0.1*31000000)</f>
        <v>34100000</v>
      </c>
      <c r="P1340" s="260">
        <v>1</v>
      </c>
      <c r="Q1340" s="361">
        <f>15000000+1000000+1500000+(2250000*6)+(0.1*34100000)</f>
        <v>34410000</v>
      </c>
      <c r="R1340" s="260">
        <v>1</v>
      </c>
      <c r="S1340" s="361">
        <f>15000000+1000000+1500000+(2250000*6)+(0.1*34410000)</f>
        <v>34441000</v>
      </c>
      <c r="T1340" s="260">
        <v>1</v>
      </c>
      <c r="U1340" s="361">
        <f>15000000+1000000+1500000+(2250000*6)+(0.1*34410000)</f>
        <v>34441000</v>
      </c>
      <c r="V1340" s="259"/>
      <c r="W1340" s="259"/>
      <c r="X1340" s="259"/>
    </row>
    <row r="1341" spans="2:24" s="165" customFormat="1" ht="45">
      <c r="B1341" s="48"/>
      <c r="C1341" s="62"/>
      <c r="D1341" s="63"/>
      <c r="E1341" s="63"/>
      <c r="F1341" s="64"/>
      <c r="G1341" s="173" t="s">
        <v>4063</v>
      </c>
      <c r="H1341" s="245">
        <v>0</v>
      </c>
      <c r="I1341" s="245">
        <v>0</v>
      </c>
      <c r="J1341" s="245">
        <v>0</v>
      </c>
      <c r="K1341" s="260">
        <v>11112500</v>
      </c>
      <c r="L1341" s="245">
        <v>6</v>
      </c>
      <c r="M1341" s="260">
        <f>K1341+(0.1*K1341)</f>
        <v>12223750</v>
      </c>
      <c r="N1341" s="245">
        <v>6</v>
      </c>
      <c r="O1341" s="260">
        <f>M1341+(0.1*M1341)</f>
        <v>13446125</v>
      </c>
      <c r="P1341" s="245">
        <v>6</v>
      </c>
      <c r="Q1341" s="260">
        <f>O1341+(0.1*O1341)</f>
        <v>14790737.5</v>
      </c>
      <c r="R1341" s="245">
        <v>6</v>
      </c>
      <c r="S1341" s="260">
        <f>Q1341+(0.1*Q1341)</f>
        <v>16269811.25</v>
      </c>
      <c r="T1341" s="245">
        <v>6</v>
      </c>
      <c r="U1341" s="260">
        <f>S1341+(0.1*S1341)</f>
        <v>17896792.375</v>
      </c>
      <c r="V1341" s="259"/>
      <c r="W1341" s="259"/>
      <c r="X1341" s="259"/>
    </row>
    <row r="1342" spans="2:24" s="165" customFormat="1" ht="45">
      <c r="B1342" s="48"/>
      <c r="C1342" s="62"/>
      <c r="D1342" s="63"/>
      <c r="E1342" s="63"/>
      <c r="F1342" s="64"/>
      <c r="G1342" s="173" t="s">
        <v>4064</v>
      </c>
      <c r="H1342" s="245">
        <v>0</v>
      </c>
      <c r="I1342" s="245">
        <v>0</v>
      </c>
      <c r="J1342" s="245">
        <v>0</v>
      </c>
      <c r="K1342" s="260">
        <v>19500000</v>
      </c>
      <c r="L1342" s="245">
        <v>6</v>
      </c>
      <c r="M1342" s="260">
        <f t="shared" ref="M1342:M1345" si="135">K1342+(0.1*K1342)</f>
        <v>21450000</v>
      </c>
      <c r="N1342" s="245">
        <v>6</v>
      </c>
      <c r="O1342" s="260">
        <f t="shared" ref="O1342:O1345" si="136">M1342+(0.1*M1342)</f>
        <v>23595000</v>
      </c>
      <c r="P1342" s="245">
        <v>6</v>
      </c>
      <c r="Q1342" s="260">
        <f t="shared" ref="Q1342:Q1345" si="137">O1342+(0.1*O1342)</f>
        <v>25954500</v>
      </c>
      <c r="R1342" s="245">
        <v>6</v>
      </c>
      <c r="S1342" s="260">
        <f t="shared" ref="S1342:S1345" si="138">Q1342+(0.1*Q1342)</f>
        <v>28549950</v>
      </c>
      <c r="T1342" s="245">
        <v>6</v>
      </c>
      <c r="U1342" s="260">
        <f t="shared" ref="U1342:U1345" si="139">S1342+(0.1*S1342)</f>
        <v>31404945</v>
      </c>
      <c r="V1342" s="259"/>
      <c r="W1342" s="259"/>
      <c r="X1342" s="259"/>
    </row>
    <row r="1343" spans="2:24" s="165" customFormat="1" ht="30">
      <c r="B1343" s="48"/>
      <c r="C1343" s="62"/>
      <c r="D1343" s="63"/>
      <c r="E1343" s="63"/>
      <c r="F1343" s="64"/>
      <c r="G1343" s="173" t="s">
        <v>4065</v>
      </c>
      <c r="H1343" s="245">
        <v>0</v>
      </c>
      <c r="I1343" s="245">
        <v>0</v>
      </c>
      <c r="J1343" s="245">
        <v>0</v>
      </c>
      <c r="K1343" s="260">
        <v>1290000</v>
      </c>
      <c r="L1343" s="245">
        <v>4</v>
      </c>
      <c r="M1343" s="260">
        <f t="shared" si="135"/>
        <v>1419000</v>
      </c>
      <c r="N1343" s="245">
        <v>4</v>
      </c>
      <c r="O1343" s="260">
        <f t="shared" si="136"/>
        <v>1560900</v>
      </c>
      <c r="P1343" s="245">
        <v>4</v>
      </c>
      <c r="Q1343" s="260">
        <f t="shared" si="137"/>
        <v>1716990</v>
      </c>
      <c r="R1343" s="245">
        <v>4</v>
      </c>
      <c r="S1343" s="260">
        <f t="shared" si="138"/>
        <v>1888689</v>
      </c>
      <c r="T1343" s="245">
        <v>4</v>
      </c>
      <c r="U1343" s="260">
        <f t="shared" si="139"/>
        <v>2077557.9</v>
      </c>
      <c r="V1343" s="259"/>
      <c r="W1343" s="259"/>
      <c r="X1343" s="259"/>
    </row>
    <row r="1344" spans="2:24" s="165" customFormat="1" ht="45">
      <c r="B1344" s="48"/>
      <c r="C1344" s="62"/>
      <c r="D1344" s="63"/>
      <c r="E1344" s="63"/>
      <c r="F1344" s="64"/>
      <c r="G1344" s="173" t="s">
        <v>4066</v>
      </c>
      <c r="H1344" s="245">
        <v>0</v>
      </c>
      <c r="I1344" s="245">
        <v>0</v>
      </c>
      <c r="J1344" s="245">
        <v>0</v>
      </c>
      <c r="K1344" s="260">
        <v>9262500</v>
      </c>
      <c r="L1344" s="245">
        <v>6</v>
      </c>
      <c r="M1344" s="260">
        <f t="shared" si="135"/>
        <v>10188750</v>
      </c>
      <c r="N1344" s="245">
        <v>6</v>
      </c>
      <c r="O1344" s="260">
        <f t="shared" si="136"/>
        <v>11207625</v>
      </c>
      <c r="P1344" s="245">
        <v>6</v>
      </c>
      <c r="Q1344" s="260">
        <f t="shared" si="137"/>
        <v>12328387.5</v>
      </c>
      <c r="R1344" s="245">
        <v>6</v>
      </c>
      <c r="S1344" s="260">
        <f t="shared" si="138"/>
        <v>13561226.25</v>
      </c>
      <c r="T1344" s="245">
        <v>6</v>
      </c>
      <c r="U1344" s="260">
        <f t="shared" si="139"/>
        <v>14917348.875</v>
      </c>
      <c r="V1344" s="259"/>
      <c r="W1344" s="259"/>
      <c r="X1344" s="259"/>
    </row>
    <row r="1345" spans="2:24" s="165" customFormat="1" ht="60">
      <c r="B1345" s="48"/>
      <c r="C1345" s="62"/>
      <c r="D1345" s="63"/>
      <c r="E1345" s="63"/>
      <c r="F1345" s="64"/>
      <c r="G1345" s="173" t="s">
        <v>4067</v>
      </c>
      <c r="H1345" s="260">
        <v>1</v>
      </c>
      <c r="I1345" s="260">
        <v>1</v>
      </c>
      <c r="J1345" s="260">
        <v>1</v>
      </c>
      <c r="K1345" s="260">
        <v>0</v>
      </c>
      <c r="L1345" s="245">
        <v>1</v>
      </c>
      <c r="M1345" s="260">
        <f t="shared" si="135"/>
        <v>0</v>
      </c>
      <c r="N1345" s="245">
        <v>1</v>
      </c>
      <c r="O1345" s="260">
        <f t="shared" si="136"/>
        <v>0</v>
      </c>
      <c r="P1345" s="245">
        <v>1</v>
      </c>
      <c r="Q1345" s="260">
        <f t="shared" si="137"/>
        <v>0</v>
      </c>
      <c r="R1345" s="245">
        <v>1</v>
      </c>
      <c r="S1345" s="260">
        <f t="shared" si="138"/>
        <v>0</v>
      </c>
      <c r="T1345" s="245">
        <v>1</v>
      </c>
      <c r="U1345" s="260">
        <f t="shared" si="139"/>
        <v>0</v>
      </c>
      <c r="V1345" s="259"/>
      <c r="W1345" s="259"/>
      <c r="X1345" s="259"/>
    </row>
    <row r="1346" spans="2:24" s="165" customFormat="1" ht="30">
      <c r="B1346" s="48"/>
      <c r="C1346" s="62"/>
      <c r="D1346" s="63"/>
      <c r="E1346" s="63"/>
      <c r="F1346" s="64"/>
      <c r="G1346" s="173" t="s">
        <v>4068</v>
      </c>
      <c r="H1346" s="260">
        <v>237</v>
      </c>
      <c r="I1346" s="260">
        <v>44</v>
      </c>
      <c r="J1346" s="260">
        <v>8</v>
      </c>
      <c r="K1346" s="260">
        <v>190000000</v>
      </c>
      <c r="L1346" s="260">
        <v>0</v>
      </c>
      <c r="M1346" s="260"/>
      <c r="N1346" s="260">
        <v>0</v>
      </c>
      <c r="O1346" s="260"/>
      <c r="P1346" s="260">
        <v>0</v>
      </c>
      <c r="Q1346" s="260"/>
      <c r="R1346" s="260">
        <v>0</v>
      </c>
      <c r="S1346" s="260" t="s">
        <v>1798</v>
      </c>
      <c r="T1346" s="260">
        <v>0</v>
      </c>
      <c r="U1346" s="260" t="s">
        <v>1798</v>
      </c>
      <c r="V1346" s="259"/>
      <c r="W1346" s="259"/>
      <c r="X1346" s="259"/>
    </row>
    <row r="1347" spans="2:24" s="165" customFormat="1" ht="75">
      <c r="B1347" s="48"/>
      <c r="C1347" s="62"/>
      <c r="D1347" s="63"/>
      <c r="E1347" s="63"/>
      <c r="F1347" s="64"/>
      <c r="G1347" s="173" t="s">
        <v>4069</v>
      </c>
      <c r="H1347" s="246">
        <f>830000000/23700000000*100</f>
        <v>3.5021097046413501</v>
      </c>
      <c r="I1347" s="246">
        <f>390000000/28100000000*100</f>
        <v>1.3879003558718861</v>
      </c>
      <c r="J1347" s="246">
        <f>810000000/28900000000*100</f>
        <v>2.8027681660899653</v>
      </c>
      <c r="K1347" s="260" t="s">
        <v>1798</v>
      </c>
      <c r="L1347" s="246">
        <v>0</v>
      </c>
      <c r="M1347" s="260"/>
      <c r="N1347" s="246">
        <v>0</v>
      </c>
      <c r="O1347" s="260" t="s">
        <v>1798</v>
      </c>
      <c r="P1347" s="246">
        <v>0</v>
      </c>
      <c r="Q1347" s="260" t="s">
        <v>1798</v>
      </c>
      <c r="R1347" s="246">
        <v>0</v>
      </c>
      <c r="S1347" s="260" t="s">
        <v>1798</v>
      </c>
      <c r="T1347" s="246">
        <v>0</v>
      </c>
      <c r="U1347" s="260" t="s">
        <v>1798</v>
      </c>
      <c r="V1347" s="259"/>
      <c r="W1347" s="259"/>
      <c r="X1347" s="259"/>
    </row>
    <row r="1348" spans="2:24" s="165" customFormat="1">
      <c r="B1348" s="48"/>
      <c r="C1348" s="62"/>
      <c r="D1348" s="63"/>
      <c r="E1348" s="63"/>
      <c r="F1348" s="64"/>
      <c r="G1348" s="173" t="s">
        <v>4070</v>
      </c>
      <c r="H1348" s="362">
        <v>830000000</v>
      </c>
      <c r="I1348" s="362">
        <v>390000000</v>
      </c>
      <c r="J1348" s="362">
        <v>810000000</v>
      </c>
      <c r="K1348" s="363"/>
      <c r="L1348" s="260"/>
      <c r="M1348" s="260"/>
      <c r="N1348" s="260"/>
      <c r="O1348" s="260"/>
      <c r="P1348" s="260"/>
      <c r="Q1348" s="260"/>
      <c r="R1348" s="260"/>
      <c r="S1348" s="260"/>
      <c r="T1348" s="260"/>
      <c r="U1348" s="260"/>
      <c r="V1348" s="259"/>
      <c r="W1348" s="259"/>
      <c r="X1348" s="259"/>
    </row>
    <row r="1349" spans="2:24" s="165" customFormat="1">
      <c r="B1349" s="48"/>
      <c r="C1349" s="62"/>
      <c r="D1349" s="63"/>
      <c r="E1349" s="63"/>
      <c r="F1349" s="64"/>
      <c r="G1349" s="173" t="s">
        <v>4071</v>
      </c>
      <c r="H1349" s="362">
        <f>237*100000000</f>
        <v>23700000000</v>
      </c>
      <c r="I1349" s="362">
        <f>281*100000000</f>
        <v>28100000000</v>
      </c>
      <c r="J1349" s="362">
        <f>289*100000000</f>
        <v>28900000000</v>
      </c>
      <c r="K1349" s="264"/>
      <c r="L1349" s="260"/>
      <c r="M1349" s="260"/>
      <c r="N1349" s="260"/>
      <c r="O1349" s="260"/>
      <c r="P1349" s="260"/>
      <c r="Q1349" s="260"/>
      <c r="R1349" s="260"/>
      <c r="S1349" s="260"/>
      <c r="T1349" s="260"/>
      <c r="U1349" s="260"/>
      <c r="V1349" s="259"/>
      <c r="W1349" s="259"/>
      <c r="X1349" s="259"/>
    </row>
    <row r="1350" spans="2:24" s="165" customFormat="1" ht="30">
      <c r="B1350" s="48"/>
      <c r="C1350" s="62"/>
      <c r="D1350" s="63"/>
      <c r="E1350" s="63"/>
      <c r="F1350" s="64"/>
      <c r="G1350" s="173" t="s">
        <v>4072</v>
      </c>
      <c r="H1350" s="245">
        <f>3</f>
        <v>3</v>
      </c>
      <c r="I1350" s="245">
        <f>4</f>
        <v>4</v>
      </c>
      <c r="J1350" s="245">
        <f>10</f>
        <v>10</v>
      </c>
      <c r="K1350" s="260"/>
      <c r="L1350" s="245">
        <v>0</v>
      </c>
      <c r="M1350" s="260"/>
      <c r="N1350" s="245">
        <v>0</v>
      </c>
      <c r="O1350" s="260"/>
      <c r="P1350" s="245">
        <v>0</v>
      </c>
      <c r="Q1350" s="260"/>
      <c r="R1350" s="245">
        <v>0</v>
      </c>
      <c r="S1350" s="260" t="s">
        <v>1798</v>
      </c>
      <c r="T1350" s="245">
        <v>0</v>
      </c>
      <c r="U1350" s="260" t="s">
        <v>1798</v>
      </c>
      <c r="V1350" s="259"/>
      <c r="W1350" s="259"/>
      <c r="X1350" s="259"/>
    </row>
    <row r="1351" spans="2:24" s="165" customFormat="1" ht="60">
      <c r="B1351" s="48"/>
      <c r="C1351" s="62"/>
      <c r="D1351" s="63"/>
      <c r="E1351" s="63"/>
      <c r="F1351" s="64"/>
      <c r="G1351" s="173" t="s">
        <v>4073</v>
      </c>
      <c r="H1351" s="260">
        <f>0</f>
        <v>0</v>
      </c>
      <c r="I1351" s="245">
        <f>1</f>
        <v>1</v>
      </c>
      <c r="J1351" s="245">
        <v>10</v>
      </c>
      <c r="K1351" s="260"/>
      <c r="L1351" s="245">
        <v>0</v>
      </c>
      <c r="M1351" s="260" t="s">
        <v>1798</v>
      </c>
      <c r="N1351" s="245">
        <v>0</v>
      </c>
      <c r="O1351" s="260" t="s">
        <v>1798</v>
      </c>
      <c r="P1351" s="245">
        <v>0</v>
      </c>
      <c r="Q1351" s="260" t="s">
        <v>1798</v>
      </c>
      <c r="R1351" s="245">
        <v>0</v>
      </c>
      <c r="S1351" s="260" t="s">
        <v>1798</v>
      </c>
      <c r="T1351" s="245">
        <v>0</v>
      </c>
      <c r="U1351" s="260" t="s">
        <v>1798</v>
      </c>
      <c r="V1351" s="259"/>
      <c r="W1351" s="259"/>
      <c r="X1351" s="259"/>
    </row>
    <row r="1352" spans="2:24" s="165" customFormat="1" ht="75">
      <c r="B1352" s="48"/>
      <c r="C1352" s="62"/>
      <c r="D1352" s="63"/>
      <c r="E1352" s="63"/>
      <c r="F1352" s="64"/>
      <c r="G1352" s="173" t="s">
        <v>4074</v>
      </c>
      <c r="H1352" s="260">
        <v>0</v>
      </c>
      <c r="I1352" s="260">
        <v>0</v>
      </c>
      <c r="J1352" s="260">
        <v>0</v>
      </c>
      <c r="K1352" s="260">
        <v>0</v>
      </c>
      <c r="L1352" s="360">
        <f>1000000000/28900000000*100</f>
        <v>3.4602076124567476</v>
      </c>
      <c r="M1352" s="260">
        <f>30000000+30000000+6000000+2500000</f>
        <v>68500000</v>
      </c>
      <c r="N1352" s="360">
        <f>1000000000/28900000000*100</f>
        <v>3.4602076124567476</v>
      </c>
      <c r="O1352" s="260">
        <f>40000000+40000000+8000000+2500000</f>
        <v>90500000</v>
      </c>
      <c r="P1352" s="360">
        <f>1000000000/28900000000*100</f>
        <v>3.4602076124567476</v>
      </c>
      <c r="Q1352" s="260">
        <f>40000000+40000000+8000000+2500000</f>
        <v>90500000</v>
      </c>
      <c r="R1352" s="360">
        <f>1000000000/28900000000*100</f>
        <v>3.4602076124567476</v>
      </c>
      <c r="S1352" s="260">
        <f>60000000+60000000+12000000+2500000</f>
        <v>134500000</v>
      </c>
      <c r="T1352" s="360">
        <f>1000000000/28900000000*100</f>
        <v>3.4602076124567476</v>
      </c>
      <c r="U1352" s="260">
        <f>60000000+60000000+12000000+2500000</f>
        <v>134500000</v>
      </c>
      <c r="V1352" s="259"/>
      <c r="W1352" s="259"/>
      <c r="X1352" s="259"/>
    </row>
    <row r="1353" spans="2:24" s="165" customFormat="1">
      <c r="B1353" s="48"/>
      <c r="C1353" s="62"/>
      <c r="D1353" s="63"/>
      <c r="E1353" s="63"/>
      <c r="F1353" s="64"/>
      <c r="G1353" s="173" t="s">
        <v>4070</v>
      </c>
      <c r="H1353" s="260">
        <v>0</v>
      </c>
      <c r="I1353" s="246"/>
      <c r="J1353" s="246"/>
      <c r="K1353" s="364">
        <v>0</v>
      </c>
      <c r="L1353" s="362">
        <v>1000000000</v>
      </c>
      <c r="M1353" s="264"/>
      <c r="N1353" s="362">
        <v>1000000000</v>
      </c>
      <c r="O1353" s="264"/>
      <c r="P1353" s="260">
        <v>15</v>
      </c>
      <c r="Q1353" s="260">
        <v>1000000000</v>
      </c>
      <c r="R1353" s="260">
        <v>15</v>
      </c>
      <c r="S1353" s="260">
        <v>1000000000</v>
      </c>
      <c r="T1353" s="260">
        <v>15</v>
      </c>
      <c r="U1353" s="260">
        <v>1000000000</v>
      </c>
      <c r="V1353" s="259"/>
      <c r="W1353" s="259"/>
      <c r="X1353" s="259"/>
    </row>
    <row r="1354" spans="2:24" s="165" customFormat="1">
      <c r="B1354" s="48"/>
      <c r="C1354" s="62"/>
      <c r="D1354" s="63"/>
      <c r="E1354" s="63"/>
      <c r="F1354" s="64"/>
      <c r="G1354" s="173" t="s">
        <v>4071</v>
      </c>
      <c r="H1354" s="260">
        <v>0</v>
      </c>
      <c r="I1354" s="246"/>
      <c r="J1354" s="246"/>
      <c r="K1354" s="260">
        <v>0</v>
      </c>
      <c r="L1354" s="362">
        <v>28900000000</v>
      </c>
      <c r="M1354" s="264"/>
      <c r="N1354" s="362">
        <v>28900000000</v>
      </c>
      <c r="O1354" s="264"/>
      <c r="P1354" s="258">
        <v>15</v>
      </c>
      <c r="Q1354" s="258">
        <v>28900000000</v>
      </c>
      <c r="R1354" s="258">
        <v>15</v>
      </c>
      <c r="S1354" s="258">
        <v>28900000000</v>
      </c>
      <c r="T1354" s="258">
        <v>15</v>
      </c>
      <c r="U1354" s="258">
        <v>28900000000</v>
      </c>
      <c r="V1354" s="259"/>
      <c r="W1354" s="259"/>
      <c r="X1354" s="259"/>
    </row>
    <row r="1355" spans="2:24" s="165" customFormat="1" ht="60">
      <c r="B1355" s="48"/>
      <c r="C1355" s="62"/>
      <c r="D1355" s="63"/>
      <c r="E1355" s="63"/>
      <c r="F1355" s="64"/>
      <c r="G1355" s="403" t="s">
        <v>4075</v>
      </c>
      <c r="H1355" s="245">
        <v>0</v>
      </c>
      <c r="I1355" s="245">
        <v>0</v>
      </c>
      <c r="J1355" s="245">
        <v>0</v>
      </c>
      <c r="K1355" s="260"/>
      <c r="L1355" s="245">
        <f>15</f>
        <v>15</v>
      </c>
      <c r="M1355" s="260"/>
      <c r="N1355" s="245">
        <v>15</v>
      </c>
      <c r="O1355" s="260"/>
      <c r="P1355" s="245">
        <v>15</v>
      </c>
      <c r="Q1355" s="260"/>
      <c r="R1355" s="245">
        <v>15</v>
      </c>
      <c r="S1355" s="260" t="s">
        <v>1798</v>
      </c>
      <c r="T1355" s="245">
        <v>15</v>
      </c>
      <c r="U1355" s="260" t="s">
        <v>1798</v>
      </c>
      <c r="V1355" s="259"/>
      <c r="W1355" s="259"/>
      <c r="X1355" s="259"/>
    </row>
    <row r="1356" spans="2:24" s="165" customFormat="1" ht="60">
      <c r="B1356" s="48"/>
      <c r="C1356" s="62"/>
      <c r="D1356" s="63"/>
      <c r="E1356" s="63"/>
      <c r="F1356" s="64"/>
      <c r="G1356" s="173" t="s">
        <v>4076</v>
      </c>
      <c r="H1356" s="245">
        <f>0</f>
        <v>0</v>
      </c>
      <c r="I1356" s="245">
        <v>0</v>
      </c>
      <c r="J1356" s="245">
        <v>0</v>
      </c>
      <c r="K1356" s="260"/>
      <c r="L1356" s="245">
        <v>15</v>
      </c>
      <c r="M1356" s="260" t="s">
        <v>1798</v>
      </c>
      <c r="N1356" s="245">
        <v>15</v>
      </c>
      <c r="O1356" s="260" t="s">
        <v>1798</v>
      </c>
      <c r="P1356" s="245">
        <v>15</v>
      </c>
      <c r="Q1356" s="260" t="s">
        <v>1798</v>
      </c>
      <c r="R1356" s="245">
        <v>15</v>
      </c>
      <c r="S1356" s="260" t="s">
        <v>1798</v>
      </c>
      <c r="T1356" s="245">
        <v>15</v>
      </c>
      <c r="U1356" s="260" t="s">
        <v>1798</v>
      </c>
      <c r="V1356" s="259"/>
      <c r="W1356" s="259"/>
      <c r="X1356" s="259"/>
    </row>
    <row r="1357" spans="2:24" s="165" customFormat="1" ht="45">
      <c r="B1357" s="48"/>
      <c r="C1357" s="62"/>
      <c r="D1357" s="63"/>
      <c r="E1357" s="63"/>
      <c r="F1357" s="64"/>
      <c r="G1357" s="173" t="s">
        <v>4077</v>
      </c>
      <c r="H1357" s="245">
        <v>40</v>
      </c>
      <c r="I1357" s="245">
        <v>10</v>
      </c>
      <c r="J1357" s="245">
        <v>5</v>
      </c>
      <c r="K1357" s="260">
        <v>50000000</v>
      </c>
      <c r="L1357" s="245">
        <v>10</v>
      </c>
      <c r="M1357" s="260">
        <v>75000000</v>
      </c>
      <c r="N1357" s="245">
        <v>10</v>
      </c>
      <c r="O1357" s="260">
        <v>80000000</v>
      </c>
      <c r="P1357" s="245">
        <v>10</v>
      </c>
      <c r="Q1357" s="259"/>
      <c r="R1357" s="259"/>
      <c r="S1357" s="259"/>
      <c r="T1357" s="259"/>
      <c r="U1357" s="259"/>
      <c r="V1357" s="259"/>
      <c r="W1357" s="259"/>
      <c r="X1357" s="259"/>
    </row>
    <row r="1358" spans="2:24" s="165" customFormat="1" ht="75">
      <c r="B1358" s="48"/>
      <c r="C1358" s="62"/>
      <c r="D1358" s="63"/>
      <c r="E1358" s="63"/>
      <c r="F1358" s="64"/>
      <c r="G1358" s="403" t="s">
        <v>4078</v>
      </c>
      <c r="H1358" s="246">
        <f>1/1540*100</f>
        <v>6.4935064935064929E-2</v>
      </c>
      <c r="I1358" s="246">
        <f>3/1540*100</f>
        <v>0.19480519480519481</v>
      </c>
      <c r="J1358" s="246">
        <f>3/1540*100</f>
        <v>0.19480519480519481</v>
      </c>
      <c r="K1358" s="260">
        <v>269190000</v>
      </c>
      <c r="L1358" s="246">
        <f>3/1540*100</f>
        <v>0.19480519480519481</v>
      </c>
      <c r="M1358" s="260">
        <v>150000000</v>
      </c>
      <c r="N1358" s="246">
        <f>3/1540*100</f>
        <v>0.19480519480519481</v>
      </c>
      <c r="O1358" s="260">
        <v>175000000</v>
      </c>
      <c r="P1358" s="246">
        <f>3/1540*100</f>
        <v>0.19480519480519481</v>
      </c>
      <c r="Q1358" s="260">
        <v>200000000</v>
      </c>
      <c r="R1358" s="246">
        <f>3/1540*100</f>
        <v>0.19480519480519481</v>
      </c>
      <c r="S1358" s="260">
        <v>200000000</v>
      </c>
      <c r="T1358" s="246">
        <f>3/1540*100</f>
        <v>0.19480519480519481</v>
      </c>
      <c r="U1358" s="260">
        <v>200000000</v>
      </c>
      <c r="V1358" s="259"/>
      <c r="W1358" s="259"/>
      <c r="X1358" s="259"/>
    </row>
    <row r="1359" spans="2:24" s="165" customFormat="1" ht="75">
      <c r="B1359" s="48"/>
      <c r="C1359" s="62"/>
      <c r="D1359" s="63"/>
      <c r="E1359" s="63"/>
      <c r="F1359" s="64"/>
      <c r="G1359" s="173" t="s">
        <v>4079</v>
      </c>
      <c r="H1359" s="246">
        <f>16/1540*100</f>
        <v>1.0389610389610389</v>
      </c>
      <c r="I1359" s="246">
        <f>14/1540*100</f>
        <v>0.90909090909090906</v>
      </c>
      <c r="J1359" s="246">
        <f>25/1540*100</f>
        <v>1.6233766233766231</v>
      </c>
      <c r="K1359" s="260">
        <v>75000000</v>
      </c>
      <c r="L1359" s="246">
        <f>25/1540*100</f>
        <v>1.6233766233766231</v>
      </c>
      <c r="M1359" s="260">
        <v>80000000</v>
      </c>
      <c r="N1359" s="246">
        <f>25/1540*100</f>
        <v>1.6233766233766231</v>
      </c>
      <c r="O1359" s="260">
        <v>80000000</v>
      </c>
      <c r="P1359" s="246">
        <f>25/1540*100</f>
        <v>1.6233766233766231</v>
      </c>
      <c r="Q1359" s="260">
        <v>80000000</v>
      </c>
      <c r="R1359" s="246">
        <f>25/1540*100</f>
        <v>1.6233766233766231</v>
      </c>
      <c r="S1359" s="260">
        <v>80000000</v>
      </c>
      <c r="T1359" s="246">
        <f>25/1540*100</f>
        <v>1.6233766233766231</v>
      </c>
      <c r="U1359" s="260">
        <v>80000000</v>
      </c>
      <c r="V1359" s="259"/>
      <c r="W1359" s="259"/>
      <c r="X1359" s="259"/>
    </row>
    <row r="1360" spans="2:24" s="165" customFormat="1" ht="30">
      <c r="B1360" s="48"/>
      <c r="C1360" s="62"/>
      <c r="D1360" s="63"/>
      <c r="E1360" s="63"/>
      <c r="F1360" s="64"/>
      <c r="G1360" s="173" t="s">
        <v>4080</v>
      </c>
      <c r="H1360" s="52">
        <v>0</v>
      </c>
      <c r="I1360" s="52">
        <v>20</v>
      </c>
      <c r="J1360" s="52">
        <v>180</v>
      </c>
      <c r="K1360" s="260">
        <v>7000000</v>
      </c>
      <c r="L1360" s="52">
        <v>150</v>
      </c>
      <c r="M1360" s="260">
        <v>6000000</v>
      </c>
      <c r="N1360" s="52">
        <v>20</v>
      </c>
      <c r="O1360" s="260">
        <v>6000000</v>
      </c>
      <c r="P1360" s="52">
        <v>20</v>
      </c>
      <c r="Q1360" s="260">
        <v>6000000</v>
      </c>
      <c r="R1360" s="52">
        <v>20</v>
      </c>
      <c r="S1360" s="260">
        <v>6000000</v>
      </c>
      <c r="T1360" s="52">
        <v>20</v>
      </c>
      <c r="U1360" s="260">
        <v>6000000</v>
      </c>
      <c r="V1360" s="259"/>
      <c r="W1360" s="259"/>
      <c r="X1360" s="259"/>
    </row>
    <row r="1361" spans="1:32" s="165" customFormat="1" ht="60">
      <c r="B1361" s="48"/>
      <c r="C1361" s="62"/>
      <c r="D1361" s="63"/>
      <c r="E1361" s="63"/>
      <c r="F1361" s="64"/>
      <c r="G1361" s="173" t="s">
        <v>4081</v>
      </c>
      <c r="H1361" s="52">
        <v>0</v>
      </c>
      <c r="I1361" s="52">
        <v>0</v>
      </c>
      <c r="J1361" s="246">
        <f>10/1540*100</f>
        <v>0.64935064935064934</v>
      </c>
      <c r="K1361" s="361">
        <v>50000000</v>
      </c>
      <c r="L1361" s="246">
        <f>10/1540*100</f>
        <v>0.64935064935064934</v>
      </c>
      <c r="M1361" s="361">
        <v>50000000</v>
      </c>
      <c r="N1361" s="246">
        <f>20/1540*100</f>
        <v>1.2987012987012987</v>
      </c>
      <c r="O1361" s="361">
        <v>50000000</v>
      </c>
      <c r="P1361" s="246">
        <f>30/1540*100</f>
        <v>1.948051948051948</v>
      </c>
      <c r="Q1361" s="361">
        <v>50000000</v>
      </c>
      <c r="R1361" s="246">
        <f>40/1540*100</f>
        <v>2.5974025974025974</v>
      </c>
      <c r="S1361" s="361">
        <v>50000000</v>
      </c>
      <c r="T1361" s="246">
        <f>40/1540*100</f>
        <v>2.5974025974025974</v>
      </c>
      <c r="U1361" s="361">
        <v>50000000</v>
      </c>
      <c r="V1361" s="259"/>
      <c r="W1361" s="259"/>
      <c r="X1361" s="259"/>
    </row>
    <row r="1362" spans="1:32" s="165" customFormat="1" ht="75">
      <c r="B1362" s="48"/>
      <c r="C1362" s="62"/>
      <c r="D1362" s="63"/>
      <c r="E1362" s="63"/>
      <c r="F1362" s="64"/>
      <c r="G1362" s="173" t="s">
        <v>4082</v>
      </c>
      <c r="H1362" s="52">
        <v>0</v>
      </c>
      <c r="I1362" s="365">
        <v>100</v>
      </c>
      <c r="J1362" s="52" t="s">
        <v>4083</v>
      </c>
      <c r="K1362" s="260">
        <f>1200000+2400000+1500000+500000+1000000+(10000000)</f>
        <v>16600000</v>
      </c>
      <c r="L1362" s="52" t="s">
        <v>4084</v>
      </c>
      <c r="M1362" s="260">
        <f>6600000+(0.1*6600000)+(10000000)</f>
        <v>17260000</v>
      </c>
      <c r="N1362" s="52" t="s">
        <v>4084</v>
      </c>
      <c r="O1362" s="260">
        <f>7260000+(0.1*7260000)+(10000000)</f>
        <v>17986000</v>
      </c>
      <c r="P1362" s="52" t="s">
        <v>4084</v>
      </c>
      <c r="Q1362" s="260">
        <f>7986000+(0.1*7986000)+(10000000)</f>
        <v>18784600</v>
      </c>
      <c r="R1362" s="52" t="s">
        <v>4084</v>
      </c>
      <c r="S1362" s="260">
        <f>8784600+(0.1*8784600)+(10000000)</f>
        <v>19663060</v>
      </c>
      <c r="T1362" s="52" t="s">
        <v>4084</v>
      </c>
      <c r="U1362" s="260">
        <f>8784600+(0.1*8784600)+(10000000)</f>
        <v>19663060</v>
      </c>
      <c r="V1362" s="259"/>
      <c r="W1362" s="259"/>
      <c r="X1362" s="259"/>
    </row>
    <row r="1363" spans="1:32" s="165" customFormat="1" ht="45">
      <c r="B1363" s="48"/>
      <c r="C1363" s="62" t="str">
        <f>'matrik MISI 1'!J46</f>
        <v>2.01</v>
      </c>
      <c r="D1363" s="63" t="str">
        <f>'matrik MISI 1'!K46</f>
        <v>xx</v>
      </c>
      <c r="E1363" s="63">
        <f>'matrik MISI 1'!L46</f>
        <v>27</v>
      </c>
      <c r="F1363" s="64" t="str">
        <f>'matrik MISI 1'!M46</f>
        <v>Program Pengembangan Agribisnis</v>
      </c>
      <c r="G1363" s="58"/>
      <c r="H1363" s="259"/>
      <c r="I1363" s="259"/>
      <c r="J1363" s="259"/>
      <c r="K1363" s="259"/>
      <c r="L1363" s="259"/>
      <c r="M1363" s="259"/>
      <c r="N1363" s="259"/>
      <c r="O1363" s="259"/>
      <c r="P1363" s="259"/>
      <c r="Q1363" s="259"/>
      <c r="R1363" s="259"/>
      <c r="S1363" s="259"/>
      <c r="T1363" s="259"/>
      <c r="U1363" s="259"/>
      <c r="V1363" s="259"/>
      <c r="W1363" s="259"/>
      <c r="X1363" s="259" t="str">
        <f>'matrik MISI 1'!X46</f>
        <v>DINTANBUNHUT</v>
      </c>
    </row>
    <row r="1364" spans="1:32" s="165" customFormat="1" ht="165">
      <c r="B1364" s="48"/>
      <c r="C1364" s="62"/>
      <c r="D1364" s="63"/>
      <c r="E1364" s="63"/>
      <c r="F1364" s="64"/>
      <c r="G1364" s="420" t="s">
        <v>3985</v>
      </c>
      <c r="H1364" s="150" t="s">
        <v>743</v>
      </c>
      <c r="I1364" s="150" t="s">
        <v>3986</v>
      </c>
      <c r="J1364" s="354" t="s">
        <v>3987</v>
      </c>
      <c r="K1364" s="353">
        <v>25000000</v>
      </c>
      <c r="L1364" s="354" t="s">
        <v>3987</v>
      </c>
      <c r="M1364" s="353">
        <v>30000000</v>
      </c>
      <c r="N1364" s="354" t="s">
        <v>3987</v>
      </c>
      <c r="O1364" s="353">
        <v>30000000</v>
      </c>
      <c r="P1364" s="354" t="s">
        <v>3987</v>
      </c>
      <c r="Q1364" s="353">
        <v>40000000</v>
      </c>
      <c r="R1364" s="354" t="s">
        <v>3987</v>
      </c>
      <c r="S1364" s="353">
        <v>40000000</v>
      </c>
      <c r="T1364" s="354" t="s">
        <v>3987</v>
      </c>
      <c r="U1364" s="353">
        <v>40000000</v>
      </c>
      <c r="V1364" s="259"/>
      <c r="W1364" s="259"/>
      <c r="X1364" s="259"/>
    </row>
    <row r="1365" spans="1:32" s="165" customFormat="1" ht="165">
      <c r="B1365" s="48"/>
      <c r="C1365" s="62"/>
      <c r="D1365" s="63"/>
      <c r="E1365" s="63"/>
      <c r="F1365" s="64"/>
      <c r="G1365" s="420" t="s">
        <v>3985</v>
      </c>
      <c r="H1365" s="150" t="s">
        <v>743</v>
      </c>
      <c r="I1365" s="150" t="s">
        <v>3988</v>
      </c>
      <c r="J1365" s="354" t="s">
        <v>3989</v>
      </c>
      <c r="K1365" s="353">
        <v>100000000</v>
      </c>
      <c r="L1365" s="353" t="s">
        <v>3987</v>
      </c>
      <c r="M1365" s="353">
        <v>125000000</v>
      </c>
      <c r="N1365" s="353" t="s">
        <v>3987</v>
      </c>
      <c r="O1365" s="353">
        <v>125000000</v>
      </c>
      <c r="P1365" s="353" t="s">
        <v>3987</v>
      </c>
      <c r="Q1365" s="353">
        <v>150000000</v>
      </c>
      <c r="R1365" s="353" t="s">
        <v>3987</v>
      </c>
      <c r="S1365" s="353">
        <v>150000000</v>
      </c>
      <c r="T1365" s="353" t="s">
        <v>3987</v>
      </c>
      <c r="U1365" s="353">
        <v>150000000</v>
      </c>
      <c r="V1365" s="259"/>
      <c r="W1365" s="259"/>
      <c r="X1365" s="259"/>
    </row>
    <row r="1366" spans="1:32" s="280" customFormat="1" ht="30" customHeight="1">
      <c r="A1366" s="285"/>
      <c r="B1366" s="1093" t="s">
        <v>4259</v>
      </c>
      <c r="C1366" s="1094"/>
      <c r="D1366" s="1094"/>
      <c r="E1366" s="1094"/>
      <c r="F1366" s="1094"/>
      <c r="G1366" s="1095"/>
      <c r="H1366" s="342"/>
      <c r="I1366" s="342"/>
      <c r="J1366" s="342"/>
      <c r="K1366" s="342">
        <f>SUM(K1258:K1365)</f>
        <v>15795409850</v>
      </c>
      <c r="L1366" s="342"/>
      <c r="M1366" s="342">
        <f t="shared" ref="M1366:U1366" si="140">SUM(M1258:M1365)</f>
        <v>15215986300</v>
      </c>
      <c r="N1366" s="342"/>
      <c r="O1366" s="342">
        <f t="shared" si="140"/>
        <v>15527166690</v>
      </c>
      <c r="P1366" s="342"/>
      <c r="Q1366" s="342">
        <f t="shared" si="140"/>
        <v>45795109567</v>
      </c>
      <c r="R1366" s="342"/>
      <c r="S1366" s="342">
        <f t="shared" si="140"/>
        <v>46048018254.099998</v>
      </c>
      <c r="T1366" s="342"/>
      <c r="U1366" s="342">
        <f t="shared" si="140"/>
        <v>46054045221.75</v>
      </c>
      <c r="V1366" s="342">
        <f t="shared" ref="V1366:W1366" si="141">SUM(V1356:V1364)</f>
        <v>0</v>
      </c>
      <c r="W1366" s="342">
        <f t="shared" si="141"/>
        <v>0</v>
      </c>
      <c r="X1366" s="342"/>
      <c r="Y1366" s="285"/>
      <c r="Z1366" s="285"/>
      <c r="AA1366" s="285"/>
      <c r="AB1366" s="285"/>
      <c r="AC1366" s="285"/>
      <c r="AD1366" s="285"/>
      <c r="AE1366" s="285"/>
      <c r="AF1366" s="285"/>
    </row>
    <row r="1367" spans="1:32">
      <c r="A1367" s="165">
        <v>1</v>
      </c>
      <c r="B1367" s="62" t="str">
        <f>'matrik MISI 1'!B102</f>
        <v>KEHUTANAN</v>
      </c>
      <c r="C1367" s="56"/>
      <c r="D1367" s="57"/>
      <c r="E1367" s="57"/>
      <c r="F1367" s="58"/>
      <c r="G1367" s="58"/>
      <c r="H1367" s="259"/>
      <c r="I1367" s="259"/>
      <c r="J1367" s="259"/>
      <c r="K1367" s="259"/>
      <c r="L1367" s="259"/>
      <c r="M1367" s="259"/>
      <c r="N1367" s="259"/>
      <c r="O1367" s="259"/>
      <c r="P1367" s="259"/>
      <c r="Q1367" s="259"/>
      <c r="R1367" s="259"/>
      <c r="S1367" s="259"/>
      <c r="T1367" s="259"/>
      <c r="U1367" s="259"/>
      <c r="V1367" s="259"/>
      <c r="W1367" s="259"/>
      <c r="X1367" s="259"/>
      <c r="Y1367" s="165"/>
      <c r="Z1367" s="165"/>
      <c r="AA1367" s="165"/>
      <c r="AB1367" s="165"/>
      <c r="AC1367" s="165"/>
      <c r="AD1367" s="165"/>
      <c r="AE1367" s="165"/>
      <c r="AF1367" s="165"/>
    </row>
    <row r="1368" spans="1:32" s="165" customFormat="1" ht="60">
      <c r="B1368" s="48"/>
      <c r="C1368" s="56" t="str">
        <f>'matrik MISI 1'!J103</f>
        <v>2.02</v>
      </c>
      <c r="D1368" s="57" t="str">
        <f>'matrik MISI 1'!K103</f>
        <v>xx</v>
      </c>
      <c r="E1368" s="57">
        <f>'matrik MISI 1'!L103</f>
        <v>16</v>
      </c>
      <c r="F1368" s="58" t="str">
        <f>'matrik MISI 1'!M103</f>
        <v>Program Rehabilitasi Hutan dan Lahan</v>
      </c>
      <c r="G1368" s="58"/>
      <c r="H1368" s="259"/>
      <c r="I1368" s="259"/>
      <c r="J1368" s="259"/>
      <c r="K1368" s="259"/>
      <c r="L1368" s="259"/>
      <c r="M1368" s="259"/>
      <c r="N1368" s="259"/>
      <c r="O1368" s="259"/>
      <c r="P1368" s="259"/>
      <c r="Q1368" s="259"/>
      <c r="R1368" s="259"/>
      <c r="S1368" s="259"/>
      <c r="T1368" s="259"/>
      <c r="U1368" s="259"/>
      <c r="V1368" s="259"/>
      <c r="W1368" s="259"/>
      <c r="X1368" s="259" t="str">
        <f>'matrik MISI 1'!X103</f>
        <v>DINTANBUNHUT</v>
      </c>
    </row>
    <row r="1369" spans="1:32" s="165" customFormat="1" ht="270">
      <c r="B1369" s="48"/>
      <c r="C1369" s="56"/>
      <c r="D1369" s="57"/>
      <c r="E1369" s="57"/>
      <c r="F1369" s="58"/>
      <c r="G1369" s="420" t="s">
        <v>3990</v>
      </c>
      <c r="H1369" s="150" t="s">
        <v>3991</v>
      </c>
      <c r="I1369" s="150" t="s">
        <v>3992</v>
      </c>
      <c r="J1369" s="152" t="s">
        <v>3993</v>
      </c>
      <c r="K1369" s="152">
        <v>30000000</v>
      </c>
      <c r="L1369" s="152" t="s">
        <v>3993</v>
      </c>
      <c r="M1369" s="152">
        <v>50000000</v>
      </c>
      <c r="N1369" s="152" t="s">
        <v>3994</v>
      </c>
      <c r="O1369" s="152">
        <f>M1369</f>
        <v>50000000</v>
      </c>
      <c r="P1369" s="152" t="s">
        <v>3994</v>
      </c>
      <c r="Q1369" s="152">
        <v>60000000</v>
      </c>
      <c r="R1369" s="152" t="s">
        <v>3994</v>
      </c>
      <c r="S1369" s="152">
        <f>Q1369</f>
        <v>60000000</v>
      </c>
      <c r="T1369" s="152" t="s">
        <v>3994</v>
      </c>
      <c r="U1369" s="152">
        <f>S1369</f>
        <v>60000000</v>
      </c>
      <c r="V1369" s="259"/>
      <c r="W1369" s="259"/>
      <c r="X1369" s="259"/>
    </row>
    <row r="1370" spans="1:32" s="165" customFormat="1" ht="409.5">
      <c r="B1370" s="48"/>
      <c r="C1370" s="56"/>
      <c r="D1370" s="57"/>
      <c r="E1370" s="57"/>
      <c r="F1370" s="58"/>
      <c r="G1370" s="420" t="s">
        <v>3995</v>
      </c>
      <c r="H1370" s="150" t="s">
        <v>3996</v>
      </c>
      <c r="I1370" s="150" t="s">
        <v>3997</v>
      </c>
      <c r="J1370" s="152" t="s">
        <v>3998</v>
      </c>
      <c r="K1370" s="152">
        <v>572640000</v>
      </c>
      <c r="L1370" s="150" t="s">
        <v>3999</v>
      </c>
      <c r="M1370" s="152">
        <f>K1370</f>
        <v>572640000</v>
      </c>
      <c r="N1370" s="150" t="s">
        <v>3999</v>
      </c>
      <c r="O1370" s="152">
        <f>M1370-100000000</f>
        <v>472640000</v>
      </c>
      <c r="P1370" s="150" t="s">
        <v>3999</v>
      </c>
      <c r="Q1370" s="152">
        <f>O1370</f>
        <v>472640000</v>
      </c>
      <c r="R1370" s="150" t="s">
        <v>3999</v>
      </c>
      <c r="S1370" s="152">
        <f>Q1370-100000000</f>
        <v>372640000</v>
      </c>
      <c r="T1370" s="150" t="s">
        <v>3999</v>
      </c>
      <c r="U1370" s="152">
        <f>S1370-100000000</f>
        <v>272640000</v>
      </c>
      <c r="V1370" s="259"/>
      <c r="W1370" s="259"/>
      <c r="X1370" s="259"/>
    </row>
    <row r="1371" spans="1:32" s="165" customFormat="1" ht="195">
      <c r="B1371" s="48"/>
      <c r="C1371" s="56"/>
      <c r="D1371" s="57"/>
      <c r="E1371" s="57"/>
      <c r="F1371" s="58"/>
      <c r="G1371" s="420" t="s">
        <v>3995</v>
      </c>
      <c r="H1371" s="150" t="s">
        <v>3996</v>
      </c>
      <c r="I1371" s="150" t="s">
        <v>4000</v>
      </c>
      <c r="J1371" s="150" t="s">
        <v>4001</v>
      </c>
      <c r="K1371" s="152">
        <v>115000000</v>
      </c>
      <c r="L1371" s="150" t="s">
        <v>4002</v>
      </c>
      <c r="M1371" s="152">
        <v>115000000</v>
      </c>
      <c r="N1371" s="150" t="s">
        <v>4002</v>
      </c>
      <c r="O1371" s="152">
        <v>110000000</v>
      </c>
      <c r="P1371" s="150" t="s">
        <v>4002</v>
      </c>
      <c r="Q1371" s="152">
        <f>O1371</f>
        <v>110000000</v>
      </c>
      <c r="R1371" s="150" t="s">
        <v>4002</v>
      </c>
      <c r="S1371" s="152">
        <v>100000000</v>
      </c>
      <c r="T1371" s="150" t="s">
        <v>4002</v>
      </c>
      <c r="U1371" s="152">
        <v>100000000</v>
      </c>
      <c r="V1371" s="259"/>
      <c r="W1371" s="259"/>
      <c r="X1371" s="259"/>
    </row>
    <row r="1372" spans="1:32" s="165" customFormat="1" ht="150">
      <c r="B1372" s="48"/>
      <c r="C1372" s="56"/>
      <c r="D1372" s="57"/>
      <c r="E1372" s="57"/>
      <c r="F1372" s="58"/>
      <c r="G1372" s="420" t="s">
        <v>3995</v>
      </c>
      <c r="H1372" s="150" t="s">
        <v>4003</v>
      </c>
      <c r="I1372" s="150" t="s">
        <v>743</v>
      </c>
      <c r="J1372" s="150" t="s">
        <v>4004</v>
      </c>
      <c r="K1372" s="152">
        <v>90000000</v>
      </c>
      <c r="L1372" s="152" t="s">
        <v>4003</v>
      </c>
      <c r="M1372" s="152">
        <v>90000000</v>
      </c>
      <c r="N1372" s="152" t="s">
        <v>4003</v>
      </c>
      <c r="O1372" s="152">
        <v>100000000</v>
      </c>
      <c r="P1372" s="152" t="s">
        <v>4003</v>
      </c>
      <c r="Q1372" s="152">
        <v>100000000</v>
      </c>
      <c r="R1372" s="152" t="s">
        <v>4003</v>
      </c>
      <c r="S1372" s="152">
        <v>100000000</v>
      </c>
      <c r="T1372" s="152" t="s">
        <v>4003</v>
      </c>
      <c r="U1372" s="152">
        <v>100000000</v>
      </c>
      <c r="V1372" s="259"/>
      <c r="W1372" s="259"/>
      <c r="X1372" s="259"/>
    </row>
    <row r="1373" spans="1:32" s="165" customFormat="1" ht="90">
      <c r="B1373" s="48"/>
      <c r="C1373" s="56"/>
      <c r="D1373" s="57"/>
      <c r="E1373" s="57"/>
      <c r="F1373" s="58"/>
      <c r="G1373" s="420" t="s">
        <v>4005</v>
      </c>
      <c r="H1373" s="150" t="s">
        <v>743</v>
      </c>
      <c r="I1373" s="150" t="s">
        <v>4006</v>
      </c>
      <c r="J1373" s="152" t="s">
        <v>4006</v>
      </c>
      <c r="K1373" s="152">
        <v>100000000</v>
      </c>
      <c r="L1373" s="152" t="s">
        <v>4006</v>
      </c>
      <c r="M1373" s="152">
        <v>150000000</v>
      </c>
      <c r="N1373" s="152" t="s">
        <v>4006</v>
      </c>
      <c r="O1373" s="152">
        <v>150000000</v>
      </c>
      <c r="P1373" s="152" t="s">
        <v>4006</v>
      </c>
      <c r="Q1373" s="152">
        <f>O1373+(O1373*10%)</f>
        <v>165000000</v>
      </c>
      <c r="R1373" s="152" t="s">
        <v>4006</v>
      </c>
      <c r="S1373" s="152">
        <f>Q1373</f>
        <v>165000000</v>
      </c>
      <c r="T1373" s="152" t="s">
        <v>4006</v>
      </c>
      <c r="U1373" s="152">
        <f>S1373</f>
        <v>165000000</v>
      </c>
      <c r="V1373" s="259"/>
      <c r="W1373" s="259"/>
      <c r="X1373" s="259"/>
    </row>
    <row r="1374" spans="1:32" s="165" customFormat="1" ht="75">
      <c r="B1374" s="48"/>
      <c r="C1374" s="56" t="str">
        <f>'matrik MISI 1'!J105</f>
        <v>2.02</v>
      </c>
      <c r="D1374" s="57" t="str">
        <f>'matrik MISI 1'!K105</f>
        <v>xx</v>
      </c>
      <c r="E1374" s="57">
        <f>'matrik MISI 1'!L105</f>
        <v>17</v>
      </c>
      <c r="F1374" s="58" t="str">
        <f>'matrik MISI 1'!M105</f>
        <v>Program Perlindungan dan Konservasi Sumber Daya Hutan</v>
      </c>
      <c r="G1374" s="58"/>
      <c r="H1374" s="259"/>
      <c r="I1374" s="259"/>
      <c r="J1374" s="259"/>
      <c r="K1374" s="259"/>
      <c r="L1374" s="259"/>
      <c r="M1374" s="259"/>
      <c r="N1374" s="259"/>
      <c r="O1374" s="259"/>
      <c r="P1374" s="259"/>
      <c r="Q1374" s="259"/>
      <c r="R1374" s="259"/>
      <c r="S1374" s="259"/>
      <c r="T1374" s="259"/>
      <c r="U1374" s="259"/>
      <c r="V1374" s="259"/>
      <c r="W1374" s="259"/>
      <c r="X1374" s="259" t="str">
        <f>'matrik MISI 1'!X105</f>
        <v>DINTANBUNHUT</v>
      </c>
    </row>
    <row r="1375" spans="1:32" s="165" customFormat="1" ht="315">
      <c r="B1375" s="48"/>
      <c r="C1375" s="56"/>
      <c r="D1375" s="57"/>
      <c r="E1375" s="57"/>
      <c r="F1375" s="58"/>
      <c r="G1375" s="420" t="s">
        <v>4007</v>
      </c>
      <c r="H1375" s="150" t="s">
        <v>743</v>
      </c>
      <c r="I1375" s="150" t="s">
        <v>743</v>
      </c>
      <c r="J1375" s="152" t="s">
        <v>743</v>
      </c>
      <c r="K1375" s="152">
        <v>0</v>
      </c>
      <c r="L1375" s="152" t="s">
        <v>4008</v>
      </c>
      <c r="M1375" s="152">
        <v>75000000</v>
      </c>
      <c r="N1375" s="152" t="s">
        <v>4009</v>
      </c>
      <c r="O1375" s="152">
        <v>50000000</v>
      </c>
      <c r="P1375" s="152" t="s">
        <v>4009</v>
      </c>
      <c r="Q1375" s="152">
        <v>50000000</v>
      </c>
      <c r="R1375" s="152" t="s">
        <v>4009</v>
      </c>
      <c r="S1375" s="152">
        <v>50000000</v>
      </c>
      <c r="T1375" s="152" t="s">
        <v>4009</v>
      </c>
      <c r="U1375" s="152">
        <v>50000000</v>
      </c>
      <c r="V1375" s="259"/>
      <c r="W1375" s="259"/>
      <c r="X1375" s="259"/>
    </row>
    <row r="1376" spans="1:32" s="165" customFormat="1" ht="105">
      <c r="B1376" s="48"/>
      <c r="C1376" s="56"/>
      <c r="D1376" s="57"/>
      <c r="E1376" s="57"/>
      <c r="F1376" s="58"/>
      <c r="G1376" s="420" t="s">
        <v>4010</v>
      </c>
      <c r="H1376" s="150" t="s">
        <v>743</v>
      </c>
      <c r="I1376" s="150" t="s">
        <v>4011</v>
      </c>
      <c r="J1376" s="150" t="s">
        <v>4012</v>
      </c>
      <c r="K1376" s="152">
        <v>150000000</v>
      </c>
      <c r="L1376" s="150" t="s">
        <v>4012</v>
      </c>
      <c r="M1376" s="152">
        <v>150000000</v>
      </c>
      <c r="N1376" s="150" t="s">
        <v>4012</v>
      </c>
      <c r="O1376" s="152">
        <v>150000000</v>
      </c>
      <c r="P1376" s="150" t="s">
        <v>4012</v>
      </c>
      <c r="Q1376" s="152">
        <v>150000000</v>
      </c>
      <c r="R1376" s="150" t="s">
        <v>4012</v>
      </c>
      <c r="S1376" s="152">
        <v>150000000</v>
      </c>
      <c r="T1376" s="150" t="s">
        <v>4012</v>
      </c>
      <c r="U1376" s="152">
        <v>150000000</v>
      </c>
      <c r="V1376" s="259"/>
      <c r="W1376" s="259"/>
      <c r="X1376" s="259"/>
    </row>
    <row r="1377" spans="1:32" s="165" customFormat="1" ht="75">
      <c r="B1377" s="48"/>
      <c r="C1377" s="56" t="str">
        <f>'matrik MISI 1'!J106</f>
        <v>2.02</v>
      </c>
      <c r="D1377" s="57" t="str">
        <f>'matrik MISI 1'!K106</f>
        <v>xx</v>
      </c>
      <c r="E1377" s="57">
        <f>'matrik MISI 1'!L106</f>
        <v>19</v>
      </c>
      <c r="F1377" s="58" t="str">
        <f>'matrik MISI 1'!M106</f>
        <v>Program Pembinaan dan Penertiban Industri Hasil Hutan</v>
      </c>
      <c r="G1377" s="58"/>
      <c r="H1377" s="259"/>
      <c r="I1377" s="259"/>
      <c r="J1377" s="259"/>
      <c r="K1377" s="259"/>
      <c r="L1377" s="259"/>
      <c r="M1377" s="259"/>
      <c r="N1377" s="259"/>
      <c r="O1377" s="259"/>
      <c r="P1377" s="259"/>
      <c r="Q1377" s="259"/>
      <c r="R1377" s="259"/>
      <c r="S1377" s="259"/>
      <c r="T1377" s="259"/>
      <c r="U1377" s="259"/>
      <c r="V1377" s="259"/>
      <c r="W1377" s="259"/>
      <c r="X1377" s="259" t="str">
        <f>'matrik MISI 1'!X106</f>
        <v>DINTANBUNHUT</v>
      </c>
    </row>
    <row r="1378" spans="1:32" s="165" customFormat="1" ht="120">
      <c r="B1378" s="48"/>
      <c r="C1378" s="56"/>
      <c r="D1378" s="57"/>
      <c r="E1378" s="57"/>
      <c r="F1378" s="58"/>
      <c r="G1378" s="420" t="s">
        <v>4013</v>
      </c>
      <c r="H1378" s="152" t="s">
        <v>4014</v>
      </c>
      <c r="I1378" s="152">
        <v>85000000</v>
      </c>
      <c r="J1378" s="152" t="s">
        <v>4014</v>
      </c>
      <c r="K1378" s="152">
        <v>100000000</v>
      </c>
      <c r="L1378" s="152" t="s">
        <v>4014</v>
      </c>
      <c r="M1378" s="152">
        <v>100000000</v>
      </c>
      <c r="N1378" s="152" t="s">
        <v>4014</v>
      </c>
      <c r="O1378" s="152">
        <v>110000000</v>
      </c>
      <c r="P1378" s="152" t="s">
        <v>4014</v>
      </c>
      <c r="Q1378" s="152">
        <v>110000000</v>
      </c>
      <c r="R1378" s="259"/>
      <c r="S1378" s="259"/>
      <c r="T1378" s="259"/>
      <c r="U1378" s="259"/>
      <c r="V1378" s="259"/>
      <c r="W1378" s="259"/>
      <c r="X1378" s="259"/>
    </row>
    <row r="1379" spans="1:32" s="280" customFormat="1" ht="30" customHeight="1">
      <c r="A1379" s="285"/>
      <c r="B1379" s="1093" t="s">
        <v>4260</v>
      </c>
      <c r="C1379" s="1094"/>
      <c r="D1379" s="1094"/>
      <c r="E1379" s="1094"/>
      <c r="F1379" s="1094"/>
      <c r="G1379" s="1095"/>
      <c r="H1379" s="342"/>
      <c r="I1379" s="342"/>
      <c r="J1379" s="342"/>
      <c r="K1379" s="342">
        <f>SUM(K1369:K1378)</f>
        <v>1157640000</v>
      </c>
      <c r="L1379" s="342"/>
      <c r="M1379" s="342">
        <f t="shared" ref="M1379:W1379" si="142">SUM(M1369:M1378)</f>
        <v>1302640000</v>
      </c>
      <c r="N1379" s="342"/>
      <c r="O1379" s="342">
        <f t="shared" si="142"/>
        <v>1192640000</v>
      </c>
      <c r="P1379" s="342"/>
      <c r="Q1379" s="342">
        <f t="shared" si="142"/>
        <v>1217640000</v>
      </c>
      <c r="R1379" s="342"/>
      <c r="S1379" s="342">
        <f t="shared" si="142"/>
        <v>997640000</v>
      </c>
      <c r="T1379" s="342"/>
      <c r="U1379" s="342">
        <f t="shared" si="142"/>
        <v>897640000</v>
      </c>
      <c r="V1379" s="342">
        <f t="shared" si="142"/>
        <v>0</v>
      </c>
      <c r="W1379" s="342">
        <f t="shared" si="142"/>
        <v>0</v>
      </c>
      <c r="X1379" s="342"/>
      <c r="Y1379" s="285"/>
      <c r="Z1379" s="285"/>
      <c r="AA1379" s="285"/>
      <c r="AB1379" s="285"/>
      <c r="AC1379" s="285"/>
      <c r="AD1379" s="285"/>
      <c r="AE1379" s="285"/>
      <c r="AF1379" s="285"/>
    </row>
    <row r="1380" spans="1:32">
      <c r="A1380" s="165">
        <v>1</v>
      </c>
      <c r="B1380" s="62" t="e">
        <f>#REF!</f>
        <v>#REF!</v>
      </c>
      <c r="C1380" s="56"/>
      <c r="D1380" s="57"/>
      <c r="E1380" s="57"/>
      <c r="F1380" s="58"/>
      <c r="G1380" s="58"/>
      <c r="H1380" s="52"/>
      <c r="I1380" s="52"/>
      <c r="J1380" s="52"/>
      <c r="K1380" s="52"/>
      <c r="L1380" s="52"/>
      <c r="M1380" s="52"/>
      <c r="N1380" s="52"/>
      <c r="O1380" s="52"/>
      <c r="P1380" s="52"/>
      <c r="Q1380" s="52"/>
      <c r="R1380" s="52"/>
      <c r="S1380" s="52"/>
      <c r="T1380" s="52"/>
      <c r="U1380" s="52"/>
      <c r="V1380" s="52"/>
      <c r="W1380" s="52"/>
      <c r="X1380" s="52"/>
      <c r="Y1380" s="165"/>
      <c r="Z1380" s="165"/>
      <c r="AA1380" s="165"/>
      <c r="AB1380" s="165"/>
      <c r="AC1380" s="165"/>
      <c r="AD1380" s="165"/>
      <c r="AE1380" s="165"/>
      <c r="AF1380" s="165"/>
    </row>
    <row r="1381" spans="1:32" s="165" customFormat="1">
      <c r="B1381" s="48"/>
      <c r="C1381" s="62" t="e">
        <f>#REF!</f>
        <v>#REF!</v>
      </c>
      <c r="D1381" s="63" t="e">
        <f>#REF!</f>
        <v>#REF!</v>
      </c>
      <c r="E1381" s="63" t="e">
        <f>#REF!</f>
        <v>#REF!</v>
      </c>
      <c r="F1381" s="64" t="e">
        <f>#REF!</f>
        <v>#REF!</v>
      </c>
      <c r="G1381" s="58"/>
      <c r="H1381" s="52"/>
      <c r="I1381" s="52"/>
      <c r="J1381" s="52"/>
      <c r="K1381" s="52"/>
      <c r="L1381" s="52"/>
      <c r="M1381" s="52"/>
      <c r="N1381" s="52"/>
      <c r="O1381" s="52"/>
      <c r="P1381" s="52"/>
      <c r="Q1381" s="52"/>
      <c r="R1381" s="52"/>
      <c r="S1381" s="52"/>
      <c r="T1381" s="52"/>
      <c r="U1381" s="52"/>
      <c r="V1381" s="52"/>
      <c r="W1381" s="52"/>
      <c r="X1381" s="52" t="e">
        <f>#REF!</f>
        <v>#REF!</v>
      </c>
    </row>
    <row r="1382" spans="1:32" s="165" customFormat="1" ht="30">
      <c r="B1382" s="48"/>
      <c r="C1382" s="62"/>
      <c r="D1382" s="63"/>
      <c r="E1382" s="63"/>
      <c r="F1382" s="64"/>
      <c r="G1382" s="420" t="s">
        <v>4015</v>
      </c>
      <c r="H1382" s="150" t="s">
        <v>743</v>
      </c>
      <c r="I1382" s="150" t="s">
        <v>2496</v>
      </c>
      <c r="J1382" s="150" t="s">
        <v>2496</v>
      </c>
      <c r="K1382" s="153">
        <v>20000000</v>
      </c>
      <c r="L1382" s="153" t="s">
        <v>743</v>
      </c>
      <c r="M1382" s="153" t="s">
        <v>743</v>
      </c>
      <c r="N1382" s="153" t="s">
        <v>743</v>
      </c>
      <c r="O1382" s="153" t="s">
        <v>743</v>
      </c>
      <c r="P1382" s="153" t="s">
        <v>743</v>
      </c>
      <c r="Q1382" s="153" t="s">
        <v>743</v>
      </c>
      <c r="R1382" s="153" t="s">
        <v>743</v>
      </c>
      <c r="S1382" s="153" t="s">
        <v>743</v>
      </c>
      <c r="T1382" s="153" t="s">
        <v>743</v>
      </c>
      <c r="U1382" s="153" t="s">
        <v>743</v>
      </c>
      <c r="V1382" s="52"/>
      <c r="W1382" s="52"/>
      <c r="X1382" s="52"/>
    </row>
    <row r="1383" spans="1:32" s="165" customFormat="1" ht="60">
      <c r="B1383" s="48"/>
      <c r="C1383" s="62"/>
      <c r="D1383" s="63"/>
      <c r="E1383" s="63"/>
      <c r="F1383" s="64"/>
      <c r="G1383" s="420" t="s">
        <v>4016</v>
      </c>
      <c r="H1383" s="150" t="s">
        <v>743</v>
      </c>
      <c r="I1383" s="150" t="s">
        <v>2496</v>
      </c>
      <c r="J1383" s="150" t="s">
        <v>2496</v>
      </c>
      <c r="K1383" s="153">
        <v>19220000</v>
      </c>
      <c r="L1383" s="153" t="s">
        <v>743</v>
      </c>
      <c r="M1383" s="153" t="s">
        <v>743</v>
      </c>
      <c r="N1383" s="153" t="s">
        <v>743</v>
      </c>
      <c r="O1383" s="153" t="s">
        <v>743</v>
      </c>
      <c r="P1383" s="153" t="s">
        <v>743</v>
      </c>
      <c r="Q1383" s="153" t="s">
        <v>743</v>
      </c>
      <c r="R1383" s="153" t="s">
        <v>743</v>
      </c>
      <c r="S1383" s="153" t="s">
        <v>743</v>
      </c>
      <c r="T1383" s="153" t="s">
        <v>743</v>
      </c>
      <c r="U1383" s="153" t="s">
        <v>743</v>
      </c>
      <c r="V1383" s="52"/>
      <c r="W1383" s="52"/>
      <c r="X1383" s="52"/>
    </row>
    <row r="1384" spans="1:32" s="165" customFormat="1" ht="30">
      <c r="B1384" s="48"/>
      <c r="C1384" s="62"/>
      <c r="D1384" s="63"/>
      <c r="E1384" s="63"/>
      <c r="F1384" s="64"/>
      <c r="G1384" s="426" t="s">
        <v>4017</v>
      </c>
      <c r="H1384" s="151" t="s">
        <v>2521</v>
      </c>
      <c r="I1384" s="151" t="s">
        <v>743</v>
      </c>
      <c r="J1384" s="151" t="s">
        <v>743</v>
      </c>
      <c r="K1384" s="151" t="s">
        <v>743</v>
      </c>
      <c r="L1384" s="151" t="str">
        <f>I1383</f>
        <v>1 Kegiatan</v>
      </c>
      <c r="M1384" s="155">
        <v>48415000</v>
      </c>
      <c r="N1384" s="151" t="str">
        <f>L1384</f>
        <v>1 Kegiatan</v>
      </c>
      <c r="O1384" s="155">
        <v>48415000</v>
      </c>
      <c r="P1384" s="151" t="str">
        <f>N1384</f>
        <v>1 Kegiatan</v>
      </c>
      <c r="Q1384" s="247">
        <f>1.1*O1384</f>
        <v>53256500.000000007</v>
      </c>
      <c r="R1384" s="151" t="str">
        <f>P1384</f>
        <v>1 Kegiatan</v>
      </c>
      <c r="S1384" s="247">
        <f>1.1*Q1384</f>
        <v>58582150.000000015</v>
      </c>
      <c r="T1384" s="151" t="str">
        <f>R1384</f>
        <v>1 Kegiatan</v>
      </c>
      <c r="U1384" s="247">
        <f>1.1*S1384</f>
        <v>64440365.000000022</v>
      </c>
      <c r="V1384" s="52"/>
      <c r="W1384" s="52"/>
      <c r="X1384" s="52"/>
    </row>
    <row r="1385" spans="1:32" s="280" customFormat="1" ht="30" customHeight="1">
      <c r="A1385" s="285"/>
      <c r="B1385" s="1093" t="s">
        <v>4261</v>
      </c>
      <c r="C1385" s="1094"/>
      <c r="D1385" s="1094"/>
      <c r="E1385" s="1094"/>
      <c r="F1385" s="1094"/>
      <c r="G1385" s="1095"/>
      <c r="H1385" s="342"/>
      <c r="I1385" s="342"/>
      <c r="J1385" s="342"/>
      <c r="K1385" s="342">
        <f>SUM(K1382:K1384)</f>
        <v>39220000</v>
      </c>
      <c r="L1385" s="342"/>
      <c r="M1385" s="342">
        <f t="shared" ref="M1385:W1385" si="143">SUM(M1382:M1384)</f>
        <v>48415000</v>
      </c>
      <c r="N1385" s="342"/>
      <c r="O1385" s="342">
        <f t="shared" si="143"/>
        <v>48415000</v>
      </c>
      <c r="P1385" s="342"/>
      <c r="Q1385" s="342">
        <f t="shared" si="143"/>
        <v>53256500.000000007</v>
      </c>
      <c r="R1385" s="342"/>
      <c r="S1385" s="342">
        <f t="shared" si="143"/>
        <v>58582150.000000015</v>
      </c>
      <c r="T1385" s="342"/>
      <c r="U1385" s="342">
        <f t="shared" si="143"/>
        <v>64440365.000000022</v>
      </c>
      <c r="V1385" s="342">
        <f t="shared" si="143"/>
        <v>0</v>
      </c>
      <c r="W1385" s="342">
        <f t="shared" si="143"/>
        <v>0</v>
      </c>
      <c r="X1385" s="342"/>
      <c r="Y1385" s="285"/>
      <c r="Z1385" s="285"/>
      <c r="AA1385" s="285"/>
      <c r="AB1385" s="285"/>
      <c r="AC1385" s="285"/>
      <c r="AD1385" s="285"/>
      <c r="AE1385" s="285"/>
      <c r="AF1385" s="285"/>
    </row>
    <row r="1386" spans="1:32">
      <c r="A1386" s="165">
        <v>1</v>
      </c>
      <c r="B1386" s="62" t="str">
        <f>'matrik MISI 1'!B70</f>
        <v>PARIWISATA</v>
      </c>
      <c r="C1386" s="56"/>
      <c r="D1386" s="57"/>
      <c r="E1386" s="57"/>
      <c r="F1386" s="58"/>
      <c r="G1386" s="58"/>
      <c r="H1386" s="259"/>
      <c r="I1386" s="259"/>
      <c r="J1386" s="259"/>
      <c r="K1386" s="259"/>
      <c r="L1386" s="259"/>
      <c r="M1386" s="259"/>
      <c r="N1386" s="259"/>
      <c r="O1386" s="259"/>
      <c r="P1386" s="259"/>
      <c r="Q1386" s="259"/>
      <c r="R1386" s="259"/>
      <c r="S1386" s="259"/>
      <c r="T1386" s="259"/>
      <c r="U1386" s="259"/>
      <c r="V1386" s="259"/>
      <c r="W1386" s="259"/>
      <c r="X1386" s="259"/>
      <c r="Y1386" s="165"/>
      <c r="Z1386" s="165"/>
      <c r="AA1386" s="165"/>
      <c r="AB1386" s="165"/>
      <c r="AC1386" s="165"/>
      <c r="AD1386" s="165"/>
      <c r="AE1386" s="165"/>
      <c r="AF1386" s="165"/>
    </row>
    <row r="1387" spans="1:32" s="165" customFormat="1" ht="45">
      <c r="B1387" s="48"/>
      <c r="C1387" s="62">
        <f>'matrik MISI 1'!J71</f>
        <v>0</v>
      </c>
      <c r="D1387" s="63">
        <f>'matrik MISI 1'!K71</f>
        <v>0</v>
      </c>
      <c r="E1387" s="63">
        <f>'matrik MISI 1'!L71</f>
        <v>0</v>
      </c>
      <c r="F1387" s="64">
        <f>'matrik MISI 1'!M71</f>
        <v>0</v>
      </c>
      <c r="G1387" s="58"/>
      <c r="H1387" s="259"/>
      <c r="I1387" s="259"/>
      <c r="J1387" s="259"/>
      <c r="K1387" s="259"/>
      <c r="L1387" s="259"/>
      <c r="M1387" s="259"/>
      <c r="N1387" s="259"/>
      <c r="O1387" s="259"/>
      <c r="P1387" s="259"/>
      <c r="Q1387" s="259"/>
      <c r="R1387" s="259"/>
      <c r="S1387" s="259"/>
      <c r="T1387" s="259"/>
      <c r="U1387" s="259"/>
      <c r="V1387" s="259"/>
      <c r="W1387" s="259"/>
      <c r="X1387" s="259" t="str">
        <f>'matrik MISI 1'!X71</f>
        <v>DISBUDPARPORA</v>
      </c>
    </row>
    <row r="1388" spans="1:32" s="165" customFormat="1" ht="90">
      <c r="B1388" s="48"/>
      <c r="C1388" s="62"/>
      <c r="D1388" s="63"/>
      <c r="E1388" s="63"/>
      <c r="F1388" s="64"/>
      <c r="G1388" s="427" t="s">
        <v>4018</v>
      </c>
      <c r="H1388" s="367">
        <v>0</v>
      </c>
      <c r="I1388" s="366"/>
      <c r="J1388" s="366"/>
      <c r="K1388" s="367">
        <v>0</v>
      </c>
      <c r="L1388" s="366" t="s">
        <v>4019</v>
      </c>
      <c r="M1388" s="368">
        <v>300000000</v>
      </c>
      <c r="N1388" s="366" t="s">
        <v>4020</v>
      </c>
      <c r="O1388" s="369">
        <v>400000000</v>
      </c>
      <c r="P1388" s="366" t="s">
        <v>4020</v>
      </c>
      <c r="Q1388" s="369">
        <v>400000000</v>
      </c>
      <c r="R1388" s="366" t="s">
        <v>4020</v>
      </c>
      <c r="S1388" s="369">
        <v>400000000</v>
      </c>
      <c r="T1388" s="366" t="s">
        <v>4020</v>
      </c>
      <c r="U1388" s="369">
        <v>400000000</v>
      </c>
      <c r="V1388" s="259"/>
      <c r="W1388" s="259"/>
      <c r="X1388" s="259"/>
    </row>
    <row r="1389" spans="1:32" s="165" customFormat="1" ht="45">
      <c r="B1389" s="48"/>
      <c r="C1389" s="62"/>
      <c r="D1389" s="63"/>
      <c r="E1389" s="63"/>
      <c r="F1389" s="64"/>
      <c r="G1389" s="427" t="s">
        <v>4021</v>
      </c>
      <c r="H1389" s="367">
        <v>0</v>
      </c>
      <c r="I1389" s="366"/>
      <c r="J1389" s="366"/>
      <c r="K1389" s="368">
        <v>0</v>
      </c>
      <c r="L1389" s="366" t="s">
        <v>4022</v>
      </c>
      <c r="M1389" s="368">
        <v>1000000000</v>
      </c>
      <c r="N1389" s="366"/>
      <c r="O1389" s="367">
        <v>0</v>
      </c>
      <c r="P1389" s="366" t="s">
        <v>2994</v>
      </c>
      <c r="Q1389" s="367">
        <v>0</v>
      </c>
      <c r="R1389" s="366" t="s">
        <v>2994</v>
      </c>
      <c r="S1389" s="367">
        <v>0</v>
      </c>
      <c r="T1389" s="366" t="s">
        <v>2994</v>
      </c>
      <c r="U1389" s="367">
        <v>0</v>
      </c>
      <c r="V1389" s="259"/>
      <c r="W1389" s="259"/>
      <c r="X1389" s="259"/>
    </row>
    <row r="1390" spans="1:32" s="165" customFormat="1" ht="75">
      <c r="B1390" s="48"/>
      <c r="C1390" s="62"/>
      <c r="D1390" s="63"/>
      <c r="E1390" s="63"/>
      <c r="F1390" s="64"/>
      <c r="G1390" s="427" t="s">
        <v>4023</v>
      </c>
      <c r="H1390" s="367">
        <v>0</v>
      </c>
      <c r="I1390" s="366" t="s">
        <v>4024</v>
      </c>
      <c r="J1390" s="366" t="s">
        <v>4025</v>
      </c>
      <c r="K1390" s="368">
        <v>39555000</v>
      </c>
      <c r="L1390" s="366"/>
      <c r="M1390" s="368"/>
      <c r="N1390" s="366"/>
      <c r="O1390" s="370"/>
      <c r="P1390" s="366"/>
      <c r="Q1390" s="371"/>
      <c r="R1390" s="366"/>
      <c r="S1390" s="371"/>
      <c r="T1390" s="366"/>
      <c r="U1390" s="371"/>
      <c r="V1390" s="259"/>
      <c r="W1390" s="259"/>
      <c r="X1390" s="259"/>
    </row>
    <row r="1391" spans="1:32" s="165" customFormat="1" ht="45">
      <c r="B1391" s="48"/>
      <c r="C1391" s="62"/>
      <c r="D1391" s="63"/>
      <c r="E1391" s="63"/>
      <c r="F1391" s="64"/>
      <c r="G1391" s="427" t="s">
        <v>4026</v>
      </c>
      <c r="H1391" s="367">
        <v>0</v>
      </c>
      <c r="I1391" s="366"/>
      <c r="J1391" s="366"/>
      <c r="K1391" s="368"/>
      <c r="L1391" s="366"/>
      <c r="M1391" s="368"/>
      <c r="N1391" s="366"/>
      <c r="O1391" s="370"/>
      <c r="P1391" s="366"/>
      <c r="Q1391" s="371"/>
      <c r="R1391" s="366" t="s">
        <v>2968</v>
      </c>
      <c r="S1391" s="369">
        <v>500000000</v>
      </c>
      <c r="T1391" s="366" t="s">
        <v>2968</v>
      </c>
      <c r="U1391" s="369">
        <v>500000000</v>
      </c>
      <c r="V1391" s="259"/>
      <c r="W1391" s="259"/>
      <c r="X1391" s="259"/>
    </row>
    <row r="1392" spans="1:32" s="165" customFormat="1" ht="90">
      <c r="B1392" s="48"/>
      <c r="C1392" s="62"/>
      <c r="D1392" s="63"/>
      <c r="E1392" s="63"/>
      <c r="F1392" s="64"/>
      <c r="G1392" s="427" t="s">
        <v>4027</v>
      </c>
      <c r="H1392" s="367">
        <v>0</v>
      </c>
      <c r="I1392" s="366" t="s">
        <v>4028</v>
      </c>
      <c r="J1392" s="366"/>
      <c r="K1392" s="367"/>
      <c r="L1392" s="366" t="s">
        <v>4029</v>
      </c>
      <c r="M1392" s="368">
        <v>48176000</v>
      </c>
      <c r="N1392" s="366" t="s">
        <v>4030</v>
      </c>
      <c r="O1392" s="368">
        <v>500000000</v>
      </c>
      <c r="P1392" s="366" t="s">
        <v>4030</v>
      </c>
      <c r="Q1392" s="368">
        <v>600000000</v>
      </c>
      <c r="R1392" s="366" t="s">
        <v>4031</v>
      </c>
      <c r="S1392" s="368">
        <v>500000000</v>
      </c>
      <c r="T1392" s="366" t="s">
        <v>4031</v>
      </c>
      <c r="U1392" s="368">
        <v>500000000</v>
      </c>
      <c r="V1392" s="259"/>
      <c r="W1392" s="259"/>
      <c r="X1392" s="259"/>
    </row>
    <row r="1393" spans="1:32" s="165" customFormat="1" ht="45">
      <c r="B1393" s="48"/>
      <c r="C1393" s="62"/>
      <c r="D1393" s="63"/>
      <c r="E1393" s="63"/>
      <c r="F1393" s="64"/>
      <c r="G1393" s="427" t="s">
        <v>4032</v>
      </c>
      <c r="H1393" s="372" t="s">
        <v>4033</v>
      </c>
      <c r="I1393" s="366" t="s">
        <v>2994</v>
      </c>
      <c r="J1393" s="366"/>
      <c r="K1393" s="368">
        <v>0</v>
      </c>
      <c r="L1393" s="366" t="s">
        <v>2994</v>
      </c>
      <c r="M1393" s="367">
        <v>0</v>
      </c>
      <c r="N1393" s="366" t="s">
        <v>2994</v>
      </c>
      <c r="O1393" s="367">
        <v>0</v>
      </c>
      <c r="P1393" s="366" t="s">
        <v>2994</v>
      </c>
      <c r="Q1393" s="367">
        <v>0</v>
      </c>
      <c r="R1393" s="366" t="s">
        <v>2994</v>
      </c>
      <c r="S1393" s="367">
        <v>0</v>
      </c>
      <c r="T1393" s="366" t="s">
        <v>2994</v>
      </c>
      <c r="U1393" s="367">
        <v>0</v>
      </c>
      <c r="V1393" s="259"/>
      <c r="W1393" s="259"/>
      <c r="X1393" s="259"/>
    </row>
    <row r="1394" spans="1:32" s="165" customFormat="1" ht="75">
      <c r="B1394" s="48"/>
      <c r="C1394" s="62"/>
      <c r="D1394" s="63"/>
      <c r="E1394" s="63"/>
      <c r="F1394" s="64"/>
      <c r="G1394" s="427" t="s">
        <v>4034</v>
      </c>
      <c r="H1394" s="372"/>
      <c r="I1394" s="366" t="s">
        <v>2994</v>
      </c>
      <c r="J1394" s="366"/>
      <c r="K1394" s="368">
        <v>0</v>
      </c>
      <c r="L1394" s="366" t="s">
        <v>2994</v>
      </c>
      <c r="M1394" s="367">
        <v>0</v>
      </c>
      <c r="N1394" s="366" t="s">
        <v>2994</v>
      </c>
      <c r="O1394" s="367">
        <v>0</v>
      </c>
      <c r="P1394" s="366" t="s">
        <v>2994</v>
      </c>
      <c r="Q1394" s="367">
        <v>0</v>
      </c>
      <c r="R1394" s="366" t="s">
        <v>4035</v>
      </c>
      <c r="S1394" s="367">
        <v>8000000000</v>
      </c>
      <c r="T1394" s="366" t="s">
        <v>4035</v>
      </c>
      <c r="U1394" s="367">
        <v>8000000000</v>
      </c>
      <c r="V1394" s="259"/>
      <c r="W1394" s="259"/>
      <c r="X1394" s="259"/>
    </row>
    <row r="1395" spans="1:32" s="165" customFormat="1" ht="45">
      <c r="B1395" s="48"/>
      <c r="C1395" s="62"/>
      <c r="D1395" s="63"/>
      <c r="E1395" s="63"/>
      <c r="F1395" s="64"/>
      <c r="G1395" s="427" t="s">
        <v>4036</v>
      </c>
      <c r="H1395" s="372" t="s">
        <v>4037</v>
      </c>
      <c r="I1395" s="373">
        <v>1</v>
      </c>
      <c r="J1395" s="373">
        <v>1</v>
      </c>
      <c r="K1395" s="368">
        <v>57100300</v>
      </c>
      <c r="L1395" s="373">
        <v>0.1</v>
      </c>
      <c r="M1395" s="368">
        <v>24132000</v>
      </c>
      <c r="N1395" s="373">
        <v>0.15</v>
      </c>
      <c r="O1395" s="368">
        <v>200000000</v>
      </c>
      <c r="P1395" s="373">
        <v>0.2</v>
      </c>
      <c r="Q1395" s="368">
        <v>200000000</v>
      </c>
      <c r="R1395" s="373">
        <v>0.25</v>
      </c>
      <c r="S1395" s="368">
        <v>200000000</v>
      </c>
      <c r="T1395" s="373">
        <v>0.25</v>
      </c>
      <c r="U1395" s="368">
        <v>200000000</v>
      </c>
      <c r="V1395" s="259"/>
      <c r="W1395" s="259"/>
      <c r="X1395" s="259"/>
    </row>
    <row r="1396" spans="1:32" s="165" customFormat="1" ht="45">
      <c r="B1396" s="66"/>
      <c r="C1396" s="56" t="str">
        <f>'matrik MISI 1'!J76</f>
        <v>2.04</v>
      </c>
      <c r="D1396" s="57" t="str">
        <f>'matrik MISI 1'!K76</f>
        <v>xx</v>
      </c>
      <c r="E1396" s="57">
        <f>'matrik MISI 1'!L76</f>
        <v>17</v>
      </c>
      <c r="F1396" s="58" t="str">
        <f>'matrik MISI 1'!M76</f>
        <v xml:space="preserve">Program Pengembangan Kemitraan </v>
      </c>
      <c r="G1396" s="58"/>
      <c r="H1396" s="259"/>
      <c r="I1396" s="259"/>
      <c r="J1396" s="259"/>
      <c r="K1396" s="259"/>
      <c r="L1396" s="259"/>
      <c r="M1396" s="259"/>
      <c r="N1396" s="259"/>
      <c r="O1396" s="259"/>
      <c r="P1396" s="259"/>
      <c r="Q1396" s="259"/>
      <c r="R1396" s="259"/>
      <c r="S1396" s="259"/>
      <c r="T1396" s="259"/>
      <c r="U1396" s="259"/>
      <c r="V1396" s="259"/>
      <c r="W1396" s="259"/>
      <c r="X1396" s="259" t="str">
        <f>'matrik MISI 1'!X76</f>
        <v>DISBUDPARPORA</v>
      </c>
    </row>
    <row r="1397" spans="1:32" s="165" customFormat="1" ht="90">
      <c r="B1397" s="48"/>
      <c r="C1397" s="62"/>
      <c r="D1397" s="63"/>
      <c r="E1397" s="63"/>
      <c r="F1397" s="64"/>
      <c r="G1397" s="427" t="s">
        <v>4038</v>
      </c>
      <c r="H1397" s="367">
        <v>0</v>
      </c>
      <c r="I1397" s="366">
        <v>0</v>
      </c>
      <c r="J1397" s="373">
        <v>1</v>
      </c>
      <c r="K1397" s="368">
        <v>10000000</v>
      </c>
      <c r="L1397" s="373">
        <v>1</v>
      </c>
      <c r="M1397" s="368">
        <v>9870000</v>
      </c>
      <c r="N1397" s="373">
        <v>1</v>
      </c>
      <c r="O1397" s="368">
        <v>10000000</v>
      </c>
      <c r="P1397" s="373">
        <v>1</v>
      </c>
      <c r="Q1397" s="368">
        <v>10000000</v>
      </c>
      <c r="R1397" s="373">
        <v>1</v>
      </c>
      <c r="S1397" s="368">
        <v>10000000</v>
      </c>
      <c r="T1397" s="373">
        <v>1</v>
      </c>
      <c r="U1397" s="368">
        <v>10000000</v>
      </c>
      <c r="V1397" s="259"/>
      <c r="W1397" s="259"/>
      <c r="X1397" s="259"/>
    </row>
    <row r="1398" spans="1:32" s="165" customFormat="1" ht="60">
      <c r="B1398" s="48"/>
      <c r="C1398" s="62"/>
      <c r="D1398" s="63"/>
      <c r="E1398" s="63"/>
      <c r="F1398" s="64"/>
      <c r="G1398" s="427" t="s">
        <v>4039</v>
      </c>
      <c r="H1398" s="372" t="s">
        <v>4040</v>
      </c>
      <c r="I1398" s="366" t="s">
        <v>4041</v>
      </c>
      <c r="J1398" s="366"/>
      <c r="K1398" s="368">
        <v>100000000</v>
      </c>
      <c r="L1398" s="366" t="s">
        <v>4041</v>
      </c>
      <c r="M1398" s="368">
        <v>100000000</v>
      </c>
      <c r="N1398" s="366" t="s">
        <v>4041</v>
      </c>
      <c r="O1398" s="368">
        <v>200000000</v>
      </c>
      <c r="P1398" s="366" t="s">
        <v>4041</v>
      </c>
      <c r="Q1398" s="368">
        <v>200000000</v>
      </c>
      <c r="R1398" s="366" t="s">
        <v>4041</v>
      </c>
      <c r="S1398" s="368">
        <v>200000000</v>
      </c>
      <c r="T1398" s="366" t="s">
        <v>4041</v>
      </c>
      <c r="U1398" s="368">
        <v>200000000</v>
      </c>
      <c r="V1398" s="259"/>
      <c r="W1398" s="259"/>
      <c r="X1398" s="259"/>
    </row>
    <row r="1399" spans="1:32" s="165" customFormat="1" ht="75">
      <c r="B1399" s="48"/>
      <c r="C1399" s="62"/>
      <c r="D1399" s="63"/>
      <c r="E1399" s="63"/>
      <c r="F1399" s="64"/>
      <c r="G1399" s="427" t="s">
        <v>4042</v>
      </c>
      <c r="H1399" s="367">
        <v>0</v>
      </c>
      <c r="I1399" s="366" t="s">
        <v>2994</v>
      </c>
      <c r="J1399" s="366">
        <v>0</v>
      </c>
      <c r="K1399" s="368"/>
      <c r="L1399" s="366" t="s">
        <v>4043</v>
      </c>
      <c r="M1399" s="368">
        <v>75000000</v>
      </c>
      <c r="N1399" s="366" t="s">
        <v>4044</v>
      </c>
      <c r="O1399" s="368">
        <v>75000000</v>
      </c>
      <c r="P1399" s="366" t="s">
        <v>2994</v>
      </c>
      <c r="Q1399" s="369">
        <v>0</v>
      </c>
      <c r="R1399" s="366" t="s">
        <v>2994</v>
      </c>
      <c r="S1399" s="367">
        <v>0</v>
      </c>
      <c r="T1399" s="366" t="s">
        <v>2994</v>
      </c>
      <c r="U1399" s="367">
        <v>0</v>
      </c>
      <c r="V1399" s="259"/>
      <c r="W1399" s="259"/>
      <c r="X1399" s="259"/>
    </row>
    <row r="1400" spans="1:32" s="165" customFormat="1" ht="60">
      <c r="B1400" s="48"/>
      <c r="C1400" s="62"/>
      <c r="D1400" s="63"/>
      <c r="E1400" s="63"/>
      <c r="F1400" s="64"/>
      <c r="G1400" s="427" t="s">
        <v>4045</v>
      </c>
      <c r="H1400" s="372" t="s">
        <v>3005</v>
      </c>
      <c r="I1400" s="373">
        <v>1</v>
      </c>
      <c r="J1400" s="373">
        <v>1</v>
      </c>
      <c r="K1400" s="368">
        <v>45000000</v>
      </c>
      <c r="L1400" s="366" t="s">
        <v>4046</v>
      </c>
      <c r="M1400" s="368">
        <v>44425000</v>
      </c>
      <c r="N1400" s="366" t="s">
        <v>4046</v>
      </c>
      <c r="O1400" s="369">
        <v>75000000</v>
      </c>
      <c r="P1400" s="366" t="s">
        <v>4046</v>
      </c>
      <c r="Q1400" s="369">
        <v>80000000</v>
      </c>
      <c r="R1400" s="366" t="s">
        <v>4046</v>
      </c>
      <c r="S1400" s="369">
        <v>80000000</v>
      </c>
      <c r="T1400" s="366" t="s">
        <v>4046</v>
      </c>
      <c r="U1400" s="369">
        <v>80000000</v>
      </c>
      <c r="V1400" s="259"/>
      <c r="W1400" s="259"/>
      <c r="X1400" s="259"/>
    </row>
    <row r="1401" spans="1:32" s="165" customFormat="1" ht="45">
      <c r="B1401" s="48"/>
      <c r="C1401" s="62" t="str">
        <f>'matrik MISI 1'!J74</f>
        <v>2.04</v>
      </c>
      <c r="D1401" s="63" t="str">
        <f>'matrik MISI 1'!K74</f>
        <v>xx</v>
      </c>
      <c r="E1401" s="63">
        <f>'matrik MISI 1'!L74</f>
        <v>0</v>
      </c>
      <c r="F1401" s="64" t="str">
        <f>'matrik MISI 1'!M74</f>
        <v xml:space="preserve">Program Pengembangan Produk Wisata </v>
      </c>
      <c r="G1401" s="58"/>
      <c r="H1401" s="259"/>
      <c r="I1401" s="259"/>
      <c r="J1401" s="259"/>
      <c r="K1401" s="259"/>
      <c r="L1401" s="259"/>
      <c r="M1401" s="259"/>
      <c r="N1401" s="259"/>
      <c r="O1401" s="259"/>
      <c r="P1401" s="259"/>
      <c r="Q1401" s="259"/>
      <c r="R1401" s="259"/>
      <c r="S1401" s="259"/>
      <c r="T1401" s="259"/>
      <c r="U1401" s="259"/>
      <c r="V1401" s="259"/>
      <c r="W1401" s="259"/>
      <c r="X1401" s="259" t="str">
        <f>'matrik MISI 1'!X74</f>
        <v>DISBUDPARPORA</v>
      </c>
    </row>
    <row r="1402" spans="1:32" s="165" customFormat="1" ht="45">
      <c r="B1402" s="48"/>
      <c r="C1402" s="62"/>
      <c r="D1402" s="63"/>
      <c r="E1402" s="63"/>
      <c r="F1402" s="64"/>
      <c r="G1402" s="427" t="s">
        <v>4047</v>
      </c>
      <c r="H1402" s="372"/>
      <c r="I1402" s="366"/>
      <c r="J1402" s="366"/>
      <c r="K1402" s="368"/>
      <c r="L1402" s="366" t="s">
        <v>4048</v>
      </c>
      <c r="M1402" s="368"/>
      <c r="N1402" s="366"/>
      <c r="O1402" s="368"/>
      <c r="P1402" s="366"/>
      <c r="Q1402" s="368"/>
      <c r="R1402" s="366"/>
      <c r="S1402" s="368"/>
      <c r="T1402" s="366"/>
      <c r="U1402" s="368"/>
      <c r="V1402" s="259"/>
      <c r="W1402" s="259"/>
      <c r="X1402" s="259"/>
    </row>
    <row r="1403" spans="1:32" s="165" customFormat="1" ht="45">
      <c r="B1403" s="48"/>
      <c r="C1403" s="62"/>
      <c r="D1403" s="63"/>
      <c r="E1403" s="63"/>
      <c r="F1403" s="64"/>
      <c r="G1403" s="427" t="s">
        <v>4049</v>
      </c>
      <c r="H1403" s="367">
        <v>0</v>
      </c>
      <c r="I1403" s="366" t="s">
        <v>2994</v>
      </c>
      <c r="J1403" s="366"/>
      <c r="K1403" s="368">
        <v>0</v>
      </c>
      <c r="L1403" s="366" t="s">
        <v>3721</v>
      </c>
      <c r="M1403" s="368">
        <v>20000000</v>
      </c>
      <c r="N1403" s="366" t="s">
        <v>3721</v>
      </c>
      <c r="O1403" s="368">
        <v>20000000</v>
      </c>
      <c r="P1403" s="366" t="s">
        <v>3721</v>
      </c>
      <c r="Q1403" s="368">
        <v>20000000</v>
      </c>
      <c r="R1403" s="366" t="s">
        <v>3721</v>
      </c>
      <c r="S1403" s="368">
        <v>20000000</v>
      </c>
      <c r="T1403" s="366" t="s">
        <v>3721</v>
      </c>
      <c r="U1403" s="368">
        <v>20000000</v>
      </c>
      <c r="V1403" s="259"/>
      <c r="W1403" s="259"/>
      <c r="X1403" s="259"/>
    </row>
    <row r="1404" spans="1:32" s="165" customFormat="1" ht="60">
      <c r="B1404" s="48"/>
      <c r="C1404" s="62"/>
      <c r="D1404" s="63"/>
      <c r="E1404" s="63"/>
      <c r="F1404" s="64"/>
      <c r="G1404" s="427" t="s">
        <v>4050</v>
      </c>
      <c r="H1404" s="367">
        <v>0</v>
      </c>
      <c r="I1404" s="366" t="s">
        <v>2994</v>
      </c>
      <c r="J1404" s="366"/>
      <c r="K1404" s="368">
        <v>0</v>
      </c>
      <c r="L1404" s="373">
        <v>0.25</v>
      </c>
      <c r="M1404" s="368">
        <v>20000000</v>
      </c>
      <c r="N1404" s="373">
        <v>0.5</v>
      </c>
      <c r="O1404" s="368">
        <v>30000000</v>
      </c>
      <c r="P1404" s="373">
        <v>0.75</v>
      </c>
      <c r="Q1404" s="368">
        <v>30000000</v>
      </c>
      <c r="R1404" s="373">
        <v>1</v>
      </c>
      <c r="S1404" s="368">
        <v>30000000</v>
      </c>
      <c r="T1404" s="373">
        <v>1</v>
      </c>
      <c r="U1404" s="368">
        <v>30000000</v>
      </c>
      <c r="V1404" s="259"/>
      <c r="W1404" s="259"/>
      <c r="X1404" s="259"/>
    </row>
    <row r="1405" spans="1:32" s="165" customFormat="1" ht="75.75" thickBot="1">
      <c r="B1405" s="48"/>
      <c r="C1405" s="62"/>
      <c r="D1405" s="63"/>
      <c r="E1405" s="63"/>
      <c r="F1405" s="64"/>
      <c r="G1405" s="428" t="s">
        <v>4051</v>
      </c>
      <c r="H1405" s="375">
        <v>1</v>
      </c>
      <c r="I1405" s="376">
        <v>1</v>
      </c>
      <c r="J1405" s="376">
        <v>1</v>
      </c>
      <c r="K1405" s="377">
        <v>60000000</v>
      </c>
      <c r="L1405" s="374" t="s">
        <v>4052</v>
      </c>
      <c r="M1405" s="377">
        <v>60000000</v>
      </c>
      <c r="N1405" s="374" t="s">
        <v>4052</v>
      </c>
      <c r="O1405" s="377">
        <v>60000000</v>
      </c>
      <c r="P1405" s="374" t="s">
        <v>4052</v>
      </c>
      <c r="Q1405" s="377">
        <v>60000000</v>
      </c>
      <c r="R1405" s="374" t="s">
        <v>4052</v>
      </c>
      <c r="S1405" s="377">
        <v>60000000</v>
      </c>
      <c r="T1405" s="374" t="s">
        <v>4052</v>
      </c>
      <c r="U1405" s="377">
        <v>60000000</v>
      </c>
      <c r="V1405" s="259"/>
      <c r="W1405" s="259"/>
      <c r="X1405" s="259"/>
    </row>
    <row r="1406" spans="1:32" s="280" customFormat="1" ht="30" customHeight="1">
      <c r="A1406" s="285"/>
      <c r="B1406" s="1093" t="s">
        <v>4262</v>
      </c>
      <c r="C1406" s="1094"/>
      <c r="D1406" s="1094"/>
      <c r="E1406" s="1094"/>
      <c r="F1406" s="1094"/>
      <c r="G1406" s="1095"/>
      <c r="H1406" s="342"/>
      <c r="I1406" s="342"/>
      <c r="J1406" s="342"/>
      <c r="K1406" s="342">
        <f>SUM(K1388:K1405)</f>
        <v>311655300</v>
      </c>
      <c r="L1406" s="342"/>
      <c r="M1406" s="342">
        <f t="shared" ref="M1406:U1406" si="144">SUM(M1388:M1405)</f>
        <v>1701603000</v>
      </c>
      <c r="N1406" s="342"/>
      <c r="O1406" s="342">
        <f t="shared" si="144"/>
        <v>1570000000</v>
      </c>
      <c r="P1406" s="342"/>
      <c r="Q1406" s="342">
        <f t="shared" si="144"/>
        <v>1600000000</v>
      </c>
      <c r="R1406" s="342"/>
      <c r="S1406" s="342">
        <f t="shared" si="144"/>
        <v>10000000000</v>
      </c>
      <c r="T1406" s="342"/>
      <c r="U1406" s="342">
        <f t="shared" si="144"/>
        <v>10000000000</v>
      </c>
      <c r="V1406" s="342">
        <f t="shared" ref="V1406" si="145">SUM(V1403:V1405)</f>
        <v>0</v>
      </c>
      <c r="W1406" s="342">
        <f t="shared" ref="W1406" si="146">SUM(W1403:W1405)</f>
        <v>0</v>
      </c>
      <c r="X1406" s="342"/>
      <c r="Y1406" s="285"/>
      <c r="Z1406" s="285"/>
      <c r="AA1406" s="285"/>
      <c r="AB1406" s="285"/>
      <c r="AC1406" s="285"/>
      <c r="AD1406" s="285"/>
      <c r="AE1406" s="285"/>
      <c r="AF1406" s="285"/>
    </row>
    <row r="1407" spans="1:32" ht="45">
      <c r="A1407" s="165">
        <v>1</v>
      </c>
      <c r="B1407" s="62" t="str">
        <f>'matrik MISI 1'!B47</f>
        <v>KELAUTAN DAN PERIKANAN</v>
      </c>
      <c r="C1407" s="56"/>
      <c r="D1407" s="57"/>
      <c r="E1407" s="57"/>
      <c r="F1407" s="58"/>
      <c r="G1407" s="58"/>
      <c r="H1407" s="259"/>
      <c r="I1407" s="259"/>
      <c r="J1407" s="259"/>
      <c r="K1407" s="259"/>
      <c r="L1407" s="259"/>
      <c r="M1407" s="259"/>
      <c r="N1407" s="259"/>
      <c r="O1407" s="259"/>
      <c r="P1407" s="259"/>
      <c r="Q1407" s="259"/>
      <c r="R1407" s="259"/>
      <c r="S1407" s="259"/>
      <c r="T1407" s="259"/>
      <c r="U1407" s="259"/>
      <c r="V1407" s="259"/>
      <c r="W1407" s="259"/>
      <c r="X1407" s="259"/>
      <c r="Y1407" s="165"/>
      <c r="Z1407" s="165"/>
      <c r="AA1407" s="165"/>
      <c r="AB1407" s="165"/>
      <c r="AC1407" s="165"/>
      <c r="AD1407" s="165"/>
      <c r="AE1407" s="165"/>
      <c r="AF1407" s="165"/>
    </row>
    <row r="1408" spans="1:32" s="165" customFormat="1" ht="60">
      <c r="B1408" s="48"/>
      <c r="C1408" s="62" t="str">
        <f>'matrik MISI 1'!J48</f>
        <v>2.05</v>
      </c>
      <c r="D1408" s="63" t="str">
        <f>'matrik MISI 1'!K48</f>
        <v>xx</v>
      </c>
      <c r="E1408" s="63">
        <f>'matrik MISI 1'!L48</f>
        <v>20</v>
      </c>
      <c r="F1408" s="64" t="str">
        <f>'matrik MISI 1'!M48</f>
        <v>Program Pengembangan Budidaya Perikanan</v>
      </c>
      <c r="G1408" s="58"/>
      <c r="H1408" s="161"/>
      <c r="I1408" s="161"/>
      <c r="J1408" s="161"/>
      <c r="K1408" s="259"/>
      <c r="L1408" s="161"/>
      <c r="M1408" s="259"/>
      <c r="N1408" s="161"/>
      <c r="O1408" s="259"/>
      <c r="P1408" s="161"/>
      <c r="Q1408" s="259"/>
      <c r="R1408" s="161"/>
      <c r="S1408" s="259"/>
      <c r="T1408" s="161"/>
      <c r="U1408" s="259"/>
      <c r="V1408" s="161"/>
      <c r="W1408" s="259"/>
      <c r="X1408" s="259" t="str">
        <f>'matrik MISI 1'!X48</f>
        <v>DINAKAN</v>
      </c>
    </row>
    <row r="1409" spans="2:24" s="165" customFormat="1" ht="30">
      <c r="B1409" s="48"/>
      <c r="C1409" s="62"/>
      <c r="D1409" s="63"/>
      <c r="E1409" s="63"/>
      <c r="F1409" s="64"/>
      <c r="G1409" s="429" t="s">
        <v>4169</v>
      </c>
      <c r="H1409" s="378" t="s">
        <v>2488</v>
      </c>
      <c r="I1409" s="378" t="s">
        <v>4170</v>
      </c>
      <c r="J1409" s="378" t="s">
        <v>4171</v>
      </c>
      <c r="K1409" s="248">
        <f>500967000+80987000</f>
        <v>581954000</v>
      </c>
      <c r="L1409" s="378" t="s">
        <v>4171</v>
      </c>
      <c r="M1409" s="248">
        <v>800000000</v>
      </c>
      <c r="N1409" s="378" t="s">
        <v>4172</v>
      </c>
      <c r="O1409" s="248">
        <v>1000000000</v>
      </c>
      <c r="P1409" s="378" t="s">
        <v>4172</v>
      </c>
      <c r="Q1409" s="248">
        <v>1200000000</v>
      </c>
      <c r="R1409" s="378" t="s">
        <v>2489</v>
      </c>
      <c r="S1409" s="248">
        <v>1500000000</v>
      </c>
      <c r="T1409" s="378" t="s">
        <v>2489</v>
      </c>
      <c r="U1409" s="248">
        <v>1500000000</v>
      </c>
      <c r="V1409" s="161"/>
      <c r="W1409" s="259"/>
      <c r="X1409" s="259"/>
    </row>
    <row r="1410" spans="2:24" s="165" customFormat="1" ht="30">
      <c r="B1410" s="48"/>
      <c r="C1410" s="62"/>
      <c r="D1410" s="63"/>
      <c r="E1410" s="63"/>
      <c r="F1410" s="64"/>
      <c r="G1410" s="420" t="s">
        <v>4173</v>
      </c>
      <c r="H1410" s="150" t="s">
        <v>2652</v>
      </c>
      <c r="I1410" s="156">
        <v>0</v>
      </c>
      <c r="J1410" s="156" t="s">
        <v>2650</v>
      </c>
      <c r="K1410" s="156">
        <v>173987000</v>
      </c>
      <c r="L1410" s="156" t="s">
        <v>2650</v>
      </c>
      <c r="M1410" s="156">
        <v>260000000</v>
      </c>
      <c r="N1410" s="156" t="s">
        <v>2650</v>
      </c>
      <c r="O1410" s="156">
        <v>325000000</v>
      </c>
      <c r="P1410" s="156" t="s">
        <v>2650</v>
      </c>
      <c r="Q1410" s="156">
        <v>400000000</v>
      </c>
      <c r="R1410" s="156" t="s">
        <v>2650</v>
      </c>
      <c r="S1410" s="156">
        <v>500000000</v>
      </c>
      <c r="T1410" s="156" t="s">
        <v>2650</v>
      </c>
      <c r="U1410" s="156">
        <v>500000000</v>
      </c>
      <c r="V1410" s="161"/>
      <c r="W1410" s="259"/>
      <c r="X1410" s="259"/>
    </row>
    <row r="1411" spans="2:24" s="165" customFormat="1" ht="30">
      <c r="B1411" s="48"/>
      <c r="C1411" s="62"/>
      <c r="D1411" s="63"/>
      <c r="E1411" s="63"/>
      <c r="F1411" s="64"/>
      <c r="G1411" s="420" t="s">
        <v>4174</v>
      </c>
      <c r="H1411" s="150" t="s">
        <v>4175</v>
      </c>
      <c r="I1411" s="156" t="s">
        <v>4176</v>
      </c>
      <c r="J1411" s="156" t="s">
        <v>4177</v>
      </c>
      <c r="K1411" s="248">
        <v>1210937000</v>
      </c>
      <c r="L1411" s="156" t="s">
        <v>4177</v>
      </c>
      <c r="M1411" s="156">
        <v>2000000</v>
      </c>
      <c r="N1411" s="156" t="s">
        <v>4176</v>
      </c>
      <c r="O1411" s="156">
        <v>2500000</v>
      </c>
      <c r="P1411" s="156" t="s">
        <v>4178</v>
      </c>
      <c r="Q1411" s="156">
        <v>3000000</v>
      </c>
      <c r="R1411" s="156" t="s">
        <v>4179</v>
      </c>
      <c r="S1411" s="156">
        <v>3500000</v>
      </c>
      <c r="T1411" s="156" t="s">
        <v>4179</v>
      </c>
      <c r="U1411" s="156">
        <v>3500000</v>
      </c>
      <c r="V1411" s="161"/>
      <c r="W1411" s="259"/>
      <c r="X1411" s="259"/>
    </row>
    <row r="1412" spans="2:24" s="165" customFormat="1" ht="45">
      <c r="B1412" s="48"/>
      <c r="C1412" s="62"/>
      <c r="D1412" s="63"/>
      <c r="E1412" s="63"/>
      <c r="F1412" s="64"/>
      <c r="G1412" s="420" t="s">
        <v>4181</v>
      </c>
      <c r="H1412" s="156"/>
      <c r="I1412" s="156"/>
      <c r="J1412" s="156">
        <v>0</v>
      </c>
      <c r="K1412" s="379"/>
      <c r="L1412" s="156" t="s">
        <v>4178</v>
      </c>
      <c r="M1412" s="156">
        <v>380000000</v>
      </c>
      <c r="N1412" s="156" t="s">
        <v>4180</v>
      </c>
      <c r="O1412" s="156">
        <v>490000000</v>
      </c>
      <c r="P1412" s="156" t="s">
        <v>4180</v>
      </c>
      <c r="Q1412" s="156">
        <v>600000000</v>
      </c>
      <c r="R1412" s="156" t="s">
        <v>4180</v>
      </c>
      <c r="S1412" s="156">
        <v>710000000</v>
      </c>
      <c r="T1412" s="156" t="s">
        <v>4180</v>
      </c>
      <c r="U1412" s="156">
        <v>710000000</v>
      </c>
      <c r="V1412" s="161"/>
      <c r="W1412" s="259"/>
      <c r="X1412" s="259"/>
    </row>
    <row r="1413" spans="2:24" s="165" customFormat="1" ht="60">
      <c r="B1413" s="48"/>
      <c r="C1413" s="62"/>
      <c r="D1413" s="63"/>
      <c r="E1413" s="63"/>
      <c r="F1413" s="64"/>
      <c r="G1413" s="420" t="s">
        <v>4182</v>
      </c>
      <c r="H1413" s="150" t="s">
        <v>4183</v>
      </c>
      <c r="I1413" s="150" t="s">
        <v>4184</v>
      </c>
      <c r="J1413" s="150" t="s">
        <v>4185</v>
      </c>
      <c r="K1413" s="156">
        <v>150000000</v>
      </c>
      <c r="L1413" s="150" t="s">
        <v>4186</v>
      </c>
      <c r="M1413" s="156">
        <v>550000000</v>
      </c>
      <c r="N1413" s="150" t="s">
        <v>4187</v>
      </c>
      <c r="O1413" s="156">
        <v>600000000</v>
      </c>
      <c r="P1413" s="150" t="s">
        <v>4188</v>
      </c>
      <c r="Q1413" s="156">
        <v>650000000</v>
      </c>
      <c r="R1413" s="150" t="s">
        <v>4189</v>
      </c>
      <c r="S1413" s="156">
        <v>700000000</v>
      </c>
      <c r="T1413" s="150" t="s">
        <v>4189</v>
      </c>
      <c r="U1413" s="156">
        <v>700000000</v>
      </c>
      <c r="V1413" s="161"/>
      <c r="W1413" s="259"/>
      <c r="X1413" s="259"/>
    </row>
    <row r="1414" spans="2:24" s="165" customFormat="1" ht="90">
      <c r="B1414" s="48"/>
      <c r="C1414" s="62"/>
      <c r="D1414" s="63"/>
      <c r="E1414" s="63"/>
      <c r="F1414" s="64"/>
      <c r="G1414" s="420" t="s">
        <v>4194</v>
      </c>
      <c r="H1414" s="150" t="s">
        <v>4190</v>
      </c>
      <c r="I1414" s="150" t="s">
        <v>4191</v>
      </c>
      <c r="J1414" s="248" t="s">
        <v>4185</v>
      </c>
      <c r="K1414" s="248">
        <v>910000000</v>
      </c>
      <c r="L1414" s="156" t="s">
        <v>4185</v>
      </c>
      <c r="M1414" s="156">
        <v>1105000</v>
      </c>
      <c r="N1414" s="156" t="s">
        <v>4192</v>
      </c>
      <c r="O1414" s="156">
        <v>1300000</v>
      </c>
      <c r="P1414" s="156" t="s">
        <v>4192</v>
      </c>
      <c r="Q1414" s="156">
        <v>1725000</v>
      </c>
      <c r="R1414" s="156" t="s">
        <v>4193</v>
      </c>
      <c r="S1414" s="156">
        <v>1875000</v>
      </c>
      <c r="T1414" s="156" t="s">
        <v>4193</v>
      </c>
      <c r="U1414" s="156">
        <v>1875000</v>
      </c>
      <c r="V1414" s="161"/>
      <c r="W1414" s="259"/>
      <c r="X1414" s="259"/>
    </row>
    <row r="1415" spans="2:24" s="165" customFormat="1" ht="60">
      <c r="B1415" s="48"/>
      <c r="C1415" s="62"/>
      <c r="D1415" s="63"/>
      <c r="E1415" s="63"/>
      <c r="F1415" s="64"/>
      <c r="G1415" s="420" t="s">
        <v>4195</v>
      </c>
      <c r="H1415" s="156"/>
      <c r="I1415" s="156"/>
      <c r="J1415" s="156">
        <v>0</v>
      </c>
      <c r="K1415" s="156">
        <v>0</v>
      </c>
      <c r="L1415" s="156" t="s">
        <v>2551</v>
      </c>
      <c r="M1415" s="156">
        <v>750000000</v>
      </c>
      <c r="N1415" s="156"/>
      <c r="O1415" s="156"/>
      <c r="P1415" s="156" t="s">
        <v>2551</v>
      </c>
      <c r="Q1415" s="156">
        <v>500000000</v>
      </c>
      <c r="R1415" s="156"/>
      <c r="S1415" s="156"/>
      <c r="T1415" s="156"/>
      <c r="U1415" s="156"/>
      <c r="V1415" s="161"/>
      <c r="W1415" s="259"/>
      <c r="X1415" s="259"/>
    </row>
    <row r="1416" spans="2:24" s="165" customFormat="1" ht="120">
      <c r="B1416" s="48"/>
      <c r="C1416" s="62"/>
      <c r="D1416" s="63"/>
      <c r="E1416" s="63"/>
      <c r="F1416" s="64"/>
      <c r="G1416" s="430" t="s">
        <v>4231</v>
      </c>
      <c r="H1416" s="380" t="s">
        <v>2650</v>
      </c>
      <c r="I1416" s="380"/>
      <c r="J1416" s="381" t="s">
        <v>2650</v>
      </c>
      <c r="K1416" s="381">
        <v>33990000</v>
      </c>
      <c r="L1416" s="381"/>
      <c r="M1416" s="381"/>
      <c r="N1416" s="381"/>
      <c r="O1416" s="381"/>
      <c r="P1416" s="381" t="s">
        <v>2650</v>
      </c>
      <c r="Q1416" s="381">
        <v>50000000</v>
      </c>
      <c r="R1416" s="381"/>
      <c r="S1416" s="381"/>
      <c r="T1416" s="381"/>
      <c r="U1416" s="381"/>
      <c r="V1416" s="161"/>
      <c r="W1416" s="259"/>
      <c r="X1416" s="259"/>
    </row>
    <row r="1417" spans="2:24" s="165" customFormat="1">
      <c r="B1417" s="48"/>
      <c r="C1417" s="62"/>
      <c r="D1417" s="63"/>
      <c r="E1417" s="63"/>
      <c r="F1417" s="64"/>
      <c r="G1417" s="58"/>
      <c r="H1417" s="161"/>
      <c r="I1417" s="161"/>
      <c r="J1417" s="161"/>
      <c r="K1417" s="259"/>
      <c r="L1417" s="161"/>
      <c r="M1417" s="259"/>
      <c r="N1417" s="161"/>
      <c r="O1417" s="259"/>
      <c r="P1417" s="161"/>
      <c r="Q1417" s="259"/>
      <c r="R1417" s="161"/>
      <c r="S1417" s="259"/>
      <c r="T1417" s="161"/>
      <c r="U1417" s="259"/>
      <c r="V1417" s="161"/>
      <c r="W1417" s="259"/>
      <c r="X1417" s="259"/>
    </row>
    <row r="1418" spans="2:24" s="165" customFormat="1" ht="60">
      <c r="B1418" s="66"/>
      <c r="C1418" s="56" t="str">
        <f>'matrik MISI 1'!J58</f>
        <v>2.05</v>
      </c>
      <c r="D1418" s="57" t="str">
        <f>'matrik MISI 1'!K58</f>
        <v>xx</v>
      </c>
      <c r="E1418" s="57">
        <f>'matrik MISI 1'!L58</f>
        <v>21</v>
      </c>
      <c r="F1418" s="58" t="str">
        <f>'matrik MISI 1'!M58</f>
        <v>Program Pengembangan Perikanan Tangkap</v>
      </c>
      <c r="G1418" s="58"/>
      <c r="H1418" s="161"/>
      <c r="I1418" s="161"/>
      <c r="J1418" s="161"/>
      <c r="K1418" s="259"/>
      <c r="L1418" s="161"/>
      <c r="M1418" s="259"/>
      <c r="N1418" s="161"/>
      <c r="O1418" s="259"/>
      <c r="P1418" s="161"/>
      <c r="Q1418" s="259"/>
      <c r="R1418" s="161"/>
      <c r="S1418" s="259"/>
      <c r="T1418" s="161"/>
      <c r="U1418" s="259"/>
      <c r="V1418" s="161"/>
      <c r="W1418" s="259"/>
      <c r="X1418" s="259" t="str">
        <f>'matrik MISI 1'!X58</f>
        <v>DINAKAN</v>
      </c>
    </row>
    <row r="1419" spans="2:24" s="165" customFormat="1" ht="60">
      <c r="B1419" s="48"/>
      <c r="C1419" s="62"/>
      <c r="D1419" s="63"/>
      <c r="E1419" s="63"/>
      <c r="F1419" s="64"/>
      <c r="G1419" s="420" t="s">
        <v>4216</v>
      </c>
      <c r="H1419" s="150"/>
      <c r="I1419" s="150" t="s">
        <v>2937</v>
      </c>
      <c r="J1419" s="156" t="s">
        <v>2937</v>
      </c>
      <c r="K1419" s="379"/>
      <c r="L1419" s="156" t="s">
        <v>2937</v>
      </c>
      <c r="M1419" s="156">
        <v>50000000</v>
      </c>
      <c r="N1419" s="156" t="s">
        <v>2937</v>
      </c>
      <c r="O1419" s="156">
        <v>65000000</v>
      </c>
      <c r="P1419" s="156" t="s">
        <v>2937</v>
      </c>
      <c r="Q1419" s="156">
        <v>75000000</v>
      </c>
      <c r="R1419" s="156" t="s">
        <v>2937</v>
      </c>
      <c r="S1419" s="156">
        <v>95000000</v>
      </c>
      <c r="T1419" s="156" t="s">
        <v>2937</v>
      </c>
      <c r="U1419" s="156">
        <v>95000000</v>
      </c>
      <c r="V1419" s="161"/>
      <c r="W1419" s="259"/>
      <c r="X1419" s="259"/>
    </row>
    <row r="1420" spans="2:24" s="165" customFormat="1" ht="90">
      <c r="B1420" s="48"/>
      <c r="C1420" s="62" t="str">
        <f>'matrik MISI 1'!J55</f>
        <v>2.05</v>
      </c>
      <c r="D1420" s="63" t="str">
        <f>'matrik MISI 1'!K55</f>
        <v>xx</v>
      </c>
      <c r="E1420" s="63">
        <f>'matrik MISI 1'!L55</f>
        <v>23</v>
      </c>
      <c r="F1420" s="64" t="str">
        <f>'matrik MISI 1'!M55</f>
        <v>Program Optimalisasi pengelolaan dan Pemasaran Produksi Perikanan</v>
      </c>
      <c r="G1420" s="58"/>
      <c r="H1420" s="161"/>
      <c r="I1420" s="161"/>
      <c r="J1420" s="161"/>
      <c r="K1420" s="259"/>
      <c r="L1420" s="161"/>
      <c r="M1420" s="259"/>
      <c r="N1420" s="161"/>
      <c r="O1420" s="259"/>
      <c r="P1420" s="161"/>
      <c r="Q1420" s="259"/>
      <c r="R1420" s="161"/>
      <c r="S1420" s="259"/>
      <c r="T1420" s="161"/>
      <c r="U1420" s="259"/>
      <c r="V1420" s="161"/>
      <c r="W1420" s="259"/>
      <c r="X1420" s="259" t="str">
        <f>'matrik MISI 1'!X55</f>
        <v>DINAKAN</v>
      </c>
    </row>
    <row r="1421" spans="2:24" s="165" customFormat="1" ht="45">
      <c r="B1421" s="48"/>
      <c r="C1421" s="62"/>
      <c r="D1421" s="63"/>
      <c r="E1421" s="63"/>
      <c r="F1421" s="64"/>
      <c r="G1421" s="420" t="s">
        <v>4208</v>
      </c>
      <c r="H1421" s="156">
        <v>0</v>
      </c>
      <c r="I1421" s="156">
        <v>0</v>
      </c>
      <c r="J1421" s="156" t="s">
        <v>2937</v>
      </c>
      <c r="K1421" s="156">
        <v>400997000</v>
      </c>
      <c r="L1421" s="156" t="s">
        <v>2937</v>
      </c>
      <c r="M1421" s="156">
        <v>450000000</v>
      </c>
      <c r="N1421" s="156" t="s">
        <v>2937</v>
      </c>
      <c r="O1421" s="156">
        <v>530000000</v>
      </c>
      <c r="P1421" s="156" t="s">
        <v>2937</v>
      </c>
      <c r="Q1421" s="156">
        <v>1320000</v>
      </c>
      <c r="R1421" s="156" t="s">
        <v>2937</v>
      </c>
      <c r="S1421" s="156">
        <v>1550000</v>
      </c>
      <c r="T1421" s="156" t="s">
        <v>2937</v>
      </c>
      <c r="U1421" s="156">
        <v>1550000</v>
      </c>
      <c r="V1421" s="161"/>
      <c r="W1421" s="259"/>
      <c r="X1421" s="259"/>
    </row>
    <row r="1422" spans="2:24" s="165" customFormat="1" ht="120">
      <c r="B1422" s="48"/>
      <c r="C1422" s="62"/>
      <c r="D1422" s="63"/>
      <c r="E1422" s="63"/>
      <c r="F1422" s="64"/>
      <c r="G1422" s="420" t="s">
        <v>4209</v>
      </c>
      <c r="H1422" s="150" t="s">
        <v>2568</v>
      </c>
      <c r="I1422" s="150" t="s">
        <v>2515</v>
      </c>
      <c r="J1422" s="156" t="s">
        <v>4170</v>
      </c>
      <c r="K1422" s="156">
        <v>92631000</v>
      </c>
      <c r="L1422" s="156" t="s">
        <v>2568</v>
      </c>
      <c r="M1422" s="156">
        <v>210000000</v>
      </c>
      <c r="N1422" s="156" t="s">
        <v>2568</v>
      </c>
      <c r="O1422" s="156">
        <v>320000000</v>
      </c>
      <c r="P1422" s="156" t="s">
        <v>4170</v>
      </c>
      <c r="Q1422" s="156">
        <v>440000000</v>
      </c>
      <c r="R1422" s="156" t="s">
        <v>4170</v>
      </c>
      <c r="S1422" s="156">
        <v>500000000</v>
      </c>
      <c r="T1422" s="156" t="s">
        <v>4170</v>
      </c>
      <c r="U1422" s="156">
        <v>500000000</v>
      </c>
      <c r="V1422" s="161"/>
      <c r="W1422" s="259"/>
      <c r="X1422" s="259"/>
    </row>
    <row r="1423" spans="2:24" s="165" customFormat="1" ht="60">
      <c r="B1423" s="48"/>
      <c r="C1423" s="62"/>
      <c r="D1423" s="63"/>
      <c r="E1423" s="63"/>
      <c r="F1423" s="64"/>
      <c r="G1423" s="420" t="s">
        <v>4210</v>
      </c>
      <c r="H1423" s="150" t="s">
        <v>4211</v>
      </c>
      <c r="I1423" s="150" t="s">
        <v>4212</v>
      </c>
      <c r="J1423" s="156" t="s">
        <v>4212</v>
      </c>
      <c r="K1423" s="156">
        <v>350000000</v>
      </c>
      <c r="L1423" s="156" t="s">
        <v>4213</v>
      </c>
      <c r="M1423" s="156">
        <v>400000000</v>
      </c>
      <c r="N1423" s="156" t="s">
        <v>4213</v>
      </c>
      <c r="O1423" s="156">
        <v>400000000</v>
      </c>
      <c r="P1423" s="156" t="s">
        <v>4214</v>
      </c>
      <c r="Q1423" s="156">
        <v>450000000</v>
      </c>
      <c r="R1423" s="156" t="s">
        <v>4214</v>
      </c>
      <c r="S1423" s="156">
        <v>450000000</v>
      </c>
      <c r="T1423" s="156" t="s">
        <v>4214</v>
      </c>
      <c r="U1423" s="156">
        <v>450000000</v>
      </c>
      <c r="V1423" s="161"/>
      <c r="W1423" s="259"/>
      <c r="X1423" s="259"/>
    </row>
    <row r="1424" spans="2:24" s="165" customFormat="1" ht="45">
      <c r="B1424" s="48"/>
      <c r="C1424" s="62"/>
      <c r="D1424" s="63"/>
      <c r="E1424" s="63"/>
      <c r="F1424" s="64"/>
      <c r="G1424" s="420" t="s">
        <v>4215</v>
      </c>
      <c r="H1424" s="156">
        <v>0</v>
      </c>
      <c r="I1424" s="156">
        <v>0</v>
      </c>
      <c r="J1424" s="156" t="s">
        <v>2937</v>
      </c>
      <c r="K1424" s="156">
        <v>32500000</v>
      </c>
      <c r="L1424" s="156" t="s">
        <v>2937</v>
      </c>
      <c r="M1424" s="156">
        <v>90000000</v>
      </c>
      <c r="N1424" s="156" t="s">
        <v>2937</v>
      </c>
      <c r="O1424" s="156">
        <v>100000000</v>
      </c>
      <c r="P1424" s="156" t="s">
        <v>2937</v>
      </c>
      <c r="Q1424" s="156">
        <v>125000000</v>
      </c>
      <c r="R1424" s="156" t="s">
        <v>2937</v>
      </c>
      <c r="S1424" s="156">
        <v>135000000</v>
      </c>
      <c r="T1424" s="156" t="s">
        <v>2937</v>
      </c>
      <c r="U1424" s="156">
        <v>135000000</v>
      </c>
      <c r="V1424" s="161"/>
      <c r="W1424" s="259"/>
      <c r="X1424" s="259"/>
    </row>
    <row r="1425" spans="1:32" s="165" customFormat="1" ht="75">
      <c r="B1425" s="48"/>
      <c r="C1425" s="56" t="str">
        <f>'matrik MISI 1'!J57</f>
        <v>2.05</v>
      </c>
      <c r="D1425" s="57" t="str">
        <f>'matrik MISI 1'!K57</f>
        <v>xx</v>
      </c>
      <c r="E1425" s="57">
        <f>'matrik MISI 1'!L57</f>
        <v>24</v>
      </c>
      <c r="F1425" s="58" t="str">
        <f>'matrik MISI 1'!M57</f>
        <v>Program Pengembangan Kawasan budidaya air tawar</v>
      </c>
      <c r="G1425" s="58"/>
      <c r="H1425" s="161"/>
      <c r="I1425" s="161"/>
      <c r="J1425" s="161"/>
      <c r="K1425" s="259"/>
      <c r="L1425" s="161"/>
      <c r="M1425" s="259"/>
      <c r="N1425" s="161"/>
      <c r="O1425" s="259"/>
      <c r="P1425" s="161"/>
      <c r="Q1425" s="259"/>
      <c r="R1425" s="161"/>
      <c r="S1425" s="259"/>
      <c r="T1425" s="161"/>
      <c r="U1425" s="259"/>
      <c r="V1425" s="161"/>
      <c r="W1425" s="259"/>
      <c r="X1425" s="259" t="str">
        <f>'matrik MISI 1'!X57</f>
        <v>DINAKAN</v>
      </c>
    </row>
    <row r="1426" spans="1:32" s="165" customFormat="1" ht="45">
      <c r="B1426" s="48"/>
      <c r="C1426" s="56"/>
      <c r="D1426" s="57"/>
      <c r="E1426" s="57"/>
      <c r="F1426" s="58"/>
      <c r="G1426" s="420" t="s">
        <v>4196</v>
      </c>
      <c r="H1426" s="150"/>
      <c r="I1426" s="156">
        <v>0</v>
      </c>
      <c r="J1426" s="156"/>
      <c r="K1426" s="156">
        <v>100000000</v>
      </c>
      <c r="L1426" s="156" t="s">
        <v>4197</v>
      </c>
      <c r="M1426" s="156">
        <v>1475000</v>
      </c>
      <c r="N1426" s="156" t="s">
        <v>4198</v>
      </c>
      <c r="O1426" s="156">
        <v>2000000</v>
      </c>
      <c r="P1426" s="156" t="s">
        <v>4172</v>
      </c>
      <c r="Q1426" s="156">
        <v>2400000</v>
      </c>
      <c r="R1426" s="156" t="s">
        <v>2489</v>
      </c>
      <c r="S1426" s="156">
        <v>2800000</v>
      </c>
      <c r="T1426" s="156" t="s">
        <v>2489</v>
      </c>
      <c r="U1426" s="156">
        <v>2800000</v>
      </c>
      <c r="V1426" s="161"/>
      <c r="W1426" s="259"/>
      <c r="X1426" s="259"/>
    </row>
    <row r="1427" spans="1:32" s="165" customFormat="1" ht="45">
      <c r="B1427" s="48"/>
      <c r="C1427" s="56"/>
      <c r="D1427" s="57"/>
      <c r="E1427" s="57"/>
      <c r="F1427" s="58"/>
      <c r="G1427" s="420" t="s">
        <v>4199</v>
      </c>
      <c r="H1427" s="150"/>
      <c r="I1427" s="150" t="s">
        <v>2937</v>
      </c>
      <c r="J1427" s="156" t="s">
        <v>2937</v>
      </c>
      <c r="K1427" s="156">
        <v>40000000</v>
      </c>
      <c r="M1427" s="354"/>
      <c r="N1427" s="156" t="s">
        <v>2937</v>
      </c>
      <c r="O1427" s="156">
        <v>80000000</v>
      </c>
      <c r="P1427" s="156"/>
      <c r="Q1427" s="156"/>
      <c r="R1427" s="156"/>
      <c r="S1427" s="156"/>
      <c r="T1427" s="156"/>
      <c r="U1427" s="156"/>
      <c r="V1427" s="161"/>
      <c r="W1427" s="259"/>
      <c r="X1427" s="259"/>
    </row>
    <row r="1428" spans="1:32" s="165" customFormat="1" ht="60">
      <c r="B1428" s="48"/>
      <c r="C1428" s="56"/>
      <c r="D1428" s="57"/>
      <c r="E1428" s="57"/>
      <c r="F1428" s="58"/>
      <c r="G1428" s="420" t="s">
        <v>4200</v>
      </c>
      <c r="H1428" s="150"/>
      <c r="I1428" s="150" t="s">
        <v>4201</v>
      </c>
      <c r="J1428" s="248"/>
      <c r="K1428" s="379"/>
      <c r="L1428" s="156" t="s">
        <v>4202</v>
      </c>
      <c r="M1428" s="156">
        <v>365000000</v>
      </c>
      <c r="N1428" s="156" t="s">
        <v>4202</v>
      </c>
      <c r="O1428" s="156">
        <v>460000000</v>
      </c>
      <c r="P1428" s="156" t="s">
        <v>4203</v>
      </c>
      <c r="Q1428" s="156">
        <v>550000000</v>
      </c>
      <c r="R1428" s="156" t="s">
        <v>4204</v>
      </c>
      <c r="S1428" s="156">
        <v>700000000</v>
      </c>
      <c r="T1428" s="156" t="s">
        <v>4204</v>
      </c>
      <c r="U1428" s="156">
        <v>700000000</v>
      </c>
      <c r="V1428" s="161"/>
      <c r="W1428" s="259"/>
      <c r="X1428" s="259"/>
    </row>
    <row r="1429" spans="1:32" s="165" customFormat="1" ht="60">
      <c r="B1429" s="48"/>
      <c r="C1429" s="56"/>
      <c r="D1429" s="57"/>
      <c r="E1429" s="57"/>
      <c r="F1429" s="58"/>
      <c r="G1429" s="420" t="s">
        <v>4205</v>
      </c>
      <c r="H1429" s="150" t="s">
        <v>2551</v>
      </c>
      <c r="I1429" s="150" t="s">
        <v>2551</v>
      </c>
      <c r="J1429" s="378" t="s">
        <v>2551</v>
      </c>
      <c r="K1429" s="248">
        <v>96000000</v>
      </c>
      <c r="L1429" s="150" t="s">
        <v>2551</v>
      </c>
      <c r="M1429" s="156">
        <v>360000000</v>
      </c>
      <c r="N1429" s="150" t="s">
        <v>2551</v>
      </c>
      <c r="O1429" s="156">
        <v>445000000</v>
      </c>
      <c r="P1429" s="150" t="s">
        <v>2551</v>
      </c>
      <c r="Q1429" s="156">
        <v>535000000</v>
      </c>
      <c r="R1429" s="150" t="s">
        <v>2551</v>
      </c>
      <c r="S1429" s="156">
        <v>690000000</v>
      </c>
      <c r="T1429" s="150" t="s">
        <v>2551</v>
      </c>
      <c r="U1429" s="156">
        <v>690000000</v>
      </c>
      <c r="V1429" s="161"/>
      <c r="W1429" s="259"/>
      <c r="X1429" s="259"/>
    </row>
    <row r="1430" spans="1:32" s="165" customFormat="1" ht="90">
      <c r="B1430" s="48"/>
      <c r="C1430" s="56"/>
      <c r="D1430" s="57"/>
      <c r="E1430" s="57"/>
      <c r="F1430" s="58"/>
      <c r="G1430" s="429" t="s">
        <v>4206</v>
      </c>
      <c r="H1430" s="150"/>
      <c r="I1430" s="150"/>
      <c r="J1430" s="156"/>
      <c r="K1430" s="248">
        <f>27995000+192500000</f>
        <v>220495000</v>
      </c>
      <c r="M1430" s="156">
        <v>270440000</v>
      </c>
      <c r="N1430" s="156"/>
      <c r="O1430" s="156">
        <v>330000000</v>
      </c>
      <c r="P1430" s="156"/>
      <c r="Q1430" s="156">
        <v>200000000</v>
      </c>
      <c r="R1430" s="156"/>
      <c r="S1430" s="156">
        <v>140000000</v>
      </c>
      <c r="T1430" s="156"/>
      <c r="U1430" s="156">
        <v>140000000</v>
      </c>
      <c r="V1430" s="161"/>
      <c r="W1430" s="259"/>
      <c r="X1430" s="259"/>
    </row>
    <row r="1431" spans="1:32" s="165" customFormat="1" ht="105">
      <c r="B1431" s="48"/>
      <c r="C1431" s="56"/>
      <c r="D1431" s="57"/>
      <c r="E1431" s="57"/>
      <c r="F1431" s="58"/>
      <c r="G1431" s="420" t="s">
        <v>4207</v>
      </c>
      <c r="H1431" s="150" t="s">
        <v>1040</v>
      </c>
      <c r="I1431" s="150"/>
      <c r="J1431" s="150" t="s">
        <v>2937</v>
      </c>
      <c r="K1431" s="379"/>
      <c r="L1431" s="150" t="s">
        <v>2937</v>
      </c>
      <c r="M1431" s="156">
        <v>65000000</v>
      </c>
      <c r="N1431" s="150" t="s">
        <v>2937</v>
      </c>
      <c r="O1431" s="156">
        <v>70000000</v>
      </c>
      <c r="P1431" s="150" t="s">
        <v>2937</v>
      </c>
      <c r="Q1431" s="156">
        <v>75000000</v>
      </c>
      <c r="R1431" s="150" t="s">
        <v>2937</v>
      </c>
      <c r="S1431" s="156">
        <v>80000000</v>
      </c>
      <c r="T1431" s="150" t="s">
        <v>2937</v>
      </c>
      <c r="U1431" s="156">
        <v>80000000</v>
      </c>
      <c r="V1431" s="161"/>
      <c r="W1431" s="259"/>
      <c r="X1431" s="259"/>
    </row>
    <row r="1432" spans="1:32" s="280" customFormat="1" ht="30" customHeight="1">
      <c r="A1432" s="285"/>
      <c r="B1432" s="1093" t="s">
        <v>4263</v>
      </c>
      <c r="C1432" s="1094"/>
      <c r="D1432" s="1094"/>
      <c r="E1432" s="1094"/>
      <c r="F1432" s="1094"/>
      <c r="G1432" s="1095"/>
      <c r="H1432" s="342"/>
      <c r="I1432" s="342"/>
      <c r="J1432" s="342"/>
      <c r="K1432" s="342">
        <f>SUM(K1409:K1431)</f>
        <v>4393491000</v>
      </c>
      <c r="L1432" s="342"/>
      <c r="M1432" s="342">
        <f t="shared" ref="M1432:U1432" si="147">SUM(M1409:M1431)</f>
        <v>5005020000</v>
      </c>
      <c r="N1432" s="342"/>
      <c r="O1432" s="342">
        <f t="shared" si="147"/>
        <v>5220800000</v>
      </c>
      <c r="P1432" s="342"/>
      <c r="Q1432" s="342">
        <f t="shared" si="147"/>
        <v>5858445000</v>
      </c>
      <c r="R1432" s="342"/>
      <c r="S1432" s="342">
        <f t="shared" si="147"/>
        <v>6209725000</v>
      </c>
      <c r="T1432" s="342"/>
      <c r="U1432" s="342">
        <f t="shared" si="147"/>
        <v>6209725000</v>
      </c>
      <c r="V1432" s="342">
        <f t="shared" ref="V1432" si="148">SUM(V1429:V1431)</f>
        <v>0</v>
      </c>
      <c r="W1432" s="342">
        <f t="shared" ref="W1432" si="149">SUM(W1429:W1431)</f>
        <v>0</v>
      </c>
      <c r="X1432" s="342"/>
      <c r="Y1432" s="285"/>
      <c r="Z1432" s="285"/>
      <c r="AA1432" s="285"/>
      <c r="AB1432" s="285"/>
      <c r="AC1432" s="285"/>
      <c r="AD1432" s="285"/>
      <c r="AE1432" s="285"/>
      <c r="AF1432" s="285"/>
    </row>
    <row r="1433" spans="1:32" ht="30">
      <c r="A1433" s="165">
        <v>1</v>
      </c>
      <c r="B1433" s="62" t="str">
        <f>'matrik MISI 1'!B81</f>
        <v>PERDAGANGAN</v>
      </c>
      <c r="C1433" s="56"/>
      <c r="D1433" s="57"/>
      <c r="E1433" s="57"/>
      <c r="F1433" s="58"/>
      <c r="G1433" s="58"/>
      <c r="H1433" s="259"/>
      <c r="I1433" s="259"/>
      <c r="J1433" s="259"/>
      <c r="K1433" s="259"/>
      <c r="L1433" s="259"/>
      <c r="M1433" s="259"/>
      <c r="N1433" s="259"/>
      <c r="O1433" s="259"/>
      <c r="P1433" s="259"/>
      <c r="Q1433" s="259"/>
      <c r="R1433" s="259"/>
      <c r="S1433" s="259"/>
      <c r="T1433" s="259"/>
      <c r="U1433" s="259"/>
      <c r="V1433" s="259"/>
      <c r="W1433" s="259"/>
      <c r="X1433" s="259"/>
      <c r="Y1433" s="165"/>
      <c r="Z1433" s="165"/>
      <c r="AA1433" s="165"/>
      <c r="AB1433" s="165"/>
      <c r="AC1433" s="165"/>
      <c r="AD1433" s="165"/>
      <c r="AE1433" s="165"/>
      <c r="AF1433" s="165"/>
    </row>
    <row r="1434" spans="1:32" s="165" customFormat="1" ht="45">
      <c r="B1434" s="48"/>
      <c r="C1434" s="62" t="str">
        <f>'matrik MISI 1'!J89</f>
        <v>2.06</v>
      </c>
      <c r="D1434" s="63" t="str">
        <f>'matrik MISI 1'!K89</f>
        <v>xx</v>
      </c>
      <c r="E1434" s="63">
        <f>'matrik MISI 1'!L89</f>
        <v>15</v>
      </c>
      <c r="F1434" s="64" t="str">
        <f>'matrik MISI 1'!M89</f>
        <v>Perlindungan Konsumen</v>
      </c>
      <c r="G1434" s="58"/>
      <c r="H1434" s="259"/>
      <c r="I1434" s="259"/>
      <c r="J1434" s="259"/>
      <c r="K1434" s="259"/>
      <c r="L1434" s="259"/>
      <c r="M1434" s="259"/>
      <c r="N1434" s="259"/>
      <c r="O1434" s="259"/>
      <c r="P1434" s="259"/>
      <c r="Q1434" s="259"/>
      <c r="R1434" s="259"/>
      <c r="S1434" s="259"/>
      <c r="T1434" s="259"/>
      <c r="U1434" s="259"/>
      <c r="V1434" s="259"/>
      <c r="W1434" s="259"/>
      <c r="X1434" s="259" t="str">
        <f>'matrik MISI 1'!X89</f>
        <v>DISPERINDAGKOP DAN UMKM</v>
      </c>
    </row>
    <row r="1435" spans="1:32" s="165" customFormat="1" ht="75">
      <c r="B1435" s="48"/>
      <c r="C1435" s="62"/>
      <c r="D1435" s="63"/>
      <c r="E1435" s="63"/>
      <c r="F1435" s="64"/>
      <c r="G1435" s="58" t="s">
        <v>3855</v>
      </c>
      <c r="H1435" s="52"/>
      <c r="I1435" s="52" t="s">
        <v>3856</v>
      </c>
      <c r="J1435" s="161">
        <v>1</v>
      </c>
      <c r="K1435" s="252">
        <v>25000000</v>
      </c>
      <c r="L1435" s="52" t="s">
        <v>3857</v>
      </c>
      <c r="M1435" s="252">
        <v>20000000</v>
      </c>
      <c r="N1435" s="252" t="s">
        <v>3857</v>
      </c>
      <c r="O1435" s="252">
        <v>25000000</v>
      </c>
      <c r="P1435" s="252" t="s">
        <v>3857</v>
      </c>
      <c r="Q1435" s="252">
        <v>25000000</v>
      </c>
      <c r="R1435" s="252" t="s">
        <v>3857</v>
      </c>
      <c r="S1435" s="252">
        <v>25000000</v>
      </c>
      <c r="T1435" s="252" t="s">
        <v>3857</v>
      </c>
      <c r="U1435" s="252">
        <v>25000000</v>
      </c>
      <c r="V1435" s="259"/>
      <c r="W1435" s="259"/>
      <c r="X1435" s="259"/>
    </row>
    <row r="1436" spans="1:32" s="165" customFormat="1" ht="60">
      <c r="B1436" s="48"/>
      <c r="C1436" s="62"/>
      <c r="D1436" s="63"/>
      <c r="E1436" s="63"/>
      <c r="F1436" s="64"/>
      <c r="G1436" s="58" t="s">
        <v>3858</v>
      </c>
      <c r="H1436" s="52"/>
      <c r="I1436" s="52" t="s">
        <v>3859</v>
      </c>
      <c r="J1436" s="161">
        <v>1</v>
      </c>
      <c r="K1436" s="252">
        <f>95000000</f>
        <v>95000000</v>
      </c>
      <c r="L1436" s="52" t="s">
        <v>3859</v>
      </c>
      <c r="M1436" s="252">
        <v>107000000</v>
      </c>
      <c r="N1436" s="52" t="s">
        <v>3859</v>
      </c>
      <c r="O1436" s="252">
        <v>110000000</v>
      </c>
      <c r="P1436" s="52" t="s">
        <v>3859</v>
      </c>
      <c r="Q1436" s="252">
        <v>130000000</v>
      </c>
      <c r="R1436" s="52" t="s">
        <v>3859</v>
      </c>
      <c r="S1436" s="252">
        <v>150000000</v>
      </c>
      <c r="T1436" s="52" t="s">
        <v>3859</v>
      </c>
      <c r="U1436" s="252">
        <v>150000000</v>
      </c>
      <c r="V1436" s="259"/>
      <c r="W1436" s="259"/>
      <c r="X1436" s="259"/>
    </row>
    <row r="1437" spans="1:32" s="165" customFormat="1" ht="45">
      <c r="B1437" s="48"/>
      <c r="C1437" s="62"/>
      <c r="D1437" s="63"/>
      <c r="E1437" s="63"/>
      <c r="F1437" s="64"/>
      <c r="G1437" s="58" t="s">
        <v>3860</v>
      </c>
      <c r="H1437" s="52"/>
      <c r="I1437" s="52" t="s">
        <v>743</v>
      </c>
      <c r="J1437" s="52" t="s">
        <v>743</v>
      </c>
      <c r="K1437" s="52" t="s">
        <v>743</v>
      </c>
      <c r="L1437" s="52" t="s">
        <v>3538</v>
      </c>
      <c r="M1437" s="252">
        <v>10000000</v>
      </c>
      <c r="N1437" s="52" t="s">
        <v>3538</v>
      </c>
      <c r="O1437" s="252">
        <v>15000000</v>
      </c>
      <c r="P1437" s="52" t="s">
        <v>3538</v>
      </c>
      <c r="Q1437" s="252">
        <v>20000000</v>
      </c>
      <c r="R1437" s="52" t="s">
        <v>3538</v>
      </c>
      <c r="S1437" s="252">
        <v>25000000</v>
      </c>
      <c r="T1437" s="52" t="s">
        <v>3538</v>
      </c>
      <c r="U1437" s="252">
        <v>25000000</v>
      </c>
      <c r="V1437" s="259"/>
      <c r="W1437" s="259"/>
      <c r="X1437" s="259"/>
    </row>
    <row r="1438" spans="1:32" s="165" customFormat="1" ht="60">
      <c r="B1438" s="48"/>
      <c r="C1438" s="62"/>
      <c r="D1438" s="63"/>
      <c r="E1438" s="63"/>
      <c r="F1438" s="64"/>
      <c r="G1438" s="58" t="s">
        <v>3861</v>
      </c>
      <c r="H1438" s="52"/>
      <c r="I1438" s="52" t="s">
        <v>3862</v>
      </c>
      <c r="J1438" s="161">
        <v>1</v>
      </c>
      <c r="K1438" s="252">
        <v>14710500</v>
      </c>
      <c r="L1438" s="52" t="s">
        <v>3862</v>
      </c>
      <c r="M1438" s="252">
        <v>20000000</v>
      </c>
      <c r="N1438" s="252" t="s">
        <v>3862</v>
      </c>
      <c r="O1438" s="252">
        <v>18500000</v>
      </c>
      <c r="P1438" s="252" t="s">
        <v>3862</v>
      </c>
      <c r="Q1438" s="252">
        <v>20000000</v>
      </c>
      <c r="R1438" s="252" t="s">
        <v>3862</v>
      </c>
      <c r="S1438" s="252">
        <v>22500000</v>
      </c>
      <c r="T1438" s="252" t="s">
        <v>3862</v>
      </c>
      <c r="U1438" s="252">
        <v>22500000</v>
      </c>
      <c r="V1438" s="259"/>
      <c r="W1438" s="259"/>
      <c r="X1438" s="259"/>
    </row>
    <row r="1439" spans="1:32" s="165" customFormat="1" ht="75">
      <c r="B1439" s="48"/>
      <c r="C1439" s="62"/>
      <c r="D1439" s="63"/>
      <c r="E1439" s="63"/>
      <c r="F1439" s="64"/>
      <c r="G1439" s="58" t="s">
        <v>3863</v>
      </c>
      <c r="H1439" s="52"/>
      <c r="I1439" s="52" t="s">
        <v>3864</v>
      </c>
      <c r="J1439" s="161">
        <v>1</v>
      </c>
      <c r="K1439" s="252">
        <v>14430500</v>
      </c>
      <c r="L1439" s="52" t="s">
        <v>3864</v>
      </c>
      <c r="M1439" s="252">
        <v>17500000</v>
      </c>
      <c r="N1439" s="252" t="s">
        <v>3864</v>
      </c>
      <c r="O1439" s="252">
        <v>20000000</v>
      </c>
      <c r="P1439" s="252" t="s">
        <v>3864</v>
      </c>
      <c r="Q1439" s="252">
        <v>22500000</v>
      </c>
      <c r="R1439" s="252" t="s">
        <v>3864</v>
      </c>
      <c r="S1439" s="252">
        <v>25000000</v>
      </c>
      <c r="T1439" s="252" t="s">
        <v>3864</v>
      </c>
      <c r="U1439" s="252">
        <v>25000000</v>
      </c>
      <c r="V1439" s="259"/>
      <c r="W1439" s="259"/>
      <c r="X1439" s="259"/>
    </row>
    <row r="1440" spans="1:32" s="165" customFormat="1" ht="45">
      <c r="B1440" s="48"/>
      <c r="C1440" s="62"/>
      <c r="D1440" s="63"/>
      <c r="E1440" s="63"/>
      <c r="F1440" s="64"/>
      <c r="G1440" s="58" t="s">
        <v>3865</v>
      </c>
      <c r="H1440" s="52"/>
      <c r="I1440" s="52" t="s">
        <v>3866</v>
      </c>
      <c r="J1440" s="161">
        <v>1</v>
      </c>
      <c r="K1440" s="252">
        <v>13400000</v>
      </c>
      <c r="L1440" s="52" t="s">
        <v>3866</v>
      </c>
      <c r="M1440" s="252">
        <v>12000000</v>
      </c>
      <c r="N1440" s="52" t="s">
        <v>3867</v>
      </c>
      <c r="O1440" s="252">
        <v>20000000</v>
      </c>
      <c r="P1440" s="52" t="s">
        <v>3868</v>
      </c>
      <c r="Q1440" s="252">
        <v>23000000</v>
      </c>
      <c r="R1440" s="52" t="s">
        <v>3868</v>
      </c>
      <c r="S1440" s="252">
        <v>25000000</v>
      </c>
      <c r="T1440" s="52" t="s">
        <v>3868</v>
      </c>
      <c r="U1440" s="252">
        <v>25000000</v>
      </c>
      <c r="V1440" s="259"/>
      <c r="W1440" s="259"/>
      <c r="X1440" s="259"/>
    </row>
    <row r="1441" spans="2:24" s="165" customFormat="1" ht="45">
      <c r="B1441" s="48"/>
      <c r="C1441" s="62"/>
      <c r="D1441" s="63"/>
      <c r="E1441" s="63"/>
      <c r="F1441" s="64"/>
      <c r="G1441" s="58" t="s">
        <v>3869</v>
      </c>
      <c r="H1441" s="52"/>
      <c r="I1441" s="52" t="s">
        <v>3870</v>
      </c>
      <c r="J1441" s="161">
        <v>1</v>
      </c>
      <c r="K1441" s="252">
        <v>10000000</v>
      </c>
      <c r="L1441" s="52" t="s">
        <v>3870</v>
      </c>
      <c r="M1441" s="252">
        <v>12000000</v>
      </c>
      <c r="N1441" s="252" t="s">
        <v>3870</v>
      </c>
      <c r="O1441" s="252">
        <v>15000000</v>
      </c>
      <c r="P1441" s="252" t="s">
        <v>3870</v>
      </c>
      <c r="Q1441" s="252">
        <v>20000000</v>
      </c>
      <c r="R1441" s="252" t="s">
        <v>3870</v>
      </c>
      <c r="S1441" s="252">
        <v>25000000</v>
      </c>
      <c r="T1441" s="252" t="s">
        <v>3870</v>
      </c>
      <c r="U1441" s="252">
        <v>25000000</v>
      </c>
      <c r="V1441" s="259"/>
      <c r="W1441" s="259"/>
      <c r="X1441" s="259"/>
    </row>
    <row r="1442" spans="2:24" s="165" customFormat="1" ht="60">
      <c r="B1442" s="48"/>
      <c r="C1442" s="62"/>
      <c r="D1442" s="63"/>
      <c r="E1442" s="63"/>
      <c r="F1442" s="64"/>
      <c r="G1442" s="58" t="s">
        <v>3871</v>
      </c>
      <c r="H1442" s="52"/>
      <c r="I1442" s="52" t="s">
        <v>3872</v>
      </c>
      <c r="J1442" s="161">
        <v>1</v>
      </c>
      <c r="K1442" s="252">
        <v>36001000</v>
      </c>
      <c r="L1442" s="52" t="s">
        <v>3872</v>
      </c>
      <c r="M1442" s="252">
        <v>40000000</v>
      </c>
      <c r="N1442" s="52" t="s">
        <v>3872</v>
      </c>
      <c r="O1442" s="252">
        <v>40000000</v>
      </c>
      <c r="P1442" s="52" t="s">
        <v>3872</v>
      </c>
      <c r="Q1442" s="252">
        <v>40000000</v>
      </c>
      <c r="R1442" s="52" t="s">
        <v>3872</v>
      </c>
      <c r="S1442" s="252">
        <v>40000000</v>
      </c>
      <c r="T1442" s="52" t="s">
        <v>3872</v>
      </c>
      <c r="U1442" s="252">
        <v>40000000</v>
      </c>
      <c r="V1442" s="259"/>
      <c r="W1442" s="259"/>
      <c r="X1442" s="259"/>
    </row>
    <row r="1443" spans="2:24" s="165" customFormat="1" ht="90">
      <c r="B1443" s="48"/>
      <c r="C1443" s="62"/>
      <c r="D1443" s="63"/>
      <c r="E1443" s="63"/>
      <c r="F1443" s="64"/>
      <c r="G1443" s="58" t="s">
        <v>3873</v>
      </c>
      <c r="H1443" s="52"/>
      <c r="I1443" s="52" t="s">
        <v>3874</v>
      </c>
      <c r="J1443" s="161">
        <v>1</v>
      </c>
      <c r="K1443" s="252">
        <v>20626500</v>
      </c>
      <c r="L1443" s="164" t="s">
        <v>3875</v>
      </c>
      <c r="M1443" s="256">
        <v>141130000</v>
      </c>
      <c r="N1443" s="164" t="s">
        <v>3876</v>
      </c>
      <c r="O1443" s="256">
        <v>150000000</v>
      </c>
      <c r="P1443" s="164" t="s">
        <v>3877</v>
      </c>
      <c r="Q1443" s="256">
        <v>200000000</v>
      </c>
      <c r="R1443" s="164" t="s">
        <v>3878</v>
      </c>
      <c r="S1443" s="256">
        <v>200000000</v>
      </c>
      <c r="T1443" s="164" t="s">
        <v>3878</v>
      </c>
      <c r="U1443" s="256">
        <v>200000000</v>
      </c>
      <c r="V1443" s="259"/>
      <c r="W1443" s="259"/>
      <c r="X1443" s="259"/>
    </row>
    <row r="1444" spans="2:24" s="165" customFormat="1" ht="75">
      <c r="B1444" s="48"/>
      <c r="C1444" s="62" t="str">
        <f>'matrik MISI 1'!J85</f>
        <v>2.06</v>
      </c>
      <c r="D1444" s="63" t="str">
        <f>'matrik MISI 1'!K85</f>
        <v>xx</v>
      </c>
      <c r="E1444" s="63">
        <f>'matrik MISI 1'!L85</f>
        <v>17</v>
      </c>
      <c r="F1444" s="64" t="str">
        <f>'matrik MISI 1'!M85</f>
        <v>Program Peningkatan dan pengembangan  ekspor</v>
      </c>
      <c r="G1444" s="58"/>
      <c r="H1444" s="162"/>
      <c r="I1444" s="162"/>
      <c r="J1444" s="162"/>
      <c r="K1444" s="162"/>
      <c r="L1444" s="162"/>
      <c r="M1444" s="162"/>
      <c r="N1444" s="162"/>
      <c r="O1444" s="162"/>
      <c r="P1444" s="162"/>
      <c r="Q1444" s="162"/>
      <c r="R1444" s="162"/>
      <c r="S1444" s="162"/>
      <c r="T1444" s="162"/>
      <c r="U1444" s="162"/>
      <c r="V1444" s="259"/>
      <c r="W1444" s="259"/>
      <c r="X1444" s="259" t="str">
        <f>'matrik MISI 1'!X85</f>
        <v>DISPERINDAGKOP DAN UMKM</v>
      </c>
    </row>
    <row r="1445" spans="2:24" s="165" customFormat="1" ht="60">
      <c r="B1445" s="48"/>
      <c r="C1445" s="62"/>
      <c r="D1445" s="63"/>
      <c r="E1445" s="63"/>
      <c r="F1445" s="64"/>
      <c r="G1445" s="58" t="s">
        <v>3879</v>
      </c>
      <c r="H1445" s="52" t="s">
        <v>3880</v>
      </c>
      <c r="I1445" s="52" t="s">
        <v>3881</v>
      </c>
      <c r="J1445" s="161">
        <v>1</v>
      </c>
      <c r="K1445" s="252">
        <v>100000000</v>
      </c>
      <c r="L1445" s="52" t="s">
        <v>3882</v>
      </c>
      <c r="M1445" s="252">
        <v>45000000</v>
      </c>
      <c r="N1445" s="52" t="s">
        <v>3883</v>
      </c>
      <c r="O1445" s="252">
        <v>230000000</v>
      </c>
      <c r="P1445" s="52" t="s">
        <v>3883</v>
      </c>
      <c r="Q1445" s="252">
        <v>230000000</v>
      </c>
      <c r="R1445" s="52" t="s">
        <v>3883</v>
      </c>
      <c r="S1445" s="252">
        <v>250000000</v>
      </c>
      <c r="T1445" s="52" t="s">
        <v>3883</v>
      </c>
      <c r="U1445" s="252">
        <v>250000000</v>
      </c>
      <c r="V1445" s="259"/>
      <c r="W1445" s="259"/>
      <c r="X1445" s="259"/>
    </row>
    <row r="1446" spans="2:24" s="165" customFormat="1" ht="60">
      <c r="B1446" s="48"/>
      <c r="C1446" s="62"/>
      <c r="D1446" s="63"/>
      <c r="E1446" s="63"/>
      <c r="F1446" s="64"/>
      <c r="G1446" s="58" t="s">
        <v>3884</v>
      </c>
      <c r="H1446" s="52"/>
      <c r="I1446" s="52" t="s">
        <v>3885</v>
      </c>
      <c r="J1446" s="161">
        <v>1</v>
      </c>
      <c r="K1446" s="252">
        <v>10000000</v>
      </c>
      <c r="L1446" s="52" t="s">
        <v>3885</v>
      </c>
      <c r="M1446" s="252">
        <v>9000000</v>
      </c>
      <c r="N1446" s="52" t="s">
        <v>3885</v>
      </c>
      <c r="O1446" s="252">
        <v>10000000</v>
      </c>
      <c r="P1446" s="52" t="s">
        <v>3885</v>
      </c>
      <c r="Q1446" s="252">
        <v>15000000</v>
      </c>
      <c r="R1446" s="52" t="s">
        <v>3885</v>
      </c>
      <c r="S1446" s="252">
        <v>15000000</v>
      </c>
      <c r="T1446" s="52" t="s">
        <v>3885</v>
      </c>
      <c r="U1446" s="252">
        <v>15000000</v>
      </c>
      <c r="V1446" s="259"/>
      <c r="W1446" s="259"/>
      <c r="X1446" s="259"/>
    </row>
    <row r="1447" spans="2:24" s="165" customFormat="1" ht="45">
      <c r="B1447" s="48"/>
      <c r="C1447" s="62"/>
      <c r="D1447" s="63"/>
      <c r="E1447" s="63"/>
      <c r="F1447" s="64"/>
      <c r="G1447" s="58" t="s">
        <v>3886</v>
      </c>
      <c r="H1447" s="52"/>
      <c r="I1447" s="52" t="s">
        <v>743</v>
      </c>
      <c r="J1447" s="52" t="s">
        <v>743</v>
      </c>
      <c r="K1447" s="52" t="s">
        <v>743</v>
      </c>
      <c r="L1447" s="52" t="s">
        <v>743</v>
      </c>
      <c r="M1447" s="52" t="s">
        <v>743</v>
      </c>
      <c r="N1447" s="52" t="s">
        <v>3887</v>
      </c>
      <c r="O1447" s="252">
        <v>15000000</v>
      </c>
      <c r="P1447" s="52" t="s">
        <v>3887</v>
      </c>
      <c r="Q1447" s="252">
        <v>15000000</v>
      </c>
      <c r="R1447" s="52" t="s">
        <v>3887</v>
      </c>
      <c r="S1447" s="252">
        <v>17000000</v>
      </c>
      <c r="T1447" s="52" t="s">
        <v>3887</v>
      </c>
      <c r="U1447" s="252">
        <v>17000000</v>
      </c>
      <c r="V1447" s="259"/>
      <c r="W1447" s="259"/>
      <c r="X1447" s="259"/>
    </row>
    <row r="1448" spans="2:24" s="165" customFormat="1" ht="60">
      <c r="B1448" s="48"/>
      <c r="C1448" s="56" t="str">
        <f>'matrik MISI 1'!J87</f>
        <v>2.06</v>
      </c>
      <c r="D1448" s="57" t="str">
        <f>'matrik MISI 1'!K87</f>
        <v>xx</v>
      </c>
      <c r="E1448" s="57">
        <f>'matrik MISI 1'!L87</f>
        <v>19</v>
      </c>
      <c r="F1448" s="58" t="str">
        <f>'matrik MISI 1'!M87</f>
        <v>Pembinaan pedagang Kaki lima dan Asongan</v>
      </c>
      <c r="G1448" s="58"/>
      <c r="H1448" s="259"/>
      <c r="I1448" s="259"/>
      <c r="J1448" s="259"/>
      <c r="K1448" s="259"/>
      <c r="L1448" s="259"/>
      <c r="M1448" s="259"/>
      <c r="N1448" s="259"/>
      <c r="O1448" s="259"/>
      <c r="P1448" s="259"/>
      <c r="Q1448" s="259"/>
      <c r="R1448" s="259"/>
      <c r="S1448" s="259"/>
      <c r="T1448" s="259"/>
      <c r="U1448" s="259"/>
      <c r="V1448" s="259"/>
      <c r="W1448" s="259"/>
      <c r="X1448" s="259" t="str">
        <f>'matrik MISI 1'!X87</f>
        <v>DISPERINDAGKOP DAN UMKM</v>
      </c>
    </row>
    <row r="1449" spans="2:24" s="165" customFormat="1" ht="45">
      <c r="B1449" s="48"/>
      <c r="C1449" s="56"/>
      <c r="D1449" s="57"/>
      <c r="E1449" s="57"/>
      <c r="F1449" s="58"/>
      <c r="G1449" s="58" t="s">
        <v>3888</v>
      </c>
      <c r="H1449" s="52"/>
      <c r="I1449" s="52" t="s">
        <v>3889</v>
      </c>
      <c r="J1449" s="161">
        <v>1</v>
      </c>
      <c r="K1449" s="252">
        <v>40000000</v>
      </c>
      <c r="L1449" s="52" t="s">
        <v>3889</v>
      </c>
      <c r="M1449" s="252">
        <v>32500000</v>
      </c>
      <c r="N1449" s="52" t="s">
        <v>3889</v>
      </c>
      <c r="O1449" s="252">
        <v>50000000</v>
      </c>
      <c r="P1449" s="52" t="s">
        <v>3889</v>
      </c>
      <c r="Q1449" s="252">
        <v>60000000</v>
      </c>
      <c r="R1449" s="52" t="s">
        <v>3889</v>
      </c>
      <c r="S1449" s="252">
        <v>65000000</v>
      </c>
      <c r="T1449" s="52" t="s">
        <v>3889</v>
      </c>
      <c r="U1449" s="252">
        <v>65000000</v>
      </c>
      <c r="V1449" s="259"/>
      <c r="W1449" s="259"/>
      <c r="X1449" s="259"/>
    </row>
    <row r="1450" spans="2:24" s="165" customFormat="1" ht="45">
      <c r="B1450" s="48"/>
      <c r="C1450" s="56" t="str">
        <f>'matrik MISI 1'!J83</f>
        <v>2.06</v>
      </c>
      <c r="D1450" s="57" t="str">
        <f>'matrik MISI 1'!K83</f>
        <v>xx</v>
      </c>
      <c r="E1450" s="57">
        <f>'matrik MISI 1'!L83</f>
        <v>20</v>
      </c>
      <c r="F1450" s="58" t="str">
        <f>'matrik MISI 1'!M83</f>
        <v>Program Pengelolaan Pasar Daerah</v>
      </c>
      <c r="G1450" s="58"/>
      <c r="H1450" s="259"/>
      <c r="I1450" s="259"/>
      <c r="J1450" s="259"/>
      <c r="K1450" s="259"/>
      <c r="L1450" s="259"/>
      <c r="M1450" s="259"/>
      <c r="N1450" s="259"/>
      <c r="O1450" s="259"/>
      <c r="P1450" s="259"/>
      <c r="Q1450" s="259"/>
      <c r="R1450" s="259"/>
      <c r="S1450" s="259"/>
      <c r="T1450" s="259"/>
      <c r="U1450" s="259"/>
      <c r="V1450" s="259"/>
      <c r="W1450" s="259"/>
      <c r="X1450" s="259" t="str">
        <f>'matrik MISI 1'!X83</f>
        <v>DISPERINDAGKOP DAN UMKM</v>
      </c>
    </row>
    <row r="1451" spans="2:24" s="165" customFormat="1" ht="45">
      <c r="B1451" s="48"/>
      <c r="C1451" s="56"/>
      <c r="D1451" s="57"/>
      <c r="E1451" s="57"/>
      <c r="F1451" s="58"/>
      <c r="G1451" s="58" t="s">
        <v>3890</v>
      </c>
      <c r="H1451" s="52"/>
      <c r="I1451" s="52" t="s">
        <v>3857</v>
      </c>
      <c r="J1451" s="161">
        <v>1</v>
      </c>
      <c r="K1451" s="252">
        <v>15000000</v>
      </c>
      <c r="L1451" s="52" t="s">
        <v>3857</v>
      </c>
      <c r="M1451" s="252">
        <v>20000000</v>
      </c>
      <c r="N1451" s="163" t="s">
        <v>3891</v>
      </c>
      <c r="O1451" s="252">
        <v>35000000</v>
      </c>
      <c r="P1451" s="163" t="s">
        <v>3891</v>
      </c>
      <c r="Q1451" s="252">
        <v>35000000</v>
      </c>
      <c r="R1451" s="163" t="s">
        <v>3891</v>
      </c>
      <c r="S1451" s="252">
        <v>45000000</v>
      </c>
      <c r="T1451" s="163" t="s">
        <v>3891</v>
      </c>
      <c r="U1451" s="252">
        <v>45000000</v>
      </c>
      <c r="V1451" s="259"/>
      <c r="W1451" s="259"/>
      <c r="X1451" s="259"/>
    </row>
    <row r="1452" spans="2:24" s="165" customFormat="1" ht="30">
      <c r="B1452" s="48"/>
      <c r="C1452" s="56"/>
      <c r="D1452" s="57"/>
      <c r="E1452" s="57"/>
      <c r="F1452" s="58"/>
      <c r="G1452" s="58" t="s">
        <v>3892</v>
      </c>
      <c r="H1452" s="52"/>
      <c r="I1452" s="52" t="s">
        <v>3857</v>
      </c>
      <c r="J1452" s="161">
        <v>1</v>
      </c>
      <c r="K1452" s="252">
        <v>225000000</v>
      </c>
      <c r="L1452" s="52" t="s">
        <v>3857</v>
      </c>
      <c r="M1452" s="252">
        <v>200000000</v>
      </c>
      <c r="N1452" s="163" t="s">
        <v>3891</v>
      </c>
      <c r="O1452" s="252">
        <v>200000000</v>
      </c>
      <c r="P1452" s="163" t="s">
        <v>3891</v>
      </c>
      <c r="Q1452" s="252">
        <v>200000000</v>
      </c>
      <c r="R1452" s="163" t="s">
        <v>3891</v>
      </c>
      <c r="S1452" s="252">
        <v>250000000</v>
      </c>
      <c r="T1452" s="163" t="s">
        <v>3891</v>
      </c>
      <c r="U1452" s="252">
        <v>250000000</v>
      </c>
      <c r="V1452" s="259"/>
      <c r="W1452" s="259"/>
      <c r="X1452" s="259"/>
    </row>
    <row r="1453" spans="2:24" s="165" customFormat="1" ht="75">
      <c r="B1453" s="48"/>
      <c r="C1453" s="56"/>
      <c r="D1453" s="57"/>
      <c r="E1453" s="57"/>
      <c r="F1453" s="58"/>
      <c r="G1453" s="58" t="s">
        <v>3893</v>
      </c>
      <c r="H1453" s="52"/>
      <c r="I1453" s="52" t="s">
        <v>3894</v>
      </c>
      <c r="J1453" s="161">
        <v>1</v>
      </c>
      <c r="K1453" s="252">
        <v>30000000</v>
      </c>
      <c r="L1453" s="52" t="s">
        <v>3895</v>
      </c>
      <c r="M1453" s="252">
        <v>15000000</v>
      </c>
      <c r="N1453" s="52" t="s">
        <v>743</v>
      </c>
      <c r="O1453" s="52" t="s">
        <v>743</v>
      </c>
      <c r="P1453" s="52" t="s">
        <v>743</v>
      </c>
      <c r="Q1453" s="52" t="s">
        <v>743</v>
      </c>
      <c r="R1453" s="52" t="s">
        <v>743</v>
      </c>
      <c r="S1453" s="52" t="s">
        <v>743</v>
      </c>
      <c r="T1453" s="52" t="s">
        <v>743</v>
      </c>
      <c r="U1453" s="52" t="s">
        <v>743</v>
      </c>
      <c r="V1453" s="259"/>
      <c r="W1453" s="259"/>
      <c r="X1453" s="259"/>
    </row>
    <row r="1454" spans="2:24" s="165" customFormat="1" ht="30">
      <c r="B1454" s="48"/>
      <c r="C1454" s="56"/>
      <c r="D1454" s="57"/>
      <c r="E1454" s="57"/>
      <c r="F1454" s="58"/>
      <c r="G1454" s="58" t="s">
        <v>3896</v>
      </c>
      <c r="H1454" s="52"/>
      <c r="I1454" s="52" t="s">
        <v>3857</v>
      </c>
      <c r="J1454" s="161">
        <v>1</v>
      </c>
      <c r="K1454" s="252">
        <v>19820000</v>
      </c>
      <c r="L1454" s="252" t="s">
        <v>3857</v>
      </c>
      <c r="M1454" s="252">
        <v>25000000</v>
      </c>
      <c r="N1454" s="252" t="s">
        <v>3857</v>
      </c>
      <c r="O1454" s="252">
        <v>25000000</v>
      </c>
      <c r="P1454" s="252" t="s">
        <v>3857</v>
      </c>
      <c r="Q1454" s="252">
        <v>30000000</v>
      </c>
      <c r="R1454" s="252" t="s">
        <v>3857</v>
      </c>
      <c r="S1454" s="252">
        <v>30000000</v>
      </c>
      <c r="T1454" s="252" t="s">
        <v>3857</v>
      </c>
      <c r="U1454" s="252">
        <v>30000000</v>
      </c>
      <c r="V1454" s="259"/>
      <c r="W1454" s="259"/>
      <c r="X1454" s="259"/>
    </row>
    <row r="1455" spans="2:24" s="165" customFormat="1" ht="45">
      <c r="B1455" s="48"/>
      <c r="C1455" s="56"/>
      <c r="D1455" s="57"/>
      <c r="E1455" s="57"/>
      <c r="F1455" s="58"/>
      <c r="G1455" s="58" t="s">
        <v>3897</v>
      </c>
      <c r="H1455" s="52"/>
      <c r="I1455" s="52" t="s">
        <v>3857</v>
      </c>
      <c r="J1455" s="161">
        <v>1</v>
      </c>
      <c r="K1455" s="252">
        <v>34910000</v>
      </c>
      <c r="L1455" s="52" t="s">
        <v>743</v>
      </c>
      <c r="M1455" s="52" t="s">
        <v>743</v>
      </c>
      <c r="N1455" s="52" t="s">
        <v>743</v>
      </c>
      <c r="O1455" s="52" t="s">
        <v>743</v>
      </c>
      <c r="P1455" s="52" t="s">
        <v>3857</v>
      </c>
      <c r="Q1455" s="252">
        <v>40000000</v>
      </c>
      <c r="R1455" s="52" t="s">
        <v>743</v>
      </c>
      <c r="S1455" s="52" t="s">
        <v>743</v>
      </c>
      <c r="T1455" s="52" t="s">
        <v>743</v>
      </c>
      <c r="U1455" s="52" t="s">
        <v>743</v>
      </c>
      <c r="V1455" s="259"/>
      <c r="W1455" s="259"/>
      <c r="X1455" s="259"/>
    </row>
    <row r="1456" spans="2:24" s="165" customFormat="1" ht="30">
      <c r="B1456" s="48"/>
      <c r="C1456" s="56"/>
      <c r="D1456" s="57"/>
      <c r="E1456" s="57"/>
      <c r="F1456" s="58"/>
      <c r="G1456" s="58" t="s">
        <v>3898</v>
      </c>
      <c r="H1456" s="52"/>
      <c r="I1456" s="52" t="s">
        <v>3899</v>
      </c>
      <c r="J1456" s="161">
        <v>1</v>
      </c>
      <c r="K1456" s="252">
        <v>20000000</v>
      </c>
      <c r="L1456" s="52" t="s">
        <v>743</v>
      </c>
      <c r="M1456" s="52" t="s">
        <v>743</v>
      </c>
      <c r="N1456" s="52" t="s">
        <v>743</v>
      </c>
      <c r="O1456" s="52" t="s">
        <v>743</v>
      </c>
      <c r="P1456" s="52" t="s">
        <v>743</v>
      </c>
      <c r="Q1456" s="52" t="s">
        <v>743</v>
      </c>
      <c r="R1456" s="52" t="s">
        <v>743</v>
      </c>
      <c r="S1456" s="52" t="s">
        <v>743</v>
      </c>
      <c r="T1456" s="52" t="s">
        <v>743</v>
      </c>
      <c r="U1456" s="52" t="s">
        <v>743</v>
      </c>
      <c r="V1456" s="259"/>
      <c r="W1456" s="259"/>
      <c r="X1456" s="259"/>
    </row>
    <row r="1457" spans="1:32" s="165" customFormat="1" ht="90">
      <c r="B1457" s="48"/>
      <c r="C1457" s="56"/>
      <c r="D1457" s="57"/>
      <c r="E1457" s="57"/>
      <c r="F1457" s="58"/>
      <c r="G1457" s="58" t="s">
        <v>3900</v>
      </c>
      <c r="H1457" s="52"/>
      <c r="I1457" s="52" t="s">
        <v>3857</v>
      </c>
      <c r="J1457" s="161">
        <v>1</v>
      </c>
      <c r="K1457" s="252">
        <v>20000000</v>
      </c>
      <c r="L1457" s="52" t="s">
        <v>3857</v>
      </c>
      <c r="M1457" s="252">
        <v>25000000</v>
      </c>
      <c r="N1457" s="52" t="s">
        <v>3857</v>
      </c>
      <c r="O1457" s="252">
        <v>25000000</v>
      </c>
      <c r="P1457" s="52" t="s">
        <v>3857</v>
      </c>
      <c r="Q1457" s="252">
        <v>30000000</v>
      </c>
      <c r="R1457" s="52" t="s">
        <v>3857</v>
      </c>
      <c r="S1457" s="252">
        <v>30000000</v>
      </c>
      <c r="T1457" s="52" t="s">
        <v>3857</v>
      </c>
      <c r="U1457" s="252">
        <v>30000000</v>
      </c>
      <c r="V1457" s="259"/>
      <c r="W1457" s="259"/>
      <c r="X1457" s="259"/>
    </row>
    <row r="1458" spans="1:32" s="165" customFormat="1" ht="60">
      <c r="B1458" s="48"/>
      <c r="C1458" s="56"/>
      <c r="D1458" s="57"/>
      <c r="E1458" s="57"/>
      <c r="F1458" s="58"/>
      <c r="G1458" s="58" t="s">
        <v>3901</v>
      </c>
      <c r="H1458" s="52"/>
      <c r="I1458" s="52" t="s">
        <v>2937</v>
      </c>
      <c r="J1458" s="161">
        <v>1</v>
      </c>
      <c r="K1458" s="252">
        <v>10000000</v>
      </c>
      <c r="L1458" s="52" t="s">
        <v>743</v>
      </c>
      <c r="M1458" s="52" t="s">
        <v>743</v>
      </c>
      <c r="N1458" s="52" t="s">
        <v>743</v>
      </c>
      <c r="O1458" s="52" t="s">
        <v>743</v>
      </c>
      <c r="P1458" s="52" t="s">
        <v>743</v>
      </c>
      <c r="Q1458" s="52" t="s">
        <v>743</v>
      </c>
      <c r="R1458" s="52" t="s">
        <v>743</v>
      </c>
      <c r="S1458" s="52" t="s">
        <v>743</v>
      </c>
      <c r="T1458" s="52" t="s">
        <v>743</v>
      </c>
      <c r="U1458" s="52" t="s">
        <v>743</v>
      </c>
      <c r="V1458" s="259"/>
      <c r="W1458" s="259"/>
      <c r="X1458" s="259"/>
    </row>
    <row r="1459" spans="1:32" s="165" customFormat="1" ht="75">
      <c r="B1459" s="48"/>
      <c r="C1459" s="56" t="str">
        <f>'matrik MISI 1'!J82</f>
        <v>2.06</v>
      </c>
      <c r="D1459" s="57" t="str">
        <f>'matrik MISI 1'!K82</f>
        <v>xx</v>
      </c>
      <c r="E1459" s="57">
        <f>'matrik MISI 1'!L82</f>
        <v>21</v>
      </c>
      <c r="F1459" s="58" t="str">
        <f>'matrik MISI 1'!M82</f>
        <v>Program Peningkatan Sarana dan Prasarana Lainnya</v>
      </c>
      <c r="G1459" s="58"/>
      <c r="H1459" s="259"/>
      <c r="I1459" s="259"/>
      <c r="J1459" s="259"/>
      <c r="K1459" s="259"/>
      <c r="L1459" s="259"/>
      <c r="M1459" s="259"/>
      <c r="N1459" s="259"/>
      <c r="O1459" s="259"/>
      <c r="P1459" s="259"/>
      <c r="Q1459" s="259"/>
      <c r="R1459" s="259"/>
      <c r="S1459" s="259"/>
      <c r="T1459" s="259"/>
      <c r="U1459" s="259"/>
      <c r="V1459" s="259"/>
      <c r="W1459" s="259"/>
      <c r="X1459" s="259" t="str">
        <f>'matrik MISI 1'!X82</f>
        <v>DISPERINDAGKOP DAN UMKM</v>
      </c>
    </row>
    <row r="1460" spans="1:32" s="165" customFormat="1" ht="30">
      <c r="B1460" s="48"/>
      <c r="C1460" s="56"/>
      <c r="D1460" s="57"/>
      <c r="E1460" s="57"/>
      <c r="F1460" s="58"/>
      <c r="G1460" s="58" t="s">
        <v>3902</v>
      </c>
      <c r="H1460" s="52"/>
      <c r="I1460" s="52" t="s">
        <v>2551</v>
      </c>
      <c r="J1460" s="161">
        <v>1</v>
      </c>
      <c r="K1460" s="252">
        <v>99505845000</v>
      </c>
      <c r="L1460" s="52" t="s">
        <v>2551</v>
      </c>
      <c r="M1460" s="252">
        <v>76500000000</v>
      </c>
      <c r="N1460" s="52" t="s">
        <v>743</v>
      </c>
      <c r="O1460" s="52" t="s">
        <v>743</v>
      </c>
      <c r="P1460" s="52" t="s">
        <v>743</v>
      </c>
      <c r="Q1460" s="52" t="s">
        <v>743</v>
      </c>
      <c r="R1460" s="52" t="s">
        <v>743</v>
      </c>
      <c r="S1460" s="52" t="s">
        <v>743</v>
      </c>
      <c r="T1460" s="52" t="s">
        <v>743</v>
      </c>
      <c r="U1460" s="52" t="s">
        <v>743</v>
      </c>
      <c r="V1460" s="259"/>
      <c r="W1460" s="259"/>
      <c r="X1460" s="259"/>
    </row>
    <row r="1461" spans="1:32" s="165" customFormat="1" ht="60">
      <c r="B1461" s="48"/>
      <c r="C1461" s="56"/>
      <c r="D1461" s="57"/>
      <c r="E1461" s="57"/>
      <c r="F1461" s="58"/>
      <c r="G1461" s="58" t="s">
        <v>3903</v>
      </c>
      <c r="H1461" s="52"/>
      <c r="I1461" s="52" t="s">
        <v>3904</v>
      </c>
      <c r="J1461" s="161">
        <v>1</v>
      </c>
      <c r="K1461" s="252">
        <v>1837775000</v>
      </c>
      <c r="L1461" s="52" t="s">
        <v>743</v>
      </c>
      <c r="M1461" s="52" t="s">
        <v>743</v>
      </c>
      <c r="N1461" s="52" t="s">
        <v>743</v>
      </c>
      <c r="O1461" s="52" t="s">
        <v>743</v>
      </c>
      <c r="P1461" s="52" t="s">
        <v>743</v>
      </c>
      <c r="Q1461" s="52" t="s">
        <v>743</v>
      </c>
      <c r="R1461" s="52" t="s">
        <v>743</v>
      </c>
      <c r="S1461" s="52" t="s">
        <v>743</v>
      </c>
      <c r="T1461" s="52" t="s">
        <v>743</v>
      </c>
      <c r="U1461" s="52" t="s">
        <v>743</v>
      </c>
      <c r="V1461" s="259"/>
      <c r="W1461" s="259"/>
      <c r="X1461" s="259"/>
    </row>
    <row r="1462" spans="1:32" s="165" customFormat="1" ht="30">
      <c r="B1462" s="48"/>
      <c r="C1462" s="56"/>
      <c r="D1462" s="57"/>
      <c r="E1462" s="57"/>
      <c r="F1462" s="58"/>
      <c r="G1462" s="58" t="s">
        <v>3905</v>
      </c>
      <c r="H1462" s="52"/>
      <c r="I1462" s="52" t="s">
        <v>2551</v>
      </c>
      <c r="J1462" s="161">
        <v>1</v>
      </c>
      <c r="K1462" s="252">
        <v>503016600</v>
      </c>
      <c r="L1462" s="52" t="s">
        <v>743</v>
      </c>
      <c r="M1462" s="52" t="s">
        <v>743</v>
      </c>
      <c r="N1462" s="52" t="s">
        <v>743</v>
      </c>
      <c r="O1462" s="52" t="s">
        <v>743</v>
      </c>
      <c r="P1462" s="52" t="s">
        <v>743</v>
      </c>
      <c r="Q1462" s="52" t="s">
        <v>743</v>
      </c>
      <c r="R1462" s="52" t="s">
        <v>743</v>
      </c>
      <c r="S1462" s="52" t="s">
        <v>743</v>
      </c>
      <c r="T1462" s="52" t="s">
        <v>743</v>
      </c>
      <c r="U1462" s="52" t="s">
        <v>743</v>
      </c>
      <c r="V1462" s="259"/>
      <c r="W1462" s="259"/>
      <c r="X1462" s="259"/>
    </row>
    <row r="1463" spans="1:32" s="165" customFormat="1" ht="60">
      <c r="B1463" s="48"/>
      <c r="C1463" s="56"/>
      <c r="D1463" s="57"/>
      <c r="E1463" s="57"/>
      <c r="F1463" s="58"/>
      <c r="G1463" s="58" t="s">
        <v>3906</v>
      </c>
      <c r="H1463" s="52"/>
      <c r="I1463" s="52" t="s">
        <v>3907</v>
      </c>
      <c r="J1463" s="161">
        <v>1</v>
      </c>
      <c r="K1463" s="252">
        <v>30000000</v>
      </c>
      <c r="L1463" s="52" t="s">
        <v>3908</v>
      </c>
      <c r="M1463" s="252">
        <v>40000000</v>
      </c>
      <c r="N1463" s="52" t="s">
        <v>743</v>
      </c>
      <c r="O1463" s="52" t="s">
        <v>743</v>
      </c>
      <c r="P1463" s="52" t="s">
        <v>743</v>
      </c>
      <c r="Q1463" s="52" t="s">
        <v>743</v>
      </c>
      <c r="R1463" s="52" t="s">
        <v>743</v>
      </c>
      <c r="S1463" s="52" t="s">
        <v>743</v>
      </c>
      <c r="T1463" s="52" t="s">
        <v>743</v>
      </c>
      <c r="U1463" s="52" t="s">
        <v>743</v>
      </c>
      <c r="V1463" s="259"/>
      <c r="W1463" s="259"/>
      <c r="X1463" s="259"/>
    </row>
    <row r="1464" spans="1:32" s="165" customFormat="1" ht="30">
      <c r="B1464" s="48"/>
      <c r="C1464" s="56"/>
      <c r="D1464" s="57"/>
      <c r="E1464" s="57"/>
      <c r="F1464" s="58"/>
      <c r="G1464" s="58" t="s">
        <v>3909</v>
      </c>
      <c r="H1464" s="52"/>
      <c r="I1464" s="52" t="s">
        <v>3910</v>
      </c>
      <c r="J1464" s="161">
        <v>1</v>
      </c>
      <c r="K1464" s="252">
        <v>269835000</v>
      </c>
      <c r="L1464" s="52" t="s">
        <v>743</v>
      </c>
      <c r="M1464" s="52" t="s">
        <v>743</v>
      </c>
      <c r="N1464" s="52" t="s">
        <v>743</v>
      </c>
      <c r="O1464" s="52" t="s">
        <v>743</v>
      </c>
      <c r="P1464" s="52" t="s">
        <v>743</v>
      </c>
      <c r="Q1464" s="52" t="s">
        <v>743</v>
      </c>
      <c r="R1464" s="52" t="s">
        <v>743</v>
      </c>
      <c r="S1464" s="52" t="s">
        <v>743</v>
      </c>
      <c r="T1464" s="52" t="s">
        <v>743</v>
      </c>
      <c r="U1464" s="52" t="s">
        <v>743</v>
      </c>
      <c r="V1464" s="259"/>
      <c r="W1464" s="259"/>
      <c r="X1464" s="259"/>
    </row>
    <row r="1465" spans="1:32" s="165" customFormat="1" ht="30">
      <c r="B1465" s="48"/>
      <c r="C1465" s="56"/>
      <c r="D1465" s="57"/>
      <c r="E1465" s="57"/>
      <c r="F1465" s="58"/>
      <c r="G1465" s="58" t="s">
        <v>3911</v>
      </c>
      <c r="H1465" s="52"/>
      <c r="I1465" s="52"/>
      <c r="J1465" s="161"/>
      <c r="K1465" s="252"/>
      <c r="L1465" s="52" t="s">
        <v>2551</v>
      </c>
      <c r="M1465" s="252">
        <v>2169763000</v>
      </c>
      <c r="N1465" s="52"/>
      <c r="O1465" s="52"/>
      <c r="P1465" s="52"/>
      <c r="Q1465" s="52"/>
      <c r="R1465" s="52"/>
      <c r="S1465" s="52"/>
      <c r="T1465" s="52"/>
      <c r="U1465" s="52"/>
      <c r="V1465" s="259"/>
      <c r="W1465" s="259"/>
      <c r="X1465" s="259"/>
    </row>
    <row r="1466" spans="1:32" s="165" customFormat="1" ht="60">
      <c r="B1466" s="48"/>
      <c r="C1466" s="56"/>
      <c r="D1466" s="57"/>
      <c r="E1466" s="57"/>
      <c r="F1466" s="58"/>
      <c r="G1466" s="58" t="s">
        <v>3912</v>
      </c>
      <c r="H1466" s="52"/>
      <c r="I1466" s="52" t="s">
        <v>743</v>
      </c>
      <c r="J1466" s="52" t="s">
        <v>743</v>
      </c>
      <c r="K1466" s="52" t="s">
        <v>743</v>
      </c>
      <c r="L1466" s="52" t="s">
        <v>3913</v>
      </c>
      <c r="M1466" s="252">
        <v>2970000000</v>
      </c>
      <c r="N1466" s="52" t="s">
        <v>743</v>
      </c>
      <c r="O1466" s="52" t="s">
        <v>743</v>
      </c>
      <c r="P1466" s="52" t="s">
        <v>2551</v>
      </c>
      <c r="Q1466" s="252">
        <v>500000000</v>
      </c>
      <c r="R1466" s="52" t="s">
        <v>2551</v>
      </c>
      <c r="S1466" s="252">
        <v>700000000</v>
      </c>
      <c r="T1466" s="52" t="s">
        <v>2551</v>
      </c>
      <c r="U1466" s="252">
        <v>700000000</v>
      </c>
      <c r="V1466" s="259"/>
      <c r="W1466" s="259"/>
      <c r="X1466" s="259"/>
    </row>
    <row r="1467" spans="1:32" s="280" customFormat="1" ht="30" customHeight="1">
      <c r="A1467" s="285"/>
      <c r="B1467" s="1093" t="s">
        <v>4264</v>
      </c>
      <c r="C1467" s="1094"/>
      <c r="D1467" s="1094"/>
      <c r="E1467" s="1094"/>
      <c r="F1467" s="1094"/>
      <c r="G1467" s="1095"/>
      <c r="H1467" s="342"/>
      <c r="I1467" s="342"/>
      <c r="J1467" s="342"/>
      <c r="K1467" s="342">
        <f>SUM(K1435:K1466)</f>
        <v>102900370100</v>
      </c>
      <c r="L1467" s="342"/>
      <c r="M1467" s="342">
        <f t="shared" ref="M1467:W1467" si="150">SUM(M1435:M1466)</f>
        <v>82430893000</v>
      </c>
      <c r="N1467" s="342"/>
      <c r="O1467" s="342">
        <f t="shared" si="150"/>
        <v>1003500000</v>
      </c>
      <c r="P1467" s="342"/>
      <c r="Q1467" s="342">
        <f t="shared" si="150"/>
        <v>1655500000</v>
      </c>
      <c r="R1467" s="342"/>
      <c r="S1467" s="342">
        <f t="shared" si="150"/>
        <v>1939500000</v>
      </c>
      <c r="T1467" s="342"/>
      <c r="U1467" s="342">
        <f t="shared" si="150"/>
        <v>1939500000</v>
      </c>
      <c r="V1467" s="342">
        <f t="shared" si="150"/>
        <v>0</v>
      </c>
      <c r="W1467" s="342">
        <f t="shared" si="150"/>
        <v>0</v>
      </c>
      <c r="X1467" s="342"/>
      <c r="Y1467" s="285"/>
      <c r="Z1467" s="285"/>
      <c r="AA1467" s="285"/>
      <c r="AB1467" s="285"/>
      <c r="AC1467" s="285"/>
      <c r="AD1467" s="285"/>
      <c r="AE1467" s="285"/>
      <c r="AF1467" s="285"/>
    </row>
    <row r="1468" spans="1:32" ht="30">
      <c r="A1468" s="165">
        <v>1</v>
      </c>
      <c r="B1468" s="62" t="str">
        <f>'matrik MISI 1'!B77</f>
        <v>PERINDUSTRIAN</v>
      </c>
      <c r="C1468" s="56"/>
      <c r="D1468" s="57"/>
      <c r="E1468" s="57"/>
      <c r="F1468" s="58"/>
      <c r="G1468" s="58"/>
      <c r="H1468" s="259"/>
      <c r="I1468" s="259"/>
      <c r="J1468" s="259"/>
      <c r="K1468" s="259"/>
      <c r="L1468" s="259"/>
      <c r="M1468" s="259"/>
      <c r="N1468" s="259"/>
      <c r="O1468" s="259"/>
      <c r="P1468" s="259"/>
      <c r="Q1468" s="259"/>
      <c r="R1468" s="259"/>
      <c r="S1468" s="259"/>
      <c r="T1468" s="259"/>
      <c r="U1468" s="259"/>
      <c r="V1468" s="259"/>
      <c r="W1468" s="259"/>
      <c r="X1468" s="259"/>
      <c r="Y1468" s="165"/>
      <c r="Z1468" s="165"/>
      <c r="AA1468" s="165"/>
      <c r="AB1468" s="165"/>
      <c r="AC1468" s="165"/>
      <c r="AD1468" s="165"/>
      <c r="AE1468" s="165"/>
      <c r="AF1468" s="165"/>
    </row>
    <row r="1469" spans="1:32" s="165" customFormat="1" ht="45">
      <c r="B1469" s="48"/>
      <c r="C1469" s="56" t="str">
        <f>'matrik MISI 1'!J78</f>
        <v>2.07</v>
      </c>
      <c r="D1469" s="57" t="str">
        <f>'matrik MISI 1'!K78</f>
        <v>xx</v>
      </c>
      <c r="E1469" s="57">
        <f>'matrik MISI 1'!L78</f>
        <v>16</v>
      </c>
      <c r="F1469" s="58" t="str">
        <f>'matrik MISI 1'!M78</f>
        <v>Program Industri Kecil dan Menengah</v>
      </c>
      <c r="G1469" s="58"/>
      <c r="H1469" s="259"/>
      <c r="I1469" s="259"/>
      <c r="J1469" s="259"/>
      <c r="K1469" s="259"/>
      <c r="L1469" s="259"/>
      <c r="M1469" s="259"/>
      <c r="N1469" s="259"/>
      <c r="O1469" s="259"/>
      <c r="P1469" s="259"/>
      <c r="Q1469" s="259"/>
      <c r="R1469" s="259"/>
      <c r="S1469" s="259"/>
      <c r="T1469" s="259"/>
      <c r="U1469" s="259"/>
      <c r="V1469" s="259"/>
      <c r="W1469" s="259"/>
      <c r="X1469" s="259" t="str">
        <f>'matrik MISI 1'!X78</f>
        <v>DISPERINDAGKOP DAN UMKM</v>
      </c>
    </row>
    <row r="1470" spans="1:32" s="165" customFormat="1" ht="60">
      <c r="B1470" s="48"/>
      <c r="C1470" s="56"/>
      <c r="D1470" s="57"/>
      <c r="E1470" s="57"/>
      <c r="F1470" s="58"/>
      <c r="G1470" s="58" t="s">
        <v>2881</v>
      </c>
      <c r="H1470" s="52"/>
      <c r="I1470" s="52" t="s">
        <v>2882</v>
      </c>
      <c r="J1470" s="161">
        <v>1</v>
      </c>
      <c r="K1470" s="252">
        <f>249057500+63000000</f>
        <v>312057500</v>
      </c>
      <c r="L1470" s="52" t="s">
        <v>2883</v>
      </c>
      <c r="M1470" s="252">
        <v>200000000</v>
      </c>
      <c r="N1470" s="52" t="s">
        <v>2884</v>
      </c>
      <c r="O1470" s="252">
        <v>270000000</v>
      </c>
      <c r="P1470" s="52" t="s">
        <v>2885</v>
      </c>
      <c r="Q1470" s="252">
        <v>300000000</v>
      </c>
      <c r="R1470" s="52" t="s">
        <v>2886</v>
      </c>
      <c r="S1470" s="252">
        <v>325000000</v>
      </c>
      <c r="T1470" s="52" t="s">
        <v>2886</v>
      </c>
      <c r="U1470" s="252">
        <v>325000000</v>
      </c>
      <c r="V1470" s="259"/>
      <c r="W1470" s="259"/>
      <c r="X1470" s="259"/>
    </row>
    <row r="1471" spans="1:32" s="165" customFormat="1" ht="60">
      <c r="B1471" s="48"/>
      <c r="C1471" s="56"/>
      <c r="D1471" s="57"/>
      <c r="E1471" s="57"/>
      <c r="F1471" s="58"/>
      <c r="G1471" s="58" t="s">
        <v>2881</v>
      </c>
      <c r="H1471" s="52"/>
      <c r="I1471" s="52" t="s">
        <v>2887</v>
      </c>
      <c r="J1471" s="161">
        <v>1</v>
      </c>
      <c r="K1471" s="252">
        <f>214077000+58500000</f>
        <v>272577000</v>
      </c>
      <c r="L1471" s="52" t="s">
        <v>2885</v>
      </c>
      <c r="M1471" s="252">
        <v>300000000</v>
      </c>
      <c r="N1471" s="52" t="s">
        <v>2885</v>
      </c>
      <c r="O1471" s="252">
        <v>300000000</v>
      </c>
      <c r="P1471" s="52" t="s">
        <v>2885</v>
      </c>
      <c r="Q1471" s="252">
        <v>300000000</v>
      </c>
      <c r="R1471" s="52" t="s">
        <v>2885</v>
      </c>
      <c r="S1471" s="252">
        <v>300000000</v>
      </c>
      <c r="T1471" s="52" t="s">
        <v>2885</v>
      </c>
      <c r="U1471" s="252">
        <v>300000000</v>
      </c>
      <c r="V1471" s="259"/>
      <c r="W1471" s="259"/>
      <c r="X1471" s="259"/>
    </row>
    <row r="1472" spans="1:32" s="165" customFormat="1" ht="60">
      <c r="B1472" s="48"/>
      <c r="C1472" s="56"/>
      <c r="D1472" s="57"/>
      <c r="E1472" s="57"/>
      <c r="F1472" s="58"/>
      <c r="G1472" s="58" t="s">
        <v>2888</v>
      </c>
      <c r="H1472" s="52"/>
      <c r="I1472" s="52" t="s">
        <v>2889</v>
      </c>
      <c r="J1472" s="161">
        <v>1</v>
      </c>
      <c r="K1472" s="252">
        <v>21325500</v>
      </c>
      <c r="L1472" s="52" t="s">
        <v>743</v>
      </c>
      <c r="M1472" s="52" t="s">
        <v>743</v>
      </c>
      <c r="N1472" s="52" t="s">
        <v>2890</v>
      </c>
      <c r="O1472" s="252">
        <v>30000000</v>
      </c>
      <c r="P1472" s="52" t="s">
        <v>743</v>
      </c>
      <c r="Q1472" s="52" t="s">
        <v>743</v>
      </c>
      <c r="R1472" s="52" t="s">
        <v>2891</v>
      </c>
      <c r="S1472" s="252">
        <v>50000000</v>
      </c>
      <c r="T1472" s="52" t="s">
        <v>2891</v>
      </c>
      <c r="U1472" s="252">
        <v>50000000</v>
      </c>
      <c r="V1472" s="259"/>
      <c r="W1472" s="259"/>
      <c r="X1472" s="259"/>
    </row>
    <row r="1473" spans="1:32" s="165" customFormat="1" ht="75">
      <c r="B1473" s="48"/>
      <c r="C1473" s="56"/>
      <c r="D1473" s="57"/>
      <c r="E1473" s="57"/>
      <c r="F1473" s="58"/>
      <c r="G1473" s="58" t="s">
        <v>2892</v>
      </c>
      <c r="H1473" s="52"/>
      <c r="I1473" s="52" t="s">
        <v>2893</v>
      </c>
      <c r="J1473" s="161">
        <v>1</v>
      </c>
      <c r="K1473" s="252">
        <v>18285000</v>
      </c>
      <c r="L1473" s="52" t="s">
        <v>743</v>
      </c>
      <c r="M1473" s="52" t="s">
        <v>743</v>
      </c>
      <c r="N1473" s="52" t="s">
        <v>2893</v>
      </c>
      <c r="O1473" s="252">
        <v>35000000</v>
      </c>
      <c r="P1473" s="52" t="s">
        <v>743</v>
      </c>
      <c r="Q1473" s="52" t="s">
        <v>743</v>
      </c>
      <c r="R1473" s="52" t="s">
        <v>2893</v>
      </c>
      <c r="S1473" s="252">
        <v>40000000</v>
      </c>
      <c r="T1473" s="52" t="s">
        <v>2893</v>
      </c>
      <c r="U1473" s="252">
        <v>40000000</v>
      </c>
      <c r="V1473" s="259"/>
      <c r="W1473" s="259"/>
      <c r="X1473" s="259"/>
    </row>
    <row r="1474" spans="1:32" s="165" customFormat="1" ht="90">
      <c r="B1474" s="48"/>
      <c r="C1474" s="56"/>
      <c r="D1474" s="57"/>
      <c r="E1474" s="57"/>
      <c r="F1474" s="58"/>
      <c r="G1474" s="58" t="s">
        <v>2894</v>
      </c>
      <c r="H1474" s="52"/>
      <c r="I1474" s="52" t="s">
        <v>2895</v>
      </c>
      <c r="J1474" s="161">
        <v>1</v>
      </c>
      <c r="K1474" s="252">
        <v>30000000</v>
      </c>
      <c r="L1474" s="52" t="s">
        <v>743</v>
      </c>
      <c r="M1474" s="52" t="s">
        <v>743</v>
      </c>
      <c r="N1474" s="52" t="s">
        <v>743</v>
      </c>
      <c r="O1474" s="52" t="s">
        <v>743</v>
      </c>
      <c r="P1474" s="52" t="s">
        <v>743</v>
      </c>
      <c r="Q1474" s="52" t="s">
        <v>743</v>
      </c>
      <c r="R1474" s="52" t="s">
        <v>743</v>
      </c>
      <c r="S1474" s="52" t="s">
        <v>743</v>
      </c>
      <c r="T1474" s="52" t="s">
        <v>743</v>
      </c>
      <c r="U1474" s="52" t="s">
        <v>743</v>
      </c>
      <c r="V1474" s="259"/>
      <c r="W1474" s="259"/>
      <c r="X1474" s="259"/>
    </row>
    <row r="1475" spans="1:32" s="165" customFormat="1" ht="90">
      <c r="B1475" s="48"/>
      <c r="C1475" s="56"/>
      <c r="D1475" s="57"/>
      <c r="E1475" s="57"/>
      <c r="F1475" s="58"/>
      <c r="G1475" s="58" t="s">
        <v>2896</v>
      </c>
      <c r="H1475" s="52"/>
      <c r="I1475" s="52" t="s">
        <v>2897</v>
      </c>
      <c r="J1475" s="161">
        <v>1</v>
      </c>
      <c r="K1475" s="252">
        <v>70000000</v>
      </c>
      <c r="L1475" s="52" t="s">
        <v>743</v>
      </c>
      <c r="M1475" s="52" t="s">
        <v>743</v>
      </c>
      <c r="N1475" s="52" t="s">
        <v>2898</v>
      </c>
      <c r="O1475" s="252">
        <v>25000000</v>
      </c>
      <c r="P1475" s="52" t="s">
        <v>743</v>
      </c>
      <c r="Q1475" s="52" t="s">
        <v>743</v>
      </c>
      <c r="R1475" s="52" t="s">
        <v>2898</v>
      </c>
      <c r="S1475" s="252">
        <v>30000000</v>
      </c>
      <c r="T1475" s="52" t="s">
        <v>2898</v>
      </c>
      <c r="U1475" s="252">
        <v>30000000</v>
      </c>
      <c r="V1475" s="259"/>
      <c r="W1475" s="259"/>
      <c r="X1475" s="259"/>
    </row>
    <row r="1476" spans="1:32" s="165" customFormat="1" ht="45">
      <c r="B1476" s="48"/>
      <c r="C1476" s="56"/>
      <c r="D1476" s="57"/>
      <c r="E1476" s="57"/>
      <c r="F1476" s="58"/>
      <c r="G1476" s="58" t="s">
        <v>2899</v>
      </c>
      <c r="H1476" s="52"/>
      <c r="I1476" s="52" t="s">
        <v>2900</v>
      </c>
      <c r="J1476" s="161">
        <v>1</v>
      </c>
      <c r="K1476" s="252">
        <f>51808000+8000000</f>
        <v>59808000</v>
      </c>
      <c r="L1476" s="52" t="s">
        <v>743</v>
      </c>
      <c r="M1476" s="52" t="s">
        <v>743</v>
      </c>
      <c r="N1476" s="52" t="s">
        <v>743</v>
      </c>
      <c r="O1476" s="52" t="s">
        <v>743</v>
      </c>
      <c r="P1476" s="52" t="s">
        <v>743</v>
      </c>
      <c r="Q1476" s="52" t="s">
        <v>743</v>
      </c>
      <c r="R1476" s="52" t="s">
        <v>743</v>
      </c>
      <c r="S1476" s="52" t="s">
        <v>743</v>
      </c>
      <c r="T1476" s="52" t="s">
        <v>743</v>
      </c>
      <c r="U1476" s="52" t="s">
        <v>743</v>
      </c>
      <c r="V1476" s="259"/>
      <c r="W1476" s="259"/>
      <c r="X1476" s="259"/>
    </row>
    <row r="1477" spans="1:32" s="165" customFormat="1" ht="30">
      <c r="B1477" s="48"/>
      <c r="C1477" s="56"/>
      <c r="D1477" s="57"/>
      <c r="E1477" s="57"/>
      <c r="F1477" s="58"/>
      <c r="G1477" s="58" t="s">
        <v>2901</v>
      </c>
      <c r="H1477" s="52"/>
      <c r="I1477" s="52" t="s">
        <v>743</v>
      </c>
      <c r="J1477" s="52" t="s">
        <v>743</v>
      </c>
      <c r="K1477" s="52" t="s">
        <v>743</v>
      </c>
      <c r="L1477" s="52" t="s">
        <v>2902</v>
      </c>
      <c r="M1477" s="252">
        <v>105000000</v>
      </c>
      <c r="N1477" s="52" t="s">
        <v>2902</v>
      </c>
      <c r="O1477" s="252">
        <v>105000000</v>
      </c>
      <c r="P1477" s="52" t="s">
        <v>2902</v>
      </c>
      <c r="Q1477" s="252">
        <v>130000000</v>
      </c>
      <c r="R1477" s="52" t="s">
        <v>2902</v>
      </c>
      <c r="S1477" s="252">
        <v>145000000</v>
      </c>
      <c r="T1477" s="52" t="s">
        <v>2902</v>
      </c>
      <c r="U1477" s="252">
        <v>145000000</v>
      </c>
      <c r="V1477" s="259"/>
      <c r="W1477" s="259"/>
      <c r="X1477" s="259"/>
    </row>
    <row r="1478" spans="1:32" s="165" customFormat="1" ht="45">
      <c r="B1478" s="48"/>
      <c r="C1478" s="56"/>
      <c r="D1478" s="57"/>
      <c r="E1478" s="57"/>
      <c r="F1478" s="58"/>
      <c r="G1478" s="58" t="s">
        <v>2903</v>
      </c>
      <c r="H1478" s="52"/>
      <c r="I1478" s="52" t="s">
        <v>743</v>
      </c>
      <c r="J1478" s="52" t="s">
        <v>743</v>
      </c>
      <c r="K1478" s="52" t="s">
        <v>743</v>
      </c>
      <c r="L1478" s="52" t="s">
        <v>2904</v>
      </c>
      <c r="M1478" s="252">
        <v>50000000</v>
      </c>
      <c r="N1478" s="52" t="s">
        <v>2905</v>
      </c>
      <c r="O1478" s="252">
        <v>30000000</v>
      </c>
      <c r="P1478" s="52" t="s">
        <v>2905</v>
      </c>
      <c r="Q1478" s="252">
        <v>35000000</v>
      </c>
      <c r="R1478" s="52" t="s">
        <v>2905</v>
      </c>
      <c r="S1478" s="252">
        <v>35000000</v>
      </c>
      <c r="T1478" s="52" t="s">
        <v>2905</v>
      </c>
      <c r="U1478" s="252">
        <v>35000000</v>
      </c>
      <c r="V1478" s="259"/>
      <c r="W1478" s="259"/>
      <c r="X1478" s="259"/>
    </row>
    <row r="1479" spans="1:32" s="165" customFormat="1" ht="30">
      <c r="B1479" s="48"/>
      <c r="C1479" s="56"/>
      <c r="D1479" s="57"/>
      <c r="E1479" s="57"/>
      <c r="F1479" s="58"/>
      <c r="G1479" s="58" t="s">
        <v>2906</v>
      </c>
      <c r="H1479" s="52"/>
      <c r="I1479" s="52" t="s">
        <v>743</v>
      </c>
      <c r="J1479" s="52" t="s">
        <v>743</v>
      </c>
      <c r="K1479" s="52" t="s">
        <v>743</v>
      </c>
      <c r="L1479" s="52" t="s">
        <v>2904</v>
      </c>
      <c r="M1479" s="252">
        <v>10000000</v>
      </c>
      <c r="N1479" s="52" t="s">
        <v>743</v>
      </c>
      <c r="O1479" s="52" t="s">
        <v>743</v>
      </c>
      <c r="P1479" s="52" t="s">
        <v>2907</v>
      </c>
      <c r="Q1479" s="252">
        <v>25000000</v>
      </c>
      <c r="R1479" s="52" t="s">
        <v>743</v>
      </c>
      <c r="S1479" s="52" t="s">
        <v>743</v>
      </c>
      <c r="T1479" s="52" t="s">
        <v>743</v>
      </c>
      <c r="U1479" s="52" t="s">
        <v>743</v>
      </c>
      <c r="V1479" s="259"/>
      <c r="W1479" s="259"/>
      <c r="X1479" s="259"/>
    </row>
    <row r="1480" spans="1:32" s="165" customFormat="1" ht="60">
      <c r="B1480" s="48"/>
      <c r="C1480" s="56"/>
      <c r="D1480" s="57"/>
      <c r="E1480" s="57"/>
      <c r="F1480" s="58"/>
      <c r="G1480" s="58" t="s">
        <v>2908</v>
      </c>
      <c r="H1480" s="52"/>
      <c r="I1480" s="52" t="s">
        <v>2909</v>
      </c>
      <c r="J1480" s="161">
        <v>1</v>
      </c>
      <c r="K1480" s="252">
        <f>440257500+25000000</f>
        <v>465257500</v>
      </c>
      <c r="L1480" s="52" t="s">
        <v>743</v>
      </c>
      <c r="M1480" s="52" t="s">
        <v>743</v>
      </c>
      <c r="N1480" s="52" t="s">
        <v>743</v>
      </c>
      <c r="O1480" s="52" t="s">
        <v>743</v>
      </c>
      <c r="P1480" s="52" t="s">
        <v>743</v>
      </c>
      <c r="Q1480" s="52" t="s">
        <v>743</v>
      </c>
      <c r="R1480" s="52" t="s">
        <v>743</v>
      </c>
      <c r="S1480" s="52" t="s">
        <v>743</v>
      </c>
      <c r="T1480" s="52" t="s">
        <v>743</v>
      </c>
      <c r="U1480" s="52" t="s">
        <v>743</v>
      </c>
      <c r="V1480" s="259"/>
      <c r="W1480" s="259"/>
      <c r="X1480" s="259"/>
    </row>
    <row r="1481" spans="1:32" s="280" customFormat="1" ht="30" customHeight="1">
      <c r="A1481" s="285"/>
      <c r="B1481" s="1093" t="s">
        <v>4264</v>
      </c>
      <c r="C1481" s="1094"/>
      <c r="D1481" s="1094"/>
      <c r="E1481" s="1094"/>
      <c r="F1481" s="1094"/>
      <c r="G1481" s="1095"/>
      <c r="H1481" s="342"/>
      <c r="I1481" s="342"/>
      <c r="J1481" s="342"/>
      <c r="K1481" s="342">
        <f>SUM(K1470:K1480)</f>
        <v>1249310500</v>
      </c>
      <c r="L1481" s="342"/>
      <c r="M1481" s="342">
        <f t="shared" ref="M1481:U1481" si="151">SUM(M1470:M1480)</f>
        <v>665000000</v>
      </c>
      <c r="N1481" s="342"/>
      <c r="O1481" s="342">
        <f t="shared" si="151"/>
        <v>795000000</v>
      </c>
      <c r="P1481" s="342"/>
      <c r="Q1481" s="342">
        <f t="shared" si="151"/>
        <v>790000000</v>
      </c>
      <c r="R1481" s="342"/>
      <c r="S1481" s="342">
        <f t="shared" si="151"/>
        <v>925000000</v>
      </c>
      <c r="T1481" s="342"/>
      <c r="U1481" s="342">
        <f t="shared" si="151"/>
        <v>925000000</v>
      </c>
      <c r="V1481" s="342">
        <f t="shared" ref="V1481" si="152">SUM(V1478:V1480)</f>
        <v>0</v>
      </c>
      <c r="W1481" s="342">
        <f t="shared" ref="W1481" si="153">SUM(W1478:W1480)</f>
        <v>0</v>
      </c>
      <c r="X1481" s="342"/>
      <c r="Y1481" s="285"/>
      <c r="Z1481" s="285"/>
      <c r="AA1481" s="285"/>
      <c r="AB1481" s="285"/>
      <c r="AC1481" s="285"/>
      <c r="AD1481" s="285"/>
      <c r="AE1481" s="285"/>
      <c r="AF1481" s="285"/>
    </row>
    <row r="1482" spans="1:32">
      <c r="A1482" s="165">
        <v>1</v>
      </c>
      <c r="B1482" s="62" t="str">
        <f>'matrik MISI 2'!B52</f>
        <v>TRANSMIGRASI</v>
      </c>
      <c r="C1482" s="56"/>
      <c r="D1482" s="57"/>
      <c r="E1482" s="57"/>
      <c r="F1482" s="58"/>
      <c r="G1482" s="58"/>
      <c r="H1482" s="52"/>
      <c r="I1482" s="52"/>
      <c r="J1482" s="52"/>
      <c r="K1482" s="52"/>
      <c r="L1482" s="52"/>
      <c r="M1482" s="52"/>
      <c r="N1482" s="52"/>
      <c r="O1482" s="52"/>
      <c r="P1482" s="52"/>
      <c r="Q1482" s="52"/>
      <c r="R1482" s="52"/>
      <c r="S1482" s="52"/>
      <c r="T1482" s="52"/>
      <c r="U1482" s="52"/>
      <c r="V1482" s="52"/>
      <c r="W1482" s="52"/>
      <c r="X1482" s="52"/>
      <c r="Y1482" s="165"/>
      <c r="Z1482" s="165"/>
      <c r="AA1482" s="165"/>
      <c r="AB1482" s="165"/>
      <c r="AC1482" s="165"/>
      <c r="AD1482" s="165"/>
      <c r="AE1482" s="165"/>
      <c r="AF1482" s="165"/>
    </row>
    <row r="1483" spans="1:32" ht="60">
      <c r="A1483" s="165"/>
      <c r="B1483" s="48"/>
      <c r="C1483" s="62">
        <f>'matrik MISI 2'!J53</f>
        <v>2.08</v>
      </c>
      <c r="D1483" s="63" t="str">
        <f>'matrik MISI 2'!K53</f>
        <v>xx</v>
      </c>
      <c r="E1483" s="63">
        <f>'matrik MISI 2'!L53</f>
        <v>15</v>
      </c>
      <c r="F1483" s="64" t="str">
        <f>'matrik MISI 2'!M53</f>
        <v>Program Pengembangan Wilayah Transmigrasi</v>
      </c>
      <c r="G1483" s="58"/>
      <c r="H1483" s="52"/>
      <c r="I1483" s="52"/>
      <c r="J1483" s="52"/>
      <c r="K1483" s="52"/>
      <c r="L1483" s="52"/>
      <c r="M1483" s="52"/>
      <c r="N1483" s="52"/>
      <c r="O1483" s="52"/>
      <c r="P1483" s="52"/>
      <c r="Q1483" s="52"/>
      <c r="R1483" s="52"/>
      <c r="S1483" s="52"/>
      <c r="T1483" s="52"/>
      <c r="U1483" s="52"/>
      <c r="V1483" s="52"/>
      <c r="W1483" s="52"/>
      <c r="X1483" s="52" t="str">
        <f>'matrik MISI 2'!X53</f>
        <v>Disnakertran</v>
      </c>
      <c r="Y1483" s="165"/>
      <c r="Z1483" s="165"/>
      <c r="AA1483" s="165"/>
      <c r="AB1483" s="165"/>
      <c r="AC1483" s="165"/>
      <c r="AD1483" s="165"/>
      <c r="AE1483" s="165"/>
      <c r="AF1483" s="165"/>
    </row>
    <row r="1484" spans="1:32" ht="120">
      <c r="A1484" s="165"/>
      <c r="B1484" s="66"/>
      <c r="C1484" s="66"/>
      <c r="D1484" s="67"/>
      <c r="E1484" s="67"/>
      <c r="F1484" s="68"/>
      <c r="G1484" s="58" t="s">
        <v>3849</v>
      </c>
      <c r="H1484" s="52" t="s">
        <v>3850</v>
      </c>
      <c r="I1484" s="52" t="s">
        <v>3851</v>
      </c>
      <c r="J1484" s="52" t="s">
        <v>3852</v>
      </c>
      <c r="K1484" s="320">
        <v>99789000</v>
      </c>
      <c r="L1484" s="52" t="s">
        <v>3853</v>
      </c>
      <c r="M1484" s="260">
        <v>150000000</v>
      </c>
      <c r="N1484" s="52" t="s">
        <v>3854</v>
      </c>
      <c r="O1484" s="260">
        <v>200000000</v>
      </c>
      <c r="P1484" s="52" t="s">
        <v>3853</v>
      </c>
      <c r="Q1484" s="260">
        <v>250000000</v>
      </c>
      <c r="R1484" s="52" t="s">
        <v>3853</v>
      </c>
      <c r="S1484" s="260">
        <v>300000000</v>
      </c>
      <c r="T1484" s="52" t="s">
        <v>3853</v>
      </c>
      <c r="U1484" s="260">
        <v>300000000</v>
      </c>
      <c r="V1484" s="52"/>
      <c r="W1484" s="52"/>
      <c r="X1484" s="52"/>
      <c r="Y1484" s="165"/>
      <c r="Z1484" s="165"/>
      <c r="AA1484" s="165"/>
      <c r="AB1484" s="165"/>
      <c r="AC1484" s="165"/>
      <c r="AD1484" s="165"/>
      <c r="AE1484" s="165"/>
      <c r="AF1484" s="165"/>
    </row>
    <row r="1485" spans="1:32" s="280" customFormat="1" ht="30" customHeight="1">
      <c r="A1485" s="285"/>
      <c r="B1485" s="1096" t="s">
        <v>4265</v>
      </c>
      <c r="C1485" s="1096"/>
      <c r="D1485" s="1096"/>
      <c r="E1485" s="1096"/>
      <c r="F1485" s="1096"/>
      <c r="G1485" s="1096"/>
      <c r="H1485" s="342"/>
      <c r="I1485" s="342"/>
      <c r="J1485" s="342"/>
      <c r="K1485" s="342">
        <f>SUM(K1484)</f>
        <v>99789000</v>
      </c>
      <c r="L1485" s="342"/>
      <c r="M1485" s="342">
        <f t="shared" ref="M1485:W1485" si="154">SUM(M1484)</f>
        <v>150000000</v>
      </c>
      <c r="N1485" s="342"/>
      <c r="O1485" s="342">
        <f t="shared" si="154"/>
        <v>200000000</v>
      </c>
      <c r="P1485" s="342"/>
      <c r="Q1485" s="342">
        <f t="shared" si="154"/>
        <v>250000000</v>
      </c>
      <c r="R1485" s="342"/>
      <c r="S1485" s="342">
        <f t="shared" si="154"/>
        <v>300000000</v>
      </c>
      <c r="T1485" s="342"/>
      <c r="U1485" s="342">
        <f t="shared" si="154"/>
        <v>300000000</v>
      </c>
      <c r="V1485" s="342">
        <f t="shared" si="154"/>
        <v>0</v>
      </c>
      <c r="W1485" s="342">
        <f t="shared" si="154"/>
        <v>0</v>
      </c>
      <c r="X1485" s="342"/>
      <c r="Y1485" s="285"/>
      <c r="Z1485" s="285"/>
      <c r="AA1485" s="285"/>
      <c r="AB1485" s="285"/>
      <c r="AC1485" s="285"/>
      <c r="AD1485" s="285"/>
      <c r="AE1485" s="285"/>
      <c r="AF1485" s="285"/>
    </row>
    <row r="1486" spans="1:32" s="280" customFormat="1" ht="30" customHeight="1">
      <c r="A1486" s="285"/>
      <c r="B1486" s="1097" t="s">
        <v>4266</v>
      </c>
      <c r="C1486" s="1098"/>
      <c r="D1486" s="1098"/>
      <c r="E1486" s="1098"/>
      <c r="F1486" s="1098"/>
      <c r="G1486" s="1099"/>
      <c r="H1486" s="342"/>
      <c r="I1486" s="342"/>
      <c r="J1486" s="342"/>
      <c r="K1486" s="342">
        <f>SUM(K285+K439+K500+K519+K526+K654+K663+K673+K686+K712+K804+K827+K855+K877+K906+K925+K973+K1107+K1138+K1173+K1180+K1188+K1242+K1254+K1366+K1379+K1385+K1406+K1432+K1467+K1481+K1485+K530)</f>
        <v>581462689624</v>
      </c>
      <c r="L1486" s="342"/>
      <c r="M1486" s="342">
        <f>SUM(M285+M439+M500+M519+M526+M654+M663+M673+M686+M712+M804+M827+M855+M877+M906+M925+M973+M1107+M1138+M1173+M1180+M1188+M1242+M1254+M1366+M1379+M1385+M1406+M1432+M1467+M1481+M1485+M530)</f>
        <v>574653864754.5</v>
      </c>
      <c r="N1486" s="342"/>
      <c r="O1486" s="342">
        <f>SUM(O285+O439+O500+O519+O526+O654+O663+O673+O686+O712+O804+O827+O855+O877+O906+O925+O973+O1107+O1138+O1173+O1180+O1188+O1242+O1254+O1366+O1379+O1385+O1406+O1432+O1467+O1481+O1485+O530)</f>
        <v>509970370129.37</v>
      </c>
      <c r="P1486" s="342"/>
      <c r="Q1486" s="342">
        <f>SUM(Q285+Q439+Q500+Q519+Q526+Q654+Q663+Q673+Q686+Q712+Q804+Q827+Q855+Q877+Q906+Q925+Q973+Q1107+Q1138+Q1173+Q1180+Q1188+Q1242+Q1254+Q1366+Q1379+Q1385+Q1406+Q1432+Q1467+Q1481+Q1485+Q530)</f>
        <v>569628622552.77002</v>
      </c>
      <c r="R1486" s="342">
        <f>SUM(R285+R439+R500+R519+R526+R654+R663+R673+R686+R712+R804+R827+R855+R877+R906+R925+R973+R1107+R1138+R1173+R1180+R1188+R1242+R1254+R1366+R1379+R1385+R1406+R1432+R1467+R1481+R1485+R530)</f>
        <v>0</v>
      </c>
      <c r="S1486" s="342">
        <f>SUM(S285+S439+S500+S519+S526+S654+S663+S673+S686+S712+S804+S827+S855+S877+S906+S925+S973+S1107+S1138+S1173+S1180+S1188+S1242+S1254+S1366+S1379+S1385+S1406+S1432+S1467+S1481+S1485+S530)</f>
        <v>597169579686.66003</v>
      </c>
      <c r="T1486" s="342"/>
      <c r="U1486" s="342">
        <f>S1486</f>
        <v>597169579686.66003</v>
      </c>
      <c r="V1486" s="342" t="e">
        <f>SUM(V285+V439+V500+V519+V526+V654+V663+V673+V686+V712+V804+V827+V855+V877+V906+V925+V973+V1107+V1138+V1173+V1180+V1188+V1242+V1254+V1366+V1379+V1385+V1406+V1432+V1467+V1481+V1485+V530)</f>
        <v>#REF!</v>
      </c>
      <c r="W1486" s="342" t="e">
        <f>SUM(W285+W439+W500+W519+W526+W654+W663+W673+W686+W712+W804+W827+W855+W877+W906+W925+W973+W1107+W1138+W1173+W1180+W1188+W1242+W1254+W1366+W1379+W1385+W1406+W1432+W1467+W1481+W1485+W530)</f>
        <v>#REF!</v>
      </c>
      <c r="X1486" s="342"/>
      <c r="Y1486" s="285"/>
      <c r="Z1486" s="285"/>
      <c r="AA1486" s="285"/>
      <c r="AB1486" s="285"/>
      <c r="AC1486" s="285"/>
      <c r="AD1486" s="285"/>
      <c r="AE1486" s="285"/>
      <c r="AF1486" s="285"/>
    </row>
    <row r="1487" spans="1:32">
      <c r="A1487" s="165">
        <f>SUM(A9:A1484)</f>
        <v>33</v>
      </c>
      <c r="B1487" s="165"/>
      <c r="C1487" s="48"/>
      <c r="D1487" s="49"/>
      <c r="E1487" s="49"/>
      <c r="F1487" s="50"/>
      <c r="G1487" s="165"/>
      <c r="H1487" s="165"/>
      <c r="I1487" s="165"/>
      <c r="J1487" s="165"/>
      <c r="K1487" s="165"/>
      <c r="L1487" s="165"/>
      <c r="M1487" s="165"/>
      <c r="N1487" s="165"/>
      <c r="O1487" s="165"/>
      <c r="P1487" s="165"/>
      <c r="Q1487" s="165"/>
      <c r="R1487" s="165"/>
      <c r="S1487" s="165"/>
      <c r="T1487" s="165"/>
      <c r="U1487" s="165"/>
      <c r="V1487" s="165"/>
      <c r="W1487" s="165"/>
      <c r="X1487" s="165"/>
      <c r="Y1487" s="165"/>
      <c r="Z1487" s="165"/>
      <c r="AA1487" s="165"/>
      <c r="AB1487" s="165"/>
      <c r="AC1487" s="165"/>
      <c r="AD1487" s="165"/>
      <c r="AE1487" s="165"/>
      <c r="AF1487" s="165"/>
    </row>
    <row r="1488" spans="1:32">
      <c r="A1488" s="165"/>
      <c r="B1488" s="165"/>
      <c r="C1488" s="48"/>
      <c r="D1488" s="49"/>
      <c r="E1488" s="49"/>
      <c r="F1488" s="50"/>
      <c r="G1488" s="165"/>
      <c r="H1488" s="165"/>
      <c r="I1488" s="165"/>
      <c r="J1488" s="165"/>
      <c r="K1488" s="336">
        <f>SUM(K10:K1484)</f>
        <v>1202062574988</v>
      </c>
      <c r="L1488" s="336"/>
      <c r="M1488" s="336">
        <f>SUM(M10:M1484)</f>
        <v>1194878852609</v>
      </c>
      <c r="N1488" s="336"/>
      <c r="O1488" s="336">
        <f>SUM(O10:O1484)</f>
        <v>1086239496361.61</v>
      </c>
      <c r="P1488" s="336"/>
      <c r="Q1488" s="336">
        <f>SUM(Q10:Q1484)</f>
        <v>1191828264268.4102</v>
      </c>
      <c r="R1488" s="336"/>
      <c r="S1488" s="336">
        <f>SUM(S10:S1484)</f>
        <v>1248831781100.2202</v>
      </c>
      <c r="T1488" s="336"/>
      <c r="U1488" s="336">
        <f>SUM(U10:U1484)</f>
        <v>1532147848722.5657</v>
      </c>
      <c r="V1488" s="165"/>
      <c r="W1488" s="165"/>
      <c r="X1488" s="384"/>
      <c r="Y1488" s="165"/>
      <c r="Z1488" s="165"/>
      <c r="AA1488" s="165"/>
      <c r="AB1488" s="165"/>
      <c r="AC1488" s="165"/>
      <c r="AD1488" s="165"/>
      <c r="AE1488" s="165"/>
      <c r="AF1488" s="165"/>
    </row>
    <row r="1489" spans="1:32">
      <c r="A1489" s="165"/>
      <c r="B1489" s="165"/>
      <c r="C1489" s="48"/>
      <c r="D1489" s="49"/>
      <c r="E1489" s="49"/>
      <c r="F1489" s="50"/>
      <c r="G1489" s="165"/>
      <c r="H1489" s="165"/>
      <c r="I1489" s="165"/>
      <c r="J1489" s="165"/>
      <c r="K1489" s="165"/>
      <c r="L1489" s="165"/>
      <c r="M1489" s="165"/>
      <c r="N1489" s="165"/>
      <c r="O1489" s="165"/>
      <c r="P1489" s="165"/>
      <c r="Q1489" s="165"/>
      <c r="R1489" s="165"/>
      <c r="S1489" s="165"/>
      <c r="T1489" s="165"/>
      <c r="U1489" s="336">
        <f>S1079</f>
        <v>7500000000</v>
      </c>
      <c r="V1489" s="165"/>
      <c r="W1489" s="165"/>
      <c r="X1489" s="165"/>
      <c r="Y1489" s="165"/>
      <c r="Z1489" s="165"/>
      <c r="AA1489" s="165"/>
      <c r="AB1489" s="165"/>
      <c r="AC1489" s="165"/>
      <c r="AD1489" s="165"/>
      <c r="AE1489" s="165"/>
      <c r="AF1489" s="165"/>
    </row>
    <row r="1490" spans="1:32">
      <c r="A1490" s="165"/>
      <c r="B1490" s="165"/>
      <c r="C1490" s="48"/>
      <c r="D1490" s="49"/>
      <c r="E1490" s="49"/>
      <c r="F1490" s="50"/>
      <c r="G1490" s="165"/>
      <c r="H1490" s="165"/>
      <c r="I1490" s="165"/>
      <c r="J1490" s="165"/>
      <c r="K1490" s="165"/>
      <c r="L1490" s="165"/>
      <c r="M1490" s="165"/>
      <c r="N1490" s="165"/>
      <c r="O1490" s="165"/>
      <c r="P1490" s="165"/>
      <c r="Q1490" s="165"/>
      <c r="R1490" s="165"/>
      <c r="S1490" s="165"/>
      <c r="T1490" s="165"/>
      <c r="U1490" s="336">
        <v>3450000000</v>
      </c>
      <c r="V1490" s="165"/>
      <c r="W1490" s="165"/>
      <c r="X1490" s="165"/>
      <c r="Y1490" s="165"/>
      <c r="Z1490" s="165"/>
      <c r="AA1490" s="165"/>
      <c r="AB1490" s="165"/>
      <c r="AC1490" s="165"/>
      <c r="AD1490" s="165"/>
      <c r="AE1490" s="165"/>
      <c r="AF1490" s="165"/>
    </row>
    <row r="1491" spans="1:32">
      <c r="A1491" s="165"/>
      <c r="B1491" s="165"/>
      <c r="C1491" s="48"/>
      <c r="D1491" s="49"/>
      <c r="E1491" s="49"/>
      <c r="F1491" s="50"/>
      <c r="G1491" s="165"/>
      <c r="H1491" s="165"/>
      <c r="I1491" s="165"/>
      <c r="J1491" s="165"/>
      <c r="K1491" s="165"/>
      <c r="L1491" s="165"/>
      <c r="M1491" s="336">
        <f>SUM(M1488:M1490)</f>
        <v>1194878852609</v>
      </c>
      <c r="N1491" s="336"/>
      <c r="O1491" s="336">
        <f>SUM(O1488:O1490)</f>
        <v>1086239496361.61</v>
      </c>
      <c r="P1491" s="336"/>
      <c r="Q1491" s="336">
        <f>SUM(Q1488:Q1490)</f>
        <v>1191828264268.4102</v>
      </c>
      <c r="R1491" s="336"/>
      <c r="S1491" s="336">
        <f>SUM(S1488:S1490)</f>
        <v>1248831781100.2202</v>
      </c>
      <c r="T1491" s="336"/>
      <c r="U1491" s="336">
        <f>SUM(U1488:U1490)</f>
        <v>1543097848722.5657</v>
      </c>
      <c r="V1491" s="165"/>
      <c r="W1491" s="165"/>
      <c r="X1491" s="165"/>
      <c r="Y1491" s="165"/>
      <c r="Z1491" s="165"/>
      <c r="AA1491" s="165"/>
      <c r="AB1491" s="165"/>
      <c r="AC1491" s="165"/>
      <c r="AD1491" s="165"/>
      <c r="AE1491" s="165"/>
      <c r="AF1491" s="165"/>
    </row>
    <row r="1492" spans="1:32">
      <c r="A1492" s="165"/>
      <c r="B1492" s="165"/>
      <c r="C1492" s="48"/>
      <c r="D1492" s="49"/>
      <c r="E1492" s="49"/>
      <c r="F1492" s="50"/>
      <c r="G1492" s="165"/>
      <c r="H1492" s="165"/>
      <c r="I1492" s="165"/>
      <c r="J1492" s="165"/>
      <c r="K1492" s="165"/>
      <c r="L1492" s="165"/>
      <c r="M1492" s="165"/>
      <c r="N1492" s="165"/>
      <c r="O1492" s="165"/>
      <c r="P1492" s="165"/>
      <c r="Q1492" s="165"/>
      <c r="R1492" s="165"/>
      <c r="S1492" s="165"/>
      <c r="T1492" s="165"/>
      <c r="U1492" s="165"/>
      <c r="V1492" s="165"/>
      <c r="W1492" s="165"/>
      <c r="X1492" s="165"/>
      <c r="Y1492" s="165"/>
      <c r="Z1492" s="165"/>
      <c r="AA1492" s="165"/>
      <c r="AB1492" s="165"/>
      <c r="AC1492" s="165"/>
      <c r="AD1492" s="165"/>
      <c r="AE1492" s="165"/>
      <c r="AF1492" s="165"/>
    </row>
    <row r="1493" spans="1:32">
      <c r="A1493" s="165"/>
      <c r="B1493" s="165"/>
      <c r="C1493" s="48"/>
      <c r="D1493" s="49"/>
      <c r="E1493" s="49"/>
      <c r="F1493" s="50"/>
      <c r="G1493" s="165"/>
      <c r="H1493" s="165"/>
      <c r="I1493" s="165"/>
      <c r="J1493" s="165"/>
      <c r="K1493" s="165"/>
      <c r="L1493" s="165"/>
      <c r="M1493" s="165"/>
      <c r="N1493" s="165"/>
      <c r="O1493" s="165"/>
      <c r="P1493" s="165"/>
      <c r="Q1493" s="165"/>
      <c r="R1493" s="165"/>
      <c r="S1493" s="165"/>
      <c r="T1493" s="165"/>
      <c r="U1493" s="165"/>
      <c r="V1493" s="165"/>
      <c r="W1493" s="165"/>
      <c r="X1493" s="165"/>
      <c r="Y1493" s="165"/>
      <c r="Z1493" s="165"/>
      <c r="AA1493" s="165"/>
      <c r="AB1493" s="165"/>
      <c r="AC1493" s="165"/>
      <c r="AD1493" s="165"/>
      <c r="AE1493" s="165"/>
      <c r="AF1493" s="165"/>
    </row>
    <row r="1494" spans="1:32">
      <c r="A1494" s="165"/>
      <c r="B1494" s="165"/>
      <c r="C1494" s="48"/>
      <c r="D1494" s="49"/>
      <c r="E1494" s="49"/>
      <c r="F1494" s="50"/>
      <c r="G1494" s="165"/>
      <c r="H1494" s="165"/>
      <c r="I1494" s="165"/>
      <c r="J1494" s="165"/>
      <c r="K1494" s="165"/>
      <c r="L1494" s="165"/>
      <c r="M1494" s="165"/>
      <c r="N1494" s="165"/>
      <c r="O1494" s="165"/>
      <c r="P1494" s="165"/>
      <c r="Q1494" s="165"/>
      <c r="R1494" s="165"/>
      <c r="S1494" s="165"/>
      <c r="T1494" s="165"/>
      <c r="U1494" s="165"/>
      <c r="V1494" s="165"/>
      <c r="W1494" s="165"/>
      <c r="X1494" s="165"/>
      <c r="Y1494" s="165"/>
      <c r="Z1494" s="165"/>
      <c r="AA1494" s="165"/>
      <c r="AB1494" s="165"/>
      <c r="AC1494" s="165"/>
      <c r="AD1494" s="165"/>
      <c r="AE1494" s="165"/>
      <c r="AF1494" s="165"/>
    </row>
    <row r="1495" spans="1:32">
      <c r="A1495" s="165"/>
      <c r="B1495" s="165"/>
      <c r="C1495" s="48"/>
      <c r="D1495" s="49"/>
      <c r="E1495" s="49"/>
      <c r="F1495" s="50"/>
      <c r="G1495" s="165"/>
      <c r="H1495" s="165"/>
      <c r="I1495" s="165"/>
      <c r="J1495" s="165"/>
      <c r="K1495" s="165">
        <v>250000000</v>
      </c>
      <c r="L1495" s="165"/>
      <c r="M1495" s="165"/>
      <c r="N1495" s="165"/>
      <c r="O1495" s="165"/>
      <c r="P1495" s="165"/>
      <c r="Q1495" s="165"/>
      <c r="R1495" s="165"/>
      <c r="S1495" s="165"/>
      <c r="T1495" s="165"/>
      <c r="U1495" s="165"/>
      <c r="V1495" s="165"/>
      <c r="W1495" s="165"/>
      <c r="X1495" s="165"/>
      <c r="Y1495" s="165"/>
      <c r="Z1495" s="165"/>
      <c r="AA1495" s="165"/>
      <c r="AB1495" s="165"/>
      <c r="AC1495" s="165"/>
      <c r="AD1495" s="165"/>
      <c r="AE1495" s="165"/>
      <c r="AF1495" s="165"/>
    </row>
    <row r="1496" spans="1:32">
      <c r="A1496" s="165"/>
      <c r="B1496" s="165"/>
      <c r="C1496" s="48"/>
      <c r="D1496" s="49"/>
      <c r="E1496" s="49"/>
      <c r="F1496" s="50"/>
      <c r="G1496" s="165"/>
      <c r="H1496" s="165"/>
      <c r="I1496" s="165"/>
      <c r="J1496" s="165"/>
      <c r="K1496" s="165">
        <v>20</v>
      </c>
      <c r="L1496" s="336"/>
      <c r="M1496" s="165"/>
      <c r="N1496" s="165"/>
      <c r="O1496" s="165"/>
      <c r="P1496" s="165"/>
      <c r="Q1496" s="165"/>
      <c r="R1496" s="165"/>
      <c r="S1496" s="165"/>
      <c r="T1496" s="165"/>
      <c r="U1496" s="165"/>
      <c r="V1496" s="165"/>
      <c r="W1496" s="165"/>
      <c r="X1496" s="165"/>
      <c r="Y1496" s="165"/>
      <c r="Z1496" s="165"/>
      <c r="AA1496" s="165"/>
      <c r="AB1496" s="165"/>
      <c r="AC1496" s="165"/>
      <c r="AD1496" s="165"/>
      <c r="AE1496" s="165"/>
      <c r="AF1496" s="165"/>
    </row>
    <row r="1497" spans="1:32">
      <c r="A1497" s="165"/>
      <c r="B1497" s="165"/>
      <c r="C1497" s="48"/>
      <c r="D1497" s="49"/>
      <c r="E1497" s="49"/>
      <c r="F1497" s="50"/>
      <c r="G1497" s="165"/>
      <c r="H1497" s="165"/>
      <c r="I1497" s="165"/>
      <c r="J1497" s="165"/>
      <c r="K1497" s="165">
        <v>150000000</v>
      </c>
      <c r="L1497" s="165"/>
      <c r="M1497" s="165"/>
      <c r="N1497" s="165"/>
      <c r="O1497" s="165"/>
      <c r="P1497" s="165"/>
      <c r="Q1497" s="165"/>
      <c r="R1497" s="165"/>
      <c r="S1497" s="165"/>
      <c r="T1497" s="165"/>
      <c r="U1497" s="165"/>
      <c r="V1497" s="165"/>
      <c r="W1497" s="165"/>
      <c r="X1497" s="165"/>
      <c r="Y1497" s="165"/>
      <c r="Z1497" s="165"/>
      <c r="AA1497" s="165"/>
      <c r="AB1497" s="165"/>
      <c r="AC1497" s="165"/>
      <c r="AD1497" s="165"/>
      <c r="AE1497" s="165"/>
      <c r="AF1497" s="165"/>
    </row>
    <row r="1498" spans="1:32">
      <c r="A1498" s="165"/>
      <c r="B1498" s="165"/>
      <c r="C1498" s="48"/>
      <c r="D1498" s="49"/>
      <c r="E1498" s="49"/>
      <c r="F1498" s="50"/>
      <c r="G1498" s="165"/>
      <c r="H1498" s="165"/>
      <c r="I1498" s="165"/>
      <c r="J1498" s="165"/>
      <c r="K1498" s="165">
        <v>23</v>
      </c>
      <c r="L1498" s="165"/>
      <c r="M1498" s="165"/>
      <c r="N1498" s="165"/>
      <c r="O1498" s="165"/>
      <c r="P1498" s="165"/>
      <c r="Q1498" s="165"/>
      <c r="R1498" s="165"/>
      <c r="S1498" s="165"/>
      <c r="T1498" s="165"/>
      <c r="U1498" s="165"/>
      <c r="V1498" s="165"/>
      <c r="W1498" s="165"/>
      <c r="X1498" s="165"/>
      <c r="Y1498" s="165"/>
      <c r="Z1498" s="165"/>
      <c r="AA1498" s="165"/>
      <c r="AB1498" s="165"/>
      <c r="AC1498" s="165"/>
      <c r="AD1498" s="165"/>
      <c r="AE1498" s="165"/>
      <c r="AF1498" s="165"/>
    </row>
  </sheetData>
  <mergeCells count="165">
    <mergeCell ref="Q799:Q800"/>
    <mergeCell ref="R799:R800"/>
    <mergeCell ref="S799:S800"/>
    <mergeCell ref="T799:T800"/>
    <mergeCell ref="U799:U800"/>
    <mergeCell ref="H799:H800"/>
    <mergeCell ref="I799:I800"/>
    <mergeCell ref="J799:J800"/>
    <mergeCell ref="K799:K800"/>
    <mergeCell ref="L799:L800"/>
    <mergeCell ref="M799:M800"/>
    <mergeCell ref="N799:N800"/>
    <mergeCell ref="O799:O800"/>
    <mergeCell ref="P799:P800"/>
    <mergeCell ref="K403:K404"/>
    <mergeCell ref="M403:M404"/>
    <mergeCell ref="O403:O404"/>
    <mergeCell ref="Q403:Q404"/>
    <mergeCell ref="S403:S404"/>
    <mergeCell ref="U403:U404"/>
    <mergeCell ref="K312:K314"/>
    <mergeCell ref="M312:M314"/>
    <mergeCell ref="O312:O314"/>
    <mergeCell ref="Q312:Q314"/>
    <mergeCell ref="S312:S314"/>
    <mergeCell ref="Q340:Q341"/>
    <mergeCell ref="S340:S341"/>
    <mergeCell ref="U340:U341"/>
    <mergeCell ref="K342:K343"/>
    <mergeCell ref="M342:M343"/>
    <mergeCell ref="O342:O343"/>
    <mergeCell ref="Q342:Q343"/>
    <mergeCell ref="S342:S343"/>
    <mergeCell ref="U342:U343"/>
    <mergeCell ref="U369:U370"/>
    <mergeCell ref="K334:K337"/>
    <mergeCell ref="M334:M337"/>
    <mergeCell ref="O334:O337"/>
    <mergeCell ref="S303:S305"/>
    <mergeCell ref="U303:U305"/>
    <mergeCell ref="Q334:Q337"/>
    <mergeCell ref="S334:S337"/>
    <mergeCell ref="U334:U337"/>
    <mergeCell ref="K338:K339"/>
    <mergeCell ref="M338:M339"/>
    <mergeCell ref="O338:O339"/>
    <mergeCell ref="Q338:Q339"/>
    <mergeCell ref="S338:S339"/>
    <mergeCell ref="U338:U339"/>
    <mergeCell ref="K340:K341"/>
    <mergeCell ref="M340:M341"/>
    <mergeCell ref="O340:O341"/>
    <mergeCell ref="K369:K370"/>
    <mergeCell ref="M369:M370"/>
    <mergeCell ref="O369:O370"/>
    <mergeCell ref="Q369:Q370"/>
    <mergeCell ref="S369:S370"/>
    <mergeCell ref="K307:K308"/>
    <mergeCell ref="M307:M308"/>
    <mergeCell ref="O307:O308"/>
    <mergeCell ref="Q307:Q308"/>
    <mergeCell ref="S307:S308"/>
    <mergeCell ref="K362:K363"/>
    <mergeCell ref="M362:M363"/>
    <mergeCell ref="O362:O363"/>
    <mergeCell ref="Q362:Q363"/>
    <mergeCell ref="S362:S363"/>
    <mergeCell ref="K345:K352"/>
    <mergeCell ref="M345:M352"/>
    <mergeCell ref="O345:O352"/>
    <mergeCell ref="Q345:Q352"/>
    <mergeCell ref="S345:S352"/>
    <mergeCell ref="Q288:Q292"/>
    <mergeCell ref="S288:S292"/>
    <mergeCell ref="U316:U321"/>
    <mergeCell ref="K322:K332"/>
    <mergeCell ref="M322:M332"/>
    <mergeCell ref="O322:O332"/>
    <mergeCell ref="Q322:Q332"/>
    <mergeCell ref="S322:S332"/>
    <mergeCell ref="U322:U332"/>
    <mergeCell ref="K316:K321"/>
    <mergeCell ref="M316:M321"/>
    <mergeCell ref="O316:O321"/>
    <mergeCell ref="Q316:Q321"/>
    <mergeCell ref="S316:S321"/>
    <mergeCell ref="U312:U314"/>
    <mergeCell ref="U288:U292"/>
    <mergeCell ref="O288:O292"/>
    <mergeCell ref="M288:M292"/>
    <mergeCell ref="K288:K292"/>
    <mergeCell ref="U307:U308"/>
    <mergeCell ref="K303:K305"/>
    <mergeCell ref="M303:M305"/>
    <mergeCell ref="O303:O305"/>
    <mergeCell ref="Q303:Q305"/>
    <mergeCell ref="U362:U363"/>
    <mergeCell ref="K358:K361"/>
    <mergeCell ref="M358:M361"/>
    <mergeCell ref="O358:O361"/>
    <mergeCell ref="Q358:Q361"/>
    <mergeCell ref="S358:S361"/>
    <mergeCell ref="Q353:Q357"/>
    <mergeCell ref="S353:S357"/>
    <mergeCell ref="U353:U357"/>
    <mergeCell ref="U358:U361"/>
    <mergeCell ref="K1119:K1124"/>
    <mergeCell ref="B3:B5"/>
    <mergeCell ref="C3:F3"/>
    <mergeCell ref="G3:G5"/>
    <mergeCell ref="X3:X5"/>
    <mergeCell ref="C4:F5"/>
    <mergeCell ref="H4:H5"/>
    <mergeCell ref="I4:I5"/>
    <mergeCell ref="J4:K4"/>
    <mergeCell ref="L4:M4"/>
    <mergeCell ref="C6:F6"/>
    <mergeCell ref="H3:I3"/>
    <mergeCell ref="J3:R3"/>
    <mergeCell ref="T3:U3"/>
    <mergeCell ref="V3:W3"/>
    <mergeCell ref="N4:O4"/>
    <mergeCell ref="P4:Q4"/>
    <mergeCell ref="R4:S4"/>
    <mergeCell ref="T4:U4"/>
    <mergeCell ref="V4:W4"/>
    <mergeCell ref="U345:U352"/>
    <mergeCell ref="K353:K357"/>
    <mergeCell ref="M353:M357"/>
    <mergeCell ref="O353:O357"/>
    <mergeCell ref="B285:G285"/>
    <mergeCell ref="B439:G439"/>
    <mergeCell ref="B500:G500"/>
    <mergeCell ref="B519:G519"/>
    <mergeCell ref="B526:G526"/>
    <mergeCell ref="B592:G592"/>
    <mergeCell ref="B654:G654"/>
    <mergeCell ref="B663:G663"/>
    <mergeCell ref="B673:G673"/>
    <mergeCell ref="B530:G530"/>
    <mergeCell ref="B686:G686"/>
    <mergeCell ref="B712:G712"/>
    <mergeCell ref="B804:G804"/>
    <mergeCell ref="B827:G827"/>
    <mergeCell ref="B855:G855"/>
    <mergeCell ref="B877:G877"/>
    <mergeCell ref="B906:G906"/>
    <mergeCell ref="B925:G925"/>
    <mergeCell ref="B973:G973"/>
    <mergeCell ref="B1379:G1379"/>
    <mergeCell ref="B1385:G1385"/>
    <mergeCell ref="B1406:G1406"/>
    <mergeCell ref="B1432:G1432"/>
    <mergeCell ref="B1467:G1467"/>
    <mergeCell ref="B1481:G1481"/>
    <mergeCell ref="B1485:G1485"/>
    <mergeCell ref="B1486:G1486"/>
    <mergeCell ref="B1107:G1107"/>
    <mergeCell ref="B1138:G1138"/>
    <mergeCell ref="B1173:G1173"/>
    <mergeCell ref="B1180:G1180"/>
    <mergeCell ref="B1188:G1188"/>
    <mergeCell ref="B1242:G1242"/>
    <mergeCell ref="B1254:G1254"/>
    <mergeCell ref="B1366:G1366"/>
  </mergeCells>
  <pageMargins left="0.7" right="0.7" top="0.75" bottom="0.75" header="0.3" footer="0.3"/>
  <pageSetup orientation="portrait" horizontalDpi="300" verticalDpi="300" r:id="rId1"/>
  <legacyDrawing r:id="rId2"/>
</worksheet>
</file>

<file path=xl/worksheets/sheet10.xml><?xml version="1.0" encoding="utf-8"?>
<worksheet xmlns="http://schemas.openxmlformats.org/spreadsheetml/2006/main" xmlns:r="http://schemas.openxmlformats.org/officeDocument/2006/relationships">
  <sheetPr>
    <tabColor theme="2" tint="-0.749992370372631"/>
  </sheetPr>
  <dimension ref="A1:Z428"/>
  <sheetViews>
    <sheetView showGridLines="0" zoomScale="73" zoomScaleNormal="73" zoomScaleSheetLayoutView="100" workbookViewId="0">
      <pane xSplit="2" ySplit="4" topLeftCell="C80" activePane="bottomRight" state="frozen"/>
      <selection pane="topRight" activeCell="C1" sqref="C1"/>
      <selection pane="bottomLeft" activeCell="A5" sqref="A5"/>
      <selection pane="bottomRight" activeCell="X69" sqref="X69"/>
    </sheetView>
  </sheetViews>
  <sheetFormatPr defaultRowHeight="13.5"/>
  <cols>
    <col min="1" max="1" width="2.7109375" style="28" customWidth="1"/>
    <col min="2" max="2" width="20.7109375" style="116" customWidth="1"/>
    <col min="3" max="3" width="3.7109375" style="28" customWidth="1"/>
    <col min="4" max="4" width="30.7109375" style="28" customWidth="1"/>
    <col min="5" max="5" width="3.7109375" style="28" customWidth="1"/>
    <col min="6" max="6" width="30.7109375" style="28" customWidth="1"/>
    <col min="7" max="7" width="30.7109375" style="24" customWidth="1"/>
    <col min="8" max="8" width="30.7109375" style="28" customWidth="1"/>
    <col min="9" max="9" width="30.7109375" style="24" customWidth="1"/>
    <col min="10" max="10" width="5.140625" style="117" customWidth="1"/>
    <col min="11" max="11" width="3.7109375" style="28" customWidth="1"/>
    <col min="12" max="12" width="5.42578125" style="28" customWidth="1"/>
    <col min="13" max="13" width="30.7109375" style="28" customWidth="1"/>
    <col min="14" max="14" width="20.7109375" style="28" customWidth="1"/>
    <col min="15" max="19" width="10.7109375" style="680" customWidth="1"/>
    <col min="20" max="20" width="10.7109375" style="681" customWidth="1"/>
    <col min="21" max="22" width="10.7109375" style="680" customWidth="1"/>
    <col min="23" max="23" width="10.7109375" style="27" customWidth="1"/>
    <col min="24" max="24" width="20.7109375" style="28" customWidth="1"/>
    <col min="25" max="25" width="20.7109375" style="121" customWidth="1"/>
    <col min="26" max="26" width="20.7109375" style="28" customWidth="1"/>
    <col min="27" max="255" width="9.140625" style="28"/>
    <col min="256" max="257" width="2.7109375" style="28" customWidth="1"/>
    <col min="258" max="258" width="30.7109375" style="28" customWidth="1"/>
    <col min="259" max="260" width="3" style="28" customWidth="1"/>
    <col min="261" max="261" width="30.7109375" style="28" customWidth="1"/>
    <col min="262" max="262" width="3" style="28" customWidth="1"/>
    <col min="263" max="263" width="2.7109375" style="28" customWidth="1"/>
    <col min="264" max="264" width="30.7109375" style="28" customWidth="1"/>
    <col min="265" max="265" width="4.140625" style="28" customWidth="1"/>
    <col min="266" max="266" width="30.7109375" style="28" customWidth="1"/>
    <col min="267" max="267" width="3" style="28" customWidth="1"/>
    <col min="268" max="268" width="30.7109375" style="28" customWidth="1"/>
    <col min="269" max="269" width="5.28515625" style="28" customWidth="1"/>
    <col min="270" max="271" width="30.7109375" style="28" customWidth="1"/>
    <col min="272" max="272" width="4" style="28" customWidth="1"/>
    <col min="273" max="273" width="30.7109375" style="28" customWidth="1"/>
    <col min="274" max="275" width="3.85546875" style="28" customWidth="1"/>
    <col min="276" max="276" width="30.7109375" style="28" customWidth="1"/>
    <col min="277" max="511" width="9.140625" style="28"/>
    <col min="512" max="513" width="2.7109375" style="28" customWidth="1"/>
    <col min="514" max="514" width="30.7109375" style="28" customWidth="1"/>
    <col min="515" max="516" width="3" style="28" customWidth="1"/>
    <col min="517" max="517" width="30.7109375" style="28" customWidth="1"/>
    <col min="518" max="518" width="3" style="28" customWidth="1"/>
    <col min="519" max="519" width="2.7109375" style="28" customWidth="1"/>
    <col min="520" max="520" width="30.7109375" style="28" customWidth="1"/>
    <col min="521" max="521" width="4.140625" style="28" customWidth="1"/>
    <col min="522" max="522" width="30.7109375" style="28" customWidth="1"/>
    <col min="523" max="523" width="3" style="28" customWidth="1"/>
    <col min="524" max="524" width="30.7109375" style="28" customWidth="1"/>
    <col min="525" max="525" width="5.28515625" style="28" customWidth="1"/>
    <col min="526" max="527" width="30.7109375" style="28" customWidth="1"/>
    <col min="528" max="528" width="4" style="28" customWidth="1"/>
    <col min="529" max="529" width="30.7109375" style="28" customWidth="1"/>
    <col min="530" max="531" width="3.85546875" style="28" customWidth="1"/>
    <col min="532" max="532" width="30.7109375" style="28" customWidth="1"/>
    <col min="533" max="767" width="9.140625" style="28"/>
    <col min="768" max="769" width="2.7109375" style="28" customWidth="1"/>
    <col min="770" max="770" width="30.7109375" style="28" customWidth="1"/>
    <col min="771" max="772" width="3" style="28" customWidth="1"/>
    <col min="773" max="773" width="30.7109375" style="28" customWidth="1"/>
    <col min="774" max="774" width="3" style="28" customWidth="1"/>
    <col min="775" max="775" width="2.7109375" style="28" customWidth="1"/>
    <col min="776" max="776" width="30.7109375" style="28" customWidth="1"/>
    <col min="777" max="777" width="4.140625" style="28" customWidth="1"/>
    <col min="778" max="778" width="30.7109375" style="28" customWidth="1"/>
    <col min="779" max="779" width="3" style="28" customWidth="1"/>
    <col min="780" max="780" width="30.7109375" style="28" customWidth="1"/>
    <col min="781" max="781" width="5.28515625" style="28" customWidth="1"/>
    <col min="782" max="783" width="30.7109375" style="28" customWidth="1"/>
    <col min="784" max="784" width="4" style="28" customWidth="1"/>
    <col min="785" max="785" width="30.7109375" style="28" customWidth="1"/>
    <col min="786" max="787" width="3.85546875" style="28" customWidth="1"/>
    <col min="788" max="788" width="30.7109375" style="28" customWidth="1"/>
    <col min="789" max="1023" width="9.140625" style="28"/>
    <col min="1024" max="1025" width="2.7109375" style="28" customWidth="1"/>
    <col min="1026" max="1026" width="30.7109375" style="28" customWidth="1"/>
    <col min="1027" max="1028" width="3" style="28" customWidth="1"/>
    <col min="1029" max="1029" width="30.7109375" style="28" customWidth="1"/>
    <col min="1030" max="1030" width="3" style="28" customWidth="1"/>
    <col min="1031" max="1031" width="2.7109375" style="28" customWidth="1"/>
    <col min="1032" max="1032" width="30.7109375" style="28" customWidth="1"/>
    <col min="1033" max="1033" width="4.140625" style="28" customWidth="1"/>
    <col min="1034" max="1034" width="30.7109375" style="28" customWidth="1"/>
    <col min="1035" max="1035" width="3" style="28" customWidth="1"/>
    <col min="1036" max="1036" width="30.7109375" style="28" customWidth="1"/>
    <col min="1037" max="1037" width="5.28515625" style="28" customWidth="1"/>
    <col min="1038" max="1039" width="30.7109375" style="28" customWidth="1"/>
    <col min="1040" max="1040" width="4" style="28" customWidth="1"/>
    <col min="1041" max="1041" width="30.7109375" style="28" customWidth="1"/>
    <col min="1042" max="1043" width="3.85546875" style="28" customWidth="1"/>
    <col min="1044" max="1044" width="30.7109375" style="28" customWidth="1"/>
    <col min="1045" max="1279" width="9.140625" style="28"/>
    <col min="1280" max="1281" width="2.7109375" style="28" customWidth="1"/>
    <col min="1282" max="1282" width="30.7109375" style="28" customWidth="1"/>
    <col min="1283" max="1284" width="3" style="28" customWidth="1"/>
    <col min="1285" max="1285" width="30.7109375" style="28" customWidth="1"/>
    <col min="1286" max="1286" width="3" style="28" customWidth="1"/>
    <col min="1287" max="1287" width="2.7109375" style="28" customWidth="1"/>
    <col min="1288" max="1288" width="30.7109375" style="28" customWidth="1"/>
    <col min="1289" max="1289" width="4.140625" style="28" customWidth="1"/>
    <col min="1290" max="1290" width="30.7109375" style="28" customWidth="1"/>
    <col min="1291" max="1291" width="3" style="28" customWidth="1"/>
    <col min="1292" max="1292" width="30.7109375" style="28" customWidth="1"/>
    <col min="1293" max="1293" width="5.28515625" style="28" customWidth="1"/>
    <col min="1294" max="1295" width="30.7109375" style="28" customWidth="1"/>
    <col min="1296" max="1296" width="4" style="28" customWidth="1"/>
    <col min="1297" max="1297" width="30.7109375" style="28" customWidth="1"/>
    <col min="1298" max="1299" width="3.85546875" style="28" customWidth="1"/>
    <col min="1300" max="1300" width="30.7109375" style="28" customWidth="1"/>
    <col min="1301" max="1535" width="9.140625" style="28"/>
    <col min="1536" max="1537" width="2.7109375" style="28" customWidth="1"/>
    <col min="1538" max="1538" width="30.7109375" style="28" customWidth="1"/>
    <col min="1539" max="1540" width="3" style="28" customWidth="1"/>
    <col min="1541" max="1541" width="30.7109375" style="28" customWidth="1"/>
    <col min="1542" max="1542" width="3" style="28" customWidth="1"/>
    <col min="1543" max="1543" width="2.7109375" style="28" customWidth="1"/>
    <col min="1544" max="1544" width="30.7109375" style="28" customWidth="1"/>
    <col min="1545" max="1545" width="4.140625" style="28" customWidth="1"/>
    <col min="1546" max="1546" width="30.7109375" style="28" customWidth="1"/>
    <col min="1547" max="1547" width="3" style="28" customWidth="1"/>
    <col min="1548" max="1548" width="30.7109375" style="28" customWidth="1"/>
    <col min="1549" max="1549" width="5.28515625" style="28" customWidth="1"/>
    <col min="1550" max="1551" width="30.7109375" style="28" customWidth="1"/>
    <col min="1552" max="1552" width="4" style="28" customWidth="1"/>
    <col min="1553" max="1553" width="30.7109375" style="28" customWidth="1"/>
    <col min="1554" max="1555" width="3.85546875" style="28" customWidth="1"/>
    <col min="1556" max="1556" width="30.7109375" style="28" customWidth="1"/>
    <col min="1557" max="1791" width="9.140625" style="28"/>
    <col min="1792" max="1793" width="2.7109375" style="28" customWidth="1"/>
    <col min="1794" max="1794" width="30.7109375" style="28" customWidth="1"/>
    <col min="1795" max="1796" width="3" style="28" customWidth="1"/>
    <col min="1797" max="1797" width="30.7109375" style="28" customWidth="1"/>
    <col min="1798" max="1798" width="3" style="28" customWidth="1"/>
    <col min="1799" max="1799" width="2.7109375" style="28" customWidth="1"/>
    <col min="1800" max="1800" width="30.7109375" style="28" customWidth="1"/>
    <col min="1801" max="1801" width="4.140625" style="28" customWidth="1"/>
    <col min="1802" max="1802" width="30.7109375" style="28" customWidth="1"/>
    <col min="1803" max="1803" width="3" style="28" customWidth="1"/>
    <col min="1804" max="1804" width="30.7109375" style="28" customWidth="1"/>
    <col min="1805" max="1805" width="5.28515625" style="28" customWidth="1"/>
    <col min="1806" max="1807" width="30.7109375" style="28" customWidth="1"/>
    <col min="1808" max="1808" width="4" style="28" customWidth="1"/>
    <col min="1809" max="1809" width="30.7109375" style="28" customWidth="1"/>
    <col min="1810" max="1811" width="3.85546875" style="28" customWidth="1"/>
    <col min="1812" max="1812" width="30.7109375" style="28" customWidth="1"/>
    <col min="1813" max="2047" width="9.140625" style="28"/>
    <col min="2048" max="2049" width="2.7109375" style="28" customWidth="1"/>
    <col min="2050" max="2050" width="30.7109375" style="28" customWidth="1"/>
    <col min="2051" max="2052" width="3" style="28" customWidth="1"/>
    <col min="2053" max="2053" width="30.7109375" style="28" customWidth="1"/>
    <col min="2054" max="2054" width="3" style="28" customWidth="1"/>
    <col min="2055" max="2055" width="2.7109375" style="28" customWidth="1"/>
    <col min="2056" max="2056" width="30.7109375" style="28" customWidth="1"/>
    <col min="2057" max="2057" width="4.140625" style="28" customWidth="1"/>
    <col min="2058" max="2058" width="30.7109375" style="28" customWidth="1"/>
    <col min="2059" max="2059" width="3" style="28" customWidth="1"/>
    <col min="2060" max="2060" width="30.7109375" style="28" customWidth="1"/>
    <col min="2061" max="2061" width="5.28515625" style="28" customWidth="1"/>
    <col min="2062" max="2063" width="30.7109375" style="28" customWidth="1"/>
    <col min="2064" max="2064" width="4" style="28" customWidth="1"/>
    <col min="2065" max="2065" width="30.7109375" style="28" customWidth="1"/>
    <col min="2066" max="2067" width="3.85546875" style="28" customWidth="1"/>
    <col min="2068" max="2068" width="30.7109375" style="28" customWidth="1"/>
    <col min="2069" max="2303" width="9.140625" style="28"/>
    <col min="2304" max="2305" width="2.7109375" style="28" customWidth="1"/>
    <col min="2306" max="2306" width="30.7109375" style="28" customWidth="1"/>
    <col min="2307" max="2308" width="3" style="28" customWidth="1"/>
    <col min="2309" max="2309" width="30.7109375" style="28" customWidth="1"/>
    <col min="2310" max="2310" width="3" style="28" customWidth="1"/>
    <col min="2311" max="2311" width="2.7109375" style="28" customWidth="1"/>
    <col min="2312" max="2312" width="30.7109375" style="28" customWidth="1"/>
    <col min="2313" max="2313" width="4.140625" style="28" customWidth="1"/>
    <col min="2314" max="2314" width="30.7109375" style="28" customWidth="1"/>
    <col min="2315" max="2315" width="3" style="28" customWidth="1"/>
    <col min="2316" max="2316" width="30.7109375" style="28" customWidth="1"/>
    <col min="2317" max="2317" width="5.28515625" style="28" customWidth="1"/>
    <col min="2318" max="2319" width="30.7109375" style="28" customWidth="1"/>
    <col min="2320" max="2320" width="4" style="28" customWidth="1"/>
    <col min="2321" max="2321" width="30.7109375" style="28" customWidth="1"/>
    <col min="2322" max="2323" width="3.85546875" style="28" customWidth="1"/>
    <col min="2324" max="2324" width="30.7109375" style="28" customWidth="1"/>
    <col min="2325" max="2559" width="9.140625" style="28"/>
    <col min="2560" max="2561" width="2.7109375" style="28" customWidth="1"/>
    <col min="2562" max="2562" width="30.7109375" style="28" customWidth="1"/>
    <col min="2563" max="2564" width="3" style="28" customWidth="1"/>
    <col min="2565" max="2565" width="30.7109375" style="28" customWidth="1"/>
    <col min="2566" max="2566" width="3" style="28" customWidth="1"/>
    <col min="2567" max="2567" width="2.7109375" style="28" customWidth="1"/>
    <col min="2568" max="2568" width="30.7109375" style="28" customWidth="1"/>
    <col min="2569" max="2569" width="4.140625" style="28" customWidth="1"/>
    <col min="2570" max="2570" width="30.7109375" style="28" customWidth="1"/>
    <col min="2571" max="2571" width="3" style="28" customWidth="1"/>
    <col min="2572" max="2572" width="30.7109375" style="28" customWidth="1"/>
    <col min="2573" max="2573" width="5.28515625" style="28" customWidth="1"/>
    <col min="2574" max="2575" width="30.7109375" style="28" customWidth="1"/>
    <col min="2576" max="2576" width="4" style="28" customWidth="1"/>
    <col min="2577" max="2577" width="30.7109375" style="28" customWidth="1"/>
    <col min="2578" max="2579" width="3.85546875" style="28" customWidth="1"/>
    <col min="2580" max="2580" width="30.7109375" style="28" customWidth="1"/>
    <col min="2581" max="2815" width="9.140625" style="28"/>
    <col min="2816" max="2817" width="2.7109375" style="28" customWidth="1"/>
    <col min="2818" max="2818" width="30.7109375" style="28" customWidth="1"/>
    <col min="2819" max="2820" width="3" style="28" customWidth="1"/>
    <col min="2821" max="2821" width="30.7109375" style="28" customWidth="1"/>
    <col min="2822" max="2822" width="3" style="28" customWidth="1"/>
    <col min="2823" max="2823" width="2.7109375" style="28" customWidth="1"/>
    <col min="2824" max="2824" width="30.7109375" style="28" customWidth="1"/>
    <col min="2825" max="2825" width="4.140625" style="28" customWidth="1"/>
    <col min="2826" max="2826" width="30.7109375" style="28" customWidth="1"/>
    <col min="2827" max="2827" width="3" style="28" customWidth="1"/>
    <col min="2828" max="2828" width="30.7109375" style="28" customWidth="1"/>
    <col min="2829" max="2829" width="5.28515625" style="28" customWidth="1"/>
    <col min="2830" max="2831" width="30.7109375" style="28" customWidth="1"/>
    <col min="2832" max="2832" width="4" style="28" customWidth="1"/>
    <col min="2833" max="2833" width="30.7109375" style="28" customWidth="1"/>
    <col min="2834" max="2835" width="3.85546875" style="28" customWidth="1"/>
    <col min="2836" max="2836" width="30.7109375" style="28" customWidth="1"/>
    <col min="2837" max="3071" width="9.140625" style="28"/>
    <col min="3072" max="3073" width="2.7109375" style="28" customWidth="1"/>
    <col min="3074" max="3074" width="30.7109375" style="28" customWidth="1"/>
    <col min="3075" max="3076" width="3" style="28" customWidth="1"/>
    <col min="3077" max="3077" width="30.7109375" style="28" customWidth="1"/>
    <col min="3078" max="3078" width="3" style="28" customWidth="1"/>
    <col min="3079" max="3079" width="2.7109375" style="28" customWidth="1"/>
    <col min="3080" max="3080" width="30.7109375" style="28" customWidth="1"/>
    <col min="3081" max="3081" width="4.140625" style="28" customWidth="1"/>
    <col min="3082" max="3082" width="30.7109375" style="28" customWidth="1"/>
    <col min="3083" max="3083" width="3" style="28" customWidth="1"/>
    <col min="3084" max="3084" width="30.7109375" style="28" customWidth="1"/>
    <col min="3085" max="3085" width="5.28515625" style="28" customWidth="1"/>
    <col min="3086" max="3087" width="30.7109375" style="28" customWidth="1"/>
    <col min="3088" max="3088" width="4" style="28" customWidth="1"/>
    <col min="3089" max="3089" width="30.7109375" style="28" customWidth="1"/>
    <col min="3090" max="3091" width="3.85546875" style="28" customWidth="1"/>
    <col min="3092" max="3092" width="30.7109375" style="28" customWidth="1"/>
    <col min="3093" max="3327" width="9.140625" style="28"/>
    <col min="3328" max="3329" width="2.7109375" style="28" customWidth="1"/>
    <col min="3330" max="3330" width="30.7109375" style="28" customWidth="1"/>
    <col min="3331" max="3332" width="3" style="28" customWidth="1"/>
    <col min="3333" max="3333" width="30.7109375" style="28" customWidth="1"/>
    <col min="3334" max="3334" width="3" style="28" customWidth="1"/>
    <col min="3335" max="3335" width="2.7109375" style="28" customWidth="1"/>
    <col min="3336" max="3336" width="30.7109375" style="28" customWidth="1"/>
    <col min="3337" max="3337" width="4.140625" style="28" customWidth="1"/>
    <col min="3338" max="3338" width="30.7109375" style="28" customWidth="1"/>
    <col min="3339" max="3339" width="3" style="28" customWidth="1"/>
    <col min="3340" max="3340" width="30.7109375" style="28" customWidth="1"/>
    <col min="3341" max="3341" width="5.28515625" style="28" customWidth="1"/>
    <col min="3342" max="3343" width="30.7109375" style="28" customWidth="1"/>
    <col min="3344" max="3344" width="4" style="28" customWidth="1"/>
    <col min="3345" max="3345" width="30.7109375" style="28" customWidth="1"/>
    <col min="3346" max="3347" width="3.85546875" style="28" customWidth="1"/>
    <col min="3348" max="3348" width="30.7109375" style="28" customWidth="1"/>
    <col min="3349" max="3583" width="9.140625" style="28"/>
    <col min="3584" max="3585" width="2.7109375" style="28" customWidth="1"/>
    <col min="3586" max="3586" width="30.7109375" style="28" customWidth="1"/>
    <col min="3587" max="3588" width="3" style="28" customWidth="1"/>
    <col min="3589" max="3589" width="30.7109375" style="28" customWidth="1"/>
    <col min="3590" max="3590" width="3" style="28" customWidth="1"/>
    <col min="3591" max="3591" width="2.7109375" style="28" customWidth="1"/>
    <col min="3592" max="3592" width="30.7109375" style="28" customWidth="1"/>
    <col min="3593" max="3593" width="4.140625" style="28" customWidth="1"/>
    <col min="3594" max="3594" width="30.7109375" style="28" customWidth="1"/>
    <col min="3595" max="3595" width="3" style="28" customWidth="1"/>
    <col min="3596" max="3596" width="30.7109375" style="28" customWidth="1"/>
    <col min="3597" max="3597" width="5.28515625" style="28" customWidth="1"/>
    <col min="3598" max="3599" width="30.7109375" style="28" customWidth="1"/>
    <col min="3600" max="3600" width="4" style="28" customWidth="1"/>
    <col min="3601" max="3601" width="30.7109375" style="28" customWidth="1"/>
    <col min="3602" max="3603" width="3.85546875" style="28" customWidth="1"/>
    <col min="3604" max="3604" width="30.7109375" style="28" customWidth="1"/>
    <col min="3605" max="3839" width="9.140625" style="28"/>
    <col min="3840" max="3841" width="2.7109375" style="28" customWidth="1"/>
    <col min="3842" max="3842" width="30.7109375" style="28" customWidth="1"/>
    <col min="3843" max="3844" width="3" style="28" customWidth="1"/>
    <col min="3845" max="3845" width="30.7109375" style="28" customWidth="1"/>
    <col min="3846" max="3846" width="3" style="28" customWidth="1"/>
    <col min="3847" max="3847" width="2.7109375" style="28" customWidth="1"/>
    <col min="3848" max="3848" width="30.7109375" style="28" customWidth="1"/>
    <col min="3849" max="3849" width="4.140625" style="28" customWidth="1"/>
    <col min="3850" max="3850" width="30.7109375" style="28" customWidth="1"/>
    <col min="3851" max="3851" width="3" style="28" customWidth="1"/>
    <col min="3852" max="3852" width="30.7109375" style="28" customWidth="1"/>
    <col min="3853" max="3853" width="5.28515625" style="28" customWidth="1"/>
    <col min="3854" max="3855" width="30.7109375" style="28" customWidth="1"/>
    <col min="3856" max="3856" width="4" style="28" customWidth="1"/>
    <col min="3857" max="3857" width="30.7109375" style="28" customWidth="1"/>
    <col min="3858" max="3859" width="3.85546875" style="28" customWidth="1"/>
    <col min="3860" max="3860" width="30.7109375" style="28" customWidth="1"/>
    <col min="3861" max="4095" width="9.140625" style="28"/>
    <col min="4096" max="4097" width="2.7109375" style="28" customWidth="1"/>
    <col min="4098" max="4098" width="30.7109375" style="28" customWidth="1"/>
    <col min="4099" max="4100" width="3" style="28" customWidth="1"/>
    <col min="4101" max="4101" width="30.7109375" style="28" customWidth="1"/>
    <col min="4102" max="4102" width="3" style="28" customWidth="1"/>
    <col min="4103" max="4103" width="2.7109375" style="28" customWidth="1"/>
    <col min="4104" max="4104" width="30.7109375" style="28" customWidth="1"/>
    <col min="4105" max="4105" width="4.140625" style="28" customWidth="1"/>
    <col min="4106" max="4106" width="30.7109375" style="28" customWidth="1"/>
    <col min="4107" max="4107" width="3" style="28" customWidth="1"/>
    <col min="4108" max="4108" width="30.7109375" style="28" customWidth="1"/>
    <col min="4109" max="4109" width="5.28515625" style="28" customWidth="1"/>
    <col min="4110" max="4111" width="30.7109375" style="28" customWidth="1"/>
    <col min="4112" max="4112" width="4" style="28" customWidth="1"/>
    <col min="4113" max="4113" width="30.7109375" style="28" customWidth="1"/>
    <col min="4114" max="4115" width="3.85546875" style="28" customWidth="1"/>
    <col min="4116" max="4116" width="30.7109375" style="28" customWidth="1"/>
    <col min="4117" max="4351" width="9.140625" style="28"/>
    <col min="4352" max="4353" width="2.7109375" style="28" customWidth="1"/>
    <col min="4354" max="4354" width="30.7109375" style="28" customWidth="1"/>
    <col min="4355" max="4356" width="3" style="28" customWidth="1"/>
    <col min="4357" max="4357" width="30.7109375" style="28" customWidth="1"/>
    <col min="4358" max="4358" width="3" style="28" customWidth="1"/>
    <col min="4359" max="4359" width="2.7109375" style="28" customWidth="1"/>
    <col min="4360" max="4360" width="30.7109375" style="28" customWidth="1"/>
    <col min="4361" max="4361" width="4.140625" style="28" customWidth="1"/>
    <col min="4362" max="4362" width="30.7109375" style="28" customWidth="1"/>
    <col min="4363" max="4363" width="3" style="28" customWidth="1"/>
    <col min="4364" max="4364" width="30.7109375" style="28" customWidth="1"/>
    <col min="4365" max="4365" width="5.28515625" style="28" customWidth="1"/>
    <col min="4366" max="4367" width="30.7109375" style="28" customWidth="1"/>
    <col min="4368" max="4368" width="4" style="28" customWidth="1"/>
    <col min="4369" max="4369" width="30.7109375" style="28" customWidth="1"/>
    <col min="4370" max="4371" width="3.85546875" style="28" customWidth="1"/>
    <col min="4372" max="4372" width="30.7109375" style="28" customWidth="1"/>
    <col min="4373" max="4607" width="9.140625" style="28"/>
    <col min="4608" max="4609" width="2.7109375" style="28" customWidth="1"/>
    <col min="4610" max="4610" width="30.7109375" style="28" customWidth="1"/>
    <col min="4611" max="4612" width="3" style="28" customWidth="1"/>
    <col min="4613" max="4613" width="30.7109375" style="28" customWidth="1"/>
    <col min="4614" max="4614" width="3" style="28" customWidth="1"/>
    <col min="4615" max="4615" width="2.7109375" style="28" customWidth="1"/>
    <col min="4616" max="4616" width="30.7109375" style="28" customWidth="1"/>
    <col min="4617" max="4617" width="4.140625" style="28" customWidth="1"/>
    <col min="4618" max="4618" width="30.7109375" style="28" customWidth="1"/>
    <col min="4619" max="4619" width="3" style="28" customWidth="1"/>
    <col min="4620" max="4620" width="30.7109375" style="28" customWidth="1"/>
    <col min="4621" max="4621" width="5.28515625" style="28" customWidth="1"/>
    <col min="4622" max="4623" width="30.7109375" style="28" customWidth="1"/>
    <col min="4624" max="4624" width="4" style="28" customWidth="1"/>
    <col min="4625" max="4625" width="30.7109375" style="28" customWidth="1"/>
    <col min="4626" max="4627" width="3.85546875" style="28" customWidth="1"/>
    <col min="4628" max="4628" width="30.7109375" style="28" customWidth="1"/>
    <col min="4629" max="4863" width="9.140625" style="28"/>
    <col min="4864" max="4865" width="2.7109375" style="28" customWidth="1"/>
    <col min="4866" max="4866" width="30.7109375" style="28" customWidth="1"/>
    <col min="4867" max="4868" width="3" style="28" customWidth="1"/>
    <col min="4869" max="4869" width="30.7109375" style="28" customWidth="1"/>
    <col min="4870" max="4870" width="3" style="28" customWidth="1"/>
    <col min="4871" max="4871" width="2.7109375" style="28" customWidth="1"/>
    <col min="4872" max="4872" width="30.7109375" style="28" customWidth="1"/>
    <col min="4873" max="4873" width="4.140625" style="28" customWidth="1"/>
    <col min="4874" max="4874" width="30.7109375" style="28" customWidth="1"/>
    <col min="4875" max="4875" width="3" style="28" customWidth="1"/>
    <col min="4876" max="4876" width="30.7109375" style="28" customWidth="1"/>
    <col min="4877" max="4877" width="5.28515625" style="28" customWidth="1"/>
    <col min="4878" max="4879" width="30.7109375" style="28" customWidth="1"/>
    <col min="4880" max="4880" width="4" style="28" customWidth="1"/>
    <col min="4881" max="4881" width="30.7109375" style="28" customWidth="1"/>
    <col min="4882" max="4883" width="3.85546875" style="28" customWidth="1"/>
    <col min="4884" max="4884" width="30.7109375" style="28" customWidth="1"/>
    <col min="4885" max="5119" width="9.140625" style="28"/>
    <col min="5120" max="5121" width="2.7109375" style="28" customWidth="1"/>
    <col min="5122" max="5122" width="30.7109375" style="28" customWidth="1"/>
    <col min="5123" max="5124" width="3" style="28" customWidth="1"/>
    <col min="5125" max="5125" width="30.7109375" style="28" customWidth="1"/>
    <col min="5126" max="5126" width="3" style="28" customWidth="1"/>
    <col min="5127" max="5127" width="2.7109375" style="28" customWidth="1"/>
    <col min="5128" max="5128" width="30.7109375" style="28" customWidth="1"/>
    <col min="5129" max="5129" width="4.140625" style="28" customWidth="1"/>
    <col min="5130" max="5130" width="30.7109375" style="28" customWidth="1"/>
    <col min="5131" max="5131" width="3" style="28" customWidth="1"/>
    <col min="5132" max="5132" width="30.7109375" style="28" customWidth="1"/>
    <col min="5133" max="5133" width="5.28515625" style="28" customWidth="1"/>
    <col min="5134" max="5135" width="30.7109375" style="28" customWidth="1"/>
    <col min="5136" max="5136" width="4" style="28" customWidth="1"/>
    <col min="5137" max="5137" width="30.7109375" style="28" customWidth="1"/>
    <col min="5138" max="5139" width="3.85546875" style="28" customWidth="1"/>
    <col min="5140" max="5140" width="30.7109375" style="28" customWidth="1"/>
    <col min="5141" max="5375" width="9.140625" style="28"/>
    <col min="5376" max="5377" width="2.7109375" style="28" customWidth="1"/>
    <col min="5378" max="5378" width="30.7109375" style="28" customWidth="1"/>
    <col min="5379" max="5380" width="3" style="28" customWidth="1"/>
    <col min="5381" max="5381" width="30.7109375" style="28" customWidth="1"/>
    <col min="5382" max="5382" width="3" style="28" customWidth="1"/>
    <col min="5383" max="5383" width="2.7109375" style="28" customWidth="1"/>
    <col min="5384" max="5384" width="30.7109375" style="28" customWidth="1"/>
    <col min="5385" max="5385" width="4.140625" style="28" customWidth="1"/>
    <col min="5386" max="5386" width="30.7109375" style="28" customWidth="1"/>
    <col min="5387" max="5387" width="3" style="28" customWidth="1"/>
    <col min="5388" max="5388" width="30.7109375" style="28" customWidth="1"/>
    <col min="5389" max="5389" width="5.28515625" style="28" customWidth="1"/>
    <col min="5390" max="5391" width="30.7109375" style="28" customWidth="1"/>
    <col min="5392" max="5392" width="4" style="28" customWidth="1"/>
    <col min="5393" max="5393" width="30.7109375" style="28" customWidth="1"/>
    <col min="5394" max="5395" width="3.85546875" style="28" customWidth="1"/>
    <col min="5396" max="5396" width="30.7109375" style="28" customWidth="1"/>
    <col min="5397" max="5631" width="9.140625" style="28"/>
    <col min="5632" max="5633" width="2.7109375" style="28" customWidth="1"/>
    <col min="5634" max="5634" width="30.7109375" style="28" customWidth="1"/>
    <col min="5635" max="5636" width="3" style="28" customWidth="1"/>
    <col min="5637" max="5637" width="30.7109375" style="28" customWidth="1"/>
    <col min="5638" max="5638" width="3" style="28" customWidth="1"/>
    <col min="5639" max="5639" width="2.7109375" style="28" customWidth="1"/>
    <col min="5640" max="5640" width="30.7109375" style="28" customWidth="1"/>
    <col min="5641" max="5641" width="4.140625" style="28" customWidth="1"/>
    <col min="5642" max="5642" width="30.7109375" style="28" customWidth="1"/>
    <col min="5643" max="5643" width="3" style="28" customWidth="1"/>
    <col min="5644" max="5644" width="30.7109375" style="28" customWidth="1"/>
    <col min="5645" max="5645" width="5.28515625" style="28" customWidth="1"/>
    <col min="5646" max="5647" width="30.7109375" style="28" customWidth="1"/>
    <col min="5648" max="5648" width="4" style="28" customWidth="1"/>
    <col min="5649" max="5649" width="30.7109375" style="28" customWidth="1"/>
    <col min="5650" max="5651" width="3.85546875" style="28" customWidth="1"/>
    <col min="5652" max="5652" width="30.7109375" style="28" customWidth="1"/>
    <col min="5653" max="5887" width="9.140625" style="28"/>
    <col min="5888" max="5889" width="2.7109375" style="28" customWidth="1"/>
    <col min="5890" max="5890" width="30.7109375" style="28" customWidth="1"/>
    <col min="5891" max="5892" width="3" style="28" customWidth="1"/>
    <col min="5893" max="5893" width="30.7109375" style="28" customWidth="1"/>
    <col min="5894" max="5894" width="3" style="28" customWidth="1"/>
    <col min="5895" max="5895" width="2.7109375" style="28" customWidth="1"/>
    <col min="5896" max="5896" width="30.7109375" style="28" customWidth="1"/>
    <col min="5897" max="5897" width="4.140625" style="28" customWidth="1"/>
    <col min="5898" max="5898" width="30.7109375" style="28" customWidth="1"/>
    <col min="5899" max="5899" width="3" style="28" customWidth="1"/>
    <col min="5900" max="5900" width="30.7109375" style="28" customWidth="1"/>
    <col min="5901" max="5901" width="5.28515625" style="28" customWidth="1"/>
    <col min="5902" max="5903" width="30.7109375" style="28" customWidth="1"/>
    <col min="5904" max="5904" width="4" style="28" customWidth="1"/>
    <col min="5905" max="5905" width="30.7109375" style="28" customWidth="1"/>
    <col min="5906" max="5907" width="3.85546875" style="28" customWidth="1"/>
    <col min="5908" max="5908" width="30.7109375" style="28" customWidth="1"/>
    <col min="5909" max="6143" width="9.140625" style="28"/>
    <col min="6144" max="6145" width="2.7109375" style="28" customWidth="1"/>
    <col min="6146" max="6146" width="30.7109375" style="28" customWidth="1"/>
    <col min="6147" max="6148" width="3" style="28" customWidth="1"/>
    <col min="6149" max="6149" width="30.7109375" style="28" customWidth="1"/>
    <col min="6150" max="6150" width="3" style="28" customWidth="1"/>
    <col min="6151" max="6151" width="2.7109375" style="28" customWidth="1"/>
    <col min="6152" max="6152" width="30.7109375" style="28" customWidth="1"/>
    <col min="6153" max="6153" width="4.140625" style="28" customWidth="1"/>
    <col min="6154" max="6154" width="30.7109375" style="28" customWidth="1"/>
    <col min="6155" max="6155" width="3" style="28" customWidth="1"/>
    <col min="6156" max="6156" width="30.7109375" style="28" customWidth="1"/>
    <col min="6157" max="6157" width="5.28515625" style="28" customWidth="1"/>
    <col min="6158" max="6159" width="30.7109375" style="28" customWidth="1"/>
    <col min="6160" max="6160" width="4" style="28" customWidth="1"/>
    <col min="6161" max="6161" width="30.7109375" style="28" customWidth="1"/>
    <col min="6162" max="6163" width="3.85546875" style="28" customWidth="1"/>
    <col min="6164" max="6164" width="30.7109375" style="28" customWidth="1"/>
    <col min="6165" max="6399" width="9.140625" style="28"/>
    <col min="6400" max="6401" width="2.7109375" style="28" customWidth="1"/>
    <col min="6402" max="6402" width="30.7109375" style="28" customWidth="1"/>
    <col min="6403" max="6404" width="3" style="28" customWidth="1"/>
    <col min="6405" max="6405" width="30.7109375" style="28" customWidth="1"/>
    <col min="6406" max="6406" width="3" style="28" customWidth="1"/>
    <col min="6407" max="6407" width="2.7109375" style="28" customWidth="1"/>
    <col min="6408" max="6408" width="30.7109375" style="28" customWidth="1"/>
    <col min="6409" max="6409" width="4.140625" style="28" customWidth="1"/>
    <col min="6410" max="6410" width="30.7109375" style="28" customWidth="1"/>
    <col min="6411" max="6411" width="3" style="28" customWidth="1"/>
    <col min="6412" max="6412" width="30.7109375" style="28" customWidth="1"/>
    <col min="6413" max="6413" width="5.28515625" style="28" customWidth="1"/>
    <col min="6414" max="6415" width="30.7109375" style="28" customWidth="1"/>
    <col min="6416" max="6416" width="4" style="28" customWidth="1"/>
    <col min="6417" max="6417" width="30.7109375" style="28" customWidth="1"/>
    <col min="6418" max="6419" width="3.85546875" style="28" customWidth="1"/>
    <col min="6420" max="6420" width="30.7109375" style="28" customWidth="1"/>
    <col min="6421" max="6655" width="9.140625" style="28"/>
    <col min="6656" max="6657" width="2.7109375" style="28" customWidth="1"/>
    <col min="6658" max="6658" width="30.7109375" style="28" customWidth="1"/>
    <col min="6659" max="6660" width="3" style="28" customWidth="1"/>
    <col min="6661" max="6661" width="30.7109375" style="28" customWidth="1"/>
    <col min="6662" max="6662" width="3" style="28" customWidth="1"/>
    <col min="6663" max="6663" width="2.7109375" style="28" customWidth="1"/>
    <col min="6664" max="6664" width="30.7109375" style="28" customWidth="1"/>
    <col min="6665" max="6665" width="4.140625" style="28" customWidth="1"/>
    <col min="6666" max="6666" width="30.7109375" style="28" customWidth="1"/>
    <col min="6667" max="6667" width="3" style="28" customWidth="1"/>
    <col min="6668" max="6668" width="30.7109375" style="28" customWidth="1"/>
    <col min="6669" max="6669" width="5.28515625" style="28" customWidth="1"/>
    <col min="6670" max="6671" width="30.7109375" style="28" customWidth="1"/>
    <col min="6672" max="6672" width="4" style="28" customWidth="1"/>
    <col min="6673" max="6673" width="30.7109375" style="28" customWidth="1"/>
    <col min="6674" max="6675" width="3.85546875" style="28" customWidth="1"/>
    <col min="6676" max="6676" width="30.7109375" style="28" customWidth="1"/>
    <col min="6677" max="6911" width="9.140625" style="28"/>
    <col min="6912" max="6913" width="2.7109375" style="28" customWidth="1"/>
    <col min="6914" max="6914" width="30.7109375" style="28" customWidth="1"/>
    <col min="6915" max="6916" width="3" style="28" customWidth="1"/>
    <col min="6917" max="6917" width="30.7109375" style="28" customWidth="1"/>
    <col min="6918" max="6918" width="3" style="28" customWidth="1"/>
    <col min="6919" max="6919" width="2.7109375" style="28" customWidth="1"/>
    <col min="6920" max="6920" width="30.7109375" style="28" customWidth="1"/>
    <col min="6921" max="6921" width="4.140625" style="28" customWidth="1"/>
    <col min="6922" max="6922" width="30.7109375" style="28" customWidth="1"/>
    <col min="6923" max="6923" width="3" style="28" customWidth="1"/>
    <col min="6924" max="6924" width="30.7109375" style="28" customWidth="1"/>
    <col min="6925" max="6925" width="5.28515625" style="28" customWidth="1"/>
    <col min="6926" max="6927" width="30.7109375" style="28" customWidth="1"/>
    <col min="6928" max="6928" width="4" style="28" customWidth="1"/>
    <col min="6929" max="6929" width="30.7109375" style="28" customWidth="1"/>
    <col min="6930" max="6931" width="3.85546875" style="28" customWidth="1"/>
    <col min="6932" max="6932" width="30.7109375" style="28" customWidth="1"/>
    <col min="6933" max="7167" width="9.140625" style="28"/>
    <col min="7168" max="7169" width="2.7109375" style="28" customWidth="1"/>
    <col min="7170" max="7170" width="30.7109375" style="28" customWidth="1"/>
    <col min="7171" max="7172" width="3" style="28" customWidth="1"/>
    <col min="7173" max="7173" width="30.7109375" style="28" customWidth="1"/>
    <col min="7174" max="7174" width="3" style="28" customWidth="1"/>
    <col min="7175" max="7175" width="2.7109375" style="28" customWidth="1"/>
    <col min="7176" max="7176" width="30.7109375" style="28" customWidth="1"/>
    <col min="7177" max="7177" width="4.140625" style="28" customWidth="1"/>
    <col min="7178" max="7178" width="30.7109375" style="28" customWidth="1"/>
    <col min="7179" max="7179" width="3" style="28" customWidth="1"/>
    <col min="7180" max="7180" width="30.7109375" style="28" customWidth="1"/>
    <col min="7181" max="7181" width="5.28515625" style="28" customWidth="1"/>
    <col min="7182" max="7183" width="30.7109375" style="28" customWidth="1"/>
    <col min="7184" max="7184" width="4" style="28" customWidth="1"/>
    <col min="7185" max="7185" width="30.7109375" style="28" customWidth="1"/>
    <col min="7186" max="7187" width="3.85546875" style="28" customWidth="1"/>
    <col min="7188" max="7188" width="30.7109375" style="28" customWidth="1"/>
    <col min="7189" max="7423" width="9.140625" style="28"/>
    <col min="7424" max="7425" width="2.7109375" style="28" customWidth="1"/>
    <col min="7426" max="7426" width="30.7109375" style="28" customWidth="1"/>
    <col min="7427" max="7428" width="3" style="28" customWidth="1"/>
    <col min="7429" max="7429" width="30.7109375" style="28" customWidth="1"/>
    <col min="7430" max="7430" width="3" style="28" customWidth="1"/>
    <col min="7431" max="7431" width="2.7109375" style="28" customWidth="1"/>
    <col min="7432" max="7432" width="30.7109375" style="28" customWidth="1"/>
    <col min="7433" max="7433" width="4.140625" style="28" customWidth="1"/>
    <col min="7434" max="7434" width="30.7109375" style="28" customWidth="1"/>
    <col min="7435" max="7435" width="3" style="28" customWidth="1"/>
    <col min="7436" max="7436" width="30.7109375" style="28" customWidth="1"/>
    <col min="7437" max="7437" width="5.28515625" style="28" customWidth="1"/>
    <col min="7438" max="7439" width="30.7109375" style="28" customWidth="1"/>
    <col min="7440" max="7440" width="4" style="28" customWidth="1"/>
    <col min="7441" max="7441" width="30.7109375" style="28" customWidth="1"/>
    <col min="7442" max="7443" width="3.85546875" style="28" customWidth="1"/>
    <col min="7444" max="7444" width="30.7109375" style="28" customWidth="1"/>
    <col min="7445" max="7679" width="9.140625" style="28"/>
    <col min="7680" max="7681" width="2.7109375" style="28" customWidth="1"/>
    <col min="7682" max="7682" width="30.7109375" style="28" customWidth="1"/>
    <col min="7683" max="7684" width="3" style="28" customWidth="1"/>
    <col min="7685" max="7685" width="30.7109375" style="28" customWidth="1"/>
    <col min="7686" max="7686" width="3" style="28" customWidth="1"/>
    <col min="7687" max="7687" width="2.7109375" style="28" customWidth="1"/>
    <col min="7688" max="7688" width="30.7109375" style="28" customWidth="1"/>
    <col min="7689" max="7689" width="4.140625" style="28" customWidth="1"/>
    <col min="7690" max="7690" width="30.7109375" style="28" customWidth="1"/>
    <col min="7691" max="7691" width="3" style="28" customWidth="1"/>
    <col min="7692" max="7692" width="30.7109375" style="28" customWidth="1"/>
    <col min="7693" max="7693" width="5.28515625" style="28" customWidth="1"/>
    <col min="7694" max="7695" width="30.7109375" style="28" customWidth="1"/>
    <col min="7696" max="7696" width="4" style="28" customWidth="1"/>
    <col min="7697" max="7697" width="30.7109375" style="28" customWidth="1"/>
    <col min="7698" max="7699" width="3.85546875" style="28" customWidth="1"/>
    <col min="7700" max="7700" width="30.7109375" style="28" customWidth="1"/>
    <col min="7701" max="7935" width="9.140625" style="28"/>
    <col min="7936" max="7937" width="2.7109375" style="28" customWidth="1"/>
    <col min="7938" max="7938" width="30.7109375" style="28" customWidth="1"/>
    <col min="7939" max="7940" width="3" style="28" customWidth="1"/>
    <col min="7941" max="7941" width="30.7109375" style="28" customWidth="1"/>
    <col min="7942" max="7942" width="3" style="28" customWidth="1"/>
    <col min="7943" max="7943" width="2.7109375" style="28" customWidth="1"/>
    <col min="7944" max="7944" width="30.7109375" style="28" customWidth="1"/>
    <col min="7945" max="7945" width="4.140625" style="28" customWidth="1"/>
    <col min="7946" max="7946" width="30.7109375" style="28" customWidth="1"/>
    <col min="7947" max="7947" width="3" style="28" customWidth="1"/>
    <col min="7948" max="7948" width="30.7109375" style="28" customWidth="1"/>
    <col min="7949" max="7949" width="5.28515625" style="28" customWidth="1"/>
    <col min="7950" max="7951" width="30.7109375" style="28" customWidth="1"/>
    <col min="7952" max="7952" width="4" style="28" customWidth="1"/>
    <col min="7953" max="7953" width="30.7109375" style="28" customWidth="1"/>
    <col min="7954" max="7955" width="3.85546875" style="28" customWidth="1"/>
    <col min="7956" max="7956" width="30.7109375" style="28" customWidth="1"/>
    <col min="7957" max="8191" width="9.140625" style="28"/>
    <col min="8192" max="8193" width="2.7109375" style="28" customWidth="1"/>
    <col min="8194" max="8194" width="30.7109375" style="28" customWidth="1"/>
    <col min="8195" max="8196" width="3" style="28" customWidth="1"/>
    <col min="8197" max="8197" width="30.7109375" style="28" customWidth="1"/>
    <col min="8198" max="8198" width="3" style="28" customWidth="1"/>
    <col min="8199" max="8199" width="2.7109375" style="28" customWidth="1"/>
    <col min="8200" max="8200" width="30.7109375" style="28" customWidth="1"/>
    <col min="8201" max="8201" width="4.140625" style="28" customWidth="1"/>
    <col min="8202" max="8202" width="30.7109375" style="28" customWidth="1"/>
    <col min="8203" max="8203" width="3" style="28" customWidth="1"/>
    <col min="8204" max="8204" width="30.7109375" style="28" customWidth="1"/>
    <col min="8205" max="8205" width="5.28515625" style="28" customWidth="1"/>
    <col min="8206" max="8207" width="30.7109375" style="28" customWidth="1"/>
    <col min="8208" max="8208" width="4" style="28" customWidth="1"/>
    <col min="8209" max="8209" width="30.7109375" style="28" customWidth="1"/>
    <col min="8210" max="8211" width="3.85546875" style="28" customWidth="1"/>
    <col min="8212" max="8212" width="30.7109375" style="28" customWidth="1"/>
    <col min="8213" max="8447" width="9.140625" style="28"/>
    <col min="8448" max="8449" width="2.7109375" style="28" customWidth="1"/>
    <col min="8450" max="8450" width="30.7109375" style="28" customWidth="1"/>
    <col min="8451" max="8452" width="3" style="28" customWidth="1"/>
    <col min="8453" max="8453" width="30.7109375" style="28" customWidth="1"/>
    <col min="8454" max="8454" width="3" style="28" customWidth="1"/>
    <col min="8455" max="8455" width="2.7109375" style="28" customWidth="1"/>
    <col min="8456" max="8456" width="30.7109375" style="28" customWidth="1"/>
    <col min="8457" max="8457" width="4.140625" style="28" customWidth="1"/>
    <col min="8458" max="8458" width="30.7109375" style="28" customWidth="1"/>
    <col min="8459" max="8459" width="3" style="28" customWidth="1"/>
    <col min="8460" max="8460" width="30.7109375" style="28" customWidth="1"/>
    <col min="8461" max="8461" width="5.28515625" style="28" customWidth="1"/>
    <col min="8462" max="8463" width="30.7109375" style="28" customWidth="1"/>
    <col min="8464" max="8464" width="4" style="28" customWidth="1"/>
    <col min="8465" max="8465" width="30.7109375" style="28" customWidth="1"/>
    <col min="8466" max="8467" width="3.85546875" style="28" customWidth="1"/>
    <col min="8468" max="8468" width="30.7109375" style="28" customWidth="1"/>
    <col min="8469" max="8703" width="9.140625" style="28"/>
    <col min="8704" max="8705" width="2.7109375" style="28" customWidth="1"/>
    <col min="8706" max="8706" width="30.7109375" style="28" customWidth="1"/>
    <col min="8707" max="8708" width="3" style="28" customWidth="1"/>
    <col min="8709" max="8709" width="30.7109375" style="28" customWidth="1"/>
    <col min="8710" max="8710" width="3" style="28" customWidth="1"/>
    <col min="8711" max="8711" width="2.7109375" style="28" customWidth="1"/>
    <col min="8712" max="8712" width="30.7109375" style="28" customWidth="1"/>
    <col min="8713" max="8713" width="4.140625" style="28" customWidth="1"/>
    <col min="8714" max="8714" width="30.7109375" style="28" customWidth="1"/>
    <col min="8715" max="8715" width="3" style="28" customWidth="1"/>
    <col min="8716" max="8716" width="30.7109375" style="28" customWidth="1"/>
    <col min="8717" max="8717" width="5.28515625" style="28" customWidth="1"/>
    <col min="8718" max="8719" width="30.7109375" style="28" customWidth="1"/>
    <col min="8720" max="8720" width="4" style="28" customWidth="1"/>
    <col min="8721" max="8721" width="30.7109375" style="28" customWidth="1"/>
    <col min="8722" max="8723" width="3.85546875" style="28" customWidth="1"/>
    <col min="8724" max="8724" width="30.7109375" style="28" customWidth="1"/>
    <col min="8725" max="8959" width="9.140625" style="28"/>
    <col min="8960" max="8961" width="2.7109375" style="28" customWidth="1"/>
    <col min="8962" max="8962" width="30.7109375" style="28" customWidth="1"/>
    <col min="8963" max="8964" width="3" style="28" customWidth="1"/>
    <col min="8965" max="8965" width="30.7109375" style="28" customWidth="1"/>
    <col min="8966" max="8966" width="3" style="28" customWidth="1"/>
    <col min="8967" max="8967" width="2.7109375" style="28" customWidth="1"/>
    <col min="8968" max="8968" width="30.7109375" style="28" customWidth="1"/>
    <col min="8969" max="8969" width="4.140625" style="28" customWidth="1"/>
    <col min="8970" max="8970" width="30.7109375" style="28" customWidth="1"/>
    <col min="8971" max="8971" width="3" style="28" customWidth="1"/>
    <col min="8972" max="8972" width="30.7109375" style="28" customWidth="1"/>
    <col min="8973" max="8973" width="5.28515625" style="28" customWidth="1"/>
    <col min="8974" max="8975" width="30.7109375" style="28" customWidth="1"/>
    <col min="8976" max="8976" width="4" style="28" customWidth="1"/>
    <col min="8977" max="8977" width="30.7109375" style="28" customWidth="1"/>
    <col min="8978" max="8979" width="3.85546875" style="28" customWidth="1"/>
    <col min="8980" max="8980" width="30.7109375" style="28" customWidth="1"/>
    <col min="8981" max="9215" width="9.140625" style="28"/>
    <col min="9216" max="9217" width="2.7109375" style="28" customWidth="1"/>
    <col min="9218" max="9218" width="30.7109375" style="28" customWidth="1"/>
    <col min="9219" max="9220" width="3" style="28" customWidth="1"/>
    <col min="9221" max="9221" width="30.7109375" style="28" customWidth="1"/>
    <col min="9222" max="9222" width="3" style="28" customWidth="1"/>
    <col min="9223" max="9223" width="2.7109375" style="28" customWidth="1"/>
    <col min="9224" max="9224" width="30.7109375" style="28" customWidth="1"/>
    <col min="9225" max="9225" width="4.140625" style="28" customWidth="1"/>
    <col min="9226" max="9226" width="30.7109375" style="28" customWidth="1"/>
    <col min="9227" max="9227" width="3" style="28" customWidth="1"/>
    <col min="9228" max="9228" width="30.7109375" style="28" customWidth="1"/>
    <col min="9229" max="9229" width="5.28515625" style="28" customWidth="1"/>
    <col min="9230" max="9231" width="30.7109375" style="28" customWidth="1"/>
    <col min="9232" max="9232" width="4" style="28" customWidth="1"/>
    <col min="9233" max="9233" width="30.7109375" style="28" customWidth="1"/>
    <col min="9234" max="9235" width="3.85546875" style="28" customWidth="1"/>
    <col min="9236" max="9236" width="30.7109375" style="28" customWidth="1"/>
    <col min="9237" max="9471" width="9.140625" style="28"/>
    <col min="9472" max="9473" width="2.7109375" style="28" customWidth="1"/>
    <col min="9474" max="9474" width="30.7109375" style="28" customWidth="1"/>
    <col min="9475" max="9476" width="3" style="28" customWidth="1"/>
    <col min="9477" max="9477" width="30.7109375" style="28" customWidth="1"/>
    <col min="9478" max="9478" width="3" style="28" customWidth="1"/>
    <col min="9479" max="9479" width="2.7109375" style="28" customWidth="1"/>
    <col min="9480" max="9480" width="30.7109375" style="28" customWidth="1"/>
    <col min="9481" max="9481" width="4.140625" style="28" customWidth="1"/>
    <col min="9482" max="9482" width="30.7109375" style="28" customWidth="1"/>
    <col min="9483" max="9483" width="3" style="28" customWidth="1"/>
    <col min="9484" max="9484" width="30.7109375" style="28" customWidth="1"/>
    <col min="9485" max="9485" width="5.28515625" style="28" customWidth="1"/>
    <col min="9486" max="9487" width="30.7109375" style="28" customWidth="1"/>
    <col min="9488" max="9488" width="4" style="28" customWidth="1"/>
    <col min="9489" max="9489" width="30.7109375" style="28" customWidth="1"/>
    <col min="9490" max="9491" width="3.85546875" style="28" customWidth="1"/>
    <col min="9492" max="9492" width="30.7109375" style="28" customWidth="1"/>
    <col min="9493" max="9727" width="9.140625" style="28"/>
    <col min="9728" max="9729" width="2.7109375" style="28" customWidth="1"/>
    <col min="9730" max="9730" width="30.7109375" style="28" customWidth="1"/>
    <col min="9731" max="9732" width="3" style="28" customWidth="1"/>
    <col min="9733" max="9733" width="30.7109375" style="28" customWidth="1"/>
    <col min="9734" max="9734" width="3" style="28" customWidth="1"/>
    <col min="9735" max="9735" width="2.7109375" style="28" customWidth="1"/>
    <col min="9736" max="9736" width="30.7109375" style="28" customWidth="1"/>
    <col min="9737" max="9737" width="4.140625" style="28" customWidth="1"/>
    <col min="9738" max="9738" width="30.7109375" style="28" customWidth="1"/>
    <col min="9739" max="9739" width="3" style="28" customWidth="1"/>
    <col min="9740" max="9740" width="30.7109375" style="28" customWidth="1"/>
    <col min="9741" max="9741" width="5.28515625" style="28" customWidth="1"/>
    <col min="9742" max="9743" width="30.7109375" style="28" customWidth="1"/>
    <col min="9744" max="9744" width="4" style="28" customWidth="1"/>
    <col min="9745" max="9745" width="30.7109375" style="28" customWidth="1"/>
    <col min="9746" max="9747" width="3.85546875" style="28" customWidth="1"/>
    <col min="9748" max="9748" width="30.7109375" style="28" customWidth="1"/>
    <col min="9749" max="9983" width="9.140625" style="28"/>
    <col min="9984" max="9985" width="2.7109375" style="28" customWidth="1"/>
    <col min="9986" max="9986" width="30.7109375" style="28" customWidth="1"/>
    <col min="9987" max="9988" width="3" style="28" customWidth="1"/>
    <col min="9989" max="9989" width="30.7109375" style="28" customWidth="1"/>
    <col min="9990" max="9990" width="3" style="28" customWidth="1"/>
    <col min="9991" max="9991" width="2.7109375" style="28" customWidth="1"/>
    <col min="9992" max="9992" width="30.7109375" style="28" customWidth="1"/>
    <col min="9993" max="9993" width="4.140625" style="28" customWidth="1"/>
    <col min="9994" max="9994" width="30.7109375" style="28" customWidth="1"/>
    <col min="9995" max="9995" width="3" style="28" customWidth="1"/>
    <col min="9996" max="9996" width="30.7109375" style="28" customWidth="1"/>
    <col min="9997" max="9997" width="5.28515625" style="28" customWidth="1"/>
    <col min="9998" max="9999" width="30.7109375" style="28" customWidth="1"/>
    <col min="10000" max="10000" width="4" style="28" customWidth="1"/>
    <col min="10001" max="10001" width="30.7109375" style="28" customWidth="1"/>
    <col min="10002" max="10003" width="3.85546875" style="28" customWidth="1"/>
    <col min="10004" max="10004" width="30.7109375" style="28" customWidth="1"/>
    <col min="10005" max="10239" width="9.140625" style="28"/>
    <col min="10240" max="10241" width="2.7109375" style="28" customWidth="1"/>
    <col min="10242" max="10242" width="30.7109375" style="28" customWidth="1"/>
    <col min="10243" max="10244" width="3" style="28" customWidth="1"/>
    <col min="10245" max="10245" width="30.7109375" style="28" customWidth="1"/>
    <col min="10246" max="10246" width="3" style="28" customWidth="1"/>
    <col min="10247" max="10247" width="2.7109375" style="28" customWidth="1"/>
    <col min="10248" max="10248" width="30.7109375" style="28" customWidth="1"/>
    <col min="10249" max="10249" width="4.140625" style="28" customWidth="1"/>
    <col min="10250" max="10250" width="30.7109375" style="28" customWidth="1"/>
    <col min="10251" max="10251" width="3" style="28" customWidth="1"/>
    <col min="10252" max="10252" width="30.7109375" style="28" customWidth="1"/>
    <col min="10253" max="10253" width="5.28515625" style="28" customWidth="1"/>
    <col min="10254" max="10255" width="30.7109375" style="28" customWidth="1"/>
    <col min="10256" max="10256" width="4" style="28" customWidth="1"/>
    <col min="10257" max="10257" width="30.7109375" style="28" customWidth="1"/>
    <col min="10258" max="10259" width="3.85546875" style="28" customWidth="1"/>
    <col min="10260" max="10260" width="30.7109375" style="28" customWidth="1"/>
    <col min="10261" max="10495" width="9.140625" style="28"/>
    <col min="10496" max="10497" width="2.7109375" style="28" customWidth="1"/>
    <col min="10498" max="10498" width="30.7109375" style="28" customWidth="1"/>
    <col min="10499" max="10500" width="3" style="28" customWidth="1"/>
    <col min="10501" max="10501" width="30.7109375" style="28" customWidth="1"/>
    <col min="10502" max="10502" width="3" style="28" customWidth="1"/>
    <col min="10503" max="10503" width="2.7109375" style="28" customWidth="1"/>
    <col min="10504" max="10504" width="30.7109375" style="28" customWidth="1"/>
    <col min="10505" max="10505" width="4.140625" style="28" customWidth="1"/>
    <col min="10506" max="10506" width="30.7109375" style="28" customWidth="1"/>
    <col min="10507" max="10507" width="3" style="28" customWidth="1"/>
    <col min="10508" max="10508" width="30.7109375" style="28" customWidth="1"/>
    <col min="10509" max="10509" width="5.28515625" style="28" customWidth="1"/>
    <col min="10510" max="10511" width="30.7109375" style="28" customWidth="1"/>
    <col min="10512" max="10512" width="4" style="28" customWidth="1"/>
    <col min="10513" max="10513" width="30.7109375" style="28" customWidth="1"/>
    <col min="10514" max="10515" width="3.85546875" style="28" customWidth="1"/>
    <col min="10516" max="10516" width="30.7109375" style="28" customWidth="1"/>
    <col min="10517" max="10751" width="9.140625" style="28"/>
    <col min="10752" max="10753" width="2.7109375" style="28" customWidth="1"/>
    <col min="10754" max="10754" width="30.7109375" style="28" customWidth="1"/>
    <col min="10755" max="10756" width="3" style="28" customWidth="1"/>
    <col min="10757" max="10757" width="30.7109375" style="28" customWidth="1"/>
    <col min="10758" max="10758" width="3" style="28" customWidth="1"/>
    <col min="10759" max="10759" width="2.7109375" style="28" customWidth="1"/>
    <col min="10760" max="10760" width="30.7109375" style="28" customWidth="1"/>
    <col min="10761" max="10761" width="4.140625" style="28" customWidth="1"/>
    <col min="10762" max="10762" width="30.7109375" style="28" customWidth="1"/>
    <col min="10763" max="10763" width="3" style="28" customWidth="1"/>
    <col min="10764" max="10764" width="30.7109375" style="28" customWidth="1"/>
    <col min="10765" max="10765" width="5.28515625" style="28" customWidth="1"/>
    <col min="10766" max="10767" width="30.7109375" style="28" customWidth="1"/>
    <col min="10768" max="10768" width="4" style="28" customWidth="1"/>
    <col min="10769" max="10769" width="30.7109375" style="28" customWidth="1"/>
    <col min="10770" max="10771" width="3.85546875" style="28" customWidth="1"/>
    <col min="10772" max="10772" width="30.7109375" style="28" customWidth="1"/>
    <col min="10773" max="11007" width="9.140625" style="28"/>
    <col min="11008" max="11009" width="2.7109375" style="28" customWidth="1"/>
    <col min="11010" max="11010" width="30.7109375" style="28" customWidth="1"/>
    <col min="11011" max="11012" width="3" style="28" customWidth="1"/>
    <col min="11013" max="11013" width="30.7109375" style="28" customWidth="1"/>
    <col min="11014" max="11014" width="3" style="28" customWidth="1"/>
    <col min="11015" max="11015" width="2.7109375" style="28" customWidth="1"/>
    <col min="11016" max="11016" width="30.7109375" style="28" customWidth="1"/>
    <col min="11017" max="11017" width="4.140625" style="28" customWidth="1"/>
    <col min="11018" max="11018" width="30.7109375" style="28" customWidth="1"/>
    <col min="11019" max="11019" width="3" style="28" customWidth="1"/>
    <col min="11020" max="11020" width="30.7109375" style="28" customWidth="1"/>
    <col min="11021" max="11021" width="5.28515625" style="28" customWidth="1"/>
    <col min="11022" max="11023" width="30.7109375" style="28" customWidth="1"/>
    <col min="11024" max="11024" width="4" style="28" customWidth="1"/>
    <col min="11025" max="11025" width="30.7109375" style="28" customWidth="1"/>
    <col min="11026" max="11027" width="3.85546875" style="28" customWidth="1"/>
    <col min="11028" max="11028" width="30.7109375" style="28" customWidth="1"/>
    <col min="11029" max="11263" width="9.140625" style="28"/>
    <col min="11264" max="11265" width="2.7109375" style="28" customWidth="1"/>
    <col min="11266" max="11266" width="30.7109375" style="28" customWidth="1"/>
    <col min="11267" max="11268" width="3" style="28" customWidth="1"/>
    <col min="11269" max="11269" width="30.7109375" style="28" customWidth="1"/>
    <col min="11270" max="11270" width="3" style="28" customWidth="1"/>
    <col min="11271" max="11271" width="2.7109375" style="28" customWidth="1"/>
    <col min="11272" max="11272" width="30.7109375" style="28" customWidth="1"/>
    <col min="11273" max="11273" width="4.140625" style="28" customWidth="1"/>
    <col min="11274" max="11274" width="30.7109375" style="28" customWidth="1"/>
    <col min="11275" max="11275" width="3" style="28" customWidth="1"/>
    <col min="11276" max="11276" width="30.7109375" style="28" customWidth="1"/>
    <col min="11277" max="11277" width="5.28515625" style="28" customWidth="1"/>
    <col min="11278" max="11279" width="30.7109375" style="28" customWidth="1"/>
    <col min="11280" max="11280" width="4" style="28" customWidth="1"/>
    <col min="11281" max="11281" width="30.7109375" style="28" customWidth="1"/>
    <col min="11282" max="11283" width="3.85546875" style="28" customWidth="1"/>
    <col min="11284" max="11284" width="30.7109375" style="28" customWidth="1"/>
    <col min="11285" max="11519" width="9.140625" style="28"/>
    <col min="11520" max="11521" width="2.7109375" style="28" customWidth="1"/>
    <col min="11522" max="11522" width="30.7109375" style="28" customWidth="1"/>
    <col min="11523" max="11524" width="3" style="28" customWidth="1"/>
    <col min="11525" max="11525" width="30.7109375" style="28" customWidth="1"/>
    <col min="11526" max="11526" width="3" style="28" customWidth="1"/>
    <col min="11527" max="11527" width="2.7109375" style="28" customWidth="1"/>
    <col min="11528" max="11528" width="30.7109375" style="28" customWidth="1"/>
    <col min="11529" max="11529" width="4.140625" style="28" customWidth="1"/>
    <col min="11530" max="11530" width="30.7109375" style="28" customWidth="1"/>
    <col min="11531" max="11531" width="3" style="28" customWidth="1"/>
    <col min="11532" max="11532" width="30.7109375" style="28" customWidth="1"/>
    <col min="11533" max="11533" width="5.28515625" style="28" customWidth="1"/>
    <col min="11534" max="11535" width="30.7109375" style="28" customWidth="1"/>
    <col min="11536" max="11536" width="4" style="28" customWidth="1"/>
    <col min="11537" max="11537" width="30.7109375" style="28" customWidth="1"/>
    <col min="11538" max="11539" width="3.85546875" style="28" customWidth="1"/>
    <col min="11540" max="11540" width="30.7109375" style="28" customWidth="1"/>
    <col min="11541" max="11775" width="9.140625" style="28"/>
    <col min="11776" max="11777" width="2.7109375" style="28" customWidth="1"/>
    <col min="11778" max="11778" width="30.7109375" style="28" customWidth="1"/>
    <col min="11779" max="11780" width="3" style="28" customWidth="1"/>
    <col min="11781" max="11781" width="30.7109375" style="28" customWidth="1"/>
    <col min="11782" max="11782" width="3" style="28" customWidth="1"/>
    <col min="11783" max="11783" width="2.7109375" style="28" customWidth="1"/>
    <col min="11784" max="11784" width="30.7109375" style="28" customWidth="1"/>
    <col min="11785" max="11785" width="4.140625" style="28" customWidth="1"/>
    <col min="11786" max="11786" width="30.7109375" style="28" customWidth="1"/>
    <col min="11787" max="11787" width="3" style="28" customWidth="1"/>
    <col min="11788" max="11788" width="30.7109375" style="28" customWidth="1"/>
    <col min="11789" max="11789" width="5.28515625" style="28" customWidth="1"/>
    <col min="11790" max="11791" width="30.7109375" style="28" customWidth="1"/>
    <col min="11792" max="11792" width="4" style="28" customWidth="1"/>
    <col min="11793" max="11793" width="30.7109375" style="28" customWidth="1"/>
    <col min="11794" max="11795" width="3.85546875" style="28" customWidth="1"/>
    <col min="11796" max="11796" width="30.7109375" style="28" customWidth="1"/>
    <col min="11797" max="12031" width="9.140625" style="28"/>
    <col min="12032" max="12033" width="2.7109375" style="28" customWidth="1"/>
    <col min="12034" max="12034" width="30.7109375" style="28" customWidth="1"/>
    <col min="12035" max="12036" width="3" style="28" customWidth="1"/>
    <col min="12037" max="12037" width="30.7109375" style="28" customWidth="1"/>
    <col min="12038" max="12038" width="3" style="28" customWidth="1"/>
    <col min="12039" max="12039" width="2.7109375" style="28" customWidth="1"/>
    <col min="12040" max="12040" width="30.7109375" style="28" customWidth="1"/>
    <col min="12041" max="12041" width="4.140625" style="28" customWidth="1"/>
    <col min="12042" max="12042" width="30.7109375" style="28" customWidth="1"/>
    <col min="12043" max="12043" width="3" style="28" customWidth="1"/>
    <col min="12044" max="12044" width="30.7109375" style="28" customWidth="1"/>
    <col min="12045" max="12045" width="5.28515625" style="28" customWidth="1"/>
    <col min="12046" max="12047" width="30.7109375" style="28" customWidth="1"/>
    <col min="12048" max="12048" width="4" style="28" customWidth="1"/>
    <col min="12049" max="12049" width="30.7109375" style="28" customWidth="1"/>
    <col min="12050" max="12051" width="3.85546875" style="28" customWidth="1"/>
    <col min="12052" max="12052" width="30.7109375" style="28" customWidth="1"/>
    <col min="12053" max="12287" width="9.140625" style="28"/>
    <col min="12288" max="12289" width="2.7109375" style="28" customWidth="1"/>
    <col min="12290" max="12290" width="30.7109375" style="28" customWidth="1"/>
    <col min="12291" max="12292" width="3" style="28" customWidth="1"/>
    <col min="12293" max="12293" width="30.7109375" style="28" customWidth="1"/>
    <col min="12294" max="12294" width="3" style="28" customWidth="1"/>
    <col min="12295" max="12295" width="2.7109375" style="28" customWidth="1"/>
    <col min="12296" max="12296" width="30.7109375" style="28" customWidth="1"/>
    <col min="12297" max="12297" width="4.140625" style="28" customWidth="1"/>
    <col min="12298" max="12298" width="30.7109375" style="28" customWidth="1"/>
    <col min="12299" max="12299" width="3" style="28" customWidth="1"/>
    <col min="12300" max="12300" width="30.7109375" style="28" customWidth="1"/>
    <col min="12301" max="12301" width="5.28515625" style="28" customWidth="1"/>
    <col min="12302" max="12303" width="30.7109375" style="28" customWidth="1"/>
    <col min="12304" max="12304" width="4" style="28" customWidth="1"/>
    <col min="12305" max="12305" width="30.7109375" style="28" customWidth="1"/>
    <col min="12306" max="12307" width="3.85546875" style="28" customWidth="1"/>
    <col min="12308" max="12308" width="30.7109375" style="28" customWidth="1"/>
    <col min="12309" max="12543" width="9.140625" style="28"/>
    <col min="12544" max="12545" width="2.7109375" style="28" customWidth="1"/>
    <col min="12546" max="12546" width="30.7109375" style="28" customWidth="1"/>
    <col min="12547" max="12548" width="3" style="28" customWidth="1"/>
    <col min="12549" max="12549" width="30.7109375" style="28" customWidth="1"/>
    <col min="12550" max="12550" width="3" style="28" customWidth="1"/>
    <col min="12551" max="12551" width="2.7109375" style="28" customWidth="1"/>
    <col min="12552" max="12552" width="30.7109375" style="28" customWidth="1"/>
    <col min="12553" max="12553" width="4.140625" style="28" customWidth="1"/>
    <col min="12554" max="12554" width="30.7109375" style="28" customWidth="1"/>
    <col min="12555" max="12555" width="3" style="28" customWidth="1"/>
    <col min="12556" max="12556" width="30.7109375" style="28" customWidth="1"/>
    <col min="12557" max="12557" width="5.28515625" style="28" customWidth="1"/>
    <col min="12558" max="12559" width="30.7109375" style="28" customWidth="1"/>
    <col min="12560" max="12560" width="4" style="28" customWidth="1"/>
    <col min="12561" max="12561" width="30.7109375" style="28" customWidth="1"/>
    <col min="12562" max="12563" width="3.85546875" style="28" customWidth="1"/>
    <col min="12564" max="12564" width="30.7109375" style="28" customWidth="1"/>
    <col min="12565" max="12799" width="9.140625" style="28"/>
    <col min="12800" max="12801" width="2.7109375" style="28" customWidth="1"/>
    <col min="12802" max="12802" width="30.7109375" style="28" customWidth="1"/>
    <col min="12803" max="12804" width="3" style="28" customWidth="1"/>
    <col min="12805" max="12805" width="30.7109375" style="28" customWidth="1"/>
    <col min="12806" max="12806" width="3" style="28" customWidth="1"/>
    <col min="12807" max="12807" width="2.7109375" style="28" customWidth="1"/>
    <col min="12808" max="12808" width="30.7109375" style="28" customWidth="1"/>
    <col min="12809" max="12809" width="4.140625" style="28" customWidth="1"/>
    <col min="12810" max="12810" width="30.7109375" style="28" customWidth="1"/>
    <col min="12811" max="12811" width="3" style="28" customWidth="1"/>
    <col min="12812" max="12812" width="30.7109375" style="28" customWidth="1"/>
    <col min="12813" max="12813" width="5.28515625" style="28" customWidth="1"/>
    <col min="12814" max="12815" width="30.7109375" style="28" customWidth="1"/>
    <col min="12816" max="12816" width="4" style="28" customWidth="1"/>
    <col min="12817" max="12817" width="30.7109375" style="28" customWidth="1"/>
    <col min="12818" max="12819" width="3.85546875" style="28" customWidth="1"/>
    <col min="12820" max="12820" width="30.7109375" style="28" customWidth="1"/>
    <col min="12821" max="13055" width="9.140625" style="28"/>
    <col min="13056" max="13057" width="2.7109375" style="28" customWidth="1"/>
    <col min="13058" max="13058" width="30.7109375" style="28" customWidth="1"/>
    <col min="13059" max="13060" width="3" style="28" customWidth="1"/>
    <col min="13061" max="13061" width="30.7109375" style="28" customWidth="1"/>
    <col min="13062" max="13062" width="3" style="28" customWidth="1"/>
    <col min="13063" max="13063" width="2.7109375" style="28" customWidth="1"/>
    <col min="13064" max="13064" width="30.7109375" style="28" customWidth="1"/>
    <col min="13065" max="13065" width="4.140625" style="28" customWidth="1"/>
    <col min="13066" max="13066" width="30.7109375" style="28" customWidth="1"/>
    <col min="13067" max="13067" width="3" style="28" customWidth="1"/>
    <col min="13068" max="13068" width="30.7109375" style="28" customWidth="1"/>
    <col min="13069" max="13069" width="5.28515625" style="28" customWidth="1"/>
    <col min="13070" max="13071" width="30.7109375" style="28" customWidth="1"/>
    <col min="13072" max="13072" width="4" style="28" customWidth="1"/>
    <col min="13073" max="13073" width="30.7109375" style="28" customWidth="1"/>
    <col min="13074" max="13075" width="3.85546875" style="28" customWidth="1"/>
    <col min="13076" max="13076" width="30.7109375" style="28" customWidth="1"/>
    <col min="13077" max="13311" width="9.140625" style="28"/>
    <col min="13312" max="13313" width="2.7109375" style="28" customWidth="1"/>
    <col min="13314" max="13314" width="30.7109375" style="28" customWidth="1"/>
    <col min="13315" max="13316" width="3" style="28" customWidth="1"/>
    <col min="13317" max="13317" width="30.7109375" style="28" customWidth="1"/>
    <col min="13318" max="13318" width="3" style="28" customWidth="1"/>
    <col min="13319" max="13319" width="2.7109375" style="28" customWidth="1"/>
    <col min="13320" max="13320" width="30.7109375" style="28" customWidth="1"/>
    <col min="13321" max="13321" width="4.140625" style="28" customWidth="1"/>
    <col min="13322" max="13322" width="30.7109375" style="28" customWidth="1"/>
    <col min="13323" max="13323" width="3" style="28" customWidth="1"/>
    <col min="13324" max="13324" width="30.7109375" style="28" customWidth="1"/>
    <col min="13325" max="13325" width="5.28515625" style="28" customWidth="1"/>
    <col min="13326" max="13327" width="30.7109375" style="28" customWidth="1"/>
    <col min="13328" max="13328" width="4" style="28" customWidth="1"/>
    <col min="13329" max="13329" width="30.7109375" style="28" customWidth="1"/>
    <col min="13330" max="13331" width="3.85546875" style="28" customWidth="1"/>
    <col min="13332" max="13332" width="30.7109375" style="28" customWidth="1"/>
    <col min="13333" max="13567" width="9.140625" style="28"/>
    <col min="13568" max="13569" width="2.7109375" style="28" customWidth="1"/>
    <col min="13570" max="13570" width="30.7109375" style="28" customWidth="1"/>
    <col min="13571" max="13572" width="3" style="28" customWidth="1"/>
    <col min="13573" max="13573" width="30.7109375" style="28" customWidth="1"/>
    <col min="13574" max="13574" width="3" style="28" customWidth="1"/>
    <col min="13575" max="13575" width="2.7109375" style="28" customWidth="1"/>
    <col min="13576" max="13576" width="30.7109375" style="28" customWidth="1"/>
    <col min="13577" max="13577" width="4.140625" style="28" customWidth="1"/>
    <col min="13578" max="13578" width="30.7109375" style="28" customWidth="1"/>
    <col min="13579" max="13579" width="3" style="28" customWidth="1"/>
    <col min="13580" max="13580" width="30.7109375" style="28" customWidth="1"/>
    <col min="13581" max="13581" width="5.28515625" style="28" customWidth="1"/>
    <col min="13582" max="13583" width="30.7109375" style="28" customWidth="1"/>
    <col min="13584" max="13584" width="4" style="28" customWidth="1"/>
    <col min="13585" max="13585" width="30.7109375" style="28" customWidth="1"/>
    <col min="13586" max="13587" width="3.85546875" style="28" customWidth="1"/>
    <col min="13588" max="13588" width="30.7109375" style="28" customWidth="1"/>
    <col min="13589" max="13823" width="9.140625" style="28"/>
    <col min="13824" max="13825" width="2.7109375" style="28" customWidth="1"/>
    <col min="13826" max="13826" width="30.7109375" style="28" customWidth="1"/>
    <col min="13827" max="13828" width="3" style="28" customWidth="1"/>
    <col min="13829" max="13829" width="30.7109375" style="28" customWidth="1"/>
    <col min="13830" max="13830" width="3" style="28" customWidth="1"/>
    <col min="13831" max="13831" width="2.7109375" style="28" customWidth="1"/>
    <col min="13832" max="13832" width="30.7109375" style="28" customWidth="1"/>
    <col min="13833" max="13833" width="4.140625" style="28" customWidth="1"/>
    <col min="13834" max="13834" width="30.7109375" style="28" customWidth="1"/>
    <col min="13835" max="13835" width="3" style="28" customWidth="1"/>
    <col min="13836" max="13836" width="30.7109375" style="28" customWidth="1"/>
    <col min="13837" max="13837" width="5.28515625" style="28" customWidth="1"/>
    <col min="13838" max="13839" width="30.7109375" style="28" customWidth="1"/>
    <col min="13840" max="13840" width="4" style="28" customWidth="1"/>
    <col min="13841" max="13841" width="30.7109375" style="28" customWidth="1"/>
    <col min="13842" max="13843" width="3.85546875" style="28" customWidth="1"/>
    <col min="13844" max="13844" width="30.7109375" style="28" customWidth="1"/>
    <col min="13845" max="14079" width="9.140625" style="28"/>
    <col min="14080" max="14081" width="2.7109375" style="28" customWidth="1"/>
    <col min="14082" max="14082" width="30.7109375" style="28" customWidth="1"/>
    <col min="14083" max="14084" width="3" style="28" customWidth="1"/>
    <col min="14085" max="14085" width="30.7109375" style="28" customWidth="1"/>
    <col min="14086" max="14086" width="3" style="28" customWidth="1"/>
    <col min="14087" max="14087" width="2.7109375" style="28" customWidth="1"/>
    <col min="14088" max="14088" width="30.7109375" style="28" customWidth="1"/>
    <col min="14089" max="14089" width="4.140625" style="28" customWidth="1"/>
    <col min="14090" max="14090" width="30.7109375" style="28" customWidth="1"/>
    <col min="14091" max="14091" width="3" style="28" customWidth="1"/>
    <col min="14092" max="14092" width="30.7109375" style="28" customWidth="1"/>
    <col min="14093" max="14093" width="5.28515625" style="28" customWidth="1"/>
    <col min="14094" max="14095" width="30.7109375" style="28" customWidth="1"/>
    <col min="14096" max="14096" width="4" style="28" customWidth="1"/>
    <col min="14097" max="14097" width="30.7109375" style="28" customWidth="1"/>
    <col min="14098" max="14099" width="3.85546875" style="28" customWidth="1"/>
    <col min="14100" max="14100" width="30.7109375" style="28" customWidth="1"/>
    <col min="14101" max="14335" width="9.140625" style="28"/>
    <col min="14336" max="14337" width="2.7109375" style="28" customWidth="1"/>
    <col min="14338" max="14338" width="30.7109375" style="28" customWidth="1"/>
    <col min="14339" max="14340" width="3" style="28" customWidth="1"/>
    <col min="14341" max="14341" width="30.7109375" style="28" customWidth="1"/>
    <col min="14342" max="14342" width="3" style="28" customWidth="1"/>
    <col min="14343" max="14343" width="2.7109375" style="28" customWidth="1"/>
    <col min="14344" max="14344" width="30.7109375" style="28" customWidth="1"/>
    <col min="14345" max="14345" width="4.140625" style="28" customWidth="1"/>
    <col min="14346" max="14346" width="30.7109375" style="28" customWidth="1"/>
    <col min="14347" max="14347" width="3" style="28" customWidth="1"/>
    <col min="14348" max="14348" width="30.7109375" style="28" customWidth="1"/>
    <col min="14349" max="14349" width="5.28515625" style="28" customWidth="1"/>
    <col min="14350" max="14351" width="30.7109375" style="28" customWidth="1"/>
    <col min="14352" max="14352" width="4" style="28" customWidth="1"/>
    <col min="14353" max="14353" width="30.7109375" style="28" customWidth="1"/>
    <col min="14354" max="14355" width="3.85546875" style="28" customWidth="1"/>
    <col min="14356" max="14356" width="30.7109375" style="28" customWidth="1"/>
    <col min="14357" max="14591" width="9.140625" style="28"/>
    <col min="14592" max="14593" width="2.7109375" style="28" customWidth="1"/>
    <col min="14594" max="14594" width="30.7109375" style="28" customWidth="1"/>
    <col min="14595" max="14596" width="3" style="28" customWidth="1"/>
    <col min="14597" max="14597" width="30.7109375" style="28" customWidth="1"/>
    <col min="14598" max="14598" width="3" style="28" customWidth="1"/>
    <col min="14599" max="14599" width="2.7109375" style="28" customWidth="1"/>
    <col min="14600" max="14600" width="30.7109375" style="28" customWidth="1"/>
    <col min="14601" max="14601" width="4.140625" style="28" customWidth="1"/>
    <col min="14602" max="14602" width="30.7109375" style="28" customWidth="1"/>
    <col min="14603" max="14603" width="3" style="28" customWidth="1"/>
    <col min="14604" max="14604" width="30.7109375" style="28" customWidth="1"/>
    <col min="14605" max="14605" width="5.28515625" style="28" customWidth="1"/>
    <col min="14606" max="14607" width="30.7109375" style="28" customWidth="1"/>
    <col min="14608" max="14608" width="4" style="28" customWidth="1"/>
    <col min="14609" max="14609" width="30.7109375" style="28" customWidth="1"/>
    <col min="14610" max="14611" width="3.85546875" style="28" customWidth="1"/>
    <col min="14612" max="14612" width="30.7109375" style="28" customWidth="1"/>
    <col min="14613" max="14847" width="9.140625" style="28"/>
    <col min="14848" max="14849" width="2.7109375" style="28" customWidth="1"/>
    <col min="14850" max="14850" width="30.7109375" style="28" customWidth="1"/>
    <col min="14851" max="14852" width="3" style="28" customWidth="1"/>
    <col min="14853" max="14853" width="30.7109375" style="28" customWidth="1"/>
    <col min="14854" max="14854" width="3" style="28" customWidth="1"/>
    <col min="14855" max="14855" width="2.7109375" style="28" customWidth="1"/>
    <col min="14856" max="14856" width="30.7109375" style="28" customWidth="1"/>
    <col min="14857" max="14857" width="4.140625" style="28" customWidth="1"/>
    <col min="14858" max="14858" width="30.7109375" style="28" customWidth="1"/>
    <col min="14859" max="14859" width="3" style="28" customWidth="1"/>
    <col min="14860" max="14860" width="30.7109375" style="28" customWidth="1"/>
    <col min="14861" max="14861" width="5.28515625" style="28" customWidth="1"/>
    <col min="14862" max="14863" width="30.7109375" style="28" customWidth="1"/>
    <col min="14864" max="14864" width="4" style="28" customWidth="1"/>
    <col min="14865" max="14865" width="30.7109375" style="28" customWidth="1"/>
    <col min="14866" max="14867" width="3.85546875" style="28" customWidth="1"/>
    <col min="14868" max="14868" width="30.7109375" style="28" customWidth="1"/>
    <col min="14869" max="15103" width="9.140625" style="28"/>
    <col min="15104" max="15105" width="2.7109375" style="28" customWidth="1"/>
    <col min="15106" max="15106" width="30.7109375" style="28" customWidth="1"/>
    <col min="15107" max="15108" width="3" style="28" customWidth="1"/>
    <col min="15109" max="15109" width="30.7109375" style="28" customWidth="1"/>
    <col min="15110" max="15110" width="3" style="28" customWidth="1"/>
    <col min="15111" max="15111" width="2.7109375" style="28" customWidth="1"/>
    <col min="15112" max="15112" width="30.7109375" style="28" customWidth="1"/>
    <col min="15113" max="15113" width="4.140625" style="28" customWidth="1"/>
    <col min="15114" max="15114" width="30.7109375" style="28" customWidth="1"/>
    <col min="15115" max="15115" width="3" style="28" customWidth="1"/>
    <col min="15116" max="15116" width="30.7109375" style="28" customWidth="1"/>
    <col min="15117" max="15117" width="5.28515625" style="28" customWidth="1"/>
    <col min="15118" max="15119" width="30.7109375" style="28" customWidth="1"/>
    <col min="15120" max="15120" width="4" style="28" customWidth="1"/>
    <col min="15121" max="15121" width="30.7109375" style="28" customWidth="1"/>
    <col min="15122" max="15123" width="3.85546875" style="28" customWidth="1"/>
    <col min="15124" max="15124" width="30.7109375" style="28" customWidth="1"/>
    <col min="15125" max="15359" width="9.140625" style="28"/>
    <col min="15360" max="15361" width="2.7109375" style="28" customWidth="1"/>
    <col min="15362" max="15362" width="30.7109375" style="28" customWidth="1"/>
    <col min="15363" max="15364" width="3" style="28" customWidth="1"/>
    <col min="15365" max="15365" width="30.7109375" style="28" customWidth="1"/>
    <col min="15366" max="15366" width="3" style="28" customWidth="1"/>
    <col min="15367" max="15367" width="2.7109375" style="28" customWidth="1"/>
    <col min="15368" max="15368" width="30.7109375" style="28" customWidth="1"/>
    <col min="15369" max="15369" width="4.140625" style="28" customWidth="1"/>
    <col min="15370" max="15370" width="30.7109375" style="28" customWidth="1"/>
    <col min="15371" max="15371" width="3" style="28" customWidth="1"/>
    <col min="15372" max="15372" width="30.7109375" style="28" customWidth="1"/>
    <col min="15373" max="15373" width="5.28515625" style="28" customWidth="1"/>
    <col min="15374" max="15375" width="30.7109375" style="28" customWidth="1"/>
    <col min="15376" max="15376" width="4" style="28" customWidth="1"/>
    <col min="15377" max="15377" width="30.7109375" style="28" customWidth="1"/>
    <col min="15378" max="15379" width="3.85546875" style="28" customWidth="1"/>
    <col min="15380" max="15380" width="30.7109375" style="28" customWidth="1"/>
    <col min="15381" max="15615" width="9.140625" style="28"/>
    <col min="15616" max="15617" width="2.7109375" style="28" customWidth="1"/>
    <col min="15618" max="15618" width="30.7109375" style="28" customWidth="1"/>
    <col min="15619" max="15620" width="3" style="28" customWidth="1"/>
    <col min="15621" max="15621" width="30.7109375" style="28" customWidth="1"/>
    <col min="15622" max="15622" width="3" style="28" customWidth="1"/>
    <col min="15623" max="15623" width="2.7109375" style="28" customWidth="1"/>
    <col min="15624" max="15624" width="30.7109375" style="28" customWidth="1"/>
    <col min="15625" max="15625" width="4.140625" style="28" customWidth="1"/>
    <col min="15626" max="15626" width="30.7109375" style="28" customWidth="1"/>
    <col min="15627" max="15627" width="3" style="28" customWidth="1"/>
    <col min="15628" max="15628" width="30.7109375" style="28" customWidth="1"/>
    <col min="15629" max="15629" width="5.28515625" style="28" customWidth="1"/>
    <col min="15630" max="15631" width="30.7109375" style="28" customWidth="1"/>
    <col min="15632" max="15632" width="4" style="28" customWidth="1"/>
    <col min="15633" max="15633" width="30.7109375" style="28" customWidth="1"/>
    <col min="15634" max="15635" width="3.85546875" style="28" customWidth="1"/>
    <col min="15636" max="15636" width="30.7109375" style="28" customWidth="1"/>
    <col min="15637" max="15871" width="9.140625" style="28"/>
    <col min="15872" max="15873" width="2.7109375" style="28" customWidth="1"/>
    <col min="15874" max="15874" width="30.7109375" style="28" customWidth="1"/>
    <col min="15875" max="15876" width="3" style="28" customWidth="1"/>
    <col min="15877" max="15877" width="30.7109375" style="28" customWidth="1"/>
    <col min="15878" max="15878" width="3" style="28" customWidth="1"/>
    <col min="15879" max="15879" width="2.7109375" style="28" customWidth="1"/>
    <col min="15880" max="15880" width="30.7109375" style="28" customWidth="1"/>
    <col min="15881" max="15881" width="4.140625" style="28" customWidth="1"/>
    <col min="15882" max="15882" width="30.7109375" style="28" customWidth="1"/>
    <col min="15883" max="15883" width="3" style="28" customWidth="1"/>
    <col min="15884" max="15884" width="30.7109375" style="28" customWidth="1"/>
    <col min="15885" max="15885" width="5.28515625" style="28" customWidth="1"/>
    <col min="15886" max="15887" width="30.7109375" style="28" customWidth="1"/>
    <col min="15888" max="15888" width="4" style="28" customWidth="1"/>
    <col min="15889" max="15889" width="30.7109375" style="28" customWidth="1"/>
    <col min="15890" max="15891" width="3.85546875" style="28" customWidth="1"/>
    <col min="15892" max="15892" width="30.7109375" style="28" customWidth="1"/>
    <col min="15893" max="16127" width="9.140625" style="28"/>
    <col min="16128" max="16129" width="2.7109375" style="28" customWidth="1"/>
    <col min="16130" max="16130" width="30.7109375" style="28" customWidth="1"/>
    <col min="16131" max="16132" width="3" style="28" customWidth="1"/>
    <col min="16133" max="16133" width="30.7109375" style="28" customWidth="1"/>
    <col min="16134" max="16134" width="3" style="28" customWidth="1"/>
    <col min="16135" max="16135" width="2.7109375" style="28" customWidth="1"/>
    <col min="16136" max="16136" width="30.7109375" style="28" customWidth="1"/>
    <col min="16137" max="16137" width="4.140625" style="28" customWidth="1"/>
    <col min="16138" max="16138" width="30.7109375" style="28" customWidth="1"/>
    <col min="16139" max="16139" width="3" style="28" customWidth="1"/>
    <col min="16140" max="16140" width="30.7109375" style="28" customWidth="1"/>
    <col min="16141" max="16141" width="5.28515625" style="28" customWidth="1"/>
    <col min="16142" max="16143" width="30.7109375" style="28" customWidth="1"/>
    <col min="16144" max="16144" width="4" style="28" customWidth="1"/>
    <col min="16145" max="16145" width="30.7109375" style="28" customWidth="1"/>
    <col min="16146" max="16147" width="3.85546875" style="28" customWidth="1"/>
    <col min="16148" max="16148" width="30.7109375" style="28" customWidth="1"/>
    <col min="16149" max="16384" width="9.140625" style="28"/>
  </cols>
  <sheetData>
    <row r="1" spans="1:26">
      <c r="A1" s="27"/>
      <c r="H1" s="27"/>
    </row>
    <row r="2" spans="1:26" s="1" customFormat="1" ht="27">
      <c r="B2" s="105"/>
      <c r="C2" s="106"/>
      <c r="D2" s="106"/>
      <c r="H2" s="122"/>
      <c r="O2" s="88"/>
      <c r="P2" s="88"/>
      <c r="Q2" s="88"/>
      <c r="R2" s="88"/>
      <c r="S2" s="88"/>
      <c r="T2" s="88"/>
      <c r="U2" s="88"/>
      <c r="V2" s="88"/>
    </row>
    <row r="3" spans="1:26" s="92" customFormat="1" ht="38.25" customHeight="1">
      <c r="B3" s="1174" t="s">
        <v>6</v>
      </c>
      <c r="C3" s="1175" t="s">
        <v>0</v>
      </c>
      <c r="D3" s="1175"/>
      <c r="E3" s="1175" t="s">
        <v>2</v>
      </c>
      <c r="F3" s="1175"/>
      <c r="G3" s="1175" t="s">
        <v>98</v>
      </c>
      <c r="H3" s="1174" t="s">
        <v>156</v>
      </c>
      <c r="I3" s="1172" t="s">
        <v>157</v>
      </c>
      <c r="J3" s="1183" t="s">
        <v>54</v>
      </c>
      <c r="K3" s="1184"/>
      <c r="L3" s="1184"/>
      <c r="M3" s="1185"/>
      <c r="N3" s="1175" t="s">
        <v>781</v>
      </c>
      <c r="O3" s="1175" t="s">
        <v>132</v>
      </c>
      <c r="P3" s="1175" t="s">
        <v>133</v>
      </c>
      <c r="Q3" s="1175"/>
      <c r="R3" s="1165" t="s">
        <v>2138</v>
      </c>
      <c r="S3" s="1165"/>
      <c r="T3" s="1165"/>
      <c r="U3" s="1165"/>
      <c r="V3" s="1165"/>
      <c r="W3" s="658" t="s">
        <v>136</v>
      </c>
      <c r="X3" s="1182" t="s">
        <v>134</v>
      </c>
      <c r="Y3" s="1182" t="s">
        <v>137</v>
      </c>
      <c r="Z3" s="1174" t="s">
        <v>138</v>
      </c>
    </row>
    <row r="4" spans="1:26" s="92" customFormat="1" ht="12.75" customHeight="1">
      <c r="B4" s="1174"/>
      <c r="C4" s="1175"/>
      <c r="D4" s="1175"/>
      <c r="E4" s="1175"/>
      <c r="F4" s="1175"/>
      <c r="G4" s="1175"/>
      <c r="H4" s="1174"/>
      <c r="I4" s="1173"/>
      <c r="J4" s="1183" t="s">
        <v>135</v>
      </c>
      <c r="K4" s="1184"/>
      <c r="L4" s="1184"/>
      <c r="M4" s="1185"/>
      <c r="N4" s="1175"/>
      <c r="O4" s="1175"/>
      <c r="P4" s="657">
        <v>2012</v>
      </c>
      <c r="Q4" s="657">
        <v>2013</v>
      </c>
      <c r="R4" s="657">
        <v>2014</v>
      </c>
      <c r="S4" s="657">
        <v>2015</v>
      </c>
      <c r="T4" s="657">
        <v>2016</v>
      </c>
      <c r="U4" s="657">
        <v>2017</v>
      </c>
      <c r="V4" s="657">
        <v>2018</v>
      </c>
      <c r="W4" s="659">
        <v>2018</v>
      </c>
      <c r="X4" s="1182"/>
      <c r="Y4" s="1182"/>
      <c r="Z4" s="1174"/>
    </row>
    <row r="5" spans="1:26" s="74" customFormat="1" ht="12.75">
      <c r="B5" s="93">
        <v>1</v>
      </c>
      <c r="C5" s="1159">
        <v>2</v>
      </c>
      <c r="D5" s="1160"/>
      <c r="E5" s="1159">
        <v>3</v>
      </c>
      <c r="F5" s="1160"/>
      <c r="G5" s="18">
        <v>4</v>
      </c>
      <c r="H5" s="94">
        <v>5</v>
      </c>
      <c r="I5" s="18">
        <v>6</v>
      </c>
      <c r="J5" s="1161"/>
      <c r="K5" s="1161"/>
      <c r="L5" s="1161"/>
      <c r="M5" s="1160"/>
      <c r="N5" s="18">
        <v>2</v>
      </c>
      <c r="O5" s="18">
        <v>3</v>
      </c>
      <c r="P5" s="18">
        <v>4</v>
      </c>
      <c r="Q5" s="18">
        <v>5</v>
      </c>
      <c r="R5" s="18">
        <v>6</v>
      </c>
      <c r="S5" s="18">
        <v>7</v>
      </c>
      <c r="T5" s="18">
        <v>8</v>
      </c>
      <c r="U5" s="18">
        <v>9</v>
      </c>
      <c r="V5" s="18">
        <v>10</v>
      </c>
      <c r="W5" s="18">
        <v>11</v>
      </c>
      <c r="X5" s="18">
        <v>13</v>
      </c>
      <c r="Y5" s="18">
        <v>26</v>
      </c>
      <c r="Z5" s="18">
        <v>27</v>
      </c>
    </row>
    <row r="6" spans="1:26" s="1" customFormat="1" ht="78.75">
      <c r="B6" s="37" t="s">
        <v>22</v>
      </c>
      <c r="C6" s="651">
        <v>1</v>
      </c>
      <c r="D6" s="651" t="s">
        <v>1335</v>
      </c>
      <c r="E6" s="651">
        <v>1</v>
      </c>
      <c r="F6" s="651" t="s">
        <v>1336</v>
      </c>
      <c r="G6" s="651" t="s">
        <v>1337</v>
      </c>
      <c r="H6" s="651" t="s">
        <v>1338</v>
      </c>
      <c r="I6" s="879" t="s">
        <v>4976</v>
      </c>
      <c r="J6" s="3"/>
      <c r="K6" s="3"/>
      <c r="L6" s="3"/>
      <c r="M6" s="3"/>
      <c r="N6" s="3"/>
      <c r="O6" s="31"/>
      <c r="P6" s="31"/>
      <c r="Q6" s="449"/>
      <c r="R6" s="31"/>
      <c r="S6" s="31"/>
      <c r="T6" s="31"/>
      <c r="U6" s="31"/>
      <c r="V6" s="31"/>
      <c r="W6" s="3"/>
      <c r="X6" s="3"/>
      <c r="Y6" s="3"/>
      <c r="Z6" s="3"/>
    </row>
    <row r="7" spans="1:26" s="1" customFormat="1" ht="94.5">
      <c r="B7" s="69"/>
      <c r="C7" s="652"/>
      <c r="D7" s="652"/>
      <c r="E7" s="652"/>
      <c r="F7" s="652"/>
      <c r="G7" s="652"/>
      <c r="H7" s="652"/>
      <c r="I7" s="652"/>
      <c r="J7" s="663">
        <v>1.02</v>
      </c>
      <c r="K7" s="651" t="s">
        <v>773</v>
      </c>
      <c r="L7" s="651">
        <v>32</v>
      </c>
      <c r="M7" s="682" t="s">
        <v>207</v>
      </c>
      <c r="N7" s="3" t="s">
        <v>1339</v>
      </c>
      <c r="O7" s="31" t="s">
        <v>701</v>
      </c>
      <c r="P7" s="683" t="s">
        <v>1340</v>
      </c>
      <c r="Q7" s="31">
        <v>95</v>
      </c>
      <c r="R7" s="684">
        <v>95</v>
      </c>
      <c r="S7" s="684">
        <v>95</v>
      </c>
      <c r="T7" s="684">
        <v>95</v>
      </c>
      <c r="U7" s="684">
        <v>95</v>
      </c>
      <c r="V7" s="684">
        <v>95</v>
      </c>
      <c r="W7" s="684">
        <v>95</v>
      </c>
      <c r="X7" s="3" t="s">
        <v>1341</v>
      </c>
      <c r="Y7" s="3" t="s">
        <v>1342</v>
      </c>
      <c r="Z7" s="3" t="s">
        <v>1343</v>
      </c>
    </row>
    <row r="8" spans="1:26" s="1" customFormat="1" ht="94.5">
      <c r="B8" s="69"/>
      <c r="C8" s="652"/>
      <c r="D8" s="652"/>
      <c r="E8" s="652"/>
      <c r="F8" s="652"/>
      <c r="G8" s="652"/>
      <c r="H8" s="652"/>
      <c r="I8" s="652"/>
      <c r="J8" s="652"/>
      <c r="K8" s="652"/>
      <c r="L8" s="652"/>
      <c r="M8" s="652"/>
      <c r="N8" s="3" t="s">
        <v>1344</v>
      </c>
      <c r="O8" s="31" t="s">
        <v>701</v>
      </c>
      <c r="P8" s="685" t="s">
        <v>1345</v>
      </c>
      <c r="Q8" s="32">
        <v>95</v>
      </c>
      <c r="R8" s="686">
        <v>95</v>
      </c>
      <c r="S8" s="686">
        <v>95</v>
      </c>
      <c r="T8" s="686">
        <v>95</v>
      </c>
      <c r="U8" s="686">
        <v>95</v>
      </c>
      <c r="V8" s="686">
        <v>95</v>
      </c>
      <c r="W8" s="686">
        <v>95</v>
      </c>
      <c r="X8" s="3" t="s">
        <v>1341</v>
      </c>
      <c r="Y8" s="3" t="s">
        <v>1346</v>
      </c>
      <c r="Z8" s="3"/>
    </row>
    <row r="9" spans="1:26" s="1" customFormat="1" ht="94.5">
      <c r="B9" s="69"/>
      <c r="C9" s="652"/>
      <c r="D9" s="652"/>
      <c r="E9" s="652"/>
      <c r="F9" s="652"/>
      <c r="G9" s="652"/>
      <c r="H9" s="652"/>
      <c r="I9" s="652"/>
      <c r="J9" s="652"/>
      <c r="K9" s="652"/>
      <c r="L9" s="652"/>
      <c r="M9" s="652"/>
      <c r="N9" s="3" t="s">
        <v>1347</v>
      </c>
      <c r="O9" s="31" t="s">
        <v>701</v>
      </c>
      <c r="P9" s="687" t="s">
        <v>1348</v>
      </c>
      <c r="Q9" s="31">
        <v>96</v>
      </c>
      <c r="R9" s="686">
        <v>87</v>
      </c>
      <c r="S9" s="686">
        <v>87</v>
      </c>
      <c r="T9" s="686">
        <v>90</v>
      </c>
      <c r="U9" s="686">
        <v>90</v>
      </c>
      <c r="V9" s="686">
        <v>90</v>
      </c>
      <c r="W9" s="686">
        <v>90</v>
      </c>
      <c r="X9" s="3" t="s">
        <v>1341</v>
      </c>
      <c r="Y9" s="688" t="s">
        <v>1349</v>
      </c>
      <c r="Z9" s="3"/>
    </row>
    <row r="10" spans="1:26" s="1" customFormat="1" ht="94.5">
      <c r="B10" s="69"/>
      <c r="C10" s="652"/>
      <c r="D10" s="652"/>
      <c r="E10" s="652"/>
      <c r="F10" s="652"/>
      <c r="G10" s="652"/>
      <c r="H10" s="652"/>
      <c r="I10" s="652"/>
      <c r="J10" s="652"/>
      <c r="K10" s="652"/>
      <c r="L10" s="652"/>
      <c r="M10" s="652"/>
      <c r="N10" s="3" t="s">
        <v>1350</v>
      </c>
      <c r="O10" s="31" t="s">
        <v>701</v>
      </c>
      <c r="P10" s="31">
        <v>94.56</v>
      </c>
      <c r="Q10" s="31">
        <v>95</v>
      </c>
      <c r="R10" s="33">
        <v>95</v>
      </c>
      <c r="S10" s="33">
        <v>95</v>
      </c>
      <c r="T10" s="33">
        <v>95</v>
      </c>
      <c r="U10" s="33">
        <v>95</v>
      </c>
      <c r="V10" s="33">
        <v>95</v>
      </c>
      <c r="W10" s="33">
        <v>95</v>
      </c>
      <c r="X10" s="3" t="s">
        <v>1341</v>
      </c>
      <c r="Y10" s="3" t="s">
        <v>1351</v>
      </c>
      <c r="Z10" s="3"/>
    </row>
    <row r="11" spans="1:26" s="1" customFormat="1" ht="157.5">
      <c r="B11" s="69"/>
      <c r="C11" s="652"/>
      <c r="D11" s="652"/>
      <c r="E11" s="652"/>
      <c r="F11" s="652"/>
      <c r="G11" s="652"/>
      <c r="H11" s="652"/>
      <c r="I11" s="652"/>
      <c r="J11" s="653"/>
      <c r="K11" s="653"/>
      <c r="L11" s="653"/>
      <c r="M11" s="653"/>
      <c r="N11" s="3" t="s">
        <v>1352</v>
      </c>
      <c r="O11" s="31" t="s">
        <v>1353</v>
      </c>
      <c r="P11" s="31">
        <v>88.92</v>
      </c>
      <c r="Q11" s="31">
        <v>102</v>
      </c>
      <c r="R11" s="34">
        <v>102</v>
      </c>
      <c r="S11" s="34">
        <v>101</v>
      </c>
      <c r="T11" s="34">
        <v>101</v>
      </c>
      <c r="U11" s="34">
        <v>100</v>
      </c>
      <c r="V11" s="34">
        <v>100</v>
      </c>
      <c r="W11" s="34">
        <v>100</v>
      </c>
      <c r="X11" s="689" t="s">
        <v>1341</v>
      </c>
      <c r="Y11" s="3" t="s">
        <v>1354</v>
      </c>
      <c r="Z11" s="3"/>
    </row>
    <row r="12" spans="1:26" s="1" customFormat="1" ht="94.5">
      <c r="B12" s="69"/>
      <c r="C12" s="652"/>
      <c r="D12" s="652"/>
      <c r="E12" s="652"/>
      <c r="F12" s="652"/>
      <c r="G12" s="652"/>
      <c r="H12" s="652"/>
      <c r="I12" s="652"/>
      <c r="J12" s="663"/>
      <c r="K12" s="651"/>
      <c r="L12" s="651"/>
      <c r="M12" s="682"/>
      <c r="N12" s="3" t="s">
        <v>1355</v>
      </c>
      <c r="O12" s="31" t="s">
        <v>701</v>
      </c>
      <c r="P12" s="690" t="s">
        <v>1356</v>
      </c>
      <c r="Q12" s="31">
        <v>90</v>
      </c>
      <c r="R12" s="686">
        <v>92.5</v>
      </c>
      <c r="S12" s="686">
        <v>95</v>
      </c>
      <c r="T12" s="686">
        <v>97.5</v>
      </c>
      <c r="U12" s="686">
        <v>98</v>
      </c>
      <c r="V12" s="686">
        <v>99</v>
      </c>
      <c r="W12" s="691">
        <v>99</v>
      </c>
      <c r="X12" s="689" t="s">
        <v>1341</v>
      </c>
      <c r="Y12" s="3" t="s">
        <v>1357</v>
      </c>
      <c r="Z12" s="3"/>
    </row>
    <row r="13" spans="1:26" s="1" customFormat="1" ht="204.75">
      <c r="B13" s="69"/>
      <c r="C13" s="652"/>
      <c r="D13" s="652"/>
      <c r="E13" s="652"/>
      <c r="F13" s="652"/>
      <c r="G13" s="652"/>
      <c r="H13" s="652"/>
      <c r="I13" s="652"/>
      <c r="J13" s="652"/>
      <c r="K13" s="652"/>
      <c r="L13" s="652"/>
      <c r="M13" s="652"/>
      <c r="N13" s="3" t="s">
        <v>1358</v>
      </c>
      <c r="O13" s="31" t="s">
        <v>701</v>
      </c>
      <c r="P13" s="692" t="s">
        <v>1359</v>
      </c>
      <c r="Q13" s="673">
        <v>96</v>
      </c>
      <c r="R13" s="472">
        <v>99</v>
      </c>
      <c r="S13" s="472">
        <v>99</v>
      </c>
      <c r="T13" s="472">
        <v>99</v>
      </c>
      <c r="U13" s="472">
        <v>99</v>
      </c>
      <c r="V13" s="472">
        <v>99</v>
      </c>
      <c r="W13" s="472">
        <v>99</v>
      </c>
      <c r="X13" s="3" t="s">
        <v>1341</v>
      </c>
      <c r="Y13" s="3" t="s">
        <v>1360</v>
      </c>
      <c r="Z13" s="3"/>
    </row>
    <row r="14" spans="1:26" s="1" customFormat="1" ht="141.75">
      <c r="B14" s="69"/>
      <c r="C14" s="652"/>
      <c r="D14" s="652"/>
      <c r="E14" s="652"/>
      <c r="F14" s="652"/>
      <c r="G14" s="652"/>
      <c r="H14" s="652"/>
      <c r="I14" s="652"/>
      <c r="J14" s="652"/>
      <c r="K14" s="652"/>
      <c r="L14" s="652"/>
      <c r="M14" s="652"/>
      <c r="N14" s="3" t="s">
        <v>1361</v>
      </c>
      <c r="O14" s="31" t="s">
        <v>701</v>
      </c>
      <c r="P14" s="685" t="s">
        <v>1362</v>
      </c>
      <c r="Q14" s="31">
        <v>90</v>
      </c>
      <c r="R14" s="31">
        <v>90</v>
      </c>
      <c r="S14" s="31">
        <v>90</v>
      </c>
      <c r="T14" s="31">
        <v>90</v>
      </c>
      <c r="U14" s="31">
        <v>90</v>
      </c>
      <c r="V14" s="31">
        <v>90</v>
      </c>
      <c r="W14" s="31">
        <v>90</v>
      </c>
      <c r="X14" s="3" t="s">
        <v>1341</v>
      </c>
      <c r="Y14" s="3" t="s">
        <v>1363</v>
      </c>
      <c r="Z14" s="3"/>
    </row>
    <row r="15" spans="1:26" s="1" customFormat="1" ht="110.25">
      <c r="B15" s="69"/>
      <c r="C15" s="652"/>
      <c r="D15" s="652"/>
      <c r="E15" s="652"/>
      <c r="F15" s="652"/>
      <c r="G15" s="652"/>
      <c r="H15" s="652"/>
      <c r="I15" s="652"/>
      <c r="J15" s="652"/>
      <c r="K15" s="652"/>
      <c r="L15" s="652"/>
      <c r="M15" s="652"/>
      <c r="N15" s="3" t="s">
        <v>1364</v>
      </c>
      <c r="O15" s="31" t="s">
        <v>701</v>
      </c>
      <c r="P15" s="687" t="s">
        <v>1348</v>
      </c>
      <c r="Q15" s="34">
        <v>100</v>
      </c>
      <c r="R15" s="686">
        <v>65</v>
      </c>
      <c r="S15" s="686">
        <v>65</v>
      </c>
      <c r="T15" s="686">
        <v>65</v>
      </c>
      <c r="U15" s="686">
        <v>65</v>
      </c>
      <c r="V15" s="686">
        <v>65</v>
      </c>
      <c r="W15" s="686">
        <v>65</v>
      </c>
      <c r="X15" s="3" t="s">
        <v>1341</v>
      </c>
      <c r="Y15" s="3" t="s">
        <v>1365</v>
      </c>
      <c r="Z15" s="3"/>
    </row>
    <row r="16" spans="1:26" s="1" customFormat="1" ht="47.25">
      <c r="B16" s="69"/>
      <c r="C16" s="652"/>
      <c r="D16" s="652"/>
      <c r="E16" s="652"/>
      <c r="F16" s="652"/>
      <c r="G16" s="652"/>
      <c r="H16" s="652"/>
      <c r="I16" s="652"/>
      <c r="J16" s="652"/>
      <c r="K16" s="652"/>
      <c r="L16" s="652"/>
      <c r="M16" s="652"/>
      <c r="N16" s="3" t="s">
        <v>1366</v>
      </c>
      <c r="O16" s="31" t="s">
        <v>1367</v>
      </c>
      <c r="P16" s="693">
        <v>0.98699999999999999</v>
      </c>
      <c r="Q16" s="694">
        <v>0.98</v>
      </c>
      <c r="R16" s="35" t="s">
        <v>1368</v>
      </c>
      <c r="S16" s="35" t="s">
        <v>1369</v>
      </c>
      <c r="T16" s="35" t="s">
        <v>1370</v>
      </c>
      <c r="U16" s="35" t="s">
        <v>1371</v>
      </c>
      <c r="V16" s="35" t="s">
        <v>1372</v>
      </c>
      <c r="W16" s="35" t="s">
        <v>1372</v>
      </c>
      <c r="X16" s="3" t="s">
        <v>1341</v>
      </c>
      <c r="Y16" s="3" t="s">
        <v>1373</v>
      </c>
      <c r="Z16" s="3"/>
    </row>
    <row r="17" spans="2:26" s="1" customFormat="1" ht="141.75">
      <c r="B17" s="69"/>
      <c r="C17" s="652"/>
      <c r="D17" s="652"/>
      <c r="E17" s="652"/>
      <c r="F17" s="652"/>
      <c r="G17" s="652"/>
      <c r="H17" s="652"/>
      <c r="I17" s="652"/>
      <c r="J17" s="652"/>
      <c r="K17" s="652"/>
      <c r="L17" s="652"/>
      <c r="M17" s="652"/>
      <c r="N17" s="3" t="s">
        <v>1374</v>
      </c>
      <c r="O17" s="31" t="s">
        <v>1367</v>
      </c>
      <c r="P17" s="31">
        <v>6</v>
      </c>
      <c r="Q17" s="31">
        <v>9</v>
      </c>
      <c r="R17" s="34">
        <v>8.5</v>
      </c>
      <c r="S17" s="34">
        <v>8.5</v>
      </c>
      <c r="T17" s="34">
        <v>7.3</v>
      </c>
      <c r="U17" s="34">
        <v>7</v>
      </c>
      <c r="V17" s="34">
        <v>6.8</v>
      </c>
      <c r="W17" s="695">
        <v>6.8</v>
      </c>
      <c r="X17" s="3" t="s">
        <v>1341</v>
      </c>
      <c r="Y17" s="3" t="s">
        <v>1375</v>
      </c>
      <c r="Z17" s="3"/>
    </row>
    <row r="18" spans="2:26" s="1" customFormat="1" ht="141.75">
      <c r="B18" s="69"/>
      <c r="C18" s="652"/>
      <c r="D18" s="652"/>
      <c r="E18" s="652"/>
      <c r="F18" s="652"/>
      <c r="G18" s="652"/>
      <c r="H18" s="652"/>
      <c r="I18" s="652"/>
      <c r="J18" s="652"/>
      <c r="K18" s="652"/>
      <c r="L18" s="652"/>
      <c r="M18" s="652"/>
      <c r="N18" s="3" t="s">
        <v>1376</v>
      </c>
      <c r="O18" s="31" t="s">
        <v>1367</v>
      </c>
      <c r="P18" s="31">
        <v>12.21</v>
      </c>
      <c r="Q18" s="31">
        <v>14.2</v>
      </c>
      <c r="R18" s="34">
        <v>14.11</v>
      </c>
      <c r="S18" s="34">
        <v>14</v>
      </c>
      <c r="T18" s="34">
        <v>13</v>
      </c>
      <c r="U18" s="34">
        <v>12</v>
      </c>
      <c r="V18" s="34">
        <v>11</v>
      </c>
      <c r="W18" s="3">
        <v>11</v>
      </c>
      <c r="X18" s="3" t="s">
        <v>1341</v>
      </c>
      <c r="Y18" s="3" t="s">
        <v>1377</v>
      </c>
      <c r="Z18" s="3"/>
    </row>
    <row r="19" spans="2:26" s="1" customFormat="1" ht="141.75">
      <c r="B19" s="69"/>
      <c r="C19" s="652"/>
      <c r="D19" s="652"/>
      <c r="E19" s="652"/>
      <c r="F19" s="652"/>
      <c r="G19" s="652"/>
      <c r="H19" s="652"/>
      <c r="I19" s="652"/>
      <c r="J19" s="652"/>
      <c r="K19" s="652"/>
      <c r="L19" s="652"/>
      <c r="M19" s="652"/>
      <c r="N19" s="3" t="s">
        <v>1378</v>
      </c>
      <c r="O19" s="31" t="s">
        <v>1367</v>
      </c>
      <c r="P19" s="31">
        <v>13</v>
      </c>
      <c r="Q19" s="31">
        <v>15.5</v>
      </c>
      <c r="R19" s="34">
        <v>15.2</v>
      </c>
      <c r="S19" s="34">
        <v>14.7</v>
      </c>
      <c r="T19" s="34">
        <v>14.5</v>
      </c>
      <c r="U19" s="34">
        <v>14</v>
      </c>
      <c r="V19" s="34">
        <v>13.8</v>
      </c>
      <c r="W19" s="3">
        <v>13.8</v>
      </c>
      <c r="X19" s="3" t="s">
        <v>1341</v>
      </c>
      <c r="Y19" s="3" t="s">
        <v>1379</v>
      </c>
      <c r="Z19" s="3"/>
    </row>
    <row r="20" spans="2:26" s="1" customFormat="1" ht="173.25">
      <c r="B20" s="69"/>
      <c r="C20" s="652"/>
      <c r="D20" s="652"/>
      <c r="E20" s="652"/>
      <c r="F20" s="652"/>
      <c r="G20" s="652"/>
      <c r="H20" s="652"/>
      <c r="I20" s="652"/>
      <c r="J20" s="653"/>
      <c r="K20" s="653"/>
      <c r="L20" s="653"/>
      <c r="M20" s="653"/>
      <c r="N20" s="3" t="s">
        <v>1380</v>
      </c>
      <c r="O20" s="31" t="s">
        <v>701</v>
      </c>
      <c r="P20" s="685" t="s">
        <v>1381</v>
      </c>
      <c r="Q20" s="34">
        <v>86</v>
      </c>
      <c r="R20" s="34">
        <v>80</v>
      </c>
      <c r="S20" s="34">
        <v>80</v>
      </c>
      <c r="T20" s="34">
        <v>80</v>
      </c>
      <c r="U20" s="34">
        <v>80</v>
      </c>
      <c r="V20" s="34">
        <v>80</v>
      </c>
      <c r="W20" s="34">
        <v>80</v>
      </c>
      <c r="X20" s="3" t="s">
        <v>1341</v>
      </c>
      <c r="Y20" s="3" t="s">
        <v>1382</v>
      </c>
      <c r="Z20" s="3"/>
    </row>
    <row r="21" spans="2:26" s="1" customFormat="1" ht="110.25">
      <c r="B21" s="69"/>
      <c r="C21" s="652"/>
      <c r="D21" s="652"/>
      <c r="E21" s="652"/>
      <c r="F21" s="652"/>
      <c r="G21" s="652"/>
      <c r="H21" s="652"/>
      <c r="I21" s="652"/>
      <c r="J21" s="663">
        <v>1.02</v>
      </c>
      <c r="K21" s="651" t="s">
        <v>773</v>
      </c>
      <c r="L21" s="651">
        <v>24</v>
      </c>
      <c r="M21" s="696" t="s">
        <v>148</v>
      </c>
      <c r="N21" s="3" t="s">
        <v>1383</v>
      </c>
      <c r="O21" s="31" t="s">
        <v>701</v>
      </c>
      <c r="P21" s="685" t="s">
        <v>1384</v>
      </c>
      <c r="Q21" s="34">
        <v>100</v>
      </c>
      <c r="R21" s="34">
        <v>100</v>
      </c>
      <c r="S21" s="34">
        <v>100</v>
      </c>
      <c r="T21" s="34">
        <v>100</v>
      </c>
      <c r="U21" s="34">
        <v>100</v>
      </c>
      <c r="V21" s="34">
        <v>100</v>
      </c>
      <c r="W21" s="34">
        <v>100</v>
      </c>
      <c r="X21" s="3" t="s">
        <v>1341</v>
      </c>
      <c r="Y21" s="3" t="s">
        <v>1385</v>
      </c>
      <c r="Z21" s="3"/>
    </row>
    <row r="22" spans="2:26" s="1" customFormat="1" ht="173.25">
      <c r="B22" s="69"/>
      <c r="C22" s="652"/>
      <c r="D22" s="652"/>
      <c r="E22" s="652"/>
      <c r="F22" s="652"/>
      <c r="G22" s="652"/>
      <c r="H22" s="652"/>
      <c r="I22" s="652"/>
      <c r="J22" s="652"/>
      <c r="K22" s="652"/>
      <c r="L22" s="652"/>
      <c r="M22" s="652"/>
      <c r="N22" s="3" t="s">
        <v>1478</v>
      </c>
      <c r="O22" s="31" t="s">
        <v>701</v>
      </c>
      <c r="P22" s="31">
        <v>130.63999999999999</v>
      </c>
      <c r="Q22" s="31">
        <v>100</v>
      </c>
      <c r="R22" s="31">
        <v>100</v>
      </c>
      <c r="S22" s="31">
        <v>100</v>
      </c>
      <c r="T22" s="31">
        <v>100</v>
      </c>
      <c r="U22" s="31">
        <v>100</v>
      </c>
      <c r="V22" s="31">
        <v>100</v>
      </c>
      <c r="W22" s="31">
        <v>100</v>
      </c>
      <c r="X22" s="3" t="s">
        <v>1474</v>
      </c>
      <c r="Y22" s="3" t="s">
        <v>2058</v>
      </c>
      <c r="Z22" s="3"/>
    </row>
    <row r="23" spans="2:26" s="1" customFormat="1" ht="126">
      <c r="B23" s="69"/>
      <c r="C23" s="652"/>
      <c r="D23" s="652"/>
      <c r="E23" s="652"/>
      <c r="F23" s="652"/>
      <c r="G23" s="652"/>
      <c r="H23" s="652"/>
      <c r="I23" s="652"/>
      <c r="J23" s="663">
        <v>1.02</v>
      </c>
      <c r="K23" s="651" t="s">
        <v>773</v>
      </c>
      <c r="L23" s="651">
        <v>28</v>
      </c>
      <c r="M23" s="697" t="s">
        <v>1386</v>
      </c>
      <c r="N23" s="3" t="s">
        <v>1387</v>
      </c>
      <c r="O23" s="31" t="s">
        <v>701</v>
      </c>
      <c r="P23" s="687" t="s">
        <v>1348</v>
      </c>
      <c r="Q23" s="34">
        <v>100</v>
      </c>
      <c r="R23" s="34">
        <v>100</v>
      </c>
      <c r="S23" s="34">
        <v>100</v>
      </c>
      <c r="T23" s="34">
        <v>100</v>
      </c>
      <c r="U23" s="34">
        <v>100</v>
      </c>
      <c r="V23" s="34">
        <v>100</v>
      </c>
      <c r="W23" s="34">
        <v>100</v>
      </c>
      <c r="X23" s="3" t="s">
        <v>1341</v>
      </c>
      <c r="Y23" s="3" t="s">
        <v>1388</v>
      </c>
      <c r="Z23" s="3"/>
    </row>
    <row r="24" spans="2:26" s="1" customFormat="1" ht="252">
      <c r="B24" s="69"/>
      <c r="C24" s="652"/>
      <c r="D24" s="652"/>
      <c r="E24" s="652"/>
      <c r="F24" s="652"/>
      <c r="G24" s="652"/>
      <c r="H24" s="652"/>
      <c r="I24" s="653"/>
      <c r="J24" s="652"/>
      <c r="K24" s="652"/>
      <c r="L24" s="652"/>
      <c r="N24" s="3" t="s">
        <v>1389</v>
      </c>
      <c r="O24" s="31" t="s">
        <v>701</v>
      </c>
      <c r="P24" s="31">
        <v>100</v>
      </c>
      <c r="Q24" s="34">
        <v>100</v>
      </c>
      <c r="R24" s="34">
        <v>100</v>
      </c>
      <c r="S24" s="34">
        <v>100</v>
      </c>
      <c r="T24" s="34">
        <v>100</v>
      </c>
      <c r="U24" s="34">
        <v>100</v>
      </c>
      <c r="V24" s="34">
        <v>100</v>
      </c>
      <c r="W24" s="34">
        <v>100</v>
      </c>
      <c r="X24" s="3" t="s">
        <v>1341</v>
      </c>
      <c r="Y24" s="3" t="s">
        <v>1390</v>
      </c>
      <c r="Z24" s="3" t="s">
        <v>1391</v>
      </c>
    </row>
    <row r="25" spans="2:26" s="1" customFormat="1" ht="102" customHeight="1">
      <c r="B25" s="69"/>
      <c r="C25" s="651">
        <v>2</v>
      </c>
      <c r="D25" s="651" t="s">
        <v>1392</v>
      </c>
      <c r="E25" s="651">
        <v>2</v>
      </c>
      <c r="F25" s="651" t="s">
        <v>1393</v>
      </c>
      <c r="G25" s="651" t="s">
        <v>1394</v>
      </c>
      <c r="H25" s="651"/>
      <c r="I25" s="879" t="s">
        <v>4977</v>
      </c>
      <c r="J25" s="3"/>
      <c r="K25" s="3"/>
      <c r="L25" s="3"/>
      <c r="M25" s="3"/>
      <c r="N25" s="3"/>
      <c r="O25" s="31"/>
      <c r="P25" s="31"/>
      <c r="Q25" s="31"/>
      <c r="R25" s="31"/>
      <c r="S25" s="31"/>
      <c r="T25" s="31"/>
      <c r="U25" s="31"/>
      <c r="V25" s="31"/>
      <c r="W25" s="3"/>
      <c r="X25" s="3"/>
      <c r="Y25" s="3"/>
      <c r="Z25" s="3"/>
    </row>
    <row r="26" spans="2:26" s="1" customFormat="1" ht="157.5">
      <c r="B26" s="69"/>
      <c r="C26" s="652"/>
      <c r="D26" s="652"/>
      <c r="E26" s="652"/>
      <c r="F26" s="652"/>
      <c r="G26" s="652"/>
      <c r="H26" s="652"/>
      <c r="I26" s="652"/>
      <c r="J26" s="663">
        <v>1.02</v>
      </c>
      <c r="K26" s="651" t="s">
        <v>773</v>
      </c>
      <c r="L26" s="651">
        <v>22</v>
      </c>
      <c r="M26" s="682" t="s">
        <v>1395</v>
      </c>
      <c r="N26" s="3" t="s">
        <v>1396</v>
      </c>
      <c r="O26" s="31" t="s">
        <v>701</v>
      </c>
      <c r="P26" s="698" t="s">
        <v>1397</v>
      </c>
      <c r="Q26" s="699">
        <v>87</v>
      </c>
      <c r="R26" s="699" t="s">
        <v>1398</v>
      </c>
      <c r="S26" s="699" t="s">
        <v>1398</v>
      </c>
      <c r="T26" s="699" t="s">
        <v>1398</v>
      </c>
      <c r="U26" s="699" t="s">
        <v>1398</v>
      </c>
      <c r="V26" s="699" t="s">
        <v>1398</v>
      </c>
      <c r="W26" s="699" t="s">
        <v>1398</v>
      </c>
      <c r="X26" s="3" t="s">
        <v>1341</v>
      </c>
      <c r="Y26" s="3" t="s">
        <v>1399</v>
      </c>
      <c r="Z26" s="3"/>
    </row>
    <row r="27" spans="2:26" s="1" customFormat="1" ht="110.25">
      <c r="B27" s="69"/>
      <c r="C27" s="652"/>
      <c r="D27" s="652"/>
      <c r="E27" s="652"/>
      <c r="F27" s="652"/>
      <c r="G27" s="652"/>
      <c r="H27" s="652"/>
      <c r="I27" s="652"/>
      <c r="J27" s="652"/>
      <c r="K27" s="652"/>
      <c r="L27" s="652"/>
      <c r="M27" s="652"/>
      <c r="N27" s="3" t="s">
        <v>1400</v>
      </c>
      <c r="O27" s="31" t="s">
        <v>701</v>
      </c>
      <c r="P27" s="34">
        <v>38.700000000000003</v>
      </c>
      <c r="Q27" s="34">
        <v>70</v>
      </c>
      <c r="R27" s="34">
        <v>70</v>
      </c>
      <c r="S27" s="34">
        <v>70</v>
      </c>
      <c r="T27" s="34">
        <v>70</v>
      </c>
      <c r="U27" s="34">
        <v>70</v>
      </c>
      <c r="V27" s="34">
        <v>70</v>
      </c>
      <c r="W27" s="34">
        <v>70</v>
      </c>
      <c r="X27" s="689" t="s">
        <v>1341</v>
      </c>
      <c r="Y27" s="3" t="s">
        <v>1401</v>
      </c>
      <c r="Z27" s="3" t="s">
        <v>1402</v>
      </c>
    </row>
    <row r="28" spans="2:26" s="1" customFormat="1" ht="94.5">
      <c r="B28" s="69"/>
      <c r="C28" s="652"/>
      <c r="D28" s="652"/>
      <c r="E28" s="652"/>
      <c r="F28" s="652"/>
      <c r="G28" s="652"/>
      <c r="H28" s="652"/>
      <c r="I28" s="652"/>
      <c r="J28" s="652"/>
      <c r="K28" s="652"/>
      <c r="L28" s="652"/>
      <c r="M28" s="652"/>
      <c r="N28" s="3" t="s">
        <v>1403</v>
      </c>
      <c r="O28" s="31" t="s">
        <v>701</v>
      </c>
      <c r="P28" s="31">
        <v>8.7999999999999995E-2</v>
      </c>
      <c r="Q28" s="693">
        <v>3.8999999999999998E-3</v>
      </c>
      <c r="R28" s="693" t="s">
        <v>1405</v>
      </c>
      <c r="S28" s="693" t="s">
        <v>1404</v>
      </c>
      <c r="T28" s="693" t="s">
        <v>1405</v>
      </c>
      <c r="U28" s="693" t="s">
        <v>1404</v>
      </c>
      <c r="V28" s="693" t="s">
        <v>1405</v>
      </c>
      <c r="W28" s="693" t="s">
        <v>1404</v>
      </c>
      <c r="X28" s="689" t="s">
        <v>1341</v>
      </c>
      <c r="Y28" s="3" t="s">
        <v>1406</v>
      </c>
      <c r="Z28" s="3"/>
    </row>
    <row r="29" spans="2:26" s="1" customFormat="1" ht="141.75">
      <c r="B29" s="69"/>
      <c r="C29" s="652"/>
      <c r="D29" s="652"/>
      <c r="E29" s="652"/>
      <c r="F29" s="652"/>
      <c r="G29" s="652"/>
      <c r="H29" s="652"/>
      <c r="I29" s="652"/>
      <c r="J29" s="652"/>
      <c r="K29" s="652"/>
      <c r="L29" s="652"/>
      <c r="M29" s="652"/>
      <c r="N29" s="3" t="s">
        <v>1407</v>
      </c>
      <c r="O29" s="31" t="s">
        <v>701</v>
      </c>
      <c r="P29" s="31" t="s">
        <v>2036</v>
      </c>
      <c r="Q29" s="31">
        <v>60</v>
      </c>
      <c r="R29" s="31">
        <v>60</v>
      </c>
      <c r="S29" s="31">
        <v>62.5</v>
      </c>
      <c r="T29" s="31">
        <v>65</v>
      </c>
      <c r="U29" s="31">
        <v>67.5</v>
      </c>
      <c r="V29" s="31">
        <v>70</v>
      </c>
      <c r="W29" s="31">
        <f>V29</f>
        <v>70</v>
      </c>
      <c r="X29" s="689" t="s">
        <v>1341</v>
      </c>
      <c r="Y29" s="3" t="s">
        <v>1408</v>
      </c>
      <c r="Z29" s="3"/>
    </row>
    <row r="30" spans="2:26" s="1" customFormat="1" ht="110.25">
      <c r="B30" s="69"/>
      <c r="C30" s="652"/>
      <c r="D30" s="652"/>
      <c r="E30" s="652"/>
      <c r="F30" s="652"/>
      <c r="G30" s="652"/>
      <c r="H30" s="652"/>
      <c r="I30" s="652"/>
      <c r="J30" s="652"/>
      <c r="K30" s="652"/>
      <c r="L30" s="652"/>
      <c r="M30" s="652"/>
      <c r="N30" s="3" t="s">
        <v>1409</v>
      </c>
      <c r="O30" s="31" t="s">
        <v>701</v>
      </c>
      <c r="P30" s="700">
        <v>28.5</v>
      </c>
      <c r="Q30" s="700">
        <v>60</v>
      </c>
      <c r="R30" s="700">
        <v>60</v>
      </c>
      <c r="S30" s="701">
        <v>65</v>
      </c>
      <c r="T30" s="701">
        <v>65</v>
      </c>
      <c r="U30" s="701">
        <v>70</v>
      </c>
      <c r="V30" s="701">
        <v>70</v>
      </c>
      <c r="W30" s="701">
        <v>70</v>
      </c>
      <c r="X30" s="689" t="s">
        <v>1341</v>
      </c>
      <c r="Y30" s="3" t="s">
        <v>1410</v>
      </c>
      <c r="Z30" s="3" t="s">
        <v>1411</v>
      </c>
    </row>
    <row r="31" spans="2:26" s="1" customFormat="1" ht="173.25">
      <c r="B31" s="69"/>
      <c r="C31" s="652"/>
      <c r="D31" s="652"/>
      <c r="E31" s="652"/>
      <c r="F31" s="652"/>
      <c r="G31" s="652"/>
      <c r="H31" s="652"/>
      <c r="I31" s="652"/>
      <c r="J31" s="652"/>
      <c r="K31" s="652"/>
      <c r="L31" s="652"/>
      <c r="M31" s="652"/>
      <c r="N31" s="3" t="s">
        <v>1412</v>
      </c>
      <c r="O31" s="31" t="s">
        <v>701</v>
      </c>
      <c r="P31" s="702">
        <v>62.9</v>
      </c>
      <c r="Q31" s="702">
        <v>90</v>
      </c>
      <c r="R31" s="702">
        <v>90</v>
      </c>
      <c r="S31" s="702">
        <v>90</v>
      </c>
      <c r="T31" s="702">
        <v>90</v>
      </c>
      <c r="U31" s="702">
        <v>90</v>
      </c>
      <c r="V31" s="702">
        <v>90</v>
      </c>
      <c r="W31" s="702">
        <v>90</v>
      </c>
      <c r="X31" s="3" t="s">
        <v>1341</v>
      </c>
      <c r="Y31" s="3" t="s">
        <v>1413</v>
      </c>
      <c r="Z31" s="3" t="s">
        <v>1414</v>
      </c>
    </row>
    <row r="32" spans="2:26" s="1" customFormat="1" ht="141.75">
      <c r="B32" s="69"/>
      <c r="C32" s="652"/>
      <c r="D32" s="652"/>
      <c r="E32" s="652"/>
      <c r="F32" s="652"/>
      <c r="G32" s="652"/>
      <c r="H32" s="652"/>
      <c r="I32" s="652"/>
      <c r="J32" s="652"/>
      <c r="K32" s="652"/>
      <c r="L32" s="652"/>
      <c r="M32" s="652"/>
      <c r="N32" s="3" t="s">
        <v>1415</v>
      </c>
      <c r="O32" s="31"/>
      <c r="P32" s="693">
        <v>0.79</v>
      </c>
      <c r="Q32" s="693" t="s">
        <v>1416</v>
      </c>
      <c r="R32" s="693" t="s">
        <v>1417</v>
      </c>
      <c r="S32" s="703" t="s">
        <v>1417</v>
      </c>
      <c r="T32" s="703" t="s">
        <v>1417</v>
      </c>
      <c r="U32" s="703" t="s">
        <v>1417</v>
      </c>
      <c r="V32" s="703" t="s">
        <v>1417</v>
      </c>
      <c r="W32" s="704" t="s">
        <v>1417</v>
      </c>
      <c r="X32" s="689" t="s">
        <v>1341</v>
      </c>
      <c r="Y32" s="3" t="s">
        <v>1418</v>
      </c>
      <c r="Z32" s="3"/>
    </row>
    <row r="33" spans="2:26" s="1" customFormat="1" ht="78.75">
      <c r="B33" s="69"/>
      <c r="C33" s="652"/>
      <c r="D33" s="652"/>
      <c r="E33" s="652"/>
      <c r="F33" s="652"/>
      <c r="G33" s="652"/>
      <c r="H33" s="652"/>
      <c r="I33" s="652"/>
      <c r="J33" s="652"/>
      <c r="K33" s="652"/>
      <c r="L33" s="652"/>
      <c r="M33" s="652"/>
      <c r="N33" s="3" t="s">
        <v>1419</v>
      </c>
      <c r="O33" s="31"/>
      <c r="P33" s="693" t="s">
        <v>1416</v>
      </c>
      <c r="Q33" s="693" t="s">
        <v>1416</v>
      </c>
      <c r="R33" s="693" t="s">
        <v>1416</v>
      </c>
      <c r="S33" s="693" t="s">
        <v>1416</v>
      </c>
      <c r="T33" s="693" t="s">
        <v>1416</v>
      </c>
      <c r="U33" s="693" t="s">
        <v>1416</v>
      </c>
      <c r="V33" s="693" t="s">
        <v>1416</v>
      </c>
      <c r="W33" s="705" t="s">
        <v>1416</v>
      </c>
      <c r="X33" s="689" t="s">
        <v>1341</v>
      </c>
      <c r="Y33" s="3" t="s">
        <v>1420</v>
      </c>
      <c r="Z33" s="3"/>
    </row>
    <row r="34" spans="2:26" s="1" customFormat="1" ht="78.75">
      <c r="B34" s="69"/>
      <c r="C34" s="652"/>
      <c r="D34" s="652"/>
      <c r="E34" s="652"/>
      <c r="F34" s="652"/>
      <c r="G34" s="652"/>
      <c r="H34" s="652"/>
      <c r="I34" s="652"/>
      <c r="J34" s="652"/>
      <c r="K34" s="652"/>
      <c r="L34" s="652"/>
      <c r="M34" s="652"/>
      <c r="N34" s="3" t="s">
        <v>1421</v>
      </c>
      <c r="O34" s="31" t="s">
        <v>701</v>
      </c>
      <c r="P34" s="693">
        <v>0.56999999999999995</v>
      </c>
      <c r="Q34" s="693" t="s">
        <v>1422</v>
      </c>
      <c r="R34" s="693" t="s">
        <v>1422</v>
      </c>
      <c r="S34" s="693" t="s">
        <v>1422</v>
      </c>
      <c r="T34" s="693" t="s">
        <v>1422</v>
      </c>
      <c r="U34" s="693" t="s">
        <v>1422</v>
      </c>
      <c r="V34" s="693" t="s">
        <v>1422</v>
      </c>
      <c r="W34" s="705" t="s">
        <v>1422</v>
      </c>
      <c r="X34" s="689" t="s">
        <v>1341</v>
      </c>
      <c r="Y34" s="3" t="s">
        <v>1423</v>
      </c>
      <c r="Z34" s="3"/>
    </row>
    <row r="35" spans="2:26" s="1" customFormat="1" ht="157.5">
      <c r="B35" s="69"/>
      <c r="C35" s="652"/>
      <c r="D35" s="652"/>
      <c r="E35" s="652"/>
      <c r="F35" s="652"/>
      <c r="G35" s="652"/>
      <c r="H35" s="652"/>
      <c r="I35" s="652"/>
      <c r="J35" s="652"/>
      <c r="K35" s="652"/>
      <c r="L35" s="652"/>
      <c r="M35" s="652"/>
      <c r="N35" s="3" t="s">
        <v>1424</v>
      </c>
      <c r="O35" s="31" t="s">
        <v>701</v>
      </c>
      <c r="P35" s="693">
        <v>0</v>
      </c>
      <c r="Q35" s="693" t="s">
        <v>1997</v>
      </c>
      <c r="R35" s="693" t="s">
        <v>1416</v>
      </c>
      <c r="S35" s="693" t="s">
        <v>1416</v>
      </c>
      <c r="T35" s="693" t="s">
        <v>1416</v>
      </c>
      <c r="U35" s="693" t="s">
        <v>1416</v>
      </c>
      <c r="V35" s="693" t="s">
        <v>1416</v>
      </c>
      <c r="W35" s="693" t="s">
        <v>1416</v>
      </c>
      <c r="X35" s="689" t="s">
        <v>1341</v>
      </c>
      <c r="Y35" s="3" t="s">
        <v>1425</v>
      </c>
      <c r="Z35" s="3"/>
    </row>
    <row r="36" spans="2:26" s="1" customFormat="1" ht="78.75">
      <c r="B36" s="69"/>
      <c r="C36" s="652"/>
      <c r="D36" s="652"/>
      <c r="E36" s="652"/>
      <c r="F36" s="652"/>
      <c r="G36" s="652"/>
      <c r="H36" s="652"/>
      <c r="I36" s="652"/>
      <c r="J36" s="652"/>
      <c r="K36" s="652"/>
      <c r="L36" s="652"/>
      <c r="M36" s="652"/>
      <c r="N36" s="3" t="s">
        <v>1426</v>
      </c>
      <c r="O36" s="31" t="s">
        <v>701</v>
      </c>
      <c r="P36" s="700">
        <v>100</v>
      </c>
      <c r="Q36" s="700">
        <v>100</v>
      </c>
      <c r="R36" s="700">
        <v>100</v>
      </c>
      <c r="S36" s="700">
        <v>100</v>
      </c>
      <c r="T36" s="700">
        <v>100</v>
      </c>
      <c r="U36" s="700">
        <v>100</v>
      </c>
      <c r="V36" s="700">
        <v>100</v>
      </c>
      <c r="W36" s="700">
        <v>100</v>
      </c>
      <c r="X36" s="689" t="s">
        <v>1341</v>
      </c>
      <c r="Y36" s="3" t="s">
        <v>1427</v>
      </c>
      <c r="Z36" s="3"/>
    </row>
    <row r="37" spans="2:26" s="1" customFormat="1" ht="63">
      <c r="B37" s="69"/>
      <c r="C37" s="652"/>
      <c r="D37" s="652"/>
      <c r="E37" s="652"/>
      <c r="F37" s="652"/>
      <c r="G37" s="652"/>
      <c r="H37" s="652"/>
      <c r="I37" s="652"/>
      <c r="J37" s="652"/>
      <c r="K37" s="652"/>
      <c r="L37" s="652"/>
      <c r="M37" s="652"/>
      <c r="N37" s="3" t="s">
        <v>4654</v>
      </c>
      <c r="O37" s="31" t="s">
        <v>701</v>
      </c>
      <c r="P37" s="34">
        <v>99.65</v>
      </c>
      <c r="Q37" s="700">
        <v>100</v>
      </c>
      <c r="R37" s="700">
        <v>100</v>
      </c>
      <c r="S37" s="700">
        <v>100</v>
      </c>
      <c r="T37" s="700">
        <v>100</v>
      </c>
      <c r="U37" s="700">
        <v>100</v>
      </c>
      <c r="V37" s="700">
        <v>100</v>
      </c>
      <c r="W37" s="700">
        <v>100</v>
      </c>
      <c r="X37" s="689" t="s">
        <v>1341</v>
      </c>
      <c r="Y37" s="3" t="s">
        <v>1428</v>
      </c>
      <c r="Z37" s="3"/>
    </row>
    <row r="38" spans="2:26" s="1" customFormat="1" ht="126">
      <c r="B38" s="69"/>
      <c r="C38" s="652"/>
      <c r="D38" s="652"/>
      <c r="E38" s="652"/>
      <c r="F38" s="652"/>
      <c r="G38" s="652"/>
      <c r="H38" s="652"/>
      <c r="I38" s="652"/>
      <c r="J38" s="652"/>
      <c r="K38" s="652"/>
      <c r="L38" s="652"/>
      <c r="M38" s="652"/>
      <c r="N38" s="3" t="s">
        <v>1429</v>
      </c>
      <c r="O38" s="31" t="s">
        <v>701</v>
      </c>
      <c r="P38" s="686">
        <v>95</v>
      </c>
      <c r="Q38" s="686">
        <v>95</v>
      </c>
      <c r="R38" s="686">
        <v>95</v>
      </c>
      <c r="S38" s="686">
        <v>95</v>
      </c>
      <c r="T38" s="686">
        <v>95</v>
      </c>
      <c r="U38" s="686">
        <v>95</v>
      </c>
      <c r="V38" s="686">
        <v>95</v>
      </c>
      <c r="W38" s="686">
        <v>95</v>
      </c>
      <c r="X38" s="689" t="s">
        <v>1341</v>
      </c>
      <c r="Y38" s="3" t="s">
        <v>1430</v>
      </c>
      <c r="Z38" s="3"/>
    </row>
    <row r="39" spans="2:26" s="1" customFormat="1" ht="110.25">
      <c r="B39" s="69"/>
      <c r="C39" s="652"/>
      <c r="D39" s="652"/>
      <c r="E39" s="652"/>
      <c r="F39" s="652"/>
      <c r="G39" s="652"/>
      <c r="H39" s="652"/>
      <c r="I39" s="652"/>
      <c r="J39" s="652"/>
      <c r="K39" s="652"/>
      <c r="L39" s="652"/>
      <c r="M39" s="652"/>
      <c r="N39" s="3" t="s">
        <v>4655</v>
      </c>
      <c r="O39" s="31" t="s">
        <v>4632</v>
      </c>
      <c r="P39" s="31" t="s">
        <v>2351</v>
      </c>
      <c r="Q39" s="31" t="s">
        <v>1431</v>
      </c>
      <c r="R39" s="31" t="s">
        <v>1431</v>
      </c>
      <c r="S39" s="31" t="s">
        <v>1431</v>
      </c>
      <c r="T39" s="31" t="s">
        <v>1431</v>
      </c>
      <c r="U39" s="31" t="s">
        <v>1431</v>
      </c>
      <c r="V39" s="31" t="s">
        <v>1431</v>
      </c>
      <c r="W39" s="706" t="s">
        <v>1431</v>
      </c>
      <c r="X39" s="689" t="s">
        <v>1341</v>
      </c>
      <c r="Y39" s="3" t="s">
        <v>1432</v>
      </c>
      <c r="Z39" s="3"/>
    </row>
    <row r="40" spans="2:26" s="1" customFormat="1" ht="110.25">
      <c r="B40" s="69"/>
      <c r="C40" s="652"/>
      <c r="D40" s="652"/>
      <c r="E40" s="652"/>
      <c r="F40" s="652"/>
      <c r="G40" s="652"/>
      <c r="H40" s="652"/>
      <c r="I40" s="652"/>
      <c r="J40" s="652"/>
      <c r="K40" s="652"/>
      <c r="L40" s="652"/>
      <c r="M40" s="652"/>
      <c r="N40" s="3" t="s">
        <v>1433</v>
      </c>
      <c r="O40" s="31" t="s">
        <v>701</v>
      </c>
      <c r="P40" s="34">
        <v>96.15</v>
      </c>
      <c r="Q40" s="700">
        <v>100</v>
      </c>
      <c r="R40" s="700">
        <v>100</v>
      </c>
      <c r="S40" s="700">
        <v>100</v>
      </c>
      <c r="T40" s="700">
        <v>100</v>
      </c>
      <c r="U40" s="700">
        <v>100</v>
      </c>
      <c r="V40" s="700">
        <v>100</v>
      </c>
      <c r="W40" s="700">
        <v>100</v>
      </c>
      <c r="X40" s="689" t="s">
        <v>1341</v>
      </c>
      <c r="Y40" s="3" t="s">
        <v>1434</v>
      </c>
      <c r="Z40" s="3"/>
    </row>
    <row r="41" spans="2:26" s="1" customFormat="1" ht="94.5">
      <c r="B41" s="69"/>
      <c r="C41" s="653"/>
      <c r="D41" s="653"/>
      <c r="E41" s="653"/>
      <c r="F41" s="653"/>
      <c r="G41" s="653"/>
      <c r="H41" s="652"/>
      <c r="I41" s="653"/>
      <c r="J41" s="653"/>
      <c r="K41" s="653"/>
      <c r="L41" s="653"/>
      <c r="M41" s="653"/>
      <c r="N41" s="3" t="s">
        <v>1435</v>
      </c>
      <c r="O41" s="31" t="s">
        <v>701</v>
      </c>
      <c r="P41" s="700">
        <v>100</v>
      </c>
      <c r="Q41" s="700">
        <v>100</v>
      </c>
      <c r="R41" s="700">
        <v>100</v>
      </c>
      <c r="S41" s="700">
        <v>100</v>
      </c>
      <c r="T41" s="700">
        <v>100</v>
      </c>
      <c r="U41" s="700">
        <v>100</v>
      </c>
      <c r="V41" s="700">
        <v>100</v>
      </c>
      <c r="W41" s="700">
        <v>100</v>
      </c>
      <c r="X41" s="689" t="s">
        <v>1341</v>
      </c>
      <c r="Y41" s="3" t="s">
        <v>1436</v>
      </c>
      <c r="Z41" s="3"/>
    </row>
    <row r="42" spans="2:26" s="1" customFormat="1" ht="63">
      <c r="B42" s="69"/>
      <c r="C42" s="651">
        <v>3</v>
      </c>
      <c r="D42" s="651" t="s">
        <v>1437</v>
      </c>
      <c r="E42" s="651">
        <v>3</v>
      </c>
      <c r="F42" s="651" t="s">
        <v>1438</v>
      </c>
      <c r="G42" s="651" t="s">
        <v>1439</v>
      </c>
      <c r="H42" s="651"/>
      <c r="I42" s="879" t="s">
        <v>4978</v>
      </c>
      <c r="J42" s="3"/>
      <c r="K42" s="3"/>
      <c r="L42" s="3"/>
      <c r="M42" s="3"/>
      <c r="N42" s="3"/>
      <c r="O42" s="31"/>
      <c r="P42" s="31"/>
      <c r="Q42" s="31"/>
      <c r="R42" s="31"/>
      <c r="S42" s="31"/>
      <c r="T42" s="31"/>
      <c r="U42" s="31"/>
      <c r="V42" s="31"/>
      <c r="W42" s="3"/>
      <c r="X42" s="3"/>
      <c r="Y42" s="3"/>
      <c r="Z42" s="3"/>
    </row>
    <row r="43" spans="2:26" s="1" customFormat="1" ht="78.75">
      <c r="B43" s="69"/>
      <c r="C43" s="652"/>
      <c r="D43" s="652"/>
      <c r="E43" s="652"/>
      <c r="F43" s="652"/>
      <c r="G43" s="652"/>
      <c r="H43" s="652"/>
      <c r="I43" s="652"/>
      <c r="J43" s="663">
        <v>1.02</v>
      </c>
      <c r="K43" s="651" t="s">
        <v>773</v>
      </c>
      <c r="L43" s="651">
        <v>20</v>
      </c>
      <c r="M43" s="651" t="s">
        <v>1440</v>
      </c>
      <c r="N43" s="3" t="s">
        <v>1441</v>
      </c>
      <c r="O43" s="31" t="s">
        <v>701</v>
      </c>
      <c r="P43" s="700">
        <v>11.2</v>
      </c>
      <c r="Q43" s="700">
        <v>15.5</v>
      </c>
      <c r="R43" s="700">
        <v>15.5</v>
      </c>
      <c r="S43" s="700">
        <v>15.5</v>
      </c>
      <c r="T43" s="700">
        <v>15.5</v>
      </c>
      <c r="U43" s="700">
        <v>15.5</v>
      </c>
      <c r="V43" s="700">
        <v>15.5</v>
      </c>
      <c r="W43" s="700">
        <v>15.5</v>
      </c>
      <c r="X43" s="689" t="s">
        <v>1341</v>
      </c>
      <c r="Y43" s="3" t="s">
        <v>1442</v>
      </c>
      <c r="Z43" s="3"/>
    </row>
    <row r="44" spans="2:26" s="1" customFormat="1" ht="78.75">
      <c r="B44" s="69"/>
      <c r="C44" s="652"/>
      <c r="D44" s="652"/>
      <c r="E44" s="652"/>
      <c r="F44" s="652"/>
      <c r="G44" s="652"/>
      <c r="H44" s="652"/>
      <c r="I44" s="652"/>
      <c r="J44" s="652"/>
      <c r="K44" s="652"/>
      <c r="L44" s="652"/>
      <c r="M44" s="652"/>
      <c r="N44" s="3" t="s">
        <v>1443</v>
      </c>
      <c r="O44" s="31" t="s">
        <v>701</v>
      </c>
      <c r="P44" s="707">
        <v>0.04</v>
      </c>
      <c r="Q44" s="707" t="s">
        <v>1444</v>
      </c>
      <c r="R44" s="707" t="s">
        <v>1444</v>
      </c>
      <c r="S44" s="707" t="s">
        <v>1444</v>
      </c>
      <c r="T44" s="707" t="s">
        <v>1444</v>
      </c>
      <c r="U44" s="707" t="s">
        <v>1444</v>
      </c>
      <c r="V44" s="707" t="s">
        <v>1444</v>
      </c>
      <c r="W44" s="707" t="s">
        <v>1444</v>
      </c>
      <c r="X44" s="689"/>
      <c r="Y44" s="3" t="s">
        <v>1445</v>
      </c>
      <c r="Z44" s="3"/>
    </row>
    <row r="45" spans="2:26" s="1" customFormat="1" ht="110.25">
      <c r="B45" s="69"/>
      <c r="C45" s="652"/>
      <c r="D45" s="652"/>
      <c r="E45" s="652"/>
      <c r="F45" s="652"/>
      <c r="G45" s="652"/>
      <c r="H45" s="652"/>
      <c r="I45" s="652"/>
      <c r="J45" s="652"/>
      <c r="K45" s="652"/>
      <c r="L45" s="652"/>
      <c r="M45" s="652"/>
      <c r="N45" s="3" t="s">
        <v>1446</v>
      </c>
      <c r="O45" s="31" t="s">
        <v>701</v>
      </c>
      <c r="P45" s="34">
        <v>100</v>
      </c>
      <c r="Q45" s="34">
        <v>100</v>
      </c>
      <c r="R45" s="34">
        <v>100</v>
      </c>
      <c r="S45" s="34">
        <v>100</v>
      </c>
      <c r="T45" s="34">
        <v>100</v>
      </c>
      <c r="U45" s="34">
        <v>100</v>
      </c>
      <c r="V45" s="34">
        <v>100</v>
      </c>
      <c r="W45" s="34">
        <v>100</v>
      </c>
      <c r="X45" s="689" t="s">
        <v>1341</v>
      </c>
      <c r="Y45" s="3" t="s">
        <v>1447</v>
      </c>
      <c r="Z45" s="3"/>
    </row>
    <row r="46" spans="2:26" s="1" customFormat="1" ht="110.25">
      <c r="B46" s="69"/>
      <c r="C46" s="652"/>
      <c r="D46" s="652"/>
      <c r="E46" s="652"/>
      <c r="F46" s="652"/>
      <c r="G46" s="652"/>
      <c r="H46" s="652"/>
      <c r="I46" s="652"/>
      <c r="J46" s="652"/>
      <c r="K46" s="652"/>
      <c r="L46" s="652"/>
      <c r="M46" s="652"/>
      <c r="N46" s="3" t="s">
        <v>1448</v>
      </c>
      <c r="O46" s="31" t="s">
        <v>701</v>
      </c>
      <c r="P46" s="34">
        <v>100</v>
      </c>
      <c r="Q46" s="34">
        <v>100</v>
      </c>
      <c r="R46" s="34">
        <v>100</v>
      </c>
      <c r="S46" s="34">
        <v>100</v>
      </c>
      <c r="T46" s="34">
        <v>100</v>
      </c>
      <c r="U46" s="34">
        <v>100</v>
      </c>
      <c r="V46" s="34">
        <v>100</v>
      </c>
      <c r="W46" s="34">
        <v>100</v>
      </c>
      <c r="X46" s="3" t="s">
        <v>1341</v>
      </c>
      <c r="Y46" s="3" t="s">
        <v>1449</v>
      </c>
      <c r="Z46" s="3"/>
    </row>
    <row r="47" spans="2:26" s="1" customFormat="1" ht="63">
      <c r="B47" s="69"/>
      <c r="C47" s="651">
        <v>4</v>
      </c>
      <c r="D47" s="651" t="s">
        <v>1450</v>
      </c>
      <c r="E47" s="651">
        <v>4</v>
      </c>
      <c r="F47" s="651" t="s">
        <v>1451</v>
      </c>
      <c r="G47" s="651" t="s">
        <v>1452</v>
      </c>
      <c r="H47" s="651"/>
      <c r="I47" s="879" t="s">
        <v>4979</v>
      </c>
      <c r="J47" s="3"/>
      <c r="K47" s="3"/>
      <c r="L47" s="3"/>
      <c r="M47" s="3"/>
      <c r="N47" s="3"/>
      <c r="O47" s="31"/>
      <c r="P47" s="31"/>
      <c r="Q47" s="31"/>
      <c r="R47" s="31"/>
      <c r="S47" s="31"/>
      <c r="T47" s="31"/>
      <c r="U47" s="31"/>
      <c r="V47" s="31"/>
      <c r="W47" s="3"/>
      <c r="X47" s="3"/>
      <c r="Y47" s="3"/>
      <c r="Z47" s="3"/>
    </row>
    <row r="48" spans="2:26" s="1" customFormat="1" ht="78.75">
      <c r="B48" s="69"/>
      <c r="C48" s="652"/>
      <c r="D48" s="652"/>
      <c r="E48" s="652"/>
      <c r="F48" s="652"/>
      <c r="G48" s="652"/>
      <c r="H48" s="652"/>
      <c r="I48" s="652"/>
      <c r="J48" s="663">
        <v>1.02</v>
      </c>
      <c r="K48" s="651" t="s">
        <v>773</v>
      </c>
      <c r="L48" s="3">
        <v>15</v>
      </c>
      <c r="M48" s="3" t="s">
        <v>1453</v>
      </c>
      <c r="N48" s="651" t="s">
        <v>1454</v>
      </c>
      <c r="O48" s="673" t="s">
        <v>701</v>
      </c>
      <c r="P48" s="708">
        <v>98.6</v>
      </c>
      <c r="Q48" s="708">
        <v>100</v>
      </c>
      <c r="R48" s="708">
        <v>90</v>
      </c>
      <c r="S48" s="708">
        <v>90</v>
      </c>
      <c r="T48" s="708">
        <v>90</v>
      </c>
      <c r="U48" s="708">
        <v>90</v>
      </c>
      <c r="V48" s="708">
        <v>90</v>
      </c>
      <c r="W48" s="708">
        <v>90</v>
      </c>
      <c r="X48" s="651" t="s">
        <v>1341</v>
      </c>
      <c r="Y48" s="136" t="s">
        <v>1455</v>
      </c>
      <c r="Z48" s="1154" t="s">
        <v>1456</v>
      </c>
    </row>
    <row r="49" spans="2:26" s="1" customFormat="1" ht="31.5">
      <c r="B49" s="69"/>
      <c r="C49" s="653"/>
      <c r="D49" s="653"/>
      <c r="E49" s="653"/>
      <c r="F49" s="653"/>
      <c r="G49" s="653"/>
      <c r="H49" s="652"/>
      <c r="I49" s="653"/>
      <c r="J49" s="663">
        <v>1.02</v>
      </c>
      <c r="K49" s="651" t="s">
        <v>773</v>
      </c>
      <c r="L49" s="3">
        <v>17</v>
      </c>
      <c r="M49" s="3" t="s">
        <v>150</v>
      </c>
      <c r="N49" s="709"/>
      <c r="O49" s="675"/>
      <c r="P49" s="510"/>
      <c r="Q49" s="510"/>
      <c r="R49" s="510"/>
      <c r="S49" s="510"/>
      <c r="T49" s="510"/>
      <c r="U49" s="510"/>
      <c r="V49" s="510"/>
      <c r="W49" s="710"/>
      <c r="X49" s="653"/>
      <c r="Y49" s="538"/>
      <c r="Z49" s="1156"/>
    </row>
    <row r="50" spans="2:26" s="1" customFormat="1" ht="94.5">
      <c r="B50" s="69"/>
      <c r="C50" s="651">
        <v>5</v>
      </c>
      <c r="D50" s="651" t="s">
        <v>1457</v>
      </c>
      <c r="E50" s="651">
        <v>5</v>
      </c>
      <c r="F50" s="651" t="s">
        <v>1458</v>
      </c>
      <c r="G50" s="651" t="s">
        <v>1459</v>
      </c>
      <c r="H50" s="651"/>
      <c r="I50" s="879" t="s">
        <v>4980</v>
      </c>
      <c r="J50" s="3"/>
      <c r="K50" s="3"/>
      <c r="L50" s="3"/>
      <c r="M50" s="3"/>
      <c r="N50" s="3"/>
      <c r="O50" s="31"/>
      <c r="P50" s="34"/>
      <c r="Q50" s="34"/>
      <c r="R50" s="34"/>
      <c r="S50" s="34"/>
      <c r="T50" s="34"/>
      <c r="U50" s="34"/>
      <c r="V50" s="34"/>
      <c r="W50" s="30"/>
      <c r="X50" s="3"/>
      <c r="Y50" s="3"/>
      <c r="Z50" s="3"/>
    </row>
    <row r="51" spans="2:26" s="1" customFormat="1" ht="94.5">
      <c r="B51" s="69"/>
      <c r="C51" s="652"/>
      <c r="D51" s="652"/>
      <c r="E51" s="652"/>
      <c r="F51" s="652"/>
      <c r="G51" s="652"/>
      <c r="H51" s="652"/>
      <c r="I51" s="652"/>
      <c r="J51" s="663">
        <v>1.02</v>
      </c>
      <c r="K51" s="651" t="s">
        <v>773</v>
      </c>
      <c r="L51" s="651">
        <v>23</v>
      </c>
      <c r="M51" s="651" t="s">
        <v>1460</v>
      </c>
      <c r="N51" s="3" t="s">
        <v>1461</v>
      </c>
      <c r="O51" s="31" t="s">
        <v>701</v>
      </c>
      <c r="P51" s="34" t="s">
        <v>2036</v>
      </c>
      <c r="Q51" s="34" t="s">
        <v>2036</v>
      </c>
      <c r="R51" s="34">
        <v>65</v>
      </c>
      <c r="S51" s="34">
        <v>66.25</v>
      </c>
      <c r="T51" s="34">
        <v>67</v>
      </c>
      <c r="U51" s="34">
        <v>68.5</v>
      </c>
      <c r="V51" s="34">
        <v>70</v>
      </c>
      <c r="W51" s="34">
        <v>70</v>
      </c>
      <c r="X51" s="3" t="s">
        <v>1341</v>
      </c>
      <c r="Y51" s="3" t="s">
        <v>1462</v>
      </c>
      <c r="Z51" s="3" t="s">
        <v>1463</v>
      </c>
    </row>
    <row r="52" spans="2:26" s="1" customFormat="1" ht="110.25">
      <c r="B52" s="69"/>
      <c r="C52" s="652"/>
      <c r="D52" s="652"/>
      <c r="E52" s="652"/>
      <c r="F52" s="652"/>
      <c r="G52" s="652"/>
      <c r="H52" s="652"/>
      <c r="I52" s="652"/>
      <c r="J52" s="653"/>
      <c r="K52" s="653"/>
      <c r="L52" s="653"/>
      <c r="M52" s="653"/>
      <c r="N52" s="3" t="s">
        <v>1464</v>
      </c>
      <c r="O52" s="31" t="s">
        <v>701</v>
      </c>
      <c r="P52" s="34" t="s">
        <v>2036</v>
      </c>
      <c r="Q52" s="34" t="s">
        <v>2036</v>
      </c>
      <c r="R52" s="34">
        <v>70</v>
      </c>
      <c r="S52" s="34">
        <v>75</v>
      </c>
      <c r="T52" s="34">
        <v>80</v>
      </c>
      <c r="U52" s="34">
        <v>85</v>
      </c>
      <c r="V52" s="34">
        <v>90</v>
      </c>
      <c r="W52" s="695">
        <v>90</v>
      </c>
      <c r="X52" s="3" t="s">
        <v>1341</v>
      </c>
      <c r="Y52" s="3" t="s">
        <v>1465</v>
      </c>
      <c r="Z52" s="3" t="s">
        <v>1466</v>
      </c>
    </row>
    <row r="53" spans="2:26" s="1" customFormat="1" ht="63">
      <c r="B53" s="69"/>
      <c r="C53" s="652"/>
      <c r="D53" s="652"/>
      <c r="E53" s="652"/>
      <c r="F53" s="652"/>
      <c r="G53" s="652"/>
      <c r="H53" s="652"/>
      <c r="I53" s="652"/>
      <c r="J53" s="663">
        <v>1.02</v>
      </c>
      <c r="K53" s="651" t="s">
        <v>773</v>
      </c>
      <c r="L53" s="3">
        <v>26</v>
      </c>
      <c r="M53" s="11" t="s">
        <v>197</v>
      </c>
      <c r="N53" s="3" t="s">
        <v>1468</v>
      </c>
      <c r="O53" s="31" t="s">
        <v>921</v>
      </c>
      <c r="P53" s="32" t="s">
        <v>1469</v>
      </c>
      <c r="Q53" s="31" t="s">
        <v>2031</v>
      </c>
      <c r="R53" s="31" t="s">
        <v>2032</v>
      </c>
      <c r="S53" s="31" t="s">
        <v>2032</v>
      </c>
      <c r="T53" s="31" t="s">
        <v>2033</v>
      </c>
      <c r="U53" s="31" t="s">
        <v>2034</v>
      </c>
      <c r="V53" s="31" t="s">
        <v>2034</v>
      </c>
      <c r="W53" s="31" t="s">
        <v>2031</v>
      </c>
      <c r="X53" s="3"/>
      <c r="Y53" s="3" t="s">
        <v>1470</v>
      </c>
      <c r="Z53" s="3" t="s">
        <v>1471</v>
      </c>
    </row>
    <row r="54" spans="2:26" s="1" customFormat="1" ht="78.75">
      <c r="B54" s="69"/>
      <c r="C54" s="652"/>
      <c r="D54" s="652"/>
      <c r="E54" s="652"/>
      <c r="F54" s="652"/>
      <c r="G54" s="652"/>
      <c r="H54" s="652"/>
      <c r="I54" s="652"/>
      <c r="J54" s="663"/>
      <c r="K54" s="651"/>
      <c r="L54" s="3"/>
      <c r="M54" s="11"/>
      <c r="N54" s="3" t="s">
        <v>1472</v>
      </c>
      <c r="O54" s="31" t="s">
        <v>701</v>
      </c>
      <c r="P54" s="31">
        <v>50.63</v>
      </c>
      <c r="Q54" s="31">
        <v>80</v>
      </c>
      <c r="R54" s="31">
        <v>85</v>
      </c>
      <c r="S54" s="31">
        <v>90</v>
      </c>
      <c r="T54" s="31">
        <v>95</v>
      </c>
      <c r="U54" s="31">
        <v>100</v>
      </c>
      <c r="V54" s="31">
        <v>100</v>
      </c>
      <c r="W54" s="31">
        <v>100</v>
      </c>
      <c r="X54" s="3" t="s">
        <v>1474</v>
      </c>
      <c r="Y54" s="3" t="s">
        <v>4624</v>
      </c>
      <c r="Z54" s="3" t="s">
        <v>4625</v>
      </c>
    </row>
    <row r="55" spans="2:26" s="1" customFormat="1" ht="48" customHeight="1">
      <c r="B55" s="69"/>
      <c r="C55" s="652"/>
      <c r="D55" s="652"/>
      <c r="E55" s="652"/>
      <c r="F55" s="652"/>
      <c r="G55" s="652"/>
      <c r="H55" s="652"/>
      <c r="I55" s="652"/>
      <c r="J55" s="663">
        <v>1.02</v>
      </c>
      <c r="K55" s="651" t="s">
        <v>773</v>
      </c>
      <c r="L55" s="651">
        <v>33</v>
      </c>
      <c r="M55" s="651" t="s">
        <v>1473</v>
      </c>
      <c r="N55" s="3" t="s">
        <v>1829</v>
      </c>
      <c r="O55" s="31"/>
      <c r="P55" s="31"/>
      <c r="Q55" s="31"/>
      <c r="R55" s="31"/>
      <c r="S55" s="31"/>
      <c r="T55" s="31"/>
      <c r="U55" s="31"/>
      <c r="V55" s="31"/>
      <c r="W55" s="3"/>
      <c r="X55" s="3" t="s">
        <v>1474</v>
      </c>
      <c r="Y55" s="3"/>
      <c r="Z55" s="3"/>
    </row>
    <row r="56" spans="2:26" s="1" customFormat="1" ht="82.5">
      <c r="B56" s="69"/>
      <c r="C56" s="652"/>
      <c r="D56" s="652"/>
      <c r="E56" s="652"/>
      <c r="F56" s="652"/>
      <c r="G56" s="652"/>
      <c r="H56" s="652"/>
      <c r="I56" s="652"/>
      <c r="J56" s="711"/>
      <c r="K56" s="652"/>
      <c r="L56" s="652"/>
      <c r="M56" s="652"/>
      <c r="N56" s="3" t="s">
        <v>1830</v>
      </c>
      <c r="O56" s="31" t="s">
        <v>701</v>
      </c>
      <c r="P56" s="31">
        <v>73.73</v>
      </c>
      <c r="Q56" s="31">
        <v>70</v>
      </c>
      <c r="R56" s="31">
        <v>65</v>
      </c>
      <c r="S56" s="31">
        <v>65</v>
      </c>
      <c r="T56" s="31">
        <v>66</v>
      </c>
      <c r="U56" s="31">
        <v>68</v>
      </c>
      <c r="V56" s="31">
        <v>70</v>
      </c>
      <c r="W56" s="31">
        <v>70</v>
      </c>
      <c r="X56" s="3"/>
      <c r="Y56" s="712" t="s">
        <v>1475</v>
      </c>
      <c r="Z56" s="3"/>
    </row>
    <row r="57" spans="2:26" s="1" customFormat="1" ht="66">
      <c r="B57" s="69"/>
      <c r="C57" s="652"/>
      <c r="D57" s="652"/>
      <c r="E57" s="652"/>
      <c r="F57" s="652"/>
      <c r="G57" s="652"/>
      <c r="H57" s="652"/>
      <c r="I57" s="652"/>
      <c r="J57" s="711"/>
      <c r="K57" s="652"/>
      <c r="L57" s="652"/>
      <c r="M57" s="652"/>
      <c r="N57" s="3" t="s">
        <v>1831</v>
      </c>
      <c r="O57" s="31" t="s">
        <v>1770</v>
      </c>
      <c r="P57" s="31">
        <v>4.24</v>
      </c>
      <c r="Q57" s="31">
        <v>4</v>
      </c>
      <c r="R57" s="31">
        <v>4</v>
      </c>
      <c r="S57" s="31">
        <v>4</v>
      </c>
      <c r="T57" s="31">
        <v>5</v>
      </c>
      <c r="U57" s="31">
        <v>5</v>
      </c>
      <c r="V57" s="31">
        <v>6</v>
      </c>
      <c r="W57" s="31">
        <v>6</v>
      </c>
      <c r="X57" s="3"/>
      <c r="Y57" s="712" t="s">
        <v>2059</v>
      </c>
      <c r="Z57" s="3"/>
    </row>
    <row r="58" spans="2:26" s="1" customFormat="1" ht="99">
      <c r="B58" s="69"/>
      <c r="C58" s="652"/>
      <c r="D58" s="652"/>
      <c r="E58" s="652"/>
      <c r="F58" s="652"/>
      <c r="G58" s="652"/>
      <c r="H58" s="652"/>
      <c r="I58" s="652"/>
      <c r="J58" s="711"/>
      <c r="K58" s="652"/>
      <c r="L58" s="652"/>
      <c r="M58" s="652"/>
      <c r="N58" s="3" t="s">
        <v>1832</v>
      </c>
      <c r="O58" s="31" t="s">
        <v>1770</v>
      </c>
      <c r="P58" s="31">
        <v>1.1599999999999999</v>
      </c>
      <c r="Q58" s="31">
        <v>1</v>
      </c>
      <c r="R58" s="31">
        <v>2</v>
      </c>
      <c r="S58" s="31">
        <v>2</v>
      </c>
      <c r="T58" s="31">
        <v>2</v>
      </c>
      <c r="U58" s="31">
        <v>2</v>
      </c>
      <c r="V58" s="31">
        <v>2</v>
      </c>
      <c r="W58" s="31">
        <v>2</v>
      </c>
      <c r="X58" s="3"/>
      <c r="Y58" s="712" t="s">
        <v>2060</v>
      </c>
      <c r="Z58" s="3"/>
    </row>
    <row r="59" spans="2:26" s="1" customFormat="1" ht="82.5">
      <c r="B59" s="69"/>
      <c r="C59" s="652"/>
      <c r="D59" s="652"/>
      <c r="E59" s="652"/>
      <c r="F59" s="652"/>
      <c r="G59" s="652"/>
      <c r="H59" s="652"/>
      <c r="I59" s="652"/>
      <c r="J59" s="711"/>
      <c r="K59" s="652"/>
      <c r="L59" s="652"/>
      <c r="M59" s="652"/>
      <c r="N59" s="3" t="s">
        <v>1833</v>
      </c>
      <c r="O59" s="713" t="s">
        <v>1835</v>
      </c>
      <c r="P59" s="31">
        <v>37.299999999999997</v>
      </c>
      <c r="Q59" s="31">
        <v>37</v>
      </c>
      <c r="R59" s="31">
        <v>37</v>
      </c>
      <c r="S59" s="31">
        <v>37</v>
      </c>
      <c r="T59" s="31">
        <v>36</v>
      </c>
      <c r="U59" s="31">
        <v>36</v>
      </c>
      <c r="V59" s="31">
        <v>36</v>
      </c>
      <c r="W59" s="31">
        <v>36</v>
      </c>
      <c r="X59" s="3"/>
      <c r="Y59" s="712" t="s">
        <v>2061</v>
      </c>
      <c r="Z59" s="3"/>
    </row>
    <row r="60" spans="2:26" s="1" customFormat="1" ht="99">
      <c r="B60" s="69"/>
      <c r="C60" s="652"/>
      <c r="D60" s="652"/>
      <c r="E60" s="652"/>
      <c r="F60" s="652"/>
      <c r="G60" s="652"/>
      <c r="H60" s="652"/>
      <c r="I60" s="652"/>
      <c r="J60" s="711"/>
      <c r="K60" s="652"/>
      <c r="L60" s="652"/>
      <c r="M60" s="652"/>
      <c r="N60" s="3" t="s">
        <v>1834</v>
      </c>
      <c r="O60" s="713" t="s">
        <v>1835</v>
      </c>
      <c r="P60" s="31">
        <v>19.059999999999999</v>
      </c>
      <c r="Q60" s="31">
        <v>17</v>
      </c>
      <c r="R60" s="31">
        <v>19</v>
      </c>
      <c r="S60" s="31">
        <v>19</v>
      </c>
      <c r="T60" s="31">
        <v>18</v>
      </c>
      <c r="U60" s="31">
        <v>18</v>
      </c>
      <c r="V60" s="31">
        <v>18</v>
      </c>
      <c r="W60" s="31">
        <v>18</v>
      </c>
      <c r="X60" s="3"/>
      <c r="Y60" s="712" t="s">
        <v>4656</v>
      </c>
      <c r="Z60" s="3"/>
    </row>
    <row r="61" spans="2:26" s="1" customFormat="1" ht="31.5">
      <c r="B61" s="69"/>
      <c r="C61" s="652"/>
      <c r="D61" s="652"/>
      <c r="E61" s="652"/>
      <c r="F61" s="652"/>
      <c r="G61" s="652"/>
      <c r="H61" s="652"/>
      <c r="I61" s="652"/>
      <c r="J61" s="711"/>
      <c r="K61" s="652"/>
      <c r="L61" s="652"/>
      <c r="M61" s="652"/>
      <c r="N61" s="3" t="s">
        <v>1837</v>
      </c>
      <c r="O61" s="31" t="s">
        <v>1836</v>
      </c>
      <c r="P61" s="32" t="s">
        <v>743</v>
      </c>
      <c r="Q61" s="31" t="s">
        <v>1838</v>
      </c>
      <c r="R61" s="31" t="s">
        <v>1838</v>
      </c>
      <c r="S61" s="31" t="s">
        <v>1838</v>
      </c>
      <c r="T61" s="31" t="s">
        <v>1838</v>
      </c>
      <c r="U61" s="31" t="s">
        <v>1838</v>
      </c>
      <c r="V61" s="31" t="s">
        <v>1838</v>
      </c>
      <c r="W61" s="31" t="s">
        <v>1838</v>
      </c>
      <c r="X61" s="3"/>
      <c r="Y61" s="3"/>
      <c r="Z61" s="3"/>
    </row>
    <row r="62" spans="2:26" s="1" customFormat="1" ht="33.75" customHeight="1">
      <c r="B62" s="69"/>
      <c r="C62" s="652"/>
      <c r="D62" s="652"/>
      <c r="E62" s="652"/>
      <c r="F62" s="652"/>
      <c r="G62" s="652"/>
      <c r="H62" s="652"/>
      <c r="I62" s="652"/>
      <c r="J62" s="652"/>
      <c r="K62" s="652"/>
      <c r="L62" s="652"/>
      <c r="M62" s="652"/>
      <c r="N62" s="3" t="s">
        <v>1476</v>
      </c>
      <c r="O62" s="32" t="s">
        <v>743</v>
      </c>
      <c r="P62" s="31" t="s">
        <v>2035</v>
      </c>
      <c r="Q62" s="31" t="s">
        <v>2035</v>
      </c>
      <c r="R62" s="31" t="s">
        <v>2035</v>
      </c>
      <c r="S62" s="31" t="s">
        <v>2035</v>
      </c>
      <c r="T62" s="31" t="s">
        <v>2035</v>
      </c>
      <c r="U62" s="31" t="s">
        <v>2035</v>
      </c>
      <c r="V62" s="31" t="s">
        <v>2035</v>
      </c>
      <c r="W62" s="31" t="s">
        <v>2035</v>
      </c>
      <c r="X62" s="3" t="s">
        <v>1474</v>
      </c>
      <c r="Y62" s="3" t="s">
        <v>4636</v>
      </c>
      <c r="Z62" s="3" t="s">
        <v>1477</v>
      </c>
    </row>
    <row r="63" spans="2:26" s="1" customFormat="1" ht="110.25">
      <c r="B63" s="69"/>
      <c r="C63" s="651">
        <v>6</v>
      </c>
      <c r="D63" s="651" t="s">
        <v>1479</v>
      </c>
      <c r="E63" s="651">
        <v>6</v>
      </c>
      <c r="F63" s="651" t="s">
        <v>1480</v>
      </c>
      <c r="G63" s="651" t="s">
        <v>1481</v>
      </c>
      <c r="H63" s="651" t="s">
        <v>1482</v>
      </c>
      <c r="I63" s="879" t="s">
        <v>4981</v>
      </c>
      <c r="J63" s="3"/>
      <c r="K63" s="3"/>
      <c r="L63" s="3"/>
      <c r="M63" s="3"/>
      <c r="N63" s="3"/>
      <c r="O63" s="31"/>
      <c r="P63" s="31"/>
      <c r="Q63" s="31"/>
      <c r="R63" s="31"/>
      <c r="S63" s="31"/>
      <c r="T63" s="31"/>
      <c r="U63" s="31"/>
      <c r="V63" s="31"/>
      <c r="W63" s="3"/>
      <c r="X63" s="3"/>
      <c r="Y63" s="3"/>
      <c r="Z63" s="3"/>
    </row>
    <row r="64" spans="2:26" s="1" customFormat="1" ht="110.25">
      <c r="B64" s="69"/>
      <c r="C64" s="652"/>
      <c r="D64" s="652"/>
      <c r="E64" s="652"/>
      <c r="F64" s="652"/>
      <c r="G64" s="652"/>
      <c r="H64" s="652"/>
      <c r="I64" s="652"/>
      <c r="J64" s="663">
        <v>1.02</v>
      </c>
      <c r="K64" s="651" t="s">
        <v>773</v>
      </c>
      <c r="L64" s="651">
        <v>21</v>
      </c>
      <c r="M64" s="651" t="s">
        <v>1483</v>
      </c>
      <c r="N64" s="3" t="s">
        <v>1484</v>
      </c>
      <c r="O64" s="31" t="s">
        <v>701</v>
      </c>
      <c r="P64" s="31" t="s">
        <v>2036</v>
      </c>
      <c r="Q64" s="31" t="s">
        <v>2036</v>
      </c>
      <c r="R64" s="31">
        <v>65</v>
      </c>
      <c r="S64" s="31">
        <v>67.5</v>
      </c>
      <c r="T64" s="31">
        <v>70</v>
      </c>
      <c r="U64" s="31">
        <v>72.5</v>
      </c>
      <c r="V64" s="31">
        <v>75</v>
      </c>
      <c r="W64" s="3">
        <v>75</v>
      </c>
      <c r="X64" s="3" t="s">
        <v>1341</v>
      </c>
      <c r="Y64" s="3" t="s">
        <v>1485</v>
      </c>
      <c r="Z64" s="3"/>
    </row>
    <row r="65" spans="2:26" s="1" customFormat="1" ht="110.25">
      <c r="B65" s="69"/>
      <c r="C65" s="652"/>
      <c r="D65" s="652"/>
      <c r="E65" s="652"/>
      <c r="F65" s="652"/>
      <c r="G65" s="652"/>
      <c r="H65" s="652"/>
      <c r="I65" s="652"/>
      <c r="J65" s="652"/>
      <c r="K65" s="652"/>
      <c r="L65" s="652"/>
      <c r="M65" s="652"/>
      <c r="N65" s="3" t="s">
        <v>1486</v>
      </c>
      <c r="O65" s="31" t="s">
        <v>701</v>
      </c>
      <c r="P65" s="31" t="s">
        <v>2036</v>
      </c>
      <c r="Q65" s="31">
        <v>62.5</v>
      </c>
      <c r="R65" s="31">
        <v>65</v>
      </c>
      <c r="S65" s="31">
        <v>67.5</v>
      </c>
      <c r="T65" s="31">
        <v>70</v>
      </c>
      <c r="U65" s="31">
        <v>72.5</v>
      </c>
      <c r="V65" s="31">
        <v>75</v>
      </c>
      <c r="W65" s="3">
        <v>75</v>
      </c>
      <c r="X65" s="3" t="s">
        <v>1341</v>
      </c>
      <c r="Y65" s="3" t="s">
        <v>1487</v>
      </c>
      <c r="Z65" s="3"/>
    </row>
    <row r="66" spans="2:26" s="1" customFormat="1" ht="78.75">
      <c r="B66" s="69"/>
      <c r="C66" s="652"/>
      <c r="D66" s="652"/>
      <c r="E66" s="652"/>
      <c r="F66" s="652"/>
      <c r="G66" s="652"/>
      <c r="H66" s="652"/>
      <c r="I66" s="652"/>
      <c r="J66" s="652"/>
      <c r="K66" s="652"/>
      <c r="L66" s="652"/>
      <c r="M66" s="652"/>
      <c r="N66" s="3" t="s">
        <v>1488</v>
      </c>
      <c r="O66" s="31" t="s">
        <v>701</v>
      </c>
      <c r="P66" s="714">
        <v>63.2</v>
      </c>
      <c r="Q66" s="714">
        <v>79.3</v>
      </c>
      <c r="R66" s="715">
        <v>80</v>
      </c>
      <c r="S66" s="715">
        <v>80</v>
      </c>
      <c r="T66" s="715">
        <v>80</v>
      </c>
      <c r="U66" s="715">
        <v>80</v>
      </c>
      <c r="V66" s="715">
        <v>80</v>
      </c>
      <c r="W66" s="715">
        <v>80</v>
      </c>
      <c r="X66" s="3" t="s">
        <v>1341</v>
      </c>
      <c r="Y66" s="3" t="s">
        <v>1489</v>
      </c>
      <c r="Z66" s="3" t="s">
        <v>1490</v>
      </c>
    </row>
    <row r="67" spans="2:26" s="1" customFormat="1" ht="110.25">
      <c r="B67" s="69"/>
      <c r="C67" s="652"/>
      <c r="D67" s="652"/>
      <c r="E67" s="652"/>
      <c r="F67" s="652"/>
      <c r="G67" s="652"/>
      <c r="H67" s="652"/>
      <c r="I67" s="652"/>
      <c r="J67" s="652"/>
      <c r="K67" s="652"/>
      <c r="L67" s="652"/>
      <c r="M67" s="652"/>
      <c r="N67" s="3" t="s">
        <v>1491</v>
      </c>
      <c r="O67" s="31" t="s">
        <v>701</v>
      </c>
      <c r="P67" s="31" t="s">
        <v>2036</v>
      </c>
      <c r="Q67" s="31">
        <v>62.5</v>
      </c>
      <c r="R67" s="31">
        <v>65</v>
      </c>
      <c r="S67" s="31">
        <v>67.5</v>
      </c>
      <c r="T67" s="31">
        <v>70</v>
      </c>
      <c r="U67" s="31">
        <v>72.5</v>
      </c>
      <c r="V67" s="31">
        <v>75</v>
      </c>
      <c r="W67" s="31">
        <v>75</v>
      </c>
      <c r="X67" s="3" t="s">
        <v>1341</v>
      </c>
      <c r="Y67" s="3" t="s">
        <v>1492</v>
      </c>
      <c r="Z67" s="3"/>
    </row>
    <row r="68" spans="2:26" s="1" customFormat="1" ht="110.25">
      <c r="B68" s="69"/>
      <c r="C68" s="652"/>
      <c r="D68" s="652"/>
      <c r="E68" s="652"/>
      <c r="F68" s="652"/>
      <c r="G68" s="652"/>
      <c r="H68" s="652"/>
      <c r="I68" s="652"/>
      <c r="J68" s="653"/>
      <c r="K68" s="653"/>
      <c r="L68" s="653"/>
      <c r="M68" s="653"/>
      <c r="N68" s="3" t="s">
        <v>1493</v>
      </c>
      <c r="O68" s="31" t="s">
        <v>701</v>
      </c>
      <c r="P68" s="31" t="s">
        <v>2036</v>
      </c>
      <c r="Q68" s="31">
        <v>50</v>
      </c>
      <c r="R68" s="31">
        <v>50</v>
      </c>
      <c r="S68" s="31">
        <v>53</v>
      </c>
      <c r="T68" s="31">
        <v>55</v>
      </c>
      <c r="U68" s="31">
        <v>58</v>
      </c>
      <c r="V68" s="31">
        <v>60</v>
      </c>
      <c r="W68" s="31">
        <v>60</v>
      </c>
      <c r="X68" s="3" t="s">
        <v>1341</v>
      </c>
      <c r="Y68" s="3" t="s">
        <v>1494</v>
      </c>
      <c r="Z68" s="3"/>
    </row>
    <row r="69" spans="2:26" s="1" customFormat="1" ht="173.25">
      <c r="B69" s="69"/>
      <c r="C69" s="652"/>
      <c r="D69" s="652"/>
      <c r="E69" s="652"/>
      <c r="F69" s="652"/>
      <c r="G69" s="652"/>
      <c r="H69" s="652"/>
      <c r="I69" s="652"/>
      <c r="J69" s="663">
        <v>1.02</v>
      </c>
      <c r="K69" s="651" t="s">
        <v>773</v>
      </c>
      <c r="L69" s="3">
        <v>16</v>
      </c>
      <c r="M69" s="3" t="s">
        <v>152</v>
      </c>
      <c r="N69" s="3" t="s">
        <v>1495</v>
      </c>
      <c r="O69" s="31" t="s">
        <v>701</v>
      </c>
      <c r="P69" s="702">
        <v>99.36</v>
      </c>
      <c r="Q69" s="702">
        <v>100</v>
      </c>
      <c r="R69" s="702">
        <v>100</v>
      </c>
      <c r="S69" s="702">
        <v>100</v>
      </c>
      <c r="T69" s="702">
        <v>100</v>
      </c>
      <c r="U69" s="702">
        <v>100</v>
      </c>
      <c r="V69" s="702">
        <v>100</v>
      </c>
      <c r="W69" s="702">
        <v>100</v>
      </c>
      <c r="X69" s="3" t="s">
        <v>1341</v>
      </c>
      <c r="Y69" s="3" t="s">
        <v>1496</v>
      </c>
      <c r="Z69" s="3"/>
    </row>
    <row r="70" spans="2:26" s="1" customFormat="1" ht="47.25">
      <c r="B70" s="69"/>
      <c r="C70" s="652"/>
      <c r="D70" s="652"/>
      <c r="E70" s="652"/>
      <c r="F70" s="652"/>
      <c r="G70" s="652"/>
      <c r="H70" s="652"/>
      <c r="I70" s="652"/>
      <c r="J70" s="663">
        <v>1.02</v>
      </c>
      <c r="K70" s="651" t="s">
        <v>773</v>
      </c>
      <c r="L70" s="651">
        <v>19</v>
      </c>
      <c r="M70" s="664" t="s">
        <v>185</v>
      </c>
      <c r="N70" s="3" t="s">
        <v>1497</v>
      </c>
      <c r="O70" s="31" t="s">
        <v>701</v>
      </c>
      <c r="P70" s="700">
        <v>100</v>
      </c>
      <c r="Q70" s="700">
        <v>100</v>
      </c>
      <c r="R70" s="700">
        <v>100</v>
      </c>
      <c r="S70" s="700">
        <v>100</v>
      </c>
      <c r="T70" s="700">
        <v>100</v>
      </c>
      <c r="U70" s="700">
        <v>100</v>
      </c>
      <c r="V70" s="700">
        <v>100</v>
      </c>
      <c r="W70" s="700">
        <v>100</v>
      </c>
      <c r="X70" s="3" t="s">
        <v>1341</v>
      </c>
      <c r="Y70" s="3" t="s">
        <v>1498</v>
      </c>
      <c r="Z70" s="3"/>
    </row>
    <row r="71" spans="2:26" s="1" customFormat="1" ht="141.75">
      <c r="B71" s="69"/>
      <c r="C71" s="652"/>
      <c r="D71" s="652"/>
      <c r="E71" s="652"/>
      <c r="F71" s="652"/>
      <c r="G71" s="652"/>
      <c r="H71" s="652"/>
      <c r="I71" s="652"/>
      <c r="J71" s="652"/>
      <c r="K71" s="652"/>
      <c r="L71" s="652"/>
      <c r="M71" s="652"/>
      <c r="N71" s="3" t="s">
        <v>1499</v>
      </c>
      <c r="O71" s="31" t="s">
        <v>701</v>
      </c>
      <c r="P71" s="700">
        <v>42.6</v>
      </c>
      <c r="Q71" s="700">
        <v>40</v>
      </c>
      <c r="R71" s="701">
        <v>42</v>
      </c>
      <c r="S71" s="701">
        <v>44</v>
      </c>
      <c r="T71" s="701">
        <v>46</v>
      </c>
      <c r="U71" s="701">
        <v>48</v>
      </c>
      <c r="V71" s="701">
        <v>50</v>
      </c>
      <c r="W71" s="701">
        <v>50</v>
      </c>
      <c r="X71" s="3" t="s">
        <v>1341</v>
      </c>
      <c r="Y71" s="3" t="s">
        <v>1500</v>
      </c>
      <c r="Z71" s="3"/>
    </row>
    <row r="72" spans="2:26" s="1" customFormat="1" ht="157.5">
      <c r="B72" s="77"/>
      <c r="C72" s="653"/>
      <c r="D72" s="653"/>
      <c r="E72" s="653"/>
      <c r="F72" s="653"/>
      <c r="G72" s="653"/>
      <c r="H72" s="653"/>
      <c r="I72" s="653"/>
      <c r="J72" s="653"/>
      <c r="K72" s="653"/>
      <c r="L72" s="653"/>
      <c r="M72" s="653"/>
      <c r="N72" s="3" t="s">
        <v>1501</v>
      </c>
      <c r="O72" s="31" t="s">
        <v>701</v>
      </c>
      <c r="P72" s="716">
        <v>74.099999999999994</v>
      </c>
      <c r="Q72" s="717">
        <v>74.099999999999994</v>
      </c>
      <c r="R72" s="718">
        <v>80</v>
      </c>
      <c r="S72" s="718">
        <v>80</v>
      </c>
      <c r="T72" s="718">
        <v>80</v>
      </c>
      <c r="U72" s="718">
        <v>80</v>
      </c>
      <c r="V72" s="718">
        <v>80</v>
      </c>
      <c r="W72" s="718">
        <v>80</v>
      </c>
      <c r="X72" s="3" t="s">
        <v>1341</v>
      </c>
      <c r="Y72" s="3" t="s">
        <v>1502</v>
      </c>
      <c r="Z72" s="3"/>
    </row>
    <row r="73" spans="2:26" s="1" customFormat="1" ht="63">
      <c r="B73" s="37" t="s">
        <v>1503</v>
      </c>
      <c r="C73" s="651">
        <v>7</v>
      </c>
      <c r="D73" s="651" t="s">
        <v>1504</v>
      </c>
      <c r="E73" s="651">
        <v>7</v>
      </c>
      <c r="F73" s="651" t="s">
        <v>1505</v>
      </c>
      <c r="G73" s="651" t="s">
        <v>1506</v>
      </c>
      <c r="H73" s="651" t="s">
        <v>1482</v>
      </c>
      <c r="I73" s="879" t="s">
        <v>4982</v>
      </c>
      <c r="J73" s="3"/>
      <c r="K73" s="3"/>
      <c r="L73" s="3"/>
      <c r="M73" s="3"/>
      <c r="N73" s="3"/>
      <c r="O73" s="31"/>
      <c r="P73" s="31"/>
      <c r="Q73" s="31"/>
      <c r="R73" s="31"/>
      <c r="S73" s="31"/>
      <c r="T73" s="31"/>
      <c r="U73" s="31"/>
      <c r="V73" s="31"/>
      <c r="W73" s="3"/>
      <c r="X73" s="3"/>
      <c r="Y73" s="3"/>
      <c r="Z73" s="3"/>
    </row>
    <row r="74" spans="2:26" s="1" customFormat="1" ht="47.25">
      <c r="B74" s="69"/>
      <c r="C74" s="652"/>
      <c r="D74" s="652"/>
      <c r="E74" s="652"/>
      <c r="F74" s="652"/>
      <c r="G74" s="652"/>
      <c r="H74" s="652"/>
      <c r="I74" s="652"/>
      <c r="J74" s="651">
        <v>1.1200000000000001</v>
      </c>
      <c r="K74" s="651" t="s">
        <v>773</v>
      </c>
      <c r="L74" s="651">
        <v>28</v>
      </c>
      <c r="M74" s="29" t="s">
        <v>1826</v>
      </c>
      <c r="N74" s="3" t="s">
        <v>1825</v>
      </c>
      <c r="O74" s="31"/>
      <c r="P74" s="31"/>
      <c r="Q74" s="31"/>
      <c r="R74" s="31"/>
      <c r="S74" s="31"/>
      <c r="T74" s="31"/>
      <c r="U74" s="31"/>
      <c r="V74" s="31"/>
      <c r="W74" s="3"/>
      <c r="X74" s="3" t="s">
        <v>904</v>
      </c>
      <c r="Y74" s="3"/>
      <c r="Z74" s="3"/>
    </row>
    <row r="75" spans="2:26" s="1" customFormat="1" ht="173.25">
      <c r="B75" s="69"/>
      <c r="C75" s="652"/>
      <c r="D75" s="652"/>
      <c r="E75" s="652"/>
      <c r="F75" s="652"/>
      <c r="G75" s="652"/>
      <c r="H75" s="652"/>
      <c r="I75" s="652"/>
      <c r="J75" s="652"/>
      <c r="K75" s="652"/>
      <c r="L75" s="652"/>
      <c r="M75" s="652"/>
      <c r="N75" s="3" t="s">
        <v>2062</v>
      </c>
      <c r="O75" s="31" t="s">
        <v>701</v>
      </c>
      <c r="P75" s="31" t="s">
        <v>2068</v>
      </c>
      <c r="Q75" s="31" t="s">
        <v>2069</v>
      </c>
      <c r="R75" s="31" t="s">
        <v>2069</v>
      </c>
      <c r="S75" s="31" t="s">
        <v>2070</v>
      </c>
      <c r="T75" s="31" t="s">
        <v>2071</v>
      </c>
      <c r="U75" s="31" t="s">
        <v>2072</v>
      </c>
      <c r="V75" s="31" t="s">
        <v>2073</v>
      </c>
      <c r="W75" s="31" t="s">
        <v>2073</v>
      </c>
      <c r="X75" s="3" t="s">
        <v>904</v>
      </c>
      <c r="Y75" s="1" t="s">
        <v>2102</v>
      </c>
      <c r="Z75" s="3" t="s">
        <v>1507</v>
      </c>
    </row>
    <row r="76" spans="2:26" s="1" customFormat="1" ht="409.5">
      <c r="B76" s="69"/>
      <c r="C76" s="652"/>
      <c r="D76" s="652"/>
      <c r="E76" s="652"/>
      <c r="F76" s="652"/>
      <c r="G76" s="652"/>
      <c r="H76" s="652"/>
      <c r="I76" s="652"/>
      <c r="J76" s="652"/>
      <c r="K76" s="652"/>
      <c r="L76" s="652"/>
      <c r="M76" s="652"/>
      <c r="N76" s="3" t="s">
        <v>2063</v>
      </c>
      <c r="O76" s="31" t="s">
        <v>701</v>
      </c>
      <c r="P76" s="31" t="s">
        <v>2074</v>
      </c>
      <c r="Q76" s="31" t="s">
        <v>2075</v>
      </c>
      <c r="R76" s="31" t="s">
        <v>2075</v>
      </c>
      <c r="S76" s="31" t="s">
        <v>2076</v>
      </c>
      <c r="T76" s="31" t="s">
        <v>2077</v>
      </c>
      <c r="U76" s="31" t="s">
        <v>2078</v>
      </c>
      <c r="V76" s="31" t="s">
        <v>2079</v>
      </c>
      <c r="W76" s="31" t="s">
        <v>2079</v>
      </c>
      <c r="X76" s="3" t="s">
        <v>904</v>
      </c>
      <c r="Y76" s="1" t="s">
        <v>2101</v>
      </c>
      <c r="Z76" s="3" t="s">
        <v>1508</v>
      </c>
    </row>
    <row r="77" spans="2:26" s="1" customFormat="1" ht="409.5">
      <c r="B77" s="69"/>
      <c r="C77" s="652"/>
      <c r="D77" s="652"/>
      <c r="E77" s="652"/>
      <c r="F77" s="652"/>
      <c r="G77" s="652"/>
      <c r="H77" s="652"/>
      <c r="I77" s="652"/>
      <c r="J77" s="652"/>
      <c r="K77" s="652"/>
      <c r="L77" s="652"/>
      <c r="M77" s="652"/>
      <c r="N77" s="3" t="s">
        <v>2064</v>
      </c>
      <c r="O77" s="31" t="s">
        <v>701</v>
      </c>
      <c r="P77" s="31" t="s">
        <v>2080</v>
      </c>
      <c r="Q77" s="31" t="s">
        <v>2081</v>
      </c>
      <c r="R77" s="31" t="s">
        <v>2081</v>
      </c>
      <c r="S77" s="31" t="s">
        <v>2082</v>
      </c>
      <c r="T77" s="31" t="s">
        <v>2083</v>
      </c>
      <c r="U77" s="31" t="s">
        <v>2084</v>
      </c>
      <c r="V77" s="31" t="s">
        <v>2085</v>
      </c>
      <c r="W77" s="31" t="s">
        <v>2085</v>
      </c>
      <c r="X77" s="3" t="s">
        <v>904</v>
      </c>
      <c r="Y77" s="1" t="s">
        <v>2100</v>
      </c>
      <c r="Z77" s="3" t="s">
        <v>1509</v>
      </c>
    </row>
    <row r="78" spans="2:26" s="1" customFormat="1" ht="409.5">
      <c r="B78" s="69"/>
      <c r="C78" s="652"/>
      <c r="D78" s="652"/>
      <c r="E78" s="652"/>
      <c r="F78" s="652"/>
      <c r="G78" s="652"/>
      <c r="H78" s="652"/>
      <c r="I78" s="652"/>
      <c r="J78" s="652"/>
      <c r="K78" s="652"/>
      <c r="L78" s="652"/>
      <c r="M78" s="652"/>
      <c r="N78" s="3" t="s">
        <v>2065</v>
      </c>
      <c r="O78" s="31" t="s">
        <v>701</v>
      </c>
      <c r="P78" s="31" t="s">
        <v>2086</v>
      </c>
      <c r="Q78" s="31" t="s">
        <v>2087</v>
      </c>
      <c r="R78" s="31" t="s">
        <v>2087</v>
      </c>
      <c r="S78" s="31" t="s">
        <v>2088</v>
      </c>
      <c r="T78" s="31" t="s">
        <v>2089</v>
      </c>
      <c r="U78" s="31" t="s">
        <v>2090</v>
      </c>
      <c r="V78" s="31" t="s">
        <v>2091</v>
      </c>
      <c r="W78" s="31" t="s">
        <v>2091</v>
      </c>
      <c r="X78" s="3" t="s">
        <v>904</v>
      </c>
      <c r="Y78" s="1" t="s">
        <v>2099</v>
      </c>
      <c r="Z78" s="3" t="s">
        <v>1510</v>
      </c>
    </row>
    <row r="79" spans="2:26" s="1" customFormat="1" ht="346.5">
      <c r="B79" s="69"/>
      <c r="C79" s="653"/>
      <c r="D79" s="653"/>
      <c r="E79" s="653"/>
      <c r="F79" s="653"/>
      <c r="G79" s="653"/>
      <c r="H79" s="653"/>
      <c r="I79" s="653"/>
      <c r="J79" s="653"/>
      <c r="K79" s="653"/>
      <c r="L79" s="653"/>
      <c r="M79" s="653"/>
      <c r="N79" s="3" t="s">
        <v>2066</v>
      </c>
      <c r="O79" s="31" t="s">
        <v>701</v>
      </c>
      <c r="P79" s="31" t="s">
        <v>2092</v>
      </c>
      <c r="Q79" s="31" t="s">
        <v>2093</v>
      </c>
      <c r="R79" s="31" t="s">
        <v>2093</v>
      </c>
      <c r="S79" s="31" t="s">
        <v>2094</v>
      </c>
      <c r="T79" s="31" t="s">
        <v>2095</v>
      </c>
      <c r="U79" s="31" t="s">
        <v>2096</v>
      </c>
      <c r="V79" s="31" t="s">
        <v>2097</v>
      </c>
      <c r="W79" s="31" t="s">
        <v>2097</v>
      </c>
      <c r="X79" s="3" t="s">
        <v>904</v>
      </c>
      <c r="Y79" s="1" t="s">
        <v>2098</v>
      </c>
      <c r="Z79" s="3" t="s">
        <v>1511</v>
      </c>
    </row>
    <row r="80" spans="2:26" s="1" customFormat="1" ht="78.75">
      <c r="B80" s="69"/>
      <c r="C80" s="652"/>
      <c r="D80" s="652"/>
      <c r="E80" s="652"/>
      <c r="F80" s="652"/>
      <c r="G80" s="652"/>
      <c r="H80" s="652"/>
      <c r="I80" s="652"/>
      <c r="J80" s="651">
        <v>1.1200000000000001</v>
      </c>
      <c r="K80" s="651" t="s">
        <v>773</v>
      </c>
      <c r="L80" s="651">
        <v>28</v>
      </c>
      <c r="M80" s="29" t="s">
        <v>1826</v>
      </c>
      <c r="N80" s="3" t="s">
        <v>1827</v>
      </c>
      <c r="O80" s="31" t="s">
        <v>701</v>
      </c>
      <c r="P80" s="31">
        <v>100</v>
      </c>
      <c r="Q80" s="31">
        <v>100</v>
      </c>
      <c r="R80" s="31">
        <v>100</v>
      </c>
      <c r="S80" s="31">
        <v>100</v>
      </c>
      <c r="T80" s="31">
        <v>100</v>
      </c>
      <c r="U80" s="31">
        <v>100</v>
      </c>
      <c r="V80" s="31">
        <v>100</v>
      </c>
      <c r="W80" s="31">
        <v>100</v>
      </c>
      <c r="X80" s="3" t="s">
        <v>904</v>
      </c>
      <c r="Y80" s="1" t="s">
        <v>1828</v>
      </c>
      <c r="Z80" s="3"/>
    </row>
    <row r="81" spans="1:26" s="1" customFormat="1" ht="63">
      <c r="B81" s="69"/>
      <c r="C81" s="651"/>
      <c r="D81" s="651"/>
      <c r="E81" s="651">
        <v>8</v>
      </c>
      <c r="F81" s="651" t="s">
        <v>1512</v>
      </c>
      <c r="G81" s="651" t="s">
        <v>1513</v>
      </c>
      <c r="H81" s="651" t="s">
        <v>1482</v>
      </c>
      <c r="I81" s="879" t="s">
        <v>4983</v>
      </c>
      <c r="J81" s="3"/>
      <c r="K81" s="3"/>
      <c r="L81" s="3"/>
      <c r="M81" s="3"/>
      <c r="N81" s="3"/>
      <c r="O81" s="31"/>
      <c r="P81" s="31"/>
      <c r="Q81" s="31"/>
      <c r="R81" s="31"/>
      <c r="S81" s="31"/>
      <c r="T81" s="31"/>
      <c r="U81" s="31"/>
      <c r="V81" s="31"/>
      <c r="W81" s="3"/>
      <c r="X81" s="3" t="s">
        <v>904</v>
      </c>
      <c r="Z81" s="3"/>
    </row>
    <row r="82" spans="1:26" s="1" customFormat="1" ht="110.25" customHeight="1">
      <c r="B82" s="69"/>
      <c r="C82" s="652"/>
      <c r="D82" s="652"/>
      <c r="E82" s="652"/>
      <c r="F82" s="652"/>
      <c r="G82" s="652"/>
      <c r="H82" s="652"/>
      <c r="I82" s="652"/>
      <c r="J82" s="673">
        <v>1.1200000000000001</v>
      </c>
      <c r="K82" s="651" t="s">
        <v>773</v>
      </c>
      <c r="L82" s="651">
        <v>15</v>
      </c>
      <c r="M82" s="29" t="s">
        <v>1823</v>
      </c>
      <c r="N82" s="651" t="s">
        <v>1514</v>
      </c>
      <c r="O82" s="31" t="s">
        <v>701</v>
      </c>
      <c r="P82" s="31" t="s">
        <v>1903</v>
      </c>
      <c r="Q82" s="31" t="s">
        <v>1899</v>
      </c>
      <c r="R82" s="31" t="s">
        <v>1960</v>
      </c>
      <c r="S82" s="31">
        <v>3</v>
      </c>
      <c r="T82" s="31" t="s">
        <v>1961</v>
      </c>
      <c r="U82" s="31" t="s">
        <v>1962</v>
      </c>
      <c r="V82" s="31" t="s">
        <v>1963</v>
      </c>
      <c r="W82" s="31" t="s">
        <v>1963</v>
      </c>
      <c r="X82" s="3" t="s">
        <v>904</v>
      </c>
      <c r="Y82" s="3" t="s">
        <v>1515</v>
      </c>
      <c r="Z82" s="3"/>
    </row>
    <row r="83" spans="1:26" s="1" customFormat="1" ht="94.5">
      <c r="B83" s="69"/>
      <c r="C83" s="652"/>
      <c r="D83" s="652"/>
      <c r="E83" s="652"/>
      <c r="F83" s="652"/>
      <c r="G83" s="652"/>
      <c r="H83" s="652"/>
      <c r="I83" s="652"/>
      <c r="J83" s="673">
        <v>1.1200000000000001</v>
      </c>
      <c r="K83" s="651" t="s">
        <v>773</v>
      </c>
      <c r="L83" s="651">
        <v>20</v>
      </c>
      <c r="M83" s="21" t="s">
        <v>1820</v>
      </c>
      <c r="N83" s="652" t="s">
        <v>1516</v>
      </c>
      <c r="O83" s="31" t="s">
        <v>701</v>
      </c>
      <c r="P83" s="31" t="s">
        <v>1900</v>
      </c>
      <c r="Q83" s="31" t="s">
        <v>1904</v>
      </c>
      <c r="R83" s="31" t="s">
        <v>1964</v>
      </c>
      <c r="S83" s="31" t="s">
        <v>1965</v>
      </c>
      <c r="T83" s="31" t="s">
        <v>1966</v>
      </c>
      <c r="U83" s="31" t="s">
        <v>1967</v>
      </c>
      <c r="V83" s="31">
        <v>84</v>
      </c>
      <c r="W83" s="31">
        <v>84</v>
      </c>
      <c r="X83" s="3" t="s">
        <v>904</v>
      </c>
      <c r="Y83" s="3" t="s">
        <v>1517</v>
      </c>
      <c r="Z83" s="3"/>
    </row>
    <row r="84" spans="1:26" s="1" customFormat="1" ht="126">
      <c r="B84" s="69"/>
      <c r="C84" s="652"/>
      <c r="D84" s="652"/>
      <c r="E84" s="652"/>
      <c r="F84" s="652"/>
      <c r="G84" s="652"/>
      <c r="H84" s="652"/>
      <c r="I84" s="652"/>
      <c r="J84" s="673">
        <v>1.1200000000000001</v>
      </c>
      <c r="K84" s="651" t="s">
        <v>773</v>
      </c>
      <c r="L84" s="651">
        <v>21</v>
      </c>
      <c r="M84" s="21" t="s">
        <v>1821</v>
      </c>
      <c r="N84" s="652" t="s">
        <v>1518</v>
      </c>
      <c r="O84" s="31" t="s">
        <v>701</v>
      </c>
      <c r="P84" s="31" t="s">
        <v>1901</v>
      </c>
      <c r="Q84" s="31" t="s">
        <v>1905</v>
      </c>
      <c r="R84" s="31" t="s">
        <v>1968</v>
      </c>
      <c r="S84" s="31" t="s">
        <v>1969</v>
      </c>
      <c r="T84" s="31" t="s">
        <v>1970</v>
      </c>
      <c r="U84" s="31" t="s">
        <v>1971</v>
      </c>
      <c r="V84" s="31" t="s">
        <v>1972</v>
      </c>
      <c r="W84" s="31" t="s">
        <v>1972</v>
      </c>
      <c r="X84" s="3" t="s">
        <v>904</v>
      </c>
      <c r="Y84" s="3" t="s">
        <v>1519</v>
      </c>
      <c r="Z84" s="3"/>
    </row>
    <row r="85" spans="1:26" s="1" customFormat="1" ht="47.25">
      <c r="B85" s="69"/>
      <c r="C85" s="652"/>
      <c r="D85" s="652"/>
      <c r="E85" s="652"/>
      <c r="F85" s="652"/>
      <c r="G85" s="652"/>
      <c r="H85" s="652"/>
      <c r="I85" s="652"/>
      <c r="J85" s="673">
        <v>1.1200000000000001</v>
      </c>
      <c r="K85" s="651" t="s">
        <v>773</v>
      </c>
      <c r="L85" s="651">
        <v>23</v>
      </c>
      <c r="M85" s="21" t="s">
        <v>1824</v>
      </c>
      <c r="N85" s="652" t="s">
        <v>1520</v>
      </c>
      <c r="O85" s="31" t="s">
        <v>701</v>
      </c>
      <c r="P85" s="31" t="s">
        <v>1902</v>
      </c>
      <c r="Q85" s="31" t="s">
        <v>1906</v>
      </c>
      <c r="R85" s="31" t="s">
        <v>1973</v>
      </c>
      <c r="S85" s="31" t="s">
        <v>1974</v>
      </c>
      <c r="T85" s="31" t="s">
        <v>1975</v>
      </c>
      <c r="U85" s="31" t="s">
        <v>1976</v>
      </c>
      <c r="V85" s="31" t="s">
        <v>1977</v>
      </c>
      <c r="W85" s="31" t="s">
        <v>1977</v>
      </c>
      <c r="X85" s="3" t="s">
        <v>904</v>
      </c>
      <c r="Y85" s="3" t="s">
        <v>1521</v>
      </c>
      <c r="Z85" s="3"/>
    </row>
    <row r="86" spans="1:26" s="1" customFormat="1" ht="94.5">
      <c r="B86" s="69"/>
      <c r="C86" s="652"/>
      <c r="D86" s="652"/>
      <c r="E86" s="652"/>
      <c r="F86" s="652"/>
      <c r="G86" s="652"/>
      <c r="H86" s="652"/>
      <c r="I86" s="652"/>
      <c r="J86" s="673">
        <v>1.1200000000000001</v>
      </c>
      <c r="K86" s="651" t="s">
        <v>773</v>
      </c>
      <c r="L86" s="651">
        <v>24</v>
      </c>
      <c r="M86" s="21" t="s">
        <v>1822</v>
      </c>
      <c r="N86" s="652" t="s">
        <v>1522</v>
      </c>
      <c r="O86" s="31" t="s">
        <v>701</v>
      </c>
      <c r="P86" s="31" t="s">
        <v>1907</v>
      </c>
      <c r="Q86" s="31" t="s">
        <v>1908</v>
      </c>
      <c r="R86" s="31" t="s">
        <v>1978</v>
      </c>
      <c r="S86" s="31" t="s">
        <v>1979</v>
      </c>
      <c r="T86" s="31" t="s">
        <v>1980</v>
      </c>
      <c r="U86" s="31" t="s">
        <v>1981</v>
      </c>
      <c r="V86" s="31">
        <v>86</v>
      </c>
      <c r="W86" s="31">
        <v>86</v>
      </c>
      <c r="X86" s="3" t="s">
        <v>904</v>
      </c>
      <c r="Y86" s="3" t="s">
        <v>1523</v>
      </c>
      <c r="Z86" s="3"/>
    </row>
    <row r="87" spans="1:26" s="1" customFormat="1" ht="110.25">
      <c r="B87" s="69"/>
      <c r="C87" s="652"/>
      <c r="D87" s="652"/>
      <c r="E87" s="652"/>
      <c r="F87" s="652"/>
      <c r="G87" s="652"/>
      <c r="H87" s="652"/>
      <c r="I87" s="652"/>
      <c r="J87" s="674"/>
      <c r="K87" s="652"/>
      <c r="L87" s="652"/>
      <c r="M87" s="21"/>
      <c r="N87" s="652" t="s">
        <v>1524</v>
      </c>
      <c r="O87" s="31" t="s">
        <v>921</v>
      </c>
      <c r="P87" s="719" t="s">
        <v>1909</v>
      </c>
      <c r="Q87" s="32" t="s">
        <v>1909</v>
      </c>
      <c r="R87" s="32" t="s">
        <v>1985</v>
      </c>
      <c r="S87" s="32" t="s">
        <v>1982</v>
      </c>
      <c r="T87" s="32" t="s">
        <v>1983</v>
      </c>
      <c r="U87" s="32" t="s">
        <v>1983</v>
      </c>
      <c r="V87" s="32" t="s">
        <v>1984</v>
      </c>
      <c r="W87" s="32" t="s">
        <v>1984</v>
      </c>
      <c r="X87" s="3" t="s">
        <v>904</v>
      </c>
      <c r="Y87" s="3" t="s">
        <v>1525</v>
      </c>
      <c r="Z87" s="3" t="s">
        <v>1526</v>
      </c>
    </row>
    <row r="88" spans="1:26" s="1" customFormat="1" ht="63">
      <c r="B88" s="69"/>
      <c r="C88" s="652"/>
      <c r="D88" s="652"/>
      <c r="E88" s="652"/>
      <c r="F88" s="652"/>
      <c r="G88" s="652"/>
      <c r="H88" s="652"/>
      <c r="I88" s="652"/>
      <c r="J88" s="652"/>
      <c r="K88" s="652"/>
      <c r="L88" s="652"/>
      <c r="M88" s="21"/>
      <c r="N88" s="652" t="s">
        <v>1527</v>
      </c>
      <c r="O88" s="31" t="s">
        <v>921</v>
      </c>
      <c r="P88" s="719" t="s">
        <v>2104</v>
      </c>
      <c r="Q88" s="719" t="s">
        <v>2104</v>
      </c>
      <c r="R88" s="719" t="s">
        <v>2104</v>
      </c>
      <c r="S88" s="719" t="s">
        <v>2104</v>
      </c>
      <c r="T88" s="719" t="s">
        <v>2104</v>
      </c>
      <c r="U88" s="719" t="s">
        <v>2104</v>
      </c>
      <c r="V88" s="719" t="s">
        <v>2104</v>
      </c>
      <c r="W88" s="719" t="s">
        <v>2104</v>
      </c>
      <c r="X88" s="3" t="s">
        <v>904</v>
      </c>
      <c r="Y88" s="3" t="s">
        <v>1528</v>
      </c>
      <c r="Z88" s="3"/>
    </row>
    <row r="89" spans="1:26" s="1" customFormat="1" ht="63">
      <c r="B89" s="69"/>
      <c r="C89" s="652"/>
      <c r="D89" s="652"/>
      <c r="E89" s="652"/>
      <c r="F89" s="652"/>
      <c r="G89" s="652"/>
      <c r="H89" s="652"/>
      <c r="I89" s="652"/>
      <c r="J89" s="652"/>
      <c r="K89" s="652"/>
      <c r="L89" s="652"/>
      <c r="M89" s="21"/>
      <c r="N89" s="652" t="s">
        <v>1532</v>
      </c>
      <c r="O89" s="31" t="s">
        <v>701</v>
      </c>
      <c r="P89" s="31" t="s">
        <v>1910</v>
      </c>
      <c r="Q89" s="31" t="s">
        <v>1911</v>
      </c>
      <c r="R89" s="31" t="s">
        <v>1986</v>
      </c>
      <c r="S89" s="31" t="s">
        <v>1987</v>
      </c>
      <c r="T89" s="31" t="s">
        <v>1988</v>
      </c>
      <c r="U89" s="31" t="s">
        <v>1989</v>
      </c>
      <c r="V89" s="31" t="s">
        <v>1990</v>
      </c>
      <c r="W89" s="31" t="s">
        <v>1990</v>
      </c>
      <c r="X89" s="3" t="s">
        <v>904</v>
      </c>
      <c r="Y89" s="3" t="s">
        <v>1533</v>
      </c>
      <c r="Z89" s="3"/>
    </row>
    <row r="90" spans="1:26" s="1" customFormat="1" ht="47.25">
      <c r="B90" s="69"/>
      <c r="C90" s="652"/>
      <c r="D90" s="652"/>
      <c r="E90" s="652"/>
      <c r="F90" s="652"/>
      <c r="G90" s="652"/>
      <c r="H90" s="652"/>
      <c r="I90" s="652"/>
      <c r="J90" s="652"/>
      <c r="K90" s="652"/>
      <c r="L90" s="652"/>
      <c r="M90" s="21"/>
      <c r="N90" s="652" t="s">
        <v>1530</v>
      </c>
      <c r="O90" s="31" t="s">
        <v>701</v>
      </c>
      <c r="P90" s="31" t="s">
        <v>1991</v>
      </c>
      <c r="Q90" s="31" t="s">
        <v>1991</v>
      </c>
      <c r="R90" s="31" t="s">
        <v>1992</v>
      </c>
      <c r="S90" s="31" t="s">
        <v>1993</v>
      </c>
      <c r="T90" s="31" t="s">
        <v>1995</v>
      </c>
      <c r="U90" s="31" t="s">
        <v>1994</v>
      </c>
      <c r="V90" s="31" t="s">
        <v>1996</v>
      </c>
      <c r="W90" s="31" t="s">
        <v>1996</v>
      </c>
      <c r="X90" s="3" t="s">
        <v>904</v>
      </c>
      <c r="Y90" s="3"/>
      <c r="Z90" s="3" t="s">
        <v>1531</v>
      </c>
    </row>
    <row r="91" spans="1:26" s="1" customFormat="1" ht="63">
      <c r="B91" s="69"/>
      <c r="C91" s="652"/>
      <c r="D91" s="652"/>
      <c r="E91" s="652"/>
      <c r="F91" s="652"/>
      <c r="G91" s="652"/>
      <c r="H91" s="652"/>
      <c r="I91" s="652"/>
      <c r="J91" s="652"/>
      <c r="K91" s="652"/>
      <c r="L91" s="652"/>
      <c r="M91" s="42"/>
      <c r="N91" s="653" t="s">
        <v>2067</v>
      </c>
      <c r="O91" s="31"/>
      <c r="P91" s="31">
        <v>19.428000000000001</v>
      </c>
      <c r="Q91" s="31">
        <v>17.274000000000001</v>
      </c>
      <c r="R91" s="31">
        <v>14.073</v>
      </c>
      <c r="S91" s="31">
        <v>14.065</v>
      </c>
      <c r="T91" s="31">
        <v>14.058999999999999</v>
      </c>
      <c r="U91" s="31">
        <v>14.057</v>
      </c>
      <c r="V91" s="31">
        <v>14.055</v>
      </c>
      <c r="W91" s="31">
        <v>14.055</v>
      </c>
      <c r="X91" s="3" t="s">
        <v>904</v>
      </c>
      <c r="Y91" s="3" t="s">
        <v>2103</v>
      </c>
      <c r="Z91" s="3"/>
    </row>
    <row r="92" spans="1:26" s="1" customFormat="1" ht="78.75">
      <c r="B92" s="77"/>
      <c r="C92" s="653"/>
      <c r="D92" s="653"/>
      <c r="E92" s="653"/>
      <c r="F92" s="653"/>
      <c r="G92" s="653"/>
      <c r="H92" s="653"/>
      <c r="I92" s="653"/>
      <c r="J92" s="3">
        <v>1.1200000000000001</v>
      </c>
      <c r="K92" s="3" t="s">
        <v>773</v>
      </c>
      <c r="L92" s="3">
        <v>17</v>
      </c>
      <c r="M92" s="3" t="s">
        <v>1816</v>
      </c>
      <c r="N92" s="3" t="s">
        <v>1817</v>
      </c>
      <c r="O92" s="31" t="s">
        <v>701</v>
      </c>
      <c r="P92" s="34">
        <v>4</v>
      </c>
      <c r="Q92" s="34">
        <v>4</v>
      </c>
      <c r="R92" s="34">
        <v>3</v>
      </c>
      <c r="S92" s="34">
        <v>3</v>
      </c>
      <c r="T92" s="34">
        <v>3</v>
      </c>
      <c r="U92" s="34">
        <v>3</v>
      </c>
      <c r="V92" s="34">
        <v>3</v>
      </c>
      <c r="W92" s="34">
        <v>3</v>
      </c>
      <c r="X92" s="3" t="s">
        <v>904</v>
      </c>
      <c r="Y92" s="3" t="s">
        <v>1529</v>
      </c>
      <c r="Z92" s="3"/>
    </row>
    <row r="93" spans="1:26" s="24" customFormat="1">
      <c r="A93" s="27"/>
      <c r="B93" s="111"/>
      <c r="C93" s="25"/>
      <c r="D93" s="25"/>
      <c r="E93" s="25"/>
      <c r="F93" s="25"/>
      <c r="G93" s="25"/>
      <c r="H93" s="27"/>
      <c r="I93" s="25"/>
      <c r="J93" s="25"/>
      <c r="N93" s="25"/>
      <c r="O93" s="720"/>
      <c r="P93" s="720"/>
      <c r="Q93" s="25"/>
      <c r="R93" s="25"/>
      <c r="S93" s="112"/>
      <c r="T93" s="721"/>
      <c r="U93" s="720"/>
      <c r="V93" s="720"/>
      <c r="W93" s="27"/>
      <c r="Y93" s="120"/>
    </row>
    <row r="94" spans="1:26" s="24" customFormat="1">
      <c r="B94" s="111"/>
      <c r="C94" s="25"/>
      <c r="G94" s="25"/>
      <c r="I94" s="25"/>
      <c r="J94" s="25"/>
      <c r="N94" s="25"/>
      <c r="O94" s="112"/>
      <c r="P94" s="112"/>
      <c r="Q94" s="25"/>
      <c r="R94" s="25"/>
      <c r="S94" s="112"/>
      <c r="T94" s="721"/>
      <c r="U94" s="112"/>
      <c r="V94" s="112"/>
      <c r="Y94" s="120"/>
    </row>
    <row r="95" spans="1:26" s="24" customFormat="1">
      <c r="B95" s="113"/>
      <c r="D95" s="25"/>
      <c r="E95" s="25"/>
      <c r="F95" s="25"/>
      <c r="G95" s="25"/>
      <c r="I95" s="25"/>
      <c r="J95" s="25"/>
      <c r="O95" s="112"/>
      <c r="P95" s="112"/>
      <c r="Q95" s="112"/>
      <c r="R95" s="112"/>
      <c r="S95" s="112"/>
      <c r="T95" s="721"/>
      <c r="U95" s="112"/>
      <c r="V95" s="112"/>
      <c r="Y95" s="120"/>
    </row>
    <row r="96" spans="1:26" s="24" customFormat="1">
      <c r="B96" s="113"/>
      <c r="D96" s="25"/>
      <c r="E96" s="25"/>
      <c r="F96" s="25"/>
      <c r="G96" s="25"/>
      <c r="I96" s="25"/>
      <c r="J96" s="25"/>
      <c r="O96" s="112"/>
      <c r="P96" s="112"/>
      <c r="Q96" s="112"/>
      <c r="R96" s="112" t="s">
        <v>1798</v>
      </c>
      <c r="S96" s="112"/>
      <c r="T96" s="721"/>
      <c r="U96" s="112"/>
      <c r="V96" s="112"/>
      <c r="Y96" s="120"/>
    </row>
    <row r="97" spans="2:25" s="24" customFormat="1">
      <c r="B97" s="113"/>
      <c r="D97" s="25"/>
      <c r="E97" s="25"/>
      <c r="F97" s="25"/>
      <c r="G97" s="25"/>
      <c r="I97" s="25"/>
      <c r="J97" s="25"/>
      <c r="O97" s="112"/>
      <c r="P97" s="112"/>
      <c r="Q97" s="112"/>
      <c r="R97" s="112"/>
      <c r="S97" s="112"/>
      <c r="T97" s="721"/>
      <c r="U97" s="25"/>
      <c r="V97" s="25"/>
      <c r="W97" s="25"/>
      <c r="Y97" s="120"/>
    </row>
    <row r="98" spans="2:25" s="24" customFormat="1">
      <c r="B98" s="113"/>
      <c r="D98" s="25"/>
      <c r="E98" s="25"/>
      <c r="F98" s="25"/>
      <c r="G98" s="26"/>
      <c r="I98" s="26"/>
      <c r="J98" s="26"/>
      <c r="O98" s="112"/>
      <c r="P98" s="112"/>
      <c r="Q98" s="112"/>
      <c r="R98" s="112"/>
      <c r="S98" s="112"/>
      <c r="T98" s="721"/>
      <c r="U98" s="25"/>
      <c r="V98" s="25"/>
      <c r="W98" s="26"/>
      <c r="Y98" s="120"/>
    </row>
    <row r="99" spans="2:25" s="24" customFormat="1">
      <c r="B99" s="113"/>
      <c r="D99" s="25"/>
      <c r="E99" s="25"/>
      <c r="F99" s="25"/>
      <c r="G99" s="26"/>
      <c r="I99" s="26"/>
      <c r="J99" s="26"/>
      <c r="O99" s="112"/>
      <c r="P99" s="112"/>
      <c r="Q99" s="112"/>
      <c r="R99" s="112"/>
      <c r="S99" s="112"/>
      <c r="T99" s="721"/>
      <c r="U99" s="25"/>
      <c r="V99" s="25"/>
      <c r="W99" s="26"/>
      <c r="Y99" s="120"/>
    </row>
    <row r="100" spans="2:25" s="24" customFormat="1">
      <c r="B100" s="113"/>
      <c r="D100" s="25"/>
      <c r="E100" s="25"/>
      <c r="F100" s="25"/>
      <c r="G100" s="26"/>
      <c r="I100" s="26"/>
      <c r="J100" s="26"/>
      <c r="O100" s="112"/>
      <c r="P100" s="112"/>
      <c r="Q100" s="112"/>
      <c r="R100" s="112"/>
      <c r="S100" s="112"/>
      <c r="T100" s="721"/>
      <c r="U100" s="25"/>
      <c r="V100" s="25"/>
      <c r="W100" s="26"/>
      <c r="Y100" s="120"/>
    </row>
    <row r="101" spans="2:25" s="24" customFormat="1">
      <c r="B101" s="113"/>
      <c r="D101" s="25"/>
      <c r="E101" s="25"/>
      <c r="F101" s="25"/>
      <c r="G101" s="26"/>
      <c r="I101" s="26"/>
      <c r="J101" s="26"/>
      <c r="O101" s="112"/>
      <c r="P101" s="112"/>
      <c r="Q101" s="112"/>
      <c r="R101" s="112"/>
      <c r="S101" s="112"/>
      <c r="T101" s="721"/>
      <c r="U101" s="25"/>
      <c r="V101" s="25"/>
      <c r="W101" s="26"/>
      <c r="Y101" s="120"/>
    </row>
    <row r="102" spans="2:25" s="24" customFormat="1">
      <c r="B102" s="113"/>
      <c r="D102" s="25"/>
      <c r="E102" s="25"/>
      <c r="F102" s="25"/>
      <c r="G102" s="26"/>
      <c r="I102" s="26"/>
      <c r="J102" s="26"/>
      <c r="O102" s="112"/>
      <c r="P102" s="112"/>
      <c r="Q102" s="112"/>
      <c r="R102" s="112"/>
      <c r="S102" s="112"/>
      <c r="T102" s="721"/>
      <c r="U102" s="25"/>
      <c r="V102" s="25"/>
      <c r="W102" s="26"/>
      <c r="Y102" s="120"/>
    </row>
    <row r="103" spans="2:25" s="24" customFormat="1">
      <c r="B103" s="113"/>
      <c r="D103" s="25"/>
      <c r="E103" s="25"/>
      <c r="F103" s="25"/>
      <c r="O103" s="112"/>
      <c r="P103" s="112"/>
      <c r="Q103" s="112"/>
      <c r="R103" s="112"/>
      <c r="S103" s="112"/>
      <c r="T103" s="721"/>
      <c r="U103" s="112"/>
      <c r="V103" s="112"/>
      <c r="Y103" s="120"/>
    </row>
    <row r="104" spans="2:25" s="24" customFormat="1">
      <c r="B104" s="113"/>
      <c r="D104" s="25"/>
      <c r="E104" s="25"/>
      <c r="F104" s="25"/>
      <c r="G104" s="25"/>
      <c r="I104" s="25"/>
      <c r="J104" s="25"/>
      <c r="O104" s="112"/>
      <c r="P104" s="112"/>
      <c r="Q104" s="112"/>
      <c r="R104" s="112"/>
      <c r="S104" s="112"/>
      <c r="T104" s="721"/>
      <c r="U104" s="112"/>
      <c r="V104" s="112"/>
      <c r="Y104" s="120"/>
    </row>
    <row r="105" spans="2:25" s="24" customFormat="1">
      <c r="B105" s="113"/>
      <c r="D105" s="25"/>
      <c r="E105" s="25"/>
      <c r="F105" s="25"/>
      <c r="G105" s="25"/>
      <c r="I105" s="25"/>
      <c r="J105" s="25"/>
      <c r="O105" s="112"/>
      <c r="P105" s="112"/>
      <c r="Q105" s="112"/>
      <c r="R105" s="112"/>
      <c r="S105" s="112"/>
      <c r="T105" s="721"/>
      <c r="U105" s="112"/>
      <c r="V105" s="112"/>
      <c r="Y105" s="120"/>
    </row>
    <row r="106" spans="2:25" s="24" customFormat="1">
      <c r="B106" s="113"/>
      <c r="D106" s="25"/>
      <c r="E106" s="25"/>
      <c r="F106" s="25"/>
      <c r="G106" s="25"/>
      <c r="I106" s="25"/>
      <c r="J106" s="25"/>
      <c r="O106" s="112"/>
      <c r="P106" s="112"/>
      <c r="Q106" s="112"/>
      <c r="R106" s="112"/>
      <c r="S106" s="112"/>
      <c r="T106" s="721"/>
      <c r="U106" s="112"/>
      <c r="V106" s="112"/>
      <c r="Y106" s="120"/>
    </row>
    <row r="107" spans="2:25" s="24" customFormat="1">
      <c r="B107" s="113"/>
      <c r="D107" s="25"/>
      <c r="E107" s="25"/>
      <c r="F107" s="25"/>
      <c r="G107" s="25"/>
      <c r="I107" s="25"/>
      <c r="J107" s="25"/>
      <c r="O107" s="112"/>
      <c r="P107" s="112"/>
      <c r="Q107" s="112"/>
      <c r="R107" s="112"/>
      <c r="S107" s="112"/>
      <c r="T107" s="721"/>
      <c r="U107" s="25"/>
      <c r="V107" s="25"/>
      <c r="W107" s="25"/>
      <c r="Y107" s="120"/>
    </row>
    <row r="108" spans="2:25" s="24" customFormat="1">
      <c r="B108" s="113"/>
      <c r="D108" s="25"/>
      <c r="E108" s="25"/>
      <c r="F108" s="25"/>
      <c r="G108" s="26"/>
      <c r="I108" s="26"/>
      <c r="J108" s="26"/>
      <c r="O108" s="112"/>
      <c r="P108" s="112"/>
      <c r="Q108" s="112"/>
      <c r="R108" s="112"/>
      <c r="S108" s="112"/>
      <c r="T108" s="721"/>
      <c r="U108" s="25"/>
      <c r="V108" s="25"/>
      <c r="W108" s="26"/>
      <c r="Y108" s="120"/>
    </row>
    <row r="109" spans="2:25" s="24" customFormat="1">
      <c r="B109" s="113"/>
      <c r="D109" s="25"/>
      <c r="E109" s="25"/>
      <c r="F109" s="25"/>
      <c r="G109" s="26"/>
      <c r="I109" s="26"/>
      <c r="J109" s="26"/>
      <c r="O109" s="112"/>
      <c r="P109" s="112"/>
      <c r="Q109" s="112"/>
      <c r="R109" s="112"/>
      <c r="S109" s="112"/>
      <c r="T109" s="721"/>
      <c r="U109" s="25"/>
      <c r="V109" s="25"/>
      <c r="W109" s="26"/>
      <c r="Y109" s="120"/>
    </row>
    <row r="110" spans="2:25" s="24" customFormat="1">
      <c r="B110" s="113"/>
      <c r="D110" s="25"/>
      <c r="E110" s="25"/>
      <c r="F110" s="25"/>
      <c r="G110" s="26"/>
      <c r="I110" s="26"/>
      <c r="J110" s="26"/>
      <c r="O110" s="112"/>
      <c r="P110" s="112"/>
      <c r="Q110" s="112"/>
      <c r="R110" s="112"/>
      <c r="S110" s="112"/>
      <c r="T110" s="721"/>
      <c r="U110" s="25"/>
      <c r="V110" s="25"/>
      <c r="W110" s="26"/>
      <c r="Y110" s="120"/>
    </row>
    <row r="111" spans="2:25" s="24" customFormat="1">
      <c r="B111" s="113"/>
      <c r="D111" s="25"/>
      <c r="E111" s="25"/>
      <c r="F111" s="25"/>
      <c r="G111" s="26"/>
      <c r="I111" s="26"/>
      <c r="J111" s="26"/>
      <c r="O111" s="112"/>
      <c r="P111" s="112"/>
      <c r="Q111" s="112"/>
      <c r="R111" s="112"/>
      <c r="S111" s="112"/>
      <c r="T111" s="721"/>
      <c r="U111" s="25"/>
      <c r="V111" s="25"/>
      <c r="W111" s="26"/>
      <c r="Y111" s="120"/>
    </row>
    <row r="112" spans="2:25" s="24" customFormat="1">
      <c r="B112" s="113"/>
      <c r="D112" s="25"/>
      <c r="E112" s="25"/>
      <c r="F112" s="25"/>
      <c r="G112" s="26"/>
      <c r="I112" s="26"/>
      <c r="J112" s="26"/>
      <c r="O112" s="112"/>
      <c r="P112" s="112"/>
      <c r="Q112" s="112"/>
      <c r="R112" s="112"/>
      <c r="S112" s="112"/>
      <c r="T112" s="721"/>
      <c r="U112" s="25"/>
      <c r="V112" s="25"/>
      <c r="W112" s="26"/>
      <c r="Y112" s="120"/>
    </row>
    <row r="113" spans="2:25" s="24" customFormat="1">
      <c r="B113" s="113"/>
      <c r="D113" s="25"/>
      <c r="E113" s="25"/>
      <c r="F113" s="25"/>
      <c r="G113" s="26"/>
      <c r="I113" s="26"/>
      <c r="J113" s="26"/>
      <c r="O113" s="112"/>
      <c r="P113" s="112"/>
      <c r="Q113" s="112"/>
      <c r="R113" s="112"/>
      <c r="S113" s="112"/>
      <c r="T113" s="721"/>
      <c r="U113" s="25"/>
      <c r="V113" s="25"/>
      <c r="W113" s="26"/>
      <c r="Y113" s="120"/>
    </row>
    <row r="114" spans="2:25" s="24" customFormat="1">
      <c r="B114" s="113"/>
      <c r="D114" s="25"/>
      <c r="E114" s="25"/>
      <c r="F114" s="25"/>
      <c r="G114" s="26"/>
      <c r="I114" s="26"/>
      <c r="J114" s="26"/>
      <c r="O114" s="112"/>
      <c r="P114" s="112"/>
      <c r="Q114" s="112"/>
      <c r="R114" s="112"/>
      <c r="S114" s="112"/>
      <c r="T114" s="721"/>
      <c r="U114" s="25"/>
      <c r="V114" s="25"/>
      <c r="W114" s="26"/>
      <c r="Y114" s="120"/>
    </row>
    <row r="115" spans="2:25" s="24" customFormat="1">
      <c r="B115" s="113"/>
      <c r="D115" s="25"/>
      <c r="E115" s="25"/>
      <c r="F115" s="25"/>
      <c r="G115" s="26"/>
      <c r="I115" s="26"/>
      <c r="J115" s="26"/>
      <c r="O115" s="112"/>
      <c r="P115" s="112"/>
      <c r="Q115" s="112"/>
      <c r="R115" s="112"/>
      <c r="S115" s="112"/>
      <c r="T115" s="721"/>
      <c r="U115" s="25"/>
      <c r="V115" s="25"/>
      <c r="W115" s="26"/>
      <c r="Y115" s="120"/>
    </row>
    <row r="116" spans="2:25" s="24" customFormat="1">
      <c r="B116" s="113"/>
      <c r="D116" s="25"/>
      <c r="E116" s="25"/>
      <c r="F116" s="25"/>
      <c r="G116" s="26"/>
      <c r="I116" s="26"/>
      <c r="J116" s="26"/>
      <c r="O116" s="112"/>
      <c r="P116" s="112"/>
      <c r="Q116" s="112"/>
      <c r="R116" s="112"/>
      <c r="S116" s="112"/>
      <c r="T116" s="721"/>
      <c r="U116" s="25"/>
      <c r="V116" s="25"/>
      <c r="W116" s="26"/>
      <c r="Y116" s="120"/>
    </row>
    <row r="117" spans="2:25" s="24" customFormat="1">
      <c r="B117" s="113"/>
      <c r="D117" s="25"/>
      <c r="E117" s="25"/>
      <c r="F117" s="25"/>
      <c r="G117" s="26"/>
      <c r="I117" s="26"/>
      <c r="J117" s="26"/>
      <c r="O117" s="112"/>
      <c r="P117" s="112"/>
      <c r="Q117" s="112"/>
      <c r="R117" s="112"/>
      <c r="S117" s="112"/>
      <c r="T117" s="721"/>
      <c r="U117" s="25"/>
      <c r="V117" s="25"/>
      <c r="W117" s="26"/>
      <c r="Y117" s="120"/>
    </row>
    <row r="118" spans="2:25" s="24" customFormat="1">
      <c r="B118" s="113"/>
      <c r="D118" s="25"/>
      <c r="E118" s="25"/>
      <c r="F118" s="25"/>
      <c r="G118" s="26"/>
      <c r="I118" s="26"/>
      <c r="J118" s="26"/>
      <c r="O118" s="112"/>
      <c r="P118" s="112"/>
      <c r="Q118" s="112"/>
      <c r="R118" s="112"/>
      <c r="S118" s="112"/>
      <c r="T118" s="721"/>
      <c r="U118" s="25"/>
      <c r="V118" s="25"/>
      <c r="W118" s="26"/>
      <c r="Y118" s="120"/>
    </row>
    <row r="119" spans="2:25" s="24" customFormat="1">
      <c r="B119" s="113"/>
      <c r="D119" s="25"/>
      <c r="E119" s="25"/>
      <c r="F119" s="25"/>
      <c r="G119" s="25"/>
      <c r="I119" s="25"/>
      <c r="J119" s="25"/>
      <c r="O119" s="112"/>
      <c r="P119" s="112"/>
      <c r="Q119" s="112"/>
      <c r="R119" s="112"/>
      <c r="S119" s="112"/>
      <c r="T119" s="721"/>
      <c r="U119" s="112"/>
      <c r="V119" s="112"/>
      <c r="Y119" s="120"/>
    </row>
    <row r="120" spans="2:25" s="24" customFormat="1">
      <c r="B120" s="113"/>
      <c r="D120" s="25"/>
      <c r="E120" s="25"/>
      <c r="F120" s="25"/>
      <c r="O120" s="112"/>
      <c r="P120" s="112"/>
      <c r="Q120" s="112"/>
      <c r="R120" s="112"/>
      <c r="S120" s="112"/>
      <c r="T120" s="721"/>
      <c r="U120" s="112"/>
      <c r="V120" s="112"/>
      <c r="Y120" s="120"/>
    </row>
    <row r="121" spans="2:25" s="24" customFormat="1">
      <c r="B121" s="113"/>
      <c r="D121" s="25"/>
      <c r="E121" s="25"/>
      <c r="F121" s="25"/>
      <c r="G121" s="25"/>
      <c r="I121" s="25"/>
      <c r="J121" s="25"/>
      <c r="O121" s="112"/>
      <c r="P121" s="112"/>
      <c r="Q121" s="112"/>
      <c r="R121" s="112"/>
      <c r="S121" s="112"/>
      <c r="T121" s="721"/>
      <c r="U121" s="112"/>
      <c r="V121" s="112"/>
      <c r="Y121" s="120"/>
    </row>
    <row r="122" spans="2:25" s="24" customFormat="1">
      <c r="B122" s="113"/>
      <c r="D122" s="25"/>
      <c r="E122" s="25"/>
      <c r="F122" s="25"/>
      <c r="G122" s="25"/>
      <c r="I122" s="25"/>
      <c r="J122" s="25"/>
      <c r="O122" s="112"/>
      <c r="P122" s="112"/>
      <c r="Q122" s="112"/>
      <c r="R122" s="112"/>
      <c r="S122" s="112"/>
      <c r="T122" s="721"/>
      <c r="U122" s="112"/>
      <c r="V122" s="112"/>
      <c r="Y122" s="120"/>
    </row>
    <row r="123" spans="2:25" s="24" customFormat="1">
      <c r="B123" s="113"/>
      <c r="D123" s="25"/>
      <c r="E123" s="25"/>
      <c r="F123" s="25"/>
      <c r="G123" s="25"/>
      <c r="I123" s="25"/>
      <c r="J123" s="25"/>
      <c r="O123" s="112"/>
      <c r="P123" s="112"/>
      <c r="Q123" s="112"/>
      <c r="R123" s="112"/>
      <c r="S123" s="112"/>
      <c r="T123" s="721"/>
      <c r="U123" s="112"/>
      <c r="V123" s="112"/>
      <c r="Y123" s="120"/>
    </row>
    <row r="124" spans="2:25" s="24" customFormat="1">
      <c r="B124" s="113"/>
      <c r="D124" s="25"/>
      <c r="E124" s="25"/>
      <c r="F124" s="25"/>
      <c r="G124" s="25"/>
      <c r="I124" s="25"/>
      <c r="J124" s="25"/>
      <c r="O124" s="112"/>
      <c r="P124" s="112"/>
      <c r="Q124" s="112"/>
      <c r="R124" s="112"/>
      <c r="S124" s="112"/>
      <c r="T124" s="721"/>
      <c r="U124" s="25"/>
      <c r="V124" s="25"/>
      <c r="W124" s="25"/>
      <c r="Y124" s="120"/>
    </row>
    <row r="125" spans="2:25" s="24" customFormat="1">
      <c r="B125" s="113"/>
      <c r="D125" s="25"/>
      <c r="E125" s="25"/>
      <c r="F125" s="25"/>
      <c r="G125" s="26"/>
      <c r="I125" s="26"/>
      <c r="J125" s="26"/>
      <c r="O125" s="112"/>
      <c r="P125" s="112"/>
      <c r="Q125" s="112"/>
      <c r="R125" s="112"/>
      <c r="S125" s="112"/>
      <c r="T125" s="721"/>
      <c r="U125" s="25"/>
      <c r="V125" s="25"/>
      <c r="W125" s="26"/>
      <c r="Y125" s="120"/>
    </row>
    <row r="126" spans="2:25" s="24" customFormat="1">
      <c r="B126" s="113"/>
      <c r="D126" s="25"/>
      <c r="E126" s="25"/>
      <c r="F126" s="25"/>
      <c r="G126" s="26"/>
      <c r="I126" s="26"/>
      <c r="J126" s="26"/>
      <c r="O126" s="112"/>
      <c r="P126" s="112"/>
      <c r="Q126" s="112"/>
      <c r="R126" s="112"/>
      <c r="S126" s="112"/>
      <c r="T126" s="721"/>
      <c r="U126" s="25"/>
      <c r="V126" s="25"/>
      <c r="W126" s="26"/>
      <c r="Y126" s="120"/>
    </row>
    <row r="127" spans="2:25" s="24" customFormat="1">
      <c r="B127" s="113"/>
      <c r="D127" s="25"/>
      <c r="E127" s="25"/>
      <c r="F127" s="25"/>
      <c r="G127" s="26"/>
      <c r="I127" s="26"/>
      <c r="J127" s="26"/>
      <c r="O127" s="112"/>
      <c r="P127" s="112"/>
      <c r="Q127" s="112"/>
      <c r="R127" s="112"/>
      <c r="S127" s="112"/>
      <c r="T127" s="721"/>
      <c r="U127" s="25"/>
      <c r="V127" s="25"/>
      <c r="W127" s="26"/>
      <c r="Y127" s="120"/>
    </row>
    <row r="128" spans="2:25" s="24" customFormat="1">
      <c r="B128" s="113"/>
      <c r="D128" s="25"/>
      <c r="E128" s="25"/>
      <c r="F128" s="25"/>
      <c r="G128" s="26"/>
      <c r="I128" s="26"/>
      <c r="J128" s="26"/>
      <c r="O128" s="112"/>
      <c r="P128" s="112"/>
      <c r="Q128" s="112"/>
      <c r="R128" s="112"/>
      <c r="S128" s="112"/>
      <c r="T128" s="721"/>
      <c r="U128" s="25"/>
      <c r="V128" s="25"/>
      <c r="W128" s="26"/>
      <c r="Y128" s="120"/>
    </row>
    <row r="129" spans="2:25" s="24" customFormat="1">
      <c r="B129" s="113"/>
      <c r="D129" s="25"/>
      <c r="E129" s="25"/>
      <c r="F129" s="25"/>
      <c r="G129" s="26"/>
      <c r="I129" s="26"/>
      <c r="J129" s="26"/>
      <c r="O129" s="112"/>
      <c r="P129" s="112"/>
      <c r="Q129" s="112"/>
      <c r="R129" s="112"/>
      <c r="S129" s="112"/>
      <c r="T129" s="721"/>
      <c r="U129" s="25"/>
      <c r="V129" s="25"/>
      <c r="W129" s="26"/>
      <c r="Y129" s="120"/>
    </row>
    <row r="130" spans="2:25" s="24" customFormat="1">
      <c r="B130" s="113"/>
      <c r="D130" s="25"/>
      <c r="E130" s="25"/>
      <c r="F130" s="25"/>
      <c r="G130" s="26"/>
      <c r="I130" s="26"/>
      <c r="J130" s="26"/>
      <c r="O130" s="112"/>
      <c r="P130" s="112"/>
      <c r="Q130" s="112"/>
      <c r="R130" s="112"/>
      <c r="S130" s="112"/>
      <c r="T130" s="721"/>
      <c r="U130" s="25"/>
      <c r="V130" s="25"/>
      <c r="W130" s="26"/>
      <c r="Y130" s="120"/>
    </row>
    <row r="131" spans="2:25" s="24" customFormat="1">
      <c r="B131" s="113"/>
      <c r="D131" s="25"/>
      <c r="E131" s="25"/>
      <c r="F131" s="25"/>
      <c r="G131" s="26"/>
      <c r="I131" s="26"/>
      <c r="J131" s="26"/>
      <c r="O131" s="112"/>
      <c r="P131" s="112"/>
      <c r="Q131" s="112"/>
      <c r="R131" s="112"/>
      <c r="S131" s="112"/>
      <c r="T131" s="721"/>
      <c r="U131" s="25"/>
      <c r="V131" s="25"/>
      <c r="W131" s="26"/>
      <c r="Y131" s="120"/>
    </row>
    <row r="132" spans="2:25" s="24" customFormat="1">
      <c r="B132" s="113"/>
      <c r="D132" s="25"/>
      <c r="E132" s="25"/>
      <c r="F132" s="25"/>
      <c r="G132" s="26"/>
      <c r="I132" s="26"/>
      <c r="J132" s="26"/>
      <c r="O132" s="112"/>
      <c r="P132" s="112"/>
      <c r="Q132" s="112"/>
      <c r="R132" s="112"/>
      <c r="S132" s="112"/>
      <c r="T132" s="721"/>
      <c r="U132" s="25"/>
      <c r="V132" s="25"/>
      <c r="W132" s="26"/>
      <c r="Y132" s="120"/>
    </row>
    <row r="133" spans="2:25" s="24" customFormat="1">
      <c r="B133" s="113"/>
      <c r="D133" s="25"/>
      <c r="E133" s="25"/>
      <c r="F133" s="25"/>
      <c r="G133" s="26"/>
      <c r="I133" s="26"/>
      <c r="J133" s="26"/>
      <c r="O133" s="112"/>
      <c r="P133" s="112"/>
      <c r="Q133" s="112"/>
      <c r="R133" s="112"/>
      <c r="S133" s="112"/>
      <c r="T133" s="721"/>
      <c r="U133" s="25"/>
      <c r="V133" s="25"/>
      <c r="W133" s="26"/>
      <c r="Y133" s="120"/>
    </row>
    <row r="134" spans="2:25" s="24" customFormat="1">
      <c r="B134" s="113"/>
      <c r="D134" s="25"/>
      <c r="E134" s="25"/>
      <c r="F134" s="25"/>
      <c r="G134" s="26"/>
      <c r="I134" s="26"/>
      <c r="J134" s="26"/>
      <c r="O134" s="112"/>
      <c r="P134" s="112"/>
      <c r="Q134" s="112"/>
      <c r="R134" s="112"/>
      <c r="S134" s="112"/>
      <c r="T134" s="721"/>
      <c r="U134" s="25"/>
      <c r="V134" s="25"/>
      <c r="W134" s="26"/>
      <c r="Y134" s="120"/>
    </row>
    <row r="135" spans="2:25" s="24" customFormat="1">
      <c r="B135" s="113"/>
      <c r="D135" s="25"/>
      <c r="E135" s="25"/>
      <c r="F135" s="25"/>
      <c r="G135" s="26"/>
      <c r="I135" s="26"/>
      <c r="J135" s="26"/>
      <c r="O135" s="112"/>
      <c r="P135" s="112"/>
      <c r="Q135" s="112"/>
      <c r="R135" s="112"/>
      <c r="S135" s="112"/>
      <c r="T135" s="721"/>
      <c r="U135" s="25"/>
      <c r="V135" s="25"/>
      <c r="W135" s="26"/>
      <c r="Y135" s="120"/>
    </row>
    <row r="136" spans="2:25" s="24" customFormat="1">
      <c r="B136" s="113"/>
      <c r="D136" s="25"/>
      <c r="E136" s="25"/>
      <c r="F136" s="25"/>
      <c r="G136" s="26"/>
      <c r="I136" s="26"/>
      <c r="J136" s="26"/>
      <c r="O136" s="112"/>
      <c r="P136" s="112"/>
      <c r="Q136" s="112"/>
      <c r="R136" s="112"/>
      <c r="S136" s="112"/>
      <c r="T136" s="721"/>
      <c r="U136" s="25"/>
      <c r="V136" s="25"/>
      <c r="W136" s="26"/>
      <c r="Y136" s="120"/>
    </row>
    <row r="137" spans="2:25" s="24" customFormat="1">
      <c r="B137" s="113"/>
      <c r="D137" s="25"/>
      <c r="E137" s="25"/>
      <c r="F137" s="25"/>
      <c r="G137" s="26"/>
      <c r="I137" s="26"/>
      <c r="J137" s="26"/>
      <c r="O137" s="112"/>
      <c r="P137" s="112"/>
      <c r="Q137" s="112"/>
      <c r="R137" s="112"/>
      <c r="S137" s="112"/>
      <c r="T137" s="721"/>
      <c r="U137" s="25"/>
      <c r="V137" s="25"/>
      <c r="W137" s="26"/>
      <c r="Y137" s="120"/>
    </row>
    <row r="138" spans="2:25" s="24" customFormat="1">
      <c r="B138" s="113"/>
      <c r="D138" s="25"/>
      <c r="E138" s="25"/>
      <c r="F138" s="25"/>
      <c r="G138" s="26"/>
      <c r="I138" s="26"/>
      <c r="J138" s="26"/>
      <c r="O138" s="112"/>
      <c r="P138" s="112"/>
      <c r="Q138" s="112"/>
      <c r="R138" s="112"/>
      <c r="S138" s="112"/>
      <c r="T138" s="721"/>
      <c r="U138" s="25"/>
      <c r="V138" s="25"/>
      <c r="W138" s="26"/>
      <c r="Y138" s="120"/>
    </row>
    <row r="139" spans="2:25" s="24" customFormat="1">
      <c r="B139" s="113"/>
      <c r="D139" s="25"/>
      <c r="E139" s="25"/>
      <c r="F139" s="25"/>
      <c r="G139" s="25"/>
      <c r="I139" s="25"/>
      <c r="J139" s="25"/>
      <c r="O139" s="112"/>
      <c r="P139" s="112"/>
      <c r="Q139" s="112"/>
      <c r="R139" s="112"/>
      <c r="S139" s="112"/>
      <c r="T139" s="721"/>
      <c r="U139" s="112"/>
      <c r="V139" s="112"/>
      <c r="Y139" s="120"/>
    </row>
    <row r="140" spans="2:25" s="24" customFormat="1">
      <c r="B140" s="113"/>
      <c r="D140" s="25"/>
      <c r="E140" s="25"/>
      <c r="F140" s="25"/>
      <c r="G140" s="25"/>
      <c r="I140" s="25"/>
      <c r="J140" s="25"/>
      <c r="O140" s="112"/>
      <c r="P140" s="112"/>
      <c r="Q140" s="112"/>
      <c r="R140" s="112"/>
      <c r="S140" s="112"/>
      <c r="T140" s="721"/>
      <c r="U140" s="112"/>
      <c r="V140" s="112"/>
      <c r="Y140" s="120"/>
    </row>
    <row r="141" spans="2:25" s="24" customFormat="1">
      <c r="B141" s="113"/>
      <c r="D141" s="25"/>
      <c r="E141" s="25"/>
      <c r="F141" s="25"/>
      <c r="G141" s="25"/>
      <c r="I141" s="25"/>
      <c r="J141" s="25"/>
      <c r="O141" s="112"/>
      <c r="P141" s="112"/>
      <c r="Q141" s="112"/>
      <c r="R141" s="112"/>
      <c r="S141" s="112"/>
      <c r="T141" s="721"/>
      <c r="U141" s="112"/>
      <c r="V141" s="112"/>
      <c r="Y141" s="120"/>
    </row>
    <row r="142" spans="2:25" s="24" customFormat="1">
      <c r="B142" s="113"/>
      <c r="D142" s="25"/>
      <c r="E142" s="25"/>
      <c r="F142" s="25"/>
      <c r="G142" s="25"/>
      <c r="I142" s="25"/>
      <c r="J142" s="25"/>
      <c r="O142" s="112"/>
      <c r="P142" s="112"/>
      <c r="Q142" s="112"/>
      <c r="R142" s="112"/>
      <c r="S142" s="112"/>
      <c r="T142" s="721"/>
      <c r="U142" s="112"/>
      <c r="V142" s="112"/>
      <c r="Y142" s="120"/>
    </row>
    <row r="143" spans="2:25" s="24" customFormat="1">
      <c r="B143" s="113"/>
      <c r="D143" s="25"/>
      <c r="E143" s="25"/>
      <c r="F143" s="25"/>
      <c r="G143" s="25"/>
      <c r="I143" s="25"/>
      <c r="J143" s="25"/>
      <c r="O143" s="112"/>
      <c r="P143" s="112"/>
      <c r="Q143" s="112"/>
      <c r="R143" s="112"/>
      <c r="S143" s="112"/>
      <c r="T143" s="721"/>
      <c r="U143" s="112"/>
      <c r="V143" s="112"/>
      <c r="Y143" s="120"/>
    </row>
    <row r="144" spans="2:25" s="24" customFormat="1">
      <c r="B144" s="113"/>
      <c r="D144" s="25"/>
      <c r="E144" s="25"/>
      <c r="F144" s="25"/>
      <c r="G144" s="25"/>
      <c r="I144" s="25"/>
      <c r="J144" s="25"/>
      <c r="O144" s="112"/>
      <c r="P144" s="112"/>
      <c r="Q144" s="112"/>
      <c r="R144" s="112"/>
      <c r="S144" s="112"/>
      <c r="T144" s="721"/>
      <c r="U144" s="25"/>
      <c r="V144" s="25"/>
      <c r="W144" s="25"/>
      <c r="Y144" s="120"/>
    </row>
    <row r="145" spans="2:25" s="24" customFormat="1">
      <c r="B145" s="113"/>
      <c r="D145" s="25"/>
      <c r="E145" s="25"/>
      <c r="F145" s="25"/>
      <c r="G145" s="26"/>
      <c r="I145" s="26"/>
      <c r="J145" s="26"/>
      <c r="O145" s="112"/>
      <c r="P145" s="112"/>
      <c r="Q145" s="112"/>
      <c r="R145" s="112"/>
      <c r="S145" s="112"/>
      <c r="T145" s="721"/>
      <c r="U145" s="25"/>
      <c r="V145" s="25"/>
      <c r="W145" s="26"/>
      <c r="Y145" s="120"/>
    </row>
    <row r="146" spans="2:25" s="24" customFormat="1">
      <c r="B146" s="113"/>
      <c r="D146" s="25"/>
      <c r="E146" s="25"/>
      <c r="F146" s="25"/>
      <c r="G146" s="26"/>
      <c r="I146" s="26"/>
      <c r="J146" s="26"/>
      <c r="O146" s="112"/>
      <c r="P146" s="112"/>
      <c r="Q146" s="112"/>
      <c r="R146" s="112"/>
      <c r="S146" s="112"/>
      <c r="T146" s="721"/>
      <c r="U146" s="25"/>
      <c r="V146" s="25"/>
      <c r="W146" s="26"/>
      <c r="Y146" s="120"/>
    </row>
    <row r="147" spans="2:25" s="24" customFormat="1">
      <c r="B147" s="113"/>
      <c r="D147" s="25"/>
      <c r="E147" s="25"/>
      <c r="F147" s="25"/>
      <c r="G147" s="26"/>
      <c r="I147" s="26"/>
      <c r="J147" s="26"/>
      <c r="O147" s="112"/>
      <c r="P147" s="112"/>
      <c r="Q147" s="112"/>
      <c r="R147" s="112"/>
      <c r="S147" s="112"/>
      <c r="T147" s="721"/>
      <c r="U147" s="25"/>
      <c r="V147" s="25"/>
      <c r="W147" s="26"/>
      <c r="Y147" s="120"/>
    </row>
    <row r="148" spans="2:25" s="24" customFormat="1">
      <c r="B148" s="113"/>
      <c r="D148" s="25"/>
      <c r="E148" s="25"/>
      <c r="F148" s="25"/>
      <c r="G148" s="26"/>
      <c r="I148" s="26"/>
      <c r="J148" s="26"/>
      <c r="O148" s="112"/>
      <c r="P148" s="112"/>
      <c r="Q148" s="112"/>
      <c r="R148" s="112"/>
      <c r="S148" s="112"/>
      <c r="T148" s="721"/>
      <c r="U148" s="25"/>
      <c r="V148" s="25"/>
      <c r="W148" s="26"/>
      <c r="Y148" s="120"/>
    </row>
    <row r="149" spans="2:25" s="24" customFormat="1">
      <c r="B149" s="113"/>
      <c r="D149" s="25"/>
      <c r="E149" s="25"/>
      <c r="F149" s="25"/>
      <c r="G149" s="26"/>
      <c r="I149" s="26"/>
      <c r="J149" s="26"/>
      <c r="O149" s="112"/>
      <c r="P149" s="112"/>
      <c r="Q149" s="112"/>
      <c r="R149" s="112"/>
      <c r="S149" s="112"/>
      <c r="T149" s="721"/>
      <c r="U149" s="25"/>
      <c r="V149" s="25"/>
      <c r="W149" s="26"/>
      <c r="Y149" s="120"/>
    </row>
    <row r="150" spans="2:25" s="24" customFormat="1">
      <c r="B150" s="113"/>
      <c r="D150" s="25"/>
      <c r="E150" s="25"/>
      <c r="F150" s="25"/>
      <c r="G150" s="26"/>
      <c r="I150" s="26"/>
      <c r="J150" s="26"/>
      <c r="O150" s="112"/>
      <c r="P150" s="112"/>
      <c r="Q150" s="112"/>
      <c r="R150" s="112"/>
      <c r="S150" s="112"/>
      <c r="T150" s="721"/>
      <c r="U150" s="25"/>
      <c r="V150" s="25"/>
      <c r="W150" s="26"/>
      <c r="Y150" s="120"/>
    </row>
    <row r="151" spans="2:25" s="24" customFormat="1">
      <c r="B151" s="113"/>
      <c r="D151" s="25"/>
      <c r="E151" s="25"/>
      <c r="F151" s="25"/>
      <c r="G151" s="26"/>
      <c r="I151" s="26"/>
      <c r="J151" s="26"/>
      <c r="O151" s="112"/>
      <c r="P151" s="112"/>
      <c r="Q151" s="112"/>
      <c r="R151" s="112"/>
      <c r="S151" s="112"/>
      <c r="T151" s="721"/>
      <c r="U151" s="25"/>
      <c r="V151" s="25"/>
      <c r="W151" s="26"/>
      <c r="Y151" s="120"/>
    </row>
    <row r="152" spans="2:25" s="24" customFormat="1">
      <c r="B152" s="113"/>
      <c r="D152" s="25"/>
      <c r="E152" s="25"/>
      <c r="F152" s="25"/>
      <c r="G152" s="26"/>
      <c r="I152" s="26"/>
      <c r="J152" s="26"/>
      <c r="O152" s="112"/>
      <c r="P152" s="112"/>
      <c r="Q152" s="112"/>
      <c r="R152" s="112"/>
      <c r="S152" s="112"/>
      <c r="T152" s="721"/>
      <c r="U152" s="25"/>
      <c r="V152" s="25"/>
      <c r="W152" s="26"/>
      <c r="Y152" s="120"/>
    </row>
    <row r="153" spans="2:25" s="24" customFormat="1">
      <c r="B153" s="113"/>
      <c r="D153" s="25"/>
      <c r="E153" s="25"/>
      <c r="F153" s="25"/>
      <c r="G153" s="26"/>
      <c r="I153" s="26"/>
      <c r="J153" s="26"/>
      <c r="O153" s="112"/>
      <c r="P153" s="112"/>
      <c r="Q153" s="112"/>
      <c r="R153" s="112"/>
      <c r="S153" s="112"/>
      <c r="T153" s="721"/>
      <c r="U153" s="25"/>
      <c r="V153" s="25"/>
      <c r="W153" s="26"/>
      <c r="Y153" s="120"/>
    </row>
    <row r="154" spans="2:25" s="24" customFormat="1">
      <c r="B154" s="113"/>
      <c r="D154" s="25"/>
      <c r="E154" s="25"/>
      <c r="F154" s="25"/>
      <c r="G154" s="26"/>
      <c r="I154" s="26"/>
      <c r="J154" s="26"/>
      <c r="O154" s="112"/>
      <c r="P154" s="112"/>
      <c r="Q154" s="112"/>
      <c r="R154" s="112"/>
      <c r="S154" s="112"/>
      <c r="T154" s="721"/>
      <c r="U154" s="25"/>
      <c r="V154" s="25"/>
      <c r="W154" s="26"/>
      <c r="Y154" s="120"/>
    </row>
    <row r="155" spans="2:25" s="24" customFormat="1">
      <c r="B155" s="113"/>
      <c r="D155" s="25"/>
      <c r="E155" s="25"/>
      <c r="F155" s="25"/>
      <c r="G155" s="26"/>
      <c r="I155" s="26"/>
      <c r="J155" s="26"/>
      <c r="O155" s="112"/>
      <c r="P155" s="112"/>
      <c r="Q155" s="112"/>
      <c r="R155" s="112"/>
      <c r="S155" s="112"/>
      <c r="T155" s="721"/>
      <c r="U155" s="25"/>
      <c r="V155" s="25"/>
      <c r="W155" s="26"/>
      <c r="Y155" s="120"/>
    </row>
    <row r="156" spans="2:25" s="24" customFormat="1">
      <c r="B156" s="113"/>
      <c r="D156" s="25"/>
      <c r="E156" s="25"/>
      <c r="F156" s="25"/>
      <c r="G156" s="26"/>
      <c r="I156" s="26"/>
      <c r="J156" s="26"/>
      <c r="O156" s="112"/>
      <c r="P156" s="112"/>
      <c r="Q156" s="112"/>
      <c r="R156" s="112"/>
      <c r="S156" s="112"/>
      <c r="T156" s="721"/>
      <c r="U156" s="25"/>
      <c r="V156" s="25"/>
      <c r="W156" s="26"/>
      <c r="Y156" s="120"/>
    </row>
    <row r="157" spans="2:25" s="24" customFormat="1">
      <c r="B157" s="113"/>
      <c r="D157" s="25"/>
      <c r="E157" s="25"/>
      <c r="F157" s="25"/>
      <c r="O157" s="112"/>
      <c r="P157" s="112"/>
      <c r="Q157" s="112"/>
      <c r="R157" s="112"/>
      <c r="S157" s="112"/>
      <c r="T157" s="721"/>
      <c r="U157" s="112"/>
      <c r="V157" s="112"/>
      <c r="Y157" s="120"/>
    </row>
    <row r="158" spans="2:25" s="24" customFormat="1">
      <c r="B158" s="113"/>
      <c r="D158" s="25"/>
      <c r="E158" s="25"/>
      <c r="F158" s="25"/>
      <c r="O158" s="112"/>
      <c r="P158" s="112"/>
      <c r="Q158" s="112"/>
      <c r="R158" s="112"/>
      <c r="S158" s="112"/>
      <c r="T158" s="721"/>
      <c r="U158" s="112"/>
      <c r="V158" s="112"/>
      <c r="Y158" s="120"/>
    </row>
    <row r="159" spans="2:25" s="24" customFormat="1">
      <c r="B159" s="113"/>
      <c r="D159" s="25"/>
      <c r="E159" s="25"/>
      <c r="F159" s="25"/>
      <c r="O159" s="112"/>
      <c r="P159" s="112"/>
      <c r="Q159" s="112"/>
      <c r="R159" s="112"/>
      <c r="S159" s="112"/>
      <c r="T159" s="721"/>
      <c r="U159" s="112"/>
      <c r="V159" s="112"/>
      <c r="Y159" s="120"/>
    </row>
    <row r="160" spans="2:25" s="24" customFormat="1">
      <c r="B160" s="113"/>
      <c r="D160" s="25"/>
      <c r="E160" s="25"/>
      <c r="F160" s="25"/>
      <c r="G160" s="25"/>
      <c r="I160" s="25"/>
      <c r="J160" s="25"/>
      <c r="O160" s="112"/>
      <c r="P160" s="112"/>
      <c r="Q160" s="112"/>
      <c r="R160" s="112"/>
      <c r="S160" s="112"/>
      <c r="T160" s="721"/>
      <c r="U160" s="112"/>
      <c r="V160" s="112"/>
      <c r="Y160" s="120"/>
    </row>
    <row r="161" spans="2:25" s="24" customFormat="1">
      <c r="B161" s="113"/>
      <c r="D161" s="25"/>
      <c r="E161" s="25"/>
      <c r="F161" s="25"/>
      <c r="O161" s="112"/>
      <c r="P161" s="112"/>
      <c r="Q161" s="112"/>
      <c r="R161" s="112"/>
      <c r="S161" s="112"/>
      <c r="T161" s="721"/>
      <c r="U161" s="112"/>
      <c r="V161" s="112"/>
      <c r="Y161" s="120"/>
    </row>
    <row r="162" spans="2:25" s="24" customFormat="1">
      <c r="B162" s="113"/>
      <c r="D162" s="25"/>
      <c r="E162" s="25"/>
      <c r="F162" s="25"/>
      <c r="G162" s="25"/>
      <c r="I162" s="25"/>
      <c r="J162" s="25"/>
      <c r="O162" s="112"/>
      <c r="P162" s="112"/>
      <c r="Q162" s="112"/>
      <c r="R162" s="112"/>
      <c r="S162" s="112"/>
      <c r="T162" s="721"/>
      <c r="U162" s="25"/>
      <c r="V162" s="25"/>
      <c r="W162" s="25"/>
      <c r="Y162" s="120"/>
    </row>
    <row r="163" spans="2:25" s="24" customFormat="1">
      <c r="B163" s="113"/>
      <c r="D163" s="25"/>
      <c r="E163" s="25"/>
      <c r="F163" s="25"/>
      <c r="G163" s="26"/>
      <c r="I163" s="26"/>
      <c r="J163" s="26"/>
      <c r="O163" s="112"/>
      <c r="P163" s="112"/>
      <c r="Q163" s="112"/>
      <c r="R163" s="112"/>
      <c r="S163" s="112"/>
      <c r="T163" s="721"/>
      <c r="U163" s="25"/>
      <c r="V163" s="25"/>
      <c r="W163" s="26"/>
      <c r="Y163" s="120"/>
    </row>
    <row r="164" spans="2:25" s="24" customFormat="1">
      <c r="B164" s="113"/>
      <c r="D164" s="25"/>
      <c r="E164" s="25"/>
      <c r="F164" s="25"/>
      <c r="G164" s="26"/>
      <c r="I164" s="26"/>
      <c r="J164" s="26"/>
      <c r="O164" s="112"/>
      <c r="P164" s="112"/>
      <c r="Q164" s="112"/>
      <c r="R164" s="112"/>
      <c r="S164" s="112"/>
      <c r="T164" s="721"/>
      <c r="U164" s="25"/>
      <c r="V164" s="25"/>
      <c r="W164" s="26"/>
      <c r="Y164" s="120"/>
    </row>
    <row r="165" spans="2:25" s="24" customFormat="1">
      <c r="B165" s="113"/>
      <c r="D165" s="25"/>
      <c r="E165" s="25"/>
      <c r="F165" s="25"/>
      <c r="G165" s="26"/>
      <c r="I165" s="26"/>
      <c r="J165" s="26"/>
      <c r="O165" s="112"/>
      <c r="P165" s="112"/>
      <c r="Q165" s="112"/>
      <c r="R165" s="112"/>
      <c r="S165" s="112"/>
      <c r="T165" s="721"/>
      <c r="U165" s="25"/>
      <c r="V165" s="25"/>
      <c r="W165" s="26"/>
      <c r="Y165" s="120"/>
    </row>
    <row r="166" spans="2:25" s="24" customFormat="1">
      <c r="B166" s="113"/>
      <c r="D166" s="25"/>
      <c r="E166" s="25"/>
      <c r="F166" s="25"/>
      <c r="G166" s="26"/>
      <c r="I166" s="26"/>
      <c r="J166" s="26"/>
      <c r="O166" s="112"/>
      <c r="P166" s="112"/>
      <c r="Q166" s="112"/>
      <c r="R166" s="112"/>
      <c r="S166" s="112"/>
      <c r="T166" s="721"/>
      <c r="U166" s="25"/>
      <c r="V166" s="25"/>
      <c r="W166" s="26"/>
      <c r="Y166" s="120"/>
    </row>
    <row r="167" spans="2:25" s="24" customFormat="1">
      <c r="B167" s="113"/>
      <c r="D167" s="25"/>
      <c r="E167" s="25"/>
      <c r="F167" s="25"/>
      <c r="G167" s="26"/>
      <c r="I167" s="26"/>
      <c r="J167" s="26"/>
      <c r="O167" s="112"/>
      <c r="P167" s="112"/>
      <c r="Q167" s="112"/>
      <c r="R167" s="112"/>
      <c r="S167" s="112"/>
      <c r="T167" s="721"/>
      <c r="U167" s="25"/>
      <c r="V167" s="25"/>
      <c r="W167" s="26"/>
      <c r="Y167" s="120"/>
    </row>
    <row r="168" spans="2:25" s="24" customFormat="1">
      <c r="B168" s="113"/>
      <c r="D168" s="25"/>
      <c r="E168" s="25"/>
      <c r="F168" s="25"/>
      <c r="G168" s="25"/>
      <c r="I168" s="25"/>
      <c r="J168" s="25"/>
      <c r="O168" s="112"/>
      <c r="P168" s="112"/>
      <c r="Q168" s="112"/>
      <c r="R168" s="112"/>
      <c r="S168" s="112"/>
      <c r="T168" s="721"/>
      <c r="U168" s="112"/>
      <c r="V168" s="112"/>
      <c r="Y168" s="120"/>
    </row>
    <row r="169" spans="2:25" s="24" customFormat="1">
      <c r="B169" s="113"/>
      <c r="D169" s="25"/>
      <c r="E169" s="25"/>
      <c r="F169" s="25"/>
      <c r="G169" s="25"/>
      <c r="I169" s="25"/>
      <c r="J169" s="25"/>
      <c r="O169" s="112"/>
      <c r="P169" s="112"/>
      <c r="Q169" s="112"/>
      <c r="R169" s="112"/>
      <c r="S169" s="112"/>
      <c r="T169" s="721"/>
      <c r="U169" s="112"/>
      <c r="V169" s="112"/>
      <c r="Y169" s="120"/>
    </row>
    <row r="170" spans="2:25" s="24" customFormat="1">
      <c r="B170" s="113"/>
      <c r="D170" s="25"/>
      <c r="E170" s="25"/>
      <c r="F170" s="25"/>
      <c r="G170" s="25"/>
      <c r="I170" s="25"/>
      <c r="J170" s="25"/>
      <c r="O170" s="112"/>
      <c r="P170" s="112"/>
      <c r="Q170" s="112"/>
      <c r="R170" s="112"/>
      <c r="S170" s="112"/>
      <c r="T170" s="721"/>
      <c r="U170" s="112"/>
      <c r="V170" s="112"/>
      <c r="Y170" s="120"/>
    </row>
    <row r="171" spans="2:25" s="24" customFormat="1">
      <c r="B171" s="113"/>
      <c r="D171" s="25"/>
      <c r="E171" s="25"/>
      <c r="F171" s="25"/>
      <c r="G171" s="25"/>
      <c r="I171" s="25"/>
      <c r="J171" s="25"/>
      <c r="O171" s="112"/>
      <c r="P171" s="112"/>
      <c r="Q171" s="112"/>
      <c r="R171" s="112"/>
      <c r="S171" s="112"/>
      <c r="T171" s="721"/>
      <c r="U171" s="112"/>
      <c r="V171" s="112"/>
      <c r="Y171" s="120"/>
    </row>
    <row r="172" spans="2:25" s="24" customFormat="1">
      <c r="B172" s="113"/>
      <c r="D172" s="25"/>
      <c r="E172" s="25"/>
      <c r="F172" s="25"/>
      <c r="G172" s="25"/>
      <c r="I172" s="25"/>
      <c r="J172" s="25"/>
      <c r="O172" s="112"/>
      <c r="P172" s="112"/>
      <c r="Q172" s="112"/>
      <c r="R172" s="112"/>
      <c r="S172" s="112"/>
      <c r="T172" s="721"/>
      <c r="U172" s="112"/>
      <c r="V172" s="112"/>
      <c r="Y172" s="120"/>
    </row>
    <row r="173" spans="2:25" s="24" customFormat="1">
      <c r="B173" s="113"/>
      <c r="D173" s="25"/>
      <c r="E173" s="25"/>
      <c r="F173" s="25"/>
      <c r="G173" s="25"/>
      <c r="I173" s="25"/>
      <c r="J173" s="25"/>
      <c r="O173" s="112"/>
      <c r="P173" s="112"/>
      <c r="Q173" s="112"/>
      <c r="R173" s="112"/>
      <c r="S173" s="112"/>
      <c r="T173" s="721"/>
      <c r="U173" s="112"/>
      <c r="V173" s="112"/>
      <c r="Y173" s="120"/>
    </row>
    <row r="174" spans="2:25" s="24" customFormat="1">
      <c r="B174" s="113"/>
      <c r="D174" s="25"/>
      <c r="E174" s="25"/>
      <c r="F174" s="25"/>
      <c r="G174" s="25"/>
      <c r="I174" s="25"/>
      <c r="J174" s="25"/>
      <c r="O174" s="112"/>
      <c r="P174" s="112"/>
      <c r="Q174" s="112"/>
      <c r="R174" s="112"/>
      <c r="S174" s="112"/>
      <c r="T174" s="721"/>
      <c r="U174" s="25"/>
      <c r="V174" s="25"/>
      <c r="W174" s="25"/>
      <c r="Y174" s="120"/>
    </row>
    <row r="175" spans="2:25" s="24" customFormat="1">
      <c r="B175" s="113"/>
      <c r="D175" s="25"/>
      <c r="E175" s="25"/>
      <c r="F175" s="25"/>
      <c r="G175" s="26"/>
      <c r="I175" s="26"/>
      <c r="J175" s="26"/>
      <c r="O175" s="112"/>
      <c r="P175" s="112"/>
      <c r="Q175" s="112"/>
      <c r="R175" s="112"/>
      <c r="S175" s="112"/>
      <c r="T175" s="721"/>
      <c r="U175" s="25"/>
      <c r="V175" s="25"/>
      <c r="W175" s="26"/>
      <c r="Y175" s="120"/>
    </row>
    <row r="176" spans="2:25" s="24" customFormat="1">
      <c r="B176" s="113"/>
      <c r="D176" s="25"/>
      <c r="E176" s="25"/>
      <c r="F176" s="25"/>
      <c r="G176" s="26"/>
      <c r="I176" s="26"/>
      <c r="J176" s="26"/>
      <c r="O176" s="112"/>
      <c r="P176" s="112"/>
      <c r="Q176" s="112"/>
      <c r="R176" s="112"/>
      <c r="S176" s="112"/>
      <c r="T176" s="721"/>
      <c r="U176" s="25"/>
      <c r="V176" s="25"/>
      <c r="W176" s="26"/>
      <c r="Y176" s="120"/>
    </row>
    <row r="177" spans="2:25" s="24" customFormat="1">
      <c r="B177" s="113"/>
      <c r="D177" s="25"/>
      <c r="E177" s="25"/>
      <c r="F177" s="25"/>
      <c r="G177" s="26"/>
      <c r="I177" s="26"/>
      <c r="J177" s="26"/>
      <c r="O177" s="112"/>
      <c r="P177" s="112"/>
      <c r="Q177" s="112"/>
      <c r="R177" s="112"/>
      <c r="S177" s="112"/>
      <c r="T177" s="721"/>
      <c r="U177" s="25"/>
      <c r="V177" s="25"/>
      <c r="W177" s="26"/>
      <c r="Y177" s="120"/>
    </row>
    <row r="178" spans="2:25" s="24" customFormat="1">
      <c r="B178" s="113"/>
      <c r="D178" s="25"/>
      <c r="E178" s="25"/>
      <c r="F178" s="25"/>
      <c r="G178" s="26"/>
      <c r="I178" s="26"/>
      <c r="J178" s="26"/>
      <c r="O178" s="112"/>
      <c r="P178" s="112"/>
      <c r="Q178" s="112"/>
      <c r="R178" s="112"/>
      <c r="S178" s="112"/>
      <c r="T178" s="721"/>
      <c r="U178" s="25"/>
      <c r="V178" s="25"/>
      <c r="W178" s="26"/>
      <c r="Y178" s="120"/>
    </row>
    <row r="179" spans="2:25" s="24" customFormat="1">
      <c r="B179" s="113"/>
      <c r="D179" s="25"/>
      <c r="E179" s="25"/>
      <c r="F179" s="25"/>
      <c r="G179" s="26"/>
      <c r="I179" s="26"/>
      <c r="J179" s="26"/>
      <c r="O179" s="112"/>
      <c r="P179" s="112"/>
      <c r="Q179" s="112"/>
      <c r="R179" s="112"/>
      <c r="S179" s="112"/>
      <c r="T179" s="721"/>
      <c r="U179" s="25"/>
      <c r="V179" s="25"/>
      <c r="W179" s="26"/>
      <c r="Y179" s="120"/>
    </row>
    <row r="180" spans="2:25" s="24" customFormat="1">
      <c r="B180" s="113"/>
      <c r="D180" s="25"/>
      <c r="E180" s="25"/>
      <c r="F180" s="25"/>
      <c r="G180" s="26"/>
      <c r="I180" s="26"/>
      <c r="J180" s="26"/>
      <c r="O180" s="112"/>
      <c r="P180" s="112"/>
      <c r="Q180" s="112"/>
      <c r="R180" s="112"/>
      <c r="S180" s="112"/>
      <c r="T180" s="721"/>
      <c r="U180" s="25"/>
      <c r="V180" s="25"/>
      <c r="W180" s="26"/>
      <c r="Y180" s="120"/>
    </row>
    <row r="181" spans="2:25" s="24" customFormat="1">
      <c r="B181" s="113"/>
      <c r="D181" s="25"/>
      <c r="E181" s="25"/>
      <c r="F181" s="25"/>
      <c r="O181" s="112"/>
      <c r="P181" s="112"/>
      <c r="Q181" s="112"/>
      <c r="R181" s="112"/>
      <c r="S181" s="112"/>
      <c r="T181" s="721"/>
      <c r="U181" s="112"/>
      <c r="V181" s="112"/>
      <c r="Y181" s="120"/>
    </row>
    <row r="182" spans="2:25" s="24" customFormat="1">
      <c r="B182" s="113"/>
      <c r="D182" s="25"/>
      <c r="E182" s="25"/>
      <c r="F182" s="25"/>
      <c r="G182" s="25"/>
      <c r="I182" s="25"/>
      <c r="J182" s="25"/>
      <c r="O182" s="112"/>
      <c r="P182" s="112"/>
      <c r="Q182" s="112"/>
      <c r="R182" s="112"/>
      <c r="S182" s="112"/>
      <c r="T182" s="721"/>
      <c r="U182" s="112"/>
      <c r="V182" s="112"/>
      <c r="Y182" s="120"/>
    </row>
    <row r="183" spans="2:25" s="24" customFormat="1">
      <c r="B183" s="113"/>
      <c r="D183" s="25"/>
      <c r="E183" s="25"/>
      <c r="F183" s="25"/>
      <c r="G183" s="25"/>
      <c r="I183" s="25"/>
      <c r="J183" s="25"/>
      <c r="O183" s="112"/>
      <c r="P183" s="112"/>
      <c r="Q183" s="112"/>
      <c r="R183" s="112"/>
      <c r="S183" s="112"/>
      <c r="T183" s="721"/>
      <c r="U183" s="112"/>
      <c r="V183" s="112"/>
      <c r="Y183" s="120"/>
    </row>
    <row r="184" spans="2:25" s="24" customFormat="1">
      <c r="B184" s="113"/>
      <c r="D184" s="25"/>
      <c r="E184" s="25"/>
      <c r="F184" s="25"/>
      <c r="G184" s="25"/>
      <c r="I184" s="25"/>
      <c r="J184" s="25"/>
      <c r="O184" s="112"/>
      <c r="P184" s="112"/>
      <c r="Q184" s="112"/>
      <c r="R184" s="112"/>
      <c r="S184" s="112"/>
      <c r="T184" s="721"/>
      <c r="U184" s="112"/>
      <c r="V184" s="112"/>
      <c r="Y184" s="120"/>
    </row>
    <row r="185" spans="2:25" s="24" customFormat="1">
      <c r="B185" s="113"/>
      <c r="D185" s="25"/>
      <c r="E185" s="25"/>
      <c r="F185" s="25"/>
      <c r="G185" s="25"/>
      <c r="I185" s="25"/>
      <c r="J185" s="25"/>
      <c r="O185" s="112"/>
      <c r="P185" s="112"/>
      <c r="Q185" s="112"/>
      <c r="R185" s="112"/>
      <c r="S185" s="112"/>
      <c r="T185" s="721"/>
      <c r="U185" s="112"/>
      <c r="V185" s="112"/>
      <c r="Y185" s="120"/>
    </row>
    <row r="186" spans="2:25" s="24" customFormat="1">
      <c r="B186" s="113"/>
      <c r="D186" s="25"/>
      <c r="E186" s="25"/>
      <c r="F186" s="25"/>
      <c r="G186" s="25"/>
      <c r="I186" s="25"/>
      <c r="J186" s="25"/>
      <c r="O186" s="112"/>
      <c r="P186" s="112"/>
      <c r="Q186" s="112"/>
      <c r="R186" s="112"/>
      <c r="S186" s="112"/>
      <c r="T186" s="721"/>
      <c r="U186" s="112"/>
      <c r="V186" s="112"/>
      <c r="Y186" s="120"/>
    </row>
    <row r="187" spans="2:25" s="24" customFormat="1">
      <c r="B187" s="113"/>
      <c r="D187" s="25"/>
      <c r="E187" s="25"/>
      <c r="F187" s="25"/>
      <c r="G187" s="25"/>
      <c r="I187" s="25"/>
      <c r="J187" s="25"/>
      <c r="O187" s="112"/>
      <c r="P187" s="112"/>
      <c r="Q187" s="112"/>
      <c r="R187" s="112"/>
      <c r="S187" s="112"/>
      <c r="T187" s="721"/>
      <c r="U187" s="25"/>
      <c r="V187" s="25"/>
      <c r="W187" s="25"/>
      <c r="Y187" s="120"/>
    </row>
    <row r="188" spans="2:25" s="24" customFormat="1">
      <c r="B188" s="113"/>
      <c r="D188" s="25"/>
      <c r="E188" s="25"/>
      <c r="F188" s="25"/>
      <c r="G188" s="26"/>
      <c r="I188" s="26"/>
      <c r="J188" s="26"/>
      <c r="O188" s="112"/>
      <c r="P188" s="112"/>
      <c r="Q188" s="112"/>
      <c r="R188" s="112"/>
      <c r="S188" s="112"/>
      <c r="T188" s="721"/>
      <c r="U188" s="25"/>
      <c r="V188" s="25"/>
      <c r="W188" s="26"/>
      <c r="Y188" s="120"/>
    </row>
    <row r="189" spans="2:25" s="24" customFormat="1">
      <c r="B189" s="113"/>
      <c r="D189" s="25"/>
      <c r="E189" s="25"/>
      <c r="F189" s="25"/>
      <c r="G189" s="26"/>
      <c r="I189" s="26"/>
      <c r="J189" s="26"/>
      <c r="O189" s="112"/>
      <c r="P189" s="112"/>
      <c r="Q189" s="112"/>
      <c r="R189" s="112"/>
      <c r="S189" s="112"/>
      <c r="T189" s="721"/>
      <c r="U189" s="25"/>
      <c r="V189" s="25"/>
      <c r="W189" s="26"/>
      <c r="Y189" s="120"/>
    </row>
    <row r="190" spans="2:25" s="24" customFormat="1">
      <c r="B190" s="113"/>
      <c r="D190" s="25"/>
      <c r="E190" s="25"/>
      <c r="F190" s="25"/>
      <c r="G190" s="26"/>
      <c r="I190" s="26"/>
      <c r="J190" s="26"/>
      <c r="O190" s="112"/>
      <c r="P190" s="112"/>
      <c r="Q190" s="112"/>
      <c r="R190" s="112"/>
      <c r="S190" s="112"/>
      <c r="T190" s="721"/>
      <c r="U190" s="25"/>
      <c r="V190" s="25"/>
      <c r="W190" s="26"/>
      <c r="Y190" s="120"/>
    </row>
    <row r="191" spans="2:25" s="24" customFormat="1">
      <c r="B191" s="113"/>
      <c r="D191" s="25"/>
      <c r="E191" s="25"/>
      <c r="F191" s="25"/>
      <c r="G191" s="26"/>
      <c r="I191" s="26"/>
      <c r="J191" s="26"/>
      <c r="O191" s="112"/>
      <c r="P191" s="112"/>
      <c r="Q191" s="112"/>
      <c r="R191" s="112"/>
      <c r="S191" s="112"/>
      <c r="T191" s="721"/>
      <c r="U191" s="25"/>
      <c r="V191" s="25"/>
      <c r="W191" s="26"/>
      <c r="Y191" s="120"/>
    </row>
    <row r="192" spans="2:25" s="24" customFormat="1">
      <c r="B192" s="113"/>
      <c r="D192" s="25"/>
      <c r="E192" s="25"/>
      <c r="F192" s="25"/>
      <c r="G192" s="26"/>
      <c r="I192" s="26"/>
      <c r="J192" s="26"/>
      <c r="O192" s="112"/>
      <c r="P192" s="112"/>
      <c r="Q192" s="112"/>
      <c r="R192" s="112"/>
      <c r="S192" s="112"/>
      <c r="T192" s="721"/>
      <c r="U192" s="25"/>
      <c r="V192" s="25"/>
      <c r="W192" s="26"/>
      <c r="Y192" s="120"/>
    </row>
    <row r="193" spans="2:25" s="24" customFormat="1">
      <c r="B193" s="113"/>
      <c r="D193" s="25"/>
      <c r="E193" s="25"/>
      <c r="F193" s="25"/>
      <c r="G193" s="26"/>
      <c r="I193" s="26"/>
      <c r="J193" s="26"/>
      <c r="O193" s="112"/>
      <c r="P193" s="112"/>
      <c r="Q193" s="112"/>
      <c r="R193" s="112"/>
      <c r="S193" s="112"/>
      <c r="T193" s="721"/>
      <c r="U193" s="25"/>
      <c r="V193" s="25"/>
      <c r="W193" s="26"/>
      <c r="Y193" s="120"/>
    </row>
    <row r="194" spans="2:25" s="24" customFormat="1">
      <c r="B194" s="113"/>
      <c r="D194" s="25"/>
      <c r="E194" s="25"/>
      <c r="F194" s="25"/>
      <c r="G194" s="26"/>
      <c r="I194" s="26"/>
      <c r="J194" s="26"/>
      <c r="O194" s="112"/>
      <c r="P194" s="112"/>
      <c r="Q194" s="112"/>
      <c r="R194" s="112"/>
      <c r="S194" s="112"/>
      <c r="T194" s="721"/>
      <c r="U194" s="25"/>
      <c r="V194" s="25"/>
      <c r="W194" s="26"/>
      <c r="Y194" s="120"/>
    </row>
    <row r="195" spans="2:25" s="24" customFormat="1">
      <c r="B195" s="113"/>
      <c r="D195" s="25"/>
      <c r="E195" s="25"/>
      <c r="F195" s="25"/>
      <c r="G195" s="26"/>
      <c r="I195" s="26"/>
      <c r="J195" s="26"/>
      <c r="O195" s="112"/>
      <c r="P195" s="112"/>
      <c r="Q195" s="112"/>
      <c r="R195" s="112"/>
      <c r="S195" s="112"/>
      <c r="T195" s="721"/>
      <c r="U195" s="25"/>
      <c r="V195" s="25"/>
      <c r="W195" s="26"/>
      <c r="Y195" s="120"/>
    </row>
    <row r="196" spans="2:25" s="24" customFormat="1">
      <c r="B196" s="113"/>
      <c r="D196" s="25"/>
      <c r="E196" s="25"/>
      <c r="F196" s="25"/>
      <c r="G196" s="26"/>
      <c r="I196" s="26"/>
      <c r="J196" s="26"/>
      <c r="O196" s="112"/>
      <c r="P196" s="112"/>
      <c r="Q196" s="112"/>
      <c r="R196" s="112"/>
      <c r="S196" s="112"/>
      <c r="T196" s="721"/>
      <c r="U196" s="25"/>
      <c r="V196" s="25"/>
      <c r="W196" s="26"/>
      <c r="Y196" s="120"/>
    </row>
    <row r="197" spans="2:25" s="24" customFormat="1">
      <c r="B197" s="113"/>
      <c r="D197" s="25"/>
      <c r="E197" s="25"/>
      <c r="F197" s="25"/>
      <c r="G197" s="26"/>
      <c r="I197" s="26"/>
      <c r="J197" s="26"/>
      <c r="O197" s="112"/>
      <c r="P197" s="112"/>
      <c r="Q197" s="112"/>
      <c r="R197" s="112"/>
      <c r="S197" s="112"/>
      <c r="T197" s="721"/>
      <c r="U197" s="25"/>
      <c r="V197" s="25"/>
      <c r="W197" s="26"/>
      <c r="Y197" s="120"/>
    </row>
    <row r="198" spans="2:25" s="24" customFormat="1">
      <c r="B198" s="113"/>
      <c r="D198" s="25"/>
      <c r="E198" s="25"/>
      <c r="F198" s="25"/>
      <c r="G198" s="26"/>
      <c r="I198" s="26"/>
      <c r="J198" s="26"/>
      <c r="O198" s="112"/>
      <c r="P198" s="112"/>
      <c r="Q198" s="112"/>
      <c r="R198" s="112"/>
      <c r="S198" s="112"/>
      <c r="T198" s="721"/>
      <c r="U198" s="25"/>
      <c r="V198" s="25"/>
      <c r="W198" s="26"/>
      <c r="Y198" s="120"/>
    </row>
    <row r="199" spans="2:25" s="24" customFormat="1">
      <c r="B199" s="113"/>
      <c r="D199" s="25"/>
      <c r="E199" s="25"/>
      <c r="F199" s="25"/>
      <c r="G199" s="26"/>
      <c r="I199" s="26"/>
      <c r="J199" s="26"/>
      <c r="O199" s="112"/>
      <c r="P199" s="112"/>
      <c r="Q199" s="112"/>
      <c r="R199" s="112"/>
      <c r="S199" s="112"/>
      <c r="T199" s="721"/>
      <c r="U199" s="25"/>
      <c r="V199" s="25"/>
      <c r="W199" s="26"/>
      <c r="Y199" s="120"/>
    </row>
    <row r="200" spans="2:25" s="24" customFormat="1">
      <c r="B200" s="113"/>
      <c r="D200" s="25"/>
      <c r="E200" s="25"/>
      <c r="F200" s="25"/>
      <c r="G200" s="26"/>
      <c r="I200" s="26"/>
      <c r="J200" s="26"/>
      <c r="O200" s="112"/>
      <c r="P200" s="112"/>
      <c r="Q200" s="112"/>
      <c r="R200" s="112"/>
      <c r="S200" s="112"/>
      <c r="T200" s="721"/>
      <c r="U200" s="25"/>
      <c r="V200" s="25"/>
      <c r="W200" s="26"/>
      <c r="Y200" s="120"/>
    </row>
    <row r="201" spans="2:25" s="24" customFormat="1">
      <c r="B201" s="113"/>
      <c r="D201" s="25"/>
      <c r="E201" s="25"/>
      <c r="F201" s="25"/>
      <c r="G201" s="26"/>
      <c r="I201" s="26"/>
      <c r="J201" s="26"/>
      <c r="O201" s="112"/>
      <c r="P201" s="112"/>
      <c r="Q201" s="112"/>
      <c r="R201" s="112"/>
      <c r="S201" s="112"/>
      <c r="T201" s="721"/>
      <c r="U201" s="25"/>
      <c r="V201" s="25"/>
      <c r="W201" s="26"/>
      <c r="Y201" s="120"/>
    </row>
    <row r="202" spans="2:25" s="24" customFormat="1">
      <c r="B202" s="113"/>
      <c r="D202" s="25"/>
      <c r="E202" s="25"/>
      <c r="F202" s="25"/>
      <c r="G202" s="26"/>
      <c r="I202" s="26"/>
      <c r="J202" s="26"/>
      <c r="O202" s="112"/>
      <c r="P202" s="112"/>
      <c r="Q202" s="112"/>
      <c r="R202" s="112"/>
      <c r="S202" s="112"/>
      <c r="T202" s="721"/>
      <c r="U202" s="25"/>
      <c r="V202" s="25"/>
      <c r="W202" s="26"/>
      <c r="Y202" s="120"/>
    </row>
    <row r="203" spans="2:25" s="24" customFormat="1">
      <c r="B203" s="113"/>
      <c r="D203" s="25"/>
      <c r="E203" s="25"/>
      <c r="F203" s="25"/>
      <c r="G203" s="26"/>
      <c r="I203" s="26"/>
      <c r="J203" s="26"/>
      <c r="O203" s="112"/>
      <c r="P203" s="112"/>
      <c r="Q203" s="112"/>
      <c r="R203" s="112"/>
      <c r="S203" s="112"/>
      <c r="T203" s="721"/>
      <c r="U203" s="25"/>
      <c r="V203" s="25"/>
      <c r="W203" s="26"/>
      <c r="Y203" s="120"/>
    </row>
    <row r="204" spans="2:25" s="24" customFormat="1">
      <c r="B204" s="113"/>
      <c r="D204" s="25"/>
      <c r="E204" s="25"/>
      <c r="F204" s="25"/>
      <c r="G204" s="25"/>
      <c r="I204" s="25"/>
      <c r="J204" s="25"/>
      <c r="O204" s="112"/>
      <c r="P204" s="112"/>
      <c r="Q204" s="112"/>
      <c r="R204" s="112"/>
      <c r="S204" s="112"/>
      <c r="T204" s="721"/>
      <c r="U204" s="112"/>
      <c r="V204" s="112"/>
      <c r="Y204" s="120"/>
    </row>
    <row r="205" spans="2:25" s="24" customFormat="1">
      <c r="B205" s="113"/>
      <c r="G205" s="25"/>
      <c r="I205" s="25"/>
      <c r="J205" s="25"/>
      <c r="O205" s="112"/>
      <c r="P205" s="112"/>
      <c r="Q205" s="112"/>
      <c r="R205" s="112"/>
      <c r="S205" s="112"/>
      <c r="T205" s="721"/>
      <c r="U205" s="25"/>
      <c r="V205" s="25"/>
      <c r="W205" s="25"/>
      <c r="Y205" s="120"/>
    </row>
    <row r="206" spans="2:25" s="24" customFormat="1">
      <c r="B206" s="113"/>
      <c r="G206" s="26"/>
      <c r="I206" s="26"/>
      <c r="J206" s="26"/>
      <c r="O206" s="112"/>
      <c r="P206" s="112"/>
      <c r="Q206" s="112"/>
      <c r="R206" s="112"/>
      <c r="S206" s="112"/>
      <c r="T206" s="721"/>
      <c r="U206" s="25"/>
      <c r="V206" s="25"/>
      <c r="W206" s="26"/>
      <c r="Y206" s="120"/>
    </row>
    <row r="207" spans="2:25" s="24" customFormat="1">
      <c r="B207" s="113"/>
      <c r="G207" s="26"/>
      <c r="I207" s="26"/>
      <c r="J207" s="26"/>
      <c r="O207" s="112"/>
      <c r="P207" s="112"/>
      <c r="Q207" s="112"/>
      <c r="R207" s="112"/>
      <c r="S207" s="112"/>
      <c r="T207" s="721"/>
      <c r="U207" s="25"/>
      <c r="V207" s="25"/>
      <c r="W207" s="26"/>
      <c r="Y207" s="120"/>
    </row>
    <row r="208" spans="2:25" s="24" customFormat="1">
      <c r="B208" s="113"/>
      <c r="G208" s="26"/>
      <c r="I208" s="26"/>
      <c r="J208" s="26"/>
      <c r="O208" s="112"/>
      <c r="P208" s="112"/>
      <c r="Q208" s="112"/>
      <c r="R208" s="112"/>
      <c r="S208" s="112"/>
      <c r="T208" s="721"/>
      <c r="U208" s="25"/>
      <c r="V208" s="25"/>
      <c r="W208" s="26"/>
      <c r="Y208" s="120"/>
    </row>
    <row r="209" spans="2:25" s="24" customFormat="1">
      <c r="B209" s="113"/>
      <c r="G209" s="26"/>
      <c r="I209" s="26"/>
      <c r="J209" s="26"/>
      <c r="O209" s="112"/>
      <c r="P209" s="112"/>
      <c r="Q209" s="112"/>
      <c r="R209" s="112"/>
      <c r="S209" s="112"/>
      <c r="T209" s="721"/>
      <c r="U209" s="25"/>
      <c r="V209" s="25"/>
      <c r="W209" s="26"/>
      <c r="Y209" s="120"/>
    </row>
    <row r="210" spans="2:25" s="24" customFormat="1">
      <c r="B210" s="113"/>
      <c r="G210" s="26"/>
      <c r="I210" s="26"/>
      <c r="J210" s="26"/>
      <c r="O210" s="112"/>
      <c r="P210" s="112"/>
      <c r="Q210" s="112"/>
      <c r="R210" s="112"/>
      <c r="S210" s="112"/>
      <c r="T210" s="721"/>
      <c r="U210" s="25"/>
      <c r="V210" s="25"/>
      <c r="W210" s="26"/>
      <c r="Y210" s="120"/>
    </row>
    <row r="211" spans="2:25" s="24" customFormat="1">
      <c r="B211" s="113"/>
      <c r="G211" s="26"/>
      <c r="I211" s="26"/>
      <c r="J211" s="26"/>
      <c r="O211" s="112"/>
      <c r="P211" s="112"/>
      <c r="Q211" s="112"/>
      <c r="R211" s="112"/>
      <c r="S211" s="112"/>
      <c r="T211" s="721"/>
      <c r="U211" s="25"/>
      <c r="V211" s="25"/>
      <c r="W211" s="26"/>
      <c r="Y211" s="120"/>
    </row>
    <row r="212" spans="2:25" s="24" customFormat="1">
      <c r="B212" s="113"/>
      <c r="G212" s="26"/>
      <c r="I212" s="26"/>
      <c r="J212" s="26"/>
      <c r="O212" s="112"/>
      <c r="P212" s="112"/>
      <c r="Q212" s="112"/>
      <c r="R212" s="112"/>
      <c r="S212" s="112"/>
      <c r="T212" s="721"/>
      <c r="U212" s="25"/>
      <c r="V212" s="25"/>
      <c r="W212" s="26"/>
      <c r="Y212" s="120"/>
    </row>
    <row r="213" spans="2:25" s="24" customFormat="1">
      <c r="B213" s="113"/>
      <c r="G213" s="25"/>
      <c r="I213" s="25"/>
      <c r="J213" s="25"/>
      <c r="O213" s="112"/>
      <c r="P213" s="112"/>
      <c r="Q213" s="112"/>
      <c r="R213" s="112"/>
      <c r="S213" s="112"/>
      <c r="T213" s="721"/>
      <c r="U213" s="112"/>
      <c r="V213" s="112"/>
      <c r="Y213" s="120"/>
    </row>
    <row r="214" spans="2:25" s="24" customFormat="1">
      <c r="B214" s="113"/>
      <c r="G214" s="25"/>
      <c r="I214" s="25"/>
      <c r="J214" s="25"/>
      <c r="O214" s="112"/>
      <c r="P214" s="112"/>
      <c r="Q214" s="112"/>
      <c r="R214" s="112"/>
      <c r="S214" s="112"/>
      <c r="T214" s="721"/>
      <c r="U214" s="112"/>
      <c r="V214" s="112"/>
      <c r="Y214" s="120"/>
    </row>
    <row r="215" spans="2:25" s="24" customFormat="1">
      <c r="B215" s="113"/>
      <c r="G215" s="25"/>
      <c r="I215" s="25"/>
      <c r="J215" s="25"/>
      <c r="O215" s="112"/>
      <c r="P215" s="112"/>
      <c r="Q215" s="112"/>
      <c r="R215" s="112"/>
      <c r="S215" s="112"/>
      <c r="T215" s="721"/>
      <c r="U215" s="112"/>
      <c r="V215" s="112"/>
      <c r="Y215" s="120"/>
    </row>
    <row r="216" spans="2:25" s="24" customFormat="1">
      <c r="B216" s="113"/>
      <c r="G216" s="25"/>
      <c r="I216" s="25"/>
      <c r="J216" s="25"/>
      <c r="O216" s="112"/>
      <c r="P216" s="112"/>
      <c r="Q216" s="112"/>
      <c r="R216" s="112"/>
      <c r="S216" s="112"/>
      <c r="T216" s="721"/>
      <c r="U216" s="112"/>
      <c r="V216" s="112"/>
      <c r="Y216" s="120"/>
    </row>
    <row r="217" spans="2:25" s="24" customFormat="1">
      <c r="B217" s="113"/>
      <c r="G217" s="25"/>
      <c r="I217" s="25"/>
      <c r="J217" s="25"/>
      <c r="O217" s="112"/>
      <c r="P217" s="112"/>
      <c r="Q217" s="112"/>
      <c r="R217" s="112"/>
      <c r="S217" s="112"/>
      <c r="T217" s="721"/>
      <c r="U217" s="112"/>
      <c r="V217" s="112"/>
      <c r="Y217" s="120"/>
    </row>
    <row r="218" spans="2:25" s="24" customFormat="1">
      <c r="B218" s="113"/>
      <c r="G218" s="25"/>
      <c r="I218" s="25"/>
      <c r="J218" s="25"/>
      <c r="O218" s="112"/>
      <c r="P218" s="112"/>
      <c r="Q218" s="112"/>
      <c r="R218" s="112"/>
      <c r="S218" s="112"/>
      <c r="T218" s="721"/>
      <c r="U218" s="25"/>
      <c r="V218" s="25"/>
      <c r="W218" s="25"/>
      <c r="Y218" s="120"/>
    </row>
    <row r="219" spans="2:25" s="24" customFormat="1">
      <c r="B219" s="113"/>
      <c r="G219" s="26"/>
      <c r="I219" s="26"/>
      <c r="J219" s="26"/>
      <c r="O219" s="112"/>
      <c r="P219" s="112"/>
      <c r="Q219" s="112"/>
      <c r="R219" s="112"/>
      <c r="S219" s="112"/>
      <c r="T219" s="721"/>
      <c r="U219" s="25"/>
      <c r="V219" s="25"/>
      <c r="W219" s="26"/>
      <c r="Y219" s="120"/>
    </row>
    <row r="220" spans="2:25" s="24" customFormat="1">
      <c r="B220" s="113"/>
      <c r="G220" s="26"/>
      <c r="I220" s="26"/>
      <c r="J220" s="26"/>
      <c r="O220" s="112"/>
      <c r="P220" s="112"/>
      <c r="Q220" s="112"/>
      <c r="R220" s="112"/>
      <c r="S220" s="112"/>
      <c r="T220" s="721"/>
      <c r="U220" s="25"/>
      <c r="V220" s="25"/>
      <c r="W220" s="26"/>
      <c r="Y220" s="120"/>
    </row>
    <row r="221" spans="2:25" s="24" customFormat="1">
      <c r="B221" s="113"/>
      <c r="G221" s="26"/>
      <c r="I221" s="26"/>
      <c r="J221" s="26"/>
      <c r="O221" s="112"/>
      <c r="P221" s="112"/>
      <c r="Q221" s="112"/>
      <c r="R221" s="112"/>
      <c r="S221" s="112"/>
      <c r="T221" s="721"/>
      <c r="U221" s="25"/>
      <c r="V221" s="25"/>
      <c r="W221" s="26"/>
      <c r="Y221" s="120"/>
    </row>
    <row r="222" spans="2:25" s="24" customFormat="1">
      <c r="B222" s="113"/>
      <c r="G222" s="26"/>
      <c r="I222" s="26"/>
      <c r="J222" s="26"/>
      <c r="O222" s="112"/>
      <c r="P222" s="112"/>
      <c r="Q222" s="112"/>
      <c r="R222" s="112"/>
      <c r="S222" s="112"/>
      <c r="T222" s="721"/>
      <c r="U222" s="25"/>
      <c r="V222" s="25"/>
      <c r="W222" s="26"/>
      <c r="Y222" s="120"/>
    </row>
    <row r="223" spans="2:25" s="24" customFormat="1">
      <c r="B223" s="113"/>
      <c r="G223" s="26"/>
      <c r="I223" s="26"/>
      <c r="J223" s="26"/>
      <c r="O223" s="112"/>
      <c r="P223" s="112"/>
      <c r="Q223" s="112"/>
      <c r="R223" s="112"/>
      <c r="S223" s="112"/>
      <c r="T223" s="721"/>
      <c r="U223" s="25"/>
      <c r="V223" s="25"/>
      <c r="W223" s="26"/>
      <c r="Y223" s="120"/>
    </row>
    <row r="224" spans="2:25" s="24" customFormat="1">
      <c r="B224" s="113"/>
      <c r="G224" s="26"/>
      <c r="I224" s="26"/>
      <c r="J224" s="26"/>
      <c r="O224" s="112"/>
      <c r="P224" s="112"/>
      <c r="Q224" s="112"/>
      <c r="R224" s="112"/>
      <c r="S224" s="112"/>
      <c r="T224" s="721"/>
      <c r="U224" s="25"/>
      <c r="V224" s="25"/>
      <c r="W224" s="26"/>
      <c r="Y224" s="120"/>
    </row>
    <row r="225" spans="2:25" s="24" customFormat="1">
      <c r="B225" s="113"/>
      <c r="O225" s="112"/>
      <c r="P225" s="112"/>
      <c r="Q225" s="112"/>
      <c r="R225" s="112"/>
      <c r="S225" s="112"/>
      <c r="T225" s="721"/>
      <c r="U225" s="112"/>
      <c r="V225" s="112"/>
      <c r="Y225" s="120"/>
    </row>
    <row r="226" spans="2:25" s="24" customFormat="1">
      <c r="B226" s="113"/>
      <c r="O226" s="112"/>
      <c r="P226" s="112"/>
      <c r="Q226" s="112"/>
      <c r="R226" s="112"/>
      <c r="S226" s="112"/>
      <c r="T226" s="721"/>
      <c r="U226" s="112"/>
      <c r="V226" s="112"/>
      <c r="Y226" s="120"/>
    </row>
    <row r="227" spans="2:25" s="24" customFormat="1">
      <c r="B227" s="113"/>
      <c r="O227" s="112"/>
      <c r="P227" s="112"/>
      <c r="Q227" s="112"/>
      <c r="R227" s="112"/>
      <c r="S227" s="112"/>
      <c r="T227" s="721"/>
      <c r="U227" s="112"/>
      <c r="V227" s="112"/>
      <c r="Y227" s="120"/>
    </row>
    <row r="228" spans="2:25" s="24" customFormat="1">
      <c r="B228" s="113"/>
      <c r="G228" s="25"/>
      <c r="I228" s="25"/>
      <c r="J228" s="25"/>
      <c r="O228" s="112"/>
      <c r="P228" s="112"/>
      <c r="Q228" s="112"/>
      <c r="R228" s="112"/>
      <c r="S228" s="112"/>
      <c r="T228" s="721"/>
      <c r="U228" s="112"/>
      <c r="V228" s="112"/>
      <c r="Y228" s="120"/>
    </row>
    <row r="229" spans="2:25" s="24" customFormat="1">
      <c r="B229" s="113"/>
      <c r="G229" s="25"/>
      <c r="I229" s="25"/>
      <c r="J229" s="25"/>
      <c r="O229" s="112"/>
      <c r="P229" s="112"/>
      <c r="Q229" s="112"/>
      <c r="R229" s="112"/>
      <c r="S229" s="112"/>
      <c r="T229" s="721"/>
      <c r="U229" s="112"/>
      <c r="V229" s="112"/>
      <c r="Y229" s="120"/>
    </row>
    <row r="230" spans="2:25" s="24" customFormat="1">
      <c r="B230" s="113"/>
      <c r="O230" s="112"/>
      <c r="P230" s="112"/>
      <c r="Q230" s="112"/>
      <c r="R230" s="112"/>
      <c r="S230" s="112"/>
      <c r="T230" s="721"/>
      <c r="U230" s="112"/>
      <c r="V230" s="112"/>
      <c r="Y230" s="120"/>
    </row>
    <row r="231" spans="2:25" s="24" customFormat="1">
      <c r="B231" s="113"/>
      <c r="G231" s="25"/>
      <c r="I231" s="25"/>
      <c r="J231" s="25"/>
      <c r="O231" s="112"/>
      <c r="P231" s="112"/>
      <c r="Q231" s="112"/>
      <c r="R231" s="112"/>
      <c r="S231" s="112"/>
      <c r="T231" s="721"/>
      <c r="U231" s="25"/>
      <c r="V231" s="25"/>
      <c r="W231" s="25"/>
      <c r="Y231" s="120"/>
    </row>
    <row r="232" spans="2:25" s="24" customFormat="1">
      <c r="B232" s="113"/>
      <c r="G232" s="26"/>
      <c r="I232" s="26"/>
      <c r="J232" s="26"/>
      <c r="O232" s="112"/>
      <c r="P232" s="112"/>
      <c r="Q232" s="112"/>
      <c r="R232" s="112"/>
      <c r="S232" s="112"/>
      <c r="T232" s="721"/>
      <c r="U232" s="25"/>
      <c r="V232" s="25"/>
      <c r="W232" s="26"/>
      <c r="Y232" s="120"/>
    </row>
    <row r="233" spans="2:25" s="24" customFormat="1">
      <c r="B233" s="113"/>
      <c r="G233" s="26"/>
      <c r="I233" s="26"/>
      <c r="J233" s="26"/>
      <c r="O233" s="112"/>
      <c r="P233" s="112"/>
      <c r="Q233" s="112"/>
      <c r="R233" s="112"/>
      <c r="S233" s="112"/>
      <c r="T233" s="721"/>
      <c r="U233" s="25"/>
      <c r="V233" s="25"/>
      <c r="W233" s="26"/>
      <c r="Y233" s="120"/>
    </row>
    <row r="234" spans="2:25" s="24" customFormat="1">
      <c r="B234" s="113"/>
      <c r="G234" s="26"/>
      <c r="I234" s="26"/>
      <c r="J234" s="26"/>
      <c r="O234" s="112"/>
      <c r="P234" s="112"/>
      <c r="Q234" s="112"/>
      <c r="R234" s="112"/>
      <c r="S234" s="112"/>
      <c r="T234" s="721"/>
      <c r="U234" s="25"/>
      <c r="V234" s="25"/>
      <c r="W234" s="26"/>
      <c r="Y234" s="120"/>
    </row>
    <row r="235" spans="2:25" s="24" customFormat="1">
      <c r="B235" s="113"/>
      <c r="G235" s="25"/>
      <c r="I235" s="25"/>
      <c r="J235" s="25"/>
      <c r="O235" s="112"/>
      <c r="P235" s="112"/>
      <c r="Q235" s="112"/>
      <c r="R235" s="112"/>
      <c r="S235" s="112"/>
      <c r="T235" s="721"/>
      <c r="U235" s="112"/>
      <c r="V235" s="112"/>
      <c r="Y235" s="120"/>
    </row>
    <row r="236" spans="2:25" s="24" customFormat="1">
      <c r="B236" s="113"/>
      <c r="G236" s="25"/>
      <c r="I236" s="25"/>
      <c r="J236" s="25"/>
      <c r="O236" s="112"/>
      <c r="P236" s="112"/>
      <c r="Q236" s="112"/>
      <c r="R236" s="112"/>
      <c r="S236" s="112"/>
      <c r="T236" s="721"/>
      <c r="U236" s="112"/>
      <c r="V236" s="112"/>
      <c r="Y236" s="120"/>
    </row>
    <row r="237" spans="2:25" s="24" customFormat="1">
      <c r="B237" s="113"/>
      <c r="G237" s="25"/>
      <c r="I237" s="25"/>
      <c r="J237" s="25"/>
      <c r="O237" s="112"/>
      <c r="P237" s="112"/>
      <c r="Q237" s="112"/>
      <c r="R237" s="112"/>
      <c r="S237" s="112"/>
      <c r="T237" s="721"/>
      <c r="U237" s="112"/>
      <c r="V237" s="112"/>
      <c r="Y237" s="120"/>
    </row>
    <row r="238" spans="2:25" s="24" customFormat="1">
      <c r="B238" s="113"/>
      <c r="G238" s="25"/>
      <c r="I238" s="25"/>
      <c r="J238" s="25"/>
      <c r="O238" s="112"/>
      <c r="P238" s="112"/>
      <c r="Q238" s="112"/>
      <c r="R238" s="112"/>
      <c r="S238" s="112"/>
      <c r="T238" s="721"/>
      <c r="U238" s="112"/>
      <c r="V238" s="112"/>
      <c r="Y238" s="120"/>
    </row>
    <row r="239" spans="2:25" s="24" customFormat="1">
      <c r="B239" s="113"/>
      <c r="G239" s="25"/>
      <c r="I239" s="25"/>
      <c r="J239" s="25"/>
      <c r="O239" s="112"/>
      <c r="P239" s="112"/>
      <c r="Q239" s="112"/>
      <c r="R239" s="112"/>
      <c r="S239" s="112"/>
      <c r="T239" s="721"/>
      <c r="U239" s="25"/>
      <c r="V239" s="25"/>
      <c r="W239" s="25"/>
      <c r="Y239" s="120"/>
    </row>
    <row r="240" spans="2:25" s="24" customFormat="1">
      <c r="B240" s="113"/>
      <c r="G240" s="26"/>
      <c r="I240" s="26"/>
      <c r="J240" s="26"/>
      <c r="O240" s="112"/>
      <c r="P240" s="112"/>
      <c r="Q240" s="112"/>
      <c r="R240" s="112"/>
      <c r="S240" s="112"/>
      <c r="T240" s="721"/>
      <c r="U240" s="25"/>
      <c r="V240" s="25"/>
      <c r="W240" s="26"/>
      <c r="Y240" s="120"/>
    </row>
    <row r="241" spans="2:25" s="24" customFormat="1">
      <c r="B241" s="113"/>
      <c r="G241" s="26"/>
      <c r="I241" s="26"/>
      <c r="J241" s="26"/>
      <c r="O241" s="112"/>
      <c r="P241" s="112"/>
      <c r="Q241" s="112"/>
      <c r="R241" s="112"/>
      <c r="S241" s="112"/>
      <c r="T241" s="721"/>
      <c r="U241" s="25"/>
      <c r="V241" s="25"/>
      <c r="W241" s="26"/>
      <c r="Y241" s="120"/>
    </row>
    <row r="242" spans="2:25" s="24" customFormat="1">
      <c r="B242" s="113"/>
      <c r="G242" s="26"/>
      <c r="I242" s="26"/>
      <c r="J242" s="26"/>
      <c r="O242" s="112"/>
      <c r="P242" s="112"/>
      <c r="Q242" s="112"/>
      <c r="R242" s="112"/>
      <c r="S242" s="112"/>
      <c r="T242" s="721"/>
      <c r="U242" s="25"/>
      <c r="V242" s="25"/>
      <c r="W242" s="26"/>
      <c r="Y242" s="120"/>
    </row>
    <row r="243" spans="2:25" s="24" customFormat="1">
      <c r="B243" s="113"/>
      <c r="G243" s="26"/>
      <c r="I243" s="26"/>
      <c r="J243" s="26"/>
      <c r="O243" s="112"/>
      <c r="P243" s="112"/>
      <c r="Q243" s="112"/>
      <c r="R243" s="112"/>
      <c r="S243" s="112"/>
      <c r="T243" s="721"/>
      <c r="U243" s="25"/>
      <c r="V243" s="25"/>
      <c r="W243" s="26"/>
      <c r="Y243" s="120"/>
    </row>
    <row r="244" spans="2:25" s="24" customFormat="1">
      <c r="B244" s="113"/>
      <c r="G244" s="26"/>
      <c r="I244" s="26"/>
      <c r="J244" s="26"/>
      <c r="O244" s="112"/>
      <c r="P244" s="112"/>
      <c r="Q244" s="112"/>
      <c r="R244" s="112"/>
      <c r="S244" s="112"/>
      <c r="T244" s="721"/>
      <c r="U244" s="25"/>
      <c r="V244" s="25"/>
      <c r="W244" s="26"/>
      <c r="Y244" s="120"/>
    </row>
    <row r="245" spans="2:25" s="24" customFormat="1">
      <c r="B245" s="113"/>
      <c r="O245" s="112"/>
      <c r="P245" s="112"/>
      <c r="Q245" s="112"/>
      <c r="R245" s="112"/>
      <c r="S245" s="112"/>
      <c r="T245" s="721"/>
      <c r="U245" s="112"/>
      <c r="V245" s="112"/>
      <c r="Y245" s="120"/>
    </row>
    <row r="246" spans="2:25" s="24" customFormat="1">
      <c r="B246" s="113"/>
      <c r="G246" s="25"/>
      <c r="I246" s="25"/>
      <c r="J246" s="25"/>
      <c r="O246" s="112"/>
      <c r="P246" s="112"/>
      <c r="Q246" s="112"/>
      <c r="R246" s="112"/>
      <c r="S246" s="112"/>
      <c r="T246" s="721"/>
      <c r="U246" s="112"/>
      <c r="V246" s="112"/>
      <c r="Y246" s="120"/>
    </row>
    <row r="247" spans="2:25" s="24" customFormat="1">
      <c r="B247" s="113"/>
      <c r="G247" s="25"/>
      <c r="I247" s="25"/>
      <c r="J247" s="25"/>
      <c r="O247" s="112"/>
      <c r="P247" s="112"/>
      <c r="Q247" s="112"/>
      <c r="R247" s="112"/>
      <c r="S247" s="112"/>
      <c r="T247" s="721"/>
      <c r="U247" s="112"/>
      <c r="V247" s="112"/>
      <c r="Y247" s="120"/>
    </row>
    <row r="248" spans="2:25" s="24" customFormat="1">
      <c r="B248" s="113"/>
      <c r="G248" s="25"/>
      <c r="I248" s="25"/>
      <c r="J248" s="25"/>
      <c r="O248" s="112"/>
      <c r="P248" s="112"/>
      <c r="Q248" s="112"/>
      <c r="R248" s="112"/>
      <c r="S248" s="112"/>
      <c r="T248" s="721"/>
      <c r="U248" s="112"/>
      <c r="V248" s="112"/>
      <c r="Y248" s="120"/>
    </row>
    <row r="249" spans="2:25" s="24" customFormat="1">
      <c r="B249" s="113"/>
      <c r="G249" s="25"/>
      <c r="I249" s="25"/>
      <c r="J249" s="25"/>
      <c r="O249" s="112"/>
      <c r="P249" s="112"/>
      <c r="Q249" s="112"/>
      <c r="R249" s="112"/>
      <c r="S249" s="112"/>
      <c r="T249" s="721"/>
      <c r="U249" s="25"/>
      <c r="V249" s="25"/>
      <c r="W249" s="25"/>
      <c r="Y249" s="120"/>
    </row>
    <row r="250" spans="2:25" s="24" customFormat="1">
      <c r="B250" s="113"/>
      <c r="G250" s="26"/>
      <c r="I250" s="26"/>
      <c r="J250" s="26"/>
      <c r="O250" s="112"/>
      <c r="P250" s="112"/>
      <c r="Q250" s="112"/>
      <c r="R250" s="112"/>
      <c r="S250" s="112"/>
      <c r="T250" s="721"/>
      <c r="U250" s="25"/>
      <c r="V250" s="25"/>
      <c r="W250" s="26"/>
      <c r="Y250" s="120"/>
    </row>
    <row r="251" spans="2:25" s="24" customFormat="1">
      <c r="B251" s="113"/>
      <c r="G251" s="26"/>
      <c r="I251" s="26"/>
      <c r="J251" s="26"/>
      <c r="O251" s="112"/>
      <c r="P251" s="112"/>
      <c r="Q251" s="112"/>
      <c r="R251" s="112"/>
      <c r="S251" s="112"/>
      <c r="T251" s="721"/>
      <c r="U251" s="25"/>
      <c r="V251" s="25"/>
      <c r="W251" s="26"/>
      <c r="Y251" s="120"/>
    </row>
    <row r="252" spans="2:25" s="24" customFormat="1">
      <c r="B252" s="113"/>
      <c r="G252" s="26"/>
      <c r="I252" s="26"/>
      <c r="J252" s="26"/>
      <c r="O252" s="112"/>
      <c r="P252" s="112"/>
      <c r="Q252" s="112"/>
      <c r="R252" s="112"/>
      <c r="S252" s="112"/>
      <c r="T252" s="721"/>
      <c r="U252" s="25"/>
      <c r="V252" s="25"/>
      <c r="W252" s="26"/>
      <c r="Y252" s="120"/>
    </row>
    <row r="253" spans="2:25" s="24" customFormat="1">
      <c r="B253" s="113"/>
      <c r="G253" s="26"/>
      <c r="I253" s="26"/>
      <c r="J253" s="26"/>
      <c r="O253" s="112"/>
      <c r="P253" s="112"/>
      <c r="Q253" s="112"/>
      <c r="R253" s="112"/>
      <c r="S253" s="112"/>
      <c r="T253" s="721"/>
      <c r="U253" s="25"/>
      <c r="V253" s="25"/>
      <c r="W253" s="26"/>
      <c r="Y253" s="120"/>
    </row>
    <row r="254" spans="2:25" s="24" customFormat="1">
      <c r="B254" s="113"/>
      <c r="G254" s="26"/>
      <c r="I254" s="26"/>
      <c r="J254" s="26"/>
      <c r="O254" s="112"/>
      <c r="P254" s="112"/>
      <c r="Q254" s="112"/>
      <c r="R254" s="112"/>
      <c r="S254" s="112"/>
      <c r="T254" s="721"/>
      <c r="U254" s="25"/>
      <c r="V254" s="25"/>
      <c r="W254" s="26"/>
      <c r="Y254" s="120"/>
    </row>
    <row r="255" spans="2:25" s="24" customFormat="1">
      <c r="B255" s="113"/>
      <c r="G255" s="26"/>
      <c r="I255" s="26"/>
      <c r="J255" s="26"/>
      <c r="O255" s="112"/>
      <c r="P255" s="112"/>
      <c r="Q255" s="112"/>
      <c r="R255" s="112"/>
      <c r="S255" s="112"/>
      <c r="T255" s="721"/>
      <c r="U255" s="25"/>
      <c r="V255" s="25"/>
      <c r="W255" s="26"/>
      <c r="Y255" s="120"/>
    </row>
    <row r="256" spans="2:25" s="24" customFormat="1">
      <c r="B256" s="113"/>
      <c r="G256" s="26"/>
      <c r="I256" s="26"/>
      <c r="J256" s="26"/>
      <c r="O256" s="112"/>
      <c r="P256" s="112"/>
      <c r="Q256" s="112"/>
      <c r="R256" s="112"/>
      <c r="S256" s="112"/>
      <c r="T256" s="721"/>
      <c r="U256" s="25"/>
      <c r="V256" s="25"/>
      <c r="W256" s="26"/>
      <c r="Y256" s="120"/>
    </row>
    <row r="257" spans="2:25" s="24" customFormat="1">
      <c r="B257" s="113"/>
      <c r="G257" s="26"/>
      <c r="I257" s="26"/>
      <c r="J257" s="26"/>
      <c r="O257" s="112"/>
      <c r="P257" s="112"/>
      <c r="Q257" s="112"/>
      <c r="R257" s="112"/>
      <c r="S257" s="112"/>
      <c r="T257" s="721"/>
      <c r="U257" s="25"/>
      <c r="V257" s="25"/>
      <c r="W257" s="26"/>
      <c r="Y257" s="120"/>
    </row>
    <row r="258" spans="2:25" s="24" customFormat="1">
      <c r="B258" s="113"/>
      <c r="G258" s="26"/>
      <c r="I258" s="26"/>
      <c r="J258" s="26"/>
      <c r="O258" s="112"/>
      <c r="P258" s="112"/>
      <c r="Q258" s="112"/>
      <c r="R258" s="112"/>
      <c r="S258" s="112"/>
      <c r="T258" s="721"/>
      <c r="U258" s="25"/>
      <c r="V258" s="25"/>
      <c r="W258" s="26"/>
      <c r="Y258" s="120"/>
    </row>
    <row r="259" spans="2:25" s="24" customFormat="1">
      <c r="B259" s="113"/>
      <c r="G259" s="26"/>
      <c r="I259" s="26"/>
      <c r="J259" s="26"/>
      <c r="O259" s="112"/>
      <c r="P259" s="112"/>
      <c r="Q259" s="112"/>
      <c r="R259" s="112"/>
      <c r="S259" s="112"/>
      <c r="T259" s="721"/>
      <c r="U259" s="25"/>
      <c r="V259" s="25"/>
      <c r="W259" s="26"/>
      <c r="Y259" s="120"/>
    </row>
    <row r="260" spans="2:25" s="24" customFormat="1">
      <c r="B260" s="113"/>
      <c r="G260" s="26"/>
      <c r="I260" s="26"/>
      <c r="J260" s="26"/>
      <c r="O260" s="112"/>
      <c r="P260" s="112"/>
      <c r="Q260" s="112"/>
      <c r="R260" s="112"/>
      <c r="S260" s="112"/>
      <c r="T260" s="721"/>
      <c r="U260" s="25"/>
      <c r="V260" s="25"/>
      <c r="W260" s="26"/>
      <c r="Y260" s="120"/>
    </row>
    <row r="261" spans="2:25" s="24" customFormat="1">
      <c r="B261" s="113"/>
      <c r="O261" s="112"/>
      <c r="P261" s="112"/>
      <c r="Q261" s="112"/>
      <c r="R261" s="112"/>
      <c r="S261" s="112"/>
      <c r="T261" s="721"/>
      <c r="U261" s="112"/>
      <c r="V261" s="112"/>
      <c r="Y261" s="120"/>
    </row>
    <row r="262" spans="2:25" s="24" customFormat="1">
      <c r="B262" s="113"/>
      <c r="G262" s="25"/>
      <c r="I262" s="25"/>
      <c r="J262" s="25"/>
      <c r="O262" s="112"/>
      <c r="P262" s="112"/>
      <c r="Q262" s="112"/>
      <c r="R262" s="112"/>
      <c r="S262" s="112"/>
      <c r="T262" s="721"/>
      <c r="U262" s="25"/>
      <c r="V262" s="25"/>
      <c r="W262" s="25"/>
      <c r="Y262" s="120"/>
    </row>
    <row r="263" spans="2:25" s="24" customFormat="1">
      <c r="B263" s="113"/>
      <c r="G263" s="26"/>
      <c r="I263" s="26"/>
      <c r="J263" s="26"/>
      <c r="O263" s="112"/>
      <c r="P263" s="112"/>
      <c r="Q263" s="112"/>
      <c r="R263" s="112"/>
      <c r="S263" s="112"/>
      <c r="T263" s="721"/>
      <c r="U263" s="25"/>
      <c r="V263" s="25"/>
      <c r="W263" s="26"/>
      <c r="Y263" s="120"/>
    </row>
    <row r="264" spans="2:25" s="24" customFormat="1">
      <c r="B264" s="113"/>
      <c r="G264" s="26"/>
      <c r="I264" s="26"/>
      <c r="J264" s="26"/>
      <c r="O264" s="112"/>
      <c r="P264" s="112"/>
      <c r="Q264" s="112"/>
      <c r="R264" s="112"/>
      <c r="S264" s="112"/>
      <c r="T264" s="721"/>
      <c r="U264" s="25"/>
      <c r="V264" s="25"/>
      <c r="W264" s="26"/>
      <c r="Y264" s="120"/>
    </row>
    <row r="265" spans="2:25" s="24" customFormat="1">
      <c r="B265" s="113"/>
      <c r="O265" s="112"/>
      <c r="P265" s="112"/>
      <c r="Q265" s="112"/>
      <c r="R265" s="112"/>
      <c r="S265" s="112"/>
      <c r="T265" s="721"/>
      <c r="U265" s="112"/>
      <c r="V265" s="112"/>
      <c r="Y265" s="120"/>
    </row>
    <row r="266" spans="2:25" s="24" customFormat="1">
      <c r="B266" s="113"/>
      <c r="O266" s="112"/>
      <c r="P266" s="112"/>
      <c r="Q266" s="112"/>
      <c r="R266" s="112"/>
      <c r="S266" s="112"/>
      <c r="T266" s="721"/>
      <c r="U266" s="112"/>
      <c r="V266" s="112"/>
      <c r="Y266" s="120"/>
    </row>
    <row r="267" spans="2:25" s="24" customFormat="1">
      <c r="B267" s="113"/>
      <c r="O267" s="112"/>
      <c r="P267" s="112"/>
      <c r="Q267" s="112"/>
      <c r="R267" s="112"/>
      <c r="S267" s="112"/>
      <c r="T267" s="721"/>
      <c r="U267" s="112"/>
      <c r="V267" s="112"/>
      <c r="Y267" s="120"/>
    </row>
    <row r="268" spans="2:25" s="24" customFormat="1">
      <c r="B268" s="113"/>
      <c r="O268" s="112"/>
      <c r="P268" s="112"/>
      <c r="Q268" s="112"/>
      <c r="R268" s="112"/>
      <c r="S268" s="112"/>
      <c r="T268" s="721"/>
      <c r="U268" s="112"/>
      <c r="V268" s="112"/>
      <c r="Y268" s="120"/>
    </row>
    <row r="269" spans="2:25" s="24" customFormat="1">
      <c r="B269" s="113"/>
      <c r="G269" s="25"/>
      <c r="I269" s="25"/>
      <c r="J269" s="25"/>
      <c r="O269" s="112"/>
      <c r="P269" s="112"/>
      <c r="Q269" s="112"/>
      <c r="R269" s="112"/>
      <c r="S269" s="112"/>
      <c r="T269" s="721"/>
      <c r="U269" s="25"/>
      <c r="V269" s="25"/>
      <c r="W269" s="25"/>
      <c r="Y269" s="120"/>
    </row>
    <row r="270" spans="2:25" s="24" customFormat="1">
      <c r="B270" s="113"/>
      <c r="G270" s="26"/>
      <c r="I270" s="26"/>
      <c r="J270" s="26"/>
      <c r="O270" s="112"/>
      <c r="P270" s="112"/>
      <c r="Q270" s="112"/>
      <c r="R270" s="112"/>
      <c r="S270" s="112"/>
      <c r="T270" s="721"/>
      <c r="U270" s="25"/>
      <c r="V270" s="25"/>
      <c r="W270" s="26"/>
      <c r="Y270" s="120"/>
    </row>
    <row r="271" spans="2:25" s="24" customFormat="1">
      <c r="B271" s="113"/>
      <c r="G271" s="26"/>
      <c r="I271" s="26"/>
      <c r="J271" s="26"/>
      <c r="O271" s="112"/>
      <c r="P271" s="112"/>
      <c r="Q271" s="112"/>
      <c r="R271" s="112"/>
      <c r="S271" s="112"/>
      <c r="T271" s="721"/>
      <c r="U271" s="25"/>
      <c r="V271" s="25"/>
      <c r="W271" s="26"/>
      <c r="Y271" s="120"/>
    </row>
    <row r="272" spans="2:25" s="24" customFormat="1">
      <c r="B272" s="113"/>
      <c r="O272" s="112"/>
      <c r="P272" s="112"/>
      <c r="Q272" s="112"/>
      <c r="R272" s="112"/>
      <c r="S272" s="112"/>
      <c r="T272" s="721"/>
      <c r="U272" s="112"/>
      <c r="V272" s="112"/>
      <c r="Y272" s="120"/>
    </row>
    <row r="273" spans="2:25" s="24" customFormat="1">
      <c r="B273" s="113"/>
      <c r="O273" s="112"/>
      <c r="P273" s="112"/>
      <c r="Q273" s="112"/>
      <c r="R273" s="112"/>
      <c r="S273" s="112"/>
      <c r="T273" s="721"/>
      <c r="U273" s="112"/>
      <c r="V273" s="112"/>
      <c r="Y273" s="120"/>
    </row>
    <row r="274" spans="2:25" s="24" customFormat="1">
      <c r="B274" s="113"/>
      <c r="O274" s="112"/>
      <c r="P274" s="112"/>
      <c r="Q274" s="112"/>
      <c r="R274" s="112"/>
      <c r="S274" s="112"/>
      <c r="T274" s="721"/>
      <c r="U274" s="112"/>
      <c r="V274" s="112"/>
      <c r="Y274" s="120"/>
    </row>
    <row r="275" spans="2:25" s="24" customFormat="1">
      <c r="B275" s="113"/>
      <c r="O275" s="112"/>
      <c r="P275" s="112"/>
      <c r="Q275" s="112"/>
      <c r="R275" s="112"/>
      <c r="S275" s="112"/>
      <c r="T275" s="721"/>
      <c r="U275" s="112"/>
      <c r="V275" s="112"/>
      <c r="Y275" s="120"/>
    </row>
    <row r="276" spans="2:25" s="24" customFormat="1">
      <c r="B276" s="113"/>
      <c r="G276" s="25"/>
      <c r="I276" s="25"/>
      <c r="J276" s="25"/>
      <c r="O276" s="112"/>
      <c r="P276" s="112"/>
      <c r="Q276" s="112"/>
      <c r="R276" s="112"/>
      <c r="S276" s="112"/>
      <c r="T276" s="721"/>
      <c r="U276" s="25"/>
      <c r="V276" s="25"/>
      <c r="W276" s="25"/>
      <c r="Y276" s="120"/>
    </row>
    <row r="277" spans="2:25" s="24" customFormat="1">
      <c r="B277" s="113"/>
      <c r="G277" s="26"/>
      <c r="I277" s="26"/>
      <c r="J277" s="26"/>
      <c r="O277" s="112"/>
      <c r="P277" s="112"/>
      <c r="Q277" s="112"/>
      <c r="R277" s="112"/>
      <c r="S277" s="112"/>
      <c r="T277" s="721"/>
      <c r="U277" s="25"/>
      <c r="V277" s="25"/>
      <c r="W277" s="26"/>
      <c r="Y277" s="120"/>
    </row>
    <row r="278" spans="2:25" s="24" customFormat="1">
      <c r="B278" s="113"/>
      <c r="G278" s="26"/>
      <c r="I278" s="26"/>
      <c r="J278" s="26"/>
      <c r="O278" s="112"/>
      <c r="P278" s="112"/>
      <c r="Q278" s="112"/>
      <c r="R278" s="112"/>
      <c r="S278" s="112"/>
      <c r="T278" s="721"/>
      <c r="U278" s="25"/>
      <c r="V278" s="25"/>
      <c r="W278" s="26"/>
      <c r="Y278" s="120"/>
    </row>
    <row r="279" spans="2:25" s="24" customFormat="1">
      <c r="B279" s="113"/>
      <c r="O279" s="112"/>
      <c r="P279" s="112"/>
      <c r="Q279" s="112"/>
      <c r="R279" s="112"/>
      <c r="S279" s="112"/>
      <c r="T279" s="721"/>
      <c r="U279" s="112"/>
      <c r="V279" s="112"/>
      <c r="Y279" s="120"/>
    </row>
    <row r="280" spans="2:25" s="24" customFormat="1">
      <c r="B280" s="113"/>
      <c r="O280" s="112"/>
      <c r="P280" s="112"/>
      <c r="Q280" s="112"/>
      <c r="R280" s="112"/>
      <c r="S280" s="112"/>
      <c r="T280" s="721"/>
      <c r="U280" s="112"/>
      <c r="V280" s="112"/>
      <c r="Y280" s="120"/>
    </row>
    <row r="281" spans="2:25" s="24" customFormat="1">
      <c r="B281" s="113"/>
      <c r="O281" s="112"/>
      <c r="P281" s="112"/>
      <c r="Q281" s="112"/>
      <c r="R281" s="112"/>
      <c r="S281" s="112"/>
      <c r="T281" s="721"/>
      <c r="U281" s="112"/>
      <c r="V281" s="112"/>
      <c r="Y281" s="120"/>
    </row>
    <row r="282" spans="2:25" s="24" customFormat="1">
      <c r="B282" s="113"/>
      <c r="O282" s="112"/>
      <c r="P282" s="112"/>
      <c r="Q282" s="112"/>
      <c r="R282" s="112"/>
      <c r="S282" s="112"/>
      <c r="T282" s="721"/>
      <c r="U282" s="112"/>
      <c r="V282" s="112"/>
      <c r="Y282" s="120"/>
    </row>
    <row r="283" spans="2:25" s="24" customFormat="1">
      <c r="B283" s="113"/>
      <c r="O283" s="112"/>
      <c r="P283" s="112"/>
      <c r="Q283" s="112"/>
      <c r="R283" s="112"/>
      <c r="S283" s="112"/>
      <c r="T283" s="721"/>
      <c r="U283" s="112"/>
      <c r="V283" s="112"/>
      <c r="Y283" s="120"/>
    </row>
    <row r="284" spans="2:25" s="24" customFormat="1">
      <c r="B284" s="113"/>
      <c r="G284" s="25"/>
      <c r="I284" s="25"/>
      <c r="J284" s="25"/>
      <c r="O284" s="112"/>
      <c r="P284" s="112"/>
      <c r="Q284" s="112"/>
      <c r="R284" s="112"/>
      <c r="S284" s="112"/>
      <c r="T284" s="721"/>
      <c r="U284" s="25"/>
      <c r="V284" s="25"/>
      <c r="W284" s="25"/>
      <c r="Y284" s="120"/>
    </row>
    <row r="285" spans="2:25" s="24" customFormat="1">
      <c r="B285" s="113"/>
      <c r="G285" s="26"/>
      <c r="I285" s="26"/>
      <c r="J285" s="26"/>
      <c r="O285" s="112"/>
      <c r="P285" s="112"/>
      <c r="Q285" s="112"/>
      <c r="R285" s="112"/>
      <c r="S285" s="112"/>
      <c r="T285" s="721"/>
      <c r="U285" s="25"/>
      <c r="V285" s="25"/>
      <c r="W285" s="26"/>
      <c r="Y285" s="120"/>
    </row>
    <row r="286" spans="2:25" s="24" customFormat="1">
      <c r="B286" s="113"/>
      <c r="G286" s="26"/>
      <c r="I286" s="26"/>
      <c r="J286" s="26"/>
      <c r="O286" s="112"/>
      <c r="P286" s="112"/>
      <c r="Q286" s="112"/>
      <c r="R286" s="112"/>
      <c r="S286" s="112"/>
      <c r="T286" s="721"/>
      <c r="U286" s="25"/>
      <c r="V286" s="25"/>
      <c r="W286" s="26"/>
      <c r="Y286" s="120"/>
    </row>
    <row r="287" spans="2:25" s="24" customFormat="1">
      <c r="B287" s="113"/>
      <c r="O287" s="112"/>
      <c r="P287" s="112"/>
      <c r="Q287" s="112"/>
      <c r="R287" s="112"/>
      <c r="S287" s="112"/>
      <c r="T287" s="721"/>
      <c r="U287" s="112"/>
      <c r="V287" s="112"/>
      <c r="Y287" s="120"/>
    </row>
    <row r="288" spans="2:25" s="24" customFormat="1">
      <c r="B288" s="113"/>
      <c r="O288" s="112"/>
      <c r="P288" s="112"/>
      <c r="Q288" s="112"/>
      <c r="R288" s="112"/>
      <c r="S288" s="112"/>
      <c r="T288" s="721"/>
      <c r="U288" s="112"/>
      <c r="V288" s="112"/>
      <c r="Y288" s="120"/>
    </row>
    <row r="289" spans="2:25" s="24" customFormat="1">
      <c r="B289" s="113"/>
      <c r="O289" s="112"/>
      <c r="P289" s="112"/>
      <c r="Q289" s="112"/>
      <c r="R289" s="112"/>
      <c r="S289" s="112"/>
      <c r="T289" s="721"/>
      <c r="U289" s="112"/>
      <c r="V289" s="112"/>
      <c r="Y289" s="120"/>
    </row>
    <row r="290" spans="2:25" s="24" customFormat="1">
      <c r="B290" s="113"/>
      <c r="O290" s="112"/>
      <c r="P290" s="112"/>
      <c r="Q290" s="112"/>
      <c r="R290" s="112"/>
      <c r="S290" s="112"/>
      <c r="T290" s="721"/>
      <c r="U290" s="112"/>
      <c r="V290" s="112"/>
      <c r="Y290" s="120"/>
    </row>
    <row r="291" spans="2:25" s="24" customFormat="1">
      <c r="B291" s="113"/>
      <c r="O291" s="112"/>
      <c r="P291" s="112"/>
      <c r="Q291" s="112"/>
      <c r="R291" s="112"/>
      <c r="S291" s="112"/>
      <c r="T291" s="721"/>
      <c r="U291" s="112"/>
      <c r="V291" s="112"/>
      <c r="Y291" s="120"/>
    </row>
    <row r="292" spans="2:25" s="24" customFormat="1">
      <c r="B292" s="113"/>
      <c r="G292" s="25"/>
      <c r="I292" s="25"/>
      <c r="J292" s="25"/>
      <c r="O292" s="112"/>
      <c r="P292" s="112"/>
      <c r="Q292" s="112"/>
      <c r="R292" s="112"/>
      <c r="S292" s="112"/>
      <c r="T292" s="721"/>
      <c r="U292" s="25"/>
      <c r="V292" s="25"/>
      <c r="W292" s="25"/>
      <c r="Y292" s="120"/>
    </row>
    <row r="293" spans="2:25" s="24" customFormat="1">
      <c r="B293" s="113"/>
      <c r="G293" s="26"/>
      <c r="I293" s="26"/>
      <c r="J293" s="26"/>
      <c r="O293" s="112"/>
      <c r="P293" s="112"/>
      <c r="Q293" s="112"/>
      <c r="R293" s="112"/>
      <c r="S293" s="112"/>
      <c r="T293" s="721"/>
      <c r="U293" s="25"/>
      <c r="V293" s="25"/>
      <c r="W293" s="26"/>
      <c r="Y293" s="120"/>
    </row>
    <row r="294" spans="2:25" s="24" customFormat="1">
      <c r="B294" s="113"/>
      <c r="G294" s="26"/>
      <c r="I294" s="26"/>
      <c r="J294" s="26"/>
      <c r="O294" s="112"/>
      <c r="P294" s="112"/>
      <c r="Q294" s="112"/>
      <c r="R294" s="112"/>
      <c r="S294" s="112"/>
      <c r="T294" s="721"/>
      <c r="U294" s="25"/>
      <c r="V294" s="25"/>
      <c r="W294" s="26"/>
      <c r="Y294" s="120"/>
    </row>
    <row r="295" spans="2:25" s="24" customFormat="1">
      <c r="B295" s="113"/>
      <c r="O295" s="112"/>
      <c r="P295" s="112"/>
      <c r="Q295" s="112"/>
      <c r="R295" s="112"/>
      <c r="S295" s="112"/>
      <c r="T295" s="721"/>
      <c r="U295" s="112"/>
      <c r="V295" s="112"/>
      <c r="Y295" s="120"/>
    </row>
    <row r="296" spans="2:25" s="24" customFormat="1">
      <c r="B296" s="113"/>
      <c r="O296" s="112"/>
      <c r="P296" s="112"/>
      <c r="Q296" s="112"/>
      <c r="R296" s="112"/>
      <c r="S296" s="112"/>
      <c r="T296" s="721"/>
      <c r="U296" s="112"/>
      <c r="V296" s="112"/>
      <c r="Y296" s="120"/>
    </row>
    <row r="297" spans="2:25" s="24" customFormat="1">
      <c r="B297" s="113"/>
      <c r="G297" s="25"/>
      <c r="I297" s="25"/>
      <c r="J297" s="25"/>
      <c r="O297" s="112"/>
      <c r="P297" s="112"/>
      <c r="Q297" s="112"/>
      <c r="R297" s="112"/>
      <c r="S297" s="112"/>
      <c r="T297" s="721"/>
      <c r="U297" s="112"/>
      <c r="V297" s="112"/>
      <c r="Y297" s="120"/>
    </row>
    <row r="298" spans="2:25" s="24" customFormat="1">
      <c r="B298" s="113"/>
      <c r="O298" s="112"/>
      <c r="P298" s="112"/>
      <c r="Q298" s="112"/>
      <c r="R298" s="112"/>
      <c r="S298" s="112"/>
      <c r="T298" s="721"/>
      <c r="U298" s="112"/>
      <c r="V298" s="112"/>
      <c r="Y298" s="120"/>
    </row>
    <row r="299" spans="2:25" s="24" customFormat="1">
      <c r="B299" s="113"/>
      <c r="G299" s="25"/>
      <c r="I299" s="25"/>
      <c r="J299" s="25"/>
      <c r="O299" s="112"/>
      <c r="P299" s="112"/>
      <c r="Q299" s="112"/>
      <c r="R299" s="112"/>
      <c r="S299" s="112"/>
      <c r="T299" s="721"/>
      <c r="U299" s="112"/>
      <c r="V299" s="112"/>
      <c r="Y299" s="120"/>
    </row>
    <row r="300" spans="2:25" s="24" customFormat="1">
      <c r="B300" s="113"/>
      <c r="G300" s="25"/>
      <c r="I300" s="25"/>
      <c r="J300" s="25"/>
      <c r="O300" s="112"/>
      <c r="P300" s="112"/>
      <c r="Q300" s="112"/>
      <c r="R300" s="112"/>
      <c r="S300" s="112"/>
      <c r="T300" s="721"/>
      <c r="U300" s="25"/>
      <c r="V300" s="25"/>
      <c r="W300" s="25"/>
      <c r="Y300" s="120"/>
    </row>
    <row r="301" spans="2:25" s="24" customFormat="1">
      <c r="B301" s="113"/>
      <c r="G301" s="26"/>
      <c r="I301" s="26"/>
      <c r="J301" s="26"/>
      <c r="O301" s="112"/>
      <c r="P301" s="112"/>
      <c r="Q301" s="112"/>
      <c r="R301" s="112"/>
      <c r="S301" s="112"/>
      <c r="T301" s="721"/>
      <c r="U301" s="25"/>
      <c r="V301" s="25"/>
      <c r="W301" s="26"/>
      <c r="Y301" s="120"/>
    </row>
    <row r="302" spans="2:25" s="24" customFormat="1">
      <c r="B302" s="113"/>
      <c r="G302" s="26"/>
      <c r="I302" s="26"/>
      <c r="J302" s="26"/>
      <c r="O302" s="112"/>
      <c r="P302" s="112"/>
      <c r="Q302" s="112"/>
      <c r="R302" s="112"/>
      <c r="S302" s="112"/>
      <c r="T302" s="721"/>
      <c r="U302" s="25"/>
      <c r="V302" s="25"/>
      <c r="W302" s="26"/>
      <c r="Y302" s="120"/>
    </row>
    <row r="303" spans="2:25" s="24" customFormat="1">
      <c r="B303" s="113"/>
      <c r="G303" s="25"/>
      <c r="I303" s="25"/>
      <c r="J303" s="25"/>
      <c r="O303" s="112"/>
      <c r="P303" s="112"/>
      <c r="Q303" s="112"/>
      <c r="R303" s="112"/>
      <c r="S303" s="112"/>
      <c r="T303" s="721"/>
      <c r="U303" s="112"/>
      <c r="V303" s="112"/>
      <c r="Y303" s="120"/>
    </row>
    <row r="304" spans="2:25" s="24" customFormat="1">
      <c r="B304" s="113"/>
      <c r="G304" s="25"/>
      <c r="I304" s="25"/>
      <c r="J304" s="25"/>
      <c r="O304" s="112"/>
      <c r="P304" s="112"/>
      <c r="Q304" s="112"/>
      <c r="R304" s="112"/>
      <c r="S304" s="112"/>
      <c r="T304" s="721"/>
      <c r="U304" s="112"/>
      <c r="V304" s="112"/>
      <c r="Y304" s="120"/>
    </row>
    <row r="305" spans="2:25" s="24" customFormat="1">
      <c r="B305" s="113"/>
      <c r="G305" s="25"/>
      <c r="I305" s="25"/>
      <c r="J305" s="25"/>
      <c r="O305" s="112"/>
      <c r="P305" s="112"/>
      <c r="Q305" s="112"/>
      <c r="R305" s="112"/>
      <c r="S305" s="112"/>
      <c r="T305" s="721"/>
      <c r="U305" s="112"/>
      <c r="V305" s="112"/>
      <c r="Y305" s="120"/>
    </row>
    <row r="306" spans="2:25" s="24" customFormat="1">
      <c r="B306" s="113"/>
      <c r="G306" s="25"/>
      <c r="I306" s="25"/>
      <c r="J306" s="25"/>
      <c r="O306" s="112"/>
      <c r="P306" s="112"/>
      <c r="Q306" s="112"/>
      <c r="R306" s="112"/>
      <c r="S306" s="112"/>
      <c r="T306" s="721"/>
      <c r="U306" s="112"/>
      <c r="V306" s="112"/>
      <c r="Y306" s="120"/>
    </row>
    <row r="307" spans="2:25" s="24" customFormat="1">
      <c r="B307" s="113"/>
      <c r="G307" s="25"/>
      <c r="I307" s="25"/>
      <c r="J307" s="25"/>
      <c r="O307" s="112"/>
      <c r="P307" s="112"/>
      <c r="Q307" s="112"/>
      <c r="R307" s="112"/>
      <c r="S307" s="112"/>
      <c r="T307" s="721"/>
      <c r="U307" s="25"/>
      <c r="V307" s="25"/>
      <c r="W307" s="25"/>
      <c r="Y307" s="120"/>
    </row>
    <row r="308" spans="2:25" s="24" customFormat="1">
      <c r="B308" s="113"/>
      <c r="G308" s="26"/>
      <c r="I308" s="26"/>
      <c r="J308" s="26"/>
      <c r="O308" s="112"/>
      <c r="P308" s="112"/>
      <c r="Q308" s="112"/>
      <c r="R308" s="112"/>
      <c r="S308" s="112"/>
      <c r="T308" s="721"/>
      <c r="U308" s="25"/>
      <c r="V308" s="25"/>
      <c r="W308" s="26"/>
      <c r="Y308" s="120"/>
    </row>
    <row r="309" spans="2:25" s="24" customFormat="1">
      <c r="B309" s="113"/>
      <c r="G309" s="26"/>
      <c r="I309" s="26"/>
      <c r="J309" s="26"/>
      <c r="O309" s="112"/>
      <c r="P309" s="112"/>
      <c r="Q309" s="112"/>
      <c r="R309" s="112"/>
      <c r="S309" s="112"/>
      <c r="T309" s="721"/>
      <c r="U309" s="25"/>
      <c r="V309" s="25"/>
      <c r="W309" s="26"/>
      <c r="Y309" s="120"/>
    </row>
    <row r="310" spans="2:25" s="24" customFormat="1">
      <c r="B310" s="113"/>
      <c r="G310" s="25"/>
      <c r="I310" s="25"/>
      <c r="J310" s="25"/>
      <c r="O310" s="112"/>
      <c r="P310" s="112"/>
      <c r="Q310" s="112"/>
      <c r="R310" s="112"/>
      <c r="S310" s="112"/>
      <c r="T310" s="721"/>
      <c r="U310" s="112"/>
      <c r="V310" s="112"/>
      <c r="Y310" s="120"/>
    </row>
    <row r="311" spans="2:25" s="24" customFormat="1">
      <c r="B311" s="113"/>
      <c r="O311" s="112"/>
      <c r="P311" s="112"/>
      <c r="Q311" s="112"/>
      <c r="R311" s="112"/>
      <c r="S311" s="112"/>
      <c r="T311" s="721"/>
      <c r="U311" s="112"/>
      <c r="V311" s="112"/>
      <c r="Y311" s="120"/>
    </row>
    <row r="312" spans="2:25" s="24" customFormat="1">
      <c r="B312" s="113"/>
      <c r="G312" s="25"/>
      <c r="I312" s="25"/>
      <c r="J312" s="25"/>
      <c r="O312" s="112"/>
      <c r="P312" s="112"/>
      <c r="Q312" s="112"/>
      <c r="R312" s="112"/>
      <c r="S312" s="112"/>
      <c r="T312" s="721"/>
      <c r="U312" s="112"/>
      <c r="V312" s="112"/>
      <c r="Y312" s="120"/>
    </row>
    <row r="313" spans="2:25" s="24" customFormat="1">
      <c r="B313" s="113"/>
      <c r="G313" s="25"/>
      <c r="I313" s="25"/>
      <c r="J313" s="25"/>
      <c r="O313" s="112"/>
      <c r="P313" s="112"/>
      <c r="Q313" s="112"/>
      <c r="R313" s="112"/>
      <c r="S313" s="112"/>
      <c r="T313" s="721"/>
      <c r="U313" s="112"/>
      <c r="V313" s="112"/>
      <c r="Y313" s="120"/>
    </row>
    <row r="314" spans="2:25" s="24" customFormat="1">
      <c r="B314" s="113"/>
      <c r="G314" s="25"/>
      <c r="I314" s="25"/>
      <c r="J314" s="25"/>
      <c r="O314" s="112"/>
      <c r="P314" s="112"/>
      <c r="Q314" s="112"/>
      <c r="R314" s="112"/>
      <c r="S314" s="112"/>
      <c r="T314" s="721"/>
      <c r="U314" s="25"/>
      <c r="V314" s="25"/>
      <c r="W314" s="25"/>
      <c r="Y314" s="120"/>
    </row>
    <row r="315" spans="2:25" s="24" customFormat="1">
      <c r="B315" s="113"/>
      <c r="G315" s="26"/>
      <c r="I315" s="26"/>
      <c r="J315" s="26"/>
      <c r="O315" s="112"/>
      <c r="P315" s="112"/>
      <c r="Q315" s="112"/>
      <c r="R315" s="112"/>
      <c r="S315" s="112"/>
      <c r="T315" s="721"/>
      <c r="U315" s="25"/>
      <c r="V315" s="25"/>
      <c r="W315" s="26"/>
      <c r="Y315" s="120"/>
    </row>
    <row r="316" spans="2:25" s="24" customFormat="1">
      <c r="B316" s="113"/>
      <c r="G316" s="26"/>
      <c r="I316" s="26"/>
      <c r="J316" s="26"/>
      <c r="O316" s="112"/>
      <c r="P316" s="112"/>
      <c r="Q316" s="112"/>
      <c r="R316" s="112"/>
      <c r="S316" s="112"/>
      <c r="T316" s="721"/>
      <c r="U316" s="25"/>
      <c r="V316" s="25"/>
      <c r="W316" s="26"/>
      <c r="Y316" s="120"/>
    </row>
    <row r="317" spans="2:25" s="24" customFormat="1">
      <c r="B317" s="113"/>
      <c r="G317" s="26"/>
      <c r="I317" s="26"/>
      <c r="J317" s="26"/>
      <c r="O317" s="112"/>
      <c r="P317" s="112"/>
      <c r="Q317" s="112"/>
      <c r="R317" s="112"/>
      <c r="S317" s="112"/>
      <c r="T317" s="721"/>
      <c r="U317" s="25"/>
      <c r="V317" s="25"/>
      <c r="W317" s="26"/>
      <c r="Y317" s="120"/>
    </row>
    <row r="318" spans="2:25" s="24" customFormat="1">
      <c r="B318" s="113"/>
      <c r="G318" s="25"/>
      <c r="I318" s="25"/>
      <c r="J318" s="25"/>
      <c r="O318" s="112"/>
      <c r="P318" s="112"/>
      <c r="Q318" s="112"/>
      <c r="R318" s="112"/>
      <c r="S318" s="112"/>
      <c r="T318" s="721"/>
      <c r="U318" s="112"/>
      <c r="V318" s="112"/>
      <c r="Y318" s="120"/>
    </row>
    <row r="319" spans="2:25" s="24" customFormat="1">
      <c r="B319" s="113"/>
      <c r="O319" s="112"/>
      <c r="P319" s="112"/>
      <c r="Q319" s="112"/>
      <c r="R319" s="112"/>
      <c r="S319" s="112"/>
      <c r="T319" s="721"/>
      <c r="U319" s="112"/>
      <c r="V319" s="112"/>
      <c r="Y319" s="120"/>
    </row>
    <row r="320" spans="2:25" s="24" customFormat="1">
      <c r="B320" s="113"/>
      <c r="O320" s="112"/>
      <c r="P320" s="112"/>
      <c r="Q320" s="112"/>
      <c r="R320" s="112"/>
      <c r="S320" s="112"/>
      <c r="T320" s="721"/>
      <c r="U320" s="112"/>
      <c r="V320" s="112"/>
      <c r="Y320" s="120"/>
    </row>
    <row r="321" spans="2:25" s="24" customFormat="1">
      <c r="B321" s="113"/>
      <c r="O321" s="112"/>
      <c r="P321" s="112"/>
      <c r="Q321" s="112"/>
      <c r="R321" s="112"/>
      <c r="S321" s="112"/>
      <c r="T321" s="721"/>
      <c r="U321" s="112"/>
      <c r="V321" s="112"/>
      <c r="Y321" s="120"/>
    </row>
    <row r="322" spans="2:25" s="24" customFormat="1">
      <c r="B322" s="113"/>
      <c r="G322" s="25"/>
      <c r="I322" s="25"/>
      <c r="J322" s="25"/>
      <c r="O322" s="112"/>
      <c r="P322" s="112"/>
      <c r="Q322" s="112"/>
      <c r="R322" s="112"/>
      <c r="S322" s="112"/>
      <c r="T322" s="721"/>
      <c r="U322" s="25"/>
      <c r="V322" s="25"/>
      <c r="W322" s="25"/>
      <c r="Y322" s="120"/>
    </row>
    <row r="323" spans="2:25" s="27" customFormat="1">
      <c r="B323" s="114"/>
      <c r="G323" s="26"/>
      <c r="I323" s="26"/>
      <c r="J323" s="26"/>
      <c r="O323" s="720"/>
      <c r="P323" s="720"/>
      <c r="Q323" s="720"/>
      <c r="R323" s="720"/>
      <c r="S323" s="720"/>
      <c r="T323" s="722"/>
      <c r="U323" s="25"/>
      <c r="V323" s="25"/>
      <c r="W323" s="26"/>
      <c r="Y323" s="119"/>
    </row>
    <row r="324" spans="2:25" s="27" customFormat="1">
      <c r="B324" s="114"/>
      <c r="G324" s="26"/>
      <c r="I324" s="26"/>
      <c r="J324" s="26"/>
      <c r="O324" s="720"/>
      <c r="P324" s="720"/>
      <c r="Q324" s="720"/>
      <c r="R324" s="720"/>
      <c r="S324" s="720"/>
      <c r="T324" s="722"/>
      <c r="U324" s="25"/>
      <c r="V324" s="25"/>
      <c r="W324" s="26"/>
      <c r="Y324" s="119"/>
    </row>
    <row r="325" spans="2:25" s="27" customFormat="1">
      <c r="B325" s="114"/>
      <c r="G325" s="24"/>
      <c r="I325" s="24"/>
      <c r="J325" s="24"/>
      <c r="O325" s="720"/>
      <c r="P325" s="720"/>
      <c r="Q325" s="720"/>
      <c r="R325" s="720"/>
      <c r="S325" s="720"/>
      <c r="T325" s="722"/>
      <c r="U325" s="720"/>
      <c r="V325" s="720"/>
      <c r="Y325" s="119"/>
    </row>
    <row r="326" spans="2:25" s="27" customFormat="1">
      <c r="B326" s="114"/>
      <c r="G326" s="24"/>
      <c r="I326" s="24"/>
      <c r="J326" s="24"/>
      <c r="O326" s="720"/>
      <c r="P326" s="720"/>
      <c r="Q326" s="720"/>
      <c r="R326" s="720"/>
      <c r="S326" s="720"/>
      <c r="T326" s="722"/>
      <c r="U326" s="720"/>
      <c r="V326" s="720"/>
      <c r="Y326" s="119"/>
    </row>
    <row r="327" spans="2:25" s="27" customFormat="1">
      <c r="B327" s="114"/>
      <c r="G327" s="24"/>
      <c r="I327" s="24"/>
      <c r="J327" s="24"/>
      <c r="O327" s="720"/>
      <c r="P327" s="720"/>
      <c r="Q327" s="720"/>
      <c r="R327" s="720"/>
      <c r="S327" s="720"/>
      <c r="T327" s="722"/>
      <c r="U327" s="720"/>
      <c r="V327" s="720"/>
      <c r="Y327" s="119"/>
    </row>
    <row r="328" spans="2:25" s="27" customFormat="1">
      <c r="B328" s="114"/>
      <c r="G328" s="24"/>
      <c r="I328" s="24"/>
      <c r="J328" s="24"/>
      <c r="O328" s="720"/>
      <c r="P328" s="720"/>
      <c r="Q328" s="720"/>
      <c r="R328" s="720"/>
      <c r="S328" s="720"/>
      <c r="T328" s="722"/>
      <c r="U328" s="720"/>
      <c r="V328" s="720"/>
      <c r="Y328" s="119"/>
    </row>
    <row r="329" spans="2:25" s="27" customFormat="1">
      <c r="B329" s="114"/>
      <c r="G329" s="24"/>
      <c r="I329" s="24"/>
      <c r="J329" s="24"/>
      <c r="O329" s="720"/>
      <c r="P329" s="720"/>
      <c r="Q329" s="720"/>
      <c r="R329" s="720"/>
      <c r="S329" s="720"/>
      <c r="T329" s="722"/>
      <c r="U329" s="720"/>
      <c r="V329" s="720"/>
      <c r="Y329" s="119"/>
    </row>
    <row r="330" spans="2:25" s="27" customFormat="1">
      <c r="B330" s="114"/>
      <c r="G330" s="24"/>
      <c r="I330" s="24"/>
      <c r="J330" s="24"/>
      <c r="O330" s="720"/>
      <c r="P330" s="720"/>
      <c r="Q330" s="720"/>
      <c r="R330" s="720"/>
      <c r="S330" s="720"/>
      <c r="T330" s="722"/>
      <c r="U330" s="720"/>
      <c r="V330" s="720"/>
      <c r="Y330" s="119"/>
    </row>
    <row r="331" spans="2:25" s="27" customFormat="1">
      <c r="B331" s="114"/>
      <c r="G331" s="24"/>
      <c r="I331" s="24"/>
      <c r="J331" s="24"/>
      <c r="O331" s="720"/>
      <c r="P331" s="720"/>
      <c r="Q331" s="720"/>
      <c r="R331" s="720"/>
      <c r="S331" s="720"/>
      <c r="T331" s="722"/>
      <c r="U331" s="720"/>
      <c r="V331" s="720"/>
      <c r="Y331" s="119"/>
    </row>
    <row r="332" spans="2:25" s="27" customFormat="1">
      <c r="B332" s="114"/>
      <c r="G332" s="24"/>
      <c r="I332" s="24"/>
      <c r="J332" s="24"/>
      <c r="O332" s="720"/>
      <c r="P332" s="720"/>
      <c r="Q332" s="720"/>
      <c r="R332" s="720"/>
      <c r="S332" s="720"/>
      <c r="T332" s="722"/>
      <c r="U332" s="720"/>
      <c r="V332" s="720"/>
      <c r="Y332" s="119"/>
    </row>
    <row r="333" spans="2:25" s="27" customFormat="1">
      <c r="B333" s="114"/>
      <c r="G333" s="24"/>
      <c r="I333" s="24"/>
      <c r="J333" s="24"/>
      <c r="O333" s="720"/>
      <c r="P333" s="720"/>
      <c r="Q333" s="720"/>
      <c r="R333" s="720"/>
      <c r="S333" s="720"/>
      <c r="T333" s="722"/>
      <c r="U333" s="720"/>
      <c r="V333" s="720"/>
      <c r="Y333" s="119"/>
    </row>
    <row r="334" spans="2:25" s="27" customFormat="1">
      <c r="B334" s="114"/>
      <c r="G334" s="24"/>
      <c r="I334" s="24"/>
      <c r="J334" s="24"/>
      <c r="O334" s="720"/>
      <c r="P334" s="720"/>
      <c r="Q334" s="720"/>
      <c r="R334" s="720"/>
      <c r="S334" s="720"/>
      <c r="T334" s="722"/>
      <c r="U334" s="720"/>
      <c r="V334" s="720"/>
      <c r="Y334" s="119"/>
    </row>
    <row r="335" spans="2:25" s="27" customFormat="1">
      <c r="B335" s="114"/>
      <c r="G335" s="24"/>
      <c r="I335" s="24"/>
      <c r="J335" s="24"/>
      <c r="O335" s="720"/>
      <c r="P335" s="720"/>
      <c r="Q335" s="720"/>
      <c r="R335" s="720"/>
      <c r="S335" s="720"/>
      <c r="T335" s="722"/>
      <c r="U335" s="720"/>
      <c r="V335" s="720"/>
      <c r="Y335" s="119"/>
    </row>
    <row r="336" spans="2:25" s="27" customFormat="1">
      <c r="B336" s="114"/>
      <c r="G336" s="24"/>
      <c r="I336" s="24"/>
      <c r="J336" s="24"/>
      <c r="O336" s="720"/>
      <c r="P336" s="720"/>
      <c r="Q336" s="720"/>
      <c r="R336" s="720"/>
      <c r="S336" s="720"/>
      <c r="T336" s="722"/>
      <c r="U336" s="720"/>
      <c r="V336" s="720"/>
      <c r="Y336" s="119"/>
    </row>
    <row r="337" spans="2:25" s="27" customFormat="1">
      <c r="B337" s="114"/>
      <c r="G337" s="24"/>
      <c r="I337" s="24"/>
      <c r="J337" s="24"/>
      <c r="O337" s="720"/>
      <c r="P337" s="720"/>
      <c r="Q337" s="720"/>
      <c r="R337" s="720"/>
      <c r="S337" s="720"/>
      <c r="T337" s="722"/>
      <c r="U337" s="720"/>
      <c r="V337" s="720"/>
      <c r="Y337" s="119"/>
    </row>
    <row r="338" spans="2:25" s="27" customFormat="1">
      <c r="B338" s="114"/>
      <c r="G338" s="24"/>
      <c r="I338" s="24"/>
      <c r="J338" s="24"/>
      <c r="O338" s="720"/>
      <c r="P338" s="720"/>
      <c r="Q338" s="720"/>
      <c r="R338" s="720"/>
      <c r="S338" s="720"/>
      <c r="T338" s="722"/>
      <c r="U338" s="720"/>
      <c r="V338" s="720"/>
      <c r="Y338" s="119"/>
    </row>
    <row r="339" spans="2:25" s="27" customFormat="1">
      <c r="B339" s="114"/>
      <c r="G339" s="24"/>
      <c r="I339" s="24"/>
      <c r="J339" s="24"/>
      <c r="O339" s="720"/>
      <c r="P339" s="720"/>
      <c r="Q339" s="720"/>
      <c r="R339" s="720"/>
      <c r="S339" s="720"/>
      <c r="T339" s="722"/>
      <c r="U339" s="720"/>
      <c r="V339" s="720"/>
      <c r="Y339" s="119"/>
    </row>
    <row r="340" spans="2:25" s="27" customFormat="1">
      <c r="B340" s="114"/>
      <c r="G340" s="24"/>
      <c r="I340" s="24"/>
      <c r="J340" s="24"/>
      <c r="O340" s="720"/>
      <c r="P340" s="720"/>
      <c r="Q340" s="720"/>
      <c r="R340" s="720"/>
      <c r="S340" s="720"/>
      <c r="T340" s="722"/>
      <c r="U340" s="720"/>
      <c r="V340" s="720"/>
      <c r="Y340" s="119"/>
    </row>
    <row r="341" spans="2:25" s="27" customFormat="1">
      <c r="B341" s="114"/>
      <c r="G341" s="24"/>
      <c r="I341" s="24"/>
      <c r="J341" s="24"/>
      <c r="O341" s="720"/>
      <c r="P341" s="720"/>
      <c r="Q341" s="720"/>
      <c r="R341" s="720"/>
      <c r="S341" s="720"/>
      <c r="T341" s="722"/>
      <c r="U341" s="720"/>
      <c r="V341" s="720"/>
      <c r="Y341" s="119"/>
    </row>
    <row r="342" spans="2:25" s="27" customFormat="1">
      <c r="B342" s="114"/>
      <c r="G342" s="24"/>
      <c r="I342" s="24"/>
      <c r="J342" s="24"/>
      <c r="O342" s="720"/>
      <c r="P342" s="720"/>
      <c r="Q342" s="720"/>
      <c r="R342" s="720"/>
      <c r="S342" s="720"/>
      <c r="T342" s="722"/>
      <c r="U342" s="720"/>
      <c r="V342" s="720"/>
      <c r="Y342" s="119"/>
    </row>
    <row r="343" spans="2:25" s="27" customFormat="1">
      <c r="B343" s="114"/>
      <c r="G343" s="24"/>
      <c r="I343" s="24"/>
      <c r="J343" s="24"/>
      <c r="O343" s="720"/>
      <c r="P343" s="720"/>
      <c r="Q343" s="720"/>
      <c r="R343" s="720"/>
      <c r="S343" s="720"/>
      <c r="T343" s="722"/>
      <c r="U343" s="720"/>
      <c r="V343" s="720"/>
      <c r="Y343" s="119"/>
    </row>
    <row r="344" spans="2:25" s="27" customFormat="1">
      <c r="B344" s="114"/>
      <c r="G344" s="24"/>
      <c r="I344" s="24"/>
      <c r="J344" s="24"/>
      <c r="O344" s="720"/>
      <c r="P344" s="720"/>
      <c r="Q344" s="720"/>
      <c r="R344" s="720"/>
      <c r="S344" s="720"/>
      <c r="T344" s="722"/>
      <c r="U344" s="720"/>
      <c r="V344" s="720"/>
      <c r="Y344" s="119"/>
    </row>
    <row r="345" spans="2:25" s="27" customFormat="1">
      <c r="B345" s="114"/>
      <c r="G345" s="24"/>
      <c r="I345" s="24"/>
      <c r="J345" s="24"/>
      <c r="O345" s="720"/>
      <c r="P345" s="720"/>
      <c r="Q345" s="720"/>
      <c r="R345" s="720"/>
      <c r="S345" s="720"/>
      <c r="T345" s="722"/>
      <c r="U345" s="720"/>
      <c r="V345" s="720"/>
      <c r="Y345" s="119"/>
    </row>
    <row r="346" spans="2:25" s="27" customFormat="1">
      <c r="B346" s="114"/>
      <c r="G346" s="24"/>
      <c r="I346" s="24"/>
      <c r="J346" s="24"/>
      <c r="O346" s="720"/>
      <c r="P346" s="720"/>
      <c r="Q346" s="720"/>
      <c r="R346" s="720"/>
      <c r="S346" s="720"/>
      <c r="T346" s="722"/>
      <c r="U346" s="720"/>
      <c r="V346" s="720"/>
      <c r="Y346" s="119"/>
    </row>
    <row r="347" spans="2:25" s="27" customFormat="1">
      <c r="B347" s="114"/>
      <c r="G347" s="24"/>
      <c r="I347" s="24"/>
      <c r="J347" s="24"/>
      <c r="O347" s="720"/>
      <c r="P347" s="720"/>
      <c r="Q347" s="720"/>
      <c r="R347" s="720"/>
      <c r="S347" s="720"/>
      <c r="T347" s="722"/>
      <c r="U347" s="720"/>
      <c r="V347" s="720"/>
      <c r="Y347" s="119"/>
    </row>
    <row r="348" spans="2:25" s="27" customFormat="1">
      <c r="B348" s="114"/>
      <c r="G348" s="24"/>
      <c r="I348" s="24"/>
      <c r="J348" s="24"/>
      <c r="O348" s="720"/>
      <c r="P348" s="720"/>
      <c r="Q348" s="720"/>
      <c r="R348" s="720"/>
      <c r="S348" s="720"/>
      <c r="T348" s="722"/>
      <c r="U348" s="720"/>
      <c r="V348" s="720"/>
      <c r="Y348" s="119"/>
    </row>
    <row r="349" spans="2:25" s="27" customFormat="1">
      <c r="B349" s="114"/>
      <c r="G349" s="24"/>
      <c r="I349" s="24"/>
      <c r="J349" s="24"/>
      <c r="O349" s="720"/>
      <c r="P349" s="720"/>
      <c r="Q349" s="720"/>
      <c r="R349" s="720"/>
      <c r="S349" s="720"/>
      <c r="T349" s="722"/>
      <c r="U349" s="720"/>
      <c r="V349" s="720"/>
      <c r="Y349" s="119"/>
    </row>
    <row r="350" spans="2:25" s="27" customFormat="1">
      <c r="B350" s="114"/>
      <c r="G350" s="24"/>
      <c r="I350" s="24"/>
      <c r="J350" s="24"/>
      <c r="O350" s="720"/>
      <c r="P350" s="720"/>
      <c r="Q350" s="720"/>
      <c r="R350" s="720"/>
      <c r="S350" s="720"/>
      <c r="T350" s="722"/>
      <c r="U350" s="720"/>
      <c r="V350" s="720"/>
      <c r="Y350" s="119"/>
    </row>
    <row r="351" spans="2:25" s="27" customFormat="1">
      <c r="B351" s="114"/>
      <c r="G351" s="24"/>
      <c r="I351" s="24"/>
      <c r="J351" s="24"/>
      <c r="O351" s="720"/>
      <c r="P351" s="720"/>
      <c r="Q351" s="720"/>
      <c r="R351" s="720"/>
      <c r="S351" s="720"/>
      <c r="T351" s="722"/>
      <c r="U351" s="720"/>
      <c r="V351" s="720"/>
      <c r="Y351" s="119"/>
    </row>
    <row r="352" spans="2:25" s="27" customFormat="1">
      <c r="B352" s="114"/>
      <c r="G352" s="24"/>
      <c r="I352" s="24"/>
      <c r="J352" s="24"/>
      <c r="O352" s="720"/>
      <c r="P352" s="720"/>
      <c r="Q352" s="720"/>
      <c r="R352" s="720"/>
      <c r="S352" s="720"/>
      <c r="T352" s="722"/>
      <c r="U352" s="720"/>
      <c r="V352" s="720"/>
      <c r="Y352" s="119"/>
    </row>
    <row r="353" spans="2:25" s="27" customFormat="1">
      <c r="B353" s="114"/>
      <c r="G353" s="24"/>
      <c r="I353" s="24"/>
      <c r="J353" s="24"/>
      <c r="O353" s="720"/>
      <c r="P353" s="720"/>
      <c r="Q353" s="720"/>
      <c r="R353" s="720"/>
      <c r="S353" s="720"/>
      <c r="T353" s="722"/>
      <c r="U353" s="720"/>
      <c r="V353" s="720"/>
      <c r="Y353" s="119"/>
    </row>
    <row r="354" spans="2:25" s="27" customFormat="1">
      <c r="B354" s="114"/>
      <c r="G354" s="24"/>
      <c r="I354" s="24"/>
      <c r="J354" s="24"/>
      <c r="O354" s="720"/>
      <c r="P354" s="720"/>
      <c r="Q354" s="720"/>
      <c r="R354" s="720"/>
      <c r="S354" s="720"/>
      <c r="T354" s="722"/>
      <c r="U354" s="720"/>
      <c r="V354" s="720"/>
      <c r="Y354" s="119"/>
    </row>
    <row r="355" spans="2:25" s="27" customFormat="1">
      <c r="B355" s="114"/>
      <c r="G355" s="24"/>
      <c r="I355" s="24"/>
      <c r="J355" s="24"/>
      <c r="O355" s="720"/>
      <c r="P355" s="720"/>
      <c r="Q355" s="720"/>
      <c r="R355" s="720"/>
      <c r="S355" s="720"/>
      <c r="T355" s="722"/>
      <c r="U355" s="720"/>
      <c r="V355" s="720"/>
      <c r="Y355" s="119"/>
    </row>
    <row r="356" spans="2:25" s="27" customFormat="1">
      <c r="B356" s="114"/>
      <c r="G356" s="24"/>
      <c r="I356" s="24"/>
      <c r="J356" s="24"/>
      <c r="O356" s="720"/>
      <c r="P356" s="720"/>
      <c r="Q356" s="720"/>
      <c r="R356" s="720"/>
      <c r="S356" s="720"/>
      <c r="T356" s="722"/>
      <c r="U356" s="720"/>
      <c r="V356" s="720"/>
      <c r="Y356" s="119"/>
    </row>
    <row r="357" spans="2:25" s="27" customFormat="1">
      <c r="B357" s="114"/>
      <c r="G357" s="24"/>
      <c r="I357" s="24"/>
      <c r="J357" s="24"/>
      <c r="O357" s="720"/>
      <c r="P357" s="720"/>
      <c r="Q357" s="720"/>
      <c r="R357" s="720"/>
      <c r="S357" s="720"/>
      <c r="T357" s="722"/>
      <c r="U357" s="720"/>
      <c r="V357" s="720"/>
      <c r="Y357" s="119"/>
    </row>
    <row r="358" spans="2:25" s="27" customFormat="1">
      <c r="B358" s="114"/>
      <c r="G358" s="24"/>
      <c r="I358" s="24"/>
      <c r="J358" s="24"/>
      <c r="O358" s="720"/>
      <c r="P358" s="720"/>
      <c r="Q358" s="720"/>
      <c r="R358" s="720"/>
      <c r="S358" s="720"/>
      <c r="T358" s="722"/>
      <c r="U358" s="720"/>
      <c r="V358" s="720"/>
      <c r="Y358" s="119"/>
    </row>
    <row r="359" spans="2:25" s="27" customFormat="1">
      <c r="B359" s="114"/>
      <c r="G359" s="24"/>
      <c r="I359" s="24"/>
      <c r="J359" s="24"/>
      <c r="O359" s="720"/>
      <c r="P359" s="720"/>
      <c r="Q359" s="720"/>
      <c r="R359" s="720"/>
      <c r="S359" s="720"/>
      <c r="T359" s="722"/>
      <c r="U359" s="720"/>
      <c r="V359" s="720"/>
      <c r="Y359" s="119"/>
    </row>
    <row r="360" spans="2:25" s="27" customFormat="1">
      <c r="B360" s="114"/>
      <c r="G360" s="24"/>
      <c r="I360" s="24"/>
      <c r="J360" s="24"/>
      <c r="O360" s="720"/>
      <c r="P360" s="720"/>
      <c r="Q360" s="720"/>
      <c r="R360" s="720"/>
      <c r="S360" s="720"/>
      <c r="T360" s="722"/>
      <c r="U360" s="720"/>
      <c r="V360" s="720"/>
      <c r="Y360" s="119"/>
    </row>
    <row r="361" spans="2:25" s="27" customFormat="1">
      <c r="B361" s="114"/>
      <c r="G361" s="24"/>
      <c r="I361" s="24"/>
      <c r="J361" s="24"/>
      <c r="O361" s="720"/>
      <c r="P361" s="720"/>
      <c r="Q361" s="720"/>
      <c r="R361" s="720"/>
      <c r="S361" s="720"/>
      <c r="T361" s="722"/>
      <c r="U361" s="720"/>
      <c r="V361" s="720"/>
      <c r="Y361" s="119"/>
    </row>
    <row r="362" spans="2:25" s="27" customFormat="1">
      <c r="B362" s="114"/>
      <c r="G362" s="24"/>
      <c r="I362" s="24"/>
      <c r="J362" s="24"/>
      <c r="O362" s="720"/>
      <c r="P362" s="720"/>
      <c r="Q362" s="720"/>
      <c r="R362" s="720"/>
      <c r="S362" s="720"/>
      <c r="T362" s="722"/>
      <c r="U362" s="720"/>
      <c r="V362" s="720"/>
      <c r="Y362" s="119"/>
    </row>
    <row r="363" spans="2:25" s="27" customFormat="1" ht="12.75">
      <c r="B363" s="114"/>
      <c r="G363" s="24"/>
      <c r="I363" s="24"/>
      <c r="J363" s="24"/>
      <c r="O363" s="720"/>
      <c r="P363" s="720"/>
      <c r="Q363" s="720"/>
      <c r="R363" s="720"/>
      <c r="S363" s="720"/>
      <c r="T363" s="720"/>
      <c r="U363" s="720"/>
      <c r="V363" s="720"/>
      <c r="Y363" s="119"/>
    </row>
    <row r="364" spans="2:25" s="27" customFormat="1" ht="12.75">
      <c r="B364" s="114"/>
      <c r="G364" s="24"/>
      <c r="I364" s="24"/>
      <c r="J364" s="24"/>
      <c r="O364" s="720"/>
      <c r="P364" s="720"/>
      <c r="Q364" s="720"/>
      <c r="R364" s="720"/>
      <c r="S364" s="720"/>
      <c r="T364" s="720"/>
      <c r="U364" s="720"/>
      <c r="V364" s="720"/>
      <c r="Y364" s="119"/>
    </row>
    <row r="365" spans="2:25" s="27" customFormat="1">
      <c r="B365" s="114"/>
      <c r="G365" s="24"/>
      <c r="I365" s="24"/>
      <c r="J365" s="24"/>
      <c r="O365" s="720"/>
      <c r="P365" s="720"/>
      <c r="Q365" s="720"/>
      <c r="R365" s="720"/>
      <c r="S365" s="720"/>
      <c r="T365" s="722"/>
      <c r="U365" s="720"/>
      <c r="V365" s="720"/>
      <c r="Y365" s="119"/>
    </row>
    <row r="366" spans="2:25" s="27" customFormat="1">
      <c r="B366" s="114"/>
      <c r="G366" s="24"/>
      <c r="I366" s="24"/>
      <c r="J366" s="24"/>
      <c r="O366" s="720"/>
      <c r="P366" s="720"/>
      <c r="Q366" s="720"/>
      <c r="R366" s="720"/>
      <c r="S366" s="720"/>
      <c r="T366" s="722"/>
      <c r="U366" s="720"/>
      <c r="V366" s="720"/>
      <c r="Y366" s="119"/>
    </row>
    <row r="367" spans="2:25" s="27" customFormat="1">
      <c r="B367" s="114"/>
      <c r="G367" s="24"/>
      <c r="I367" s="24"/>
      <c r="J367" s="24"/>
      <c r="O367" s="720"/>
      <c r="P367" s="720"/>
      <c r="Q367" s="720"/>
      <c r="R367" s="720"/>
      <c r="S367" s="720"/>
      <c r="T367" s="722"/>
      <c r="U367" s="720"/>
      <c r="V367" s="720"/>
      <c r="Y367" s="119"/>
    </row>
    <row r="368" spans="2:25" s="27" customFormat="1">
      <c r="B368" s="114"/>
      <c r="G368" s="24"/>
      <c r="I368" s="24"/>
      <c r="J368" s="24"/>
      <c r="O368" s="720"/>
      <c r="P368" s="720"/>
      <c r="Q368" s="720"/>
      <c r="R368" s="720"/>
      <c r="S368" s="720"/>
      <c r="T368" s="722"/>
      <c r="U368" s="720"/>
      <c r="V368" s="720"/>
      <c r="Y368" s="119"/>
    </row>
    <row r="369" spans="2:25" s="27" customFormat="1">
      <c r="B369" s="114"/>
      <c r="G369" s="24"/>
      <c r="I369" s="24"/>
      <c r="J369" s="24"/>
      <c r="O369" s="720"/>
      <c r="P369" s="720"/>
      <c r="Q369" s="720"/>
      <c r="R369" s="720"/>
      <c r="S369" s="720"/>
      <c r="T369" s="722"/>
      <c r="U369" s="720"/>
      <c r="V369" s="720"/>
      <c r="Y369" s="119"/>
    </row>
    <row r="370" spans="2:25" s="27" customFormat="1">
      <c r="B370" s="114"/>
      <c r="G370" s="24"/>
      <c r="I370" s="24"/>
      <c r="J370" s="24"/>
      <c r="O370" s="720"/>
      <c r="P370" s="720"/>
      <c r="Q370" s="720"/>
      <c r="R370" s="720"/>
      <c r="S370" s="720"/>
      <c r="T370" s="722"/>
      <c r="U370" s="720"/>
      <c r="V370" s="720"/>
      <c r="Y370" s="119"/>
    </row>
    <row r="371" spans="2:25" s="27" customFormat="1">
      <c r="B371" s="114"/>
      <c r="G371" s="24"/>
      <c r="I371" s="24"/>
      <c r="J371" s="24"/>
      <c r="O371" s="720"/>
      <c r="P371" s="720"/>
      <c r="Q371" s="720"/>
      <c r="R371" s="720"/>
      <c r="S371" s="720"/>
      <c r="T371" s="722"/>
      <c r="U371" s="720"/>
      <c r="V371" s="720"/>
      <c r="Y371" s="119"/>
    </row>
    <row r="372" spans="2:25" s="27" customFormat="1">
      <c r="B372" s="114"/>
      <c r="G372" s="24"/>
      <c r="I372" s="24"/>
      <c r="J372" s="24"/>
      <c r="O372" s="720"/>
      <c r="P372" s="720"/>
      <c r="Q372" s="720"/>
      <c r="R372" s="720"/>
      <c r="S372" s="720"/>
      <c r="T372" s="722"/>
      <c r="U372" s="720"/>
      <c r="V372" s="720"/>
      <c r="Y372" s="119"/>
    </row>
    <row r="373" spans="2:25" s="27" customFormat="1">
      <c r="B373" s="114"/>
      <c r="G373" s="24"/>
      <c r="I373" s="24"/>
      <c r="J373" s="24"/>
      <c r="O373" s="720"/>
      <c r="P373" s="720"/>
      <c r="Q373" s="720"/>
      <c r="R373" s="720"/>
      <c r="S373" s="720"/>
      <c r="T373" s="722"/>
      <c r="U373" s="720"/>
      <c r="V373" s="720"/>
      <c r="Y373" s="119"/>
    </row>
    <row r="374" spans="2:25" s="27" customFormat="1">
      <c r="B374" s="114"/>
      <c r="G374" s="24"/>
      <c r="I374" s="24"/>
      <c r="J374" s="24"/>
      <c r="O374" s="720"/>
      <c r="P374" s="720"/>
      <c r="Q374" s="720"/>
      <c r="R374" s="720"/>
      <c r="S374" s="720"/>
      <c r="T374" s="722"/>
      <c r="U374" s="720"/>
      <c r="V374" s="720"/>
      <c r="Y374" s="119"/>
    </row>
    <row r="375" spans="2:25" s="27" customFormat="1">
      <c r="B375" s="114"/>
      <c r="G375" s="24"/>
      <c r="I375" s="24"/>
      <c r="J375" s="24"/>
      <c r="O375" s="720"/>
      <c r="P375" s="720"/>
      <c r="Q375" s="720"/>
      <c r="R375" s="720"/>
      <c r="S375" s="720"/>
      <c r="T375" s="722"/>
      <c r="U375" s="720"/>
      <c r="V375" s="720"/>
      <c r="Y375" s="119"/>
    </row>
    <row r="376" spans="2:25" s="27" customFormat="1">
      <c r="B376" s="114"/>
      <c r="G376" s="24"/>
      <c r="I376" s="24"/>
      <c r="J376" s="24"/>
      <c r="O376" s="720"/>
      <c r="P376" s="720"/>
      <c r="Q376" s="720"/>
      <c r="R376" s="720"/>
      <c r="S376" s="720"/>
      <c r="T376" s="722"/>
      <c r="U376" s="720"/>
      <c r="V376" s="720"/>
      <c r="Y376" s="119"/>
    </row>
    <row r="377" spans="2:25" s="27" customFormat="1">
      <c r="B377" s="114"/>
      <c r="G377" s="24"/>
      <c r="I377" s="24"/>
      <c r="J377" s="24"/>
      <c r="O377" s="720"/>
      <c r="P377" s="720"/>
      <c r="Q377" s="720"/>
      <c r="R377" s="720"/>
      <c r="S377" s="720"/>
      <c r="T377" s="722"/>
      <c r="U377" s="720"/>
      <c r="V377" s="720"/>
      <c r="Y377" s="119"/>
    </row>
    <row r="378" spans="2:25" s="27" customFormat="1">
      <c r="B378" s="114"/>
      <c r="G378" s="24"/>
      <c r="I378" s="24"/>
      <c r="J378" s="24"/>
      <c r="O378" s="720"/>
      <c r="P378" s="720"/>
      <c r="Q378" s="720"/>
      <c r="R378" s="720"/>
      <c r="S378" s="720"/>
      <c r="T378" s="722"/>
      <c r="U378" s="720"/>
      <c r="V378" s="720"/>
      <c r="Y378" s="119"/>
    </row>
    <row r="379" spans="2:25" s="27" customFormat="1">
      <c r="B379" s="114"/>
      <c r="G379" s="24"/>
      <c r="I379" s="24"/>
      <c r="J379" s="24"/>
      <c r="O379" s="720"/>
      <c r="P379" s="720"/>
      <c r="Q379" s="720"/>
      <c r="R379" s="720"/>
      <c r="S379" s="720"/>
      <c r="T379" s="722"/>
      <c r="U379" s="720"/>
      <c r="V379" s="720"/>
      <c r="Y379" s="119"/>
    </row>
    <row r="380" spans="2:25" s="27" customFormat="1">
      <c r="B380" s="114"/>
      <c r="G380" s="24"/>
      <c r="I380" s="24"/>
      <c r="J380" s="24"/>
      <c r="O380" s="720"/>
      <c r="P380" s="720"/>
      <c r="Q380" s="720"/>
      <c r="R380" s="720"/>
      <c r="S380" s="720"/>
      <c r="T380" s="722"/>
      <c r="U380" s="720"/>
      <c r="V380" s="720"/>
      <c r="Y380" s="119"/>
    </row>
    <row r="381" spans="2:25" s="27" customFormat="1">
      <c r="B381" s="114"/>
      <c r="G381" s="24"/>
      <c r="I381" s="24"/>
      <c r="J381" s="24"/>
      <c r="O381" s="720"/>
      <c r="P381" s="720"/>
      <c r="Q381" s="720"/>
      <c r="R381" s="720"/>
      <c r="S381" s="720"/>
      <c r="T381" s="722"/>
      <c r="U381" s="720"/>
      <c r="V381" s="720"/>
      <c r="Y381" s="119"/>
    </row>
    <row r="382" spans="2:25" s="27" customFormat="1">
      <c r="B382" s="114"/>
      <c r="G382" s="24"/>
      <c r="I382" s="24"/>
      <c r="J382" s="24"/>
      <c r="O382" s="720"/>
      <c r="P382" s="720"/>
      <c r="Q382" s="720"/>
      <c r="R382" s="720"/>
      <c r="S382" s="720"/>
      <c r="T382" s="722"/>
      <c r="U382" s="720"/>
      <c r="V382" s="720"/>
      <c r="Y382" s="119"/>
    </row>
    <row r="383" spans="2:25" s="27" customFormat="1">
      <c r="B383" s="114"/>
      <c r="G383" s="24"/>
      <c r="I383" s="24"/>
      <c r="J383" s="24"/>
      <c r="O383" s="720"/>
      <c r="P383" s="720"/>
      <c r="Q383" s="720"/>
      <c r="R383" s="720"/>
      <c r="S383" s="720"/>
      <c r="T383" s="722"/>
      <c r="U383" s="720"/>
      <c r="V383" s="720"/>
      <c r="Y383" s="119"/>
    </row>
    <row r="384" spans="2:25" s="27" customFormat="1">
      <c r="B384" s="114"/>
      <c r="G384" s="24"/>
      <c r="I384" s="24"/>
      <c r="J384" s="24"/>
      <c r="O384" s="720"/>
      <c r="P384" s="720"/>
      <c r="Q384" s="720"/>
      <c r="R384" s="720"/>
      <c r="S384" s="720"/>
      <c r="T384" s="722"/>
      <c r="U384" s="720"/>
      <c r="V384" s="720"/>
      <c r="Y384" s="119"/>
    </row>
    <row r="385" spans="2:25" s="27" customFormat="1">
      <c r="B385" s="114"/>
      <c r="G385" s="24"/>
      <c r="I385" s="24"/>
      <c r="J385" s="24"/>
      <c r="O385" s="720"/>
      <c r="P385" s="720"/>
      <c r="Q385" s="720"/>
      <c r="R385" s="720"/>
      <c r="S385" s="720"/>
      <c r="T385" s="722"/>
      <c r="U385" s="720"/>
      <c r="V385" s="720"/>
      <c r="Y385" s="119"/>
    </row>
    <row r="386" spans="2:25" s="27" customFormat="1">
      <c r="B386" s="114"/>
      <c r="G386" s="24"/>
      <c r="I386" s="24"/>
      <c r="J386" s="24"/>
      <c r="O386" s="720"/>
      <c r="P386" s="720"/>
      <c r="Q386" s="720"/>
      <c r="R386" s="720"/>
      <c r="S386" s="720"/>
      <c r="T386" s="722"/>
      <c r="U386" s="720"/>
      <c r="V386" s="720"/>
      <c r="Y386" s="119"/>
    </row>
    <row r="387" spans="2:25" s="27" customFormat="1">
      <c r="B387" s="114"/>
      <c r="G387" s="24"/>
      <c r="I387" s="24"/>
      <c r="J387" s="24"/>
      <c r="O387" s="720"/>
      <c r="P387" s="720"/>
      <c r="Q387" s="720"/>
      <c r="R387" s="720"/>
      <c r="S387" s="720"/>
      <c r="T387" s="722"/>
      <c r="U387" s="720"/>
      <c r="V387" s="720"/>
      <c r="Y387" s="119"/>
    </row>
    <row r="388" spans="2:25" s="27" customFormat="1">
      <c r="B388" s="114"/>
      <c r="G388" s="24"/>
      <c r="I388" s="24"/>
      <c r="J388" s="24"/>
      <c r="O388" s="720"/>
      <c r="P388" s="720"/>
      <c r="Q388" s="720"/>
      <c r="R388" s="720"/>
      <c r="S388" s="720"/>
      <c r="T388" s="722"/>
      <c r="U388" s="720"/>
      <c r="V388" s="720"/>
      <c r="Y388" s="119"/>
    </row>
    <row r="389" spans="2:25" s="27" customFormat="1">
      <c r="B389" s="114"/>
      <c r="G389" s="24"/>
      <c r="I389" s="24"/>
      <c r="J389" s="24"/>
      <c r="O389" s="720"/>
      <c r="P389" s="720"/>
      <c r="Q389" s="720"/>
      <c r="R389" s="720"/>
      <c r="S389" s="720"/>
      <c r="T389" s="722"/>
      <c r="U389" s="720"/>
      <c r="V389" s="720"/>
      <c r="Y389" s="119"/>
    </row>
    <row r="390" spans="2:25" s="27" customFormat="1">
      <c r="B390" s="114"/>
      <c r="G390" s="24"/>
      <c r="I390" s="24"/>
      <c r="J390" s="24"/>
      <c r="O390" s="720"/>
      <c r="P390" s="720"/>
      <c r="Q390" s="720"/>
      <c r="R390" s="720"/>
      <c r="S390" s="720"/>
      <c r="T390" s="722"/>
      <c r="U390" s="720"/>
      <c r="V390" s="720"/>
      <c r="Y390" s="119"/>
    </row>
    <row r="391" spans="2:25" s="27" customFormat="1">
      <c r="B391" s="114"/>
      <c r="G391" s="24"/>
      <c r="I391" s="24"/>
      <c r="J391" s="24"/>
      <c r="O391" s="720"/>
      <c r="P391" s="720"/>
      <c r="Q391" s="720"/>
      <c r="R391" s="720"/>
      <c r="S391" s="720"/>
      <c r="T391" s="722"/>
      <c r="U391" s="720"/>
      <c r="V391" s="720"/>
      <c r="Y391" s="119"/>
    </row>
    <row r="392" spans="2:25" s="27" customFormat="1">
      <c r="B392" s="114"/>
      <c r="G392" s="24"/>
      <c r="I392" s="24"/>
      <c r="J392" s="24"/>
      <c r="O392" s="720"/>
      <c r="P392" s="720"/>
      <c r="Q392" s="720"/>
      <c r="R392" s="720"/>
      <c r="S392" s="720"/>
      <c r="T392" s="722"/>
      <c r="U392" s="720"/>
      <c r="V392" s="720"/>
      <c r="Y392" s="119"/>
    </row>
    <row r="393" spans="2:25" s="27" customFormat="1">
      <c r="B393" s="114"/>
      <c r="G393" s="24"/>
      <c r="I393" s="24"/>
      <c r="J393" s="24"/>
      <c r="O393" s="720"/>
      <c r="P393" s="720"/>
      <c r="Q393" s="720"/>
      <c r="R393" s="720"/>
      <c r="S393" s="720"/>
      <c r="T393" s="722"/>
      <c r="U393" s="720"/>
      <c r="V393" s="720"/>
      <c r="Y393" s="119"/>
    </row>
    <row r="394" spans="2:25" s="27" customFormat="1">
      <c r="B394" s="114"/>
      <c r="G394" s="24"/>
      <c r="I394" s="24"/>
      <c r="J394" s="24"/>
      <c r="O394" s="720"/>
      <c r="P394" s="720"/>
      <c r="Q394" s="720"/>
      <c r="R394" s="720"/>
      <c r="S394" s="720"/>
      <c r="T394" s="722"/>
      <c r="U394" s="720"/>
      <c r="V394" s="720"/>
      <c r="Y394" s="119"/>
    </row>
    <row r="395" spans="2:25" s="27" customFormat="1">
      <c r="B395" s="114"/>
      <c r="G395" s="24"/>
      <c r="I395" s="24"/>
      <c r="J395" s="24"/>
      <c r="O395" s="720"/>
      <c r="P395" s="720"/>
      <c r="Q395" s="720"/>
      <c r="R395" s="720"/>
      <c r="S395" s="720"/>
      <c r="T395" s="722"/>
      <c r="U395" s="720"/>
      <c r="V395" s="720"/>
      <c r="Y395" s="119"/>
    </row>
    <row r="396" spans="2:25" s="27" customFormat="1">
      <c r="B396" s="114"/>
      <c r="G396" s="24"/>
      <c r="I396" s="24"/>
      <c r="J396" s="24"/>
      <c r="O396" s="720"/>
      <c r="P396" s="720"/>
      <c r="Q396" s="720"/>
      <c r="R396" s="720"/>
      <c r="S396" s="720"/>
      <c r="T396" s="722"/>
      <c r="U396" s="720"/>
      <c r="V396" s="720"/>
      <c r="Y396" s="119"/>
    </row>
    <row r="397" spans="2:25" s="27" customFormat="1">
      <c r="B397" s="114"/>
      <c r="G397" s="24"/>
      <c r="I397" s="24"/>
      <c r="J397" s="24"/>
      <c r="O397" s="720"/>
      <c r="P397" s="720"/>
      <c r="Q397" s="720"/>
      <c r="R397" s="720"/>
      <c r="S397" s="720"/>
      <c r="T397" s="722"/>
      <c r="U397" s="720"/>
      <c r="V397" s="720"/>
      <c r="Y397" s="119"/>
    </row>
    <row r="398" spans="2:25" s="27" customFormat="1">
      <c r="B398" s="114"/>
      <c r="G398" s="24"/>
      <c r="I398" s="24"/>
      <c r="J398" s="24"/>
      <c r="O398" s="720"/>
      <c r="P398" s="720"/>
      <c r="Q398" s="720"/>
      <c r="R398" s="720"/>
      <c r="S398" s="720"/>
      <c r="T398" s="722"/>
      <c r="U398" s="720"/>
      <c r="V398" s="720"/>
      <c r="Y398" s="119"/>
    </row>
    <row r="399" spans="2:25" s="27" customFormat="1">
      <c r="B399" s="114"/>
      <c r="G399" s="24"/>
      <c r="I399" s="24"/>
      <c r="J399" s="24"/>
      <c r="O399" s="720"/>
      <c r="P399" s="720"/>
      <c r="Q399" s="720"/>
      <c r="R399" s="720"/>
      <c r="S399" s="720"/>
      <c r="T399" s="722"/>
      <c r="U399" s="720"/>
      <c r="V399" s="720"/>
      <c r="Y399" s="119"/>
    </row>
    <row r="400" spans="2:25" s="27" customFormat="1">
      <c r="B400" s="114"/>
      <c r="G400" s="24"/>
      <c r="I400" s="24"/>
      <c r="J400" s="24"/>
      <c r="O400" s="720"/>
      <c r="P400" s="720"/>
      <c r="Q400" s="720"/>
      <c r="R400" s="720"/>
      <c r="S400" s="720"/>
      <c r="T400" s="722"/>
      <c r="U400" s="720"/>
      <c r="V400" s="720"/>
      <c r="Y400" s="119"/>
    </row>
    <row r="401" spans="2:25" s="27" customFormat="1">
      <c r="B401" s="114"/>
      <c r="G401" s="24"/>
      <c r="I401" s="24"/>
      <c r="J401" s="24"/>
      <c r="O401" s="720"/>
      <c r="P401" s="720"/>
      <c r="Q401" s="720"/>
      <c r="R401" s="720"/>
      <c r="S401" s="720"/>
      <c r="T401" s="722"/>
      <c r="U401" s="720"/>
      <c r="V401" s="720"/>
      <c r="Y401" s="119"/>
    </row>
    <row r="402" spans="2:25" s="27" customFormat="1">
      <c r="B402" s="114"/>
      <c r="G402" s="24"/>
      <c r="I402" s="24"/>
      <c r="J402" s="24"/>
      <c r="O402" s="720"/>
      <c r="P402" s="720"/>
      <c r="Q402" s="720"/>
      <c r="R402" s="720"/>
      <c r="S402" s="720"/>
      <c r="T402" s="722"/>
      <c r="U402" s="720"/>
      <c r="V402" s="720"/>
      <c r="Y402" s="119"/>
    </row>
    <row r="403" spans="2:25" s="27" customFormat="1">
      <c r="B403" s="114"/>
      <c r="G403" s="24"/>
      <c r="I403" s="24"/>
      <c r="J403" s="24"/>
      <c r="O403" s="720"/>
      <c r="P403" s="720"/>
      <c r="Q403" s="720"/>
      <c r="R403" s="720"/>
      <c r="S403" s="720"/>
      <c r="T403" s="722"/>
      <c r="U403" s="720"/>
      <c r="V403" s="720"/>
      <c r="Y403" s="119"/>
    </row>
    <row r="404" spans="2:25" s="27" customFormat="1">
      <c r="B404" s="114"/>
      <c r="G404" s="24"/>
      <c r="I404" s="24"/>
      <c r="J404" s="24"/>
      <c r="O404" s="720"/>
      <c r="P404" s="720"/>
      <c r="Q404" s="720"/>
      <c r="R404" s="720"/>
      <c r="S404" s="720"/>
      <c r="T404" s="722"/>
      <c r="U404" s="720"/>
      <c r="V404" s="720"/>
      <c r="Y404" s="119"/>
    </row>
    <row r="405" spans="2:25" s="27" customFormat="1">
      <c r="B405" s="114"/>
      <c r="G405" s="24"/>
      <c r="I405" s="24"/>
      <c r="J405" s="24"/>
      <c r="O405" s="720"/>
      <c r="P405" s="720"/>
      <c r="Q405" s="720"/>
      <c r="R405" s="720"/>
      <c r="S405" s="720"/>
      <c r="T405" s="722"/>
      <c r="U405" s="720"/>
      <c r="V405" s="720"/>
      <c r="Y405" s="119"/>
    </row>
    <row r="406" spans="2:25" s="27" customFormat="1">
      <c r="B406" s="114"/>
      <c r="G406" s="24"/>
      <c r="I406" s="24"/>
      <c r="J406" s="24"/>
      <c r="O406" s="720"/>
      <c r="P406" s="720"/>
      <c r="Q406" s="720"/>
      <c r="R406" s="720"/>
      <c r="S406" s="720"/>
      <c r="T406" s="722"/>
      <c r="U406" s="720"/>
      <c r="V406" s="720"/>
      <c r="Y406" s="119"/>
    </row>
    <row r="407" spans="2:25" s="27" customFormat="1">
      <c r="B407" s="114"/>
      <c r="G407" s="24"/>
      <c r="I407" s="24"/>
      <c r="J407" s="24"/>
      <c r="O407" s="720"/>
      <c r="P407" s="720"/>
      <c r="Q407" s="720"/>
      <c r="R407" s="720"/>
      <c r="S407" s="720"/>
      <c r="T407" s="722"/>
      <c r="U407" s="720"/>
      <c r="V407" s="720"/>
      <c r="Y407" s="119"/>
    </row>
    <row r="408" spans="2:25" s="27" customFormat="1">
      <c r="B408" s="114"/>
      <c r="G408" s="24"/>
      <c r="I408" s="24"/>
      <c r="J408" s="24"/>
      <c r="O408" s="720"/>
      <c r="P408" s="720"/>
      <c r="Q408" s="720"/>
      <c r="R408" s="720"/>
      <c r="S408" s="720"/>
      <c r="T408" s="722"/>
      <c r="U408" s="720"/>
      <c r="V408" s="720"/>
      <c r="Y408" s="119"/>
    </row>
    <row r="409" spans="2:25" s="27" customFormat="1">
      <c r="B409" s="114"/>
      <c r="G409" s="24"/>
      <c r="I409" s="24"/>
      <c r="J409" s="24"/>
      <c r="O409" s="720"/>
      <c r="P409" s="720"/>
      <c r="Q409" s="720"/>
      <c r="R409" s="720"/>
      <c r="S409" s="720"/>
      <c r="T409" s="722"/>
      <c r="U409" s="720"/>
      <c r="V409" s="720"/>
      <c r="Y409" s="119"/>
    </row>
    <row r="410" spans="2:25" s="27" customFormat="1">
      <c r="B410" s="114"/>
      <c r="G410" s="24"/>
      <c r="I410" s="24"/>
      <c r="J410" s="24"/>
      <c r="O410" s="720"/>
      <c r="P410" s="720"/>
      <c r="Q410" s="720"/>
      <c r="R410" s="720"/>
      <c r="S410" s="720"/>
      <c r="T410" s="722"/>
      <c r="U410" s="720"/>
      <c r="V410" s="720"/>
      <c r="Y410" s="119"/>
    </row>
    <row r="411" spans="2:25" s="27" customFormat="1">
      <c r="B411" s="114"/>
      <c r="G411" s="24"/>
      <c r="I411" s="24"/>
      <c r="J411" s="24"/>
      <c r="O411" s="720"/>
      <c r="P411" s="720"/>
      <c r="Q411" s="720"/>
      <c r="R411" s="720"/>
      <c r="S411" s="720"/>
      <c r="T411" s="722"/>
      <c r="U411" s="720"/>
      <c r="V411" s="720"/>
      <c r="Y411" s="119"/>
    </row>
    <row r="412" spans="2:25" s="27" customFormat="1">
      <c r="B412" s="114"/>
      <c r="G412" s="24"/>
      <c r="I412" s="24"/>
      <c r="J412" s="24"/>
      <c r="O412" s="720"/>
      <c r="P412" s="720"/>
      <c r="Q412" s="720"/>
      <c r="R412" s="720"/>
      <c r="S412" s="720"/>
      <c r="T412" s="722"/>
      <c r="U412" s="720"/>
      <c r="V412" s="720"/>
      <c r="Y412" s="119"/>
    </row>
    <row r="413" spans="2:25" s="27" customFormat="1">
      <c r="B413" s="114"/>
      <c r="G413" s="24"/>
      <c r="I413" s="24"/>
      <c r="J413" s="24"/>
      <c r="O413" s="720"/>
      <c r="P413" s="720"/>
      <c r="Q413" s="720"/>
      <c r="R413" s="720"/>
      <c r="S413" s="720"/>
      <c r="T413" s="722"/>
      <c r="U413" s="720"/>
      <c r="V413" s="720"/>
      <c r="Y413" s="119"/>
    </row>
    <row r="414" spans="2:25" s="27" customFormat="1">
      <c r="B414" s="114"/>
      <c r="G414" s="24"/>
      <c r="I414" s="24"/>
      <c r="J414" s="24"/>
      <c r="O414" s="720"/>
      <c r="P414" s="720"/>
      <c r="Q414" s="720"/>
      <c r="R414" s="720"/>
      <c r="S414" s="720"/>
      <c r="T414" s="722"/>
      <c r="U414" s="720"/>
      <c r="V414" s="720"/>
      <c r="Y414" s="119"/>
    </row>
    <row r="415" spans="2:25" s="27" customFormat="1">
      <c r="B415" s="114"/>
      <c r="G415" s="24"/>
      <c r="I415" s="24"/>
      <c r="J415" s="24"/>
      <c r="O415" s="720"/>
      <c r="P415" s="720"/>
      <c r="Q415" s="720"/>
      <c r="R415" s="720"/>
      <c r="S415" s="720"/>
      <c r="T415" s="722"/>
      <c r="U415" s="720"/>
      <c r="V415" s="720"/>
      <c r="Y415" s="119"/>
    </row>
    <row r="416" spans="2:25" s="27" customFormat="1">
      <c r="B416" s="114"/>
      <c r="G416" s="24"/>
      <c r="I416" s="24"/>
      <c r="J416" s="24"/>
      <c r="O416" s="720"/>
      <c r="P416" s="720"/>
      <c r="Q416" s="720"/>
      <c r="R416" s="720"/>
      <c r="S416" s="720"/>
      <c r="T416" s="722"/>
      <c r="U416" s="720"/>
      <c r="V416" s="720"/>
      <c r="Y416" s="119"/>
    </row>
    <row r="417" spans="2:25" s="27" customFormat="1">
      <c r="B417" s="114"/>
      <c r="G417" s="24"/>
      <c r="I417" s="24"/>
      <c r="J417" s="24"/>
      <c r="O417" s="720"/>
      <c r="P417" s="720"/>
      <c r="Q417" s="720"/>
      <c r="R417" s="720"/>
      <c r="S417" s="720"/>
      <c r="T417" s="722"/>
      <c r="U417" s="720"/>
      <c r="V417" s="720"/>
      <c r="Y417" s="119"/>
    </row>
    <row r="418" spans="2:25" s="27" customFormat="1">
      <c r="B418" s="114"/>
      <c r="G418" s="24"/>
      <c r="I418" s="24"/>
      <c r="J418" s="24"/>
      <c r="O418" s="720"/>
      <c r="P418" s="720"/>
      <c r="Q418" s="720"/>
      <c r="R418" s="720"/>
      <c r="S418" s="720"/>
      <c r="T418" s="722"/>
      <c r="U418" s="720"/>
      <c r="V418" s="720"/>
      <c r="Y418" s="119"/>
    </row>
    <row r="419" spans="2:25" s="27" customFormat="1">
      <c r="B419" s="114"/>
      <c r="G419" s="24"/>
      <c r="I419" s="24"/>
      <c r="J419" s="24"/>
      <c r="O419" s="720"/>
      <c r="P419" s="720"/>
      <c r="Q419" s="720"/>
      <c r="R419" s="720"/>
      <c r="S419" s="720"/>
      <c r="T419" s="722"/>
      <c r="U419" s="720"/>
      <c r="V419" s="720"/>
      <c r="Y419" s="119"/>
    </row>
    <row r="420" spans="2:25" s="27" customFormat="1">
      <c r="B420" s="114"/>
      <c r="G420" s="24"/>
      <c r="I420" s="24"/>
      <c r="J420" s="24"/>
      <c r="O420" s="720"/>
      <c r="P420" s="720"/>
      <c r="Q420" s="720"/>
      <c r="R420" s="720"/>
      <c r="S420" s="720"/>
      <c r="T420" s="722"/>
      <c r="U420" s="720"/>
      <c r="V420" s="720"/>
      <c r="Y420" s="119"/>
    </row>
    <row r="421" spans="2:25" s="27" customFormat="1">
      <c r="B421" s="114"/>
      <c r="G421" s="24"/>
      <c r="I421" s="24"/>
      <c r="J421" s="24"/>
      <c r="O421" s="720"/>
      <c r="P421" s="720"/>
      <c r="Q421" s="720"/>
      <c r="R421" s="720"/>
      <c r="S421" s="720"/>
      <c r="T421" s="722"/>
      <c r="U421" s="720"/>
      <c r="V421" s="720"/>
      <c r="Y421" s="119"/>
    </row>
    <row r="422" spans="2:25" s="27" customFormat="1">
      <c r="B422" s="114"/>
      <c r="G422" s="24"/>
      <c r="I422" s="24"/>
      <c r="J422" s="24"/>
      <c r="O422" s="720"/>
      <c r="P422" s="720"/>
      <c r="Q422" s="720"/>
      <c r="R422" s="720"/>
      <c r="S422" s="720"/>
      <c r="T422" s="722"/>
      <c r="U422" s="720"/>
      <c r="V422" s="720"/>
      <c r="Y422" s="119"/>
    </row>
    <row r="423" spans="2:25" s="27" customFormat="1">
      <c r="B423" s="114"/>
      <c r="G423" s="24"/>
      <c r="I423" s="24"/>
      <c r="J423" s="24"/>
      <c r="O423" s="720"/>
      <c r="P423" s="720"/>
      <c r="Q423" s="720"/>
      <c r="R423" s="720"/>
      <c r="S423" s="720"/>
      <c r="T423" s="722"/>
      <c r="U423" s="720"/>
      <c r="V423" s="720"/>
      <c r="Y423" s="119"/>
    </row>
    <row r="424" spans="2:25" s="27" customFormat="1">
      <c r="B424" s="114"/>
      <c r="G424" s="24"/>
      <c r="I424" s="24"/>
      <c r="J424" s="24"/>
      <c r="O424" s="720"/>
      <c r="P424" s="720"/>
      <c r="Q424" s="720"/>
      <c r="R424" s="720"/>
      <c r="S424" s="720"/>
      <c r="T424" s="722"/>
      <c r="U424" s="720"/>
      <c r="V424" s="720"/>
      <c r="Y424" s="119"/>
    </row>
    <row r="425" spans="2:25" s="27" customFormat="1">
      <c r="B425" s="114"/>
      <c r="G425" s="24"/>
      <c r="I425" s="24"/>
      <c r="J425" s="24"/>
      <c r="O425" s="720"/>
      <c r="P425" s="720"/>
      <c r="Q425" s="720"/>
      <c r="R425" s="720"/>
      <c r="S425" s="720"/>
      <c r="T425" s="722"/>
      <c r="U425" s="720"/>
      <c r="V425" s="720"/>
      <c r="Y425" s="119"/>
    </row>
    <row r="426" spans="2:25" s="27" customFormat="1">
      <c r="B426" s="114"/>
      <c r="G426" s="24"/>
      <c r="I426" s="24"/>
      <c r="J426" s="24"/>
      <c r="O426" s="720"/>
      <c r="P426" s="720"/>
      <c r="Q426" s="720"/>
      <c r="R426" s="720"/>
      <c r="S426" s="720"/>
      <c r="T426" s="722"/>
      <c r="U426" s="720"/>
      <c r="V426" s="720"/>
      <c r="Y426" s="119"/>
    </row>
    <row r="427" spans="2:25" s="27" customFormat="1">
      <c r="B427" s="114"/>
      <c r="G427" s="24"/>
      <c r="I427" s="24"/>
      <c r="J427" s="24"/>
      <c r="O427" s="720"/>
      <c r="P427" s="720"/>
      <c r="Q427" s="720"/>
      <c r="R427" s="720"/>
      <c r="S427" s="720"/>
      <c r="T427" s="722"/>
      <c r="U427" s="720"/>
      <c r="V427" s="720"/>
      <c r="Y427" s="119"/>
    </row>
    <row r="428" spans="2:25" s="27" customFormat="1">
      <c r="B428" s="114"/>
      <c r="G428" s="24"/>
      <c r="I428" s="24"/>
      <c r="J428" s="24"/>
      <c r="O428" s="720"/>
      <c r="P428" s="720"/>
      <c r="Q428" s="720"/>
      <c r="R428" s="720"/>
      <c r="S428" s="720"/>
      <c r="T428" s="722"/>
      <c r="U428" s="720"/>
      <c r="V428" s="720"/>
      <c r="Y428" s="119"/>
    </row>
  </sheetData>
  <sheetProtection formatCells="0" formatColumns="0" formatRows="0" insertColumns="0" insertRows="0" insertHyperlinks="0" deleteColumns="0" deleteRows="0" sort="0" autoFilter="0" pivotTables="0"/>
  <mergeCells count="19">
    <mergeCell ref="Z48:Z49"/>
    <mergeCell ref="X3:X4"/>
    <mergeCell ref="Y3:Y4"/>
    <mergeCell ref="Z3:Z4"/>
    <mergeCell ref="N3:N4"/>
    <mergeCell ref="O3:O4"/>
    <mergeCell ref="P3:Q3"/>
    <mergeCell ref="R3:V3"/>
    <mergeCell ref="C5:D5"/>
    <mergeCell ref="E5:F5"/>
    <mergeCell ref="J5:M5"/>
    <mergeCell ref="I3:I4"/>
    <mergeCell ref="J3:M3"/>
    <mergeCell ref="J4:M4"/>
    <mergeCell ref="B3:B4"/>
    <mergeCell ref="C3:D4"/>
    <mergeCell ref="E3:F4"/>
    <mergeCell ref="G3:G4"/>
    <mergeCell ref="H3:H4"/>
  </mergeCells>
  <pageMargins left="0.15" right="0.15" top="1" bottom="0.25" header="0.3" footer="0.05"/>
  <pageSetup paperSize="9" scale="65" orientation="landscape" horizontalDpi="300" verticalDpi="300" r:id="rId1"/>
  <headerFooter>
    <oddFooter>&amp;A&amp;RPage &amp;P</oddFooter>
  </headerFooter>
  <legacyDrawing r:id="rId2"/>
</worksheet>
</file>

<file path=xl/worksheets/sheet11.xml><?xml version="1.0" encoding="utf-8"?>
<worksheet xmlns="http://schemas.openxmlformats.org/spreadsheetml/2006/main" xmlns:r="http://schemas.openxmlformats.org/officeDocument/2006/relationships">
  <sheetPr>
    <tabColor theme="2" tint="-0.749992370372631"/>
  </sheetPr>
  <dimension ref="A1:AA210"/>
  <sheetViews>
    <sheetView showGridLines="0" zoomScale="110" zoomScaleNormal="110" workbookViewId="0">
      <pane xSplit="2" ySplit="4" topLeftCell="C116" activePane="bottomRight" state="frozen"/>
      <selection pane="topRight" activeCell="C1" sqref="C1"/>
      <selection pane="bottomLeft" activeCell="A5" sqref="A5"/>
      <selection pane="bottomRight" activeCell="H106" sqref="H106"/>
    </sheetView>
  </sheetViews>
  <sheetFormatPr defaultRowHeight="12.75"/>
  <cols>
    <col min="1" max="1" width="5.28515625" style="117" customWidth="1"/>
    <col min="2" max="2" width="20.7109375" style="126" customWidth="1"/>
    <col min="3" max="3" width="5.7109375" style="117" customWidth="1"/>
    <col min="4" max="4" width="30.7109375" style="117" customWidth="1"/>
    <col min="5" max="5" width="5.7109375" style="117" customWidth="1"/>
    <col min="6" max="8" width="30.7109375" style="117" customWidth="1"/>
    <col min="9" max="9" width="25.7109375" style="24" customWidth="1"/>
    <col min="10" max="10" width="5.7109375" style="117" customWidth="1"/>
    <col min="11" max="12" width="3.7109375" style="117" customWidth="1"/>
    <col min="13" max="13" width="30.7109375" style="117" customWidth="1"/>
    <col min="14" max="14" width="20.7109375" style="117" customWidth="1"/>
    <col min="15" max="22" width="10.7109375" style="466" customWidth="1"/>
    <col min="23" max="23" width="10.7109375" style="467" customWidth="1"/>
    <col min="24" max="25" width="20.7109375" style="127" customWidth="1"/>
    <col min="26" max="26" width="20.7109375" style="117" customWidth="1"/>
    <col min="27" max="255" width="9.140625" style="117"/>
    <col min="256" max="257" width="2.7109375" style="117" customWidth="1"/>
    <col min="258" max="258" width="30.7109375" style="117" customWidth="1"/>
    <col min="259" max="260" width="3" style="117" customWidth="1"/>
    <col min="261" max="261" width="30.7109375" style="117" customWidth="1"/>
    <col min="262" max="262" width="3" style="117" customWidth="1"/>
    <col min="263" max="263" width="2.7109375" style="117" customWidth="1"/>
    <col min="264" max="264" width="30.7109375" style="117" customWidth="1"/>
    <col min="265" max="265" width="4.140625" style="117" customWidth="1"/>
    <col min="266" max="266" width="30.7109375" style="117" customWidth="1"/>
    <col min="267" max="267" width="3" style="117" customWidth="1"/>
    <col min="268" max="268" width="30.7109375" style="117" customWidth="1"/>
    <col min="269" max="269" width="4.140625" style="117" customWidth="1"/>
    <col min="270" max="271" width="30.7109375" style="117" customWidth="1"/>
    <col min="272" max="273" width="4" style="117" customWidth="1"/>
    <col min="274" max="274" width="30.7109375" style="117" customWidth="1"/>
    <col min="275" max="276" width="3.85546875" style="117" customWidth="1"/>
    <col min="277" max="277" width="30.7109375" style="117" customWidth="1"/>
    <col min="278" max="511" width="9.140625" style="117"/>
    <col min="512" max="513" width="2.7109375" style="117" customWidth="1"/>
    <col min="514" max="514" width="30.7109375" style="117" customWidth="1"/>
    <col min="515" max="516" width="3" style="117" customWidth="1"/>
    <col min="517" max="517" width="30.7109375" style="117" customWidth="1"/>
    <col min="518" max="518" width="3" style="117" customWidth="1"/>
    <col min="519" max="519" width="2.7109375" style="117" customWidth="1"/>
    <col min="520" max="520" width="30.7109375" style="117" customWidth="1"/>
    <col min="521" max="521" width="4.140625" style="117" customWidth="1"/>
    <col min="522" max="522" width="30.7109375" style="117" customWidth="1"/>
    <col min="523" max="523" width="3" style="117" customWidth="1"/>
    <col min="524" max="524" width="30.7109375" style="117" customWidth="1"/>
    <col min="525" max="525" width="4.140625" style="117" customWidth="1"/>
    <col min="526" max="527" width="30.7109375" style="117" customWidth="1"/>
    <col min="528" max="529" width="4" style="117" customWidth="1"/>
    <col min="530" max="530" width="30.7109375" style="117" customWidth="1"/>
    <col min="531" max="532" width="3.85546875" style="117" customWidth="1"/>
    <col min="533" max="533" width="30.7109375" style="117" customWidth="1"/>
    <col min="534" max="767" width="9.140625" style="117"/>
    <col min="768" max="769" width="2.7109375" style="117" customWidth="1"/>
    <col min="770" max="770" width="30.7109375" style="117" customWidth="1"/>
    <col min="771" max="772" width="3" style="117" customWidth="1"/>
    <col min="773" max="773" width="30.7109375" style="117" customWidth="1"/>
    <col min="774" max="774" width="3" style="117" customWidth="1"/>
    <col min="775" max="775" width="2.7109375" style="117" customWidth="1"/>
    <col min="776" max="776" width="30.7109375" style="117" customWidth="1"/>
    <col min="777" max="777" width="4.140625" style="117" customWidth="1"/>
    <col min="778" max="778" width="30.7109375" style="117" customWidth="1"/>
    <col min="779" max="779" width="3" style="117" customWidth="1"/>
    <col min="780" max="780" width="30.7109375" style="117" customWidth="1"/>
    <col min="781" max="781" width="4.140625" style="117" customWidth="1"/>
    <col min="782" max="783" width="30.7109375" style="117" customWidth="1"/>
    <col min="784" max="785" width="4" style="117" customWidth="1"/>
    <col min="786" max="786" width="30.7109375" style="117" customWidth="1"/>
    <col min="787" max="788" width="3.85546875" style="117" customWidth="1"/>
    <col min="789" max="789" width="30.7109375" style="117" customWidth="1"/>
    <col min="790" max="1023" width="9.140625" style="117"/>
    <col min="1024" max="1025" width="2.7109375" style="117" customWidth="1"/>
    <col min="1026" max="1026" width="30.7109375" style="117" customWidth="1"/>
    <col min="1027" max="1028" width="3" style="117" customWidth="1"/>
    <col min="1029" max="1029" width="30.7109375" style="117" customWidth="1"/>
    <col min="1030" max="1030" width="3" style="117" customWidth="1"/>
    <col min="1031" max="1031" width="2.7109375" style="117" customWidth="1"/>
    <col min="1032" max="1032" width="30.7109375" style="117" customWidth="1"/>
    <col min="1033" max="1033" width="4.140625" style="117" customWidth="1"/>
    <col min="1034" max="1034" width="30.7109375" style="117" customWidth="1"/>
    <col min="1035" max="1035" width="3" style="117" customWidth="1"/>
    <col min="1036" max="1036" width="30.7109375" style="117" customWidth="1"/>
    <col min="1037" max="1037" width="4.140625" style="117" customWidth="1"/>
    <col min="1038" max="1039" width="30.7109375" style="117" customWidth="1"/>
    <col min="1040" max="1041" width="4" style="117" customWidth="1"/>
    <col min="1042" max="1042" width="30.7109375" style="117" customWidth="1"/>
    <col min="1043" max="1044" width="3.85546875" style="117" customWidth="1"/>
    <col min="1045" max="1045" width="30.7109375" style="117" customWidth="1"/>
    <col min="1046" max="1279" width="9.140625" style="117"/>
    <col min="1280" max="1281" width="2.7109375" style="117" customWidth="1"/>
    <col min="1282" max="1282" width="30.7109375" style="117" customWidth="1"/>
    <col min="1283" max="1284" width="3" style="117" customWidth="1"/>
    <col min="1285" max="1285" width="30.7109375" style="117" customWidth="1"/>
    <col min="1286" max="1286" width="3" style="117" customWidth="1"/>
    <col min="1287" max="1287" width="2.7109375" style="117" customWidth="1"/>
    <col min="1288" max="1288" width="30.7109375" style="117" customWidth="1"/>
    <col min="1289" max="1289" width="4.140625" style="117" customWidth="1"/>
    <col min="1290" max="1290" width="30.7109375" style="117" customWidth="1"/>
    <col min="1291" max="1291" width="3" style="117" customWidth="1"/>
    <col min="1292" max="1292" width="30.7109375" style="117" customWidth="1"/>
    <col min="1293" max="1293" width="4.140625" style="117" customWidth="1"/>
    <col min="1294" max="1295" width="30.7109375" style="117" customWidth="1"/>
    <col min="1296" max="1297" width="4" style="117" customWidth="1"/>
    <col min="1298" max="1298" width="30.7109375" style="117" customWidth="1"/>
    <col min="1299" max="1300" width="3.85546875" style="117" customWidth="1"/>
    <col min="1301" max="1301" width="30.7109375" style="117" customWidth="1"/>
    <col min="1302" max="1535" width="9.140625" style="117"/>
    <col min="1536" max="1537" width="2.7109375" style="117" customWidth="1"/>
    <col min="1538" max="1538" width="30.7109375" style="117" customWidth="1"/>
    <col min="1539" max="1540" width="3" style="117" customWidth="1"/>
    <col min="1541" max="1541" width="30.7109375" style="117" customWidth="1"/>
    <col min="1542" max="1542" width="3" style="117" customWidth="1"/>
    <col min="1543" max="1543" width="2.7109375" style="117" customWidth="1"/>
    <col min="1544" max="1544" width="30.7109375" style="117" customWidth="1"/>
    <col min="1545" max="1545" width="4.140625" style="117" customWidth="1"/>
    <col min="1546" max="1546" width="30.7109375" style="117" customWidth="1"/>
    <col min="1547" max="1547" width="3" style="117" customWidth="1"/>
    <col min="1548" max="1548" width="30.7109375" style="117" customWidth="1"/>
    <col min="1549" max="1549" width="4.140625" style="117" customWidth="1"/>
    <col min="1550" max="1551" width="30.7109375" style="117" customWidth="1"/>
    <col min="1552" max="1553" width="4" style="117" customWidth="1"/>
    <col min="1554" max="1554" width="30.7109375" style="117" customWidth="1"/>
    <col min="1555" max="1556" width="3.85546875" style="117" customWidth="1"/>
    <col min="1557" max="1557" width="30.7109375" style="117" customWidth="1"/>
    <col min="1558" max="1791" width="9.140625" style="117"/>
    <col min="1792" max="1793" width="2.7109375" style="117" customWidth="1"/>
    <col min="1794" max="1794" width="30.7109375" style="117" customWidth="1"/>
    <col min="1795" max="1796" width="3" style="117" customWidth="1"/>
    <col min="1797" max="1797" width="30.7109375" style="117" customWidth="1"/>
    <col min="1798" max="1798" width="3" style="117" customWidth="1"/>
    <col min="1799" max="1799" width="2.7109375" style="117" customWidth="1"/>
    <col min="1800" max="1800" width="30.7109375" style="117" customWidth="1"/>
    <col min="1801" max="1801" width="4.140625" style="117" customWidth="1"/>
    <col min="1802" max="1802" width="30.7109375" style="117" customWidth="1"/>
    <col min="1803" max="1803" width="3" style="117" customWidth="1"/>
    <col min="1804" max="1804" width="30.7109375" style="117" customWidth="1"/>
    <col min="1805" max="1805" width="4.140625" style="117" customWidth="1"/>
    <col min="1806" max="1807" width="30.7109375" style="117" customWidth="1"/>
    <col min="1808" max="1809" width="4" style="117" customWidth="1"/>
    <col min="1810" max="1810" width="30.7109375" style="117" customWidth="1"/>
    <col min="1811" max="1812" width="3.85546875" style="117" customWidth="1"/>
    <col min="1813" max="1813" width="30.7109375" style="117" customWidth="1"/>
    <col min="1814" max="2047" width="9.140625" style="117"/>
    <col min="2048" max="2049" width="2.7109375" style="117" customWidth="1"/>
    <col min="2050" max="2050" width="30.7109375" style="117" customWidth="1"/>
    <col min="2051" max="2052" width="3" style="117" customWidth="1"/>
    <col min="2053" max="2053" width="30.7109375" style="117" customWidth="1"/>
    <col min="2054" max="2054" width="3" style="117" customWidth="1"/>
    <col min="2055" max="2055" width="2.7109375" style="117" customWidth="1"/>
    <col min="2056" max="2056" width="30.7109375" style="117" customWidth="1"/>
    <col min="2057" max="2057" width="4.140625" style="117" customWidth="1"/>
    <col min="2058" max="2058" width="30.7109375" style="117" customWidth="1"/>
    <col min="2059" max="2059" width="3" style="117" customWidth="1"/>
    <col min="2060" max="2060" width="30.7109375" style="117" customWidth="1"/>
    <col min="2061" max="2061" width="4.140625" style="117" customWidth="1"/>
    <col min="2062" max="2063" width="30.7109375" style="117" customWidth="1"/>
    <col min="2064" max="2065" width="4" style="117" customWidth="1"/>
    <col min="2066" max="2066" width="30.7109375" style="117" customWidth="1"/>
    <col min="2067" max="2068" width="3.85546875" style="117" customWidth="1"/>
    <col min="2069" max="2069" width="30.7109375" style="117" customWidth="1"/>
    <col min="2070" max="2303" width="9.140625" style="117"/>
    <col min="2304" max="2305" width="2.7109375" style="117" customWidth="1"/>
    <col min="2306" max="2306" width="30.7109375" style="117" customWidth="1"/>
    <col min="2307" max="2308" width="3" style="117" customWidth="1"/>
    <col min="2309" max="2309" width="30.7109375" style="117" customWidth="1"/>
    <col min="2310" max="2310" width="3" style="117" customWidth="1"/>
    <col min="2311" max="2311" width="2.7109375" style="117" customWidth="1"/>
    <col min="2312" max="2312" width="30.7109375" style="117" customWidth="1"/>
    <col min="2313" max="2313" width="4.140625" style="117" customWidth="1"/>
    <col min="2314" max="2314" width="30.7109375" style="117" customWidth="1"/>
    <col min="2315" max="2315" width="3" style="117" customWidth="1"/>
    <col min="2316" max="2316" width="30.7109375" style="117" customWidth="1"/>
    <col min="2317" max="2317" width="4.140625" style="117" customWidth="1"/>
    <col min="2318" max="2319" width="30.7109375" style="117" customWidth="1"/>
    <col min="2320" max="2321" width="4" style="117" customWidth="1"/>
    <col min="2322" max="2322" width="30.7109375" style="117" customWidth="1"/>
    <col min="2323" max="2324" width="3.85546875" style="117" customWidth="1"/>
    <col min="2325" max="2325" width="30.7109375" style="117" customWidth="1"/>
    <col min="2326" max="2559" width="9.140625" style="117"/>
    <col min="2560" max="2561" width="2.7109375" style="117" customWidth="1"/>
    <col min="2562" max="2562" width="30.7109375" style="117" customWidth="1"/>
    <col min="2563" max="2564" width="3" style="117" customWidth="1"/>
    <col min="2565" max="2565" width="30.7109375" style="117" customWidth="1"/>
    <col min="2566" max="2566" width="3" style="117" customWidth="1"/>
    <col min="2567" max="2567" width="2.7109375" style="117" customWidth="1"/>
    <col min="2568" max="2568" width="30.7109375" style="117" customWidth="1"/>
    <col min="2569" max="2569" width="4.140625" style="117" customWidth="1"/>
    <col min="2570" max="2570" width="30.7109375" style="117" customWidth="1"/>
    <col min="2571" max="2571" width="3" style="117" customWidth="1"/>
    <col min="2572" max="2572" width="30.7109375" style="117" customWidth="1"/>
    <col min="2573" max="2573" width="4.140625" style="117" customWidth="1"/>
    <col min="2574" max="2575" width="30.7109375" style="117" customWidth="1"/>
    <col min="2576" max="2577" width="4" style="117" customWidth="1"/>
    <col min="2578" max="2578" width="30.7109375" style="117" customWidth="1"/>
    <col min="2579" max="2580" width="3.85546875" style="117" customWidth="1"/>
    <col min="2581" max="2581" width="30.7109375" style="117" customWidth="1"/>
    <col min="2582" max="2815" width="9.140625" style="117"/>
    <col min="2816" max="2817" width="2.7109375" style="117" customWidth="1"/>
    <col min="2818" max="2818" width="30.7109375" style="117" customWidth="1"/>
    <col min="2819" max="2820" width="3" style="117" customWidth="1"/>
    <col min="2821" max="2821" width="30.7109375" style="117" customWidth="1"/>
    <col min="2822" max="2822" width="3" style="117" customWidth="1"/>
    <col min="2823" max="2823" width="2.7109375" style="117" customWidth="1"/>
    <col min="2824" max="2824" width="30.7109375" style="117" customWidth="1"/>
    <col min="2825" max="2825" width="4.140625" style="117" customWidth="1"/>
    <col min="2826" max="2826" width="30.7109375" style="117" customWidth="1"/>
    <col min="2827" max="2827" width="3" style="117" customWidth="1"/>
    <col min="2828" max="2828" width="30.7109375" style="117" customWidth="1"/>
    <col min="2829" max="2829" width="4.140625" style="117" customWidth="1"/>
    <col min="2830" max="2831" width="30.7109375" style="117" customWidth="1"/>
    <col min="2832" max="2833" width="4" style="117" customWidth="1"/>
    <col min="2834" max="2834" width="30.7109375" style="117" customWidth="1"/>
    <col min="2835" max="2836" width="3.85546875" style="117" customWidth="1"/>
    <col min="2837" max="2837" width="30.7109375" style="117" customWidth="1"/>
    <col min="2838" max="3071" width="9.140625" style="117"/>
    <col min="3072" max="3073" width="2.7109375" style="117" customWidth="1"/>
    <col min="3074" max="3074" width="30.7109375" style="117" customWidth="1"/>
    <col min="3075" max="3076" width="3" style="117" customWidth="1"/>
    <col min="3077" max="3077" width="30.7109375" style="117" customWidth="1"/>
    <col min="3078" max="3078" width="3" style="117" customWidth="1"/>
    <col min="3079" max="3079" width="2.7109375" style="117" customWidth="1"/>
    <col min="3080" max="3080" width="30.7109375" style="117" customWidth="1"/>
    <col min="3081" max="3081" width="4.140625" style="117" customWidth="1"/>
    <col min="3082" max="3082" width="30.7109375" style="117" customWidth="1"/>
    <col min="3083" max="3083" width="3" style="117" customWidth="1"/>
    <col min="3084" max="3084" width="30.7109375" style="117" customWidth="1"/>
    <col min="3085" max="3085" width="4.140625" style="117" customWidth="1"/>
    <col min="3086" max="3087" width="30.7109375" style="117" customWidth="1"/>
    <col min="3088" max="3089" width="4" style="117" customWidth="1"/>
    <col min="3090" max="3090" width="30.7109375" style="117" customWidth="1"/>
    <col min="3091" max="3092" width="3.85546875" style="117" customWidth="1"/>
    <col min="3093" max="3093" width="30.7109375" style="117" customWidth="1"/>
    <col min="3094" max="3327" width="9.140625" style="117"/>
    <col min="3328" max="3329" width="2.7109375" style="117" customWidth="1"/>
    <col min="3330" max="3330" width="30.7109375" style="117" customWidth="1"/>
    <col min="3331" max="3332" width="3" style="117" customWidth="1"/>
    <col min="3333" max="3333" width="30.7109375" style="117" customWidth="1"/>
    <col min="3334" max="3334" width="3" style="117" customWidth="1"/>
    <col min="3335" max="3335" width="2.7109375" style="117" customWidth="1"/>
    <col min="3336" max="3336" width="30.7109375" style="117" customWidth="1"/>
    <col min="3337" max="3337" width="4.140625" style="117" customWidth="1"/>
    <col min="3338" max="3338" width="30.7109375" style="117" customWidth="1"/>
    <col min="3339" max="3339" width="3" style="117" customWidth="1"/>
    <col min="3340" max="3340" width="30.7109375" style="117" customWidth="1"/>
    <col min="3341" max="3341" width="4.140625" style="117" customWidth="1"/>
    <col min="3342" max="3343" width="30.7109375" style="117" customWidth="1"/>
    <col min="3344" max="3345" width="4" style="117" customWidth="1"/>
    <col min="3346" max="3346" width="30.7109375" style="117" customWidth="1"/>
    <col min="3347" max="3348" width="3.85546875" style="117" customWidth="1"/>
    <col min="3349" max="3349" width="30.7109375" style="117" customWidth="1"/>
    <col min="3350" max="3583" width="9.140625" style="117"/>
    <col min="3584" max="3585" width="2.7109375" style="117" customWidth="1"/>
    <col min="3586" max="3586" width="30.7109375" style="117" customWidth="1"/>
    <col min="3587" max="3588" width="3" style="117" customWidth="1"/>
    <col min="3589" max="3589" width="30.7109375" style="117" customWidth="1"/>
    <col min="3590" max="3590" width="3" style="117" customWidth="1"/>
    <col min="3591" max="3591" width="2.7109375" style="117" customWidth="1"/>
    <col min="3592" max="3592" width="30.7109375" style="117" customWidth="1"/>
    <col min="3593" max="3593" width="4.140625" style="117" customWidth="1"/>
    <col min="3594" max="3594" width="30.7109375" style="117" customWidth="1"/>
    <col min="3595" max="3595" width="3" style="117" customWidth="1"/>
    <col min="3596" max="3596" width="30.7109375" style="117" customWidth="1"/>
    <col min="3597" max="3597" width="4.140625" style="117" customWidth="1"/>
    <col min="3598" max="3599" width="30.7109375" style="117" customWidth="1"/>
    <col min="3600" max="3601" width="4" style="117" customWidth="1"/>
    <col min="3602" max="3602" width="30.7109375" style="117" customWidth="1"/>
    <col min="3603" max="3604" width="3.85546875" style="117" customWidth="1"/>
    <col min="3605" max="3605" width="30.7109375" style="117" customWidth="1"/>
    <col min="3606" max="3839" width="9.140625" style="117"/>
    <col min="3840" max="3841" width="2.7109375" style="117" customWidth="1"/>
    <col min="3842" max="3842" width="30.7109375" style="117" customWidth="1"/>
    <col min="3843" max="3844" width="3" style="117" customWidth="1"/>
    <col min="3845" max="3845" width="30.7109375" style="117" customWidth="1"/>
    <col min="3846" max="3846" width="3" style="117" customWidth="1"/>
    <col min="3847" max="3847" width="2.7109375" style="117" customWidth="1"/>
    <col min="3848" max="3848" width="30.7109375" style="117" customWidth="1"/>
    <col min="3849" max="3849" width="4.140625" style="117" customWidth="1"/>
    <col min="3850" max="3850" width="30.7109375" style="117" customWidth="1"/>
    <col min="3851" max="3851" width="3" style="117" customWidth="1"/>
    <col min="3852" max="3852" width="30.7109375" style="117" customWidth="1"/>
    <col min="3853" max="3853" width="4.140625" style="117" customWidth="1"/>
    <col min="3854" max="3855" width="30.7109375" style="117" customWidth="1"/>
    <col min="3856" max="3857" width="4" style="117" customWidth="1"/>
    <col min="3858" max="3858" width="30.7109375" style="117" customWidth="1"/>
    <col min="3859" max="3860" width="3.85546875" style="117" customWidth="1"/>
    <col min="3861" max="3861" width="30.7109375" style="117" customWidth="1"/>
    <col min="3862" max="4095" width="9.140625" style="117"/>
    <col min="4096" max="4097" width="2.7109375" style="117" customWidth="1"/>
    <col min="4098" max="4098" width="30.7109375" style="117" customWidth="1"/>
    <col min="4099" max="4100" width="3" style="117" customWidth="1"/>
    <col min="4101" max="4101" width="30.7109375" style="117" customWidth="1"/>
    <col min="4102" max="4102" width="3" style="117" customWidth="1"/>
    <col min="4103" max="4103" width="2.7109375" style="117" customWidth="1"/>
    <col min="4104" max="4104" width="30.7109375" style="117" customWidth="1"/>
    <col min="4105" max="4105" width="4.140625" style="117" customWidth="1"/>
    <col min="4106" max="4106" width="30.7109375" style="117" customWidth="1"/>
    <col min="4107" max="4107" width="3" style="117" customWidth="1"/>
    <col min="4108" max="4108" width="30.7109375" style="117" customWidth="1"/>
    <col min="4109" max="4109" width="4.140625" style="117" customWidth="1"/>
    <col min="4110" max="4111" width="30.7109375" style="117" customWidth="1"/>
    <col min="4112" max="4113" width="4" style="117" customWidth="1"/>
    <col min="4114" max="4114" width="30.7109375" style="117" customWidth="1"/>
    <col min="4115" max="4116" width="3.85546875" style="117" customWidth="1"/>
    <col min="4117" max="4117" width="30.7109375" style="117" customWidth="1"/>
    <col min="4118" max="4351" width="9.140625" style="117"/>
    <col min="4352" max="4353" width="2.7109375" style="117" customWidth="1"/>
    <col min="4354" max="4354" width="30.7109375" style="117" customWidth="1"/>
    <col min="4355" max="4356" width="3" style="117" customWidth="1"/>
    <col min="4357" max="4357" width="30.7109375" style="117" customWidth="1"/>
    <col min="4358" max="4358" width="3" style="117" customWidth="1"/>
    <col min="4359" max="4359" width="2.7109375" style="117" customWidth="1"/>
    <col min="4360" max="4360" width="30.7109375" style="117" customWidth="1"/>
    <col min="4361" max="4361" width="4.140625" style="117" customWidth="1"/>
    <col min="4362" max="4362" width="30.7109375" style="117" customWidth="1"/>
    <col min="4363" max="4363" width="3" style="117" customWidth="1"/>
    <col min="4364" max="4364" width="30.7109375" style="117" customWidth="1"/>
    <col min="4365" max="4365" width="4.140625" style="117" customWidth="1"/>
    <col min="4366" max="4367" width="30.7109375" style="117" customWidth="1"/>
    <col min="4368" max="4369" width="4" style="117" customWidth="1"/>
    <col min="4370" max="4370" width="30.7109375" style="117" customWidth="1"/>
    <col min="4371" max="4372" width="3.85546875" style="117" customWidth="1"/>
    <col min="4373" max="4373" width="30.7109375" style="117" customWidth="1"/>
    <col min="4374" max="4607" width="9.140625" style="117"/>
    <col min="4608" max="4609" width="2.7109375" style="117" customWidth="1"/>
    <col min="4610" max="4610" width="30.7109375" style="117" customWidth="1"/>
    <col min="4611" max="4612" width="3" style="117" customWidth="1"/>
    <col min="4613" max="4613" width="30.7109375" style="117" customWidth="1"/>
    <col min="4614" max="4614" width="3" style="117" customWidth="1"/>
    <col min="4615" max="4615" width="2.7109375" style="117" customWidth="1"/>
    <col min="4616" max="4616" width="30.7109375" style="117" customWidth="1"/>
    <col min="4617" max="4617" width="4.140625" style="117" customWidth="1"/>
    <col min="4618" max="4618" width="30.7109375" style="117" customWidth="1"/>
    <col min="4619" max="4619" width="3" style="117" customWidth="1"/>
    <col min="4620" max="4620" width="30.7109375" style="117" customWidth="1"/>
    <col min="4621" max="4621" width="4.140625" style="117" customWidth="1"/>
    <col min="4622" max="4623" width="30.7109375" style="117" customWidth="1"/>
    <col min="4624" max="4625" width="4" style="117" customWidth="1"/>
    <col min="4626" max="4626" width="30.7109375" style="117" customWidth="1"/>
    <col min="4627" max="4628" width="3.85546875" style="117" customWidth="1"/>
    <col min="4629" max="4629" width="30.7109375" style="117" customWidth="1"/>
    <col min="4630" max="4863" width="9.140625" style="117"/>
    <col min="4864" max="4865" width="2.7109375" style="117" customWidth="1"/>
    <col min="4866" max="4866" width="30.7109375" style="117" customWidth="1"/>
    <col min="4867" max="4868" width="3" style="117" customWidth="1"/>
    <col min="4869" max="4869" width="30.7109375" style="117" customWidth="1"/>
    <col min="4870" max="4870" width="3" style="117" customWidth="1"/>
    <col min="4871" max="4871" width="2.7109375" style="117" customWidth="1"/>
    <col min="4872" max="4872" width="30.7109375" style="117" customWidth="1"/>
    <col min="4873" max="4873" width="4.140625" style="117" customWidth="1"/>
    <col min="4874" max="4874" width="30.7109375" style="117" customWidth="1"/>
    <col min="4875" max="4875" width="3" style="117" customWidth="1"/>
    <col min="4876" max="4876" width="30.7109375" style="117" customWidth="1"/>
    <col min="4877" max="4877" width="4.140625" style="117" customWidth="1"/>
    <col min="4878" max="4879" width="30.7109375" style="117" customWidth="1"/>
    <col min="4880" max="4881" width="4" style="117" customWidth="1"/>
    <col min="4882" max="4882" width="30.7109375" style="117" customWidth="1"/>
    <col min="4883" max="4884" width="3.85546875" style="117" customWidth="1"/>
    <col min="4885" max="4885" width="30.7109375" style="117" customWidth="1"/>
    <col min="4886" max="5119" width="9.140625" style="117"/>
    <col min="5120" max="5121" width="2.7109375" style="117" customWidth="1"/>
    <col min="5122" max="5122" width="30.7109375" style="117" customWidth="1"/>
    <col min="5123" max="5124" width="3" style="117" customWidth="1"/>
    <col min="5125" max="5125" width="30.7109375" style="117" customWidth="1"/>
    <col min="5126" max="5126" width="3" style="117" customWidth="1"/>
    <col min="5127" max="5127" width="2.7109375" style="117" customWidth="1"/>
    <col min="5128" max="5128" width="30.7109375" style="117" customWidth="1"/>
    <col min="5129" max="5129" width="4.140625" style="117" customWidth="1"/>
    <col min="5130" max="5130" width="30.7109375" style="117" customWidth="1"/>
    <col min="5131" max="5131" width="3" style="117" customWidth="1"/>
    <col min="5132" max="5132" width="30.7109375" style="117" customWidth="1"/>
    <col min="5133" max="5133" width="4.140625" style="117" customWidth="1"/>
    <col min="5134" max="5135" width="30.7109375" style="117" customWidth="1"/>
    <col min="5136" max="5137" width="4" style="117" customWidth="1"/>
    <col min="5138" max="5138" width="30.7109375" style="117" customWidth="1"/>
    <col min="5139" max="5140" width="3.85546875" style="117" customWidth="1"/>
    <col min="5141" max="5141" width="30.7109375" style="117" customWidth="1"/>
    <col min="5142" max="5375" width="9.140625" style="117"/>
    <col min="5376" max="5377" width="2.7109375" style="117" customWidth="1"/>
    <col min="5378" max="5378" width="30.7109375" style="117" customWidth="1"/>
    <col min="5379" max="5380" width="3" style="117" customWidth="1"/>
    <col min="5381" max="5381" width="30.7109375" style="117" customWidth="1"/>
    <col min="5382" max="5382" width="3" style="117" customWidth="1"/>
    <col min="5383" max="5383" width="2.7109375" style="117" customWidth="1"/>
    <col min="5384" max="5384" width="30.7109375" style="117" customWidth="1"/>
    <col min="5385" max="5385" width="4.140625" style="117" customWidth="1"/>
    <col min="5386" max="5386" width="30.7109375" style="117" customWidth="1"/>
    <col min="5387" max="5387" width="3" style="117" customWidth="1"/>
    <col min="5388" max="5388" width="30.7109375" style="117" customWidth="1"/>
    <col min="5389" max="5389" width="4.140625" style="117" customWidth="1"/>
    <col min="5390" max="5391" width="30.7109375" style="117" customWidth="1"/>
    <col min="5392" max="5393" width="4" style="117" customWidth="1"/>
    <col min="5394" max="5394" width="30.7109375" style="117" customWidth="1"/>
    <col min="5395" max="5396" width="3.85546875" style="117" customWidth="1"/>
    <col min="5397" max="5397" width="30.7109375" style="117" customWidth="1"/>
    <col min="5398" max="5631" width="9.140625" style="117"/>
    <col min="5632" max="5633" width="2.7109375" style="117" customWidth="1"/>
    <col min="5634" max="5634" width="30.7109375" style="117" customWidth="1"/>
    <col min="5635" max="5636" width="3" style="117" customWidth="1"/>
    <col min="5637" max="5637" width="30.7109375" style="117" customWidth="1"/>
    <col min="5638" max="5638" width="3" style="117" customWidth="1"/>
    <col min="5639" max="5639" width="2.7109375" style="117" customWidth="1"/>
    <col min="5640" max="5640" width="30.7109375" style="117" customWidth="1"/>
    <col min="5641" max="5641" width="4.140625" style="117" customWidth="1"/>
    <col min="5642" max="5642" width="30.7109375" style="117" customWidth="1"/>
    <col min="5643" max="5643" width="3" style="117" customWidth="1"/>
    <col min="5644" max="5644" width="30.7109375" style="117" customWidth="1"/>
    <col min="5645" max="5645" width="4.140625" style="117" customWidth="1"/>
    <col min="5646" max="5647" width="30.7109375" style="117" customWidth="1"/>
    <col min="5648" max="5649" width="4" style="117" customWidth="1"/>
    <col min="5650" max="5650" width="30.7109375" style="117" customWidth="1"/>
    <col min="5651" max="5652" width="3.85546875" style="117" customWidth="1"/>
    <col min="5653" max="5653" width="30.7109375" style="117" customWidth="1"/>
    <col min="5654" max="5887" width="9.140625" style="117"/>
    <col min="5888" max="5889" width="2.7109375" style="117" customWidth="1"/>
    <col min="5890" max="5890" width="30.7109375" style="117" customWidth="1"/>
    <col min="5891" max="5892" width="3" style="117" customWidth="1"/>
    <col min="5893" max="5893" width="30.7109375" style="117" customWidth="1"/>
    <col min="5894" max="5894" width="3" style="117" customWidth="1"/>
    <col min="5895" max="5895" width="2.7109375" style="117" customWidth="1"/>
    <col min="5896" max="5896" width="30.7109375" style="117" customWidth="1"/>
    <col min="5897" max="5897" width="4.140625" style="117" customWidth="1"/>
    <col min="5898" max="5898" width="30.7109375" style="117" customWidth="1"/>
    <col min="5899" max="5899" width="3" style="117" customWidth="1"/>
    <col min="5900" max="5900" width="30.7109375" style="117" customWidth="1"/>
    <col min="5901" max="5901" width="4.140625" style="117" customWidth="1"/>
    <col min="5902" max="5903" width="30.7109375" style="117" customWidth="1"/>
    <col min="5904" max="5905" width="4" style="117" customWidth="1"/>
    <col min="5906" max="5906" width="30.7109375" style="117" customWidth="1"/>
    <col min="5907" max="5908" width="3.85546875" style="117" customWidth="1"/>
    <col min="5909" max="5909" width="30.7109375" style="117" customWidth="1"/>
    <col min="5910" max="6143" width="9.140625" style="117"/>
    <col min="6144" max="6145" width="2.7109375" style="117" customWidth="1"/>
    <col min="6146" max="6146" width="30.7109375" style="117" customWidth="1"/>
    <col min="6147" max="6148" width="3" style="117" customWidth="1"/>
    <col min="6149" max="6149" width="30.7109375" style="117" customWidth="1"/>
    <col min="6150" max="6150" width="3" style="117" customWidth="1"/>
    <col min="6151" max="6151" width="2.7109375" style="117" customWidth="1"/>
    <col min="6152" max="6152" width="30.7109375" style="117" customWidth="1"/>
    <col min="6153" max="6153" width="4.140625" style="117" customWidth="1"/>
    <col min="6154" max="6154" width="30.7109375" style="117" customWidth="1"/>
    <col min="6155" max="6155" width="3" style="117" customWidth="1"/>
    <col min="6156" max="6156" width="30.7109375" style="117" customWidth="1"/>
    <col min="6157" max="6157" width="4.140625" style="117" customWidth="1"/>
    <col min="6158" max="6159" width="30.7109375" style="117" customWidth="1"/>
    <col min="6160" max="6161" width="4" style="117" customWidth="1"/>
    <col min="6162" max="6162" width="30.7109375" style="117" customWidth="1"/>
    <col min="6163" max="6164" width="3.85546875" style="117" customWidth="1"/>
    <col min="6165" max="6165" width="30.7109375" style="117" customWidth="1"/>
    <col min="6166" max="6399" width="9.140625" style="117"/>
    <col min="6400" max="6401" width="2.7109375" style="117" customWidth="1"/>
    <col min="6402" max="6402" width="30.7109375" style="117" customWidth="1"/>
    <col min="6403" max="6404" width="3" style="117" customWidth="1"/>
    <col min="6405" max="6405" width="30.7109375" style="117" customWidth="1"/>
    <col min="6406" max="6406" width="3" style="117" customWidth="1"/>
    <col min="6407" max="6407" width="2.7109375" style="117" customWidth="1"/>
    <col min="6408" max="6408" width="30.7109375" style="117" customWidth="1"/>
    <col min="6409" max="6409" width="4.140625" style="117" customWidth="1"/>
    <col min="6410" max="6410" width="30.7109375" style="117" customWidth="1"/>
    <col min="6411" max="6411" width="3" style="117" customWidth="1"/>
    <col min="6412" max="6412" width="30.7109375" style="117" customWidth="1"/>
    <col min="6413" max="6413" width="4.140625" style="117" customWidth="1"/>
    <col min="6414" max="6415" width="30.7109375" style="117" customWidth="1"/>
    <col min="6416" max="6417" width="4" style="117" customWidth="1"/>
    <col min="6418" max="6418" width="30.7109375" style="117" customWidth="1"/>
    <col min="6419" max="6420" width="3.85546875" style="117" customWidth="1"/>
    <col min="6421" max="6421" width="30.7109375" style="117" customWidth="1"/>
    <col min="6422" max="6655" width="9.140625" style="117"/>
    <col min="6656" max="6657" width="2.7109375" style="117" customWidth="1"/>
    <col min="6658" max="6658" width="30.7109375" style="117" customWidth="1"/>
    <col min="6659" max="6660" width="3" style="117" customWidth="1"/>
    <col min="6661" max="6661" width="30.7109375" style="117" customWidth="1"/>
    <col min="6662" max="6662" width="3" style="117" customWidth="1"/>
    <col min="6663" max="6663" width="2.7109375" style="117" customWidth="1"/>
    <col min="6664" max="6664" width="30.7109375" style="117" customWidth="1"/>
    <col min="6665" max="6665" width="4.140625" style="117" customWidth="1"/>
    <col min="6666" max="6666" width="30.7109375" style="117" customWidth="1"/>
    <col min="6667" max="6667" width="3" style="117" customWidth="1"/>
    <col min="6668" max="6668" width="30.7109375" style="117" customWidth="1"/>
    <col min="6669" max="6669" width="4.140625" style="117" customWidth="1"/>
    <col min="6670" max="6671" width="30.7109375" style="117" customWidth="1"/>
    <col min="6672" max="6673" width="4" style="117" customWidth="1"/>
    <col min="6674" max="6674" width="30.7109375" style="117" customWidth="1"/>
    <col min="6675" max="6676" width="3.85546875" style="117" customWidth="1"/>
    <col min="6677" max="6677" width="30.7109375" style="117" customWidth="1"/>
    <col min="6678" max="6911" width="9.140625" style="117"/>
    <col min="6912" max="6913" width="2.7109375" style="117" customWidth="1"/>
    <col min="6914" max="6914" width="30.7109375" style="117" customWidth="1"/>
    <col min="6915" max="6916" width="3" style="117" customWidth="1"/>
    <col min="6917" max="6917" width="30.7109375" style="117" customWidth="1"/>
    <col min="6918" max="6918" width="3" style="117" customWidth="1"/>
    <col min="6919" max="6919" width="2.7109375" style="117" customWidth="1"/>
    <col min="6920" max="6920" width="30.7109375" style="117" customWidth="1"/>
    <col min="6921" max="6921" width="4.140625" style="117" customWidth="1"/>
    <col min="6922" max="6922" width="30.7109375" style="117" customWidth="1"/>
    <col min="6923" max="6923" width="3" style="117" customWidth="1"/>
    <col min="6924" max="6924" width="30.7109375" style="117" customWidth="1"/>
    <col min="6925" max="6925" width="4.140625" style="117" customWidth="1"/>
    <col min="6926" max="6927" width="30.7109375" style="117" customWidth="1"/>
    <col min="6928" max="6929" width="4" style="117" customWidth="1"/>
    <col min="6930" max="6930" width="30.7109375" style="117" customWidth="1"/>
    <col min="6931" max="6932" width="3.85546875" style="117" customWidth="1"/>
    <col min="6933" max="6933" width="30.7109375" style="117" customWidth="1"/>
    <col min="6934" max="7167" width="9.140625" style="117"/>
    <col min="7168" max="7169" width="2.7109375" style="117" customWidth="1"/>
    <col min="7170" max="7170" width="30.7109375" style="117" customWidth="1"/>
    <col min="7171" max="7172" width="3" style="117" customWidth="1"/>
    <col min="7173" max="7173" width="30.7109375" style="117" customWidth="1"/>
    <col min="7174" max="7174" width="3" style="117" customWidth="1"/>
    <col min="7175" max="7175" width="2.7109375" style="117" customWidth="1"/>
    <col min="7176" max="7176" width="30.7109375" style="117" customWidth="1"/>
    <col min="7177" max="7177" width="4.140625" style="117" customWidth="1"/>
    <col min="7178" max="7178" width="30.7109375" style="117" customWidth="1"/>
    <col min="7179" max="7179" width="3" style="117" customWidth="1"/>
    <col min="7180" max="7180" width="30.7109375" style="117" customWidth="1"/>
    <col min="7181" max="7181" width="4.140625" style="117" customWidth="1"/>
    <col min="7182" max="7183" width="30.7109375" style="117" customWidth="1"/>
    <col min="7184" max="7185" width="4" style="117" customWidth="1"/>
    <col min="7186" max="7186" width="30.7109375" style="117" customWidth="1"/>
    <col min="7187" max="7188" width="3.85546875" style="117" customWidth="1"/>
    <col min="7189" max="7189" width="30.7109375" style="117" customWidth="1"/>
    <col min="7190" max="7423" width="9.140625" style="117"/>
    <col min="7424" max="7425" width="2.7109375" style="117" customWidth="1"/>
    <col min="7426" max="7426" width="30.7109375" style="117" customWidth="1"/>
    <col min="7427" max="7428" width="3" style="117" customWidth="1"/>
    <col min="7429" max="7429" width="30.7109375" style="117" customWidth="1"/>
    <col min="7430" max="7430" width="3" style="117" customWidth="1"/>
    <col min="7431" max="7431" width="2.7109375" style="117" customWidth="1"/>
    <col min="7432" max="7432" width="30.7109375" style="117" customWidth="1"/>
    <col min="7433" max="7433" width="4.140625" style="117" customWidth="1"/>
    <col min="7434" max="7434" width="30.7109375" style="117" customWidth="1"/>
    <col min="7435" max="7435" width="3" style="117" customWidth="1"/>
    <col min="7436" max="7436" width="30.7109375" style="117" customWidth="1"/>
    <col min="7437" max="7437" width="4.140625" style="117" customWidth="1"/>
    <col min="7438" max="7439" width="30.7109375" style="117" customWidth="1"/>
    <col min="7440" max="7441" width="4" style="117" customWidth="1"/>
    <col min="7442" max="7442" width="30.7109375" style="117" customWidth="1"/>
    <col min="7443" max="7444" width="3.85546875" style="117" customWidth="1"/>
    <col min="7445" max="7445" width="30.7109375" style="117" customWidth="1"/>
    <col min="7446" max="7679" width="9.140625" style="117"/>
    <col min="7680" max="7681" width="2.7109375" style="117" customWidth="1"/>
    <col min="7682" max="7682" width="30.7109375" style="117" customWidth="1"/>
    <col min="7683" max="7684" width="3" style="117" customWidth="1"/>
    <col min="7685" max="7685" width="30.7109375" style="117" customWidth="1"/>
    <col min="7686" max="7686" width="3" style="117" customWidth="1"/>
    <col min="7687" max="7687" width="2.7109375" style="117" customWidth="1"/>
    <col min="7688" max="7688" width="30.7109375" style="117" customWidth="1"/>
    <col min="7689" max="7689" width="4.140625" style="117" customWidth="1"/>
    <col min="7690" max="7690" width="30.7109375" style="117" customWidth="1"/>
    <col min="7691" max="7691" width="3" style="117" customWidth="1"/>
    <col min="7692" max="7692" width="30.7109375" style="117" customWidth="1"/>
    <col min="7693" max="7693" width="4.140625" style="117" customWidth="1"/>
    <col min="7694" max="7695" width="30.7109375" style="117" customWidth="1"/>
    <col min="7696" max="7697" width="4" style="117" customWidth="1"/>
    <col min="7698" max="7698" width="30.7109375" style="117" customWidth="1"/>
    <col min="7699" max="7700" width="3.85546875" style="117" customWidth="1"/>
    <col min="7701" max="7701" width="30.7109375" style="117" customWidth="1"/>
    <col min="7702" max="7935" width="9.140625" style="117"/>
    <col min="7936" max="7937" width="2.7109375" style="117" customWidth="1"/>
    <col min="7938" max="7938" width="30.7109375" style="117" customWidth="1"/>
    <col min="7939" max="7940" width="3" style="117" customWidth="1"/>
    <col min="7941" max="7941" width="30.7109375" style="117" customWidth="1"/>
    <col min="7942" max="7942" width="3" style="117" customWidth="1"/>
    <col min="7943" max="7943" width="2.7109375" style="117" customWidth="1"/>
    <col min="7944" max="7944" width="30.7109375" style="117" customWidth="1"/>
    <col min="7945" max="7945" width="4.140625" style="117" customWidth="1"/>
    <col min="7946" max="7946" width="30.7109375" style="117" customWidth="1"/>
    <col min="7947" max="7947" width="3" style="117" customWidth="1"/>
    <col min="7948" max="7948" width="30.7109375" style="117" customWidth="1"/>
    <col min="7949" max="7949" width="4.140625" style="117" customWidth="1"/>
    <col min="7950" max="7951" width="30.7109375" style="117" customWidth="1"/>
    <col min="7952" max="7953" width="4" style="117" customWidth="1"/>
    <col min="7954" max="7954" width="30.7109375" style="117" customWidth="1"/>
    <col min="7955" max="7956" width="3.85546875" style="117" customWidth="1"/>
    <col min="7957" max="7957" width="30.7109375" style="117" customWidth="1"/>
    <col min="7958" max="8191" width="9.140625" style="117"/>
    <col min="8192" max="8193" width="2.7109375" style="117" customWidth="1"/>
    <col min="8194" max="8194" width="30.7109375" style="117" customWidth="1"/>
    <col min="8195" max="8196" width="3" style="117" customWidth="1"/>
    <col min="8197" max="8197" width="30.7109375" style="117" customWidth="1"/>
    <col min="8198" max="8198" width="3" style="117" customWidth="1"/>
    <col min="8199" max="8199" width="2.7109375" style="117" customWidth="1"/>
    <col min="8200" max="8200" width="30.7109375" style="117" customWidth="1"/>
    <col min="8201" max="8201" width="4.140625" style="117" customWidth="1"/>
    <col min="8202" max="8202" width="30.7109375" style="117" customWidth="1"/>
    <col min="8203" max="8203" width="3" style="117" customWidth="1"/>
    <col min="8204" max="8204" width="30.7109375" style="117" customWidth="1"/>
    <col min="8205" max="8205" width="4.140625" style="117" customWidth="1"/>
    <col min="8206" max="8207" width="30.7109375" style="117" customWidth="1"/>
    <col min="8208" max="8209" width="4" style="117" customWidth="1"/>
    <col min="8210" max="8210" width="30.7109375" style="117" customWidth="1"/>
    <col min="8211" max="8212" width="3.85546875" style="117" customWidth="1"/>
    <col min="8213" max="8213" width="30.7109375" style="117" customWidth="1"/>
    <col min="8214" max="8447" width="9.140625" style="117"/>
    <col min="8448" max="8449" width="2.7109375" style="117" customWidth="1"/>
    <col min="8450" max="8450" width="30.7109375" style="117" customWidth="1"/>
    <col min="8451" max="8452" width="3" style="117" customWidth="1"/>
    <col min="8453" max="8453" width="30.7109375" style="117" customWidth="1"/>
    <col min="8454" max="8454" width="3" style="117" customWidth="1"/>
    <col min="8455" max="8455" width="2.7109375" style="117" customWidth="1"/>
    <col min="8456" max="8456" width="30.7109375" style="117" customWidth="1"/>
    <col min="8457" max="8457" width="4.140625" style="117" customWidth="1"/>
    <col min="8458" max="8458" width="30.7109375" style="117" customWidth="1"/>
    <col min="8459" max="8459" width="3" style="117" customWidth="1"/>
    <col min="8460" max="8460" width="30.7109375" style="117" customWidth="1"/>
    <col min="8461" max="8461" width="4.140625" style="117" customWidth="1"/>
    <col min="8462" max="8463" width="30.7109375" style="117" customWidth="1"/>
    <col min="8464" max="8465" width="4" style="117" customWidth="1"/>
    <col min="8466" max="8466" width="30.7109375" style="117" customWidth="1"/>
    <col min="8467" max="8468" width="3.85546875" style="117" customWidth="1"/>
    <col min="8469" max="8469" width="30.7109375" style="117" customWidth="1"/>
    <col min="8470" max="8703" width="9.140625" style="117"/>
    <col min="8704" max="8705" width="2.7109375" style="117" customWidth="1"/>
    <col min="8706" max="8706" width="30.7109375" style="117" customWidth="1"/>
    <col min="8707" max="8708" width="3" style="117" customWidth="1"/>
    <col min="8709" max="8709" width="30.7109375" style="117" customWidth="1"/>
    <col min="8710" max="8710" width="3" style="117" customWidth="1"/>
    <col min="8711" max="8711" width="2.7109375" style="117" customWidth="1"/>
    <col min="8712" max="8712" width="30.7109375" style="117" customWidth="1"/>
    <col min="8713" max="8713" width="4.140625" style="117" customWidth="1"/>
    <col min="8714" max="8714" width="30.7109375" style="117" customWidth="1"/>
    <col min="8715" max="8715" width="3" style="117" customWidth="1"/>
    <col min="8716" max="8716" width="30.7109375" style="117" customWidth="1"/>
    <col min="8717" max="8717" width="4.140625" style="117" customWidth="1"/>
    <col min="8718" max="8719" width="30.7109375" style="117" customWidth="1"/>
    <col min="8720" max="8721" width="4" style="117" customWidth="1"/>
    <col min="8722" max="8722" width="30.7109375" style="117" customWidth="1"/>
    <col min="8723" max="8724" width="3.85546875" style="117" customWidth="1"/>
    <col min="8725" max="8725" width="30.7109375" style="117" customWidth="1"/>
    <col min="8726" max="8959" width="9.140625" style="117"/>
    <col min="8960" max="8961" width="2.7109375" style="117" customWidth="1"/>
    <col min="8962" max="8962" width="30.7109375" style="117" customWidth="1"/>
    <col min="8963" max="8964" width="3" style="117" customWidth="1"/>
    <col min="8965" max="8965" width="30.7109375" style="117" customWidth="1"/>
    <col min="8966" max="8966" width="3" style="117" customWidth="1"/>
    <col min="8967" max="8967" width="2.7109375" style="117" customWidth="1"/>
    <col min="8968" max="8968" width="30.7109375" style="117" customWidth="1"/>
    <col min="8969" max="8969" width="4.140625" style="117" customWidth="1"/>
    <col min="8970" max="8970" width="30.7109375" style="117" customWidth="1"/>
    <col min="8971" max="8971" width="3" style="117" customWidth="1"/>
    <col min="8972" max="8972" width="30.7109375" style="117" customWidth="1"/>
    <col min="8973" max="8973" width="4.140625" style="117" customWidth="1"/>
    <col min="8974" max="8975" width="30.7109375" style="117" customWidth="1"/>
    <col min="8976" max="8977" width="4" style="117" customWidth="1"/>
    <col min="8978" max="8978" width="30.7109375" style="117" customWidth="1"/>
    <col min="8979" max="8980" width="3.85546875" style="117" customWidth="1"/>
    <col min="8981" max="8981" width="30.7109375" style="117" customWidth="1"/>
    <col min="8982" max="9215" width="9.140625" style="117"/>
    <col min="9216" max="9217" width="2.7109375" style="117" customWidth="1"/>
    <col min="9218" max="9218" width="30.7109375" style="117" customWidth="1"/>
    <col min="9219" max="9220" width="3" style="117" customWidth="1"/>
    <col min="9221" max="9221" width="30.7109375" style="117" customWidth="1"/>
    <col min="9222" max="9222" width="3" style="117" customWidth="1"/>
    <col min="9223" max="9223" width="2.7109375" style="117" customWidth="1"/>
    <col min="9224" max="9224" width="30.7109375" style="117" customWidth="1"/>
    <col min="9225" max="9225" width="4.140625" style="117" customWidth="1"/>
    <col min="9226" max="9226" width="30.7109375" style="117" customWidth="1"/>
    <col min="9227" max="9227" width="3" style="117" customWidth="1"/>
    <col min="9228" max="9228" width="30.7109375" style="117" customWidth="1"/>
    <col min="9229" max="9229" width="4.140625" style="117" customWidth="1"/>
    <col min="9230" max="9231" width="30.7109375" style="117" customWidth="1"/>
    <col min="9232" max="9233" width="4" style="117" customWidth="1"/>
    <col min="9234" max="9234" width="30.7109375" style="117" customWidth="1"/>
    <col min="9235" max="9236" width="3.85546875" style="117" customWidth="1"/>
    <col min="9237" max="9237" width="30.7109375" style="117" customWidth="1"/>
    <col min="9238" max="9471" width="9.140625" style="117"/>
    <col min="9472" max="9473" width="2.7109375" style="117" customWidth="1"/>
    <col min="9474" max="9474" width="30.7109375" style="117" customWidth="1"/>
    <col min="9475" max="9476" width="3" style="117" customWidth="1"/>
    <col min="9477" max="9477" width="30.7109375" style="117" customWidth="1"/>
    <col min="9478" max="9478" width="3" style="117" customWidth="1"/>
    <col min="9479" max="9479" width="2.7109375" style="117" customWidth="1"/>
    <col min="9480" max="9480" width="30.7109375" style="117" customWidth="1"/>
    <col min="9481" max="9481" width="4.140625" style="117" customWidth="1"/>
    <col min="9482" max="9482" width="30.7109375" style="117" customWidth="1"/>
    <col min="9483" max="9483" width="3" style="117" customWidth="1"/>
    <col min="9484" max="9484" width="30.7109375" style="117" customWidth="1"/>
    <col min="9485" max="9485" width="4.140625" style="117" customWidth="1"/>
    <col min="9486" max="9487" width="30.7109375" style="117" customWidth="1"/>
    <col min="9488" max="9489" width="4" style="117" customWidth="1"/>
    <col min="9490" max="9490" width="30.7109375" style="117" customWidth="1"/>
    <col min="9491" max="9492" width="3.85546875" style="117" customWidth="1"/>
    <col min="9493" max="9493" width="30.7109375" style="117" customWidth="1"/>
    <col min="9494" max="9727" width="9.140625" style="117"/>
    <col min="9728" max="9729" width="2.7109375" style="117" customWidth="1"/>
    <col min="9730" max="9730" width="30.7109375" style="117" customWidth="1"/>
    <col min="9731" max="9732" width="3" style="117" customWidth="1"/>
    <col min="9733" max="9733" width="30.7109375" style="117" customWidth="1"/>
    <col min="9734" max="9734" width="3" style="117" customWidth="1"/>
    <col min="9735" max="9735" width="2.7109375" style="117" customWidth="1"/>
    <col min="9736" max="9736" width="30.7109375" style="117" customWidth="1"/>
    <col min="9737" max="9737" width="4.140625" style="117" customWidth="1"/>
    <col min="9738" max="9738" width="30.7109375" style="117" customWidth="1"/>
    <col min="9739" max="9739" width="3" style="117" customWidth="1"/>
    <col min="9740" max="9740" width="30.7109375" style="117" customWidth="1"/>
    <col min="9741" max="9741" width="4.140625" style="117" customWidth="1"/>
    <col min="9742" max="9743" width="30.7109375" style="117" customWidth="1"/>
    <col min="9744" max="9745" width="4" style="117" customWidth="1"/>
    <col min="9746" max="9746" width="30.7109375" style="117" customWidth="1"/>
    <col min="9747" max="9748" width="3.85546875" style="117" customWidth="1"/>
    <col min="9749" max="9749" width="30.7109375" style="117" customWidth="1"/>
    <col min="9750" max="9983" width="9.140625" style="117"/>
    <col min="9984" max="9985" width="2.7109375" style="117" customWidth="1"/>
    <col min="9986" max="9986" width="30.7109375" style="117" customWidth="1"/>
    <col min="9987" max="9988" width="3" style="117" customWidth="1"/>
    <col min="9989" max="9989" width="30.7109375" style="117" customWidth="1"/>
    <col min="9990" max="9990" width="3" style="117" customWidth="1"/>
    <col min="9991" max="9991" width="2.7109375" style="117" customWidth="1"/>
    <col min="9992" max="9992" width="30.7109375" style="117" customWidth="1"/>
    <col min="9993" max="9993" width="4.140625" style="117" customWidth="1"/>
    <col min="9994" max="9994" width="30.7109375" style="117" customWidth="1"/>
    <col min="9995" max="9995" width="3" style="117" customWidth="1"/>
    <col min="9996" max="9996" width="30.7109375" style="117" customWidth="1"/>
    <col min="9997" max="9997" width="4.140625" style="117" customWidth="1"/>
    <col min="9998" max="9999" width="30.7109375" style="117" customWidth="1"/>
    <col min="10000" max="10001" width="4" style="117" customWidth="1"/>
    <col min="10002" max="10002" width="30.7109375" style="117" customWidth="1"/>
    <col min="10003" max="10004" width="3.85546875" style="117" customWidth="1"/>
    <col min="10005" max="10005" width="30.7109375" style="117" customWidth="1"/>
    <col min="10006" max="10239" width="9.140625" style="117"/>
    <col min="10240" max="10241" width="2.7109375" style="117" customWidth="1"/>
    <col min="10242" max="10242" width="30.7109375" style="117" customWidth="1"/>
    <col min="10243" max="10244" width="3" style="117" customWidth="1"/>
    <col min="10245" max="10245" width="30.7109375" style="117" customWidth="1"/>
    <col min="10246" max="10246" width="3" style="117" customWidth="1"/>
    <col min="10247" max="10247" width="2.7109375" style="117" customWidth="1"/>
    <col min="10248" max="10248" width="30.7109375" style="117" customWidth="1"/>
    <col min="10249" max="10249" width="4.140625" style="117" customWidth="1"/>
    <col min="10250" max="10250" width="30.7109375" style="117" customWidth="1"/>
    <col min="10251" max="10251" width="3" style="117" customWidth="1"/>
    <col min="10252" max="10252" width="30.7109375" style="117" customWidth="1"/>
    <col min="10253" max="10253" width="4.140625" style="117" customWidth="1"/>
    <col min="10254" max="10255" width="30.7109375" style="117" customWidth="1"/>
    <col min="10256" max="10257" width="4" style="117" customWidth="1"/>
    <col min="10258" max="10258" width="30.7109375" style="117" customWidth="1"/>
    <col min="10259" max="10260" width="3.85546875" style="117" customWidth="1"/>
    <col min="10261" max="10261" width="30.7109375" style="117" customWidth="1"/>
    <col min="10262" max="10495" width="9.140625" style="117"/>
    <col min="10496" max="10497" width="2.7109375" style="117" customWidth="1"/>
    <col min="10498" max="10498" width="30.7109375" style="117" customWidth="1"/>
    <col min="10499" max="10500" width="3" style="117" customWidth="1"/>
    <col min="10501" max="10501" width="30.7109375" style="117" customWidth="1"/>
    <col min="10502" max="10502" width="3" style="117" customWidth="1"/>
    <col min="10503" max="10503" width="2.7109375" style="117" customWidth="1"/>
    <col min="10504" max="10504" width="30.7109375" style="117" customWidth="1"/>
    <col min="10505" max="10505" width="4.140625" style="117" customWidth="1"/>
    <col min="10506" max="10506" width="30.7109375" style="117" customWidth="1"/>
    <col min="10507" max="10507" width="3" style="117" customWidth="1"/>
    <col min="10508" max="10508" width="30.7109375" style="117" customWidth="1"/>
    <col min="10509" max="10509" width="4.140625" style="117" customWidth="1"/>
    <col min="10510" max="10511" width="30.7109375" style="117" customWidth="1"/>
    <col min="10512" max="10513" width="4" style="117" customWidth="1"/>
    <col min="10514" max="10514" width="30.7109375" style="117" customWidth="1"/>
    <col min="10515" max="10516" width="3.85546875" style="117" customWidth="1"/>
    <col min="10517" max="10517" width="30.7109375" style="117" customWidth="1"/>
    <col min="10518" max="10751" width="9.140625" style="117"/>
    <col min="10752" max="10753" width="2.7109375" style="117" customWidth="1"/>
    <col min="10754" max="10754" width="30.7109375" style="117" customWidth="1"/>
    <col min="10755" max="10756" width="3" style="117" customWidth="1"/>
    <col min="10757" max="10757" width="30.7109375" style="117" customWidth="1"/>
    <col min="10758" max="10758" width="3" style="117" customWidth="1"/>
    <col min="10759" max="10759" width="2.7109375" style="117" customWidth="1"/>
    <col min="10760" max="10760" width="30.7109375" style="117" customWidth="1"/>
    <col min="10761" max="10761" width="4.140625" style="117" customWidth="1"/>
    <col min="10762" max="10762" width="30.7109375" style="117" customWidth="1"/>
    <col min="10763" max="10763" width="3" style="117" customWidth="1"/>
    <col min="10764" max="10764" width="30.7109375" style="117" customWidth="1"/>
    <col min="10765" max="10765" width="4.140625" style="117" customWidth="1"/>
    <col min="10766" max="10767" width="30.7109375" style="117" customWidth="1"/>
    <col min="10768" max="10769" width="4" style="117" customWidth="1"/>
    <col min="10770" max="10770" width="30.7109375" style="117" customWidth="1"/>
    <col min="10771" max="10772" width="3.85546875" style="117" customWidth="1"/>
    <col min="10773" max="10773" width="30.7109375" style="117" customWidth="1"/>
    <col min="10774" max="11007" width="9.140625" style="117"/>
    <col min="11008" max="11009" width="2.7109375" style="117" customWidth="1"/>
    <col min="11010" max="11010" width="30.7109375" style="117" customWidth="1"/>
    <col min="11011" max="11012" width="3" style="117" customWidth="1"/>
    <col min="11013" max="11013" width="30.7109375" style="117" customWidth="1"/>
    <col min="11014" max="11014" width="3" style="117" customWidth="1"/>
    <col min="11015" max="11015" width="2.7109375" style="117" customWidth="1"/>
    <col min="11016" max="11016" width="30.7109375" style="117" customWidth="1"/>
    <col min="11017" max="11017" width="4.140625" style="117" customWidth="1"/>
    <col min="11018" max="11018" width="30.7109375" style="117" customWidth="1"/>
    <col min="11019" max="11019" width="3" style="117" customWidth="1"/>
    <col min="11020" max="11020" width="30.7109375" style="117" customWidth="1"/>
    <col min="11021" max="11021" width="4.140625" style="117" customWidth="1"/>
    <col min="11022" max="11023" width="30.7109375" style="117" customWidth="1"/>
    <col min="11024" max="11025" width="4" style="117" customWidth="1"/>
    <col min="11026" max="11026" width="30.7109375" style="117" customWidth="1"/>
    <col min="11027" max="11028" width="3.85546875" style="117" customWidth="1"/>
    <col min="11029" max="11029" width="30.7109375" style="117" customWidth="1"/>
    <col min="11030" max="11263" width="9.140625" style="117"/>
    <col min="11264" max="11265" width="2.7109375" style="117" customWidth="1"/>
    <col min="11266" max="11266" width="30.7109375" style="117" customWidth="1"/>
    <col min="11267" max="11268" width="3" style="117" customWidth="1"/>
    <col min="11269" max="11269" width="30.7109375" style="117" customWidth="1"/>
    <col min="11270" max="11270" width="3" style="117" customWidth="1"/>
    <col min="11271" max="11271" width="2.7109375" style="117" customWidth="1"/>
    <col min="11272" max="11272" width="30.7109375" style="117" customWidth="1"/>
    <col min="11273" max="11273" width="4.140625" style="117" customWidth="1"/>
    <col min="11274" max="11274" width="30.7109375" style="117" customWidth="1"/>
    <col min="11275" max="11275" width="3" style="117" customWidth="1"/>
    <col min="11276" max="11276" width="30.7109375" style="117" customWidth="1"/>
    <col min="11277" max="11277" width="4.140625" style="117" customWidth="1"/>
    <col min="11278" max="11279" width="30.7109375" style="117" customWidth="1"/>
    <col min="11280" max="11281" width="4" style="117" customWidth="1"/>
    <col min="11282" max="11282" width="30.7109375" style="117" customWidth="1"/>
    <col min="11283" max="11284" width="3.85546875" style="117" customWidth="1"/>
    <col min="11285" max="11285" width="30.7109375" style="117" customWidth="1"/>
    <col min="11286" max="11519" width="9.140625" style="117"/>
    <col min="11520" max="11521" width="2.7109375" style="117" customWidth="1"/>
    <col min="11522" max="11522" width="30.7109375" style="117" customWidth="1"/>
    <col min="11523" max="11524" width="3" style="117" customWidth="1"/>
    <col min="11525" max="11525" width="30.7109375" style="117" customWidth="1"/>
    <col min="11526" max="11526" width="3" style="117" customWidth="1"/>
    <col min="11527" max="11527" width="2.7109375" style="117" customWidth="1"/>
    <col min="11528" max="11528" width="30.7109375" style="117" customWidth="1"/>
    <col min="11529" max="11529" width="4.140625" style="117" customWidth="1"/>
    <col min="11530" max="11530" width="30.7109375" style="117" customWidth="1"/>
    <col min="11531" max="11531" width="3" style="117" customWidth="1"/>
    <col min="11532" max="11532" width="30.7109375" style="117" customWidth="1"/>
    <col min="11533" max="11533" width="4.140625" style="117" customWidth="1"/>
    <col min="11534" max="11535" width="30.7109375" style="117" customWidth="1"/>
    <col min="11536" max="11537" width="4" style="117" customWidth="1"/>
    <col min="11538" max="11538" width="30.7109375" style="117" customWidth="1"/>
    <col min="11539" max="11540" width="3.85546875" style="117" customWidth="1"/>
    <col min="11541" max="11541" width="30.7109375" style="117" customWidth="1"/>
    <col min="11542" max="11775" width="9.140625" style="117"/>
    <col min="11776" max="11777" width="2.7109375" style="117" customWidth="1"/>
    <col min="11778" max="11778" width="30.7109375" style="117" customWidth="1"/>
    <col min="11779" max="11780" width="3" style="117" customWidth="1"/>
    <col min="11781" max="11781" width="30.7109375" style="117" customWidth="1"/>
    <col min="11782" max="11782" width="3" style="117" customWidth="1"/>
    <col min="11783" max="11783" width="2.7109375" style="117" customWidth="1"/>
    <col min="11784" max="11784" width="30.7109375" style="117" customWidth="1"/>
    <col min="11785" max="11785" width="4.140625" style="117" customWidth="1"/>
    <col min="11786" max="11786" width="30.7109375" style="117" customWidth="1"/>
    <col min="11787" max="11787" width="3" style="117" customWidth="1"/>
    <col min="11788" max="11788" width="30.7109375" style="117" customWidth="1"/>
    <col min="11789" max="11789" width="4.140625" style="117" customWidth="1"/>
    <col min="11790" max="11791" width="30.7109375" style="117" customWidth="1"/>
    <col min="11792" max="11793" width="4" style="117" customWidth="1"/>
    <col min="11794" max="11794" width="30.7109375" style="117" customWidth="1"/>
    <col min="11795" max="11796" width="3.85546875" style="117" customWidth="1"/>
    <col min="11797" max="11797" width="30.7109375" style="117" customWidth="1"/>
    <col min="11798" max="12031" width="9.140625" style="117"/>
    <col min="12032" max="12033" width="2.7109375" style="117" customWidth="1"/>
    <col min="12034" max="12034" width="30.7109375" style="117" customWidth="1"/>
    <col min="12035" max="12036" width="3" style="117" customWidth="1"/>
    <col min="12037" max="12037" width="30.7109375" style="117" customWidth="1"/>
    <col min="12038" max="12038" width="3" style="117" customWidth="1"/>
    <col min="12039" max="12039" width="2.7109375" style="117" customWidth="1"/>
    <col min="12040" max="12040" width="30.7109375" style="117" customWidth="1"/>
    <col min="12041" max="12041" width="4.140625" style="117" customWidth="1"/>
    <col min="12042" max="12042" width="30.7109375" style="117" customWidth="1"/>
    <col min="12043" max="12043" width="3" style="117" customWidth="1"/>
    <col min="12044" max="12044" width="30.7109375" style="117" customWidth="1"/>
    <col min="12045" max="12045" width="4.140625" style="117" customWidth="1"/>
    <col min="12046" max="12047" width="30.7109375" style="117" customWidth="1"/>
    <col min="12048" max="12049" width="4" style="117" customWidth="1"/>
    <col min="12050" max="12050" width="30.7109375" style="117" customWidth="1"/>
    <col min="12051" max="12052" width="3.85546875" style="117" customWidth="1"/>
    <col min="12053" max="12053" width="30.7109375" style="117" customWidth="1"/>
    <col min="12054" max="12287" width="9.140625" style="117"/>
    <col min="12288" max="12289" width="2.7109375" style="117" customWidth="1"/>
    <col min="12290" max="12290" width="30.7109375" style="117" customWidth="1"/>
    <col min="12291" max="12292" width="3" style="117" customWidth="1"/>
    <col min="12293" max="12293" width="30.7109375" style="117" customWidth="1"/>
    <col min="12294" max="12294" width="3" style="117" customWidth="1"/>
    <col min="12295" max="12295" width="2.7109375" style="117" customWidth="1"/>
    <col min="12296" max="12296" width="30.7109375" style="117" customWidth="1"/>
    <col min="12297" max="12297" width="4.140625" style="117" customWidth="1"/>
    <col min="12298" max="12298" width="30.7109375" style="117" customWidth="1"/>
    <col min="12299" max="12299" width="3" style="117" customWidth="1"/>
    <col min="12300" max="12300" width="30.7109375" style="117" customWidth="1"/>
    <col min="12301" max="12301" width="4.140625" style="117" customWidth="1"/>
    <col min="12302" max="12303" width="30.7109375" style="117" customWidth="1"/>
    <col min="12304" max="12305" width="4" style="117" customWidth="1"/>
    <col min="12306" max="12306" width="30.7109375" style="117" customWidth="1"/>
    <col min="12307" max="12308" width="3.85546875" style="117" customWidth="1"/>
    <col min="12309" max="12309" width="30.7109375" style="117" customWidth="1"/>
    <col min="12310" max="12543" width="9.140625" style="117"/>
    <col min="12544" max="12545" width="2.7109375" style="117" customWidth="1"/>
    <col min="12546" max="12546" width="30.7109375" style="117" customWidth="1"/>
    <col min="12547" max="12548" width="3" style="117" customWidth="1"/>
    <col min="12549" max="12549" width="30.7109375" style="117" customWidth="1"/>
    <col min="12550" max="12550" width="3" style="117" customWidth="1"/>
    <col min="12551" max="12551" width="2.7109375" style="117" customWidth="1"/>
    <col min="12552" max="12552" width="30.7109375" style="117" customWidth="1"/>
    <col min="12553" max="12553" width="4.140625" style="117" customWidth="1"/>
    <col min="12554" max="12554" width="30.7109375" style="117" customWidth="1"/>
    <col min="12555" max="12555" width="3" style="117" customWidth="1"/>
    <col min="12556" max="12556" width="30.7109375" style="117" customWidth="1"/>
    <col min="12557" max="12557" width="4.140625" style="117" customWidth="1"/>
    <col min="12558" max="12559" width="30.7109375" style="117" customWidth="1"/>
    <col min="12560" max="12561" width="4" style="117" customWidth="1"/>
    <col min="12562" max="12562" width="30.7109375" style="117" customWidth="1"/>
    <col min="12563" max="12564" width="3.85546875" style="117" customWidth="1"/>
    <col min="12565" max="12565" width="30.7109375" style="117" customWidth="1"/>
    <col min="12566" max="12799" width="9.140625" style="117"/>
    <col min="12800" max="12801" width="2.7109375" style="117" customWidth="1"/>
    <col min="12802" max="12802" width="30.7109375" style="117" customWidth="1"/>
    <col min="12803" max="12804" width="3" style="117" customWidth="1"/>
    <col min="12805" max="12805" width="30.7109375" style="117" customWidth="1"/>
    <col min="12806" max="12806" width="3" style="117" customWidth="1"/>
    <col min="12807" max="12807" width="2.7109375" style="117" customWidth="1"/>
    <col min="12808" max="12808" width="30.7109375" style="117" customWidth="1"/>
    <col min="12809" max="12809" width="4.140625" style="117" customWidth="1"/>
    <col min="12810" max="12810" width="30.7109375" style="117" customWidth="1"/>
    <col min="12811" max="12811" width="3" style="117" customWidth="1"/>
    <col min="12812" max="12812" width="30.7109375" style="117" customWidth="1"/>
    <col min="12813" max="12813" width="4.140625" style="117" customWidth="1"/>
    <col min="12814" max="12815" width="30.7109375" style="117" customWidth="1"/>
    <col min="12816" max="12817" width="4" style="117" customWidth="1"/>
    <col min="12818" max="12818" width="30.7109375" style="117" customWidth="1"/>
    <col min="12819" max="12820" width="3.85546875" style="117" customWidth="1"/>
    <col min="12821" max="12821" width="30.7109375" style="117" customWidth="1"/>
    <col min="12822" max="13055" width="9.140625" style="117"/>
    <col min="13056" max="13057" width="2.7109375" style="117" customWidth="1"/>
    <col min="13058" max="13058" width="30.7109375" style="117" customWidth="1"/>
    <col min="13059" max="13060" width="3" style="117" customWidth="1"/>
    <col min="13061" max="13061" width="30.7109375" style="117" customWidth="1"/>
    <col min="13062" max="13062" width="3" style="117" customWidth="1"/>
    <col min="13063" max="13063" width="2.7109375" style="117" customWidth="1"/>
    <col min="13064" max="13064" width="30.7109375" style="117" customWidth="1"/>
    <col min="13065" max="13065" width="4.140625" style="117" customWidth="1"/>
    <col min="13066" max="13066" width="30.7109375" style="117" customWidth="1"/>
    <col min="13067" max="13067" width="3" style="117" customWidth="1"/>
    <col min="13068" max="13068" width="30.7109375" style="117" customWidth="1"/>
    <col min="13069" max="13069" width="4.140625" style="117" customWidth="1"/>
    <col min="13070" max="13071" width="30.7109375" style="117" customWidth="1"/>
    <col min="13072" max="13073" width="4" style="117" customWidth="1"/>
    <col min="13074" max="13074" width="30.7109375" style="117" customWidth="1"/>
    <col min="13075" max="13076" width="3.85546875" style="117" customWidth="1"/>
    <col min="13077" max="13077" width="30.7109375" style="117" customWidth="1"/>
    <col min="13078" max="13311" width="9.140625" style="117"/>
    <col min="13312" max="13313" width="2.7109375" style="117" customWidth="1"/>
    <col min="13314" max="13314" width="30.7109375" style="117" customWidth="1"/>
    <col min="13315" max="13316" width="3" style="117" customWidth="1"/>
    <col min="13317" max="13317" width="30.7109375" style="117" customWidth="1"/>
    <col min="13318" max="13318" width="3" style="117" customWidth="1"/>
    <col min="13319" max="13319" width="2.7109375" style="117" customWidth="1"/>
    <col min="13320" max="13320" width="30.7109375" style="117" customWidth="1"/>
    <col min="13321" max="13321" width="4.140625" style="117" customWidth="1"/>
    <col min="13322" max="13322" width="30.7109375" style="117" customWidth="1"/>
    <col min="13323" max="13323" width="3" style="117" customWidth="1"/>
    <col min="13324" max="13324" width="30.7109375" style="117" customWidth="1"/>
    <col min="13325" max="13325" width="4.140625" style="117" customWidth="1"/>
    <col min="13326" max="13327" width="30.7109375" style="117" customWidth="1"/>
    <col min="13328" max="13329" width="4" style="117" customWidth="1"/>
    <col min="13330" max="13330" width="30.7109375" style="117" customWidth="1"/>
    <col min="13331" max="13332" width="3.85546875" style="117" customWidth="1"/>
    <col min="13333" max="13333" width="30.7109375" style="117" customWidth="1"/>
    <col min="13334" max="13567" width="9.140625" style="117"/>
    <col min="13568" max="13569" width="2.7109375" style="117" customWidth="1"/>
    <col min="13570" max="13570" width="30.7109375" style="117" customWidth="1"/>
    <col min="13571" max="13572" width="3" style="117" customWidth="1"/>
    <col min="13573" max="13573" width="30.7109375" style="117" customWidth="1"/>
    <col min="13574" max="13574" width="3" style="117" customWidth="1"/>
    <col min="13575" max="13575" width="2.7109375" style="117" customWidth="1"/>
    <col min="13576" max="13576" width="30.7109375" style="117" customWidth="1"/>
    <col min="13577" max="13577" width="4.140625" style="117" customWidth="1"/>
    <col min="13578" max="13578" width="30.7109375" style="117" customWidth="1"/>
    <col min="13579" max="13579" width="3" style="117" customWidth="1"/>
    <col min="13580" max="13580" width="30.7109375" style="117" customWidth="1"/>
    <col min="13581" max="13581" width="4.140625" style="117" customWidth="1"/>
    <col min="13582" max="13583" width="30.7109375" style="117" customWidth="1"/>
    <col min="13584" max="13585" width="4" style="117" customWidth="1"/>
    <col min="13586" max="13586" width="30.7109375" style="117" customWidth="1"/>
    <col min="13587" max="13588" width="3.85546875" style="117" customWidth="1"/>
    <col min="13589" max="13589" width="30.7109375" style="117" customWidth="1"/>
    <col min="13590" max="13823" width="9.140625" style="117"/>
    <col min="13824" max="13825" width="2.7109375" style="117" customWidth="1"/>
    <col min="13826" max="13826" width="30.7109375" style="117" customWidth="1"/>
    <col min="13827" max="13828" width="3" style="117" customWidth="1"/>
    <col min="13829" max="13829" width="30.7109375" style="117" customWidth="1"/>
    <col min="13830" max="13830" width="3" style="117" customWidth="1"/>
    <col min="13831" max="13831" width="2.7109375" style="117" customWidth="1"/>
    <col min="13832" max="13832" width="30.7109375" style="117" customWidth="1"/>
    <col min="13833" max="13833" width="4.140625" style="117" customWidth="1"/>
    <col min="13834" max="13834" width="30.7109375" style="117" customWidth="1"/>
    <col min="13835" max="13835" width="3" style="117" customWidth="1"/>
    <col min="13836" max="13836" width="30.7109375" style="117" customWidth="1"/>
    <col min="13837" max="13837" width="4.140625" style="117" customWidth="1"/>
    <col min="13838" max="13839" width="30.7109375" style="117" customWidth="1"/>
    <col min="13840" max="13841" width="4" style="117" customWidth="1"/>
    <col min="13842" max="13842" width="30.7109375" style="117" customWidth="1"/>
    <col min="13843" max="13844" width="3.85546875" style="117" customWidth="1"/>
    <col min="13845" max="13845" width="30.7109375" style="117" customWidth="1"/>
    <col min="13846" max="14079" width="9.140625" style="117"/>
    <col min="14080" max="14081" width="2.7109375" style="117" customWidth="1"/>
    <col min="14082" max="14082" width="30.7109375" style="117" customWidth="1"/>
    <col min="14083" max="14084" width="3" style="117" customWidth="1"/>
    <col min="14085" max="14085" width="30.7109375" style="117" customWidth="1"/>
    <col min="14086" max="14086" width="3" style="117" customWidth="1"/>
    <col min="14087" max="14087" width="2.7109375" style="117" customWidth="1"/>
    <col min="14088" max="14088" width="30.7109375" style="117" customWidth="1"/>
    <col min="14089" max="14089" width="4.140625" style="117" customWidth="1"/>
    <col min="14090" max="14090" width="30.7109375" style="117" customWidth="1"/>
    <col min="14091" max="14091" width="3" style="117" customWidth="1"/>
    <col min="14092" max="14092" width="30.7109375" style="117" customWidth="1"/>
    <col min="14093" max="14093" width="4.140625" style="117" customWidth="1"/>
    <col min="14094" max="14095" width="30.7109375" style="117" customWidth="1"/>
    <col min="14096" max="14097" width="4" style="117" customWidth="1"/>
    <col min="14098" max="14098" width="30.7109375" style="117" customWidth="1"/>
    <col min="14099" max="14100" width="3.85546875" style="117" customWidth="1"/>
    <col min="14101" max="14101" width="30.7109375" style="117" customWidth="1"/>
    <col min="14102" max="14335" width="9.140625" style="117"/>
    <col min="14336" max="14337" width="2.7109375" style="117" customWidth="1"/>
    <col min="14338" max="14338" width="30.7109375" style="117" customWidth="1"/>
    <col min="14339" max="14340" width="3" style="117" customWidth="1"/>
    <col min="14341" max="14341" width="30.7109375" style="117" customWidth="1"/>
    <col min="14342" max="14342" width="3" style="117" customWidth="1"/>
    <col min="14343" max="14343" width="2.7109375" style="117" customWidth="1"/>
    <col min="14344" max="14344" width="30.7109375" style="117" customWidth="1"/>
    <col min="14345" max="14345" width="4.140625" style="117" customWidth="1"/>
    <col min="14346" max="14346" width="30.7109375" style="117" customWidth="1"/>
    <col min="14347" max="14347" width="3" style="117" customWidth="1"/>
    <col min="14348" max="14348" width="30.7109375" style="117" customWidth="1"/>
    <col min="14349" max="14349" width="4.140625" style="117" customWidth="1"/>
    <col min="14350" max="14351" width="30.7109375" style="117" customWidth="1"/>
    <col min="14352" max="14353" width="4" style="117" customWidth="1"/>
    <col min="14354" max="14354" width="30.7109375" style="117" customWidth="1"/>
    <col min="14355" max="14356" width="3.85546875" style="117" customWidth="1"/>
    <col min="14357" max="14357" width="30.7109375" style="117" customWidth="1"/>
    <col min="14358" max="14591" width="9.140625" style="117"/>
    <col min="14592" max="14593" width="2.7109375" style="117" customWidth="1"/>
    <col min="14594" max="14594" width="30.7109375" style="117" customWidth="1"/>
    <col min="14595" max="14596" width="3" style="117" customWidth="1"/>
    <col min="14597" max="14597" width="30.7109375" style="117" customWidth="1"/>
    <col min="14598" max="14598" width="3" style="117" customWidth="1"/>
    <col min="14599" max="14599" width="2.7109375" style="117" customWidth="1"/>
    <col min="14600" max="14600" width="30.7109375" style="117" customWidth="1"/>
    <col min="14601" max="14601" width="4.140625" style="117" customWidth="1"/>
    <col min="14602" max="14602" width="30.7109375" style="117" customWidth="1"/>
    <col min="14603" max="14603" width="3" style="117" customWidth="1"/>
    <col min="14604" max="14604" width="30.7109375" style="117" customWidth="1"/>
    <col min="14605" max="14605" width="4.140625" style="117" customWidth="1"/>
    <col min="14606" max="14607" width="30.7109375" style="117" customWidth="1"/>
    <col min="14608" max="14609" width="4" style="117" customWidth="1"/>
    <col min="14610" max="14610" width="30.7109375" style="117" customWidth="1"/>
    <col min="14611" max="14612" width="3.85546875" style="117" customWidth="1"/>
    <col min="14613" max="14613" width="30.7109375" style="117" customWidth="1"/>
    <col min="14614" max="14847" width="9.140625" style="117"/>
    <col min="14848" max="14849" width="2.7109375" style="117" customWidth="1"/>
    <col min="14850" max="14850" width="30.7109375" style="117" customWidth="1"/>
    <col min="14851" max="14852" width="3" style="117" customWidth="1"/>
    <col min="14853" max="14853" width="30.7109375" style="117" customWidth="1"/>
    <col min="14854" max="14854" width="3" style="117" customWidth="1"/>
    <col min="14855" max="14855" width="2.7109375" style="117" customWidth="1"/>
    <col min="14856" max="14856" width="30.7109375" style="117" customWidth="1"/>
    <col min="14857" max="14857" width="4.140625" style="117" customWidth="1"/>
    <col min="14858" max="14858" width="30.7109375" style="117" customWidth="1"/>
    <col min="14859" max="14859" width="3" style="117" customWidth="1"/>
    <col min="14860" max="14860" width="30.7109375" style="117" customWidth="1"/>
    <col min="14861" max="14861" width="4.140625" style="117" customWidth="1"/>
    <col min="14862" max="14863" width="30.7109375" style="117" customWidth="1"/>
    <col min="14864" max="14865" width="4" style="117" customWidth="1"/>
    <col min="14866" max="14866" width="30.7109375" style="117" customWidth="1"/>
    <col min="14867" max="14868" width="3.85546875" style="117" customWidth="1"/>
    <col min="14869" max="14869" width="30.7109375" style="117" customWidth="1"/>
    <col min="14870" max="15103" width="9.140625" style="117"/>
    <col min="15104" max="15105" width="2.7109375" style="117" customWidth="1"/>
    <col min="15106" max="15106" width="30.7109375" style="117" customWidth="1"/>
    <col min="15107" max="15108" width="3" style="117" customWidth="1"/>
    <col min="15109" max="15109" width="30.7109375" style="117" customWidth="1"/>
    <col min="15110" max="15110" width="3" style="117" customWidth="1"/>
    <col min="15111" max="15111" width="2.7109375" style="117" customWidth="1"/>
    <col min="15112" max="15112" width="30.7109375" style="117" customWidth="1"/>
    <col min="15113" max="15113" width="4.140625" style="117" customWidth="1"/>
    <col min="15114" max="15114" width="30.7109375" style="117" customWidth="1"/>
    <col min="15115" max="15115" width="3" style="117" customWidth="1"/>
    <col min="15116" max="15116" width="30.7109375" style="117" customWidth="1"/>
    <col min="15117" max="15117" width="4.140625" style="117" customWidth="1"/>
    <col min="15118" max="15119" width="30.7109375" style="117" customWidth="1"/>
    <col min="15120" max="15121" width="4" style="117" customWidth="1"/>
    <col min="15122" max="15122" width="30.7109375" style="117" customWidth="1"/>
    <col min="15123" max="15124" width="3.85546875" style="117" customWidth="1"/>
    <col min="15125" max="15125" width="30.7109375" style="117" customWidth="1"/>
    <col min="15126" max="15359" width="9.140625" style="117"/>
    <col min="15360" max="15361" width="2.7109375" style="117" customWidth="1"/>
    <col min="15362" max="15362" width="30.7109375" style="117" customWidth="1"/>
    <col min="15363" max="15364" width="3" style="117" customWidth="1"/>
    <col min="15365" max="15365" width="30.7109375" style="117" customWidth="1"/>
    <col min="15366" max="15366" width="3" style="117" customWidth="1"/>
    <col min="15367" max="15367" width="2.7109375" style="117" customWidth="1"/>
    <col min="15368" max="15368" width="30.7109375" style="117" customWidth="1"/>
    <col min="15369" max="15369" width="4.140625" style="117" customWidth="1"/>
    <col min="15370" max="15370" width="30.7109375" style="117" customWidth="1"/>
    <col min="15371" max="15371" width="3" style="117" customWidth="1"/>
    <col min="15372" max="15372" width="30.7109375" style="117" customWidth="1"/>
    <col min="15373" max="15373" width="4.140625" style="117" customWidth="1"/>
    <col min="15374" max="15375" width="30.7109375" style="117" customWidth="1"/>
    <col min="15376" max="15377" width="4" style="117" customWidth="1"/>
    <col min="15378" max="15378" width="30.7109375" style="117" customWidth="1"/>
    <col min="15379" max="15380" width="3.85546875" style="117" customWidth="1"/>
    <col min="15381" max="15381" width="30.7109375" style="117" customWidth="1"/>
    <col min="15382" max="15615" width="9.140625" style="117"/>
    <col min="15616" max="15617" width="2.7109375" style="117" customWidth="1"/>
    <col min="15618" max="15618" width="30.7109375" style="117" customWidth="1"/>
    <col min="15619" max="15620" width="3" style="117" customWidth="1"/>
    <col min="15621" max="15621" width="30.7109375" style="117" customWidth="1"/>
    <col min="15622" max="15622" width="3" style="117" customWidth="1"/>
    <col min="15623" max="15623" width="2.7109375" style="117" customWidth="1"/>
    <col min="15624" max="15624" width="30.7109375" style="117" customWidth="1"/>
    <col min="15625" max="15625" width="4.140625" style="117" customWidth="1"/>
    <col min="15626" max="15626" width="30.7109375" style="117" customWidth="1"/>
    <col min="15627" max="15627" width="3" style="117" customWidth="1"/>
    <col min="15628" max="15628" width="30.7109375" style="117" customWidth="1"/>
    <col min="15629" max="15629" width="4.140625" style="117" customWidth="1"/>
    <col min="15630" max="15631" width="30.7109375" style="117" customWidth="1"/>
    <col min="15632" max="15633" width="4" style="117" customWidth="1"/>
    <col min="15634" max="15634" width="30.7109375" style="117" customWidth="1"/>
    <col min="15635" max="15636" width="3.85546875" style="117" customWidth="1"/>
    <col min="15637" max="15637" width="30.7109375" style="117" customWidth="1"/>
    <col min="15638" max="15871" width="9.140625" style="117"/>
    <col min="15872" max="15873" width="2.7109375" style="117" customWidth="1"/>
    <col min="15874" max="15874" width="30.7109375" style="117" customWidth="1"/>
    <col min="15875" max="15876" width="3" style="117" customWidth="1"/>
    <col min="15877" max="15877" width="30.7109375" style="117" customWidth="1"/>
    <col min="15878" max="15878" width="3" style="117" customWidth="1"/>
    <col min="15879" max="15879" width="2.7109375" style="117" customWidth="1"/>
    <col min="15880" max="15880" width="30.7109375" style="117" customWidth="1"/>
    <col min="15881" max="15881" width="4.140625" style="117" customWidth="1"/>
    <col min="15882" max="15882" width="30.7109375" style="117" customWidth="1"/>
    <col min="15883" max="15883" width="3" style="117" customWidth="1"/>
    <col min="15884" max="15884" width="30.7109375" style="117" customWidth="1"/>
    <col min="15885" max="15885" width="4.140625" style="117" customWidth="1"/>
    <col min="15886" max="15887" width="30.7109375" style="117" customWidth="1"/>
    <col min="15888" max="15889" width="4" style="117" customWidth="1"/>
    <col min="15890" max="15890" width="30.7109375" style="117" customWidth="1"/>
    <col min="15891" max="15892" width="3.85546875" style="117" customWidth="1"/>
    <col min="15893" max="15893" width="30.7109375" style="117" customWidth="1"/>
    <col min="15894" max="16127" width="9.140625" style="117"/>
    <col min="16128" max="16129" width="2.7109375" style="117" customWidth="1"/>
    <col min="16130" max="16130" width="30.7109375" style="117" customWidth="1"/>
    <col min="16131" max="16132" width="3" style="117" customWidth="1"/>
    <col min="16133" max="16133" width="30.7109375" style="117" customWidth="1"/>
    <col min="16134" max="16134" width="3" style="117" customWidth="1"/>
    <col min="16135" max="16135" width="2.7109375" style="117" customWidth="1"/>
    <col min="16136" max="16136" width="30.7109375" style="117" customWidth="1"/>
    <col min="16137" max="16137" width="4.140625" style="117" customWidth="1"/>
    <col min="16138" max="16138" width="30.7109375" style="117" customWidth="1"/>
    <col min="16139" max="16139" width="3" style="117" customWidth="1"/>
    <col min="16140" max="16140" width="30.7109375" style="117" customWidth="1"/>
    <col min="16141" max="16141" width="4.140625" style="117" customWidth="1"/>
    <col min="16142" max="16143" width="30.7109375" style="117" customWidth="1"/>
    <col min="16144" max="16145" width="4" style="117" customWidth="1"/>
    <col min="16146" max="16146" width="30.7109375" style="117" customWidth="1"/>
    <col min="16147" max="16148" width="3.85546875" style="117" customWidth="1"/>
    <col min="16149" max="16149" width="30.7109375" style="117" customWidth="1"/>
    <col min="16150" max="16384" width="9.140625" style="117"/>
  </cols>
  <sheetData>
    <row r="1" spans="2:26">
      <c r="H1" s="24"/>
      <c r="Z1" s="117" t="s">
        <v>1798</v>
      </c>
    </row>
    <row r="2" spans="2:26" s="1" customFormat="1" ht="27">
      <c r="B2" s="105"/>
      <c r="C2" s="106"/>
      <c r="D2" s="106"/>
      <c r="H2" s="122"/>
      <c r="O2" s="85"/>
      <c r="P2" s="85"/>
      <c r="Q2" s="85"/>
      <c r="R2" s="85"/>
      <c r="S2" s="85"/>
      <c r="T2" s="85"/>
      <c r="U2" s="85"/>
      <c r="V2" s="85"/>
      <c r="W2" s="85"/>
    </row>
    <row r="3" spans="2:26" s="130" customFormat="1" ht="35.25" customHeight="1">
      <c r="B3" s="128" t="s">
        <v>6</v>
      </c>
      <c r="C3" s="1204" t="s">
        <v>0</v>
      </c>
      <c r="D3" s="1204"/>
      <c r="E3" s="1204" t="s">
        <v>2</v>
      </c>
      <c r="F3" s="1204"/>
      <c r="G3" s="1204" t="s">
        <v>98</v>
      </c>
      <c r="H3" s="1208" t="s">
        <v>156</v>
      </c>
      <c r="I3" s="1209" t="s">
        <v>157</v>
      </c>
      <c r="J3" s="1205" t="s">
        <v>54</v>
      </c>
      <c r="K3" s="1206"/>
      <c r="L3" s="1206"/>
      <c r="M3" s="1207"/>
      <c r="N3" s="1204" t="s">
        <v>781</v>
      </c>
      <c r="O3" s="1204" t="s">
        <v>132</v>
      </c>
      <c r="P3" s="1204" t="s">
        <v>133</v>
      </c>
      <c r="Q3" s="1204"/>
      <c r="R3" s="1165" t="s">
        <v>2138</v>
      </c>
      <c r="S3" s="1165"/>
      <c r="T3" s="1165"/>
      <c r="U3" s="1165"/>
      <c r="V3" s="1165"/>
      <c r="W3" s="129" t="s">
        <v>136</v>
      </c>
      <c r="X3" s="1217" t="s">
        <v>134</v>
      </c>
      <c r="Y3" s="1217" t="s">
        <v>137</v>
      </c>
      <c r="Z3" s="1208" t="s">
        <v>138</v>
      </c>
    </row>
    <row r="4" spans="2:26" s="130" customFormat="1" ht="35.25" customHeight="1">
      <c r="B4" s="131"/>
      <c r="C4" s="1204"/>
      <c r="D4" s="1204"/>
      <c r="E4" s="1204"/>
      <c r="F4" s="1204"/>
      <c r="G4" s="1204"/>
      <c r="H4" s="1208"/>
      <c r="I4" s="1210"/>
      <c r="J4" s="1205" t="s">
        <v>135</v>
      </c>
      <c r="K4" s="1206"/>
      <c r="L4" s="1206"/>
      <c r="M4" s="1207"/>
      <c r="N4" s="1204"/>
      <c r="O4" s="1204"/>
      <c r="P4" s="670">
        <v>2012</v>
      </c>
      <c r="Q4" s="670">
        <v>2013</v>
      </c>
      <c r="R4" s="670">
        <v>2014</v>
      </c>
      <c r="S4" s="670">
        <v>2015</v>
      </c>
      <c r="T4" s="670">
        <v>2016</v>
      </c>
      <c r="U4" s="670">
        <v>2017</v>
      </c>
      <c r="V4" s="670">
        <v>2018</v>
      </c>
      <c r="W4" s="132">
        <v>2018</v>
      </c>
      <c r="X4" s="1218"/>
      <c r="Y4" s="1218"/>
      <c r="Z4" s="1208"/>
    </row>
    <row r="5" spans="2:26" s="74" customFormat="1" ht="18" customHeight="1">
      <c r="B5" s="93">
        <v>1</v>
      </c>
      <c r="C5" s="1159">
        <v>2</v>
      </c>
      <c r="D5" s="1160"/>
      <c r="E5" s="1159">
        <v>3</v>
      </c>
      <c r="F5" s="1160"/>
      <c r="G5" s="18">
        <v>4</v>
      </c>
      <c r="H5" s="94">
        <v>5</v>
      </c>
      <c r="I5" s="18">
        <v>6</v>
      </c>
      <c r="J5" s="1161"/>
      <c r="K5" s="1161"/>
      <c r="L5" s="1161"/>
      <c r="M5" s="1160"/>
      <c r="N5" s="18">
        <v>2</v>
      </c>
      <c r="O5" s="18">
        <v>3</v>
      </c>
      <c r="P5" s="93">
        <v>4</v>
      </c>
      <c r="Q5" s="93">
        <v>5</v>
      </c>
      <c r="R5" s="93">
        <v>6</v>
      </c>
      <c r="S5" s="93">
        <v>7</v>
      </c>
      <c r="T5" s="93">
        <v>8</v>
      </c>
      <c r="U5" s="93">
        <v>9</v>
      </c>
      <c r="V5" s="93">
        <v>10</v>
      </c>
      <c r="W5" s="93">
        <v>11</v>
      </c>
      <c r="X5" s="18">
        <v>13</v>
      </c>
      <c r="Y5" s="133">
        <v>26</v>
      </c>
      <c r="Z5" s="18">
        <v>27</v>
      </c>
    </row>
    <row r="6" spans="2:26" s="1" customFormat="1" ht="94.5">
      <c r="B6" s="37" t="s">
        <v>1534</v>
      </c>
      <c r="C6" s="651">
        <v>1</v>
      </c>
      <c r="D6" s="651" t="s">
        <v>1535</v>
      </c>
      <c r="E6" s="651">
        <v>1</v>
      </c>
      <c r="F6" s="651" t="s">
        <v>1536</v>
      </c>
      <c r="G6" s="651" t="s">
        <v>1537</v>
      </c>
      <c r="H6" s="651" t="s">
        <v>1538</v>
      </c>
      <c r="I6" s="651" t="s">
        <v>1539</v>
      </c>
      <c r="J6" s="3"/>
      <c r="K6" s="3"/>
      <c r="L6" s="3"/>
      <c r="N6" s="3"/>
      <c r="O6" s="449"/>
      <c r="P6" s="449"/>
      <c r="Q6" s="449"/>
      <c r="R6" s="449"/>
      <c r="S6" s="449"/>
      <c r="T6" s="449"/>
      <c r="U6" s="449"/>
      <c r="V6" s="449"/>
      <c r="W6" s="449"/>
      <c r="X6" s="3"/>
      <c r="Y6" s="3"/>
      <c r="Z6" s="3"/>
    </row>
    <row r="7" spans="2:26" s="1" customFormat="1" ht="78.75">
      <c r="B7" s="69"/>
      <c r="C7" s="652"/>
      <c r="D7" s="652"/>
      <c r="E7" s="652"/>
      <c r="F7" s="652"/>
      <c r="G7" s="652"/>
      <c r="H7" s="652"/>
      <c r="I7" s="652"/>
      <c r="J7" s="95">
        <v>1.06</v>
      </c>
      <c r="K7" s="3" t="s">
        <v>773</v>
      </c>
      <c r="L7" s="1">
        <v>15</v>
      </c>
      <c r="M7" s="651" t="s">
        <v>1540</v>
      </c>
      <c r="N7" s="3" t="s">
        <v>1541</v>
      </c>
      <c r="O7" s="449" t="s">
        <v>1542</v>
      </c>
      <c r="P7" s="449"/>
      <c r="Q7" s="449"/>
      <c r="R7" s="449"/>
      <c r="S7" s="449">
        <v>1</v>
      </c>
      <c r="T7" s="449">
        <v>1</v>
      </c>
      <c r="U7" s="449">
        <v>1</v>
      </c>
      <c r="V7" s="449">
        <v>1</v>
      </c>
      <c r="W7" s="449">
        <v>4</v>
      </c>
      <c r="X7" s="651" t="s">
        <v>1543</v>
      </c>
      <c r="Y7" s="3" t="s">
        <v>1803</v>
      </c>
      <c r="Z7" s="3" t="s">
        <v>2027</v>
      </c>
    </row>
    <row r="8" spans="2:26" s="1" customFormat="1" ht="126">
      <c r="B8" s="69"/>
      <c r="C8" s="652"/>
      <c r="D8" s="652"/>
      <c r="E8" s="652"/>
      <c r="F8" s="652"/>
      <c r="G8" s="652"/>
      <c r="H8" s="652"/>
      <c r="I8" s="652"/>
      <c r="J8" s="3"/>
      <c r="K8" s="3"/>
      <c r="L8" s="3"/>
      <c r="M8" s="652"/>
      <c r="N8" s="3" t="s">
        <v>1804</v>
      </c>
      <c r="O8" s="449" t="s">
        <v>701</v>
      </c>
      <c r="P8" s="449">
        <v>100</v>
      </c>
      <c r="Q8" s="449">
        <v>100</v>
      </c>
      <c r="R8" s="449">
        <v>100</v>
      </c>
      <c r="S8" s="449">
        <v>100</v>
      </c>
      <c r="T8" s="449">
        <v>100</v>
      </c>
      <c r="U8" s="449">
        <v>100</v>
      </c>
      <c r="V8" s="449">
        <v>100</v>
      </c>
      <c r="W8" s="449">
        <v>100</v>
      </c>
      <c r="X8" s="652" t="s">
        <v>1543</v>
      </c>
      <c r="Y8" s="3" t="s">
        <v>1805</v>
      </c>
      <c r="Z8" s="3"/>
    </row>
    <row r="9" spans="2:26" s="1" customFormat="1" ht="15.75">
      <c r="B9" s="69"/>
      <c r="C9" s="652"/>
      <c r="D9" s="652"/>
      <c r="E9" s="652"/>
      <c r="F9" s="652"/>
      <c r="G9" s="652"/>
      <c r="H9" s="652"/>
      <c r="I9" s="652"/>
      <c r="J9" s="3"/>
      <c r="K9" s="3"/>
      <c r="L9" s="3"/>
      <c r="M9" s="652"/>
      <c r="N9" s="3"/>
      <c r="O9" s="449"/>
      <c r="P9" s="449"/>
      <c r="Q9" s="449"/>
      <c r="R9" s="449"/>
      <c r="S9" s="449"/>
      <c r="T9" s="449"/>
      <c r="U9" s="449"/>
      <c r="V9" s="449"/>
      <c r="W9" s="449"/>
      <c r="X9" s="652"/>
      <c r="Y9" s="3"/>
      <c r="Z9" s="3"/>
    </row>
    <row r="10" spans="2:26" s="1" customFormat="1" ht="94.5">
      <c r="B10" s="69"/>
      <c r="C10" s="652"/>
      <c r="D10" s="652"/>
      <c r="E10" s="652"/>
      <c r="F10" s="652"/>
      <c r="G10" s="652"/>
      <c r="H10" s="652"/>
      <c r="I10" s="652"/>
      <c r="J10" s="3"/>
      <c r="K10" s="3"/>
      <c r="L10" s="3"/>
      <c r="M10" s="652"/>
      <c r="N10" s="3" t="s">
        <v>1545</v>
      </c>
      <c r="O10" s="449" t="s">
        <v>921</v>
      </c>
      <c r="P10" s="454">
        <f>1/6</f>
        <v>0.16666666666666666</v>
      </c>
      <c r="Q10" s="454">
        <f>1/6</f>
        <v>0.16666666666666666</v>
      </c>
      <c r="R10" s="449" t="s">
        <v>1546</v>
      </c>
      <c r="S10" s="449" t="s">
        <v>1546</v>
      </c>
      <c r="T10" s="449" t="s">
        <v>1547</v>
      </c>
      <c r="U10" s="449" t="s">
        <v>1547</v>
      </c>
      <c r="V10" s="449" t="s">
        <v>1548</v>
      </c>
      <c r="W10" s="449" t="s">
        <v>1548</v>
      </c>
      <c r="X10" s="652" t="s">
        <v>1549</v>
      </c>
      <c r="Y10" s="3" t="s">
        <v>1550</v>
      </c>
      <c r="Z10" s="3" t="s">
        <v>1551</v>
      </c>
    </row>
    <row r="11" spans="2:26" s="1" customFormat="1" ht="78.75">
      <c r="B11" s="69"/>
      <c r="C11" s="652"/>
      <c r="D11" s="652"/>
      <c r="E11" s="652"/>
      <c r="F11" s="652"/>
      <c r="G11" s="652"/>
      <c r="H11" s="652"/>
      <c r="I11" s="652"/>
      <c r="J11" s="3"/>
      <c r="K11" s="3"/>
      <c r="L11" s="3"/>
      <c r="M11" s="652"/>
      <c r="N11" s="3" t="s">
        <v>1806</v>
      </c>
      <c r="O11" s="449" t="s">
        <v>701</v>
      </c>
      <c r="P11" s="464">
        <f>5/300</f>
        <v>1.6666666666666666E-2</v>
      </c>
      <c r="Q11" s="464">
        <f>5/300</f>
        <v>1.6666666666666666E-2</v>
      </c>
      <c r="R11" s="464" t="s">
        <v>1552</v>
      </c>
      <c r="S11" s="464" t="s">
        <v>1552</v>
      </c>
      <c r="T11" s="464" t="s">
        <v>1553</v>
      </c>
      <c r="U11" s="464" t="s">
        <v>1553</v>
      </c>
      <c r="V11" s="464" t="s">
        <v>1554</v>
      </c>
      <c r="W11" s="464" t="s">
        <v>1554</v>
      </c>
      <c r="X11" s="652" t="s">
        <v>1549</v>
      </c>
      <c r="Y11" s="3" t="s">
        <v>1807</v>
      </c>
      <c r="Z11" s="3" t="s">
        <v>1808</v>
      </c>
    </row>
    <row r="12" spans="2:26" s="1" customFormat="1" ht="126">
      <c r="B12" s="69"/>
      <c r="C12" s="652"/>
      <c r="D12" s="652"/>
      <c r="E12" s="652"/>
      <c r="F12" s="652"/>
      <c r="G12" s="652"/>
      <c r="H12" s="652"/>
      <c r="I12" s="652"/>
      <c r="J12" s="3"/>
      <c r="K12" s="3"/>
      <c r="L12" s="3"/>
      <c r="M12" s="652"/>
      <c r="N12" s="3" t="s">
        <v>1809</v>
      </c>
      <c r="O12" s="449" t="s">
        <v>1544</v>
      </c>
      <c r="P12" s="449"/>
      <c r="Q12" s="449"/>
      <c r="R12" s="449"/>
      <c r="S12" s="449">
        <v>5</v>
      </c>
      <c r="T12" s="449">
        <v>2</v>
      </c>
      <c r="U12" s="449">
        <v>5</v>
      </c>
      <c r="V12" s="449">
        <v>2</v>
      </c>
      <c r="W12" s="449">
        <v>14</v>
      </c>
      <c r="X12" s="652" t="s">
        <v>1549</v>
      </c>
      <c r="Y12" s="3" t="s">
        <v>1810</v>
      </c>
      <c r="Z12" s="3" t="s">
        <v>1811</v>
      </c>
    </row>
    <row r="13" spans="2:26" s="1" customFormat="1" ht="63">
      <c r="B13" s="69"/>
      <c r="C13" s="652"/>
      <c r="D13" s="652"/>
      <c r="E13" s="652"/>
      <c r="F13" s="652"/>
      <c r="G13" s="652"/>
      <c r="H13" s="652"/>
      <c r="I13" s="652"/>
      <c r="J13" s="3"/>
      <c r="K13" s="3"/>
      <c r="L13" s="3"/>
      <c r="M13" s="652"/>
      <c r="N13" s="3" t="s">
        <v>1555</v>
      </c>
      <c r="O13" s="449" t="s">
        <v>701</v>
      </c>
      <c r="P13" s="449" t="s">
        <v>1556</v>
      </c>
      <c r="Q13" s="449" t="s">
        <v>1556</v>
      </c>
      <c r="R13" s="449">
        <v>100</v>
      </c>
      <c r="S13" s="449">
        <v>100</v>
      </c>
      <c r="T13" s="449">
        <v>100</v>
      </c>
      <c r="U13" s="449">
        <v>100</v>
      </c>
      <c r="V13" s="449">
        <v>100</v>
      </c>
      <c r="W13" s="449">
        <v>100</v>
      </c>
      <c r="X13" s="652" t="s">
        <v>1549</v>
      </c>
      <c r="Y13" s="3" t="s">
        <v>1557</v>
      </c>
      <c r="Z13" s="3"/>
    </row>
    <row r="14" spans="2:26" s="1" customFormat="1" ht="157.5">
      <c r="B14" s="69"/>
      <c r="C14" s="652"/>
      <c r="D14" s="652"/>
      <c r="E14" s="652"/>
      <c r="F14" s="652"/>
      <c r="G14" s="652"/>
      <c r="H14" s="652"/>
      <c r="I14" s="652"/>
      <c r="J14" s="3"/>
      <c r="K14" s="3"/>
      <c r="L14" s="3"/>
      <c r="M14" s="652"/>
      <c r="N14" s="3" t="s">
        <v>1558</v>
      </c>
      <c r="O14" s="449" t="s">
        <v>701</v>
      </c>
      <c r="P14" s="449" t="s">
        <v>1556</v>
      </c>
      <c r="Q14" s="449" t="s">
        <v>1556</v>
      </c>
      <c r="R14" s="449">
        <v>100</v>
      </c>
      <c r="S14" s="449">
        <v>100</v>
      </c>
      <c r="T14" s="449">
        <v>100</v>
      </c>
      <c r="U14" s="449">
        <v>100</v>
      </c>
      <c r="V14" s="449">
        <v>100</v>
      </c>
      <c r="W14" s="449">
        <v>100</v>
      </c>
      <c r="X14" s="652" t="s">
        <v>1549</v>
      </c>
      <c r="Y14" s="3" t="s">
        <v>1559</v>
      </c>
      <c r="Z14" s="3" t="s">
        <v>1560</v>
      </c>
    </row>
    <row r="15" spans="2:26" s="1" customFormat="1" ht="126">
      <c r="B15" s="69"/>
      <c r="C15" s="652"/>
      <c r="D15" s="652"/>
      <c r="E15" s="652"/>
      <c r="F15" s="652"/>
      <c r="G15" s="652"/>
      <c r="H15" s="652"/>
      <c r="I15" s="652"/>
      <c r="J15" s="3"/>
      <c r="K15" s="3"/>
      <c r="L15" s="3"/>
      <c r="M15" s="652"/>
      <c r="N15" s="3" t="s">
        <v>1561</v>
      </c>
      <c r="O15" s="449" t="s">
        <v>701</v>
      </c>
      <c r="P15" s="449">
        <v>0</v>
      </c>
      <c r="Q15" s="449">
        <v>0</v>
      </c>
      <c r="R15" s="449">
        <v>100</v>
      </c>
      <c r="S15" s="449">
        <v>100</v>
      </c>
      <c r="T15" s="449">
        <v>100</v>
      </c>
      <c r="U15" s="449">
        <v>100</v>
      </c>
      <c r="V15" s="449">
        <v>100</v>
      </c>
      <c r="W15" s="449">
        <v>100</v>
      </c>
      <c r="X15" s="652" t="s">
        <v>1549</v>
      </c>
      <c r="Y15" s="3" t="s">
        <v>1562</v>
      </c>
      <c r="Z15" s="3" t="s">
        <v>2028</v>
      </c>
    </row>
    <row r="16" spans="2:26" s="1" customFormat="1" ht="78.75">
      <c r="B16" s="69"/>
      <c r="C16" s="652"/>
      <c r="D16" s="652"/>
      <c r="E16" s="652"/>
      <c r="F16" s="652"/>
      <c r="G16" s="652"/>
      <c r="H16" s="652"/>
      <c r="I16" s="652"/>
      <c r="J16" s="3"/>
      <c r="K16" s="3"/>
      <c r="L16" s="3"/>
      <c r="M16" s="652"/>
      <c r="N16" s="3" t="s">
        <v>1812</v>
      </c>
      <c r="O16" s="449" t="s">
        <v>701</v>
      </c>
      <c r="P16" s="449">
        <v>0</v>
      </c>
      <c r="Q16" s="449">
        <v>0</v>
      </c>
      <c r="R16" s="449">
        <v>0</v>
      </c>
      <c r="S16" s="449">
        <v>0</v>
      </c>
      <c r="T16" s="449">
        <v>0</v>
      </c>
      <c r="U16" s="449">
        <v>0</v>
      </c>
      <c r="V16" s="449">
        <v>0</v>
      </c>
      <c r="W16" s="449">
        <v>0</v>
      </c>
      <c r="X16" s="652" t="s">
        <v>1549</v>
      </c>
      <c r="Y16" s="3" t="s">
        <v>1563</v>
      </c>
      <c r="Z16" s="3" t="s">
        <v>1564</v>
      </c>
    </row>
    <row r="17" spans="2:26" s="1" customFormat="1" ht="94.5">
      <c r="B17" s="77"/>
      <c r="C17" s="653"/>
      <c r="D17" s="653"/>
      <c r="E17" s="653"/>
      <c r="F17" s="653"/>
      <c r="G17" s="653"/>
      <c r="H17" s="653"/>
      <c r="I17" s="653"/>
      <c r="J17" s="3"/>
      <c r="K17" s="3"/>
      <c r="L17" s="3"/>
      <c r="M17" s="653"/>
      <c r="N17" s="3" t="s">
        <v>1565</v>
      </c>
      <c r="O17" s="449" t="s">
        <v>701</v>
      </c>
      <c r="P17" s="449">
        <v>0</v>
      </c>
      <c r="Q17" s="449">
        <v>0</v>
      </c>
      <c r="R17" s="449">
        <v>0</v>
      </c>
      <c r="S17" s="449">
        <v>0</v>
      </c>
      <c r="T17" s="449">
        <v>0</v>
      </c>
      <c r="U17" s="449">
        <v>0</v>
      </c>
      <c r="V17" s="449">
        <v>0</v>
      </c>
      <c r="W17" s="449">
        <v>0</v>
      </c>
      <c r="X17" s="652" t="s">
        <v>1549</v>
      </c>
      <c r="Y17" s="3" t="s">
        <v>1566</v>
      </c>
      <c r="Z17" s="3" t="s">
        <v>1564</v>
      </c>
    </row>
    <row r="18" spans="2:26" s="1" customFormat="1" ht="63">
      <c r="B18" s="37" t="s">
        <v>23</v>
      </c>
      <c r="C18" s="651">
        <v>2</v>
      </c>
      <c r="D18" s="651" t="s">
        <v>1567</v>
      </c>
      <c r="E18" s="651">
        <v>2</v>
      </c>
      <c r="F18" s="651" t="s">
        <v>1568</v>
      </c>
      <c r="G18" s="651" t="s">
        <v>1569</v>
      </c>
      <c r="H18" s="651" t="s">
        <v>1538</v>
      </c>
      <c r="I18" s="879" t="s">
        <v>4984</v>
      </c>
      <c r="J18" s="95"/>
      <c r="K18" s="95"/>
      <c r="L18" s="3"/>
      <c r="M18" s="3"/>
      <c r="N18" s="3"/>
      <c r="O18" s="449"/>
      <c r="P18" s="449"/>
      <c r="Q18" s="449"/>
      <c r="R18" s="449"/>
      <c r="S18" s="449"/>
      <c r="T18" s="449"/>
      <c r="U18" s="449"/>
      <c r="V18" s="449"/>
      <c r="W18" s="449"/>
      <c r="X18" s="3"/>
      <c r="Y18" s="3"/>
      <c r="Z18" s="3"/>
    </row>
    <row r="19" spans="2:26" s="1" customFormat="1" ht="94.5">
      <c r="B19" s="69"/>
      <c r="C19" s="652"/>
      <c r="D19" s="652"/>
      <c r="E19" s="652"/>
      <c r="F19" s="652"/>
      <c r="G19" s="652"/>
      <c r="H19" s="652"/>
      <c r="I19" s="652"/>
      <c r="J19" s="95">
        <v>1.0900000000000001</v>
      </c>
      <c r="K19" s="3" t="s">
        <v>773</v>
      </c>
      <c r="L19" s="3">
        <v>16</v>
      </c>
      <c r="M19" s="651" t="s">
        <v>1570</v>
      </c>
      <c r="N19" s="651" t="s">
        <v>1571</v>
      </c>
      <c r="O19" s="449" t="s">
        <v>701</v>
      </c>
      <c r="P19" s="449" t="s">
        <v>1925</v>
      </c>
      <c r="Q19" s="449" t="s">
        <v>1926</v>
      </c>
      <c r="R19" s="449" t="s">
        <v>1927</v>
      </c>
      <c r="S19" s="449" t="s">
        <v>1928</v>
      </c>
      <c r="T19" s="449" t="s">
        <v>1929</v>
      </c>
      <c r="U19" s="449" t="s">
        <v>1930</v>
      </c>
      <c r="V19" s="449">
        <v>100</v>
      </c>
      <c r="W19" s="449">
        <v>100</v>
      </c>
      <c r="X19" s="3" t="s">
        <v>1572</v>
      </c>
      <c r="Y19" s="3" t="s">
        <v>1573</v>
      </c>
      <c r="Z19" s="3" t="s">
        <v>1574</v>
      </c>
    </row>
    <row r="20" spans="2:26" s="1" customFormat="1" ht="189">
      <c r="B20" s="77"/>
      <c r="C20" s="653"/>
      <c r="D20" s="653"/>
      <c r="E20" s="653"/>
      <c r="F20" s="653"/>
      <c r="G20" s="653"/>
      <c r="H20" s="653"/>
      <c r="I20" s="653"/>
      <c r="J20" s="95">
        <v>1.0900000000000001</v>
      </c>
      <c r="K20" s="3" t="s">
        <v>773</v>
      </c>
      <c r="L20" s="3">
        <v>17</v>
      </c>
      <c r="M20" s="651" t="s">
        <v>1575</v>
      </c>
      <c r="N20" s="3" t="s">
        <v>1576</v>
      </c>
      <c r="O20" s="449" t="s">
        <v>701</v>
      </c>
      <c r="P20" s="456">
        <v>5</v>
      </c>
      <c r="Q20" s="456">
        <v>7.5</v>
      </c>
      <c r="R20" s="456">
        <v>7.5</v>
      </c>
      <c r="S20" s="456">
        <v>12.5</v>
      </c>
      <c r="T20" s="456">
        <v>15</v>
      </c>
      <c r="U20" s="456">
        <v>17.5</v>
      </c>
      <c r="V20" s="456">
        <v>20</v>
      </c>
      <c r="W20" s="456">
        <v>20</v>
      </c>
      <c r="X20" s="3" t="s">
        <v>1572</v>
      </c>
      <c r="Y20" s="3" t="s">
        <v>1578</v>
      </c>
      <c r="Z20" s="3" t="s">
        <v>1952</v>
      </c>
    </row>
    <row r="21" spans="2:26" s="1" customFormat="1" ht="157.5">
      <c r="B21" s="37" t="s">
        <v>1579</v>
      </c>
      <c r="C21" s="651">
        <v>3</v>
      </c>
      <c r="D21" s="651" t="s">
        <v>1580</v>
      </c>
      <c r="E21" s="651">
        <v>3</v>
      </c>
      <c r="F21" s="651" t="s">
        <v>1581</v>
      </c>
      <c r="G21" s="651" t="s">
        <v>1582</v>
      </c>
      <c r="H21" s="651" t="s">
        <v>1583</v>
      </c>
      <c r="I21" s="879" t="s">
        <v>4985</v>
      </c>
      <c r="J21" s="3"/>
      <c r="K21" s="3"/>
      <c r="L21" s="3"/>
      <c r="M21" s="3"/>
      <c r="N21" s="3"/>
      <c r="O21" s="449"/>
      <c r="P21" s="449"/>
      <c r="Q21" s="449"/>
      <c r="R21" s="449"/>
      <c r="S21" s="449"/>
      <c r="T21" s="449"/>
      <c r="U21" s="449"/>
      <c r="V21" s="449"/>
      <c r="W21" s="449"/>
      <c r="X21" s="3"/>
      <c r="Y21" s="3"/>
      <c r="Z21" s="3"/>
    </row>
    <row r="22" spans="2:26" s="1" customFormat="1" ht="63">
      <c r="B22" s="69"/>
      <c r="C22" s="652"/>
      <c r="D22" s="652"/>
      <c r="E22" s="652"/>
      <c r="F22" s="652"/>
      <c r="G22" s="652"/>
      <c r="H22" s="652"/>
      <c r="I22" s="652"/>
      <c r="J22" s="663" t="s">
        <v>450</v>
      </c>
      <c r="K22" s="651" t="s">
        <v>773</v>
      </c>
      <c r="L22" s="651">
        <v>33</v>
      </c>
      <c r="M22" s="651" t="s">
        <v>1584</v>
      </c>
      <c r="N22" s="3" t="s">
        <v>1589</v>
      </c>
      <c r="O22" s="449" t="s">
        <v>701</v>
      </c>
      <c r="P22" s="456">
        <v>1.6</v>
      </c>
      <c r="Q22" s="456">
        <v>1.3</v>
      </c>
      <c r="R22" s="456">
        <v>1.4</v>
      </c>
      <c r="S22" s="456">
        <v>1.5</v>
      </c>
      <c r="T22" s="456">
        <v>1.6</v>
      </c>
      <c r="U22" s="456">
        <v>1.8</v>
      </c>
      <c r="V22" s="456">
        <v>1.9</v>
      </c>
      <c r="W22" s="456">
        <v>1.9</v>
      </c>
      <c r="X22" s="651" t="s">
        <v>1586</v>
      </c>
      <c r="Y22" s="3" t="s">
        <v>1847</v>
      </c>
      <c r="Z22" s="3"/>
    </row>
    <row r="23" spans="2:26" s="1" customFormat="1" ht="78.75">
      <c r="B23" s="69"/>
      <c r="C23" s="652"/>
      <c r="D23" s="652"/>
      <c r="E23" s="652"/>
      <c r="F23" s="652"/>
      <c r="G23" s="652"/>
      <c r="H23" s="652"/>
      <c r="I23" s="652"/>
      <c r="J23" s="652"/>
      <c r="K23" s="652"/>
      <c r="L23" s="652"/>
      <c r="M23" s="134"/>
      <c r="N23" s="3" t="s">
        <v>1590</v>
      </c>
      <c r="O23" s="449" t="s">
        <v>701</v>
      </c>
      <c r="P23" s="457">
        <f>160/8608*100</f>
        <v>1.8587360594795539</v>
      </c>
      <c r="Q23" s="457">
        <f>158/8298*100</f>
        <v>1.9040732706676309</v>
      </c>
      <c r="R23" s="458">
        <v>2.1</v>
      </c>
      <c r="S23" s="458">
        <v>2.4</v>
      </c>
      <c r="T23" s="458">
        <v>2.6</v>
      </c>
      <c r="U23" s="458">
        <v>2.8</v>
      </c>
      <c r="V23" s="458">
        <v>3</v>
      </c>
      <c r="W23" s="458">
        <v>3</v>
      </c>
      <c r="X23" s="651" t="s">
        <v>1586</v>
      </c>
      <c r="Y23" s="3" t="s">
        <v>1846</v>
      </c>
      <c r="Z23" s="3"/>
    </row>
    <row r="24" spans="2:26" s="1" customFormat="1" ht="94.5">
      <c r="B24" s="69"/>
      <c r="C24" s="652"/>
      <c r="D24" s="652"/>
      <c r="E24" s="652"/>
      <c r="F24" s="652"/>
      <c r="G24" s="652"/>
      <c r="H24" s="652"/>
      <c r="I24" s="652"/>
      <c r="J24" s="95" t="s">
        <v>450</v>
      </c>
      <c r="K24" s="3" t="s">
        <v>773</v>
      </c>
      <c r="L24" s="3">
        <v>32</v>
      </c>
      <c r="M24" s="3" t="s">
        <v>486</v>
      </c>
      <c r="N24" s="3" t="s">
        <v>1591</v>
      </c>
      <c r="O24" s="449" t="s">
        <v>701</v>
      </c>
      <c r="P24" s="456">
        <v>50</v>
      </c>
      <c r="Q24" s="456">
        <v>39</v>
      </c>
      <c r="R24" s="456">
        <v>37</v>
      </c>
      <c r="S24" s="456">
        <v>37</v>
      </c>
      <c r="T24" s="456">
        <v>36</v>
      </c>
      <c r="U24" s="456">
        <v>35</v>
      </c>
      <c r="V24" s="456">
        <v>34</v>
      </c>
      <c r="W24" s="456">
        <v>34</v>
      </c>
      <c r="X24" s="3" t="s">
        <v>1586</v>
      </c>
      <c r="Y24" s="3" t="s">
        <v>1845</v>
      </c>
      <c r="Z24" s="3"/>
    </row>
    <row r="25" spans="2:26" s="1" customFormat="1" ht="94.5">
      <c r="B25" s="69"/>
      <c r="C25" s="652"/>
      <c r="D25" s="652"/>
      <c r="E25" s="652"/>
      <c r="F25" s="652"/>
      <c r="G25" s="652"/>
      <c r="H25" s="652"/>
      <c r="I25" s="652"/>
      <c r="J25" s="663" t="s">
        <v>450</v>
      </c>
      <c r="K25" s="651" t="s">
        <v>773</v>
      </c>
      <c r="L25" s="651">
        <v>34</v>
      </c>
      <c r="M25" s="651" t="s">
        <v>490</v>
      </c>
      <c r="N25" s="3" t="s">
        <v>1592</v>
      </c>
      <c r="O25" s="449" t="s">
        <v>701</v>
      </c>
      <c r="P25" s="457">
        <f>27/34*100</f>
        <v>79.411764705882348</v>
      </c>
      <c r="Q25" s="457">
        <f>22/26*100</f>
        <v>84.615384615384613</v>
      </c>
      <c r="R25" s="458">
        <v>87</v>
      </c>
      <c r="S25" s="458">
        <v>89</v>
      </c>
      <c r="T25" s="458">
        <v>91</v>
      </c>
      <c r="U25" s="458">
        <v>93</v>
      </c>
      <c r="V25" s="458">
        <v>95</v>
      </c>
      <c r="W25" s="458">
        <v>95</v>
      </c>
      <c r="X25" s="651" t="s">
        <v>1586</v>
      </c>
      <c r="Y25" s="3" t="s">
        <v>1844</v>
      </c>
      <c r="Z25" s="3"/>
    </row>
    <row r="26" spans="2:26" s="1" customFormat="1" ht="63">
      <c r="B26" s="69"/>
      <c r="C26" s="652"/>
      <c r="D26" s="652"/>
      <c r="E26" s="652"/>
      <c r="F26" s="652"/>
      <c r="G26" s="652"/>
      <c r="H26" s="652"/>
      <c r="I26" s="652"/>
      <c r="J26" s="652"/>
      <c r="K26" s="652"/>
      <c r="L26" s="652"/>
      <c r="M26" s="652"/>
      <c r="N26" s="3" t="s">
        <v>1593</v>
      </c>
      <c r="O26" s="449" t="s">
        <v>701</v>
      </c>
      <c r="P26" s="456">
        <v>81</v>
      </c>
      <c r="Q26" s="458">
        <v>85</v>
      </c>
      <c r="R26" s="458">
        <v>86</v>
      </c>
      <c r="S26" s="458">
        <v>86</v>
      </c>
      <c r="T26" s="458">
        <v>87</v>
      </c>
      <c r="U26" s="458">
        <v>87</v>
      </c>
      <c r="V26" s="458">
        <v>90</v>
      </c>
      <c r="W26" s="458">
        <v>90</v>
      </c>
      <c r="X26" s="651" t="s">
        <v>1586</v>
      </c>
      <c r="Y26" s="3" t="s">
        <v>1594</v>
      </c>
      <c r="Z26" s="3" t="s">
        <v>1595</v>
      </c>
    </row>
    <row r="27" spans="2:26" s="1" customFormat="1" ht="47.25">
      <c r="B27" s="69"/>
      <c r="C27" s="652"/>
      <c r="D27" s="652"/>
      <c r="E27" s="652"/>
      <c r="F27" s="652"/>
      <c r="G27" s="652"/>
      <c r="H27" s="652"/>
      <c r="I27" s="652"/>
      <c r="J27" s="652"/>
      <c r="K27" s="652"/>
      <c r="L27" s="652"/>
      <c r="M27" s="652"/>
      <c r="N27" s="3" t="s">
        <v>1585</v>
      </c>
      <c r="O27" s="449" t="s">
        <v>701</v>
      </c>
      <c r="P27" s="456">
        <v>40</v>
      </c>
      <c r="Q27" s="456">
        <v>42</v>
      </c>
      <c r="R27" s="456">
        <v>46</v>
      </c>
      <c r="S27" s="456">
        <v>49</v>
      </c>
      <c r="T27" s="456">
        <v>52</v>
      </c>
      <c r="U27" s="456">
        <v>55</v>
      </c>
      <c r="V27" s="456">
        <v>58</v>
      </c>
      <c r="W27" s="456">
        <v>58</v>
      </c>
      <c r="X27" s="651" t="s">
        <v>1586</v>
      </c>
      <c r="Y27" s="3" t="s">
        <v>1841</v>
      </c>
      <c r="Z27" s="3" t="s">
        <v>1587</v>
      </c>
    </row>
    <row r="28" spans="2:26" s="1" customFormat="1" ht="47.25">
      <c r="B28" s="69"/>
      <c r="C28" s="652"/>
      <c r="D28" s="652"/>
      <c r="E28" s="652"/>
      <c r="F28" s="652"/>
      <c r="G28" s="652"/>
      <c r="H28" s="652"/>
      <c r="I28" s="652"/>
      <c r="J28" s="652"/>
      <c r="K28" s="652"/>
      <c r="L28" s="652"/>
      <c r="M28" s="652"/>
      <c r="N28" s="3" t="s">
        <v>1588</v>
      </c>
      <c r="O28" s="449" t="s">
        <v>701</v>
      </c>
      <c r="P28" s="456">
        <v>2.7</v>
      </c>
      <c r="Q28" s="456">
        <v>3.4</v>
      </c>
      <c r="R28" s="456">
        <v>3.7</v>
      </c>
      <c r="S28" s="456">
        <v>4.0999999999999996</v>
      </c>
      <c r="T28" s="456">
        <v>4.4000000000000004</v>
      </c>
      <c r="U28" s="456">
        <v>4.8</v>
      </c>
      <c r="V28" s="456">
        <v>5.0999999999999996</v>
      </c>
      <c r="W28" s="456">
        <v>5.0999999999999996</v>
      </c>
      <c r="X28" s="651" t="s">
        <v>1586</v>
      </c>
      <c r="Y28" s="3" t="s">
        <v>1842</v>
      </c>
      <c r="Z28" s="3" t="s">
        <v>1587</v>
      </c>
    </row>
    <row r="29" spans="2:26" s="1" customFormat="1" ht="78.75">
      <c r="B29" s="69"/>
      <c r="C29" s="652"/>
      <c r="D29" s="652"/>
      <c r="E29" s="652"/>
      <c r="F29" s="652"/>
      <c r="G29" s="652"/>
      <c r="H29" s="652"/>
      <c r="I29" s="652"/>
      <c r="J29" s="652"/>
      <c r="K29" s="652"/>
      <c r="L29" s="652"/>
      <c r="M29" s="652"/>
      <c r="N29" s="3" t="s">
        <v>1597</v>
      </c>
      <c r="O29" s="449" t="s">
        <v>701</v>
      </c>
      <c r="P29" s="456">
        <v>50</v>
      </c>
      <c r="Q29" s="458">
        <v>50</v>
      </c>
      <c r="R29" s="458">
        <v>51</v>
      </c>
      <c r="S29" s="458">
        <v>52</v>
      </c>
      <c r="T29" s="458">
        <v>53</v>
      </c>
      <c r="U29" s="458">
        <v>54</v>
      </c>
      <c r="V29" s="458">
        <v>55</v>
      </c>
      <c r="W29" s="458">
        <v>55</v>
      </c>
      <c r="X29" s="651" t="s">
        <v>1586</v>
      </c>
      <c r="Y29" s="3" t="s">
        <v>1598</v>
      </c>
      <c r="Z29" s="3" t="s">
        <v>1599</v>
      </c>
    </row>
    <row r="30" spans="2:26" s="1" customFormat="1" ht="78.75">
      <c r="B30" s="69"/>
      <c r="C30" s="652"/>
      <c r="D30" s="652"/>
      <c r="E30" s="652"/>
      <c r="F30" s="652"/>
      <c r="G30" s="652"/>
      <c r="H30" s="652"/>
      <c r="I30" s="652"/>
      <c r="J30" s="663" t="s">
        <v>450</v>
      </c>
      <c r="K30" s="651" t="s">
        <v>773</v>
      </c>
      <c r="L30" s="651">
        <v>35</v>
      </c>
      <c r="M30" s="651" t="s">
        <v>1596</v>
      </c>
      <c r="N30" s="3" t="s">
        <v>1600</v>
      </c>
      <c r="O30" s="449" t="s">
        <v>701</v>
      </c>
      <c r="P30" s="456">
        <v>100</v>
      </c>
      <c r="Q30" s="458">
        <v>99</v>
      </c>
      <c r="R30" s="456">
        <v>100</v>
      </c>
      <c r="S30" s="456">
        <v>100</v>
      </c>
      <c r="T30" s="456">
        <v>100</v>
      </c>
      <c r="U30" s="456">
        <v>100</v>
      </c>
      <c r="V30" s="456">
        <v>100</v>
      </c>
      <c r="W30" s="456">
        <v>100</v>
      </c>
      <c r="X30" s="651" t="s">
        <v>1586</v>
      </c>
      <c r="Y30" s="3" t="s">
        <v>1843</v>
      </c>
      <c r="Z30" s="3" t="s">
        <v>1840</v>
      </c>
    </row>
    <row r="31" spans="2:26" s="1" customFormat="1" ht="126">
      <c r="B31" s="69"/>
      <c r="C31" s="652"/>
      <c r="D31" s="652"/>
      <c r="E31" s="652"/>
      <c r="F31" s="652"/>
      <c r="G31" s="652"/>
      <c r="H31" s="652"/>
      <c r="I31" s="652"/>
      <c r="J31" s="663" t="s">
        <v>450</v>
      </c>
      <c r="K31" s="651" t="s">
        <v>773</v>
      </c>
      <c r="L31" s="651">
        <v>28</v>
      </c>
      <c r="M31" s="651" t="s">
        <v>478</v>
      </c>
      <c r="N31" s="3" t="s">
        <v>1601</v>
      </c>
      <c r="O31" s="449" t="s">
        <v>701</v>
      </c>
      <c r="P31" s="456">
        <v>100</v>
      </c>
      <c r="Q31" s="456">
        <v>100</v>
      </c>
      <c r="R31" s="456">
        <v>100</v>
      </c>
      <c r="S31" s="456">
        <v>100</v>
      </c>
      <c r="T31" s="456">
        <v>100</v>
      </c>
      <c r="U31" s="456">
        <v>100</v>
      </c>
      <c r="V31" s="456">
        <v>100</v>
      </c>
      <c r="W31" s="456">
        <v>100</v>
      </c>
      <c r="X31" s="651" t="s">
        <v>1577</v>
      </c>
      <c r="Y31" s="3" t="s">
        <v>1602</v>
      </c>
      <c r="Z31" s="3" t="s">
        <v>2029</v>
      </c>
    </row>
    <row r="32" spans="2:26" s="1" customFormat="1" ht="78.75">
      <c r="B32" s="69"/>
      <c r="C32" s="652"/>
      <c r="D32" s="652"/>
      <c r="E32" s="652"/>
      <c r="F32" s="652"/>
      <c r="G32" s="652"/>
      <c r="H32" s="652"/>
      <c r="I32" s="652"/>
      <c r="J32" s="652"/>
      <c r="K32" s="652"/>
      <c r="L32" s="652"/>
      <c r="M32" s="652"/>
      <c r="N32" s="3" t="s">
        <v>1603</v>
      </c>
      <c r="O32" s="449" t="s">
        <v>701</v>
      </c>
      <c r="P32" s="456">
        <v>100</v>
      </c>
      <c r="Q32" s="456">
        <v>100</v>
      </c>
      <c r="R32" s="456">
        <v>92.2</v>
      </c>
      <c r="S32" s="456">
        <v>100</v>
      </c>
      <c r="T32" s="456">
        <v>100</v>
      </c>
      <c r="U32" s="456">
        <v>100</v>
      </c>
      <c r="V32" s="456">
        <v>100</v>
      </c>
      <c r="W32" s="456">
        <v>100</v>
      </c>
      <c r="X32" s="651" t="s">
        <v>1577</v>
      </c>
      <c r="Y32" s="3" t="s">
        <v>1604</v>
      </c>
      <c r="Z32" s="3" t="s">
        <v>1605</v>
      </c>
    </row>
    <row r="33" spans="1:27" s="1" customFormat="1" ht="78.75">
      <c r="B33" s="69"/>
      <c r="C33" s="653"/>
      <c r="D33" s="653"/>
      <c r="E33" s="653"/>
      <c r="F33" s="653"/>
      <c r="G33" s="653"/>
      <c r="H33" s="653"/>
      <c r="I33" s="653"/>
      <c r="J33" s="653"/>
      <c r="K33" s="653"/>
      <c r="L33" s="653"/>
      <c r="M33" s="653"/>
      <c r="N33" s="3" t="s">
        <v>1606</v>
      </c>
      <c r="O33" s="449" t="s">
        <v>701</v>
      </c>
      <c r="P33" s="456">
        <v>98.1</v>
      </c>
      <c r="Q33" s="456">
        <v>97</v>
      </c>
      <c r="R33" s="456">
        <v>97</v>
      </c>
      <c r="S33" s="456">
        <v>97</v>
      </c>
      <c r="T33" s="456">
        <v>97</v>
      </c>
      <c r="U33" s="456">
        <v>97</v>
      </c>
      <c r="V33" s="456">
        <v>97</v>
      </c>
      <c r="W33" s="456">
        <v>97</v>
      </c>
      <c r="X33" s="651" t="s">
        <v>1577</v>
      </c>
      <c r="Y33" s="3" t="s">
        <v>1607</v>
      </c>
      <c r="Z33" s="3" t="s">
        <v>1605</v>
      </c>
    </row>
    <row r="34" spans="1:27" s="1" customFormat="1" ht="204.75">
      <c r="B34" s="69"/>
      <c r="C34" s="651">
        <v>4</v>
      </c>
      <c r="D34" s="651" t="s">
        <v>1608</v>
      </c>
      <c r="E34" s="651">
        <v>4</v>
      </c>
      <c r="F34" s="651" t="s">
        <v>1609</v>
      </c>
      <c r="G34" s="651" t="s">
        <v>1610</v>
      </c>
      <c r="H34" s="651" t="s">
        <v>1583</v>
      </c>
      <c r="I34" s="879" t="s">
        <v>4986</v>
      </c>
      <c r="J34" s="3"/>
      <c r="K34" s="3"/>
      <c r="L34" s="3"/>
      <c r="M34" s="3"/>
      <c r="N34" s="3"/>
      <c r="O34" s="449"/>
      <c r="P34" s="449"/>
      <c r="Q34" s="449"/>
      <c r="R34" s="449"/>
      <c r="S34" s="449"/>
      <c r="T34" s="449"/>
      <c r="U34" s="449"/>
      <c r="V34" s="449"/>
      <c r="W34" s="449"/>
      <c r="X34" s="3"/>
      <c r="Y34" s="3"/>
      <c r="Z34" s="3"/>
    </row>
    <row r="35" spans="1:27" s="1" customFormat="1" ht="78.75">
      <c r="B35" s="69"/>
      <c r="C35" s="652"/>
      <c r="D35" s="652"/>
      <c r="E35" s="652"/>
      <c r="F35" s="652"/>
      <c r="G35" s="652"/>
      <c r="H35" s="652"/>
      <c r="I35" s="652"/>
      <c r="J35" s="663" t="s">
        <v>450</v>
      </c>
      <c r="K35" s="651" t="s">
        <v>773</v>
      </c>
      <c r="L35" s="651">
        <v>15</v>
      </c>
      <c r="M35" s="651" t="s">
        <v>1611</v>
      </c>
      <c r="N35" s="3" t="s">
        <v>1612</v>
      </c>
      <c r="O35" s="449" t="s">
        <v>701</v>
      </c>
      <c r="P35" s="449">
        <v>100</v>
      </c>
      <c r="Q35" s="449">
        <v>100</v>
      </c>
      <c r="R35" s="449">
        <v>100</v>
      </c>
      <c r="S35" s="449">
        <v>100</v>
      </c>
      <c r="T35" s="449">
        <v>100</v>
      </c>
      <c r="U35" s="449">
        <v>100</v>
      </c>
      <c r="V35" s="449">
        <v>100</v>
      </c>
      <c r="W35" s="449">
        <v>100</v>
      </c>
      <c r="X35" s="651" t="s">
        <v>1613</v>
      </c>
      <c r="Y35" s="3" t="s">
        <v>1614</v>
      </c>
      <c r="Z35" s="3" t="s">
        <v>1615</v>
      </c>
    </row>
    <row r="36" spans="1:27" s="1" customFormat="1" ht="78.75">
      <c r="B36" s="69"/>
      <c r="C36" s="652"/>
      <c r="D36" s="652"/>
      <c r="E36" s="652"/>
      <c r="F36" s="652"/>
      <c r="G36" s="652"/>
      <c r="H36" s="652"/>
      <c r="I36" s="652"/>
      <c r="J36" s="653"/>
      <c r="K36" s="653"/>
      <c r="L36" s="653"/>
      <c r="M36" s="653"/>
      <c r="N36" s="3" t="s">
        <v>1616</v>
      </c>
      <c r="O36" s="449" t="s">
        <v>701</v>
      </c>
      <c r="P36" s="449">
        <v>100</v>
      </c>
      <c r="Q36" s="449">
        <v>100</v>
      </c>
      <c r="R36" s="449">
        <v>100</v>
      </c>
      <c r="S36" s="449">
        <v>100</v>
      </c>
      <c r="T36" s="449">
        <v>100</v>
      </c>
      <c r="U36" s="449">
        <v>100</v>
      </c>
      <c r="V36" s="449">
        <v>100</v>
      </c>
      <c r="W36" s="449">
        <v>100</v>
      </c>
      <c r="X36" s="651" t="s">
        <v>1613</v>
      </c>
      <c r="Y36" s="3" t="s">
        <v>1617</v>
      </c>
      <c r="Z36" s="3"/>
    </row>
    <row r="37" spans="1:27" s="1" customFormat="1" ht="63">
      <c r="B37" s="69"/>
      <c r="C37" s="652"/>
      <c r="D37" s="652"/>
      <c r="E37" s="652"/>
      <c r="F37" s="652"/>
      <c r="G37" s="652"/>
      <c r="H37" s="652"/>
      <c r="I37" s="652"/>
      <c r="J37" s="95" t="s">
        <v>450</v>
      </c>
      <c r="K37" s="3" t="s">
        <v>773</v>
      </c>
      <c r="L37" s="3">
        <v>21</v>
      </c>
      <c r="M37" s="3" t="s">
        <v>1618</v>
      </c>
      <c r="N37" s="651" t="s">
        <v>2113</v>
      </c>
      <c r="O37" s="1213" t="s">
        <v>701</v>
      </c>
      <c r="P37" s="1215"/>
      <c r="Q37" s="1219">
        <v>64</v>
      </c>
      <c r="R37" s="1219">
        <v>70</v>
      </c>
      <c r="S37" s="1219">
        <v>75</v>
      </c>
      <c r="T37" s="1219">
        <v>80</v>
      </c>
      <c r="U37" s="1219">
        <v>85</v>
      </c>
      <c r="V37" s="1219">
        <v>90</v>
      </c>
      <c r="W37" s="1213">
        <v>90</v>
      </c>
      <c r="X37" s="1154" t="s">
        <v>1619</v>
      </c>
      <c r="Y37" s="651" t="s">
        <v>1620</v>
      </c>
      <c r="Z37" s="1211" t="s">
        <v>1621</v>
      </c>
    </row>
    <row r="38" spans="1:27" s="1" customFormat="1" ht="63">
      <c r="B38" s="69"/>
      <c r="C38" s="652"/>
      <c r="D38" s="652"/>
      <c r="E38" s="652"/>
      <c r="F38" s="652"/>
      <c r="G38" s="652"/>
      <c r="H38" s="652"/>
      <c r="I38" s="652"/>
      <c r="J38" s="95" t="s">
        <v>450</v>
      </c>
      <c r="K38" s="3" t="s">
        <v>773</v>
      </c>
      <c r="L38" s="3">
        <v>22</v>
      </c>
      <c r="M38" s="3" t="s">
        <v>1622</v>
      </c>
      <c r="N38" s="653"/>
      <c r="O38" s="1214"/>
      <c r="P38" s="1216"/>
      <c r="Q38" s="1220"/>
      <c r="R38" s="1220"/>
      <c r="S38" s="1220"/>
      <c r="T38" s="1220"/>
      <c r="U38" s="1220"/>
      <c r="V38" s="1220"/>
      <c r="W38" s="1214"/>
      <c r="X38" s="1156"/>
      <c r="Y38" s="653"/>
      <c r="Z38" s="1212"/>
    </row>
    <row r="39" spans="1:27" s="1" customFormat="1" ht="110.25">
      <c r="B39" s="69"/>
      <c r="C39" s="652"/>
      <c r="D39" s="652"/>
      <c r="E39" s="652"/>
      <c r="F39" s="652"/>
      <c r="G39" s="652"/>
      <c r="H39" s="652"/>
      <c r="I39" s="652"/>
      <c r="J39" s="663" t="s">
        <v>450</v>
      </c>
      <c r="K39" s="651" t="s">
        <v>773</v>
      </c>
      <c r="L39" s="651">
        <v>26</v>
      </c>
      <c r="M39" s="651" t="s">
        <v>474</v>
      </c>
      <c r="N39" s="3" t="s">
        <v>2022</v>
      </c>
      <c r="O39" s="449" t="s">
        <v>701</v>
      </c>
      <c r="P39" s="454">
        <f>15/560*100</f>
        <v>2.6785714285714284</v>
      </c>
      <c r="Q39" s="454">
        <f>23/560*100</f>
        <v>4.1071428571428568</v>
      </c>
      <c r="R39" s="455">
        <v>7</v>
      </c>
      <c r="S39" s="455">
        <v>15</v>
      </c>
      <c r="T39" s="455">
        <v>45</v>
      </c>
      <c r="U39" s="455">
        <v>70</v>
      </c>
      <c r="V39" s="455">
        <f>560/560*100</f>
        <v>100</v>
      </c>
      <c r="W39" s="455">
        <v>100</v>
      </c>
      <c r="X39" s="651" t="s">
        <v>1623</v>
      </c>
      <c r="Y39" s="3" t="s">
        <v>1624</v>
      </c>
      <c r="Z39" s="3" t="s">
        <v>2000</v>
      </c>
    </row>
    <row r="40" spans="1:27" s="1" customFormat="1" ht="78.75">
      <c r="B40" s="69"/>
      <c r="C40" s="652"/>
      <c r="D40" s="652"/>
      <c r="E40" s="652"/>
      <c r="F40" s="652"/>
      <c r="G40" s="652"/>
      <c r="H40" s="652"/>
      <c r="I40" s="652"/>
      <c r="J40" s="653"/>
      <c r="K40" s="653"/>
      <c r="L40" s="653"/>
      <c r="M40" s="653"/>
      <c r="N40" s="3" t="s">
        <v>2023</v>
      </c>
      <c r="O40" s="449" t="s">
        <v>701</v>
      </c>
      <c r="P40" s="454">
        <f>8/645*100</f>
        <v>1.2403100775193798</v>
      </c>
      <c r="Q40" s="454">
        <f>16/645*100</f>
        <v>2.4806201550387597</v>
      </c>
      <c r="R40" s="455">
        <v>8</v>
      </c>
      <c r="S40" s="455">
        <v>25</v>
      </c>
      <c r="T40" s="455">
        <v>50</v>
      </c>
      <c r="U40" s="455">
        <v>75</v>
      </c>
      <c r="V40" s="455">
        <f>645/645*100</f>
        <v>100</v>
      </c>
      <c r="W40" s="455">
        <f>V40</f>
        <v>100</v>
      </c>
      <c r="X40" s="651" t="s">
        <v>1623</v>
      </c>
      <c r="Y40" s="3" t="s">
        <v>1625</v>
      </c>
      <c r="Z40" s="3" t="s">
        <v>1626</v>
      </c>
    </row>
    <row r="41" spans="1:27" s="1" customFormat="1" ht="31.5">
      <c r="B41" s="69"/>
      <c r="C41" s="652"/>
      <c r="D41" s="652"/>
      <c r="E41" s="652"/>
      <c r="F41" s="652"/>
      <c r="G41" s="652"/>
      <c r="H41" s="652"/>
      <c r="I41" s="652"/>
      <c r="J41" s="653"/>
      <c r="K41" s="653"/>
      <c r="L41" s="653"/>
      <c r="M41" s="881" t="s">
        <v>4987</v>
      </c>
      <c r="N41" s="651" t="s">
        <v>2115</v>
      </c>
      <c r="O41" s="671" t="s">
        <v>1627</v>
      </c>
      <c r="P41" s="465" t="s">
        <v>2026</v>
      </c>
      <c r="Q41" s="465" t="s">
        <v>2026</v>
      </c>
      <c r="R41" s="465" t="s">
        <v>2026</v>
      </c>
      <c r="S41" s="465" t="s">
        <v>2026</v>
      </c>
      <c r="T41" s="465" t="s">
        <v>2026</v>
      </c>
      <c r="U41" s="465" t="s">
        <v>2026</v>
      </c>
      <c r="V41" s="465" t="s">
        <v>2026</v>
      </c>
      <c r="W41" s="465" t="s">
        <v>2026</v>
      </c>
      <c r="X41" s="651" t="s">
        <v>1623</v>
      </c>
      <c r="Y41" s="651"/>
      <c r="Z41" s="651"/>
    </row>
    <row r="42" spans="1:27" s="1" customFormat="1" ht="31.5" customHeight="1">
      <c r="B42" s="69"/>
      <c r="C42" s="652"/>
      <c r="D42" s="652"/>
      <c r="E42" s="652"/>
      <c r="F42" s="652"/>
      <c r="G42" s="652"/>
      <c r="H42" s="652"/>
      <c r="I42" s="652"/>
      <c r="J42" s="95">
        <v>1.06</v>
      </c>
      <c r="K42" s="3" t="s">
        <v>773</v>
      </c>
      <c r="L42" s="3">
        <v>15</v>
      </c>
      <c r="M42" s="3" t="s">
        <v>1540</v>
      </c>
      <c r="N42" s="136" t="s">
        <v>2114</v>
      </c>
      <c r="O42" s="1213" t="s">
        <v>1627</v>
      </c>
      <c r="P42" s="1213" t="s">
        <v>2024</v>
      </c>
      <c r="Q42" s="1213" t="s">
        <v>2025</v>
      </c>
      <c r="R42" s="1213" t="s">
        <v>2025</v>
      </c>
      <c r="S42" s="1213" t="s">
        <v>2026</v>
      </c>
      <c r="T42" s="1213" t="s">
        <v>2026</v>
      </c>
      <c r="U42" s="1213" t="s">
        <v>2026</v>
      </c>
      <c r="V42" s="1213" t="s">
        <v>2026</v>
      </c>
      <c r="W42" s="1213" t="str">
        <f>V42</f>
        <v>B</v>
      </c>
      <c r="X42" s="1154" t="s">
        <v>1623</v>
      </c>
      <c r="Y42" s="1154" t="s">
        <v>1628</v>
      </c>
      <c r="Z42" s="1221" t="s">
        <v>1629</v>
      </c>
    </row>
    <row r="43" spans="1:27" s="1" customFormat="1" ht="31.5">
      <c r="B43" s="69"/>
      <c r="C43" s="652"/>
      <c r="D43" s="652"/>
      <c r="E43" s="652"/>
      <c r="F43" s="652"/>
      <c r="G43" s="652"/>
      <c r="H43" s="652"/>
      <c r="I43" s="652"/>
      <c r="J43" s="95" t="s">
        <v>450</v>
      </c>
      <c r="K43" s="3" t="s">
        <v>773</v>
      </c>
      <c r="L43" s="3">
        <v>27</v>
      </c>
      <c r="M43" s="3" t="s">
        <v>476</v>
      </c>
      <c r="N43" s="539"/>
      <c r="O43" s="1224"/>
      <c r="P43" s="1224"/>
      <c r="Q43" s="1224"/>
      <c r="R43" s="1224"/>
      <c r="S43" s="1224"/>
      <c r="T43" s="1224"/>
      <c r="U43" s="1224"/>
      <c r="V43" s="1224"/>
      <c r="W43" s="1224"/>
      <c r="X43" s="1155"/>
      <c r="Y43" s="1155"/>
      <c r="Z43" s="1222"/>
    </row>
    <row r="44" spans="1:27" s="1" customFormat="1" ht="31.5">
      <c r="B44" s="69"/>
      <c r="C44" s="652"/>
      <c r="D44" s="652"/>
      <c r="E44" s="652"/>
      <c r="F44" s="652"/>
      <c r="G44" s="652"/>
      <c r="H44" s="652"/>
      <c r="I44" s="652"/>
      <c r="J44" s="95" t="s">
        <v>450</v>
      </c>
      <c r="K44" s="3" t="s">
        <v>773</v>
      </c>
      <c r="L44" s="3">
        <v>29</v>
      </c>
      <c r="M44" s="3" t="s">
        <v>480</v>
      </c>
      <c r="N44" s="539"/>
      <c r="O44" s="1224"/>
      <c r="P44" s="1224"/>
      <c r="Q44" s="1224"/>
      <c r="R44" s="1224"/>
      <c r="S44" s="1224"/>
      <c r="T44" s="1224"/>
      <c r="U44" s="1224"/>
      <c r="V44" s="1224"/>
      <c r="W44" s="1224"/>
      <c r="X44" s="1155"/>
      <c r="Y44" s="1155"/>
      <c r="Z44" s="1222"/>
    </row>
    <row r="45" spans="1:27" s="1" customFormat="1" ht="47.25">
      <c r="B45" s="69"/>
      <c r="C45" s="652"/>
      <c r="D45" s="652"/>
      <c r="E45" s="652"/>
      <c r="F45" s="652"/>
      <c r="G45" s="652"/>
      <c r="H45" s="652"/>
      <c r="I45" s="652"/>
      <c r="J45" s="95" t="s">
        <v>450</v>
      </c>
      <c r="K45" s="3" t="s">
        <v>773</v>
      </c>
      <c r="L45" s="3">
        <v>16</v>
      </c>
      <c r="M45" s="3" t="s">
        <v>1630</v>
      </c>
      <c r="N45" s="539"/>
      <c r="O45" s="1224"/>
      <c r="P45" s="1224"/>
      <c r="Q45" s="1224"/>
      <c r="R45" s="1224"/>
      <c r="S45" s="1224"/>
      <c r="T45" s="1224"/>
      <c r="U45" s="1224"/>
      <c r="V45" s="1224"/>
      <c r="W45" s="1224"/>
      <c r="X45" s="1155"/>
      <c r="Y45" s="1155"/>
      <c r="Z45" s="1222"/>
    </row>
    <row r="46" spans="1:27" s="1" customFormat="1" ht="31.5">
      <c r="B46" s="69"/>
      <c r="C46" s="652"/>
      <c r="D46" s="652"/>
      <c r="E46" s="652"/>
      <c r="F46" s="652"/>
      <c r="G46" s="652"/>
      <c r="H46" s="652"/>
      <c r="I46" s="652"/>
      <c r="J46" s="95" t="s">
        <v>450</v>
      </c>
      <c r="K46" s="3" t="s">
        <v>773</v>
      </c>
      <c r="L46" s="3">
        <v>34</v>
      </c>
      <c r="M46" s="3" t="s">
        <v>490</v>
      </c>
      <c r="N46" s="538"/>
      <c r="O46" s="1214"/>
      <c r="P46" s="1214"/>
      <c r="Q46" s="1214"/>
      <c r="R46" s="1214"/>
      <c r="S46" s="1214"/>
      <c r="T46" s="1214"/>
      <c r="U46" s="1214"/>
      <c r="V46" s="1214"/>
      <c r="W46" s="1214"/>
      <c r="X46" s="1156"/>
      <c r="Y46" s="1156"/>
      <c r="Z46" s="1223"/>
    </row>
    <row r="47" spans="1:27" s="1" customFormat="1" ht="94.5">
      <c r="B47" s="69"/>
      <c r="C47" s="652"/>
      <c r="D47" s="652"/>
      <c r="E47" s="652"/>
      <c r="F47" s="652"/>
      <c r="G47" s="652"/>
      <c r="H47" s="652"/>
      <c r="I47" s="652"/>
      <c r="J47" s="95">
        <v>1.06</v>
      </c>
      <c r="K47" s="3" t="s">
        <v>773</v>
      </c>
      <c r="L47" s="1">
        <v>15</v>
      </c>
      <c r="M47" s="3" t="s">
        <v>1540</v>
      </c>
      <c r="N47" s="888" t="s">
        <v>1631</v>
      </c>
      <c r="O47" s="449" t="s">
        <v>701</v>
      </c>
      <c r="P47" s="449">
        <v>50</v>
      </c>
      <c r="Q47" s="449">
        <v>60</v>
      </c>
      <c r="R47" s="449">
        <v>70</v>
      </c>
      <c r="S47" s="449">
        <v>80</v>
      </c>
      <c r="T47" s="449">
        <v>90</v>
      </c>
      <c r="U47" s="449">
        <v>95</v>
      </c>
      <c r="V47" s="449">
        <v>95</v>
      </c>
      <c r="W47" s="449">
        <f>V47</f>
        <v>95</v>
      </c>
      <c r="X47" s="3" t="s">
        <v>1623</v>
      </c>
      <c r="Y47" s="3" t="s">
        <v>1632</v>
      </c>
      <c r="Z47" s="31"/>
    </row>
    <row r="48" spans="1:27" s="1" customFormat="1" ht="31.5">
      <c r="A48" s="3"/>
      <c r="B48" s="69"/>
      <c r="C48" s="652"/>
      <c r="D48" s="652"/>
      <c r="E48" s="652"/>
      <c r="F48" s="652"/>
      <c r="G48" s="652"/>
      <c r="H48" s="652"/>
      <c r="I48" s="652"/>
      <c r="J48" s="95" t="s">
        <v>450</v>
      </c>
      <c r="K48" s="3" t="s">
        <v>773</v>
      </c>
      <c r="L48" s="3">
        <v>27</v>
      </c>
      <c r="M48" s="881" t="s">
        <v>476</v>
      </c>
      <c r="N48" s="887"/>
      <c r="O48" s="885"/>
      <c r="P48" s="885"/>
      <c r="Q48" s="885"/>
      <c r="R48" s="885"/>
      <c r="S48" s="885"/>
      <c r="T48" s="885"/>
      <c r="U48" s="885"/>
      <c r="V48" s="885"/>
      <c r="W48" s="885"/>
      <c r="X48" s="880"/>
      <c r="Y48" s="880"/>
      <c r="Z48" s="883"/>
      <c r="AA48" s="75"/>
    </row>
    <row r="49" spans="1:27" s="1" customFormat="1" ht="31.5">
      <c r="A49" s="3"/>
      <c r="B49" s="69"/>
      <c r="C49" s="652"/>
      <c r="D49" s="652"/>
      <c r="E49" s="652"/>
      <c r="F49" s="652"/>
      <c r="G49" s="652"/>
      <c r="H49" s="652"/>
      <c r="I49" s="652"/>
      <c r="J49" s="95" t="s">
        <v>450</v>
      </c>
      <c r="K49" s="3" t="s">
        <v>773</v>
      </c>
      <c r="L49" s="3">
        <v>29</v>
      </c>
      <c r="M49" s="3" t="s">
        <v>480</v>
      </c>
      <c r="N49" s="887"/>
      <c r="O49" s="882"/>
      <c r="P49" s="882"/>
      <c r="Q49" s="882"/>
      <c r="R49" s="882"/>
      <c r="S49" s="882"/>
      <c r="T49" s="882"/>
      <c r="U49" s="882"/>
      <c r="V49" s="882"/>
      <c r="W49" s="882"/>
      <c r="X49" s="881"/>
      <c r="Y49" s="881"/>
      <c r="Z49" s="884"/>
      <c r="AA49" s="75"/>
    </row>
    <row r="50" spans="1:27" s="1" customFormat="1" ht="141.75">
      <c r="A50" s="3"/>
      <c r="B50" s="69"/>
      <c r="C50" s="652"/>
      <c r="D50" s="652"/>
      <c r="E50" s="652"/>
      <c r="F50" s="652"/>
      <c r="G50" s="652"/>
      <c r="H50" s="652"/>
      <c r="I50" s="652"/>
      <c r="J50" s="95" t="s">
        <v>450</v>
      </c>
      <c r="K50" s="3" t="s">
        <v>773</v>
      </c>
      <c r="L50" s="3">
        <v>16</v>
      </c>
      <c r="M50" s="3" t="s">
        <v>1630</v>
      </c>
      <c r="N50" s="3" t="s">
        <v>4990</v>
      </c>
      <c r="O50" s="885"/>
      <c r="P50" s="885"/>
      <c r="Q50" s="885"/>
      <c r="R50" s="885"/>
      <c r="S50" s="885"/>
      <c r="T50" s="885"/>
      <c r="U50" s="885"/>
      <c r="V50" s="885"/>
      <c r="W50" s="885"/>
      <c r="X50" s="880" t="s">
        <v>4988</v>
      </c>
      <c r="Y50" s="3" t="s">
        <v>4989</v>
      </c>
      <c r="Z50" s="883"/>
      <c r="AA50" s="75"/>
    </row>
    <row r="51" spans="1:27" s="1" customFormat="1" ht="94.5">
      <c r="B51" s="69"/>
      <c r="C51" s="652"/>
      <c r="D51" s="652"/>
      <c r="E51" s="652"/>
      <c r="F51" s="652"/>
      <c r="G51" s="652"/>
      <c r="H51" s="652"/>
      <c r="I51" s="652"/>
      <c r="J51" s="95" t="s">
        <v>450</v>
      </c>
      <c r="K51" s="3" t="s">
        <v>773</v>
      </c>
      <c r="L51" s="3">
        <v>20</v>
      </c>
      <c r="M51" s="3" t="s">
        <v>1633</v>
      </c>
      <c r="N51" s="3" t="s">
        <v>4991</v>
      </c>
      <c r="O51" s="449" t="s">
        <v>701</v>
      </c>
      <c r="P51" s="449"/>
      <c r="Q51" s="449"/>
      <c r="R51" s="449">
        <v>100</v>
      </c>
      <c r="S51" s="449">
        <v>100</v>
      </c>
      <c r="T51" s="449">
        <v>100</v>
      </c>
      <c r="U51" s="449">
        <v>100</v>
      </c>
      <c r="V51" s="449">
        <v>100</v>
      </c>
      <c r="W51" s="449">
        <v>100</v>
      </c>
      <c r="X51" s="3" t="s">
        <v>1634</v>
      </c>
      <c r="Y51" s="3" t="s">
        <v>1635</v>
      </c>
      <c r="Z51" s="3"/>
    </row>
    <row r="52" spans="1:27" s="1" customFormat="1" ht="63">
      <c r="B52" s="69"/>
      <c r="C52" s="652"/>
      <c r="D52" s="652"/>
      <c r="E52" s="652"/>
      <c r="F52" s="652"/>
      <c r="G52" s="652"/>
      <c r="H52" s="652"/>
      <c r="I52" s="652"/>
      <c r="J52" s="95" t="s">
        <v>450</v>
      </c>
      <c r="K52" s="3" t="s">
        <v>773</v>
      </c>
      <c r="L52" s="3">
        <v>29</v>
      </c>
      <c r="M52" s="3" t="s">
        <v>480</v>
      </c>
      <c r="N52" s="3" t="s">
        <v>1636</v>
      </c>
      <c r="O52" s="449" t="s">
        <v>701</v>
      </c>
      <c r="P52" s="449"/>
      <c r="Q52" s="449"/>
      <c r="R52" s="449">
        <v>100</v>
      </c>
      <c r="S52" s="449">
        <v>100</v>
      </c>
      <c r="T52" s="449">
        <v>100</v>
      </c>
      <c r="U52" s="449">
        <v>100</v>
      </c>
      <c r="V52" s="449">
        <v>100</v>
      </c>
      <c r="W52" s="449">
        <v>100</v>
      </c>
      <c r="X52" s="651" t="s">
        <v>1634</v>
      </c>
      <c r="Y52" s="3" t="s">
        <v>1637</v>
      </c>
      <c r="Z52" s="3"/>
    </row>
    <row r="53" spans="1:27" s="1" customFormat="1" ht="94.5">
      <c r="B53" s="69"/>
      <c r="C53" s="652"/>
      <c r="D53" s="652"/>
      <c r="E53" s="652"/>
      <c r="F53" s="652"/>
      <c r="G53" s="652"/>
      <c r="H53" s="652"/>
      <c r="I53" s="652"/>
      <c r="J53" s="95" t="s">
        <v>450</v>
      </c>
      <c r="K53" s="3" t="s">
        <v>773</v>
      </c>
      <c r="L53" s="3">
        <v>18</v>
      </c>
      <c r="M53" s="3" t="s">
        <v>1638</v>
      </c>
      <c r="N53" s="3" t="s">
        <v>1639</v>
      </c>
      <c r="O53" s="449" t="s">
        <v>701</v>
      </c>
      <c r="P53" s="449"/>
      <c r="Q53" s="449"/>
      <c r="R53" s="449">
        <v>100</v>
      </c>
      <c r="S53" s="449">
        <v>100</v>
      </c>
      <c r="T53" s="449">
        <v>100</v>
      </c>
      <c r="U53" s="449">
        <v>100</v>
      </c>
      <c r="V53" s="449">
        <v>100</v>
      </c>
      <c r="W53" s="449">
        <v>100</v>
      </c>
      <c r="X53" s="651" t="s">
        <v>1634</v>
      </c>
      <c r="Y53" s="3" t="s">
        <v>1640</v>
      </c>
      <c r="Z53" s="3"/>
    </row>
    <row r="54" spans="1:27" s="1" customFormat="1" ht="110.25" customHeight="1">
      <c r="B54" s="69"/>
      <c r="C54" s="652"/>
      <c r="D54" s="652"/>
      <c r="E54" s="652"/>
      <c r="F54" s="652"/>
      <c r="G54" s="652"/>
      <c r="H54" s="652"/>
      <c r="I54" s="652"/>
      <c r="J54" s="95" t="s">
        <v>450</v>
      </c>
      <c r="K54" s="3" t="s">
        <v>773</v>
      </c>
      <c r="L54" s="3">
        <v>26</v>
      </c>
      <c r="M54" s="3" t="s">
        <v>474</v>
      </c>
      <c r="N54" s="3" t="s">
        <v>1641</v>
      </c>
      <c r="O54" s="449" t="s">
        <v>701</v>
      </c>
      <c r="P54" s="449" t="s">
        <v>1998</v>
      </c>
      <c r="Q54" s="449">
        <v>100</v>
      </c>
      <c r="R54" s="449">
        <v>100</v>
      </c>
      <c r="S54" s="449">
        <v>100</v>
      </c>
      <c r="T54" s="449">
        <v>100</v>
      </c>
      <c r="U54" s="449">
        <v>100</v>
      </c>
      <c r="V54" s="449">
        <v>100</v>
      </c>
      <c r="W54" s="449">
        <v>100</v>
      </c>
      <c r="X54" s="3" t="s">
        <v>1642</v>
      </c>
      <c r="Y54" s="3" t="s">
        <v>1643</v>
      </c>
      <c r="Z54" s="3" t="s">
        <v>1644</v>
      </c>
    </row>
    <row r="55" spans="1:27" s="1" customFormat="1" ht="94.5">
      <c r="B55" s="69"/>
      <c r="C55" s="652"/>
      <c r="D55" s="652"/>
      <c r="E55" s="652"/>
      <c r="F55" s="652"/>
      <c r="G55" s="652"/>
      <c r="H55" s="652"/>
      <c r="I55" s="652"/>
      <c r="J55" s="95" t="s">
        <v>450</v>
      </c>
      <c r="K55" s="3" t="s">
        <v>773</v>
      </c>
      <c r="L55" s="3"/>
      <c r="M55" s="3" t="s">
        <v>1645</v>
      </c>
      <c r="N55" s="651" t="s">
        <v>1646</v>
      </c>
      <c r="O55" s="671" t="s">
        <v>701</v>
      </c>
      <c r="P55" s="671">
        <v>26</v>
      </c>
      <c r="Q55" s="671">
        <v>26</v>
      </c>
      <c r="R55" s="671">
        <v>26</v>
      </c>
      <c r="S55" s="671">
        <v>25</v>
      </c>
      <c r="T55" s="671">
        <v>25</v>
      </c>
      <c r="U55" s="671">
        <v>25</v>
      </c>
      <c r="V55" s="671">
        <v>25</v>
      </c>
      <c r="W55" s="671">
        <v>25</v>
      </c>
      <c r="X55" s="651" t="s">
        <v>1647</v>
      </c>
      <c r="Y55" s="651" t="s">
        <v>1648</v>
      </c>
      <c r="Z55" s="651"/>
    </row>
    <row r="56" spans="1:27" s="1" customFormat="1" ht="31.5">
      <c r="B56" s="69"/>
      <c r="C56" s="652"/>
      <c r="D56" s="652"/>
      <c r="E56" s="652"/>
      <c r="F56" s="652"/>
      <c r="G56" s="652"/>
      <c r="H56" s="652"/>
      <c r="I56" s="652"/>
      <c r="J56" s="95" t="s">
        <v>450</v>
      </c>
      <c r="K56" s="3" t="s">
        <v>773</v>
      </c>
      <c r="L56" s="3"/>
      <c r="M56" s="3" t="s">
        <v>1649</v>
      </c>
      <c r="N56" s="652"/>
      <c r="O56" s="676"/>
      <c r="P56" s="676"/>
      <c r="Q56" s="676"/>
      <c r="R56" s="676"/>
      <c r="S56" s="676"/>
      <c r="T56" s="676"/>
      <c r="U56" s="676"/>
      <c r="V56" s="676"/>
      <c r="W56" s="676"/>
      <c r="X56" s="652"/>
      <c r="Y56" s="652"/>
      <c r="Z56" s="652"/>
    </row>
    <row r="57" spans="1:27" s="1" customFormat="1" ht="31.5">
      <c r="B57" s="69"/>
      <c r="C57" s="652"/>
      <c r="D57" s="652"/>
      <c r="E57" s="652"/>
      <c r="F57" s="652"/>
      <c r="G57" s="652"/>
      <c r="H57" s="652"/>
      <c r="I57" s="652"/>
      <c r="J57" s="95" t="s">
        <v>450</v>
      </c>
      <c r="K57" s="3" t="s">
        <v>773</v>
      </c>
      <c r="L57" s="3"/>
      <c r="M57" s="3" t="s">
        <v>1650</v>
      </c>
      <c r="N57" s="652"/>
      <c r="O57" s="672"/>
      <c r="P57" s="672"/>
      <c r="Q57" s="672"/>
      <c r="R57" s="672"/>
      <c r="S57" s="672"/>
      <c r="T57" s="672"/>
      <c r="U57" s="672"/>
      <c r="V57" s="672"/>
      <c r="W57" s="672"/>
      <c r="X57" s="652"/>
      <c r="Y57" s="653"/>
      <c r="Z57" s="653"/>
    </row>
    <row r="58" spans="1:27" s="1" customFormat="1" ht="94.5">
      <c r="B58" s="69"/>
      <c r="C58" s="652"/>
      <c r="D58" s="652"/>
      <c r="E58" s="652"/>
      <c r="F58" s="652"/>
      <c r="G58" s="652"/>
      <c r="H58" s="652"/>
      <c r="I58" s="652"/>
      <c r="J58" s="95" t="s">
        <v>450</v>
      </c>
      <c r="K58" s="3" t="s">
        <v>773</v>
      </c>
      <c r="L58" s="3">
        <v>16</v>
      </c>
      <c r="M58" s="3" t="s">
        <v>1630</v>
      </c>
      <c r="N58" s="3" t="s">
        <v>1651</v>
      </c>
      <c r="O58" s="449" t="s">
        <v>701</v>
      </c>
      <c r="P58" s="449" t="s">
        <v>1041</v>
      </c>
      <c r="Q58" s="449" t="s">
        <v>1041</v>
      </c>
      <c r="R58" s="449">
        <v>100</v>
      </c>
      <c r="S58" s="449">
        <v>100</v>
      </c>
      <c r="T58" s="449">
        <v>100</v>
      </c>
      <c r="U58" s="449">
        <v>100</v>
      </c>
      <c r="V58" s="449">
        <v>100</v>
      </c>
      <c r="W58" s="449">
        <v>100</v>
      </c>
      <c r="X58" s="3" t="s">
        <v>1652</v>
      </c>
      <c r="Y58" s="3"/>
      <c r="Z58" s="3"/>
    </row>
    <row r="59" spans="1:27" s="1" customFormat="1" ht="31.5">
      <c r="B59" s="69"/>
      <c r="C59" s="652"/>
      <c r="D59" s="652"/>
      <c r="E59" s="652"/>
      <c r="F59" s="652"/>
      <c r="G59" s="652"/>
      <c r="H59" s="652"/>
      <c r="I59" s="652"/>
      <c r="J59" s="95" t="s">
        <v>450</v>
      </c>
      <c r="K59" s="3" t="s">
        <v>773</v>
      </c>
      <c r="L59" s="3">
        <v>25</v>
      </c>
      <c r="M59" s="3" t="s">
        <v>1653</v>
      </c>
      <c r="N59" s="651" t="s">
        <v>1654</v>
      </c>
      <c r="O59" s="449" t="s">
        <v>1544</v>
      </c>
      <c r="P59" s="449">
        <v>1</v>
      </c>
      <c r="Q59" s="449">
        <v>1</v>
      </c>
      <c r="R59" s="449">
        <v>1</v>
      </c>
      <c r="S59" s="449">
        <v>1</v>
      </c>
      <c r="T59" s="449">
        <v>1</v>
      </c>
      <c r="U59" s="449">
        <v>1</v>
      </c>
      <c r="V59" s="449">
        <v>1</v>
      </c>
      <c r="W59" s="449">
        <v>1</v>
      </c>
      <c r="X59" s="651" t="s">
        <v>1572</v>
      </c>
      <c r="Y59" s="3" t="s">
        <v>1655</v>
      </c>
      <c r="Z59" s="3" t="s">
        <v>1656</v>
      </c>
    </row>
    <row r="60" spans="1:27" s="1" customFormat="1" ht="78.75">
      <c r="B60" s="69"/>
      <c r="C60" s="653"/>
      <c r="D60" s="653"/>
      <c r="E60" s="653"/>
      <c r="F60" s="653"/>
      <c r="G60" s="653"/>
      <c r="H60" s="653"/>
      <c r="I60" s="653"/>
      <c r="J60" s="95" t="s">
        <v>450</v>
      </c>
      <c r="K60" s="3" t="s">
        <v>773</v>
      </c>
      <c r="L60" s="3">
        <v>20</v>
      </c>
      <c r="M60" s="3" t="s">
        <v>1657</v>
      </c>
      <c r="N60" s="3" t="s">
        <v>1658</v>
      </c>
      <c r="O60" s="449" t="s">
        <v>701</v>
      </c>
      <c r="P60" s="449" t="s">
        <v>1931</v>
      </c>
      <c r="Q60" s="449" t="s">
        <v>1932</v>
      </c>
      <c r="R60" s="449" t="s">
        <v>1933</v>
      </c>
      <c r="S60" s="449" t="s">
        <v>1934</v>
      </c>
      <c r="T60" s="449" t="s">
        <v>1359</v>
      </c>
      <c r="U60" s="449" t="s">
        <v>1359</v>
      </c>
      <c r="V60" s="449" t="s">
        <v>1359</v>
      </c>
      <c r="W60" s="449" t="s">
        <v>1359</v>
      </c>
      <c r="X60" s="3" t="s">
        <v>1572</v>
      </c>
      <c r="Y60" s="3" t="s">
        <v>1659</v>
      </c>
      <c r="Z60" s="3" t="s">
        <v>1660</v>
      </c>
    </row>
    <row r="61" spans="1:27" s="1" customFormat="1" ht="78.75">
      <c r="B61" s="69"/>
      <c r="C61" s="651"/>
      <c r="D61" s="651"/>
      <c r="E61" s="651">
        <v>5</v>
      </c>
      <c r="F61" s="651" t="s">
        <v>1661</v>
      </c>
      <c r="G61" s="651" t="s">
        <v>1662</v>
      </c>
      <c r="H61" s="651" t="s">
        <v>1661</v>
      </c>
      <c r="I61" s="879" t="s">
        <v>4992</v>
      </c>
      <c r="J61" s="3"/>
      <c r="K61" s="3"/>
      <c r="L61" s="3"/>
      <c r="M61" s="3"/>
      <c r="N61" s="3"/>
      <c r="O61" s="449"/>
      <c r="P61" s="449"/>
      <c r="Q61" s="449"/>
      <c r="R61" s="449"/>
      <c r="S61" s="449"/>
      <c r="T61" s="449"/>
      <c r="U61" s="449"/>
      <c r="V61" s="449"/>
      <c r="W61" s="449"/>
      <c r="X61" s="3"/>
      <c r="Y61" s="3"/>
      <c r="Z61" s="3"/>
    </row>
    <row r="62" spans="1:27" s="1" customFormat="1" ht="94.5">
      <c r="B62" s="69"/>
      <c r="C62" s="652"/>
      <c r="D62" s="652"/>
      <c r="E62" s="652"/>
      <c r="F62" s="652"/>
      <c r="G62" s="652"/>
      <c r="H62" s="652"/>
      <c r="I62" s="652"/>
      <c r="J62" s="95" t="s">
        <v>450</v>
      </c>
      <c r="K62" s="3" t="s">
        <v>773</v>
      </c>
      <c r="L62" s="3">
        <v>20</v>
      </c>
      <c r="M62" s="3" t="s">
        <v>1633</v>
      </c>
      <c r="N62" s="3" t="s">
        <v>1663</v>
      </c>
      <c r="O62" s="449" t="s">
        <v>701</v>
      </c>
      <c r="P62" s="449">
        <v>100</v>
      </c>
      <c r="Q62" s="449">
        <v>100</v>
      </c>
      <c r="R62" s="449">
        <v>100</v>
      </c>
      <c r="S62" s="449">
        <v>100</v>
      </c>
      <c r="T62" s="449">
        <v>100</v>
      </c>
      <c r="U62" s="449">
        <v>100</v>
      </c>
      <c r="V62" s="449">
        <v>100</v>
      </c>
      <c r="W62" s="449">
        <v>100</v>
      </c>
      <c r="X62" s="651" t="s">
        <v>1572</v>
      </c>
      <c r="Y62" s="3" t="s">
        <v>1664</v>
      </c>
      <c r="Z62" s="3" t="s">
        <v>1665</v>
      </c>
    </row>
    <row r="63" spans="1:27" s="1" customFormat="1" ht="78.75">
      <c r="B63" s="69"/>
      <c r="C63" s="652"/>
      <c r="D63" s="652"/>
      <c r="E63" s="652"/>
      <c r="F63" s="652"/>
      <c r="G63" s="652"/>
      <c r="H63" s="652"/>
      <c r="I63" s="652"/>
      <c r="J63" s="95" t="s">
        <v>450</v>
      </c>
      <c r="K63" s="3" t="s">
        <v>773</v>
      </c>
      <c r="L63" s="3">
        <v>33</v>
      </c>
      <c r="M63" s="3" t="s">
        <v>1584</v>
      </c>
      <c r="N63" s="3" t="s">
        <v>1935</v>
      </c>
      <c r="O63" s="449" t="s">
        <v>701</v>
      </c>
      <c r="P63" s="449">
        <v>10</v>
      </c>
      <c r="Q63" s="449">
        <v>10</v>
      </c>
      <c r="R63" s="449">
        <v>10</v>
      </c>
      <c r="S63" s="449">
        <v>25</v>
      </c>
      <c r="T63" s="449">
        <v>50</v>
      </c>
      <c r="U63" s="449">
        <v>75</v>
      </c>
      <c r="V63" s="449">
        <v>100</v>
      </c>
      <c r="W63" s="449">
        <v>100</v>
      </c>
      <c r="X63" s="651" t="s">
        <v>1572</v>
      </c>
      <c r="Y63" s="3" t="s">
        <v>1936</v>
      </c>
      <c r="Z63" s="3"/>
    </row>
    <row r="64" spans="1:27" s="1" customFormat="1" ht="78.75">
      <c r="B64" s="69"/>
      <c r="C64" s="652"/>
      <c r="D64" s="652"/>
      <c r="E64" s="652"/>
      <c r="F64" s="652"/>
      <c r="G64" s="652"/>
      <c r="H64" s="652"/>
      <c r="I64" s="652"/>
      <c r="J64" s="95" t="s">
        <v>450</v>
      </c>
      <c r="K64" s="3" t="s">
        <v>773</v>
      </c>
      <c r="L64" s="3">
        <v>19</v>
      </c>
      <c r="M64" s="3" t="s">
        <v>1666</v>
      </c>
      <c r="N64" s="651" t="s">
        <v>1667</v>
      </c>
      <c r="O64" s="671" t="s">
        <v>701</v>
      </c>
      <c r="P64" s="449">
        <v>100</v>
      </c>
      <c r="Q64" s="449">
        <v>100</v>
      </c>
      <c r="R64" s="449">
        <v>100</v>
      </c>
      <c r="S64" s="449">
        <v>100</v>
      </c>
      <c r="T64" s="449">
        <v>100</v>
      </c>
      <c r="U64" s="449">
        <v>100</v>
      </c>
      <c r="V64" s="449">
        <v>100</v>
      </c>
      <c r="W64" s="449">
        <v>100</v>
      </c>
      <c r="X64" s="651" t="s">
        <v>1668</v>
      </c>
      <c r="Y64" s="651" t="s">
        <v>1669</v>
      </c>
      <c r="Z64" s="651"/>
    </row>
    <row r="65" spans="2:26" s="1" customFormat="1" ht="31.5">
      <c r="B65" s="69"/>
      <c r="C65" s="653"/>
      <c r="D65" s="653"/>
      <c r="E65" s="653"/>
      <c r="F65" s="653"/>
      <c r="G65" s="653"/>
      <c r="H65" s="653"/>
      <c r="I65" s="653"/>
      <c r="J65" s="95" t="s">
        <v>450</v>
      </c>
      <c r="K65" s="3" t="s">
        <v>773</v>
      </c>
      <c r="L65" s="3">
        <v>28</v>
      </c>
      <c r="M65" s="3" t="s">
        <v>478</v>
      </c>
      <c r="N65" s="653"/>
      <c r="O65" s="672"/>
      <c r="P65" s="672"/>
      <c r="Q65" s="672"/>
      <c r="R65" s="672"/>
      <c r="S65" s="672"/>
      <c r="T65" s="672"/>
      <c r="U65" s="672"/>
      <c r="V65" s="672"/>
      <c r="W65" s="672"/>
      <c r="X65" s="653" t="s">
        <v>1577</v>
      </c>
      <c r="Y65" s="135"/>
      <c r="Z65" s="653"/>
    </row>
    <row r="66" spans="2:26" s="1" customFormat="1" ht="94.5">
      <c r="B66" s="69"/>
      <c r="C66" s="651">
        <v>5</v>
      </c>
      <c r="D66" s="651" t="s">
        <v>1670</v>
      </c>
      <c r="E66" s="651">
        <v>6</v>
      </c>
      <c r="F66" s="651" t="s">
        <v>1671</v>
      </c>
      <c r="G66" s="651" t="s">
        <v>1672</v>
      </c>
      <c r="H66" s="651" t="s">
        <v>1673</v>
      </c>
      <c r="I66" s="879" t="s">
        <v>4993</v>
      </c>
      <c r="J66" s="3"/>
      <c r="K66" s="3"/>
      <c r="L66" s="3"/>
      <c r="M66" s="3"/>
      <c r="N66" s="3"/>
      <c r="O66" s="449"/>
      <c r="P66" s="449"/>
      <c r="Q66" s="449"/>
      <c r="R66" s="449"/>
      <c r="S66" s="449"/>
      <c r="T66" s="449"/>
      <c r="U66" s="449"/>
      <c r="V66" s="449"/>
      <c r="W66" s="449"/>
      <c r="X66" s="3"/>
      <c r="Y66" s="3"/>
      <c r="Z66" s="3"/>
    </row>
    <row r="67" spans="2:26" s="1" customFormat="1" ht="63">
      <c r="B67" s="69"/>
      <c r="C67" s="652"/>
      <c r="D67" s="652"/>
      <c r="E67" s="652"/>
      <c r="F67" s="652"/>
      <c r="G67" s="652"/>
      <c r="H67" s="652"/>
      <c r="I67" s="652"/>
      <c r="J67" s="95" t="s">
        <v>450</v>
      </c>
      <c r="K67" s="3" t="s">
        <v>773</v>
      </c>
      <c r="L67" s="3">
        <v>17</v>
      </c>
      <c r="M67" s="3" t="s">
        <v>1674</v>
      </c>
      <c r="N67" s="651" t="s">
        <v>1675</v>
      </c>
      <c r="O67" s="449" t="s">
        <v>701</v>
      </c>
      <c r="P67" s="86">
        <v>0.87</v>
      </c>
      <c r="Q67" s="86">
        <v>0.85</v>
      </c>
      <c r="R67" s="86">
        <v>0.87</v>
      </c>
      <c r="S67" s="86">
        <v>0.87</v>
      </c>
      <c r="T67" s="86">
        <v>0.87</v>
      </c>
      <c r="U67" s="86">
        <v>0.87</v>
      </c>
      <c r="V67" s="86">
        <v>0.87</v>
      </c>
      <c r="W67" s="86">
        <v>0.87</v>
      </c>
      <c r="X67" s="3" t="s">
        <v>1647</v>
      </c>
      <c r="Y67" s="3" t="s">
        <v>1676</v>
      </c>
      <c r="Z67" s="3"/>
    </row>
    <row r="68" spans="2:26" s="1" customFormat="1" ht="47.25">
      <c r="B68" s="69"/>
      <c r="C68" s="652"/>
      <c r="D68" s="652"/>
      <c r="E68" s="652"/>
      <c r="F68" s="652"/>
      <c r="G68" s="652"/>
      <c r="H68" s="652"/>
      <c r="I68" s="652"/>
      <c r="J68" s="95" t="s">
        <v>450</v>
      </c>
      <c r="K68" s="3" t="s">
        <v>773</v>
      </c>
      <c r="L68" s="3">
        <v>18</v>
      </c>
      <c r="M68" s="3" t="s">
        <v>1677</v>
      </c>
      <c r="N68" s="3" t="s">
        <v>2132</v>
      </c>
      <c r="O68" s="449" t="s">
        <v>1627</v>
      </c>
      <c r="P68" s="449" t="s">
        <v>2133</v>
      </c>
      <c r="Q68" s="449" t="s">
        <v>2133</v>
      </c>
      <c r="R68" s="449" t="s">
        <v>2133</v>
      </c>
      <c r="S68" s="449" t="s">
        <v>2133</v>
      </c>
      <c r="T68" s="449" t="s">
        <v>2133</v>
      </c>
      <c r="U68" s="449" t="s">
        <v>2133</v>
      </c>
      <c r="V68" s="449" t="s">
        <v>2133</v>
      </c>
      <c r="W68" s="449" t="s">
        <v>2133</v>
      </c>
      <c r="X68" s="3" t="s">
        <v>1647</v>
      </c>
      <c r="Y68" s="3"/>
      <c r="Z68" s="3"/>
    </row>
    <row r="69" spans="2:26" s="1" customFormat="1" ht="78.75">
      <c r="B69" s="69"/>
      <c r="C69" s="652"/>
      <c r="D69" s="652"/>
      <c r="E69" s="652"/>
      <c r="F69" s="652"/>
      <c r="G69" s="652"/>
      <c r="H69" s="652"/>
      <c r="I69" s="652"/>
      <c r="J69" s="95" t="s">
        <v>450</v>
      </c>
      <c r="K69" s="3" t="s">
        <v>773</v>
      </c>
      <c r="L69" s="3">
        <v>17</v>
      </c>
      <c r="M69" s="3" t="s">
        <v>1674</v>
      </c>
      <c r="N69" s="651" t="s">
        <v>1678</v>
      </c>
      <c r="O69" s="449" t="s">
        <v>701</v>
      </c>
      <c r="P69" s="87" t="s">
        <v>4612</v>
      </c>
      <c r="Q69" s="87" t="s">
        <v>4613</v>
      </c>
      <c r="R69" s="456">
        <v>9</v>
      </c>
      <c r="S69" s="456">
        <v>9</v>
      </c>
      <c r="T69" s="456">
        <v>9</v>
      </c>
      <c r="U69" s="456">
        <v>9</v>
      </c>
      <c r="V69" s="456">
        <v>9</v>
      </c>
      <c r="W69" s="456">
        <v>9</v>
      </c>
      <c r="X69" s="3" t="s">
        <v>1647</v>
      </c>
      <c r="Y69" s="3" t="s">
        <v>4596</v>
      </c>
      <c r="Z69" s="3"/>
    </row>
    <row r="70" spans="2:26" s="1" customFormat="1" ht="47.25">
      <c r="B70" s="69"/>
      <c r="C70" s="652"/>
      <c r="D70" s="652"/>
      <c r="E70" s="653"/>
      <c r="F70" s="653"/>
      <c r="G70" s="653"/>
      <c r="H70" s="653"/>
      <c r="I70" s="653"/>
      <c r="J70" s="95" t="s">
        <v>450</v>
      </c>
      <c r="K70" s="3" t="s">
        <v>773</v>
      </c>
      <c r="L70" s="3">
        <v>18</v>
      </c>
      <c r="M70" s="3" t="s">
        <v>1677</v>
      </c>
      <c r="N70" s="653"/>
      <c r="O70" s="449"/>
      <c r="P70" s="449"/>
      <c r="Q70" s="449"/>
      <c r="R70" s="449"/>
      <c r="S70" s="449"/>
      <c r="T70" s="449"/>
      <c r="U70" s="449"/>
      <c r="V70" s="449"/>
      <c r="W70" s="449"/>
      <c r="X70" s="3" t="s">
        <v>1647</v>
      </c>
      <c r="Y70" s="3"/>
      <c r="Z70" s="3"/>
    </row>
    <row r="71" spans="2:26" s="1" customFormat="1" ht="94.5">
      <c r="B71" s="69"/>
      <c r="C71" s="652"/>
      <c r="D71" s="652"/>
      <c r="E71" s="651">
        <v>7</v>
      </c>
      <c r="F71" s="651" t="s">
        <v>1679</v>
      </c>
      <c r="G71" s="651" t="s">
        <v>1680</v>
      </c>
      <c r="H71" s="651" t="s">
        <v>1681</v>
      </c>
      <c r="I71" s="879" t="s">
        <v>4994</v>
      </c>
      <c r="J71" s="3"/>
      <c r="K71" s="3"/>
      <c r="L71" s="3"/>
      <c r="M71" s="3"/>
      <c r="N71" s="3"/>
      <c r="O71" s="449"/>
      <c r="P71" s="449"/>
      <c r="Q71" s="449"/>
      <c r="R71" s="449"/>
      <c r="S71" s="449"/>
      <c r="T71" s="449"/>
      <c r="U71" s="449"/>
      <c r="V71" s="449"/>
      <c r="W71" s="449"/>
      <c r="X71" s="3"/>
      <c r="Y71" s="3"/>
      <c r="Z71" s="3"/>
    </row>
    <row r="72" spans="2:26" s="1" customFormat="1" ht="78.75">
      <c r="B72" s="69"/>
      <c r="C72" s="652"/>
      <c r="D72" s="652"/>
      <c r="E72" s="652"/>
      <c r="F72" s="652"/>
      <c r="G72" s="652"/>
      <c r="H72" s="652"/>
      <c r="I72" s="652"/>
      <c r="J72" s="95" t="s">
        <v>450</v>
      </c>
      <c r="K72" s="3" t="s">
        <v>773</v>
      </c>
      <c r="L72" s="3">
        <v>17</v>
      </c>
      <c r="M72" s="3" t="s">
        <v>1674</v>
      </c>
      <c r="N72" s="651" t="s">
        <v>1682</v>
      </c>
      <c r="O72" s="449" t="s">
        <v>701</v>
      </c>
      <c r="P72" s="456">
        <v>70</v>
      </c>
      <c r="Q72" s="456">
        <v>75</v>
      </c>
      <c r="R72" s="456">
        <v>68</v>
      </c>
      <c r="S72" s="456">
        <v>68</v>
      </c>
      <c r="T72" s="456">
        <v>70</v>
      </c>
      <c r="U72" s="456">
        <v>75</v>
      </c>
      <c r="V72" s="456">
        <v>80</v>
      </c>
      <c r="W72" s="456">
        <v>80</v>
      </c>
      <c r="X72" s="3" t="s">
        <v>1647</v>
      </c>
      <c r="Y72" s="3" t="s">
        <v>1683</v>
      </c>
      <c r="Z72" s="3"/>
    </row>
    <row r="73" spans="2:26" s="1" customFormat="1" ht="47.25">
      <c r="B73" s="77"/>
      <c r="C73" s="653"/>
      <c r="D73" s="653"/>
      <c r="E73" s="653"/>
      <c r="F73" s="653"/>
      <c r="G73" s="653"/>
      <c r="H73" s="653"/>
      <c r="I73" s="653"/>
      <c r="J73" s="95" t="s">
        <v>450</v>
      </c>
      <c r="K73" s="3" t="s">
        <v>773</v>
      </c>
      <c r="L73" s="3">
        <v>18</v>
      </c>
      <c r="M73" s="3" t="s">
        <v>1677</v>
      </c>
      <c r="N73" s="653"/>
      <c r="O73" s="449"/>
      <c r="P73" s="449"/>
      <c r="Q73" s="449"/>
      <c r="R73" s="449"/>
      <c r="S73" s="449"/>
      <c r="T73" s="449"/>
      <c r="U73" s="449"/>
      <c r="V73" s="449"/>
      <c r="W73" s="449"/>
      <c r="X73" s="3" t="s">
        <v>1647</v>
      </c>
      <c r="Y73" s="3"/>
      <c r="Z73" s="3"/>
    </row>
    <row r="74" spans="2:26" s="1" customFormat="1" ht="47.25">
      <c r="B74" s="37" t="s">
        <v>26</v>
      </c>
      <c r="C74" s="651">
        <v>6</v>
      </c>
      <c r="D74" s="651" t="s">
        <v>1684</v>
      </c>
      <c r="E74" s="651">
        <v>8</v>
      </c>
      <c r="F74" s="651" t="s">
        <v>1685</v>
      </c>
      <c r="G74" s="651" t="s">
        <v>1686</v>
      </c>
      <c r="H74" s="651" t="s">
        <v>1684</v>
      </c>
      <c r="I74" s="879" t="s">
        <v>4995</v>
      </c>
      <c r="J74" s="3"/>
      <c r="K74" s="3"/>
      <c r="L74" s="3"/>
      <c r="M74" s="3"/>
      <c r="N74" s="3"/>
      <c r="O74" s="449"/>
      <c r="P74" s="449"/>
      <c r="Q74" s="449"/>
      <c r="R74" s="449"/>
      <c r="S74" s="449"/>
      <c r="T74" s="449"/>
      <c r="U74" s="449"/>
      <c r="V74" s="449"/>
      <c r="W74" s="449"/>
      <c r="X74" s="3"/>
      <c r="Y74" s="3"/>
      <c r="Z74" s="3"/>
    </row>
    <row r="75" spans="2:26" s="1" customFormat="1" ht="31.5">
      <c r="B75" s="69"/>
      <c r="C75" s="652"/>
      <c r="D75" s="652"/>
      <c r="E75" s="652"/>
      <c r="F75" s="652"/>
      <c r="G75" s="652"/>
      <c r="H75" s="652"/>
      <c r="I75" s="652"/>
      <c r="J75" s="3">
        <v>1.24</v>
      </c>
      <c r="K75" s="3" t="s">
        <v>773</v>
      </c>
      <c r="L75" s="3">
        <v>15</v>
      </c>
      <c r="M75" s="3" t="s">
        <v>1687</v>
      </c>
      <c r="N75" s="1154" t="s">
        <v>1688</v>
      </c>
      <c r="O75" s="1213" t="s">
        <v>701</v>
      </c>
      <c r="P75" s="1213">
        <v>63</v>
      </c>
      <c r="Q75" s="1213">
        <v>86</v>
      </c>
      <c r="R75" s="1213">
        <v>100</v>
      </c>
      <c r="S75" s="1213">
        <v>100</v>
      </c>
      <c r="T75" s="1213">
        <v>100</v>
      </c>
      <c r="U75" s="1213">
        <v>100</v>
      </c>
      <c r="V75" s="1213">
        <v>100</v>
      </c>
      <c r="W75" s="1213">
        <v>100</v>
      </c>
      <c r="X75" s="1154" t="s">
        <v>1689</v>
      </c>
      <c r="Y75" s="1154" t="s">
        <v>1690</v>
      </c>
      <c r="Z75" s="1221"/>
    </row>
    <row r="76" spans="2:26" s="1" customFormat="1" ht="47.25">
      <c r="B76" s="69"/>
      <c r="C76" s="652"/>
      <c r="D76" s="652"/>
      <c r="E76" s="652"/>
      <c r="F76" s="652"/>
      <c r="G76" s="652"/>
      <c r="H76" s="652"/>
      <c r="I76" s="652"/>
      <c r="J76" s="3">
        <v>1.24</v>
      </c>
      <c r="K76" s="3" t="s">
        <v>773</v>
      </c>
      <c r="L76" s="3">
        <v>16</v>
      </c>
      <c r="M76" s="3" t="s">
        <v>1691</v>
      </c>
      <c r="N76" s="1155"/>
      <c r="O76" s="1224"/>
      <c r="P76" s="1224"/>
      <c r="Q76" s="1224"/>
      <c r="R76" s="1224"/>
      <c r="S76" s="1224"/>
      <c r="T76" s="1224"/>
      <c r="U76" s="1224"/>
      <c r="V76" s="1224"/>
      <c r="W76" s="1224"/>
      <c r="X76" s="1155"/>
      <c r="Y76" s="1155"/>
      <c r="Z76" s="1222"/>
    </row>
    <row r="77" spans="2:26" s="1" customFormat="1" ht="47.25">
      <c r="B77" s="77"/>
      <c r="C77" s="653"/>
      <c r="D77" s="653"/>
      <c r="E77" s="653"/>
      <c r="F77" s="653"/>
      <c r="G77" s="653"/>
      <c r="H77" s="653"/>
      <c r="I77" s="653"/>
      <c r="J77" s="3">
        <v>1.24</v>
      </c>
      <c r="K77" s="3" t="s">
        <v>773</v>
      </c>
      <c r="L77" s="3">
        <v>17</v>
      </c>
      <c r="M77" s="3" t="s">
        <v>1692</v>
      </c>
      <c r="N77" s="1156"/>
      <c r="O77" s="1214"/>
      <c r="P77" s="1214"/>
      <c r="Q77" s="1214"/>
      <c r="R77" s="1214"/>
      <c r="S77" s="1214"/>
      <c r="T77" s="1214"/>
      <c r="U77" s="1214"/>
      <c r="V77" s="1214"/>
      <c r="W77" s="1214"/>
      <c r="X77" s="1156"/>
      <c r="Y77" s="1156"/>
      <c r="Z77" s="1223"/>
    </row>
    <row r="78" spans="2:26" s="1" customFormat="1" ht="63">
      <c r="B78" s="37" t="s">
        <v>1693</v>
      </c>
      <c r="C78" s="651">
        <v>7</v>
      </c>
      <c r="D78" s="651" t="s">
        <v>1694</v>
      </c>
      <c r="E78" s="651">
        <v>9</v>
      </c>
      <c r="F78" s="651" t="s">
        <v>1695</v>
      </c>
      <c r="G78" s="651" t="s">
        <v>1696</v>
      </c>
      <c r="H78" s="651" t="s">
        <v>1697</v>
      </c>
      <c r="I78" s="651" t="s">
        <v>1694</v>
      </c>
      <c r="J78" s="3"/>
      <c r="K78" s="3"/>
      <c r="L78" s="3"/>
      <c r="M78" s="3"/>
      <c r="N78" s="3"/>
      <c r="O78" s="449"/>
      <c r="P78" s="449"/>
      <c r="Q78" s="449"/>
      <c r="R78" s="449"/>
      <c r="S78" s="449"/>
      <c r="T78" s="449"/>
      <c r="U78" s="449"/>
      <c r="V78" s="449"/>
      <c r="W78" s="449"/>
      <c r="X78" s="3"/>
      <c r="Y78" s="3"/>
      <c r="Z78" s="3"/>
    </row>
    <row r="79" spans="2:26" s="1" customFormat="1" ht="110.25">
      <c r="B79" s="69"/>
      <c r="C79" s="652"/>
      <c r="D79" s="652"/>
      <c r="E79" s="652"/>
      <c r="F79" s="652"/>
      <c r="G79" s="652"/>
      <c r="H79" s="652"/>
      <c r="I79" s="652"/>
      <c r="J79" s="663" t="s">
        <v>317</v>
      </c>
      <c r="K79" s="651" t="s">
        <v>773</v>
      </c>
      <c r="L79" s="651">
        <v>15</v>
      </c>
      <c r="M79" s="651" t="s">
        <v>111</v>
      </c>
      <c r="N79" s="3" t="s">
        <v>1698</v>
      </c>
      <c r="O79" s="449" t="s">
        <v>701</v>
      </c>
      <c r="P79" s="449">
        <v>21.61</v>
      </c>
      <c r="Q79" s="449">
        <f>17.93+P79</f>
        <v>39.54</v>
      </c>
      <c r="R79" s="470">
        <v>53.18</v>
      </c>
      <c r="S79" s="470">
        <v>65.08</v>
      </c>
      <c r="T79" s="470">
        <v>76.989999999999995</v>
      </c>
      <c r="U79" s="470">
        <v>88.89</v>
      </c>
      <c r="V79" s="470">
        <v>100</v>
      </c>
      <c r="W79" s="449">
        <v>100</v>
      </c>
      <c r="X79" s="3" t="s">
        <v>1699</v>
      </c>
      <c r="Y79" s="3" t="s">
        <v>1700</v>
      </c>
      <c r="Z79" s="3"/>
    </row>
    <row r="80" spans="2:26" s="1" customFormat="1" ht="63">
      <c r="B80" s="69"/>
      <c r="C80" s="652"/>
      <c r="D80" s="652"/>
      <c r="E80" s="652"/>
      <c r="F80" s="652"/>
      <c r="G80" s="652"/>
      <c r="H80" s="652"/>
      <c r="I80" s="652"/>
      <c r="J80" s="652"/>
      <c r="K80" s="652"/>
      <c r="L80" s="652"/>
      <c r="M80" s="652"/>
      <c r="N80" s="3" t="s">
        <v>1701</v>
      </c>
      <c r="O80" s="449" t="s">
        <v>701</v>
      </c>
      <c r="P80" s="449">
        <v>86.56</v>
      </c>
      <c r="Q80" s="449">
        <v>2.39</v>
      </c>
      <c r="R80" s="449">
        <v>18.149999999999999</v>
      </c>
      <c r="S80" s="449">
        <f>4.69+R80</f>
        <v>22.84</v>
      </c>
      <c r="T80" s="449">
        <f>4.81+S80</f>
        <v>27.65</v>
      </c>
      <c r="U80" s="449">
        <f>4.93+T80</f>
        <v>32.58</v>
      </c>
      <c r="V80" s="449">
        <f>5.05+U80</f>
        <v>37.629999999999995</v>
      </c>
      <c r="W80" s="456">
        <v>37.630000000000003</v>
      </c>
      <c r="X80" s="3" t="s">
        <v>1699</v>
      </c>
      <c r="Y80" s="3" t="s">
        <v>4614</v>
      </c>
      <c r="Z80" s="3" t="s">
        <v>4597</v>
      </c>
    </row>
    <row r="81" spans="2:26" s="1" customFormat="1" ht="110.25">
      <c r="B81" s="69"/>
      <c r="C81" s="652"/>
      <c r="D81" s="652"/>
      <c r="E81" s="652"/>
      <c r="F81" s="652"/>
      <c r="G81" s="652"/>
      <c r="H81" s="652"/>
      <c r="I81" s="652"/>
      <c r="J81" s="652"/>
      <c r="K81" s="652"/>
      <c r="L81" s="652"/>
      <c r="M81" s="652"/>
      <c r="N81" s="3" t="s">
        <v>2030</v>
      </c>
      <c r="O81" s="449" t="s">
        <v>701</v>
      </c>
      <c r="P81" s="449">
        <v>40.43</v>
      </c>
      <c r="Q81" s="449">
        <v>42.65</v>
      </c>
      <c r="R81" s="449">
        <v>47.94</v>
      </c>
      <c r="S81" s="449">
        <v>51.56</v>
      </c>
      <c r="T81" s="449">
        <v>56.13</v>
      </c>
      <c r="U81" s="449">
        <v>59.79</v>
      </c>
      <c r="V81" s="449">
        <v>63.46</v>
      </c>
      <c r="W81" s="449">
        <v>67.010000000000005</v>
      </c>
      <c r="X81" s="3" t="s">
        <v>1699</v>
      </c>
      <c r="Y81" s="3" t="s">
        <v>1702</v>
      </c>
      <c r="Z81" s="3"/>
    </row>
    <row r="82" spans="2:26" s="1" customFormat="1" ht="63">
      <c r="B82" s="69"/>
      <c r="C82" s="652"/>
      <c r="D82" s="652"/>
      <c r="E82" s="652"/>
      <c r="F82" s="652"/>
      <c r="G82" s="652"/>
      <c r="H82" s="652"/>
      <c r="I82" s="652"/>
      <c r="J82" s="652"/>
      <c r="K82" s="652"/>
      <c r="L82" s="652"/>
      <c r="M82" s="652"/>
      <c r="N82" s="3" t="s">
        <v>4599</v>
      </c>
      <c r="O82" s="449" t="s">
        <v>701</v>
      </c>
      <c r="P82" s="449">
        <v>1.83</v>
      </c>
      <c r="Q82" s="449">
        <v>1.4</v>
      </c>
      <c r="R82" s="449">
        <v>100</v>
      </c>
      <c r="S82" s="449">
        <v>100</v>
      </c>
      <c r="T82" s="449">
        <v>100</v>
      </c>
      <c r="U82" s="449">
        <v>100</v>
      </c>
      <c r="V82" s="449">
        <v>100</v>
      </c>
      <c r="W82" s="449">
        <v>100</v>
      </c>
      <c r="X82" s="3" t="s">
        <v>1699</v>
      </c>
      <c r="Y82" s="3" t="s">
        <v>4615</v>
      </c>
      <c r="Z82" s="3"/>
    </row>
    <row r="83" spans="2:26" s="1" customFormat="1" ht="126">
      <c r="B83" s="77"/>
      <c r="C83" s="653"/>
      <c r="D83" s="653"/>
      <c r="E83" s="653"/>
      <c r="F83" s="653"/>
      <c r="G83" s="653"/>
      <c r="H83" s="653"/>
      <c r="I83" s="653"/>
      <c r="J83" s="653"/>
      <c r="K83" s="653"/>
      <c r="L83" s="653"/>
      <c r="M83" s="653"/>
      <c r="N83" s="3" t="s">
        <v>1703</v>
      </c>
      <c r="O83" s="449" t="s">
        <v>701</v>
      </c>
      <c r="P83" s="456">
        <v>100</v>
      </c>
      <c r="Q83" s="456">
        <v>100</v>
      </c>
      <c r="R83" s="456">
        <v>100</v>
      </c>
      <c r="S83" s="456">
        <v>100</v>
      </c>
      <c r="T83" s="456">
        <v>100</v>
      </c>
      <c r="U83" s="456">
        <v>100</v>
      </c>
      <c r="V83" s="456">
        <v>100</v>
      </c>
      <c r="W83" s="456">
        <v>100</v>
      </c>
      <c r="X83" s="3" t="s">
        <v>1699</v>
      </c>
      <c r="Y83" s="3" t="s">
        <v>1704</v>
      </c>
      <c r="Z83" s="3"/>
    </row>
    <row r="84" spans="2:26" s="1" customFormat="1" ht="110.25">
      <c r="B84" s="37" t="s">
        <v>24</v>
      </c>
      <c r="C84" s="651">
        <v>8</v>
      </c>
      <c r="D84" s="651" t="s">
        <v>1705</v>
      </c>
      <c r="E84" s="651">
        <v>10</v>
      </c>
      <c r="F84" s="651" t="s">
        <v>1706</v>
      </c>
      <c r="G84" s="651" t="s">
        <v>1707</v>
      </c>
      <c r="H84" s="651" t="s">
        <v>1708</v>
      </c>
      <c r="I84" s="879" t="s">
        <v>4996</v>
      </c>
      <c r="J84" s="3"/>
      <c r="K84" s="3"/>
      <c r="L84" s="3"/>
      <c r="M84" s="3"/>
      <c r="N84" s="3"/>
      <c r="O84" s="449"/>
      <c r="P84" s="449"/>
      <c r="Q84" s="449"/>
      <c r="R84" s="449"/>
      <c r="S84" s="449"/>
      <c r="T84" s="449"/>
      <c r="U84" s="449"/>
      <c r="V84" s="449"/>
      <c r="W84" s="449"/>
      <c r="X84" s="3"/>
      <c r="Y84" s="3"/>
      <c r="Z84" s="3"/>
    </row>
    <row r="85" spans="2:26" s="1" customFormat="1" ht="94.5">
      <c r="B85" s="69"/>
      <c r="C85" s="652"/>
      <c r="D85" s="652"/>
      <c r="E85" s="652"/>
      <c r="F85" s="652"/>
      <c r="G85" s="652"/>
      <c r="H85" s="652"/>
      <c r="I85" s="652"/>
      <c r="J85" s="651">
        <v>1.1599999999999999</v>
      </c>
      <c r="K85" s="651" t="s">
        <v>773</v>
      </c>
      <c r="L85" s="651">
        <v>15</v>
      </c>
      <c r="M85" s="81" t="s">
        <v>1728</v>
      </c>
      <c r="N85" s="3" t="s">
        <v>1709</v>
      </c>
      <c r="O85" s="449" t="s">
        <v>701</v>
      </c>
      <c r="P85" s="449">
        <v>0</v>
      </c>
      <c r="Q85" s="449">
        <f>8/32*100</f>
        <v>25</v>
      </c>
      <c r="R85" s="449">
        <v>75</v>
      </c>
      <c r="S85" s="449">
        <v>100</v>
      </c>
      <c r="T85" s="449">
        <v>100</v>
      </c>
      <c r="U85" s="449">
        <v>100</v>
      </c>
      <c r="V85" s="449">
        <v>100</v>
      </c>
      <c r="W85" s="449">
        <v>100</v>
      </c>
      <c r="X85" s="3" t="s">
        <v>1710</v>
      </c>
      <c r="Y85" s="3" t="s">
        <v>1711</v>
      </c>
      <c r="Z85" s="3"/>
    </row>
    <row r="86" spans="2:26" s="1" customFormat="1" ht="78.75">
      <c r="B86" s="69"/>
      <c r="C86" s="652"/>
      <c r="D86" s="652"/>
      <c r="E86" s="652"/>
      <c r="F86" s="652"/>
      <c r="G86" s="652"/>
      <c r="H86" s="652"/>
      <c r="I86" s="652"/>
      <c r="J86" s="652"/>
      <c r="K86" s="652"/>
      <c r="L86" s="652"/>
      <c r="M86" s="82"/>
      <c r="N86" s="3" t="s">
        <v>1712</v>
      </c>
      <c r="O86" s="449" t="s">
        <v>701</v>
      </c>
      <c r="P86" s="449">
        <v>95</v>
      </c>
      <c r="Q86" s="449">
        <v>95</v>
      </c>
      <c r="R86" s="449">
        <v>95</v>
      </c>
      <c r="S86" s="449">
        <v>95</v>
      </c>
      <c r="T86" s="449">
        <v>95</v>
      </c>
      <c r="U86" s="449">
        <v>95</v>
      </c>
      <c r="V86" s="449">
        <v>95</v>
      </c>
      <c r="W86" s="449">
        <v>95</v>
      </c>
      <c r="X86" s="3" t="s">
        <v>1710</v>
      </c>
      <c r="Y86" s="3" t="s">
        <v>1713</v>
      </c>
      <c r="Z86" s="3"/>
    </row>
    <row r="87" spans="2:26" s="1" customFormat="1" ht="110.25">
      <c r="B87" s="69"/>
      <c r="C87" s="652"/>
      <c r="D87" s="652"/>
      <c r="E87" s="652"/>
      <c r="F87" s="652"/>
      <c r="G87" s="652"/>
      <c r="H87" s="652"/>
      <c r="I87" s="652"/>
      <c r="J87" s="652"/>
      <c r="K87" s="652"/>
      <c r="L87" s="652"/>
      <c r="M87" s="82"/>
      <c r="N87" s="3" t="s">
        <v>1703</v>
      </c>
      <c r="O87" s="449" t="s">
        <v>701</v>
      </c>
      <c r="P87" s="449">
        <v>100</v>
      </c>
      <c r="Q87" s="449">
        <v>100</v>
      </c>
      <c r="R87" s="449">
        <v>100</v>
      </c>
      <c r="S87" s="449">
        <v>100</v>
      </c>
      <c r="T87" s="449">
        <v>100</v>
      </c>
      <c r="U87" s="449">
        <v>100</v>
      </c>
      <c r="V87" s="449">
        <v>100</v>
      </c>
      <c r="W87" s="449">
        <v>100</v>
      </c>
      <c r="X87" s="3" t="s">
        <v>1710</v>
      </c>
      <c r="Y87" s="3" t="s">
        <v>1714</v>
      </c>
      <c r="Z87" s="3"/>
    </row>
    <row r="88" spans="2:26" s="1" customFormat="1" ht="78.75">
      <c r="B88" s="69"/>
      <c r="C88" s="652"/>
      <c r="D88" s="652"/>
      <c r="E88" s="652"/>
      <c r="F88" s="652"/>
      <c r="G88" s="652"/>
      <c r="H88" s="652"/>
      <c r="I88" s="652"/>
      <c r="J88" s="652"/>
      <c r="K88" s="652"/>
      <c r="L88" s="652"/>
      <c r="M88" s="82"/>
      <c r="N88" s="3" t="s">
        <v>1715</v>
      </c>
      <c r="O88" s="449" t="s">
        <v>1716</v>
      </c>
      <c r="P88" s="449">
        <v>12</v>
      </c>
      <c r="Q88" s="449">
        <v>11</v>
      </c>
      <c r="R88" s="449">
        <v>10</v>
      </c>
      <c r="S88" s="449">
        <v>9</v>
      </c>
      <c r="T88" s="449">
        <v>8</v>
      </c>
      <c r="U88" s="449">
        <v>7</v>
      </c>
      <c r="V88" s="449">
        <v>6</v>
      </c>
      <c r="W88" s="449">
        <v>6</v>
      </c>
      <c r="X88" s="3" t="s">
        <v>1710</v>
      </c>
      <c r="Y88" s="3" t="s">
        <v>1717</v>
      </c>
      <c r="Z88" s="3"/>
    </row>
    <row r="89" spans="2:26" s="1" customFormat="1" ht="78.75">
      <c r="B89" s="69"/>
      <c r="C89" s="652"/>
      <c r="D89" s="652"/>
      <c r="E89" s="651">
        <v>11</v>
      </c>
      <c r="F89" s="651" t="s">
        <v>1718</v>
      </c>
      <c r="G89" s="651" t="s">
        <v>1719</v>
      </c>
      <c r="H89" s="651"/>
      <c r="I89" s="879" t="s">
        <v>4997</v>
      </c>
      <c r="J89" s="3"/>
      <c r="K89" s="3"/>
      <c r="L89" s="3"/>
      <c r="M89" s="3"/>
      <c r="N89" s="3"/>
      <c r="O89" s="449"/>
      <c r="P89" s="449"/>
      <c r="Q89" s="449"/>
      <c r="R89" s="449"/>
      <c r="S89" s="449"/>
      <c r="T89" s="449"/>
      <c r="U89" s="449"/>
      <c r="V89" s="449"/>
      <c r="W89" s="449"/>
      <c r="X89" s="3"/>
      <c r="Y89" s="3"/>
      <c r="Z89" s="3"/>
    </row>
    <row r="90" spans="2:26" s="1" customFormat="1" ht="31.5">
      <c r="B90" s="69"/>
      <c r="C90" s="652"/>
      <c r="D90" s="652"/>
      <c r="E90" s="652"/>
      <c r="F90" s="652"/>
      <c r="G90" s="652"/>
      <c r="H90" s="652"/>
      <c r="I90" s="652"/>
      <c r="J90" s="3">
        <v>1.1599999999999999</v>
      </c>
      <c r="K90" s="3" t="s">
        <v>773</v>
      </c>
      <c r="L90" s="3">
        <v>16</v>
      </c>
      <c r="M90" s="19" t="s">
        <v>397</v>
      </c>
      <c r="N90" s="136" t="s">
        <v>1720</v>
      </c>
      <c r="O90" s="1213" t="s">
        <v>701</v>
      </c>
      <c r="P90" s="1225" t="s">
        <v>4616</v>
      </c>
      <c r="Q90" s="1225" t="s">
        <v>4617</v>
      </c>
      <c r="R90" s="1225" t="s">
        <v>4618</v>
      </c>
      <c r="S90" s="1225" t="s">
        <v>4619</v>
      </c>
      <c r="T90" s="1225" t="s">
        <v>4620</v>
      </c>
      <c r="U90" s="1225" t="s">
        <v>4620</v>
      </c>
      <c r="V90" s="1225" t="s">
        <v>4620</v>
      </c>
      <c r="W90" s="1225" t="s">
        <v>4620</v>
      </c>
      <c r="X90" s="1154" t="s">
        <v>1710</v>
      </c>
      <c r="Y90" s="1154" t="s">
        <v>1721</v>
      </c>
      <c r="Z90" s="1221"/>
    </row>
    <row r="91" spans="2:26" s="1" customFormat="1" ht="68.25" customHeight="1">
      <c r="B91" s="69"/>
      <c r="C91" s="652"/>
      <c r="D91" s="652"/>
      <c r="E91" s="652"/>
      <c r="F91" s="652"/>
      <c r="G91" s="652"/>
      <c r="H91" s="652"/>
      <c r="I91" s="652"/>
      <c r="J91" s="3"/>
      <c r="K91" s="3"/>
      <c r="L91" s="3"/>
      <c r="M91" s="19"/>
      <c r="N91" s="538"/>
      <c r="O91" s="1214"/>
      <c r="P91" s="1226"/>
      <c r="Q91" s="1226"/>
      <c r="R91" s="1226"/>
      <c r="S91" s="1226"/>
      <c r="T91" s="1226"/>
      <c r="U91" s="1226"/>
      <c r="V91" s="1226"/>
      <c r="W91" s="1226"/>
      <c r="X91" s="1156"/>
      <c r="Y91" s="1156"/>
      <c r="Z91" s="1223"/>
    </row>
    <row r="92" spans="2:26" s="1" customFormat="1" ht="31.5">
      <c r="B92" s="69"/>
      <c r="C92" s="652"/>
      <c r="D92" s="652"/>
      <c r="E92" s="652"/>
      <c r="F92" s="652"/>
      <c r="G92" s="652"/>
      <c r="H92" s="652"/>
      <c r="I92" s="652"/>
      <c r="J92" s="3">
        <v>1.1599999999999999</v>
      </c>
      <c r="K92" s="3" t="s">
        <v>773</v>
      </c>
      <c r="L92" s="3">
        <v>15</v>
      </c>
      <c r="M92" s="19" t="s">
        <v>153</v>
      </c>
      <c r="N92" s="136" t="s">
        <v>1722</v>
      </c>
      <c r="O92" s="1213" t="s">
        <v>1723</v>
      </c>
      <c r="P92" s="1225" t="s">
        <v>2106</v>
      </c>
      <c r="Q92" s="1213" t="s">
        <v>2111</v>
      </c>
      <c r="R92" s="1213" t="s">
        <v>2108</v>
      </c>
      <c r="S92" s="1213" t="s">
        <v>2109</v>
      </c>
      <c r="T92" s="1213" t="s">
        <v>2107</v>
      </c>
      <c r="U92" s="1213" t="s">
        <v>2107</v>
      </c>
      <c r="V92" s="1213" t="s">
        <v>2107</v>
      </c>
      <c r="W92" s="1213" t="s">
        <v>2107</v>
      </c>
      <c r="X92" s="1154" t="s">
        <v>1710</v>
      </c>
      <c r="Y92" s="1154" t="s">
        <v>1724</v>
      </c>
      <c r="Z92" s="1221" t="s">
        <v>1725</v>
      </c>
    </row>
    <row r="93" spans="2:26" s="1" customFormat="1" ht="31.5">
      <c r="B93" s="69"/>
      <c r="C93" s="652"/>
      <c r="D93" s="652"/>
      <c r="E93" s="652"/>
      <c r="F93" s="652"/>
      <c r="G93" s="652"/>
      <c r="H93" s="652"/>
      <c r="I93" s="652"/>
      <c r="J93" s="3">
        <v>1.1599999999999999</v>
      </c>
      <c r="K93" s="3" t="s">
        <v>773</v>
      </c>
      <c r="L93" s="3">
        <v>16</v>
      </c>
      <c r="M93" s="19" t="s">
        <v>397</v>
      </c>
      <c r="N93" s="538"/>
      <c r="O93" s="1214"/>
      <c r="P93" s="1214"/>
      <c r="Q93" s="1214"/>
      <c r="R93" s="1214"/>
      <c r="S93" s="1214"/>
      <c r="T93" s="1214"/>
      <c r="U93" s="1214"/>
      <c r="V93" s="1214"/>
      <c r="W93" s="1214"/>
      <c r="X93" s="1156"/>
      <c r="Y93" s="1156"/>
      <c r="Z93" s="1223"/>
    </row>
    <row r="94" spans="2:26" s="1" customFormat="1" ht="31.5">
      <c r="B94" s="69"/>
      <c r="C94" s="652"/>
      <c r="D94" s="652"/>
      <c r="E94" s="652"/>
      <c r="F94" s="652"/>
      <c r="G94" s="652"/>
      <c r="H94" s="652"/>
      <c r="I94" s="652"/>
      <c r="J94" s="3">
        <v>1.1599999999999999</v>
      </c>
      <c r="K94" s="3" t="s">
        <v>773</v>
      </c>
      <c r="L94" s="3">
        <v>15</v>
      </c>
      <c r="M94" s="19" t="s">
        <v>153</v>
      </c>
      <c r="N94" s="136" t="s">
        <v>4621</v>
      </c>
      <c r="O94" s="1213" t="s">
        <v>4598</v>
      </c>
      <c r="P94" s="671">
        <v>503</v>
      </c>
      <c r="Q94" s="671">
        <f>181+P94</f>
        <v>684</v>
      </c>
      <c r="R94" s="671">
        <f>190+Q94</f>
        <v>874</v>
      </c>
      <c r="S94" s="671">
        <f>200+R94</f>
        <v>1074</v>
      </c>
      <c r="T94" s="671">
        <f>210+S94</f>
        <v>1284</v>
      </c>
      <c r="U94" s="671">
        <f>220+T94</f>
        <v>1504</v>
      </c>
      <c r="V94" s="671">
        <f>230+U94</f>
        <v>1734</v>
      </c>
      <c r="W94" s="1213">
        <f>V94</f>
        <v>1734</v>
      </c>
      <c r="X94" s="1154" t="s">
        <v>1710</v>
      </c>
      <c r="Y94" s="1154" t="s">
        <v>1726</v>
      </c>
      <c r="Z94" s="1221" t="s">
        <v>1727</v>
      </c>
    </row>
    <row r="95" spans="2:26" s="1" customFormat="1" ht="31.5">
      <c r="B95" s="69"/>
      <c r="C95" s="652"/>
      <c r="D95" s="652"/>
      <c r="E95" s="652"/>
      <c r="F95" s="652"/>
      <c r="G95" s="652"/>
      <c r="H95" s="652"/>
      <c r="I95" s="652"/>
      <c r="J95" s="3">
        <v>1.1599999999999999</v>
      </c>
      <c r="K95" s="3" t="s">
        <v>773</v>
      </c>
      <c r="L95" s="3">
        <v>16</v>
      </c>
      <c r="M95" s="19" t="s">
        <v>397</v>
      </c>
      <c r="N95" s="538"/>
      <c r="O95" s="1214"/>
      <c r="P95" s="672"/>
      <c r="Q95" s="672"/>
      <c r="R95" s="672"/>
      <c r="S95" s="672"/>
      <c r="T95" s="672"/>
      <c r="U95" s="672"/>
      <c r="V95" s="672"/>
      <c r="W95" s="1214"/>
      <c r="X95" s="1156"/>
      <c r="Y95" s="1156"/>
      <c r="Z95" s="1223"/>
    </row>
    <row r="96" spans="2:26" s="1" customFormat="1" ht="63">
      <c r="B96" s="69"/>
      <c r="C96" s="652"/>
      <c r="D96" s="652"/>
      <c r="E96" s="652"/>
      <c r="F96" s="652"/>
      <c r="G96" s="652"/>
      <c r="H96" s="652"/>
      <c r="I96" s="652"/>
      <c r="J96" s="651">
        <v>1.1599999999999999</v>
      </c>
      <c r="K96" s="651" t="s">
        <v>773</v>
      </c>
      <c r="L96" s="651">
        <v>15</v>
      </c>
      <c r="M96" s="660" t="s">
        <v>153</v>
      </c>
      <c r="N96" s="136" t="s">
        <v>2112</v>
      </c>
      <c r="O96" s="671" t="s">
        <v>4604</v>
      </c>
      <c r="P96" s="671">
        <v>3</v>
      </c>
      <c r="Q96" s="671">
        <v>2</v>
      </c>
      <c r="R96" s="671">
        <v>5</v>
      </c>
      <c r="S96" s="671">
        <v>5</v>
      </c>
      <c r="T96" s="671">
        <v>7</v>
      </c>
      <c r="U96" s="671">
        <v>7</v>
      </c>
      <c r="V96" s="671">
        <v>7</v>
      </c>
      <c r="W96" s="671">
        <v>33</v>
      </c>
      <c r="X96" s="651" t="s">
        <v>1710</v>
      </c>
      <c r="Y96" s="651" t="s">
        <v>4623</v>
      </c>
      <c r="Z96" s="136" t="s">
        <v>4622</v>
      </c>
    </row>
    <row r="97" spans="2:26" s="1" customFormat="1" ht="94.5" customHeight="1">
      <c r="B97" s="69"/>
      <c r="C97" s="652"/>
      <c r="D97" s="652"/>
      <c r="E97" s="652"/>
      <c r="F97" s="652"/>
      <c r="G97" s="652"/>
      <c r="H97" s="652"/>
      <c r="I97" s="652"/>
      <c r="J97" s="3"/>
      <c r="K97" s="3"/>
      <c r="L97" s="3"/>
      <c r="M97" s="19"/>
      <c r="N97" s="3" t="s">
        <v>2110</v>
      </c>
      <c r="O97" s="449" t="s">
        <v>742</v>
      </c>
      <c r="P97" s="449">
        <v>17</v>
      </c>
      <c r="Q97" s="449">
        <v>32</v>
      </c>
      <c r="R97" s="449">
        <v>32</v>
      </c>
      <c r="S97" s="449">
        <v>32</v>
      </c>
      <c r="T97" s="449">
        <v>32</v>
      </c>
      <c r="U97" s="449">
        <v>32</v>
      </c>
      <c r="V97" s="449">
        <v>32</v>
      </c>
      <c r="W97" s="449">
        <v>32</v>
      </c>
      <c r="X97" s="3" t="s">
        <v>1710</v>
      </c>
      <c r="Y97" s="3" t="s">
        <v>1729</v>
      </c>
      <c r="Z97" s="3" t="s">
        <v>1730</v>
      </c>
    </row>
    <row r="98" spans="2:26" s="1" customFormat="1" ht="78.75">
      <c r="B98" s="69"/>
      <c r="C98" s="652"/>
      <c r="D98" s="652"/>
      <c r="E98" s="652"/>
      <c r="F98" s="652"/>
      <c r="G98" s="652"/>
      <c r="H98" s="652"/>
      <c r="I98" s="652"/>
      <c r="J98" s="3">
        <v>1.1599999999999999</v>
      </c>
      <c r="K98" s="3" t="s">
        <v>773</v>
      </c>
      <c r="L98" s="3">
        <v>16</v>
      </c>
      <c r="M98" s="19" t="s">
        <v>397</v>
      </c>
      <c r="N98" s="136" t="s">
        <v>2105</v>
      </c>
      <c r="O98" s="1213" t="s">
        <v>701</v>
      </c>
      <c r="P98" s="1213">
        <v>0</v>
      </c>
      <c r="Q98" s="1213">
        <v>0</v>
      </c>
      <c r="R98" s="1213">
        <v>100</v>
      </c>
      <c r="S98" s="1213">
        <v>100</v>
      </c>
      <c r="T98" s="1213">
        <v>100</v>
      </c>
      <c r="U98" s="1213">
        <v>100</v>
      </c>
      <c r="V98" s="1213">
        <v>100</v>
      </c>
      <c r="W98" s="1213">
        <v>100</v>
      </c>
      <c r="X98" s="1154" t="s">
        <v>1710</v>
      </c>
      <c r="Y98" s="1154" t="s">
        <v>1731</v>
      </c>
      <c r="Z98" s="1221" t="s">
        <v>1732</v>
      </c>
    </row>
    <row r="99" spans="2:26" s="1" customFormat="1" ht="31.5">
      <c r="B99" s="69"/>
      <c r="C99" s="652"/>
      <c r="D99" s="652"/>
      <c r="E99" s="652"/>
      <c r="F99" s="652"/>
      <c r="G99" s="652"/>
      <c r="H99" s="652"/>
      <c r="I99" s="652"/>
      <c r="J99" s="3">
        <v>1.1599999999999999</v>
      </c>
      <c r="K99" s="3" t="s">
        <v>773</v>
      </c>
      <c r="L99" s="3">
        <v>15</v>
      </c>
      <c r="M99" s="19" t="s">
        <v>1728</v>
      </c>
      <c r="N99" s="538"/>
      <c r="O99" s="1214"/>
      <c r="P99" s="1214"/>
      <c r="Q99" s="1214"/>
      <c r="R99" s="1214"/>
      <c r="S99" s="1214"/>
      <c r="T99" s="1214"/>
      <c r="U99" s="1214"/>
      <c r="V99" s="1214"/>
      <c r="W99" s="1214"/>
      <c r="X99" s="1156"/>
      <c r="Y99" s="1156"/>
      <c r="Z99" s="1223"/>
    </row>
    <row r="100" spans="2:26" s="1" customFormat="1" ht="110.25">
      <c r="B100" s="37" t="s">
        <v>1733</v>
      </c>
      <c r="C100" s="651">
        <v>9</v>
      </c>
      <c r="D100" s="651" t="s">
        <v>1734</v>
      </c>
      <c r="E100" s="651">
        <v>12</v>
      </c>
      <c r="F100" s="651" t="s">
        <v>1735</v>
      </c>
      <c r="G100" s="651" t="s">
        <v>1736</v>
      </c>
      <c r="H100" s="1083" t="s">
        <v>1734</v>
      </c>
      <c r="I100" s="879" t="s">
        <v>4998</v>
      </c>
      <c r="J100" s="3"/>
      <c r="K100" s="3"/>
      <c r="L100" s="3"/>
      <c r="M100" s="3"/>
      <c r="N100" s="3"/>
      <c r="O100" s="449"/>
      <c r="P100" s="449"/>
      <c r="Q100" s="449"/>
      <c r="R100" s="449"/>
      <c r="S100" s="449"/>
      <c r="T100" s="449"/>
      <c r="U100" s="449"/>
      <c r="V100" s="449"/>
      <c r="W100" s="449"/>
      <c r="X100" s="3"/>
      <c r="Y100" s="3"/>
      <c r="Z100" s="3"/>
    </row>
    <row r="101" spans="2:26" s="1" customFormat="1" ht="157.5">
      <c r="B101" s="69"/>
      <c r="C101" s="652"/>
      <c r="D101" s="652"/>
      <c r="E101" s="652"/>
      <c r="F101" s="652"/>
      <c r="G101" s="652"/>
      <c r="H101" s="652"/>
      <c r="I101" s="652"/>
      <c r="J101" s="663" t="s">
        <v>4637</v>
      </c>
      <c r="K101" s="651" t="s">
        <v>773</v>
      </c>
      <c r="L101" s="651">
        <v>21</v>
      </c>
      <c r="M101" s="651" t="s">
        <v>172</v>
      </c>
      <c r="N101" s="3" t="s">
        <v>1737</v>
      </c>
      <c r="O101" s="449" t="s">
        <v>921</v>
      </c>
      <c r="P101" s="449">
        <v>55</v>
      </c>
      <c r="Q101" s="449">
        <v>60</v>
      </c>
      <c r="R101" s="449">
        <v>64</v>
      </c>
      <c r="S101" s="449">
        <v>72</v>
      </c>
      <c r="T101" s="449">
        <v>76</v>
      </c>
      <c r="U101" s="449">
        <v>80</v>
      </c>
      <c r="V101" s="449">
        <v>82</v>
      </c>
      <c r="W101" s="449">
        <v>84</v>
      </c>
      <c r="X101" s="3" t="s">
        <v>1689</v>
      </c>
      <c r="Y101" s="3" t="s">
        <v>1738</v>
      </c>
      <c r="Z101" s="3" t="s">
        <v>1739</v>
      </c>
    </row>
    <row r="102" spans="2:26" s="1" customFormat="1" ht="157.5">
      <c r="B102" s="69"/>
      <c r="C102" s="652"/>
      <c r="D102" s="652"/>
      <c r="E102" s="652"/>
      <c r="F102" s="652"/>
      <c r="G102" s="652"/>
      <c r="H102" s="652"/>
      <c r="I102" s="652"/>
      <c r="J102" s="652"/>
      <c r="K102" s="652"/>
      <c r="L102" s="652"/>
      <c r="M102" s="652"/>
      <c r="N102" s="3" t="s">
        <v>1740</v>
      </c>
      <c r="O102" s="449" t="s">
        <v>701</v>
      </c>
      <c r="P102" s="449">
        <v>35</v>
      </c>
      <c r="Q102" s="449">
        <v>65</v>
      </c>
      <c r="R102" s="449">
        <v>70</v>
      </c>
      <c r="S102" s="449">
        <v>73</v>
      </c>
      <c r="T102" s="449">
        <v>79</v>
      </c>
      <c r="U102" s="449">
        <v>83</v>
      </c>
      <c r="V102" s="449">
        <v>87</v>
      </c>
      <c r="W102" s="449">
        <v>90</v>
      </c>
      <c r="X102" s="3" t="s">
        <v>1689</v>
      </c>
      <c r="Y102" s="3" t="s">
        <v>1741</v>
      </c>
      <c r="Z102" s="3" t="s">
        <v>1739</v>
      </c>
    </row>
    <row r="103" spans="2:26" s="1" customFormat="1" ht="15.75">
      <c r="B103" s="77"/>
      <c r="C103" s="653"/>
      <c r="D103" s="653"/>
      <c r="E103" s="653"/>
      <c r="F103" s="653"/>
      <c r="G103" s="653"/>
      <c r="H103" s="653"/>
      <c r="I103" s="653"/>
      <c r="J103" s="653"/>
      <c r="K103" s="653"/>
      <c r="L103" s="653"/>
      <c r="M103" s="653"/>
      <c r="N103" s="3"/>
      <c r="O103" s="449"/>
      <c r="P103" s="449"/>
      <c r="Q103" s="449"/>
      <c r="R103" s="449"/>
      <c r="S103" s="449"/>
      <c r="T103" s="449"/>
      <c r="U103" s="449"/>
      <c r="V103" s="449"/>
      <c r="W103" s="449"/>
      <c r="X103" s="3"/>
      <c r="Y103" s="3"/>
      <c r="Z103" s="3"/>
    </row>
    <row r="104" spans="2:26" s="1" customFormat="1" ht="94.5">
      <c r="B104" s="37" t="s">
        <v>25</v>
      </c>
      <c r="C104" s="651">
        <v>10</v>
      </c>
      <c r="D104" s="651" t="s">
        <v>1742</v>
      </c>
      <c r="E104" s="651">
        <v>13</v>
      </c>
      <c r="F104" s="651" t="s">
        <v>1743</v>
      </c>
      <c r="G104" s="651" t="s">
        <v>1744</v>
      </c>
      <c r="H104" s="651" t="s">
        <v>1745</v>
      </c>
      <c r="I104" s="879" t="s">
        <v>4999</v>
      </c>
      <c r="J104" s="3"/>
      <c r="K104" s="3"/>
      <c r="L104" s="3"/>
      <c r="M104" s="3"/>
      <c r="N104" s="3"/>
      <c r="O104" s="449"/>
      <c r="P104" s="449"/>
      <c r="Q104" s="449"/>
      <c r="R104" s="449"/>
      <c r="S104" s="449"/>
      <c r="T104" s="449"/>
      <c r="U104" s="449"/>
      <c r="V104" s="449"/>
      <c r="W104" s="449"/>
      <c r="X104" s="3"/>
      <c r="Y104" s="3"/>
      <c r="Z104" s="3"/>
    </row>
    <row r="105" spans="2:26" s="1" customFormat="1" ht="63">
      <c r="B105" s="69"/>
      <c r="C105" s="652"/>
      <c r="D105" s="652"/>
      <c r="E105" s="652"/>
      <c r="F105" s="652"/>
      <c r="G105" s="652"/>
      <c r="H105" s="652"/>
      <c r="I105" s="652"/>
      <c r="J105" s="3">
        <v>1.23</v>
      </c>
      <c r="K105" s="3" t="s">
        <v>773</v>
      </c>
      <c r="L105" s="3">
        <v>15</v>
      </c>
      <c r="M105" s="3" t="s">
        <v>1746</v>
      </c>
      <c r="N105" s="651" t="s">
        <v>1813</v>
      </c>
      <c r="O105" s="671" t="s">
        <v>1542</v>
      </c>
      <c r="P105" s="671">
        <v>9</v>
      </c>
      <c r="Q105" s="671">
        <v>9</v>
      </c>
      <c r="R105" s="671">
        <v>8</v>
      </c>
      <c r="S105" s="671">
        <v>8</v>
      </c>
      <c r="T105" s="671">
        <v>8</v>
      </c>
      <c r="U105" s="671">
        <v>9</v>
      </c>
      <c r="V105" s="671">
        <v>9</v>
      </c>
      <c r="W105" s="671">
        <v>9</v>
      </c>
      <c r="X105" s="651" t="s">
        <v>1549</v>
      </c>
      <c r="Y105" s="651" t="s">
        <v>1814</v>
      </c>
      <c r="Z105" s="651" t="s">
        <v>1815</v>
      </c>
    </row>
    <row r="106" spans="2:26" s="1" customFormat="1" ht="94.5">
      <c r="B106" s="37" t="s">
        <v>27</v>
      </c>
      <c r="C106" s="651">
        <v>11</v>
      </c>
      <c r="D106" s="651" t="s">
        <v>1747</v>
      </c>
      <c r="E106" s="651">
        <v>14</v>
      </c>
      <c r="F106" s="651" t="s">
        <v>1748</v>
      </c>
      <c r="G106" s="651" t="s">
        <v>1749</v>
      </c>
      <c r="H106" s="651" t="s">
        <v>1745</v>
      </c>
      <c r="I106" s="879" t="s">
        <v>5000</v>
      </c>
      <c r="J106" s="3"/>
      <c r="K106" s="3"/>
      <c r="L106" s="3"/>
      <c r="M106" s="3"/>
      <c r="N106" s="3"/>
      <c r="O106" s="449"/>
      <c r="P106" s="449"/>
      <c r="Q106" s="449"/>
      <c r="R106" s="449"/>
      <c r="S106" s="449"/>
      <c r="T106" s="449"/>
      <c r="U106" s="449"/>
      <c r="V106" s="449"/>
      <c r="W106" s="449"/>
      <c r="X106" s="3"/>
      <c r="Y106" s="3"/>
      <c r="Z106" s="3"/>
    </row>
    <row r="107" spans="2:26" s="1" customFormat="1" ht="63">
      <c r="B107" s="69"/>
      <c r="C107" s="652"/>
      <c r="D107" s="652"/>
      <c r="E107" s="652"/>
      <c r="F107" s="652"/>
      <c r="G107" s="652"/>
      <c r="H107" s="652"/>
      <c r="I107" s="652"/>
      <c r="J107" s="3">
        <v>1.25</v>
      </c>
      <c r="K107" s="3" t="s">
        <v>773</v>
      </c>
      <c r="L107" s="3">
        <v>20</v>
      </c>
      <c r="M107" s="3" t="s">
        <v>1750</v>
      </c>
      <c r="N107" s="3" t="s">
        <v>1751</v>
      </c>
      <c r="O107" s="449" t="s">
        <v>1752</v>
      </c>
      <c r="P107" s="449">
        <v>5</v>
      </c>
      <c r="Q107" s="449">
        <v>9</v>
      </c>
      <c r="R107" s="449">
        <v>15</v>
      </c>
      <c r="S107" s="449">
        <v>35</v>
      </c>
      <c r="T107" s="449">
        <v>55</v>
      </c>
      <c r="U107" s="449">
        <v>75</v>
      </c>
      <c r="V107" s="449">
        <v>100</v>
      </c>
      <c r="W107" s="449">
        <v>100</v>
      </c>
      <c r="X107" s="3" t="s">
        <v>1088</v>
      </c>
      <c r="Y107" s="3" t="s">
        <v>1754</v>
      </c>
      <c r="Z107" s="3"/>
    </row>
    <row r="108" spans="2:26" s="1" customFormat="1" ht="94.5">
      <c r="B108" s="69"/>
      <c r="C108" s="652"/>
      <c r="D108" s="652"/>
      <c r="E108" s="652"/>
      <c r="F108" s="652"/>
      <c r="G108" s="652"/>
      <c r="H108" s="652"/>
      <c r="I108" s="652"/>
      <c r="J108" s="3">
        <v>1.25</v>
      </c>
      <c r="K108" s="3" t="s">
        <v>773</v>
      </c>
      <c r="L108" s="3">
        <v>15</v>
      </c>
      <c r="M108" s="3" t="s">
        <v>1755</v>
      </c>
      <c r="N108" s="3" t="s">
        <v>1756</v>
      </c>
      <c r="O108" s="449" t="s">
        <v>741</v>
      </c>
      <c r="P108" s="449">
        <v>1</v>
      </c>
      <c r="Q108" s="449">
        <v>2</v>
      </c>
      <c r="R108" s="449">
        <v>2</v>
      </c>
      <c r="S108" s="449">
        <v>3</v>
      </c>
      <c r="T108" s="449">
        <v>4</v>
      </c>
      <c r="U108" s="449">
        <v>5</v>
      </c>
      <c r="V108" s="449">
        <v>6</v>
      </c>
      <c r="W108" s="449">
        <v>6</v>
      </c>
      <c r="X108" s="3" t="s">
        <v>1088</v>
      </c>
      <c r="Y108" s="3" t="s">
        <v>1757</v>
      </c>
      <c r="Z108" s="3" t="s">
        <v>1758</v>
      </c>
    </row>
    <row r="109" spans="2:26" s="1" customFormat="1" ht="94.5">
      <c r="B109" s="69"/>
      <c r="C109" s="652"/>
      <c r="D109" s="652"/>
      <c r="E109" s="652"/>
      <c r="F109" s="652"/>
      <c r="G109" s="652"/>
      <c r="H109" s="652"/>
      <c r="I109" s="652"/>
      <c r="J109" s="3"/>
      <c r="K109" s="3"/>
      <c r="L109" s="3"/>
      <c r="M109" s="3"/>
      <c r="N109" s="3" t="s">
        <v>1759</v>
      </c>
      <c r="O109" s="449" t="s">
        <v>741</v>
      </c>
      <c r="P109" s="449">
        <v>1</v>
      </c>
      <c r="Q109" s="449">
        <v>1</v>
      </c>
      <c r="R109" s="449">
        <v>2</v>
      </c>
      <c r="S109" s="449">
        <v>4</v>
      </c>
      <c r="T109" s="449">
        <v>6</v>
      </c>
      <c r="U109" s="449">
        <v>8</v>
      </c>
      <c r="V109" s="449">
        <v>10</v>
      </c>
      <c r="W109" s="449">
        <v>10</v>
      </c>
      <c r="X109" s="3" t="s">
        <v>1088</v>
      </c>
      <c r="Y109" s="3" t="s">
        <v>1760</v>
      </c>
      <c r="Z109" s="3" t="s">
        <v>1761</v>
      </c>
    </row>
    <row r="110" spans="2:26" s="1" customFormat="1" ht="94.5">
      <c r="B110" s="69"/>
      <c r="C110" s="652"/>
      <c r="D110" s="652"/>
      <c r="E110" s="652"/>
      <c r="F110" s="652"/>
      <c r="G110" s="652"/>
      <c r="H110" s="652"/>
      <c r="I110" s="652"/>
      <c r="J110" s="3"/>
      <c r="K110" s="3"/>
      <c r="L110" s="3"/>
      <c r="M110" s="3"/>
      <c r="N110" s="3" t="s">
        <v>1762</v>
      </c>
      <c r="O110" s="449" t="s">
        <v>741</v>
      </c>
      <c r="P110" s="449">
        <v>1</v>
      </c>
      <c r="Q110" s="449">
        <v>1</v>
      </c>
      <c r="R110" s="449">
        <v>2</v>
      </c>
      <c r="S110" s="449">
        <v>4</v>
      </c>
      <c r="T110" s="449">
        <v>6</v>
      </c>
      <c r="U110" s="449">
        <v>8</v>
      </c>
      <c r="V110" s="449">
        <v>10</v>
      </c>
      <c r="W110" s="449">
        <v>10</v>
      </c>
      <c r="X110" s="3" t="s">
        <v>1763</v>
      </c>
      <c r="Y110" s="3" t="s">
        <v>1764</v>
      </c>
      <c r="Z110" s="3" t="s">
        <v>1765</v>
      </c>
    </row>
    <row r="111" spans="2:26" s="1" customFormat="1" ht="94.5">
      <c r="B111" s="69"/>
      <c r="C111" s="652"/>
      <c r="D111" s="652"/>
      <c r="E111" s="652"/>
      <c r="F111" s="652"/>
      <c r="G111" s="652"/>
      <c r="H111" s="652"/>
      <c r="I111" s="652"/>
      <c r="J111" s="3"/>
      <c r="K111" s="3"/>
      <c r="L111" s="3"/>
      <c r="M111" s="3"/>
      <c r="N111" s="3" t="s">
        <v>1766</v>
      </c>
      <c r="O111" s="449" t="s">
        <v>741</v>
      </c>
      <c r="P111" s="449">
        <v>1</v>
      </c>
      <c r="Q111" s="449">
        <v>1</v>
      </c>
      <c r="R111" s="449">
        <v>2</v>
      </c>
      <c r="S111" s="449">
        <v>4</v>
      </c>
      <c r="T111" s="449">
        <v>6</v>
      </c>
      <c r="U111" s="449">
        <v>8</v>
      </c>
      <c r="V111" s="449">
        <v>10</v>
      </c>
      <c r="W111" s="449">
        <v>10</v>
      </c>
      <c r="X111" s="3" t="s">
        <v>1763</v>
      </c>
      <c r="Y111" s="3" t="s">
        <v>1767</v>
      </c>
      <c r="Z111" s="3" t="s">
        <v>1768</v>
      </c>
    </row>
    <row r="112" spans="2:26" s="1" customFormat="1" ht="94.5">
      <c r="B112" s="69"/>
      <c r="C112" s="652"/>
      <c r="D112" s="652"/>
      <c r="E112" s="652"/>
      <c r="F112" s="652"/>
      <c r="G112" s="652"/>
      <c r="H112" s="652"/>
      <c r="I112" s="652"/>
      <c r="J112" s="3"/>
      <c r="K112" s="3"/>
      <c r="L112" s="3"/>
      <c r="M112" s="3"/>
      <c r="N112" s="3" t="s">
        <v>1769</v>
      </c>
      <c r="O112" s="449" t="s">
        <v>1770</v>
      </c>
      <c r="P112" s="449">
        <v>1</v>
      </c>
      <c r="Q112" s="449">
        <v>1</v>
      </c>
      <c r="R112" s="449">
        <v>2</v>
      </c>
      <c r="S112" s="449">
        <v>4</v>
      </c>
      <c r="T112" s="449">
        <v>6</v>
      </c>
      <c r="U112" s="449">
        <v>8</v>
      </c>
      <c r="V112" s="449">
        <v>10</v>
      </c>
      <c r="W112" s="449">
        <v>10</v>
      </c>
      <c r="X112" s="3" t="s">
        <v>1771</v>
      </c>
      <c r="Y112" s="3" t="s">
        <v>1772</v>
      </c>
      <c r="Z112" s="3" t="s">
        <v>1773</v>
      </c>
    </row>
    <row r="113" spans="2:26" s="1" customFormat="1" ht="204.75">
      <c r="B113" s="69"/>
      <c r="C113" s="652"/>
      <c r="D113" s="652"/>
      <c r="E113" s="652"/>
      <c r="F113" s="652"/>
      <c r="G113" s="652"/>
      <c r="H113" s="652"/>
      <c r="I113" s="652"/>
      <c r="J113" s="3">
        <v>1.25</v>
      </c>
      <c r="K113" s="3" t="s">
        <v>773</v>
      </c>
      <c r="L113" s="3">
        <v>20</v>
      </c>
      <c r="M113" s="3" t="s">
        <v>1750</v>
      </c>
      <c r="N113" s="3" t="s">
        <v>1774</v>
      </c>
      <c r="O113" s="449" t="s">
        <v>701</v>
      </c>
      <c r="P113" s="449">
        <v>5</v>
      </c>
      <c r="Q113" s="449">
        <v>10</v>
      </c>
      <c r="R113" s="449">
        <v>15</v>
      </c>
      <c r="S113" s="449">
        <v>25</v>
      </c>
      <c r="T113" s="449">
        <v>35</v>
      </c>
      <c r="U113" s="449">
        <v>45</v>
      </c>
      <c r="V113" s="449">
        <v>55</v>
      </c>
      <c r="W113" s="449">
        <v>55</v>
      </c>
      <c r="X113" s="3" t="s">
        <v>1088</v>
      </c>
      <c r="Y113" s="3" t="s">
        <v>1775</v>
      </c>
      <c r="Z113" s="3" t="s">
        <v>1776</v>
      </c>
    </row>
    <row r="114" spans="2:26" s="1" customFormat="1" ht="110.25">
      <c r="B114" s="69"/>
      <c r="C114" s="652"/>
      <c r="D114" s="652"/>
      <c r="E114" s="652"/>
      <c r="F114" s="652"/>
      <c r="G114" s="652"/>
      <c r="H114" s="652"/>
      <c r="I114" s="652"/>
      <c r="J114" s="3">
        <v>1.25</v>
      </c>
      <c r="K114" s="3" t="s">
        <v>773</v>
      </c>
      <c r="L114" s="3">
        <v>20</v>
      </c>
      <c r="M114" s="3" t="s">
        <v>1750</v>
      </c>
      <c r="N114" s="3" t="s">
        <v>1777</v>
      </c>
      <c r="O114" s="449" t="s">
        <v>701</v>
      </c>
      <c r="P114" s="449">
        <v>100</v>
      </c>
      <c r="Q114" s="449">
        <v>100</v>
      </c>
      <c r="R114" s="449">
        <v>100</v>
      </c>
      <c r="S114" s="449">
        <v>100</v>
      </c>
      <c r="T114" s="449">
        <v>100</v>
      </c>
      <c r="U114" s="449">
        <v>100</v>
      </c>
      <c r="V114" s="449">
        <v>100</v>
      </c>
      <c r="W114" s="449">
        <v>100</v>
      </c>
      <c r="X114" s="3" t="s">
        <v>1778</v>
      </c>
      <c r="Y114" s="3" t="s">
        <v>1779</v>
      </c>
      <c r="Z114" s="3" t="s">
        <v>1780</v>
      </c>
    </row>
    <row r="115" spans="2:26" s="1" customFormat="1" ht="126">
      <c r="B115" s="69"/>
      <c r="C115" s="652"/>
      <c r="D115" s="652"/>
      <c r="E115" s="652"/>
      <c r="F115" s="652"/>
      <c r="G115" s="652"/>
      <c r="H115" s="652"/>
      <c r="I115" s="652"/>
      <c r="J115" s="3">
        <v>1.25</v>
      </c>
      <c r="K115" s="3" t="s">
        <v>773</v>
      </c>
      <c r="L115" s="3">
        <v>20</v>
      </c>
      <c r="M115" s="3" t="s">
        <v>1750</v>
      </c>
      <c r="N115" s="3" t="s">
        <v>1781</v>
      </c>
      <c r="O115" s="449" t="s">
        <v>701</v>
      </c>
      <c r="P115" s="449" t="s">
        <v>1041</v>
      </c>
      <c r="Q115" s="449" t="s">
        <v>1041</v>
      </c>
      <c r="R115" s="449" t="s">
        <v>1041</v>
      </c>
      <c r="S115" s="449" t="s">
        <v>1041</v>
      </c>
      <c r="T115" s="449">
        <v>100</v>
      </c>
      <c r="U115" s="449" t="s">
        <v>1041</v>
      </c>
      <c r="V115" s="449" t="s">
        <v>1041</v>
      </c>
      <c r="W115" s="449" t="s">
        <v>1041</v>
      </c>
      <c r="X115" s="3" t="s">
        <v>1549</v>
      </c>
      <c r="Y115" s="3" t="s">
        <v>1782</v>
      </c>
      <c r="Z115" s="3" t="s">
        <v>1783</v>
      </c>
    </row>
    <row r="116" spans="2:26" s="1" customFormat="1" ht="126">
      <c r="B116" s="69"/>
      <c r="C116" s="652"/>
      <c r="D116" s="652"/>
      <c r="E116" s="652"/>
      <c r="F116" s="652"/>
      <c r="G116" s="652"/>
      <c r="H116" s="652"/>
      <c r="I116" s="652"/>
      <c r="J116" s="3">
        <v>1.25</v>
      </c>
      <c r="K116" s="3" t="s">
        <v>773</v>
      </c>
      <c r="L116" s="3">
        <v>20</v>
      </c>
      <c r="M116" s="3" t="s">
        <v>1750</v>
      </c>
      <c r="N116" s="3" t="s">
        <v>1784</v>
      </c>
      <c r="O116" s="449" t="s">
        <v>701</v>
      </c>
      <c r="P116" s="449" t="s">
        <v>1041</v>
      </c>
      <c r="Q116" s="449" t="s">
        <v>1041</v>
      </c>
      <c r="R116" s="449" t="s">
        <v>1041</v>
      </c>
      <c r="S116" s="449">
        <v>100</v>
      </c>
      <c r="T116" s="449" t="s">
        <v>1041</v>
      </c>
      <c r="U116" s="449" t="s">
        <v>1041</v>
      </c>
      <c r="V116" s="449" t="s">
        <v>1041</v>
      </c>
      <c r="W116" s="449" t="s">
        <v>1041</v>
      </c>
      <c r="X116" s="3" t="s">
        <v>1549</v>
      </c>
      <c r="Y116" s="3" t="s">
        <v>1785</v>
      </c>
      <c r="Z116" s="3" t="s">
        <v>1786</v>
      </c>
    </row>
    <row r="117" spans="2:26" s="1" customFormat="1" ht="63">
      <c r="B117" s="69"/>
      <c r="C117" s="651">
        <v>12</v>
      </c>
      <c r="D117" s="651" t="s">
        <v>1787</v>
      </c>
      <c r="E117" s="651">
        <v>15</v>
      </c>
      <c r="F117" s="651" t="s">
        <v>1788</v>
      </c>
      <c r="G117" s="651" t="s">
        <v>1789</v>
      </c>
      <c r="H117" s="651" t="s">
        <v>1745</v>
      </c>
      <c r="I117" s="879" t="s">
        <v>5001</v>
      </c>
      <c r="J117" s="3"/>
      <c r="K117" s="3"/>
      <c r="L117" s="3"/>
      <c r="M117" s="3"/>
      <c r="N117" s="3"/>
      <c r="O117" s="449"/>
      <c r="P117" s="449"/>
      <c r="Q117" s="449"/>
      <c r="R117" s="449"/>
      <c r="S117" s="449"/>
      <c r="T117" s="449"/>
      <c r="U117" s="449"/>
      <c r="V117" s="449"/>
      <c r="W117" s="449"/>
      <c r="X117" s="3"/>
      <c r="Y117" s="3"/>
      <c r="Z117" s="3"/>
    </row>
    <row r="118" spans="2:26" s="1" customFormat="1" ht="94.5">
      <c r="B118" s="69"/>
      <c r="C118" s="652"/>
      <c r="D118" s="652"/>
      <c r="E118" s="652"/>
      <c r="F118" s="652"/>
      <c r="G118" s="652"/>
      <c r="H118" s="652"/>
      <c r="I118" s="652"/>
      <c r="J118" s="3">
        <v>1.25</v>
      </c>
      <c r="K118" s="3" t="s">
        <v>773</v>
      </c>
      <c r="L118" s="3">
        <v>15</v>
      </c>
      <c r="M118" s="3" t="s">
        <v>1755</v>
      </c>
      <c r="N118" s="1221" t="s">
        <v>1790</v>
      </c>
      <c r="O118" s="1213" t="s">
        <v>701</v>
      </c>
      <c r="P118" s="671">
        <v>5</v>
      </c>
      <c r="Q118" s="449">
        <v>9</v>
      </c>
      <c r="R118" s="449">
        <v>15</v>
      </c>
      <c r="S118" s="449">
        <v>35</v>
      </c>
      <c r="T118" s="449">
        <v>55</v>
      </c>
      <c r="U118" s="449">
        <v>75</v>
      </c>
      <c r="V118" s="449">
        <v>100</v>
      </c>
      <c r="W118" s="449">
        <v>100</v>
      </c>
      <c r="X118" s="651" t="s">
        <v>1791</v>
      </c>
      <c r="Y118" s="651" t="s">
        <v>1792</v>
      </c>
      <c r="Z118" s="3" t="s">
        <v>4584</v>
      </c>
    </row>
    <row r="119" spans="2:26" s="1" customFormat="1" ht="31.5">
      <c r="B119" s="69"/>
      <c r="C119" s="652"/>
      <c r="D119" s="652"/>
      <c r="E119" s="652"/>
      <c r="F119" s="652"/>
      <c r="G119" s="652"/>
      <c r="H119" s="652"/>
      <c r="I119" s="652"/>
      <c r="J119" s="3">
        <v>1.25</v>
      </c>
      <c r="K119" s="3" t="s">
        <v>773</v>
      </c>
      <c r="L119" s="3">
        <v>20</v>
      </c>
      <c r="M119" s="3" t="s">
        <v>1750</v>
      </c>
      <c r="N119" s="1222"/>
      <c r="O119" s="1224"/>
      <c r="P119" s="676"/>
      <c r="Q119" s="676"/>
      <c r="R119" s="676"/>
      <c r="S119" s="676"/>
      <c r="T119" s="676"/>
      <c r="U119" s="676"/>
      <c r="V119" s="676"/>
      <c r="W119" s="676"/>
      <c r="X119" s="652"/>
      <c r="Y119" s="652"/>
      <c r="Z119" s="652"/>
    </row>
    <row r="120" spans="2:26" s="1" customFormat="1" ht="31.5">
      <c r="B120" s="69"/>
      <c r="C120" s="652"/>
      <c r="D120" s="652"/>
      <c r="E120" s="652"/>
      <c r="F120" s="652"/>
      <c r="G120" s="652"/>
      <c r="H120" s="652"/>
      <c r="I120" s="652"/>
      <c r="J120" s="3">
        <v>1.25</v>
      </c>
      <c r="K120" s="3" t="s">
        <v>773</v>
      </c>
      <c r="L120" s="3">
        <v>17</v>
      </c>
      <c r="M120" s="3" t="s">
        <v>4685</v>
      </c>
      <c r="N120" s="1223"/>
      <c r="O120" s="1214"/>
      <c r="P120" s="672"/>
      <c r="Q120" s="672"/>
      <c r="R120" s="672"/>
      <c r="S120" s="672"/>
      <c r="T120" s="672"/>
      <c r="U120" s="672"/>
      <c r="V120" s="672"/>
      <c r="W120" s="672"/>
      <c r="X120" s="653"/>
      <c r="Y120" s="653"/>
      <c r="Z120" s="653"/>
    </row>
    <row r="121" spans="2:26" s="1" customFormat="1" ht="110.25">
      <c r="B121" s="77"/>
      <c r="C121" s="653"/>
      <c r="D121" s="653"/>
      <c r="E121" s="653"/>
      <c r="F121" s="653"/>
      <c r="G121" s="653"/>
      <c r="H121" s="653"/>
      <c r="I121" s="653"/>
      <c r="J121" s="3">
        <v>1.25</v>
      </c>
      <c r="K121" s="3" t="s">
        <v>773</v>
      </c>
      <c r="L121" s="3">
        <v>16</v>
      </c>
      <c r="M121" s="3" t="s">
        <v>1793</v>
      </c>
      <c r="N121" s="3" t="s">
        <v>4585</v>
      </c>
      <c r="O121" s="449" t="s">
        <v>701</v>
      </c>
      <c r="P121" s="449">
        <v>5</v>
      </c>
      <c r="Q121" s="449">
        <v>9</v>
      </c>
      <c r="R121" s="449">
        <v>15</v>
      </c>
      <c r="S121" s="449">
        <v>35</v>
      </c>
      <c r="T121" s="449">
        <v>55</v>
      </c>
      <c r="U121" s="449">
        <v>75</v>
      </c>
      <c r="V121" s="449">
        <v>100</v>
      </c>
      <c r="W121" s="449">
        <v>100</v>
      </c>
      <c r="X121" s="3" t="s">
        <v>1753</v>
      </c>
      <c r="Y121" s="3" t="s">
        <v>1794</v>
      </c>
      <c r="Z121" s="3" t="s">
        <v>4584</v>
      </c>
    </row>
    <row r="122" spans="2:26" s="120" customFormat="1">
      <c r="B122" s="137"/>
      <c r="F122" s="25"/>
      <c r="H122" s="25"/>
      <c r="M122" s="26"/>
      <c r="O122" s="25"/>
      <c r="P122" s="25"/>
      <c r="Q122" s="25"/>
      <c r="R122" s="25"/>
      <c r="S122" s="25"/>
      <c r="T122" s="25"/>
      <c r="U122" s="25"/>
      <c r="V122" s="25"/>
      <c r="W122" s="25"/>
      <c r="X122" s="20"/>
      <c r="Y122" s="20"/>
    </row>
    <row r="123" spans="2:26" s="120" customFormat="1">
      <c r="B123" s="137"/>
      <c r="O123" s="25"/>
      <c r="P123" s="25"/>
      <c r="Q123" s="25"/>
      <c r="R123" s="25"/>
      <c r="S123" s="25"/>
      <c r="T123" s="25"/>
      <c r="U123" s="25"/>
      <c r="V123" s="25"/>
      <c r="W123" s="25"/>
      <c r="X123" s="20"/>
      <c r="Y123" s="20"/>
    </row>
    <row r="124" spans="2:26" s="24" customFormat="1">
      <c r="B124" s="137"/>
      <c r="O124" s="467"/>
      <c r="P124" s="467"/>
      <c r="Q124" s="467"/>
      <c r="R124" s="467"/>
      <c r="S124" s="467"/>
      <c r="T124" s="467"/>
      <c r="U124" s="467"/>
      <c r="V124" s="467"/>
      <c r="W124" s="467"/>
      <c r="X124" s="109"/>
      <c r="Y124" s="109"/>
    </row>
    <row r="125" spans="2:26" s="24" customFormat="1">
      <c r="B125" s="137"/>
      <c r="O125" s="467"/>
      <c r="P125" s="467"/>
      <c r="Q125" s="467"/>
      <c r="R125" s="467"/>
      <c r="S125" s="467"/>
      <c r="T125" s="467"/>
      <c r="U125" s="467"/>
      <c r="V125" s="467"/>
      <c r="W125" s="467"/>
      <c r="X125" s="109"/>
      <c r="Y125" s="109"/>
    </row>
    <row r="126" spans="2:26" s="24" customFormat="1">
      <c r="B126" s="137"/>
      <c r="O126" s="467"/>
      <c r="P126" s="467"/>
      <c r="Q126" s="467"/>
      <c r="R126" s="467"/>
      <c r="S126" s="467"/>
      <c r="T126" s="467"/>
      <c r="U126" s="467"/>
      <c r="V126" s="467"/>
      <c r="W126" s="467"/>
      <c r="X126" s="109"/>
      <c r="Y126" s="109"/>
    </row>
    <row r="127" spans="2:26" s="24" customFormat="1">
      <c r="B127" s="137"/>
      <c r="O127" s="467"/>
      <c r="P127" s="467"/>
      <c r="Q127" s="467"/>
      <c r="R127" s="467"/>
      <c r="S127" s="467"/>
      <c r="T127" s="467"/>
      <c r="U127" s="467">
        <v>21</v>
      </c>
      <c r="V127" s="467">
        <v>80</v>
      </c>
      <c r="W127" s="467"/>
      <c r="X127" s="109"/>
      <c r="Y127" s="109"/>
    </row>
    <row r="128" spans="2:26" s="24" customFormat="1">
      <c r="B128" s="137"/>
      <c r="O128" s="467"/>
      <c r="P128" s="467"/>
      <c r="Q128" s="467"/>
      <c r="R128" s="467"/>
      <c r="S128" s="467"/>
      <c r="T128" s="467"/>
      <c r="U128" s="467">
        <v>10</v>
      </c>
      <c r="V128" s="467">
        <f>289-23</f>
        <v>266</v>
      </c>
      <c r="W128" s="467"/>
      <c r="X128" s="109"/>
      <c r="Y128" s="109"/>
    </row>
    <row r="129" spans="2:25" s="24" customFormat="1">
      <c r="B129" s="137"/>
      <c r="O129" s="467"/>
      <c r="P129" s="467"/>
      <c r="Q129" s="467"/>
      <c r="R129" s="467"/>
      <c r="S129" s="467"/>
      <c r="T129" s="467"/>
      <c r="U129" s="467">
        <v>31</v>
      </c>
      <c r="V129" s="467">
        <f>SUM(V127:V128)</f>
        <v>346</v>
      </c>
      <c r="W129" s="467"/>
      <c r="X129" s="109"/>
      <c r="Y129" s="109"/>
    </row>
    <row r="130" spans="2:25" s="24" customFormat="1">
      <c r="B130" s="137"/>
      <c r="O130" s="467"/>
      <c r="P130" s="467"/>
      <c r="Q130" s="467"/>
      <c r="R130" s="467"/>
      <c r="S130" s="467"/>
      <c r="T130" s="467"/>
      <c r="U130" s="467"/>
      <c r="V130" s="467"/>
      <c r="W130" s="467"/>
      <c r="X130" s="109"/>
      <c r="Y130" s="109"/>
    </row>
    <row r="131" spans="2:25" s="24" customFormat="1">
      <c r="B131" s="137"/>
      <c r="O131" s="467"/>
      <c r="P131" s="467"/>
      <c r="Q131" s="467"/>
      <c r="R131" s="467"/>
      <c r="S131" s="467"/>
      <c r="T131" s="467"/>
      <c r="U131" s="467"/>
      <c r="V131" s="468">
        <f>U129/V129*100</f>
        <v>8.9595375722543356</v>
      </c>
      <c r="W131" s="467"/>
      <c r="X131" s="109"/>
      <c r="Y131" s="109"/>
    </row>
    <row r="132" spans="2:25" s="24" customFormat="1">
      <c r="B132" s="137"/>
      <c r="O132" s="467"/>
      <c r="P132" s="467"/>
      <c r="Q132" s="467"/>
      <c r="R132" s="467"/>
      <c r="S132" s="467"/>
      <c r="T132" s="467"/>
      <c r="U132" s="467"/>
      <c r="V132" s="467"/>
      <c r="W132" s="467"/>
      <c r="X132" s="109"/>
      <c r="Y132" s="109"/>
    </row>
    <row r="133" spans="2:25" s="24" customFormat="1">
      <c r="B133" s="137"/>
      <c r="O133" s="467"/>
      <c r="P133" s="467"/>
      <c r="Q133" s="467"/>
      <c r="R133" s="467"/>
      <c r="S133" s="467"/>
      <c r="T133" s="467"/>
      <c r="U133" s="467"/>
      <c r="V133" s="467"/>
      <c r="W133" s="467"/>
      <c r="X133" s="109"/>
      <c r="Y133" s="109"/>
    </row>
    <row r="134" spans="2:25" s="24" customFormat="1">
      <c r="B134" s="137"/>
      <c r="O134" s="467"/>
      <c r="P134" s="467"/>
      <c r="Q134" s="467"/>
      <c r="R134" s="467"/>
      <c r="S134" s="467"/>
      <c r="T134" s="467"/>
      <c r="U134" s="467"/>
      <c r="V134" s="467"/>
      <c r="W134" s="467"/>
      <c r="X134" s="109"/>
      <c r="Y134" s="109"/>
    </row>
    <row r="135" spans="2:25" s="24" customFormat="1">
      <c r="B135" s="137"/>
      <c r="O135" s="467"/>
      <c r="P135" s="467"/>
      <c r="Q135" s="467"/>
      <c r="R135" s="467"/>
      <c r="S135" s="467"/>
      <c r="T135" s="467"/>
      <c r="U135" s="467"/>
      <c r="V135" s="467"/>
      <c r="W135" s="467"/>
      <c r="X135" s="109"/>
      <c r="Y135" s="109"/>
    </row>
    <row r="136" spans="2:25" s="24" customFormat="1">
      <c r="B136" s="137"/>
      <c r="O136" s="467"/>
      <c r="P136" s="467"/>
      <c r="Q136" s="467"/>
      <c r="R136" s="467"/>
      <c r="S136" s="467"/>
      <c r="T136" s="467"/>
      <c r="U136" s="467"/>
      <c r="V136" s="467"/>
      <c r="W136" s="467"/>
      <c r="X136" s="109"/>
      <c r="Y136" s="109"/>
    </row>
    <row r="137" spans="2:25" s="24" customFormat="1">
      <c r="B137" s="137"/>
      <c r="O137" s="467"/>
      <c r="P137" s="467"/>
      <c r="Q137" s="467"/>
      <c r="R137" s="467"/>
      <c r="S137" s="467"/>
      <c r="T137" s="467"/>
      <c r="U137" s="467"/>
      <c r="V137" s="467"/>
      <c r="W137" s="467"/>
      <c r="X137" s="109"/>
      <c r="Y137" s="109"/>
    </row>
    <row r="138" spans="2:25" s="24" customFormat="1">
      <c r="B138" s="137"/>
      <c r="O138" s="467"/>
      <c r="P138" s="467"/>
      <c r="Q138" s="467"/>
      <c r="R138" s="467"/>
      <c r="S138" s="467"/>
      <c r="T138" s="467"/>
      <c r="U138" s="467"/>
      <c r="V138" s="467"/>
      <c r="W138" s="467"/>
      <c r="X138" s="109"/>
      <c r="Y138" s="109"/>
    </row>
    <row r="139" spans="2:25" s="24" customFormat="1">
      <c r="B139" s="137"/>
      <c r="O139" s="467"/>
      <c r="P139" s="467"/>
      <c r="Q139" s="467"/>
      <c r="R139" s="467"/>
      <c r="S139" s="467"/>
      <c r="T139" s="467"/>
      <c r="U139" s="467"/>
      <c r="V139" s="467"/>
      <c r="W139" s="467"/>
      <c r="X139" s="109"/>
      <c r="Y139" s="109"/>
    </row>
    <row r="140" spans="2:25" s="24" customFormat="1">
      <c r="B140" s="137"/>
      <c r="O140" s="467"/>
      <c r="P140" s="467"/>
      <c r="Q140" s="467"/>
      <c r="R140" s="467"/>
      <c r="S140" s="467"/>
      <c r="T140" s="467"/>
      <c r="U140" s="467"/>
      <c r="V140" s="467"/>
      <c r="W140" s="467"/>
      <c r="X140" s="109"/>
      <c r="Y140" s="109"/>
    </row>
    <row r="141" spans="2:25" s="24" customFormat="1">
      <c r="B141" s="137"/>
      <c r="O141" s="467"/>
      <c r="P141" s="467"/>
      <c r="Q141" s="467"/>
      <c r="R141" s="467"/>
      <c r="S141" s="467"/>
      <c r="T141" s="467"/>
      <c r="U141" s="467"/>
      <c r="V141" s="467"/>
      <c r="W141" s="467"/>
      <c r="X141" s="109"/>
      <c r="Y141" s="109"/>
    </row>
    <row r="142" spans="2:25" s="24" customFormat="1">
      <c r="B142" s="137"/>
      <c r="O142" s="467"/>
      <c r="P142" s="467"/>
      <c r="Q142" s="467"/>
      <c r="R142" s="467"/>
      <c r="S142" s="467"/>
      <c r="T142" s="467"/>
      <c r="U142" s="467"/>
      <c r="V142" s="467"/>
      <c r="W142" s="467"/>
      <c r="X142" s="109"/>
      <c r="Y142" s="109"/>
    </row>
    <row r="143" spans="2:25" s="24" customFormat="1">
      <c r="B143" s="137"/>
      <c r="O143" s="467"/>
      <c r="P143" s="467"/>
      <c r="Q143" s="467"/>
      <c r="R143" s="467"/>
      <c r="S143" s="467"/>
      <c r="T143" s="467"/>
      <c r="U143" s="467"/>
      <c r="V143" s="467"/>
      <c r="W143" s="467"/>
      <c r="X143" s="109"/>
      <c r="Y143" s="109"/>
    </row>
    <row r="144" spans="2:25" s="24" customFormat="1">
      <c r="B144" s="137"/>
      <c r="O144" s="467"/>
      <c r="P144" s="467"/>
      <c r="Q144" s="467"/>
      <c r="R144" s="467"/>
      <c r="S144" s="467"/>
      <c r="T144" s="467"/>
      <c r="U144" s="467"/>
      <c r="V144" s="467"/>
      <c r="W144" s="467"/>
      <c r="X144" s="109"/>
      <c r="Y144" s="109"/>
    </row>
    <row r="145" spans="2:25" s="24" customFormat="1">
      <c r="B145" s="137"/>
      <c r="O145" s="467"/>
      <c r="P145" s="467"/>
      <c r="Q145" s="467"/>
      <c r="R145" s="467"/>
      <c r="S145" s="467"/>
      <c r="T145" s="467"/>
      <c r="U145" s="467"/>
      <c r="V145" s="467"/>
      <c r="W145" s="467"/>
      <c r="X145" s="109"/>
      <c r="Y145" s="109"/>
    </row>
    <row r="146" spans="2:25" s="24" customFormat="1">
      <c r="B146" s="137"/>
      <c r="O146" s="467"/>
      <c r="P146" s="467"/>
      <c r="Q146" s="467"/>
      <c r="R146" s="467"/>
      <c r="S146" s="467"/>
      <c r="T146" s="467"/>
      <c r="U146" s="467"/>
      <c r="V146" s="467"/>
      <c r="W146" s="467"/>
      <c r="X146" s="109"/>
      <c r="Y146" s="109"/>
    </row>
    <row r="147" spans="2:25" s="24" customFormat="1">
      <c r="B147" s="137"/>
      <c r="O147" s="467"/>
      <c r="P147" s="467"/>
      <c r="Q147" s="467"/>
      <c r="R147" s="467"/>
      <c r="S147" s="467"/>
      <c r="T147" s="467"/>
      <c r="U147" s="467"/>
      <c r="V147" s="467"/>
      <c r="W147" s="467"/>
      <c r="X147" s="109"/>
      <c r="Y147" s="109"/>
    </row>
    <row r="148" spans="2:25" s="24" customFormat="1">
      <c r="B148" s="137"/>
      <c r="O148" s="467"/>
      <c r="P148" s="467"/>
      <c r="Q148" s="467"/>
      <c r="R148" s="467"/>
      <c r="S148" s="467"/>
      <c r="T148" s="467"/>
      <c r="U148" s="467"/>
      <c r="V148" s="467"/>
      <c r="W148" s="467"/>
      <c r="X148" s="109"/>
      <c r="Y148" s="109"/>
    </row>
    <row r="149" spans="2:25" s="24" customFormat="1">
      <c r="B149" s="137"/>
      <c r="O149" s="467"/>
      <c r="P149" s="467"/>
      <c r="Q149" s="467"/>
      <c r="R149" s="467"/>
      <c r="S149" s="467"/>
      <c r="T149" s="467"/>
      <c r="U149" s="467"/>
      <c r="V149" s="467"/>
      <c r="W149" s="467"/>
      <c r="X149" s="109"/>
      <c r="Y149" s="109"/>
    </row>
    <row r="150" spans="2:25" s="24" customFormat="1">
      <c r="B150" s="137"/>
      <c r="O150" s="467"/>
      <c r="P150" s="467"/>
      <c r="Q150" s="467"/>
      <c r="R150" s="467"/>
      <c r="S150" s="467"/>
      <c r="T150" s="467"/>
      <c r="U150" s="467"/>
      <c r="V150" s="467"/>
      <c r="W150" s="467"/>
      <c r="X150" s="109"/>
      <c r="Y150" s="109"/>
    </row>
    <row r="151" spans="2:25" s="24" customFormat="1">
      <c r="B151" s="137"/>
      <c r="O151" s="467"/>
      <c r="P151" s="467"/>
      <c r="Q151" s="467"/>
      <c r="R151" s="467"/>
      <c r="S151" s="467"/>
      <c r="T151" s="467"/>
      <c r="U151" s="467"/>
      <c r="V151" s="467"/>
      <c r="W151" s="467"/>
      <c r="X151" s="109"/>
      <c r="Y151" s="109"/>
    </row>
    <row r="152" spans="2:25" s="24" customFormat="1">
      <c r="B152" s="137"/>
      <c r="O152" s="467"/>
      <c r="P152" s="467"/>
      <c r="Q152" s="467"/>
      <c r="R152" s="467"/>
      <c r="S152" s="467"/>
      <c r="T152" s="467"/>
      <c r="U152" s="467"/>
      <c r="V152" s="467"/>
      <c r="W152" s="467"/>
      <c r="X152" s="109"/>
      <c r="Y152" s="109"/>
    </row>
    <row r="153" spans="2:25" s="24" customFormat="1">
      <c r="B153" s="137"/>
      <c r="O153" s="467"/>
      <c r="P153" s="467"/>
      <c r="Q153" s="467"/>
      <c r="R153" s="467"/>
      <c r="S153" s="467"/>
      <c r="T153" s="467"/>
      <c r="U153" s="467"/>
      <c r="V153" s="467"/>
      <c r="W153" s="467"/>
      <c r="X153" s="109"/>
      <c r="Y153" s="109"/>
    </row>
    <row r="154" spans="2:25" s="24" customFormat="1">
      <c r="B154" s="137"/>
      <c r="O154" s="467"/>
      <c r="P154" s="467"/>
      <c r="Q154" s="467"/>
      <c r="R154" s="467"/>
      <c r="S154" s="467"/>
      <c r="T154" s="467"/>
      <c r="U154" s="467"/>
      <c r="V154" s="467"/>
      <c r="W154" s="467"/>
      <c r="X154" s="109"/>
      <c r="Y154" s="109"/>
    </row>
    <row r="155" spans="2:25" s="24" customFormat="1">
      <c r="B155" s="137"/>
      <c r="O155" s="467"/>
      <c r="P155" s="467"/>
      <c r="Q155" s="467"/>
      <c r="R155" s="467"/>
      <c r="S155" s="467"/>
      <c r="T155" s="467"/>
      <c r="U155" s="467"/>
      <c r="V155" s="467"/>
      <c r="W155" s="467"/>
      <c r="X155" s="109"/>
      <c r="Y155" s="109"/>
    </row>
    <row r="156" spans="2:25" s="24" customFormat="1">
      <c r="B156" s="137"/>
      <c r="O156" s="467"/>
      <c r="P156" s="467"/>
      <c r="Q156" s="467"/>
      <c r="R156" s="467"/>
      <c r="S156" s="467"/>
      <c r="T156" s="467"/>
      <c r="U156" s="467"/>
      <c r="V156" s="467"/>
      <c r="W156" s="467"/>
      <c r="X156" s="109"/>
      <c r="Y156" s="109"/>
    </row>
    <row r="157" spans="2:25" s="24" customFormat="1">
      <c r="B157" s="137"/>
      <c r="O157" s="467"/>
      <c r="P157" s="467"/>
      <c r="Q157" s="467"/>
      <c r="R157" s="467"/>
      <c r="S157" s="467"/>
      <c r="T157" s="467"/>
      <c r="U157" s="467"/>
      <c r="V157" s="467"/>
      <c r="W157" s="467"/>
      <c r="X157" s="109"/>
      <c r="Y157" s="109"/>
    </row>
    <row r="158" spans="2:25" s="24" customFormat="1">
      <c r="B158" s="137"/>
      <c r="O158" s="467"/>
      <c r="P158" s="467"/>
      <c r="Q158" s="467"/>
      <c r="R158" s="467"/>
      <c r="S158" s="467"/>
      <c r="T158" s="467"/>
      <c r="U158" s="467"/>
      <c r="V158" s="467"/>
      <c r="W158" s="467"/>
      <c r="X158" s="109"/>
      <c r="Y158" s="109"/>
    </row>
    <row r="159" spans="2:25" s="24" customFormat="1">
      <c r="B159" s="137"/>
      <c r="O159" s="467"/>
      <c r="P159" s="467"/>
      <c r="Q159" s="467"/>
      <c r="R159" s="467"/>
      <c r="S159" s="467"/>
      <c r="T159" s="467"/>
      <c r="U159" s="467"/>
      <c r="V159" s="467"/>
      <c r="W159" s="467"/>
      <c r="X159" s="109"/>
      <c r="Y159" s="109"/>
    </row>
    <row r="160" spans="2:25" s="24" customFormat="1">
      <c r="B160" s="137"/>
      <c r="O160" s="467"/>
      <c r="P160" s="467"/>
      <c r="Q160" s="467"/>
      <c r="R160" s="467"/>
      <c r="S160" s="467"/>
      <c r="T160" s="467"/>
      <c r="U160" s="467"/>
      <c r="V160" s="467"/>
      <c r="W160" s="467"/>
      <c r="X160" s="109"/>
      <c r="Y160" s="109"/>
    </row>
    <row r="161" spans="2:25" s="24" customFormat="1">
      <c r="B161" s="137"/>
      <c r="O161" s="467"/>
      <c r="P161" s="467"/>
      <c r="Q161" s="467"/>
      <c r="R161" s="467"/>
      <c r="S161" s="467"/>
      <c r="T161" s="467"/>
      <c r="U161" s="467"/>
      <c r="V161" s="467"/>
      <c r="W161" s="467"/>
      <c r="X161" s="109"/>
      <c r="Y161" s="109"/>
    </row>
    <row r="162" spans="2:25" s="24" customFormat="1">
      <c r="B162" s="137"/>
      <c r="O162" s="467"/>
      <c r="P162" s="467"/>
      <c r="Q162" s="467"/>
      <c r="R162" s="467"/>
      <c r="S162" s="467"/>
      <c r="T162" s="467"/>
      <c r="U162" s="467"/>
      <c r="V162" s="467"/>
      <c r="W162" s="467"/>
      <c r="X162" s="109"/>
      <c r="Y162" s="109"/>
    </row>
    <row r="163" spans="2:25" s="24" customFormat="1">
      <c r="B163" s="137"/>
      <c r="O163" s="467"/>
      <c r="P163" s="467"/>
      <c r="Q163" s="467"/>
      <c r="R163" s="467"/>
      <c r="S163" s="467"/>
      <c r="T163" s="467"/>
      <c r="U163" s="467"/>
      <c r="V163" s="467"/>
      <c r="W163" s="467"/>
      <c r="X163" s="109"/>
      <c r="Y163" s="109"/>
    </row>
    <row r="164" spans="2:25" s="24" customFormat="1">
      <c r="B164" s="137"/>
      <c r="O164" s="467"/>
      <c r="P164" s="467"/>
      <c r="Q164" s="467"/>
      <c r="R164" s="467"/>
      <c r="S164" s="467"/>
      <c r="T164" s="467"/>
      <c r="U164" s="467"/>
      <c r="V164" s="467"/>
      <c r="W164" s="467"/>
      <c r="X164" s="109"/>
      <c r="Y164" s="109"/>
    </row>
    <row r="165" spans="2:25" s="24" customFormat="1">
      <c r="B165" s="137"/>
      <c r="O165" s="467"/>
      <c r="P165" s="467"/>
      <c r="Q165" s="467"/>
      <c r="R165" s="467"/>
      <c r="S165" s="467"/>
      <c r="T165" s="467"/>
      <c r="U165" s="467"/>
      <c r="V165" s="467"/>
      <c r="W165" s="467"/>
      <c r="X165" s="109"/>
      <c r="Y165" s="109"/>
    </row>
    <row r="166" spans="2:25" s="24" customFormat="1">
      <c r="B166" s="137"/>
      <c r="O166" s="467"/>
      <c r="P166" s="467"/>
      <c r="Q166" s="467"/>
      <c r="R166" s="467"/>
      <c r="S166" s="467"/>
      <c r="T166" s="467"/>
      <c r="U166" s="467"/>
      <c r="V166" s="467"/>
      <c r="W166" s="467"/>
      <c r="X166" s="109"/>
      <c r="Y166" s="109"/>
    </row>
    <row r="167" spans="2:25" s="24" customFormat="1">
      <c r="B167" s="137"/>
      <c r="O167" s="467"/>
      <c r="P167" s="467"/>
      <c r="Q167" s="467"/>
      <c r="R167" s="467"/>
      <c r="S167" s="467"/>
      <c r="T167" s="467"/>
      <c r="U167" s="467"/>
      <c r="V167" s="467"/>
      <c r="W167" s="467"/>
      <c r="X167" s="109"/>
      <c r="Y167" s="109"/>
    </row>
    <row r="168" spans="2:25" s="24" customFormat="1">
      <c r="B168" s="137"/>
      <c r="O168" s="467"/>
      <c r="P168" s="467"/>
      <c r="Q168" s="467"/>
      <c r="R168" s="467"/>
      <c r="S168" s="467"/>
      <c r="T168" s="467"/>
      <c r="U168" s="467"/>
      <c r="V168" s="467"/>
      <c r="W168" s="467"/>
      <c r="X168" s="109"/>
      <c r="Y168" s="109"/>
    </row>
    <row r="169" spans="2:25" s="24" customFormat="1">
      <c r="B169" s="137"/>
      <c r="O169" s="467"/>
      <c r="P169" s="467"/>
      <c r="Q169" s="467"/>
      <c r="R169" s="467"/>
      <c r="S169" s="467"/>
      <c r="T169" s="467"/>
      <c r="U169" s="467"/>
      <c r="V169" s="467"/>
      <c r="W169" s="467"/>
      <c r="X169" s="109"/>
      <c r="Y169" s="109"/>
    </row>
    <row r="170" spans="2:25" s="24" customFormat="1">
      <c r="B170" s="137"/>
      <c r="O170" s="467"/>
      <c r="P170" s="467"/>
      <c r="Q170" s="467"/>
      <c r="R170" s="467"/>
      <c r="S170" s="467"/>
      <c r="T170" s="467"/>
      <c r="U170" s="467"/>
      <c r="V170" s="467"/>
      <c r="W170" s="467"/>
      <c r="X170" s="109"/>
      <c r="Y170" s="109"/>
    </row>
    <row r="171" spans="2:25" s="24" customFormat="1">
      <c r="B171" s="137"/>
      <c r="O171" s="467"/>
      <c r="P171" s="467"/>
      <c r="Q171" s="467"/>
      <c r="R171" s="467"/>
      <c r="S171" s="467"/>
      <c r="T171" s="467"/>
      <c r="U171" s="467"/>
      <c r="V171" s="467"/>
      <c r="W171" s="467"/>
      <c r="X171" s="109"/>
      <c r="Y171" s="109"/>
    </row>
    <row r="172" spans="2:25" s="24" customFormat="1">
      <c r="B172" s="137"/>
      <c r="O172" s="467"/>
      <c r="P172" s="467"/>
      <c r="Q172" s="467"/>
      <c r="R172" s="467"/>
      <c r="S172" s="467"/>
      <c r="T172" s="467"/>
      <c r="U172" s="467"/>
      <c r="V172" s="467"/>
      <c r="W172" s="467"/>
      <c r="X172" s="109"/>
      <c r="Y172" s="109"/>
    </row>
    <row r="173" spans="2:25" s="24" customFormat="1">
      <c r="B173" s="137"/>
      <c r="O173" s="467"/>
      <c r="P173" s="467"/>
      <c r="Q173" s="467"/>
      <c r="R173" s="467"/>
      <c r="S173" s="467"/>
      <c r="T173" s="467"/>
      <c r="U173" s="467"/>
      <c r="V173" s="467"/>
      <c r="W173" s="467"/>
      <c r="X173" s="109"/>
      <c r="Y173" s="109"/>
    </row>
    <row r="174" spans="2:25" s="24" customFormat="1">
      <c r="B174" s="137"/>
      <c r="O174" s="467"/>
      <c r="P174" s="467"/>
      <c r="Q174" s="467"/>
      <c r="R174" s="467"/>
      <c r="S174" s="467"/>
      <c r="T174" s="467"/>
      <c r="U174" s="467"/>
      <c r="V174" s="467"/>
      <c r="W174" s="467"/>
      <c r="X174" s="109"/>
      <c r="Y174" s="109"/>
    </row>
    <row r="175" spans="2:25" s="24" customFormat="1">
      <c r="B175" s="137"/>
      <c r="O175" s="467"/>
      <c r="P175" s="467"/>
      <c r="Q175" s="467"/>
      <c r="R175" s="467"/>
      <c r="S175" s="467"/>
      <c r="T175" s="467"/>
      <c r="U175" s="467"/>
      <c r="V175" s="467"/>
      <c r="W175" s="467"/>
      <c r="X175" s="109"/>
      <c r="Y175" s="109"/>
    </row>
    <row r="176" spans="2:25" s="24" customFormat="1">
      <c r="B176" s="137"/>
      <c r="O176" s="467"/>
      <c r="P176" s="467"/>
      <c r="Q176" s="467"/>
      <c r="R176" s="467"/>
      <c r="S176" s="467"/>
      <c r="T176" s="467"/>
      <c r="U176" s="467"/>
      <c r="V176" s="467"/>
      <c r="W176" s="467"/>
      <c r="X176" s="109"/>
      <c r="Y176" s="109"/>
    </row>
    <row r="177" spans="2:25" s="24" customFormat="1">
      <c r="B177" s="137"/>
      <c r="O177" s="467"/>
      <c r="P177" s="467"/>
      <c r="Q177" s="467"/>
      <c r="R177" s="467"/>
      <c r="S177" s="467"/>
      <c r="T177" s="467"/>
      <c r="U177" s="467"/>
      <c r="V177" s="467"/>
      <c r="W177" s="467"/>
      <c r="X177" s="109"/>
      <c r="Y177" s="109"/>
    </row>
    <row r="178" spans="2:25" s="24" customFormat="1">
      <c r="B178" s="137"/>
      <c r="O178" s="467"/>
      <c r="P178" s="467"/>
      <c r="Q178" s="467"/>
      <c r="R178" s="467"/>
      <c r="S178" s="467"/>
      <c r="T178" s="467"/>
      <c r="U178" s="467"/>
      <c r="V178" s="467"/>
      <c r="W178" s="467"/>
      <c r="X178" s="109"/>
      <c r="Y178" s="109"/>
    </row>
    <row r="179" spans="2:25" s="24" customFormat="1">
      <c r="B179" s="137"/>
      <c r="O179" s="467"/>
      <c r="P179" s="467"/>
      <c r="Q179" s="467"/>
      <c r="R179" s="467"/>
      <c r="S179" s="467"/>
      <c r="T179" s="467"/>
      <c r="U179" s="467"/>
      <c r="V179" s="467"/>
      <c r="W179" s="467"/>
      <c r="X179" s="109"/>
      <c r="Y179" s="109"/>
    </row>
    <row r="180" spans="2:25" s="24" customFormat="1">
      <c r="B180" s="137"/>
      <c r="O180" s="467"/>
      <c r="P180" s="467"/>
      <c r="Q180" s="467"/>
      <c r="R180" s="467"/>
      <c r="S180" s="467"/>
      <c r="T180" s="467"/>
      <c r="U180" s="467"/>
      <c r="V180" s="467"/>
      <c r="W180" s="467"/>
      <c r="X180" s="109"/>
      <c r="Y180" s="109"/>
    </row>
    <row r="181" spans="2:25" s="24" customFormat="1">
      <c r="B181" s="137"/>
      <c r="O181" s="467"/>
      <c r="P181" s="467"/>
      <c r="Q181" s="467"/>
      <c r="R181" s="467"/>
      <c r="S181" s="467"/>
      <c r="T181" s="467"/>
      <c r="U181" s="467"/>
      <c r="V181" s="467"/>
      <c r="W181" s="467"/>
      <c r="X181" s="109"/>
      <c r="Y181" s="109"/>
    </row>
    <row r="182" spans="2:25" s="24" customFormat="1">
      <c r="B182" s="137"/>
      <c r="O182" s="467"/>
      <c r="P182" s="467"/>
      <c r="Q182" s="467"/>
      <c r="R182" s="467"/>
      <c r="S182" s="467"/>
      <c r="T182" s="467"/>
      <c r="U182" s="467"/>
      <c r="V182" s="467"/>
      <c r="W182" s="467"/>
      <c r="X182" s="109"/>
      <c r="Y182" s="109"/>
    </row>
    <row r="183" spans="2:25" s="24" customFormat="1">
      <c r="B183" s="137"/>
      <c r="O183" s="467"/>
      <c r="P183" s="467"/>
      <c r="Q183" s="467"/>
      <c r="R183" s="467"/>
      <c r="S183" s="467"/>
      <c r="T183" s="467"/>
      <c r="U183" s="467"/>
      <c r="V183" s="467"/>
      <c r="W183" s="467"/>
      <c r="X183" s="109"/>
      <c r="Y183" s="109"/>
    </row>
    <row r="184" spans="2:25" s="24" customFormat="1">
      <c r="B184" s="137"/>
      <c r="O184" s="467"/>
      <c r="P184" s="467"/>
      <c r="Q184" s="467"/>
      <c r="R184" s="467"/>
      <c r="S184" s="467"/>
      <c r="T184" s="467"/>
      <c r="U184" s="467"/>
      <c r="V184" s="467"/>
      <c r="W184" s="467"/>
      <c r="X184" s="109"/>
      <c r="Y184" s="109"/>
    </row>
    <row r="185" spans="2:25" s="24" customFormat="1">
      <c r="B185" s="137"/>
      <c r="O185" s="467"/>
      <c r="P185" s="467"/>
      <c r="Q185" s="467"/>
      <c r="R185" s="467"/>
      <c r="S185" s="467"/>
      <c r="T185" s="467"/>
      <c r="U185" s="467"/>
      <c r="V185" s="467"/>
      <c r="W185" s="467"/>
      <c r="X185" s="109"/>
      <c r="Y185" s="109"/>
    </row>
    <row r="186" spans="2:25" s="24" customFormat="1">
      <c r="B186" s="137"/>
      <c r="O186" s="467"/>
      <c r="P186" s="467"/>
      <c r="Q186" s="467"/>
      <c r="R186" s="467"/>
      <c r="S186" s="467"/>
      <c r="T186" s="467"/>
      <c r="U186" s="467"/>
      <c r="V186" s="467"/>
      <c r="W186" s="467"/>
      <c r="X186" s="109"/>
      <c r="Y186" s="109"/>
    </row>
    <row r="187" spans="2:25" s="24" customFormat="1">
      <c r="B187" s="137"/>
      <c r="O187" s="467"/>
      <c r="P187" s="467"/>
      <c r="Q187" s="467"/>
      <c r="R187" s="467"/>
      <c r="S187" s="467"/>
      <c r="T187" s="467"/>
      <c r="U187" s="467"/>
      <c r="V187" s="467"/>
      <c r="W187" s="467"/>
      <c r="X187" s="109"/>
      <c r="Y187" s="109"/>
    </row>
    <row r="188" spans="2:25" s="24" customFormat="1">
      <c r="B188" s="137"/>
      <c r="O188" s="467"/>
      <c r="P188" s="467"/>
      <c r="Q188" s="467"/>
      <c r="R188" s="467"/>
      <c r="S188" s="467"/>
      <c r="T188" s="467"/>
      <c r="U188" s="467"/>
      <c r="V188" s="467"/>
      <c r="W188" s="467"/>
      <c r="X188" s="109"/>
      <c r="Y188" s="109"/>
    </row>
    <row r="189" spans="2:25" s="24" customFormat="1">
      <c r="B189" s="137"/>
      <c r="O189" s="467"/>
      <c r="P189" s="467"/>
      <c r="Q189" s="467"/>
      <c r="R189" s="467"/>
      <c r="S189" s="467"/>
      <c r="T189" s="467"/>
      <c r="U189" s="467"/>
      <c r="V189" s="467"/>
      <c r="W189" s="467"/>
      <c r="X189" s="109"/>
      <c r="Y189" s="109"/>
    </row>
    <row r="190" spans="2:25" s="24" customFormat="1">
      <c r="B190" s="137"/>
      <c r="O190" s="467"/>
      <c r="P190" s="467"/>
      <c r="Q190" s="467"/>
      <c r="R190" s="467"/>
      <c r="S190" s="467"/>
      <c r="T190" s="467"/>
      <c r="U190" s="467"/>
      <c r="V190" s="467"/>
      <c r="W190" s="467"/>
      <c r="X190" s="109"/>
      <c r="Y190" s="109"/>
    </row>
    <row r="191" spans="2:25" s="24" customFormat="1">
      <c r="B191" s="137"/>
      <c r="O191" s="467"/>
      <c r="P191" s="467"/>
      <c r="Q191" s="467"/>
      <c r="R191" s="467"/>
      <c r="S191" s="467"/>
      <c r="T191" s="467"/>
      <c r="U191" s="467"/>
      <c r="V191" s="467"/>
      <c r="W191" s="467"/>
      <c r="X191" s="109"/>
      <c r="Y191" s="109"/>
    </row>
    <row r="192" spans="2:25" s="24" customFormat="1">
      <c r="B192" s="137"/>
      <c r="O192" s="467"/>
      <c r="P192" s="467"/>
      <c r="Q192" s="467"/>
      <c r="R192" s="467"/>
      <c r="S192" s="467"/>
      <c r="T192" s="467"/>
      <c r="U192" s="467"/>
      <c r="V192" s="467"/>
      <c r="W192" s="467"/>
      <c r="X192" s="109"/>
      <c r="Y192" s="109"/>
    </row>
    <row r="193" spans="2:25" s="24" customFormat="1">
      <c r="B193" s="137"/>
      <c r="O193" s="467"/>
      <c r="P193" s="467"/>
      <c r="Q193" s="467"/>
      <c r="R193" s="467"/>
      <c r="S193" s="467"/>
      <c r="T193" s="467"/>
      <c r="U193" s="467"/>
      <c r="V193" s="467"/>
      <c r="W193" s="467"/>
      <c r="X193" s="109"/>
      <c r="Y193" s="109"/>
    </row>
    <row r="194" spans="2:25" s="24" customFormat="1">
      <c r="B194" s="137"/>
      <c r="O194" s="467"/>
      <c r="P194" s="467"/>
      <c r="Q194" s="467"/>
      <c r="R194" s="467"/>
      <c r="S194" s="467"/>
      <c r="T194" s="467"/>
      <c r="U194" s="467"/>
      <c r="V194" s="467"/>
      <c r="W194" s="467"/>
      <c r="X194" s="109"/>
      <c r="Y194" s="109"/>
    </row>
    <row r="195" spans="2:25" s="24" customFormat="1">
      <c r="B195" s="137"/>
      <c r="O195" s="467"/>
      <c r="P195" s="467"/>
      <c r="Q195" s="467"/>
      <c r="R195" s="467"/>
      <c r="S195" s="467"/>
      <c r="T195" s="467"/>
      <c r="U195" s="467"/>
      <c r="V195" s="467"/>
      <c r="W195" s="467"/>
      <c r="X195" s="109"/>
      <c r="Y195" s="109"/>
    </row>
    <row r="196" spans="2:25" s="24" customFormat="1">
      <c r="B196" s="137"/>
      <c r="O196" s="467"/>
      <c r="P196" s="467"/>
      <c r="Q196" s="467"/>
      <c r="R196" s="467"/>
      <c r="S196" s="467"/>
      <c r="T196" s="467"/>
      <c r="U196" s="467"/>
      <c r="V196" s="467"/>
      <c r="W196" s="467"/>
      <c r="X196" s="109"/>
      <c r="Y196" s="109"/>
    </row>
    <row r="197" spans="2:25" s="24" customFormat="1">
      <c r="B197" s="137"/>
      <c r="O197" s="467"/>
      <c r="P197" s="467"/>
      <c r="Q197" s="467"/>
      <c r="R197" s="467"/>
      <c r="S197" s="467"/>
      <c r="T197" s="467"/>
      <c r="U197" s="467"/>
      <c r="V197" s="467"/>
      <c r="W197" s="467"/>
      <c r="X197" s="109"/>
      <c r="Y197" s="109"/>
    </row>
    <row r="198" spans="2:25" s="24" customFormat="1">
      <c r="B198" s="137"/>
      <c r="O198" s="467"/>
      <c r="P198" s="467"/>
      <c r="Q198" s="467"/>
      <c r="R198" s="467"/>
      <c r="S198" s="467"/>
      <c r="T198" s="467"/>
      <c r="U198" s="467"/>
      <c r="V198" s="467"/>
      <c r="W198" s="467"/>
      <c r="X198" s="109"/>
      <c r="Y198" s="109"/>
    </row>
    <row r="199" spans="2:25" s="24" customFormat="1">
      <c r="B199" s="137"/>
      <c r="O199" s="467"/>
      <c r="P199" s="467"/>
      <c r="Q199" s="467"/>
      <c r="R199" s="467"/>
      <c r="S199" s="467"/>
      <c r="T199" s="467"/>
      <c r="U199" s="467"/>
      <c r="V199" s="467"/>
      <c r="W199" s="467"/>
      <c r="X199" s="109"/>
      <c r="Y199" s="109"/>
    </row>
    <row r="200" spans="2:25" s="24" customFormat="1">
      <c r="B200" s="137"/>
      <c r="O200" s="467"/>
      <c r="P200" s="467"/>
      <c r="Q200" s="467"/>
      <c r="R200" s="467"/>
      <c r="S200" s="467"/>
      <c r="T200" s="467"/>
      <c r="U200" s="467"/>
      <c r="V200" s="467"/>
      <c r="W200" s="467"/>
      <c r="X200" s="109"/>
      <c r="Y200" s="109"/>
    </row>
    <row r="201" spans="2:25" s="24" customFormat="1">
      <c r="B201" s="137"/>
      <c r="O201" s="467"/>
      <c r="P201" s="467"/>
      <c r="Q201" s="467"/>
      <c r="R201" s="467"/>
      <c r="S201" s="467"/>
      <c r="T201" s="467"/>
      <c r="U201" s="467"/>
      <c r="V201" s="467"/>
      <c r="W201" s="467"/>
      <c r="X201" s="109"/>
      <c r="Y201" s="109"/>
    </row>
    <row r="202" spans="2:25" s="24" customFormat="1">
      <c r="B202" s="137"/>
      <c r="O202" s="467"/>
      <c r="P202" s="467"/>
      <c r="Q202" s="467"/>
      <c r="R202" s="467"/>
      <c r="S202" s="467"/>
      <c r="T202" s="467"/>
      <c r="U202" s="467"/>
      <c r="V202" s="467"/>
      <c r="W202" s="467"/>
      <c r="X202" s="109"/>
      <c r="Y202" s="109"/>
    </row>
    <row r="203" spans="2:25" s="24" customFormat="1">
      <c r="B203" s="137"/>
      <c r="O203" s="467"/>
      <c r="P203" s="467"/>
      <c r="Q203" s="467"/>
      <c r="R203" s="467"/>
      <c r="S203" s="467"/>
      <c r="T203" s="467"/>
      <c r="U203" s="467"/>
      <c r="V203" s="467"/>
      <c r="W203" s="467"/>
      <c r="X203" s="109"/>
      <c r="Y203" s="109"/>
    </row>
    <row r="204" spans="2:25" s="24" customFormat="1">
      <c r="B204" s="137"/>
      <c r="O204" s="467"/>
      <c r="P204" s="467"/>
      <c r="Q204" s="467"/>
      <c r="R204" s="467"/>
      <c r="S204" s="467"/>
      <c r="T204" s="467"/>
      <c r="U204" s="467"/>
      <c r="V204" s="467"/>
      <c r="W204" s="467"/>
      <c r="X204" s="109"/>
      <c r="Y204" s="109"/>
    </row>
    <row r="205" spans="2:25" s="24" customFormat="1">
      <c r="B205" s="137"/>
      <c r="O205" s="467"/>
      <c r="P205" s="467"/>
      <c r="Q205" s="467"/>
      <c r="R205" s="467"/>
      <c r="S205" s="467"/>
      <c r="T205" s="467"/>
      <c r="U205" s="467"/>
      <c r="V205" s="467"/>
      <c r="W205" s="467"/>
      <c r="X205" s="109"/>
      <c r="Y205" s="109"/>
    </row>
    <row r="206" spans="2:25" s="24" customFormat="1">
      <c r="B206" s="137"/>
      <c r="O206" s="467"/>
      <c r="P206" s="467"/>
      <c r="Q206" s="467"/>
      <c r="R206" s="467"/>
      <c r="S206" s="467"/>
      <c r="T206" s="467"/>
      <c r="U206" s="467"/>
      <c r="V206" s="467"/>
      <c r="W206" s="467"/>
      <c r="X206" s="109"/>
      <c r="Y206" s="109"/>
    </row>
    <row r="207" spans="2:25" s="24" customFormat="1">
      <c r="B207" s="137"/>
      <c r="O207" s="467"/>
      <c r="P207" s="467"/>
      <c r="Q207" s="467"/>
      <c r="R207" s="467"/>
      <c r="S207" s="467"/>
      <c r="T207" s="467"/>
      <c r="U207" s="467"/>
      <c r="V207" s="467"/>
      <c r="W207" s="467"/>
      <c r="X207" s="109"/>
      <c r="Y207" s="109"/>
    </row>
    <row r="208" spans="2:25" s="24" customFormat="1">
      <c r="B208" s="137"/>
      <c r="O208" s="467"/>
      <c r="P208" s="467"/>
      <c r="Q208" s="467"/>
      <c r="R208" s="467"/>
      <c r="S208" s="467"/>
      <c r="T208" s="467"/>
      <c r="U208" s="467"/>
      <c r="V208" s="467"/>
      <c r="W208" s="467"/>
      <c r="X208" s="109"/>
      <c r="Y208" s="109"/>
    </row>
    <row r="209" spans="2:25" s="24" customFormat="1">
      <c r="B209" s="137"/>
      <c r="O209" s="467"/>
      <c r="P209" s="467"/>
      <c r="Q209" s="467"/>
      <c r="R209" s="467"/>
      <c r="S209" s="467"/>
      <c r="T209" s="467"/>
      <c r="U209" s="467"/>
      <c r="V209" s="467"/>
      <c r="W209" s="467"/>
      <c r="X209" s="109"/>
      <c r="Y209" s="109"/>
    </row>
    <row r="210" spans="2:25" s="24" customFormat="1">
      <c r="B210" s="137"/>
      <c r="O210" s="467"/>
      <c r="P210" s="467"/>
      <c r="Q210" s="467"/>
      <c r="R210" s="467"/>
      <c r="S210" s="467"/>
      <c r="T210" s="467"/>
      <c r="U210" s="467"/>
      <c r="V210" s="467"/>
      <c r="W210" s="467"/>
      <c r="X210" s="109"/>
      <c r="Y210" s="109"/>
    </row>
  </sheetData>
  <mergeCells count="96">
    <mergeCell ref="Z94:Z95"/>
    <mergeCell ref="W94:W95"/>
    <mergeCell ref="O98:O99"/>
    <mergeCell ref="P98:P99"/>
    <mergeCell ref="Q98:Q99"/>
    <mergeCell ref="R98:R99"/>
    <mergeCell ref="S98:S99"/>
    <mergeCell ref="T98:T99"/>
    <mergeCell ref="O94:O95"/>
    <mergeCell ref="Z98:Z99"/>
    <mergeCell ref="U98:U99"/>
    <mergeCell ref="V98:V99"/>
    <mergeCell ref="W98:W99"/>
    <mergeCell ref="X98:X99"/>
    <mergeCell ref="Y98:Y99"/>
    <mergeCell ref="X94:X95"/>
    <mergeCell ref="T75:T77"/>
    <mergeCell ref="V75:V77"/>
    <mergeCell ref="S90:S91"/>
    <mergeCell ref="T90:T91"/>
    <mergeCell ref="S92:S93"/>
    <mergeCell ref="S75:S77"/>
    <mergeCell ref="U90:U91"/>
    <mergeCell ref="U75:U77"/>
    <mergeCell ref="T92:T93"/>
    <mergeCell ref="U92:U93"/>
    <mergeCell ref="Y94:Y95"/>
    <mergeCell ref="N118:N120"/>
    <mergeCell ref="O118:O120"/>
    <mergeCell ref="N75:N77"/>
    <mergeCell ref="O75:O77"/>
    <mergeCell ref="P75:P77"/>
    <mergeCell ref="Q75:Q77"/>
    <mergeCell ref="R75:R77"/>
    <mergeCell ref="O92:O93"/>
    <mergeCell ref="P92:P93"/>
    <mergeCell ref="Q92:Q93"/>
    <mergeCell ref="R92:R93"/>
    <mergeCell ref="O90:O91"/>
    <mergeCell ref="P90:P91"/>
    <mergeCell ref="Q90:Q91"/>
    <mergeCell ref="R90:R91"/>
    <mergeCell ref="Z75:Z77"/>
    <mergeCell ref="Z90:Z91"/>
    <mergeCell ref="X75:X77"/>
    <mergeCell ref="V90:V91"/>
    <mergeCell ref="W90:W91"/>
    <mergeCell ref="X90:X91"/>
    <mergeCell ref="Y90:Y91"/>
    <mergeCell ref="Y75:Y77"/>
    <mergeCell ref="W75:W77"/>
    <mergeCell ref="Z92:Z93"/>
    <mergeCell ref="W92:W93"/>
    <mergeCell ref="X92:X93"/>
    <mergeCell ref="Y92:Y93"/>
    <mergeCell ref="V92:V93"/>
    <mergeCell ref="O42:O46"/>
    <mergeCell ref="P42:P46"/>
    <mergeCell ref="Q42:Q46"/>
    <mergeCell ref="R42:R46"/>
    <mergeCell ref="S42:S46"/>
    <mergeCell ref="Y42:Y46"/>
    <mergeCell ref="Z42:Z46"/>
    <mergeCell ref="T42:T46"/>
    <mergeCell ref="U42:U46"/>
    <mergeCell ref="V42:V46"/>
    <mergeCell ref="W42:W46"/>
    <mergeCell ref="X42:X46"/>
    <mergeCell ref="Z37:Z38"/>
    <mergeCell ref="O37:O38"/>
    <mergeCell ref="P37:P38"/>
    <mergeCell ref="X3:X4"/>
    <mergeCell ref="Y3:Y4"/>
    <mergeCell ref="Z3:Z4"/>
    <mergeCell ref="R3:V3"/>
    <mergeCell ref="Q37:Q38"/>
    <mergeCell ref="R37:R38"/>
    <mergeCell ref="S37:S38"/>
    <mergeCell ref="T37:T38"/>
    <mergeCell ref="U37:U38"/>
    <mergeCell ref="V37:V38"/>
    <mergeCell ref="W37:W38"/>
    <mergeCell ref="X37:X38"/>
    <mergeCell ref="N3:N4"/>
    <mergeCell ref="O3:O4"/>
    <mergeCell ref="P3:Q3"/>
    <mergeCell ref="C5:D5"/>
    <mergeCell ref="E5:F5"/>
    <mergeCell ref="J5:M5"/>
    <mergeCell ref="J3:M3"/>
    <mergeCell ref="J4:M4"/>
    <mergeCell ref="C3:D4"/>
    <mergeCell ref="E3:F4"/>
    <mergeCell ref="G3:G4"/>
    <mergeCell ref="H3:H4"/>
    <mergeCell ref="I3:I4"/>
  </mergeCells>
  <printOptions horizontalCentered="1"/>
  <pageMargins left="0.15" right="0.15" top="1" bottom="0.25" header="0.3" footer="0.05"/>
  <pageSetup paperSize="9" scale="65" orientation="landscape" horizontalDpi="300" verticalDpi="300" r:id="rId1"/>
  <headerFooter>
    <oddFooter>&amp;A&amp;RPage &amp;P</oddFooter>
  </headerFooter>
  <legacyDrawing r:id="rId2"/>
</worksheet>
</file>

<file path=xl/worksheets/sheet12.xml><?xml version="1.0" encoding="utf-8"?>
<worksheet xmlns="http://schemas.openxmlformats.org/spreadsheetml/2006/main" xmlns:r="http://schemas.openxmlformats.org/officeDocument/2006/relationships">
  <sheetPr>
    <tabColor rgb="FFFF0000"/>
  </sheetPr>
  <dimension ref="A1:AO594"/>
  <sheetViews>
    <sheetView showGridLines="0" topLeftCell="A2" zoomScale="90" zoomScaleNormal="90" zoomScaleSheetLayoutView="80" workbookViewId="0">
      <pane xSplit="2" ySplit="4" topLeftCell="M454" activePane="bottomRight" state="frozen"/>
      <selection activeCell="A2" sqref="A2"/>
      <selection pane="topRight" activeCell="C2" sqref="C2"/>
      <selection pane="bottomLeft" activeCell="A6" sqref="A6"/>
      <selection pane="bottomRight" activeCell="O455" sqref="O455"/>
    </sheetView>
  </sheetViews>
  <sheetFormatPr defaultRowHeight="15.75"/>
  <cols>
    <col min="1" max="1" width="4.28515625" style="1" customWidth="1"/>
    <col min="2" max="2" width="20.7109375" style="71" customWidth="1"/>
    <col min="3" max="3" width="3.7109375" style="1" customWidth="1"/>
    <col min="4" max="4" width="20.7109375" style="1" customWidth="1"/>
    <col min="5" max="5" width="4.7109375" style="1" customWidth="1"/>
    <col min="6" max="9" width="20.7109375" style="1" customWidth="1"/>
    <col min="10" max="10" width="5.7109375" style="1" customWidth="1"/>
    <col min="11" max="12" width="3.7109375" style="1" customWidth="1"/>
    <col min="13" max="14" width="20.7109375" style="1" customWidth="1"/>
    <col min="15" max="15" width="10.7109375" style="88" customWidth="1"/>
    <col min="16" max="16" width="10.7109375" style="480" customWidth="1"/>
    <col min="17" max="17" width="10.7109375" style="88" customWidth="1"/>
    <col min="18" max="22" width="11.7109375" style="88" customWidth="1"/>
    <col min="23" max="23" width="10.7109375" style="88" customWidth="1"/>
    <col min="24" max="26" width="20.7109375" style="1" customWidth="1"/>
    <col min="27" max="27" width="30.7109375" style="1" customWidth="1"/>
    <col min="28" max="16384" width="9.140625" style="1"/>
  </cols>
  <sheetData>
    <row r="1" spans="2:26" ht="30" customHeight="1"/>
    <row r="2" spans="2:26" ht="30" customHeight="1"/>
    <row r="3" spans="2:26" s="72" customFormat="1" ht="45" customHeight="1">
      <c r="B3" s="1158" t="s">
        <v>6</v>
      </c>
      <c r="C3" s="1165" t="s">
        <v>0</v>
      </c>
      <c r="D3" s="1165"/>
      <c r="E3" s="1165" t="s">
        <v>2</v>
      </c>
      <c r="F3" s="1165"/>
      <c r="G3" s="1168" t="s">
        <v>98</v>
      </c>
      <c r="H3" s="1170" t="s">
        <v>156</v>
      </c>
      <c r="I3" s="1168" t="s">
        <v>157</v>
      </c>
      <c r="J3" s="1162" t="s">
        <v>54</v>
      </c>
      <c r="K3" s="1163"/>
      <c r="L3" s="1163"/>
      <c r="M3" s="1164"/>
      <c r="N3" s="1165" t="s">
        <v>781</v>
      </c>
      <c r="O3" s="1165" t="s">
        <v>132</v>
      </c>
      <c r="P3" s="1166" t="s">
        <v>133</v>
      </c>
      <c r="Q3" s="1167"/>
      <c r="R3" s="1165" t="s">
        <v>2138</v>
      </c>
      <c r="S3" s="1165"/>
      <c r="T3" s="1165"/>
      <c r="U3" s="1165"/>
      <c r="V3" s="1165"/>
      <c r="W3" s="894" t="s">
        <v>136</v>
      </c>
      <c r="X3" s="1157" t="s">
        <v>134</v>
      </c>
      <c r="Y3" s="1157" t="s">
        <v>137</v>
      </c>
      <c r="Z3" s="1158" t="s">
        <v>138</v>
      </c>
    </row>
    <row r="4" spans="2:26" s="72" customFormat="1" ht="35.25" customHeight="1">
      <c r="B4" s="1158"/>
      <c r="C4" s="1165"/>
      <c r="D4" s="1165"/>
      <c r="E4" s="1165"/>
      <c r="F4" s="1165"/>
      <c r="G4" s="1169"/>
      <c r="H4" s="1171"/>
      <c r="I4" s="1169"/>
      <c r="J4" s="1162" t="s">
        <v>135</v>
      </c>
      <c r="K4" s="1163"/>
      <c r="L4" s="1163"/>
      <c r="M4" s="1164"/>
      <c r="N4" s="1165"/>
      <c r="O4" s="1165"/>
      <c r="P4" s="893">
        <v>2012</v>
      </c>
      <c r="Q4" s="893">
        <v>2013</v>
      </c>
      <c r="R4" s="893">
        <v>2014</v>
      </c>
      <c r="S4" s="893">
        <v>2015</v>
      </c>
      <c r="T4" s="893">
        <v>2016</v>
      </c>
      <c r="U4" s="893">
        <v>2017</v>
      </c>
      <c r="V4" s="893">
        <v>2018</v>
      </c>
      <c r="W4" s="895">
        <v>2018</v>
      </c>
      <c r="X4" s="1157"/>
      <c r="Y4" s="1157"/>
      <c r="Z4" s="1158"/>
    </row>
    <row r="5" spans="2:26" s="74" customFormat="1" ht="18" customHeight="1">
      <c r="B5" s="73">
        <v>1</v>
      </c>
      <c r="C5" s="1159">
        <v>2</v>
      </c>
      <c r="D5" s="1160"/>
      <c r="E5" s="1159">
        <v>3</v>
      </c>
      <c r="F5" s="1160"/>
      <c r="G5" s="18">
        <v>4</v>
      </c>
      <c r="H5" s="902">
        <v>5</v>
      </c>
      <c r="I5" s="18">
        <v>6</v>
      </c>
      <c r="J5" s="1159">
        <v>13</v>
      </c>
      <c r="K5" s="1161"/>
      <c r="L5" s="1161"/>
      <c r="M5" s="1160"/>
      <c r="N5" s="18">
        <v>2</v>
      </c>
      <c r="O5" s="481">
        <v>3</v>
      </c>
      <c r="P5" s="482">
        <v>4</v>
      </c>
      <c r="Q5" s="481">
        <v>5</v>
      </c>
      <c r="R5" s="481">
        <v>6</v>
      </c>
      <c r="S5" s="481">
        <v>7</v>
      </c>
      <c r="T5" s="481">
        <v>8</v>
      </c>
      <c r="U5" s="481">
        <v>9</v>
      </c>
      <c r="V5" s="481">
        <v>10</v>
      </c>
      <c r="W5" s="481">
        <v>11</v>
      </c>
      <c r="X5" s="18">
        <v>13</v>
      </c>
      <c r="Y5" s="18">
        <v>26</v>
      </c>
      <c r="Z5" s="18">
        <v>27</v>
      </c>
    </row>
    <row r="6" spans="2:26" s="74" customFormat="1" ht="18" customHeight="1">
      <c r="B6" s="954" t="s">
        <v>695</v>
      </c>
      <c r="C6" s="952"/>
      <c r="D6" s="108"/>
      <c r="E6" s="952"/>
      <c r="F6" s="108"/>
      <c r="G6" s="47"/>
      <c r="H6" s="953"/>
      <c r="I6" s="47"/>
      <c r="J6" s="952"/>
      <c r="K6" s="107"/>
      <c r="L6" s="107"/>
      <c r="M6" s="108"/>
      <c r="N6" s="18"/>
      <c r="O6" s="481"/>
      <c r="P6" s="482"/>
      <c r="Q6" s="481"/>
      <c r="R6" s="481"/>
      <c r="S6" s="481"/>
      <c r="T6" s="481"/>
      <c r="U6" s="481"/>
      <c r="V6" s="481"/>
      <c r="W6" s="481"/>
      <c r="X6" s="18"/>
      <c r="Y6" s="18"/>
      <c r="Z6" s="18"/>
    </row>
    <row r="7" spans="2:26" ht="141.75">
      <c r="B7" s="37" t="s">
        <v>7</v>
      </c>
      <c r="C7" s="890">
        <v>1</v>
      </c>
      <c r="D7" s="890" t="s">
        <v>730</v>
      </c>
      <c r="E7" s="890">
        <v>1</v>
      </c>
      <c r="F7" s="890" t="s">
        <v>729</v>
      </c>
      <c r="G7" s="890" t="s">
        <v>731</v>
      </c>
      <c r="H7" s="36" t="s">
        <v>732</v>
      </c>
      <c r="I7" s="890" t="s">
        <v>4904</v>
      </c>
      <c r="J7" s="890"/>
      <c r="K7" s="890"/>
      <c r="L7" s="890"/>
      <c r="M7" s="890"/>
      <c r="N7" s="3"/>
      <c r="O7" s="31"/>
      <c r="P7" s="483"/>
      <c r="Q7" s="31"/>
      <c r="R7" s="31"/>
      <c r="S7" s="31"/>
      <c r="T7" s="31"/>
      <c r="U7" s="31"/>
      <c r="V7" s="31"/>
      <c r="W7" s="31"/>
      <c r="X7" s="3"/>
      <c r="Y7" s="3"/>
      <c r="Z7" s="3"/>
    </row>
    <row r="8" spans="2:26" ht="110.25">
      <c r="B8" s="69"/>
      <c r="C8" s="891"/>
      <c r="D8" s="891"/>
      <c r="E8" s="891"/>
      <c r="F8" s="891"/>
      <c r="G8" s="891"/>
      <c r="H8" s="75"/>
      <c r="I8" s="891"/>
      <c r="J8" s="890" t="s">
        <v>772</v>
      </c>
      <c r="K8" s="890" t="s">
        <v>773</v>
      </c>
      <c r="L8" s="890">
        <v>18</v>
      </c>
      <c r="M8" s="890" t="s">
        <v>2057</v>
      </c>
      <c r="N8" s="3" t="s">
        <v>746</v>
      </c>
      <c r="O8" s="31" t="s">
        <v>747</v>
      </c>
      <c r="P8" s="483">
        <v>500</v>
      </c>
      <c r="Q8" s="31">
        <v>600</v>
      </c>
      <c r="R8" s="31">
        <v>720</v>
      </c>
      <c r="S8" s="31">
        <v>850</v>
      </c>
      <c r="T8" s="31">
        <v>990</v>
      </c>
      <c r="U8" s="31">
        <v>1140</v>
      </c>
      <c r="V8" s="31">
        <v>1300</v>
      </c>
      <c r="W8" s="483">
        <v>1300</v>
      </c>
      <c r="X8" s="3" t="s">
        <v>672</v>
      </c>
      <c r="Y8" s="3" t="s">
        <v>1918</v>
      </c>
      <c r="Z8" s="3" t="s">
        <v>80</v>
      </c>
    </row>
    <row r="9" spans="2:26" ht="78.75">
      <c r="B9" s="69"/>
      <c r="C9" s="891"/>
      <c r="D9" s="891"/>
      <c r="E9" s="891"/>
      <c r="F9" s="891"/>
      <c r="G9" s="891"/>
      <c r="H9" s="75"/>
      <c r="I9" s="891"/>
      <c r="J9" s="891"/>
      <c r="K9" s="891"/>
      <c r="L9" s="891"/>
      <c r="M9" s="891"/>
      <c r="N9" s="3" t="s">
        <v>750</v>
      </c>
      <c r="O9" s="31" t="s">
        <v>749</v>
      </c>
      <c r="P9" s="484">
        <v>200</v>
      </c>
      <c r="Q9" s="484">
        <v>300</v>
      </c>
      <c r="R9" s="484">
        <v>400</v>
      </c>
      <c r="S9" s="484">
        <v>550</v>
      </c>
      <c r="T9" s="484">
        <v>750</v>
      </c>
      <c r="U9" s="484">
        <v>1000</v>
      </c>
      <c r="V9" s="484">
        <v>1300</v>
      </c>
      <c r="W9" s="483">
        <v>1300</v>
      </c>
      <c r="X9" s="3" t="s">
        <v>672</v>
      </c>
      <c r="Y9" s="3" t="s">
        <v>1918</v>
      </c>
      <c r="Z9" s="3" t="s">
        <v>1919</v>
      </c>
    </row>
    <row r="10" spans="2:26" ht="126">
      <c r="B10" s="69"/>
      <c r="C10" s="891"/>
      <c r="D10" s="891"/>
      <c r="E10" s="892"/>
      <c r="F10" s="892"/>
      <c r="G10" s="892"/>
      <c r="H10" s="76"/>
      <c r="I10" s="892"/>
      <c r="J10" s="891"/>
      <c r="K10" s="891"/>
      <c r="L10" s="891"/>
      <c r="M10" s="891"/>
      <c r="N10" s="3" t="s">
        <v>1920</v>
      </c>
      <c r="O10" s="31" t="s">
        <v>1090</v>
      </c>
      <c r="P10" s="483">
        <v>882</v>
      </c>
      <c r="Q10" s="483">
        <v>1022</v>
      </c>
      <c r="R10" s="485">
        <v>1072</v>
      </c>
      <c r="S10" s="485">
        <v>1122</v>
      </c>
      <c r="T10" s="485">
        <v>1172</v>
      </c>
      <c r="U10" s="485">
        <v>1222</v>
      </c>
      <c r="V10" s="485">
        <v>1272</v>
      </c>
      <c r="W10" s="483">
        <v>1272</v>
      </c>
      <c r="X10" s="3" t="s">
        <v>672</v>
      </c>
      <c r="Y10" s="3" t="s">
        <v>1918</v>
      </c>
      <c r="Z10" s="3" t="s">
        <v>1921</v>
      </c>
    </row>
    <row r="11" spans="2:26" ht="126">
      <c r="B11" s="69"/>
      <c r="C11" s="891"/>
      <c r="D11" s="891"/>
      <c r="E11" s="890">
        <v>2</v>
      </c>
      <c r="F11" s="890" t="s">
        <v>720</v>
      </c>
      <c r="G11" s="890" t="s">
        <v>721</v>
      </c>
      <c r="H11" s="36" t="s">
        <v>732</v>
      </c>
      <c r="I11" s="890" t="s">
        <v>4903</v>
      </c>
      <c r="J11" s="891"/>
      <c r="K11" s="891"/>
      <c r="L11" s="891"/>
      <c r="M11" s="891"/>
      <c r="N11" s="3" t="s">
        <v>4380</v>
      </c>
      <c r="O11" s="31" t="s">
        <v>701</v>
      </c>
      <c r="P11" s="474" t="s">
        <v>4475</v>
      </c>
      <c r="Q11" s="35">
        <v>60</v>
      </c>
      <c r="R11" s="35">
        <v>62</v>
      </c>
      <c r="S11" s="35">
        <v>64</v>
      </c>
      <c r="T11" s="35">
        <v>66</v>
      </c>
      <c r="U11" s="35">
        <v>68</v>
      </c>
      <c r="V11" s="35">
        <v>70</v>
      </c>
      <c r="W11" s="35">
        <v>70</v>
      </c>
      <c r="X11" s="3" t="s">
        <v>671</v>
      </c>
      <c r="Y11" s="3" t="s">
        <v>4381</v>
      </c>
      <c r="Z11" s="3"/>
    </row>
    <row r="12" spans="2:26" ht="94.5">
      <c r="B12" s="69"/>
      <c r="C12" s="891"/>
      <c r="D12" s="891"/>
      <c r="E12" s="892"/>
      <c r="F12" s="892"/>
      <c r="G12" s="892"/>
      <c r="H12" s="76"/>
      <c r="I12" s="892"/>
      <c r="J12" s="892"/>
      <c r="K12" s="892"/>
      <c r="L12" s="892"/>
      <c r="M12" s="892"/>
      <c r="N12" s="3" t="s">
        <v>81</v>
      </c>
      <c r="O12" s="31" t="s">
        <v>701</v>
      </c>
      <c r="P12" s="34">
        <v>55</v>
      </c>
      <c r="Q12" s="34">
        <v>60</v>
      </c>
      <c r="R12" s="34">
        <v>60</v>
      </c>
      <c r="S12" s="34">
        <v>65</v>
      </c>
      <c r="T12" s="34">
        <v>65</v>
      </c>
      <c r="U12" s="34">
        <v>70</v>
      </c>
      <c r="V12" s="34">
        <v>70</v>
      </c>
      <c r="W12" s="34">
        <v>70</v>
      </c>
      <c r="X12" s="3" t="s">
        <v>672</v>
      </c>
      <c r="Y12" s="3" t="s">
        <v>1848</v>
      </c>
      <c r="Z12" s="3" t="s">
        <v>1849</v>
      </c>
    </row>
    <row r="13" spans="2:26" ht="110.25">
      <c r="B13" s="69"/>
      <c r="C13" s="891"/>
      <c r="D13" s="891"/>
      <c r="E13" s="3">
        <v>3</v>
      </c>
      <c r="F13" s="3" t="s">
        <v>722</v>
      </c>
      <c r="G13" s="3" t="s">
        <v>723</v>
      </c>
      <c r="H13" s="17" t="s">
        <v>732</v>
      </c>
      <c r="I13" s="3" t="s">
        <v>4905</v>
      </c>
      <c r="J13" s="3" t="s">
        <v>547</v>
      </c>
      <c r="K13" s="3" t="s">
        <v>773</v>
      </c>
      <c r="L13" s="3">
        <v>17</v>
      </c>
      <c r="M13" s="3" t="s">
        <v>1850</v>
      </c>
      <c r="N13" s="3" t="s">
        <v>1851</v>
      </c>
      <c r="O13" s="31" t="s">
        <v>747</v>
      </c>
      <c r="P13" s="483">
        <v>1</v>
      </c>
      <c r="Q13" s="31">
        <v>2</v>
      </c>
      <c r="R13" s="486">
        <v>4</v>
      </c>
      <c r="S13" s="486">
        <v>6</v>
      </c>
      <c r="T13" s="486">
        <v>8</v>
      </c>
      <c r="U13" s="486">
        <v>10</v>
      </c>
      <c r="V13" s="486">
        <v>12</v>
      </c>
      <c r="W13" s="31">
        <v>12</v>
      </c>
      <c r="X13" s="3" t="s">
        <v>672</v>
      </c>
      <c r="Y13" s="3"/>
      <c r="Z13" s="3" t="s">
        <v>1852</v>
      </c>
    </row>
    <row r="14" spans="2:26" ht="126">
      <c r="B14" s="69"/>
      <c r="C14" s="891"/>
      <c r="D14" s="891"/>
      <c r="E14" s="890">
        <v>4</v>
      </c>
      <c r="F14" s="890" t="s">
        <v>725</v>
      </c>
      <c r="G14" s="890" t="s">
        <v>724</v>
      </c>
      <c r="H14" s="36" t="s">
        <v>732</v>
      </c>
      <c r="I14" s="890" t="s">
        <v>4906</v>
      </c>
      <c r="J14" s="3" t="s">
        <v>547</v>
      </c>
      <c r="K14" s="3" t="s">
        <v>773</v>
      </c>
      <c r="L14" s="3">
        <v>19</v>
      </c>
      <c r="M14" s="139" t="s">
        <v>557</v>
      </c>
      <c r="N14" s="3" t="s">
        <v>36</v>
      </c>
      <c r="O14" s="31" t="s">
        <v>701</v>
      </c>
      <c r="P14" s="34">
        <v>60</v>
      </c>
      <c r="Q14" s="34">
        <v>60</v>
      </c>
      <c r="R14" s="34">
        <v>75</v>
      </c>
      <c r="S14" s="34">
        <v>75</v>
      </c>
      <c r="T14" s="34">
        <v>80</v>
      </c>
      <c r="U14" s="34">
        <v>80</v>
      </c>
      <c r="V14" s="34">
        <v>85</v>
      </c>
      <c r="W14" s="34">
        <v>85</v>
      </c>
      <c r="X14" s="3" t="s">
        <v>672</v>
      </c>
      <c r="Y14" s="3" t="s">
        <v>748</v>
      </c>
      <c r="Z14" s="3" t="s">
        <v>82</v>
      </c>
    </row>
    <row r="15" spans="2:26" ht="47.25">
      <c r="B15" s="69"/>
      <c r="C15" s="891"/>
      <c r="D15" s="891"/>
      <c r="E15" s="891"/>
      <c r="F15" s="891"/>
      <c r="G15" s="891"/>
      <c r="H15" s="75"/>
      <c r="I15" s="891"/>
      <c r="J15" s="890" t="s">
        <v>547</v>
      </c>
      <c r="K15" s="890" t="s">
        <v>773</v>
      </c>
      <c r="L15" s="890">
        <v>21</v>
      </c>
      <c r="M15" s="138" t="s">
        <v>561</v>
      </c>
      <c r="N15" s="3" t="s">
        <v>1853</v>
      </c>
      <c r="O15" s="31" t="s">
        <v>701</v>
      </c>
      <c r="P15" s="34">
        <v>2</v>
      </c>
      <c r="Q15" s="34">
        <v>2</v>
      </c>
      <c r="R15" s="34">
        <v>2</v>
      </c>
      <c r="S15" s="34">
        <v>2</v>
      </c>
      <c r="T15" s="34">
        <v>2</v>
      </c>
      <c r="U15" s="34">
        <v>2</v>
      </c>
      <c r="V15" s="34">
        <v>2</v>
      </c>
      <c r="W15" s="34">
        <v>2</v>
      </c>
      <c r="X15" s="1154" t="s">
        <v>671</v>
      </c>
      <c r="Y15" s="1154" t="s">
        <v>777</v>
      </c>
      <c r="Z15" s="1154" t="s">
        <v>83</v>
      </c>
    </row>
    <row r="16" spans="2:26" ht="31.5">
      <c r="B16" s="69"/>
      <c r="C16" s="891"/>
      <c r="D16" s="891"/>
      <c r="E16" s="891"/>
      <c r="F16" s="891"/>
      <c r="G16" s="891"/>
      <c r="H16" s="75"/>
      <c r="I16" s="891"/>
      <c r="J16" s="891"/>
      <c r="K16" s="891"/>
      <c r="L16" s="891"/>
      <c r="M16" s="89"/>
      <c r="N16" s="3" t="s">
        <v>1854</v>
      </c>
      <c r="O16" s="31" t="s">
        <v>701</v>
      </c>
      <c r="P16" s="474">
        <v>0.1</v>
      </c>
      <c r="Q16" s="474">
        <v>0.1</v>
      </c>
      <c r="R16" s="474">
        <v>0.1</v>
      </c>
      <c r="S16" s="474">
        <v>0.1</v>
      </c>
      <c r="T16" s="474">
        <v>0.1</v>
      </c>
      <c r="U16" s="474">
        <v>0.1</v>
      </c>
      <c r="V16" s="474">
        <v>0.1</v>
      </c>
      <c r="W16" s="474">
        <v>0.1</v>
      </c>
      <c r="X16" s="1155"/>
      <c r="Y16" s="1155"/>
      <c r="Z16" s="1155"/>
    </row>
    <row r="17" spans="2:26" ht="31.5">
      <c r="B17" s="69"/>
      <c r="C17" s="892"/>
      <c r="D17" s="892"/>
      <c r="E17" s="892"/>
      <c r="F17" s="892"/>
      <c r="G17" s="892"/>
      <c r="H17" s="76"/>
      <c r="I17" s="892"/>
      <c r="J17" s="892"/>
      <c r="K17" s="892"/>
      <c r="L17" s="892"/>
      <c r="M17" s="89"/>
      <c r="N17" s="3" t="s">
        <v>1855</v>
      </c>
      <c r="O17" s="31" t="s">
        <v>701</v>
      </c>
      <c r="P17" s="474">
        <v>0.1</v>
      </c>
      <c r="Q17" s="474">
        <v>0.1</v>
      </c>
      <c r="R17" s="474">
        <v>0.1</v>
      </c>
      <c r="S17" s="474">
        <v>0.1</v>
      </c>
      <c r="T17" s="474">
        <v>0.1</v>
      </c>
      <c r="U17" s="474">
        <v>0.1</v>
      </c>
      <c r="V17" s="474">
        <v>0.1</v>
      </c>
      <c r="W17" s="474">
        <v>0.1</v>
      </c>
      <c r="X17" s="1156"/>
      <c r="Y17" s="1156"/>
      <c r="Z17" s="1156"/>
    </row>
    <row r="18" spans="2:26" ht="94.5">
      <c r="B18" s="69"/>
      <c r="C18" s="890">
        <v>2</v>
      </c>
      <c r="D18" s="890" t="s">
        <v>710</v>
      </c>
      <c r="E18" s="890">
        <v>5</v>
      </c>
      <c r="F18" s="890" t="s">
        <v>712</v>
      </c>
      <c r="G18" s="890" t="s">
        <v>673</v>
      </c>
      <c r="H18" s="890" t="s">
        <v>711</v>
      </c>
      <c r="I18" s="890" t="s">
        <v>4907</v>
      </c>
      <c r="J18" s="3"/>
      <c r="K18" s="3"/>
      <c r="L18" s="3"/>
      <c r="M18" s="3"/>
      <c r="N18" s="3"/>
      <c r="O18" s="31"/>
      <c r="P18" s="483"/>
      <c r="Q18" s="31"/>
      <c r="R18" s="31"/>
      <c r="S18" s="31"/>
      <c r="T18" s="31"/>
      <c r="U18" s="31"/>
      <c r="V18" s="31"/>
      <c r="W18" s="31"/>
      <c r="X18" s="3"/>
      <c r="Y18" s="3"/>
      <c r="Z18" s="3"/>
    </row>
    <row r="19" spans="2:26" ht="63">
      <c r="B19" s="69"/>
      <c r="C19" s="891"/>
      <c r="D19" s="891"/>
      <c r="E19" s="891"/>
      <c r="F19" s="891"/>
      <c r="G19" s="891"/>
      <c r="H19" s="891"/>
      <c r="I19" s="891"/>
      <c r="J19" s="890" t="s">
        <v>547</v>
      </c>
      <c r="K19" s="890" t="s">
        <v>773</v>
      </c>
      <c r="L19" s="890">
        <v>19</v>
      </c>
      <c r="M19" s="890" t="s">
        <v>84</v>
      </c>
      <c r="N19" s="3" t="s">
        <v>4384</v>
      </c>
      <c r="O19" s="31" t="s">
        <v>4306</v>
      </c>
      <c r="P19" s="483" t="s">
        <v>4382</v>
      </c>
      <c r="Q19" s="31">
        <v>5.67</v>
      </c>
      <c r="R19" s="483" t="s">
        <v>4481</v>
      </c>
      <c r="S19" s="483" t="s">
        <v>4482</v>
      </c>
      <c r="T19" s="483" t="s">
        <v>4483</v>
      </c>
      <c r="U19" s="483" t="s">
        <v>4484</v>
      </c>
      <c r="V19" s="483" t="s">
        <v>4485</v>
      </c>
      <c r="W19" s="483" t="s">
        <v>4485</v>
      </c>
      <c r="X19" s="3" t="s">
        <v>672</v>
      </c>
      <c r="Y19" s="3" t="s">
        <v>4383</v>
      </c>
      <c r="Z19" s="3"/>
    </row>
    <row r="20" spans="2:26" ht="31.5">
      <c r="B20" s="69"/>
      <c r="C20" s="891"/>
      <c r="D20" s="891"/>
      <c r="E20" s="891"/>
      <c r="F20" s="891"/>
      <c r="G20" s="891"/>
      <c r="H20" s="891"/>
      <c r="I20" s="891"/>
      <c r="J20" s="891"/>
      <c r="K20" s="891"/>
      <c r="L20" s="891"/>
      <c r="M20" s="891"/>
      <c r="N20" s="3" t="s">
        <v>4385</v>
      </c>
      <c r="O20" s="31" t="s">
        <v>4306</v>
      </c>
      <c r="P20" s="483" t="s">
        <v>4307</v>
      </c>
      <c r="Q20" s="31" t="s">
        <v>4307</v>
      </c>
      <c r="R20" s="483" t="s">
        <v>4486</v>
      </c>
      <c r="S20" s="483" t="s">
        <v>4487</v>
      </c>
      <c r="T20" s="483" t="s">
        <v>4394</v>
      </c>
      <c r="U20" s="483" t="s">
        <v>4483</v>
      </c>
      <c r="V20" s="483" t="s">
        <v>4488</v>
      </c>
      <c r="W20" s="483" t="s">
        <v>4488</v>
      </c>
      <c r="X20" s="3" t="s">
        <v>672</v>
      </c>
      <c r="Y20" s="3" t="s">
        <v>4383</v>
      </c>
      <c r="Z20" s="3"/>
    </row>
    <row r="21" spans="2:26" ht="31.5">
      <c r="B21" s="69"/>
      <c r="C21" s="891"/>
      <c r="D21" s="891"/>
      <c r="E21" s="891"/>
      <c r="F21" s="891"/>
      <c r="G21" s="891"/>
      <c r="H21" s="891"/>
      <c r="I21" s="891"/>
      <c r="J21" s="891"/>
      <c r="K21" s="891"/>
      <c r="L21" s="891"/>
      <c r="M21" s="891"/>
      <c r="N21" s="3" t="s">
        <v>4386</v>
      </c>
      <c r="O21" s="31" t="s">
        <v>4306</v>
      </c>
      <c r="P21" s="483" t="s">
        <v>4387</v>
      </c>
      <c r="Q21" s="483" t="s">
        <v>4308</v>
      </c>
      <c r="R21" s="483" t="s">
        <v>4388</v>
      </c>
      <c r="S21" s="483" t="s">
        <v>4389</v>
      </c>
      <c r="T21" s="483" t="s">
        <v>4390</v>
      </c>
      <c r="U21" s="483" t="s">
        <v>4391</v>
      </c>
      <c r="V21" s="483" t="s">
        <v>4392</v>
      </c>
      <c r="W21" s="483" t="s">
        <v>4392</v>
      </c>
      <c r="X21" s="3" t="s">
        <v>672</v>
      </c>
      <c r="Y21" s="3" t="s">
        <v>4383</v>
      </c>
      <c r="Z21" s="3"/>
    </row>
    <row r="22" spans="2:26" ht="63">
      <c r="B22" s="69"/>
      <c r="C22" s="891"/>
      <c r="D22" s="891"/>
      <c r="E22" s="891"/>
      <c r="F22" s="891"/>
      <c r="G22" s="891"/>
      <c r="H22" s="891"/>
      <c r="I22" s="891"/>
      <c r="J22" s="891"/>
      <c r="K22" s="891"/>
      <c r="L22" s="891"/>
      <c r="M22" s="891"/>
      <c r="N22" s="3" t="s">
        <v>745</v>
      </c>
      <c r="O22" s="32" t="s">
        <v>4306</v>
      </c>
      <c r="P22" s="483" t="s">
        <v>4393</v>
      </c>
      <c r="Q22" s="487">
        <v>6.15</v>
      </c>
      <c r="R22" s="487">
        <v>6.16</v>
      </c>
      <c r="S22" s="487">
        <v>6.2</v>
      </c>
      <c r="T22" s="487" t="s">
        <v>4394</v>
      </c>
      <c r="U22" s="487" t="s">
        <v>4395</v>
      </c>
      <c r="V22" s="487" t="s">
        <v>4396</v>
      </c>
      <c r="W22" s="487" t="s">
        <v>4396</v>
      </c>
      <c r="X22" s="3" t="s">
        <v>672</v>
      </c>
      <c r="Y22" s="3" t="s">
        <v>705</v>
      </c>
      <c r="Z22" s="3" t="s">
        <v>1856</v>
      </c>
    </row>
    <row r="23" spans="2:26" ht="31.5">
      <c r="B23" s="69"/>
      <c r="C23" s="891"/>
      <c r="D23" s="891"/>
      <c r="E23" s="891"/>
      <c r="F23" s="891"/>
      <c r="G23" s="891"/>
      <c r="H23" s="891"/>
      <c r="I23" s="891"/>
      <c r="J23" s="891"/>
      <c r="K23" s="891"/>
      <c r="L23" s="891"/>
      <c r="M23" s="891"/>
      <c r="N23" s="3" t="s">
        <v>4397</v>
      </c>
      <c r="O23" s="32" t="s">
        <v>4306</v>
      </c>
      <c r="P23" s="483" t="s">
        <v>4398</v>
      </c>
      <c r="Q23" s="483" t="s">
        <v>4399</v>
      </c>
      <c r="R23" s="483" t="s">
        <v>4400</v>
      </c>
      <c r="S23" s="483" t="s">
        <v>4401</v>
      </c>
      <c r="T23" s="483" t="s">
        <v>4402</v>
      </c>
      <c r="U23" s="483" t="s">
        <v>4403</v>
      </c>
      <c r="V23" s="483" t="s">
        <v>4404</v>
      </c>
      <c r="W23" s="483" t="s">
        <v>4404</v>
      </c>
      <c r="X23" s="3" t="s">
        <v>672</v>
      </c>
      <c r="Y23" s="3" t="s">
        <v>4383</v>
      </c>
      <c r="Z23" s="3"/>
    </row>
    <row r="24" spans="2:26" ht="47.25">
      <c r="B24" s="69"/>
      <c r="C24" s="891"/>
      <c r="D24" s="891"/>
      <c r="E24" s="891"/>
      <c r="F24" s="891"/>
      <c r="G24" s="891"/>
      <c r="H24" s="891"/>
      <c r="I24" s="891"/>
      <c r="J24" s="891"/>
      <c r="K24" s="891"/>
      <c r="L24" s="891"/>
      <c r="M24" s="891"/>
      <c r="N24" s="3" t="s">
        <v>4405</v>
      </c>
      <c r="O24" s="32" t="s">
        <v>4306</v>
      </c>
      <c r="P24" s="487" t="s">
        <v>1993</v>
      </c>
      <c r="Q24" s="483" t="s">
        <v>1993</v>
      </c>
      <c r="R24" s="483" t="s">
        <v>4489</v>
      </c>
      <c r="S24" s="483" t="s">
        <v>4490</v>
      </c>
      <c r="T24" s="483" t="s">
        <v>4491</v>
      </c>
      <c r="U24" s="483" t="s">
        <v>4310</v>
      </c>
      <c r="V24" s="483" t="s">
        <v>4492</v>
      </c>
      <c r="W24" s="483" t="s">
        <v>4492</v>
      </c>
      <c r="X24" s="3" t="s">
        <v>672</v>
      </c>
      <c r="Y24" s="3" t="s">
        <v>4383</v>
      </c>
      <c r="Z24" s="3"/>
    </row>
    <row r="25" spans="2:26" ht="47.25">
      <c r="B25" s="69"/>
      <c r="C25" s="891"/>
      <c r="D25" s="891"/>
      <c r="E25" s="891"/>
      <c r="F25" s="891"/>
      <c r="G25" s="891"/>
      <c r="H25" s="891"/>
      <c r="I25" s="891"/>
      <c r="J25" s="891"/>
      <c r="K25" s="891"/>
      <c r="L25" s="891"/>
      <c r="M25" s="891"/>
      <c r="N25" s="3" t="s">
        <v>4406</v>
      </c>
      <c r="O25" s="32" t="s">
        <v>4306</v>
      </c>
      <c r="P25" s="487" t="s">
        <v>4407</v>
      </c>
      <c r="Q25" s="483" t="s">
        <v>4309</v>
      </c>
      <c r="R25" s="483" t="s">
        <v>4408</v>
      </c>
      <c r="S25" s="483" t="s">
        <v>4409</v>
      </c>
      <c r="T25" s="483" t="s">
        <v>4410</v>
      </c>
      <c r="U25" s="483" t="s">
        <v>4411</v>
      </c>
      <c r="V25" s="483" t="s">
        <v>4412</v>
      </c>
      <c r="W25" s="483" t="s">
        <v>4412</v>
      </c>
      <c r="X25" s="3" t="s">
        <v>672</v>
      </c>
      <c r="Y25" s="3" t="s">
        <v>4383</v>
      </c>
      <c r="Z25" s="3"/>
    </row>
    <row r="26" spans="2:26" ht="47.25">
      <c r="B26" s="69"/>
      <c r="C26" s="891"/>
      <c r="D26" s="891"/>
      <c r="E26" s="892"/>
      <c r="F26" s="892"/>
      <c r="G26" s="892"/>
      <c r="H26" s="892"/>
      <c r="I26" s="892"/>
      <c r="J26" s="892"/>
      <c r="K26" s="892"/>
      <c r="L26" s="892"/>
      <c r="M26" s="892"/>
      <c r="N26" s="3" t="s">
        <v>4413</v>
      </c>
      <c r="O26" s="32" t="s">
        <v>4306</v>
      </c>
      <c r="P26" s="487" t="s">
        <v>4408</v>
      </c>
      <c r="Q26" s="483" t="s">
        <v>4310</v>
      </c>
      <c r="R26" s="483" t="s">
        <v>4414</v>
      </c>
      <c r="S26" s="483" t="s">
        <v>4415</v>
      </c>
      <c r="T26" s="483" t="s">
        <v>4416</v>
      </c>
      <c r="U26" s="483" t="s">
        <v>4417</v>
      </c>
      <c r="V26" s="483" t="s">
        <v>4418</v>
      </c>
      <c r="W26" s="483" t="s">
        <v>4418</v>
      </c>
      <c r="X26" s="3" t="s">
        <v>672</v>
      </c>
      <c r="Y26" s="3" t="s">
        <v>705</v>
      </c>
      <c r="Z26" s="3"/>
    </row>
    <row r="27" spans="2:26" ht="78.75">
      <c r="B27" s="69"/>
      <c r="C27" s="891"/>
      <c r="D27" s="891"/>
      <c r="E27" s="890">
        <v>6</v>
      </c>
      <c r="F27" s="890" t="s">
        <v>726</v>
      </c>
      <c r="G27" s="890" t="s">
        <v>727</v>
      </c>
      <c r="H27" s="890" t="s">
        <v>711</v>
      </c>
      <c r="I27" s="890" t="s">
        <v>4908</v>
      </c>
      <c r="J27" s="890" t="s">
        <v>547</v>
      </c>
      <c r="K27" s="890" t="s">
        <v>773</v>
      </c>
      <c r="L27" s="890">
        <v>22</v>
      </c>
      <c r="M27" s="890" t="s">
        <v>1857</v>
      </c>
      <c r="N27" s="3" t="s">
        <v>1858</v>
      </c>
      <c r="O27" s="31" t="s">
        <v>4424</v>
      </c>
      <c r="P27" s="488">
        <v>159</v>
      </c>
      <c r="Q27" s="488">
        <v>160</v>
      </c>
      <c r="R27" s="473" t="s">
        <v>4419</v>
      </c>
      <c r="S27" s="473" t="s">
        <v>4421</v>
      </c>
      <c r="T27" s="473" t="s">
        <v>4420</v>
      </c>
      <c r="U27" s="473" t="s">
        <v>4422</v>
      </c>
      <c r="V27" s="473" t="s">
        <v>4423</v>
      </c>
      <c r="W27" s="34">
        <v>176.65</v>
      </c>
      <c r="X27" s="3" t="s">
        <v>671</v>
      </c>
      <c r="Y27" s="3" t="s">
        <v>4425</v>
      </c>
      <c r="Z27" s="3" t="s">
        <v>4433</v>
      </c>
    </row>
    <row r="28" spans="2:26" ht="47.25">
      <c r="B28" s="69"/>
      <c r="C28" s="891"/>
      <c r="D28" s="891"/>
      <c r="E28" s="891"/>
      <c r="F28" s="891"/>
      <c r="G28" s="891"/>
      <c r="H28" s="891"/>
      <c r="I28" s="891"/>
      <c r="J28" s="891"/>
      <c r="K28" s="891"/>
      <c r="L28" s="891"/>
      <c r="M28" s="891"/>
      <c r="N28" s="3" t="s">
        <v>1859</v>
      </c>
      <c r="O28" s="31" t="s">
        <v>4424</v>
      </c>
      <c r="P28" s="489">
        <v>12.5</v>
      </c>
      <c r="Q28" s="488">
        <v>13</v>
      </c>
      <c r="R28" s="490" t="s">
        <v>4427</v>
      </c>
      <c r="S28" s="490" t="s">
        <v>4426</v>
      </c>
      <c r="T28" s="490" t="s">
        <v>4428</v>
      </c>
      <c r="U28" s="490" t="s">
        <v>4429</v>
      </c>
      <c r="V28" s="490" t="s">
        <v>4430</v>
      </c>
      <c r="W28" s="34" t="s">
        <v>4430</v>
      </c>
      <c r="X28" s="3" t="s">
        <v>671</v>
      </c>
      <c r="Y28" s="3" t="s">
        <v>4431</v>
      </c>
      <c r="Z28" s="3" t="s">
        <v>4433</v>
      </c>
    </row>
    <row r="29" spans="2:26" ht="47.25">
      <c r="B29" s="69"/>
      <c r="C29" s="891"/>
      <c r="D29" s="891"/>
      <c r="E29" s="891"/>
      <c r="F29" s="891"/>
      <c r="G29" s="891"/>
      <c r="H29" s="891"/>
      <c r="I29" s="891"/>
      <c r="J29" s="891"/>
      <c r="K29" s="891"/>
      <c r="L29" s="891"/>
      <c r="M29" s="891"/>
      <c r="N29" s="3" t="s">
        <v>1860</v>
      </c>
      <c r="O29" s="31" t="s">
        <v>4424</v>
      </c>
      <c r="P29" s="489">
        <v>12.5</v>
      </c>
      <c r="Q29" s="488">
        <v>13</v>
      </c>
      <c r="R29" s="490" t="s">
        <v>4427</v>
      </c>
      <c r="S29" s="490" t="s">
        <v>4426</v>
      </c>
      <c r="T29" s="490" t="s">
        <v>4428</v>
      </c>
      <c r="U29" s="490" t="s">
        <v>4429</v>
      </c>
      <c r="V29" s="490" t="s">
        <v>4430</v>
      </c>
      <c r="W29" s="34" t="s">
        <v>4430</v>
      </c>
      <c r="X29" s="3" t="s">
        <v>671</v>
      </c>
      <c r="Y29" s="3" t="s">
        <v>4432</v>
      </c>
      <c r="Z29" s="3" t="s">
        <v>4433</v>
      </c>
    </row>
    <row r="30" spans="2:26" ht="31.5">
      <c r="B30" s="69"/>
      <c r="C30" s="891"/>
      <c r="D30" s="891"/>
      <c r="E30" s="891"/>
      <c r="F30" s="891"/>
      <c r="G30" s="891"/>
      <c r="H30" s="891"/>
      <c r="I30" s="891"/>
      <c r="J30" s="891"/>
      <c r="K30" s="891"/>
      <c r="L30" s="891"/>
      <c r="M30" s="891"/>
      <c r="N30" s="3" t="s">
        <v>4437</v>
      </c>
      <c r="O30" s="31" t="s">
        <v>4434</v>
      </c>
      <c r="P30" s="488" t="s">
        <v>4435</v>
      </c>
      <c r="Q30" s="488" t="s">
        <v>4436</v>
      </c>
      <c r="R30" s="491" t="s">
        <v>4438</v>
      </c>
      <c r="S30" s="491" t="s">
        <v>4439</v>
      </c>
      <c r="T30" s="491" t="s">
        <v>4440</v>
      </c>
      <c r="U30" s="491" t="s">
        <v>4441</v>
      </c>
      <c r="V30" s="491" t="s">
        <v>4442</v>
      </c>
      <c r="W30" s="491" t="str">
        <f>V30</f>
        <v>79.255.574</v>
      </c>
      <c r="X30" s="3" t="s">
        <v>671</v>
      </c>
      <c r="Y30" s="3" t="s">
        <v>4443</v>
      </c>
      <c r="Z30" s="3"/>
    </row>
    <row r="31" spans="2:26" ht="31.5">
      <c r="B31" s="69"/>
      <c r="C31" s="891"/>
      <c r="D31" s="891"/>
      <c r="E31" s="891"/>
      <c r="F31" s="891"/>
      <c r="G31" s="891"/>
      <c r="H31" s="891"/>
      <c r="I31" s="891"/>
      <c r="J31" s="891"/>
      <c r="K31" s="891"/>
      <c r="L31" s="891"/>
      <c r="M31" s="891"/>
      <c r="N31" s="3" t="s">
        <v>1861</v>
      </c>
      <c r="O31" s="31" t="s">
        <v>4444</v>
      </c>
      <c r="P31" s="488">
        <v>43515</v>
      </c>
      <c r="Q31" s="488">
        <v>26946</v>
      </c>
      <c r="R31" s="484">
        <v>27484</v>
      </c>
      <c r="S31" s="484">
        <v>28034</v>
      </c>
      <c r="T31" s="484">
        <v>28595</v>
      </c>
      <c r="U31" s="484">
        <v>29167</v>
      </c>
      <c r="V31" s="484">
        <v>29750</v>
      </c>
      <c r="W31" s="484">
        <v>29750</v>
      </c>
      <c r="X31" s="3" t="s">
        <v>671</v>
      </c>
      <c r="Y31" s="3" t="s">
        <v>4445</v>
      </c>
      <c r="Z31" s="3"/>
    </row>
    <row r="32" spans="2:26" ht="31.5">
      <c r="B32" s="69"/>
      <c r="C32" s="891"/>
      <c r="D32" s="891"/>
      <c r="E32" s="891"/>
      <c r="F32" s="891"/>
      <c r="G32" s="891"/>
      <c r="H32" s="891"/>
      <c r="I32" s="891"/>
      <c r="J32" s="891"/>
      <c r="K32" s="891"/>
      <c r="L32" s="891"/>
      <c r="M32" s="891"/>
      <c r="N32" s="3" t="s">
        <v>1862</v>
      </c>
      <c r="O32" s="31" t="s">
        <v>4444</v>
      </c>
      <c r="P32" s="488">
        <v>270497</v>
      </c>
      <c r="Q32" s="488">
        <v>275055</v>
      </c>
      <c r="R32" s="484">
        <v>286057</v>
      </c>
      <c r="S32" s="484">
        <v>297499</v>
      </c>
      <c r="T32" s="484">
        <v>309399</v>
      </c>
      <c r="U32" s="484">
        <v>321775</v>
      </c>
      <c r="V32" s="484">
        <v>334646</v>
      </c>
      <c r="W32" s="484">
        <v>334646</v>
      </c>
      <c r="X32" s="3" t="s">
        <v>671</v>
      </c>
      <c r="Y32" s="3" t="s">
        <v>4446</v>
      </c>
      <c r="Z32" s="3"/>
    </row>
    <row r="33" spans="2:26" ht="31.5">
      <c r="B33" s="69"/>
      <c r="C33" s="891"/>
      <c r="D33" s="891"/>
      <c r="E33" s="891"/>
      <c r="F33" s="891"/>
      <c r="G33" s="891"/>
      <c r="H33" s="891"/>
      <c r="I33" s="891"/>
      <c r="J33" s="891"/>
      <c r="K33" s="891"/>
      <c r="L33" s="891"/>
      <c r="M33" s="891"/>
      <c r="N33" s="3" t="s">
        <v>1863</v>
      </c>
      <c r="O33" s="31" t="s">
        <v>4444</v>
      </c>
      <c r="P33" s="488">
        <v>58732</v>
      </c>
      <c r="Q33" s="488">
        <v>59769</v>
      </c>
      <c r="R33" s="484">
        <v>60665</v>
      </c>
      <c r="S33" s="484">
        <v>61575</v>
      </c>
      <c r="T33" s="484">
        <v>62499</v>
      </c>
      <c r="U33" s="484">
        <v>63436</v>
      </c>
      <c r="V33" s="484">
        <v>64388</v>
      </c>
      <c r="W33" s="484">
        <v>64388</v>
      </c>
      <c r="X33" s="3" t="s">
        <v>671</v>
      </c>
      <c r="Y33" s="3" t="s">
        <v>4447</v>
      </c>
      <c r="Z33" s="3"/>
    </row>
    <row r="34" spans="2:26" ht="31.5">
      <c r="B34" s="69"/>
      <c r="C34" s="891"/>
      <c r="D34" s="891"/>
      <c r="E34" s="892"/>
      <c r="F34" s="892"/>
      <c r="G34" s="892"/>
      <c r="H34" s="892"/>
      <c r="I34" s="892"/>
      <c r="J34" s="892"/>
      <c r="K34" s="892"/>
      <c r="L34" s="892"/>
      <c r="M34" s="892"/>
      <c r="N34" s="3" t="s">
        <v>1865</v>
      </c>
      <c r="O34" s="31" t="s">
        <v>4444</v>
      </c>
      <c r="P34" s="488">
        <v>1658993</v>
      </c>
      <c r="Q34" s="488">
        <v>1659079</v>
      </c>
      <c r="R34" s="484">
        <v>1662397</v>
      </c>
      <c r="S34" s="484">
        <v>1665721</v>
      </c>
      <c r="T34" s="484">
        <v>1669053</v>
      </c>
      <c r="U34" s="484">
        <v>1672391</v>
      </c>
      <c r="V34" s="484">
        <v>1675736</v>
      </c>
      <c r="W34" s="484">
        <f>V34</f>
        <v>1675736</v>
      </c>
      <c r="X34" s="3" t="s">
        <v>671</v>
      </c>
      <c r="Y34" s="3" t="s">
        <v>4448</v>
      </c>
      <c r="Z34" s="3"/>
    </row>
    <row r="35" spans="2:26" ht="63">
      <c r="B35" s="69"/>
      <c r="C35" s="891"/>
      <c r="D35" s="891"/>
      <c r="E35" s="890">
        <v>7</v>
      </c>
      <c r="F35" s="890" t="s">
        <v>31</v>
      </c>
      <c r="G35" s="890" t="s">
        <v>728</v>
      </c>
      <c r="H35" s="36"/>
      <c r="I35" s="890" t="s">
        <v>4909</v>
      </c>
      <c r="J35" s="3"/>
      <c r="K35" s="3"/>
      <c r="L35" s="3"/>
      <c r="M35" s="3"/>
      <c r="N35" s="3"/>
      <c r="O35" s="31"/>
      <c r="P35" s="483"/>
      <c r="Q35" s="31"/>
      <c r="R35" s="31"/>
      <c r="S35" s="31"/>
      <c r="T35" s="31"/>
      <c r="U35" s="31"/>
      <c r="V35" s="31"/>
      <c r="W35" s="31"/>
      <c r="X35" s="3"/>
      <c r="Y35" s="3"/>
      <c r="Z35" s="3"/>
    </row>
    <row r="36" spans="2:26" ht="78.75">
      <c r="B36" s="69"/>
      <c r="C36" s="891"/>
      <c r="D36" s="891"/>
      <c r="E36" s="891"/>
      <c r="F36" s="891"/>
      <c r="G36" s="891"/>
      <c r="H36" s="75"/>
      <c r="I36" s="891"/>
      <c r="J36" s="890" t="s">
        <v>772</v>
      </c>
      <c r="K36" s="890" t="s">
        <v>773</v>
      </c>
      <c r="L36" s="890">
        <v>20</v>
      </c>
      <c r="M36" s="890" t="s">
        <v>1912</v>
      </c>
      <c r="N36" s="3" t="s">
        <v>1913</v>
      </c>
      <c r="O36" s="31" t="s">
        <v>1914</v>
      </c>
      <c r="P36" s="484">
        <v>0</v>
      </c>
      <c r="Q36" s="484">
        <v>0</v>
      </c>
      <c r="R36" s="484">
        <v>5</v>
      </c>
      <c r="S36" s="484">
        <v>5</v>
      </c>
      <c r="T36" s="484">
        <v>7</v>
      </c>
      <c r="U36" s="484">
        <v>10</v>
      </c>
      <c r="V36" s="484">
        <v>10</v>
      </c>
      <c r="W36" s="484">
        <v>10</v>
      </c>
      <c r="X36" s="3" t="s">
        <v>674</v>
      </c>
      <c r="Y36" s="3" t="s">
        <v>1913</v>
      </c>
      <c r="Z36" s="3" t="s">
        <v>1915</v>
      </c>
    </row>
    <row r="37" spans="2:26" ht="47.25">
      <c r="B37" s="69"/>
      <c r="C37" s="891"/>
      <c r="D37" s="891"/>
      <c r="E37" s="891"/>
      <c r="F37" s="891"/>
      <c r="G37" s="891"/>
      <c r="H37" s="75"/>
      <c r="I37" s="891"/>
      <c r="J37" s="892"/>
      <c r="K37" s="892"/>
      <c r="L37" s="892"/>
      <c r="M37" s="892"/>
      <c r="N37" s="3" t="s">
        <v>2037</v>
      </c>
      <c r="O37" s="31" t="s">
        <v>2038</v>
      </c>
      <c r="P37" s="484">
        <v>4</v>
      </c>
      <c r="Q37" s="484">
        <v>2</v>
      </c>
      <c r="R37" s="484">
        <v>3</v>
      </c>
      <c r="S37" s="484">
        <v>3</v>
      </c>
      <c r="T37" s="484">
        <v>3</v>
      </c>
      <c r="U37" s="484">
        <v>3</v>
      </c>
      <c r="V37" s="484">
        <v>3</v>
      </c>
      <c r="W37" s="484">
        <v>3</v>
      </c>
      <c r="X37" s="3" t="s">
        <v>674</v>
      </c>
      <c r="Y37" s="3" t="s">
        <v>65</v>
      </c>
      <c r="Z37" s="3" t="s">
        <v>2039</v>
      </c>
    </row>
    <row r="38" spans="2:26" ht="78.75">
      <c r="B38" s="69"/>
      <c r="C38" s="891"/>
      <c r="D38" s="891"/>
      <c r="E38" s="892"/>
      <c r="F38" s="892"/>
      <c r="G38" s="892"/>
      <c r="H38" s="76"/>
      <c r="I38" s="892"/>
      <c r="J38" s="890" t="s">
        <v>772</v>
      </c>
      <c r="K38" s="890" t="s">
        <v>773</v>
      </c>
      <c r="L38" s="890">
        <v>25</v>
      </c>
      <c r="M38" s="890" t="s">
        <v>86</v>
      </c>
      <c r="N38" s="3" t="s">
        <v>1916</v>
      </c>
      <c r="O38" s="31" t="s">
        <v>701</v>
      </c>
      <c r="P38" s="492">
        <f>110/1540*100</f>
        <v>7.1428571428571423</v>
      </c>
      <c r="Q38" s="492">
        <f>110/1540*100</f>
        <v>7.1428571428571423</v>
      </c>
      <c r="R38" s="492">
        <f t="shared" ref="R38:W38" si="0">124/1540*100</f>
        <v>8.0519480519480524</v>
      </c>
      <c r="S38" s="492">
        <f t="shared" si="0"/>
        <v>8.0519480519480524</v>
      </c>
      <c r="T38" s="492">
        <f t="shared" si="0"/>
        <v>8.0519480519480524</v>
      </c>
      <c r="U38" s="492">
        <f t="shared" si="0"/>
        <v>8.0519480519480524</v>
      </c>
      <c r="V38" s="492">
        <f t="shared" si="0"/>
        <v>8.0519480519480524</v>
      </c>
      <c r="W38" s="492">
        <f t="shared" si="0"/>
        <v>8.0519480519480524</v>
      </c>
      <c r="X38" s="3" t="s">
        <v>674</v>
      </c>
      <c r="Y38" s="3" t="s">
        <v>1916</v>
      </c>
      <c r="Z38" s="3" t="s">
        <v>1917</v>
      </c>
    </row>
    <row r="39" spans="2:26" ht="78.75">
      <c r="B39" s="69"/>
      <c r="C39" s="891"/>
      <c r="D39" s="891"/>
      <c r="E39" s="891"/>
      <c r="F39" s="891"/>
      <c r="G39" s="891"/>
      <c r="H39" s="75"/>
      <c r="I39" s="891"/>
      <c r="J39" s="891"/>
      <c r="K39" s="891"/>
      <c r="L39" s="891"/>
      <c r="M39" s="891"/>
      <c r="N39" s="3" t="s">
        <v>2040</v>
      </c>
      <c r="O39" s="31" t="s">
        <v>2038</v>
      </c>
      <c r="P39" s="484">
        <v>0</v>
      </c>
      <c r="Q39" s="484">
        <v>0</v>
      </c>
      <c r="R39" s="484">
        <v>2480</v>
      </c>
      <c r="S39" s="484">
        <f>R39*2</f>
        <v>4960</v>
      </c>
      <c r="T39" s="484">
        <f>R39*3</f>
        <v>7440</v>
      </c>
      <c r="U39" s="484">
        <f>R39*4</f>
        <v>9920</v>
      </c>
      <c r="V39" s="484">
        <f>R39*5</f>
        <v>12400</v>
      </c>
      <c r="W39" s="484">
        <v>12400</v>
      </c>
      <c r="X39" s="3" t="s">
        <v>674</v>
      </c>
      <c r="Y39" s="3" t="s">
        <v>2043</v>
      </c>
      <c r="Z39" s="3" t="s">
        <v>2044</v>
      </c>
    </row>
    <row r="40" spans="2:26" ht="141.75">
      <c r="B40" s="69"/>
      <c r="C40" s="891"/>
      <c r="D40" s="891"/>
      <c r="E40" s="891"/>
      <c r="F40" s="891"/>
      <c r="G40" s="891"/>
      <c r="H40" s="75"/>
      <c r="I40" s="891"/>
      <c r="J40" s="891"/>
      <c r="K40" s="891"/>
      <c r="L40" s="891"/>
      <c r="M40" s="891"/>
      <c r="N40" s="3" t="s">
        <v>4449</v>
      </c>
      <c r="O40" s="31" t="s">
        <v>701</v>
      </c>
      <c r="P40" s="35">
        <v>16.260000000000002</v>
      </c>
      <c r="Q40" s="35">
        <v>27.34</v>
      </c>
      <c r="R40" s="35">
        <v>35.99</v>
      </c>
      <c r="S40" s="35">
        <v>46.37</v>
      </c>
      <c r="T40" s="35">
        <v>58.46</v>
      </c>
      <c r="U40" s="35">
        <v>72.319999999999993</v>
      </c>
      <c r="V40" s="35">
        <v>87.89</v>
      </c>
      <c r="W40" s="35">
        <v>87.89</v>
      </c>
      <c r="X40" s="3" t="s">
        <v>674</v>
      </c>
      <c r="Y40" s="3" t="s">
        <v>4450</v>
      </c>
      <c r="Z40" s="3" t="s">
        <v>4451</v>
      </c>
    </row>
    <row r="41" spans="2:26" ht="78.75">
      <c r="B41" s="69"/>
      <c r="C41" s="892"/>
      <c r="D41" s="892"/>
      <c r="E41" s="891"/>
      <c r="F41" s="891"/>
      <c r="G41" s="891"/>
      <c r="H41" s="75"/>
      <c r="I41" s="891"/>
      <c r="J41" s="892"/>
      <c r="K41" s="892"/>
      <c r="L41" s="892"/>
      <c r="M41" s="892"/>
      <c r="N41" s="3" t="s">
        <v>2041</v>
      </c>
      <c r="O41" s="31" t="s">
        <v>2042</v>
      </c>
      <c r="P41" s="484">
        <v>3</v>
      </c>
      <c r="Q41" s="484">
        <v>1</v>
      </c>
      <c r="R41" s="484">
        <v>10</v>
      </c>
      <c r="S41" s="484">
        <v>25</v>
      </c>
      <c r="T41" s="484">
        <v>40</v>
      </c>
      <c r="U41" s="484">
        <v>55</v>
      </c>
      <c r="V41" s="484">
        <v>70</v>
      </c>
      <c r="W41" s="484">
        <v>70</v>
      </c>
      <c r="X41" s="3" t="s">
        <v>674</v>
      </c>
      <c r="Y41" s="3" t="s">
        <v>4471</v>
      </c>
      <c r="Z41" s="3" t="s">
        <v>2045</v>
      </c>
    </row>
    <row r="42" spans="2:26" ht="110.25">
      <c r="B42" s="69"/>
      <c r="C42" s="890">
        <v>3</v>
      </c>
      <c r="D42" s="890" t="s">
        <v>38</v>
      </c>
      <c r="E42" s="890">
        <v>8</v>
      </c>
      <c r="F42" s="890" t="s">
        <v>39</v>
      </c>
      <c r="G42" s="890" t="s">
        <v>675</v>
      </c>
      <c r="H42" s="36"/>
      <c r="I42" s="890" t="s">
        <v>4910</v>
      </c>
      <c r="J42" s="3"/>
      <c r="K42" s="3"/>
      <c r="L42" s="3"/>
      <c r="M42" s="3"/>
      <c r="N42" s="3"/>
      <c r="O42" s="31"/>
      <c r="P42" s="483"/>
      <c r="Q42" s="31"/>
      <c r="R42" s="31"/>
      <c r="S42" s="31"/>
      <c r="T42" s="31"/>
      <c r="U42" s="31"/>
      <c r="V42" s="31"/>
      <c r="W42" s="31"/>
      <c r="X42" s="3"/>
      <c r="Y42" s="3"/>
      <c r="Z42" s="3"/>
    </row>
    <row r="43" spans="2:26" ht="78.75">
      <c r="B43" s="69"/>
      <c r="C43" s="891"/>
      <c r="D43" s="891"/>
      <c r="E43" s="891"/>
      <c r="F43" s="891"/>
      <c r="G43" s="891"/>
      <c r="H43" s="75"/>
      <c r="I43" s="891"/>
      <c r="J43" s="890" t="s">
        <v>547</v>
      </c>
      <c r="K43" s="890" t="s">
        <v>773</v>
      </c>
      <c r="L43" s="890">
        <v>19</v>
      </c>
      <c r="M43" s="890" t="s">
        <v>84</v>
      </c>
      <c r="N43" s="3" t="s">
        <v>702</v>
      </c>
      <c r="O43" s="31" t="s">
        <v>701</v>
      </c>
      <c r="P43" s="33">
        <v>17</v>
      </c>
      <c r="Q43" s="33">
        <v>33</v>
      </c>
      <c r="R43" s="33">
        <v>50</v>
      </c>
      <c r="S43" s="33">
        <v>67</v>
      </c>
      <c r="T43" s="33">
        <v>83</v>
      </c>
      <c r="U43" s="33">
        <v>100</v>
      </c>
      <c r="V43" s="33">
        <v>100</v>
      </c>
      <c r="W43" s="33">
        <v>100</v>
      </c>
      <c r="X43" s="3" t="s">
        <v>672</v>
      </c>
      <c r="Y43" s="3" t="s">
        <v>85</v>
      </c>
      <c r="Z43" s="3" t="s">
        <v>706</v>
      </c>
    </row>
    <row r="44" spans="2:26" ht="78.75">
      <c r="B44" s="69"/>
      <c r="C44" s="891"/>
      <c r="D44" s="891"/>
      <c r="E44" s="891"/>
      <c r="F44" s="891"/>
      <c r="G44" s="891"/>
      <c r="H44" s="75"/>
      <c r="I44" s="891"/>
      <c r="J44" s="891"/>
      <c r="K44" s="891"/>
      <c r="L44" s="891"/>
      <c r="M44" s="891"/>
      <c r="N44" s="3" t="s">
        <v>751</v>
      </c>
      <c r="O44" s="31" t="s">
        <v>742</v>
      </c>
      <c r="P44" s="483">
        <v>119</v>
      </c>
      <c r="Q44" s="31">
        <v>219</v>
      </c>
      <c r="R44" s="31">
        <v>269</v>
      </c>
      <c r="S44" s="31">
        <v>319</v>
      </c>
      <c r="T44" s="31">
        <v>369</v>
      </c>
      <c r="U44" s="31">
        <v>419</v>
      </c>
      <c r="V44" s="31">
        <v>469</v>
      </c>
      <c r="W44" s="31">
        <f>250+219</f>
        <v>469</v>
      </c>
      <c r="X44" s="3" t="s">
        <v>672</v>
      </c>
      <c r="Y44" s="3"/>
      <c r="Z44" s="3" t="s">
        <v>707</v>
      </c>
    </row>
    <row r="45" spans="2:26" ht="78.75">
      <c r="B45" s="69"/>
      <c r="C45" s="892"/>
      <c r="D45" s="892"/>
      <c r="E45" s="892"/>
      <c r="F45" s="892"/>
      <c r="G45" s="892"/>
      <c r="H45" s="76"/>
      <c r="I45" s="892"/>
      <c r="J45" s="892"/>
      <c r="K45" s="892"/>
      <c r="L45" s="892"/>
      <c r="M45" s="892"/>
      <c r="N45" s="3" t="s">
        <v>776</v>
      </c>
      <c r="O45" s="31" t="s">
        <v>742</v>
      </c>
      <c r="P45" s="483">
        <v>100</v>
      </c>
      <c r="Q45" s="31">
        <v>160</v>
      </c>
      <c r="R45" s="31">
        <v>210</v>
      </c>
      <c r="S45" s="31">
        <v>260</v>
      </c>
      <c r="T45" s="31">
        <v>310</v>
      </c>
      <c r="U45" s="31">
        <v>360</v>
      </c>
      <c r="V45" s="31">
        <v>410</v>
      </c>
      <c r="W45" s="31">
        <f>250+Q45</f>
        <v>410</v>
      </c>
      <c r="X45" s="3" t="s">
        <v>672</v>
      </c>
      <c r="Y45" s="3"/>
      <c r="Z45" s="3" t="s">
        <v>708</v>
      </c>
    </row>
    <row r="46" spans="2:26" ht="94.5">
      <c r="B46" s="69"/>
      <c r="C46" s="890">
        <v>4</v>
      </c>
      <c r="D46" s="890" t="s">
        <v>47</v>
      </c>
      <c r="E46" s="890">
        <v>9</v>
      </c>
      <c r="F46" s="890" t="s">
        <v>32</v>
      </c>
      <c r="G46" s="890" t="s">
        <v>685</v>
      </c>
      <c r="H46" s="890" t="s">
        <v>736</v>
      </c>
      <c r="I46" s="890" t="s">
        <v>4911</v>
      </c>
      <c r="J46" s="3"/>
      <c r="K46" s="3"/>
      <c r="L46" s="3"/>
      <c r="M46" s="3"/>
      <c r="N46" s="3"/>
      <c r="O46" s="31"/>
      <c r="P46" s="483"/>
      <c r="Q46" s="31"/>
      <c r="R46" s="31"/>
      <c r="S46" s="31"/>
      <c r="T46" s="31"/>
      <c r="U46" s="31"/>
      <c r="V46" s="31"/>
      <c r="W46" s="31"/>
      <c r="X46" s="3"/>
      <c r="Y46" s="3"/>
      <c r="Z46" s="3"/>
    </row>
    <row r="47" spans="2:26" ht="94.5">
      <c r="B47" s="77"/>
      <c r="C47" s="892"/>
      <c r="D47" s="892"/>
      <c r="E47" s="892"/>
      <c r="F47" s="892"/>
      <c r="G47" s="892"/>
      <c r="H47" s="76"/>
      <c r="I47" s="892"/>
      <c r="J47" s="3" t="s">
        <v>547</v>
      </c>
      <c r="K47" s="3" t="s">
        <v>773</v>
      </c>
      <c r="L47" s="3">
        <v>27</v>
      </c>
      <c r="M47" s="3" t="s">
        <v>89</v>
      </c>
      <c r="N47" s="3" t="s">
        <v>709</v>
      </c>
      <c r="O47" s="31" t="s">
        <v>701</v>
      </c>
      <c r="P47" s="34">
        <v>50</v>
      </c>
      <c r="Q47" s="34">
        <v>75</v>
      </c>
      <c r="R47" s="34">
        <v>100</v>
      </c>
      <c r="S47" s="34">
        <v>100</v>
      </c>
      <c r="T47" s="34">
        <v>100</v>
      </c>
      <c r="U47" s="34">
        <v>100</v>
      </c>
      <c r="V47" s="34">
        <v>100</v>
      </c>
      <c r="W47" s="34">
        <v>100</v>
      </c>
      <c r="X47" s="3" t="s">
        <v>672</v>
      </c>
      <c r="Y47" s="3" t="s">
        <v>34</v>
      </c>
      <c r="Z47" s="3" t="s">
        <v>35</v>
      </c>
    </row>
    <row r="48" spans="2:26" ht="94.5">
      <c r="B48" s="37" t="s">
        <v>28</v>
      </c>
      <c r="C48" s="890">
        <v>5</v>
      </c>
      <c r="D48" s="890" t="s">
        <v>37</v>
      </c>
      <c r="E48" s="890">
        <v>10</v>
      </c>
      <c r="F48" s="890" t="s">
        <v>13</v>
      </c>
      <c r="G48" s="890" t="s">
        <v>676</v>
      </c>
      <c r="H48" s="890" t="s">
        <v>1866</v>
      </c>
      <c r="I48" s="890" t="s">
        <v>4912</v>
      </c>
      <c r="J48" s="3"/>
      <c r="K48" s="3"/>
      <c r="L48" s="3"/>
      <c r="M48" s="3"/>
      <c r="N48" s="3"/>
      <c r="O48" s="31"/>
      <c r="P48" s="483"/>
      <c r="Q48" s="31"/>
      <c r="R48" s="31"/>
      <c r="S48" s="31"/>
      <c r="T48" s="31"/>
      <c r="U48" s="31"/>
      <c r="V48" s="31"/>
      <c r="W48" s="31"/>
      <c r="X48" s="3"/>
      <c r="Y48" s="3"/>
      <c r="Z48" s="3"/>
    </row>
    <row r="49" spans="2:26" ht="110.25">
      <c r="B49" s="69"/>
      <c r="C49" s="891"/>
      <c r="D49" s="891"/>
      <c r="E49" s="892"/>
      <c r="F49" s="892"/>
      <c r="G49" s="892"/>
      <c r="H49" s="892"/>
      <c r="I49" s="892"/>
      <c r="J49" s="890" t="s">
        <v>601</v>
      </c>
      <c r="K49" s="890" t="s">
        <v>773</v>
      </c>
      <c r="L49" s="890">
        <v>20</v>
      </c>
      <c r="M49" s="890" t="s">
        <v>1867</v>
      </c>
      <c r="N49" s="3" t="s">
        <v>1868</v>
      </c>
      <c r="O49" s="31" t="s">
        <v>701</v>
      </c>
      <c r="P49" s="34">
        <v>10</v>
      </c>
      <c r="Q49" s="34">
        <v>20</v>
      </c>
      <c r="R49" s="33">
        <v>25</v>
      </c>
      <c r="S49" s="33">
        <v>30</v>
      </c>
      <c r="T49" s="33">
        <v>40</v>
      </c>
      <c r="U49" s="33">
        <v>50</v>
      </c>
      <c r="V49" s="33">
        <v>60</v>
      </c>
      <c r="W49" s="34">
        <v>60</v>
      </c>
      <c r="X49" s="3" t="s">
        <v>671</v>
      </c>
      <c r="Y49" s="3" t="s">
        <v>4452</v>
      </c>
      <c r="Z49" s="3"/>
    </row>
    <row r="50" spans="2:26" ht="141.75">
      <c r="B50" s="69"/>
      <c r="C50" s="891"/>
      <c r="D50" s="891"/>
      <c r="E50" s="890">
        <v>11</v>
      </c>
      <c r="F50" s="890" t="s">
        <v>677</v>
      </c>
      <c r="G50" s="890" t="s">
        <v>678</v>
      </c>
      <c r="H50" s="890" t="s">
        <v>1869</v>
      </c>
      <c r="I50" s="890" t="s">
        <v>4913</v>
      </c>
      <c r="J50" s="891"/>
      <c r="K50" s="891"/>
      <c r="L50" s="891"/>
      <c r="M50" s="891"/>
      <c r="N50" s="3" t="s">
        <v>1870</v>
      </c>
      <c r="O50" s="31" t="s">
        <v>4444</v>
      </c>
      <c r="P50" s="493">
        <v>53088000</v>
      </c>
      <c r="Q50" s="493">
        <v>69200000</v>
      </c>
      <c r="R50" s="494">
        <v>76120000</v>
      </c>
      <c r="S50" s="494">
        <v>83732000</v>
      </c>
      <c r="T50" s="494">
        <v>92105200</v>
      </c>
      <c r="U50" s="495">
        <v>102236750</v>
      </c>
      <c r="V50" s="495">
        <v>113482800</v>
      </c>
      <c r="W50" s="495">
        <v>113482800</v>
      </c>
      <c r="X50" s="3" t="s">
        <v>671</v>
      </c>
      <c r="Y50" s="3" t="s">
        <v>4453</v>
      </c>
      <c r="Z50" s="3"/>
    </row>
    <row r="51" spans="2:26" ht="78.75">
      <c r="B51" s="69"/>
      <c r="C51" s="891"/>
      <c r="D51" s="891"/>
      <c r="E51" s="891"/>
      <c r="F51" s="891"/>
      <c r="G51" s="891"/>
      <c r="H51" s="891"/>
      <c r="I51" s="891"/>
      <c r="J51" s="891"/>
      <c r="K51" s="891"/>
      <c r="L51" s="891"/>
      <c r="M51" s="891"/>
      <c r="N51" s="3" t="s">
        <v>1871</v>
      </c>
      <c r="O51" s="31" t="s">
        <v>4444</v>
      </c>
      <c r="P51" s="34" t="s">
        <v>4472</v>
      </c>
      <c r="Q51" s="34" t="s">
        <v>4473</v>
      </c>
      <c r="R51" s="496">
        <v>2854.65</v>
      </c>
      <c r="S51" s="496">
        <v>3539.77</v>
      </c>
      <c r="T51" s="496">
        <v>4389.32</v>
      </c>
      <c r="U51" s="496">
        <v>5442.75</v>
      </c>
      <c r="V51" s="496">
        <v>6749.01</v>
      </c>
      <c r="W51" s="496">
        <v>6749.01</v>
      </c>
      <c r="X51" s="3" t="s">
        <v>671</v>
      </c>
      <c r="Y51" s="3" t="s">
        <v>1872</v>
      </c>
      <c r="Z51" s="3" t="s">
        <v>65</v>
      </c>
    </row>
    <row r="52" spans="2:26" ht="78.75">
      <c r="B52" s="69"/>
      <c r="C52" s="891"/>
      <c r="D52" s="891"/>
      <c r="E52" s="891"/>
      <c r="F52" s="891"/>
      <c r="G52" s="891"/>
      <c r="H52" s="891"/>
      <c r="I52" s="891"/>
      <c r="J52" s="891"/>
      <c r="K52" s="891"/>
      <c r="L52" s="891"/>
      <c r="M52" s="891"/>
      <c r="N52" s="3" t="s">
        <v>1873</v>
      </c>
      <c r="O52" s="31" t="s">
        <v>4444</v>
      </c>
      <c r="P52" s="496">
        <v>1152.26</v>
      </c>
      <c r="Q52" s="496">
        <v>1423.99</v>
      </c>
      <c r="R52" s="496">
        <v>1765.75</v>
      </c>
      <c r="S52" s="496">
        <v>2189.5300000000002</v>
      </c>
      <c r="T52" s="496">
        <v>2715.01</v>
      </c>
      <c r="U52" s="496">
        <v>3366.62</v>
      </c>
      <c r="V52" s="496">
        <v>4174.6000000000004</v>
      </c>
      <c r="W52" s="497">
        <f>V52</f>
        <v>4174.6000000000004</v>
      </c>
      <c r="X52" s="3" t="s">
        <v>671</v>
      </c>
      <c r="Y52" s="3" t="s">
        <v>1874</v>
      </c>
      <c r="Z52" s="3" t="s">
        <v>65</v>
      </c>
    </row>
    <row r="53" spans="2:26" ht="47.25">
      <c r="B53" s="69"/>
      <c r="C53" s="891"/>
      <c r="D53" s="891"/>
      <c r="E53" s="891"/>
      <c r="F53" s="891"/>
      <c r="G53" s="891"/>
      <c r="H53" s="891"/>
      <c r="I53" s="891"/>
      <c r="J53" s="891"/>
      <c r="K53" s="891"/>
      <c r="L53" s="891"/>
      <c r="M53" s="891"/>
      <c r="N53" s="3" t="s">
        <v>1875</v>
      </c>
      <c r="O53" s="31" t="s">
        <v>1876</v>
      </c>
      <c r="P53" s="31">
        <v>70</v>
      </c>
      <c r="Q53" s="31">
        <v>80</v>
      </c>
      <c r="R53" s="486">
        <v>90</v>
      </c>
      <c r="S53" s="486">
        <v>100</v>
      </c>
      <c r="T53" s="486">
        <v>110</v>
      </c>
      <c r="U53" s="486">
        <v>120</v>
      </c>
      <c r="V53" s="486">
        <v>130</v>
      </c>
      <c r="W53" s="35">
        <v>130</v>
      </c>
      <c r="X53" s="3" t="s">
        <v>671</v>
      </c>
      <c r="Y53" s="3" t="s">
        <v>1877</v>
      </c>
      <c r="Z53" s="3"/>
    </row>
    <row r="54" spans="2:26" ht="47.25">
      <c r="B54" s="69"/>
      <c r="C54" s="891"/>
      <c r="D54" s="891"/>
      <c r="E54" s="891"/>
      <c r="F54" s="891"/>
      <c r="G54" s="891"/>
      <c r="H54" s="891"/>
      <c r="I54" s="891"/>
      <c r="J54" s="891"/>
      <c r="K54" s="891"/>
      <c r="L54" s="891"/>
      <c r="M54" s="891"/>
      <c r="N54" s="3" t="s">
        <v>1878</v>
      </c>
      <c r="O54" s="31" t="s">
        <v>1879</v>
      </c>
      <c r="P54" s="31" t="s">
        <v>4454</v>
      </c>
      <c r="Q54" s="31" t="s">
        <v>4455</v>
      </c>
      <c r="R54" s="498">
        <v>2.36</v>
      </c>
      <c r="S54" s="498">
        <v>2.89</v>
      </c>
      <c r="T54" s="498">
        <v>3.54</v>
      </c>
      <c r="U54" s="498">
        <v>4.33</v>
      </c>
      <c r="V54" s="498">
        <v>5.29</v>
      </c>
      <c r="W54" s="35" t="s">
        <v>4456</v>
      </c>
      <c r="X54" s="3" t="s">
        <v>671</v>
      </c>
      <c r="Y54" s="3" t="s">
        <v>1880</v>
      </c>
      <c r="Z54" s="3"/>
    </row>
    <row r="55" spans="2:26" ht="63">
      <c r="B55" s="69"/>
      <c r="C55" s="891"/>
      <c r="D55" s="891"/>
      <c r="E55" s="891"/>
      <c r="F55" s="891"/>
      <c r="G55" s="891"/>
      <c r="H55" s="891"/>
      <c r="I55" s="891"/>
      <c r="J55" s="892"/>
      <c r="K55" s="892"/>
      <c r="L55" s="892"/>
      <c r="M55" s="892"/>
      <c r="N55" s="3" t="s">
        <v>1881</v>
      </c>
      <c r="O55" s="31" t="s">
        <v>1882</v>
      </c>
      <c r="P55" s="31" t="s">
        <v>4457</v>
      </c>
      <c r="Q55" s="31" t="s">
        <v>4458</v>
      </c>
      <c r="R55" s="498">
        <v>551.58000000000004</v>
      </c>
      <c r="S55" s="498">
        <v>668.28</v>
      </c>
      <c r="T55" s="498">
        <v>809.67</v>
      </c>
      <c r="U55" s="498">
        <v>980.97</v>
      </c>
      <c r="V55" s="499">
        <v>1188.51</v>
      </c>
      <c r="W55" s="496" t="s">
        <v>4459</v>
      </c>
      <c r="X55" s="3" t="s">
        <v>671</v>
      </c>
      <c r="Y55" s="3" t="s">
        <v>1883</v>
      </c>
      <c r="Z55" s="3"/>
    </row>
    <row r="56" spans="2:26" ht="63">
      <c r="B56" s="69"/>
      <c r="C56" s="891"/>
      <c r="D56" s="891"/>
      <c r="E56" s="891"/>
      <c r="F56" s="891"/>
      <c r="G56" s="891"/>
      <c r="H56" s="891"/>
      <c r="I56" s="891"/>
      <c r="J56" s="890" t="s">
        <v>601</v>
      </c>
      <c r="K56" s="890" t="s">
        <v>773</v>
      </c>
      <c r="L56" s="890">
        <v>23</v>
      </c>
      <c r="M56" s="890" t="s">
        <v>1884</v>
      </c>
      <c r="N56" s="3" t="s">
        <v>1885</v>
      </c>
      <c r="O56" s="31" t="s">
        <v>4460</v>
      </c>
      <c r="P56" s="31">
        <v>183</v>
      </c>
      <c r="Q56" s="31">
        <v>196</v>
      </c>
      <c r="R56" s="33">
        <v>210</v>
      </c>
      <c r="S56" s="33">
        <v>224</v>
      </c>
      <c r="T56" s="33">
        <v>240</v>
      </c>
      <c r="U56" s="33">
        <v>258</v>
      </c>
      <c r="V56" s="500">
        <v>277</v>
      </c>
      <c r="W56" s="501">
        <v>277</v>
      </c>
      <c r="X56" s="3" t="s">
        <v>671</v>
      </c>
      <c r="Y56" s="3" t="s">
        <v>4461</v>
      </c>
      <c r="Z56" s="3"/>
    </row>
    <row r="57" spans="2:26" ht="63">
      <c r="B57" s="69"/>
      <c r="C57" s="891"/>
      <c r="D57" s="891"/>
      <c r="E57" s="891"/>
      <c r="F57" s="891"/>
      <c r="G57" s="891"/>
      <c r="H57" s="891"/>
      <c r="I57" s="891"/>
      <c r="J57" s="892"/>
      <c r="K57" s="892"/>
      <c r="L57" s="892"/>
      <c r="M57" s="892"/>
      <c r="N57" s="3" t="s">
        <v>1886</v>
      </c>
      <c r="O57" s="31" t="s">
        <v>1887</v>
      </c>
      <c r="P57" s="31">
        <v>14.96</v>
      </c>
      <c r="Q57" s="31">
        <v>15.25</v>
      </c>
      <c r="R57" s="498">
        <v>15.56</v>
      </c>
      <c r="S57" s="498">
        <v>15.87</v>
      </c>
      <c r="T57" s="498">
        <v>16.190000000000001</v>
      </c>
      <c r="U57" s="498">
        <v>16.53</v>
      </c>
      <c r="V57" s="499">
        <v>16.87</v>
      </c>
      <c r="W57" s="499" t="s">
        <v>4462</v>
      </c>
      <c r="X57" s="3" t="s">
        <v>671</v>
      </c>
      <c r="Y57" s="3" t="s">
        <v>1888</v>
      </c>
      <c r="Z57" s="3"/>
    </row>
    <row r="58" spans="2:26" ht="63">
      <c r="B58" s="69"/>
      <c r="C58" s="891"/>
      <c r="D58" s="891"/>
      <c r="E58" s="891"/>
      <c r="F58" s="891"/>
      <c r="G58" s="891"/>
      <c r="H58" s="891"/>
      <c r="I58" s="891"/>
      <c r="J58" s="3" t="s">
        <v>601</v>
      </c>
      <c r="K58" s="3" t="s">
        <v>773</v>
      </c>
      <c r="L58" s="3">
        <v>24</v>
      </c>
      <c r="M58" s="3" t="s">
        <v>1889</v>
      </c>
      <c r="N58" s="3" t="s">
        <v>1890</v>
      </c>
      <c r="O58" s="31" t="s">
        <v>749</v>
      </c>
      <c r="P58" s="31" t="s">
        <v>4463</v>
      </c>
      <c r="Q58" s="31" t="s">
        <v>4464</v>
      </c>
      <c r="R58" s="33" t="s">
        <v>4465</v>
      </c>
      <c r="S58" s="33" t="s">
        <v>4466</v>
      </c>
      <c r="T58" s="33" t="s">
        <v>4467</v>
      </c>
      <c r="U58" s="33" t="s">
        <v>4468</v>
      </c>
      <c r="V58" s="33" t="s">
        <v>4469</v>
      </c>
      <c r="W58" s="31" t="s">
        <v>4469</v>
      </c>
      <c r="X58" s="3" t="s">
        <v>671</v>
      </c>
      <c r="Y58" s="3" t="s">
        <v>4470</v>
      </c>
      <c r="Z58" s="3"/>
    </row>
    <row r="59" spans="2:26" ht="94.5">
      <c r="B59" s="77"/>
      <c r="C59" s="892"/>
      <c r="D59" s="892"/>
      <c r="E59" s="892"/>
      <c r="F59" s="892"/>
      <c r="G59" s="892"/>
      <c r="H59" s="892"/>
      <c r="I59" s="892"/>
      <c r="J59" s="3" t="s">
        <v>601</v>
      </c>
      <c r="K59" s="3" t="s">
        <v>773</v>
      </c>
      <c r="L59" s="3">
        <v>21</v>
      </c>
      <c r="M59" s="3" t="s">
        <v>1891</v>
      </c>
      <c r="N59" s="3" t="s">
        <v>1892</v>
      </c>
      <c r="O59" s="31" t="s">
        <v>4565</v>
      </c>
      <c r="P59" s="31">
        <v>121.28</v>
      </c>
      <c r="Q59" s="31" t="s">
        <v>4474</v>
      </c>
      <c r="R59" s="33">
        <v>227.64</v>
      </c>
      <c r="S59" s="33">
        <v>311.87</v>
      </c>
      <c r="T59" s="33">
        <v>427.26</v>
      </c>
      <c r="U59" s="33">
        <v>585.34</v>
      </c>
      <c r="V59" s="33">
        <v>801.92</v>
      </c>
      <c r="W59" s="33">
        <v>801.92</v>
      </c>
      <c r="X59" s="3" t="s">
        <v>671</v>
      </c>
      <c r="Y59" s="3" t="s">
        <v>1893</v>
      </c>
      <c r="Z59" s="3" t="s">
        <v>65</v>
      </c>
    </row>
    <row r="60" spans="2:26" ht="141.75">
      <c r="B60" s="37" t="s">
        <v>29</v>
      </c>
      <c r="C60" s="890">
        <v>6</v>
      </c>
      <c r="D60" s="890" t="s">
        <v>1</v>
      </c>
      <c r="E60" s="890">
        <v>12</v>
      </c>
      <c r="F60" s="890" t="s">
        <v>733</v>
      </c>
      <c r="G60" s="890" t="s">
        <v>1942</v>
      </c>
      <c r="H60" s="890" t="s">
        <v>1943</v>
      </c>
      <c r="I60" s="890" t="s">
        <v>1944</v>
      </c>
      <c r="J60" s="3"/>
      <c r="K60" s="3"/>
      <c r="L60" s="3"/>
      <c r="M60" s="3"/>
      <c r="N60" s="3"/>
      <c r="O60" s="31"/>
      <c r="P60" s="483"/>
      <c r="Q60" s="31"/>
      <c r="R60" s="31"/>
      <c r="S60" s="31"/>
      <c r="T60" s="31"/>
      <c r="U60" s="31"/>
      <c r="V60" s="31"/>
      <c r="W60" s="31"/>
      <c r="X60" s="3"/>
      <c r="Y60" s="3"/>
      <c r="Z60" s="3"/>
    </row>
    <row r="61" spans="2:26" ht="157.5">
      <c r="B61" s="69"/>
      <c r="C61" s="891"/>
      <c r="D61" s="891"/>
      <c r="E61" s="891"/>
      <c r="F61" s="891"/>
      <c r="G61" s="891"/>
      <c r="H61" s="891"/>
      <c r="I61" s="891"/>
      <c r="J61" s="890" t="s">
        <v>501</v>
      </c>
      <c r="K61" s="890" t="s">
        <v>773</v>
      </c>
      <c r="L61" s="890">
        <v>16</v>
      </c>
      <c r="M61" s="138" t="s">
        <v>571</v>
      </c>
      <c r="N61" s="3" t="s">
        <v>90</v>
      </c>
      <c r="O61" s="31" t="s">
        <v>1945</v>
      </c>
      <c r="P61" s="502">
        <v>2846.55</v>
      </c>
      <c r="Q61" s="502">
        <v>2794.62</v>
      </c>
      <c r="R61" s="502">
        <v>2800</v>
      </c>
      <c r="S61" s="502">
        <v>2850</v>
      </c>
      <c r="T61" s="502">
        <v>2900</v>
      </c>
      <c r="U61" s="502">
        <v>2940</v>
      </c>
      <c r="V61" s="502">
        <v>2980</v>
      </c>
      <c r="W61" s="31">
        <v>2980</v>
      </c>
      <c r="X61" s="3" t="s">
        <v>679</v>
      </c>
      <c r="Y61" s="3" t="s">
        <v>99</v>
      </c>
      <c r="Z61" s="3" t="s">
        <v>100</v>
      </c>
    </row>
    <row r="62" spans="2:26" ht="157.5">
      <c r="B62" s="69"/>
      <c r="C62" s="891"/>
      <c r="D62" s="891"/>
      <c r="E62" s="891"/>
      <c r="F62" s="891"/>
      <c r="G62" s="891"/>
      <c r="H62" s="891"/>
      <c r="I62" s="891"/>
      <c r="J62" s="891"/>
      <c r="K62" s="891"/>
      <c r="L62" s="891"/>
      <c r="M62" s="891"/>
      <c r="N62" s="3" t="s">
        <v>91</v>
      </c>
      <c r="O62" s="31" t="s">
        <v>1946</v>
      </c>
      <c r="P62" s="31">
        <v>74.989999999999995</v>
      </c>
      <c r="Q62" s="31">
        <v>70.88</v>
      </c>
      <c r="R62" s="496">
        <v>73.540000000000006</v>
      </c>
      <c r="S62" s="496">
        <v>74</v>
      </c>
      <c r="T62" s="496">
        <v>74.75</v>
      </c>
      <c r="U62" s="496">
        <v>75.5</v>
      </c>
      <c r="V62" s="31" t="s">
        <v>4592</v>
      </c>
      <c r="W62" s="31" t="s">
        <v>4592</v>
      </c>
      <c r="X62" s="3" t="s">
        <v>679</v>
      </c>
      <c r="Y62" s="3" t="s">
        <v>99</v>
      </c>
      <c r="Z62" s="3" t="s">
        <v>101</v>
      </c>
    </row>
    <row r="63" spans="2:26" ht="126">
      <c r="B63" s="69"/>
      <c r="C63" s="891"/>
      <c r="D63" s="891"/>
      <c r="E63" s="891"/>
      <c r="F63" s="891"/>
      <c r="G63" s="891"/>
      <c r="H63" s="891"/>
      <c r="I63" s="891"/>
      <c r="J63" s="891"/>
      <c r="K63" s="891"/>
      <c r="L63" s="891"/>
      <c r="M63" s="891"/>
      <c r="N63" s="3" t="s">
        <v>1947</v>
      </c>
      <c r="O63" s="31" t="s">
        <v>742</v>
      </c>
      <c r="P63" s="484">
        <v>29</v>
      </c>
      <c r="Q63" s="484">
        <v>35</v>
      </c>
      <c r="R63" s="484">
        <v>43</v>
      </c>
      <c r="S63" s="484">
        <v>51</v>
      </c>
      <c r="T63" s="484">
        <v>59</v>
      </c>
      <c r="U63" s="484">
        <v>67</v>
      </c>
      <c r="V63" s="484">
        <v>75</v>
      </c>
      <c r="W63" s="484">
        <v>75</v>
      </c>
      <c r="X63" s="3" t="s">
        <v>679</v>
      </c>
      <c r="Y63" s="3" t="s">
        <v>1948</v>
      </c>
      <c r="Z63" s="3" t="s">
        <v>102</v>
      </c>
    </row>
    <row r="64" spans="2:26" ht="47.25">
      <c r="B64" s="69"/>
      <c r="C64" s="891"/>
      <c r="D64" s="891"/>
      <c r="E64" s="891"/>
      <c r="F64" s="891"/>
      <c r="G64" s="891"/>
      <c r="H64" s="891"/>
      <c r="I64" s="891"/>
      <c r="J64" s="891"/>
      <c r="K64" s="891"/>
      <c r="L64" s="891"/>
      <c r="M64" s="891"/>
      <c r="N64" s="3" t="s">
        <v>1949</v>
      </c>
      <c r="O64" s="31" t="s">
        <v>701</v>
      </c>
      <c r="P64" s="492">
        <v>2.6</v>
      </c>
      <c r="Q64" s="492" t="s">
        <v>1950</v>
      </c>
      <c r="R64" s="484">
        <v>10</v>
      </c>
      <c r="S64" s="484">
        <v>10</v>
      </c>
      <c r="T64" s="484">
        <v>10</v>
      </c>
      <c r="U64" s="484">
        <v>10</v>
      </c>
      <c r="V64" s="484">
        <v>10</v>
      </c>
      <c r="W64" s="484">
        <v>10</v>
      </c>
      <c r="X64" s="3" t="s">
        <v>679</v>
      </c>
      <c r="Y64" s="3" t="s">
        <v>1951</v>
      </c>
      <c r="Z64" s="3"/>
    </row>
    <row r="65" spans="2:26" ht="252">
      <c r="B65" s="69"/>
      <c r="C65" s="891"/>
      <c r="D65" s="891"/>
      <c r="E65" s="891"/>
      <c r="F65" s="891"/>
      <c r="G65" s="891"/>
      <c r="H65" s="891"/>
      <c r="I65" s="891"/>
      <c r="J65" s="891"/>
      <c r="K65" s="891"/>
      <c r="L65" s="891"/>
      <c r="M65" s="891"/>
      <c r="N65" s="3" t="s">
        <v>713</v>
      </c>
      <c r="O65" s="31" t="s">
        <v>701</v>
      </c>
      <c r="P65" s="31">
        <v>50</v>
      </c>
      <c r="Q65" s="33">
        <v>50</v>
      </c>
      <c r="R65" s="33">
        <v>60</v>
      </c>
      <c r="S65" s="33">
        <v>60</v>
      </c>
      <c r="T65" s="33">
        <v>75</v>
      </c>
      <c r="U65" s="33">
        <v>75</v>
      </c>
      <c r="V65" s="33">
        <v>85</v>
      </c>
      <c r="W65" s="34">
        <v>85</v>
      </c>
      <c r="X65" s="3" t="s">
        <v>679</v>
      </c>
      <c r="Y65" s="3" t="s">
        <v>714</v>
      </c>
      <c r="Z65" s="3" t="s">
        <v>4566</v>
      </c>
    </row>
    <row r="66" spans="2:26" ht="63">
      <c r="B66" s="69"/>
      <c r="C66" s="891"/>
      <c r="D66" s="891"/>
      <c r="E66" s="891"/>
      <c r="F66" s="891"/>
      <c r="G66" s="891"/>
      <c r="H66" s="891"/>
      <c r="I66" s="891"/>
      <c r="J66" s="891"/>
      <c r="K66" s="891"/>
      <c r="L66" s="891"/>
      <c r="M66" s="891"/>
      <c r="N66" s="3" t="s">
        <v>40</v>
      </c>
      <c r="O66" s="31" t="s">
        <v>701</v>
      </c>
      <c r="P66" s="33">
        <v>88</v>
      </c>
      <c r="Q66" s="33">
        <v>88.5</v>
      </c>
      <c r="R66" s="33">
        <v>89</v>
      </c>
      <c r="S66" s="33">
        <v>90</v>
      </c>
      <c r="T66" s="33">
        <v>90.45</v>
      </c>
      <c r="U66" s="33">
        <v>90.85</v>
      </c>
      <c r="V66" s="33">
        <v>91</v>
      </c>
      <c r="W66" s="33">
        <v>91</v>
      </c>
      <c r="X66" s="3" t="s">
        <v>679</v>
      </c>
      <c r="Y66" s="3" t="s">
        <v>92</v>
      </c>
      <c r="Z66" s="3" t="s">
        <v>103</v>
      </c>
    </row>
    <row r="67" spans="2:26" ht="63">
      <c r="B67" s="69"/>
      <c r="C67" s="891"/>
      <c r="D67" s="891"/>
      <c r="E67" s="891"/>
      <c r="F67" s="891"/>
      <c r="G67" s="891"/>
      <c r="H67" s="891"/>
      <c r="I67" s="891"/>
      <c r="J67" s="891"/>
      <c r="K67" s="891"/>
      <c r="L67" s="891"/>
      <c r="M67" s="891"/>
      <c r="N67" s="3" t="s">
        <v>41</v>
      </c>
      <c r="O67" s="31" t="s">
        <v>701</v>
      </c>
      <c r="P67" s="31" t="s">
        <v>743</v>
      </c>
      <c r="Q67" s="31" t="s">
        <v>743</v>
      </c>
      <c r="R67" s="33">
        <v>60</v>
      </c>
      <c r="S67" s="33">
        <v>80</v>
      </c>
      <c r="T67" s="33">
        <v>80</v>
      </c>
      <c r="U67" s="33">
        <v>85</v>
      </c>
      <c r="V67" s="33">
        <v>90</v>
      </c>
      <c r="W67" s="34">
        <f>V67</f>
        <v>90</v>
      </c>
      <c r="X67" s="3" t="s">
        <v>679</v>
      </c>
      <c r="Y67" s="3" t="s">
        <v>715</v>
      </c>
      <c r="Z67" s="3" t="s">
        <v>102</v>
      </c>
    </row>
    <row r="68" spans="2:26" ht="31.5">
      <c r="B68" s="69"/>
      <c r="C68" s="891"/>
      <c r="D68" s="891"/>
      <c r="E68" s="891"/>
      <c r="F68" s="891"/>
      <c r="G68" s="891"/>
      <c r="H68" s="891"/>
      <c r="I68" s="891"/>
      <c r="J68" s="891"/>
      <c r="K68" s="891"/>
      <c r="L68" s="891"/>
      <c r="M68" s="891"/>
      <c r="N68" s="3" t="s">
        <v>4594</v>
      </c>
      <c r="O68" s="31" t="s">
        <v>4595</v>
      </c>
      <c r="P68" s="31">
        <v>6</v>
      </c>
      <c r="Q68" s="31">
        <v>8</v>
      </c>
      <c r="R68" s="33">
        <v>8</v>
      </c>
      <c r="S68" s="33">
        <v>9</v>
      </c>
      <c r="T68" s="33">
        <v>9</v>
      </c>
      <c r="U68" s="33">
        <v>10</v>
      </c>
      <c r="V68" s="33">
        <v>10</v>
      </c>
      <c r="W68" s="34">
        <v>10</v>
      </c>
      <c r="X68" s="3" t="s">
        <v>679</v>
      </c>
      <c r="Y68" s="3" t="s">
        <v>4602</v>
      </c>
      <c r="Z68" s="3"/>
    </row>
    <row r="69" spans="2:26" ht="47.25">
      <c r="B69" s="69"/>
      <c r="C69" s="891"/>
      <c r="D69" s="891"/>
      <c r="E69" s="891"/>
      <c r="F69" s="891"/>
      <c r="G69" s="891"/>
      <c r="H69" s="891"/>
      <c r="I69" s="891"/>
      <c r="J69" s="891"/>
      <c r="K69" s="891"/>
      <c r="L69" s="891"/>
      <c r="M69" s="891"/>
      <c r="N69" s="3" t="s">
        <v>4600</v>
      </c>
      <c r="O69" s="31" t="s">
        <v>4601</v>
      </c>
      <c r="P69" s="32" t="s">
        <v>743</v>
      </c>
      <c r="Q69" s="31">
        <v>2</v>
      </c>
      <c r="R69" s="33">
        <v>3</v>
      </c>
      <c r="S69" s="33">
        <v>4</v>
      </c>
      <c r="T69" s="33">
        <v>4</v>
      </c>
      <c r="U69" s="33">
        <v>5</v>
      </c>
      <c r="V69" s="33">
        <v>5</v>
      </c>
      <c r="W69" s="34">
        <v>5</v>
      </c>
      <c r="X69" s="3" t="s">
        <v>679</v>
      </c>
      <c r="Y69" s="3" t="s">
        <v>4603</v>
      </c>
      <c r="Z69" s="3"/>
    </row>
    <row r="70" spans="2:26" ht="94.5">
      <c r="B70" s="69"/>
      <c r="C70" s="891"/>
      <c r="D70" s="891"/>
      <c r="E70" s="891"/>
      <c r="F70" s="891"/>
      <c r="G70" s="891"/>
      <c r="H70" s="891"/>
      <c r="I70" s="891"/>
      <c r="J70" s="891"/>
      <c r="K70" s="891"/>
      <c r="L70" s="891"/>
      <c r="M70" s="892"/>
      <c r="N70" s="3" t="s">
        <v>716</v>
      </c>
      <c r="O70" s="31" t="s">
        <v>701</v>
      </c>
      <c r="P70" s="33">
        <v>66.67</v>
      </c>
      <c r="Q70" s="33">
        <v>66.67</v>
      </c>
      <c r="R70" s="33">
        <v>70</v>
      </c>
      <c r="S70" s="33">
        <v>90</v>
      </c>
      <c r="T70" s="33">
        <v>95</v>
      </c>
      <c r="U70" s="33">
        <v>100</v>
      </c>
      <c r="V70" s="33">
        <v>100</v>
      </c>
      <c r="W70" s="33">
        <v>100</v>
      </c>
      <c r="X70" s="3" t="s">
        <v>679</v>
      </c>
      <c r="Y70" s="3" t="s">
        <v>717</v>
      </c>
      <c r="Z70" s="3"/>
    </row>
    <row r="71" spans="2:26" ht="78.75">
      <c r="B71" s="37" t="s">
        <v>9</v>
      </c>
      <c r="C71" s="890">
        <v>7</v>
      </c>
      <c r="D71" s="890" t="s">
        <v>42</v>
      </c>
      <c r="E71" s="890">
        <v>13</v>
      </c>
      <c r="F71" s="890" t="s">
        <v>734</v>
      </c>
      <c r="G71" s="890" t="s">
        <v>735</v>
      </c>
      <c r="H71" s="890" t="s">
        <v>5010</v>
      </c>
      <c r="I71" s="890" t="s">
        <v>680</v>
      </c>
      <c r="J71" s="890"/>
      <c r="K71" s="890"/>
      <c r="L71" s="890"/>
      <c r="M71" s="890"/>
      <c r="N71" s="3"/>
      <c r="O71" s="31"/>
      <c r="P71" s="483"/>
      <c r="Q71" s="31"/>
      <c r="R71" s="31"/>
      <c r="S71" s="31"/>
      <c r="T71" s="31"/>
      <c r="U71" s="31"/>
      <c r="V71" s="31"/>
      <c r="W71" s="31"/>
      <c r="X71" s="3"/>
      <c r="Y71" s="3"/>
      <c r="Z71" s="3"/>
    </row>
    <row r="72" spans="2:26" ht="283.5">
      <c r="B72" s="69"/>
      <c r="C72" s="891"/>
      <c r="D72" s="891"/>
      <c r="E72" s="891"/>
      <c r="F72" s="891"/>
      <c r="G72" s="891"/>
      <c r="H72" s="891"/>
      <c r="I72" s="891"/>
      <c r="J72" s="891"/>
      <c r="K72" s="891"/>
      <c r="L72" s="891"/>
      <c r="M72" s="891"/>
      <c r="N72" s="3" t="s">
        <v>2127</v>
      </c>
      <c r="O72" s="31" t="s">
        <v>742</v>
      </c>
      <c r="P72" s="483">
        <v>8</v>
      </c>
      <c r="Q72" s="31">
        <v>8</v>
      </c>
      <c r="R72" s="31">
        <v>9</v>
      </c>
      <c r="S72" s="31">
        <v>10</v>
      </c>
      <c r="T72" s="31">
        <v>10</v>
      </c>
      <c r="U72" s="31">
        <v>11</v>
      </c>
      <c r="V72" s="31">
        <v>11</v>
      </c>
      <c r="W72" s="31">
        <v>11</v>
      </c>
      <c r="X72" s="3" t="s">
        <v>681</v>
      </c>
      <c r="Y72" s="3" t="s">
        <v>2129</v>
      </c>
      <c r="Z72" s="3" t="s">
        <v>2128</v>
      </c>
    </row>
    <row r="73" spans="2:26" ht="141.75">
      <c r="B73" s="69"/>
      <c r="C73" s="891"/>
      <c r="D73" s="891"/>
      <c r="E73" s="891"/>
      <c r="F73" s="891"/>
      <c r="G73" s="890"/>
      <c r="H73" s="890"/>
      <c r="I73" s="890" t="s">
        <v>4914</v>
      </c>
      <c r="J73" s="890" t="s">
        <v>594</v>
      </c>
      <c r="K73" s="890" t="s">
        <v>773</v>
      </c>
      <c r="L73" s="890">
        <v>16</v>
      </c>
      <c r="M73" s="890" t="s">
        <v>94</v>
      </c>
      <c r="N73" s="3" t="s">
        <v>4593</v>
      </c>
      <c r="O73" s="31" t="s">
        <v>765</v>
      </c>
      <c r="P73" s="483">
        <v>2</v>
      </c>
      <c r="Q73" s="31">
        <v>2</v>
      </c>
      <c r="R73" s="31">
        <v>4</v>
      </c>
      <c r="S73" s="31">
        <v>6</v>
      </c>
      <c r="T73" s="31">
        <v>8</v>
      </c>
      <c r="U73" s="31">
        <v>10</v>
      </c>
      <c r="V73" s="31">
        <v>12</v>
      </c>
      <c r="W73" s="31">
        <v>12</v>
      </c>
      <c r="X73" s="3" t="s">
        <v>681</v>
      </c>
      <c r="Y73" s="3" t="s">
        <v>95</v>
      </c>
      <c r="Z73" s="3" t="s">
        <v>764</v>
      </c>
    </row>
    <row r="74" spans="2:26" ht="78.75">
      <c r="B74" s="69"/>
      <c r="C74" s="891"/>
      <c r="D74" s="891"/>
      <c r="E74" s="891"/>
      <c r="F74" s="891"/>
      <c r="G74" s="891"/>
      <c r="H74" s="891"/>
      <c r="I74" s="891"/>
      <c r="J74" s="892"/>
      <c r="K74" s="892"/>
      <c r="L74" s="892"/>
      <c r="M74" s="892"/>
      <c r="N74" s="3" t="s">
        <v>768</v>
      </c>
      <c r="O74" s="31" t="s">
        <v>701</v>
      </c>
      <c r="P74" s="483" t="s">
        <v>1556</v>
      </c>
      <c r="Q74" s="483" t="s">
        <v>1556</v>
      </c>
      <c r="R74" s="31">
        <v>10</v>
      </c>
      <c r="S74" s="31">
        <v>15</v>
      </c>
      <c r="T74" s="31">
        <v>20</v>
      </c>
      <c r="U74" s="31">
        <v>25</v>
      </c>
      <c r="V74" s="31">
        <v>30</v>
      </c>
      <c r="W74" s="31">
        <v>30</v>
      </c>
      <c r="X74" s="3" t="s">
        <v>681</v>
      </c>
      <c r="Y74" s="3" t="s">
        <v>4567</v>
      </c>
      <c r="Z74" s="453" t="s">
        <v>4568</v>
      </c>
    </row>
    <row r="75" spans="2:26" ht="78.75">
      <c r="B75" s="69"/>
      <c r="C75" s="891"/>
      <c r="D75" s="891"/>
      <c r="E75" s="891"/>
      <c r="F75" s="891"/>
      <c r="G75" s="891"/>
      <c r="H75" s="891"/>
      <c r="I75" s="891"/>
      <c r="J75" s="890" t="s">
        <v>594</v>
      </c>
      <c r="K75" s="890" t="s">
        <v>773</v>
      </c>
      <c r="L75" s="890"/>
      <c r="M75" s="890" t="s">
        <v>97</v>
      </c>
      <c r="N75" s="3" t="s">
        <v>778</v>
      </c>
      <c r="O75" s="31" t="s">
        <v>766</v>
      </c>
      <c r="P75" s="483">
        <v>4</v>
      </c>
      <c r="Q75" s="31">
        <v>4</v>
      </c>
      <c r="R75" s="31">
        <v>5</v>
      </c>
      <c r="S75" s="31">
        <v>6</v>
      </c>
      <c r="T75" s="31">
        <v>7</v>
      </c>
      <c r="U75" s="31">
        <v>8</v>
      </c>
      <c r="V75" s="31">
        <v>9</v>
      </c>
      <c r="W75" s="31">
        <v>9</v>
      </c>
      <c r="X75" s="3" t="s">
        <v>681</v>
      </c>
      <c r="Y75" s="3" t="s">
        <v>93</v>
      </c>
      <c r="Z75" s="3" t="s">
        <v>767</v>
      </c>
    </row>
    <row r="76" spans="2:26" ht="110.25">
      <c r="B76" s="69"/>
      <c r="C76" s="891"/>
      <c r="D76" s="891"/>
      <c r="E76" s="891"/>
      <c r="F76" s="891"/>
      <c r="G76" s="891"/>
      <c r="H76" s="891"/>
      <c r="I76" s="891"/>
      <c r="J76" s="892"/>
      <c r="K76" s="892"/>
      <c r="L76" s="892"/>
      <c r="M76" s="892"/>
      <c r="N76" s="3" t="s">
        <v>779</v>
      </c>
      <c r="O76" s="31" t="s">
        <v>742</v>
      </c>
      <c r="P76" s="483">
        <v>5</v>
      </c>
      <c r="Q76" s="31">
        <v>5</v>
      </c>
      <c r="R76" s="31">
        <v>5</v>
      </c>
      <c r="S76" s="31">
        <v>6</v>
      </c>
      <c r="T76" s="31">
        <v>6</v>
      </c>
      <c r="U76" s="31">
        <v>7</v>
      </c>
      <c r="V76" s="31">
        <v>7</v>
      </c>
      <c r="W76" s="31">
        <v>7</v>
      </c>
      <c r="X76" s="3" t="s">
        <v>681</v>
      </c>
      <c r="Y76" s="3" t="s">
        <v>2131</v>
      </c>
      <c r="Z76" s="3" t="s">
        <v>769</v>
      </c>
    </row>
    <row r="77" spans="2:26" ht="236.25">
      <c r="B77" s="77"/>
      <c r="C77" s="892"/>
      <c r="D77" s="892"/>
      <c r="E77" s="892"/>
      <c r="F77" s="892"/>
      <c r="G77" s="892"/>
      <c r="H77" s="892"/>
      <c r="I77" s="892"/>
      <c r="J77" s="3" t="s">
        <v>594</v>
      </c>
      <c r="K77" s="3" t="s">
        <v>773</v>
      </c>
      <c r="L77" s="3">
        <v>17</v>
      </c>
      <c r="M77" s="3" t="s">
        <v>96</v>
      </c>
      <c r="N77" s="3" t="s">
        <v>780</v>
      </c>
      <c r="O77" s="31" t="s">
        <v>766</v>
      </c>
      <c r="P77" s="483">
        <v>3</v>
      </c>
      <c r="Q77" s="31">
        <v>3</v>
      </c>
      <c r="R77" s="31">
        <v>5</v>
      </c>
      <c r="S77" s="31">
        <v>7</v>
      </c>
      <c r="T77" s="31">
        <v>8</v>
      </c>
      <c r="U77" s="31">
        <v>9</v>
      </c>
      <c r="V77" s="31">
        <v>10</v>
      </c>
      <c r="W77" s="31">
        <v>11</v>
      </c>
      <c r="X77" s="3" t="s">
        <v>681</v>
      </c>
      <c r="Y77" s="3" t="s">
        <v>2130</v>
      </c>
      <c r="Z77" s="3" t="s">
        <v>770</v>
      </c>
    </row>
    <row r="78" spans="2:26" ht="110.25">
      <c r="B78" s="37" t="s">
        <v>10</v>
      </c>
      <c r="C78" s="890">
        <v>8</v>
      </c>
      <c r="D78" s="890" t="s">
        <v>43</v>
      </c>
      <c r="E78" s="890">
        <v>14</v>
      </c>
      <c r="F78" s="890" t="s">
        <v>44</v>
      </c>
      <c r="G78" s="890" t="s">
        <v>682</v>
      </c>
      <c r="H78" s="890" t="s">
        <v>5011</v>
      </c>
      <c r="I78" s="890" t="s">
        <v>4915</v>
      </c>
      <c r="J78" s="890"/>
      <c r="K78" s="890"/>
      <c r="L78" s="890"/>
      <c r="M78" s="890"/>
      <c r="N78" s="3"/>
      <c r="O78" s="31"/>
      <c r="P78" s="483"/>
      <c r="Q78" s="31"/>
      <c r="R78" s="31"/>
      <c r="S78" s="31"/>
      <c r="T78" s="31"/>
      <c r="U78" s="31"/>
      <c r="V78" s="31"/>
      <c r="W78" s="31"/>
      <c r="X78" s="3"/>
      <c r="Y78" s="3"/>
      <c r="Z78" s="3"/>
    </row>
    <row r="79" spans="2:26" ht="110.25">
      <c r="B79" s="69"/>
      <c r="C79" s="891"/>
      <c r="D79" s="891"/>
      <c r="E79" s="892"/>
      <c r="F79" s="892"/>
      <c r="G79" s="892"/>
      <c r="H79" s="892"/>
      <c r="I79" s="892"/>
      <c r="J79" s="892" t="s">
        <v>639</v>
      </c>
      <c r="K79" s="892" t="s">
        <v>773</v>
      </c>
      <c r="L79" s="892">
        <v>16</v>
      </c>
      <c r="M79" s="892" t="s">
        <v>56</v>
      </c>
      <c r="N79" s="3" t="s">
        <v>752</v>
      </c>
      <c r="O79" s="31" t="s">
        <v>701</v>
      </c>
      <c r="P79" s="503">
        <f>8621/15721*100</f>
        <v>54.837478531900011</v>
      </c>
      <c r="Q79" s="503">
        <f>8621/15721*100</f>
        <v>54.837478531900011</v>
      </c>
      <c r="R79" s="503">
        <f>8670/15800*100</f>
        <v>54.87341772151899</v>
      </c>
      <c r="S79" s="503">
        <f>8756/15850*100</f>
        <v>55.242902208201897</v>
      </c>
      <c r="T79" s="503">
        <f>8790/15900*100</f>
        <v>55.283018867924525</v>
      </c>
      <c r="U79" s="503">
        <f>8854/15950*100</f>
        <v>55.510971786833849</v>
      </c>
      <c r="V79" s="503">
        <f>8896/16000*100</f>
        <v>55.600000000000009</v>
      </c>
      <c r="W79" s="474">
        <f>V79</f>
        <v>55.600000000000009</v>
      </c>
      <c r="X79" s="3" t="s">
        <v>683</v>
      </c>
      <c r="Y79" s="3" t="s">
        <v>55</v>
      </c>
      <c r="Z79" s="3" t="s">
        <v>33</v>
      </c>
    </row>
    <row r="80" spans="2:26" ht="63">
      <c r="B80" s="69"/>
      <c r="C80" s="891"/>
      <c r="D80" s="891"/>
      <c r="E80" s="890">
        <v>15</v>
      </c>
      <c r="F80" s="890" t="s">
        <v>45</v>
      </c>
      <c r="G80" s="890" t="s">
        <v>684</v>
      </c>
      <c r="H80" s="890"/>
      <c r="I80" s="890" t="s">
        <v>4916</v>
      </c>
      <c r="J80" s="890"/>
      <c r="K80" s="890"/>
      <c r="L80" s="890"/>
      <c r="M80" s="890"/>
      <c r="N80" s="3"/>
      <c r="O80" s="31"/>
      <c r="P80" s="31"/>
      <c r="Q80" s="31"/>
      <c r="R80" s="485"/>
      <c r="S80" s="485"/>
      <c r="T80" s="485"/>
      <c r="U80" s="485"/>
      <c r="V80" s="485"/>
      <c r="W80" s="504"/>
      <c r="X80" s="3"/>
      <c r="Y80" s="3"/>
      <c r="Z80" s="3"/>
    </row>
    <row r="81" spans="2:26" ht="78.75">
      <c r="B81" s="77"/>
      <c r="C81" s="892"/>
      <c r="D81" s="892"/>
      <c r="E81" s="892"/>
      <c r="F81" s="892"/>
      <c r="G81" s="892"/>
      <c r="H81" s="892"/>
      <c r="I81" s="892"/>
      <c r="J81" s="892"/>
      <c r="K81" s="892"/>
      <c r="L81" s="892"/>
      <c r="M81" s="892"/>
      <c r="N81" s="3" t="s">
        <v>46</v>
      </c>
      <c r="O81" s="31" t="s">
        <v>701</v>
      </c>
      <c r="P81" s="498">
        <f>15640/15721*100</f>
        <v>99.484765600152656</v>
      </c>
      <c r="Q81" s="498">
        <f>15650/15721*100</f>
        <v>99.548374785318998</v>
      </c>
      <c r="R81" s="503">
        <f>15740/15800*100</f>
        <v>99.620253164556956</v>
      </c>
      <c r="S81" s="503">
        <f>15800/15850*100</f>
        <v>99.684542586750794</v>
      </c>
      <c r="T81" s="503">
        <f>15850/15900*100</f>
        <v>99.685534591194966</v>
      </c>
      <c r="U81" s="503">
        <f>15905/15950*100</f>
        <v>99.717868338557992</v>
      </c>
      <c r="V81" s="503">
        <f>15960/16000*100</f>
        <v>99.75</v>
      </c>
      <c r="W81" s="474">
        <f>V81</f>
        <v>99.75</v>
      </c>
      <c r="X81" s="3" t="s">
        <v>683</v>
      </c>
      <c r="Y81" s="3" t="s">
        <v>57</v>
      </c>
      <c r="Z81" s="3" t="s">
        <v>58</v>
      </c>
    </row>
    <row r="82" spans="2:26" ht="110.25">
      <c r="B82" s="37" t="s">
        <v>11</v>
      </c>
      <c r="C82" s="890">
        <v>9</v>
      </c>
      <c r="D82" s="890" t="s">
        <v>47</v>
      </c>
      <c r="E82" s="890">
        <v>16</v>
      </c>
      <c r="F82" s="890" t="s">
        <v>3</v>
      </c>
      <c r="G82" s="890" t="s">
        <v>686</v>
      </c>
      <c r="H82" s="890" t="s">
        <v>5012</v>
      </c>
      <c r="I82" s="890" t="s">
        <v>4917</v>
      </c>
      <c r="J82" s="3"/>
      <c r="K82" s="3"/>
      <c r="L82" s="3"/>
      <c r="M82" s="3"/>
      <c r="N82" s="3"/>
      <c r="O82" s="31"/>
      <c r="P82" s="483"/>
      <c r="Q82" s="31"/>
      <c r="R82" s="31"/>
      <c r="S82" s="31"/>
      <c r="T82" s="31"/>
      <c r="U82" s="31"/>
      <c r="V82" s="31"/>
      <c r="W82" s="31"/>
      <c r="X82" s="3"/>
      <c r="Y82" s="3"/>
      <c r="Z82" s="3"/>
    </row>
    <row r="83" spans="2:26" ht="141.75">
      <c r="B83" s="69"/>
      <c r="C83" s="891"/>
      <c r="D83" s="891"/>
      <c r="E83" s="891"/>
      <c r="F83" s="891"/>
      <c r="G83" s="891"/>
      <c r="H83" s="891"/>
      <c r="I83" s="891"/>
      <c r="J83" s="3" t="s">
        <v>622</v>
      </c>
      <c r="K83" s="3" t="s">
        <v>773</v>
      </c>
      <c r="L83" s="3">
        <v>21</v>
      </c>
      <c r="M83" s="3" t="s">
        <v>636</v>
      </c>
      <c r="N83" s="3" t="s">
        <v>60</v>
      </c>
      <c r="O83" s="31" t="s">
        <v>742</v>
      </c>
      <c r="P83" s="31">
        <v>2</v>
      </c>
      <c r="Q83" s="31">
        <v>2</v>
      </c>
      <c r="R83" s="31">
        <v>1</v>
      </c>
      <c r="S83" s="31">
        <v>1</v>
      </c>
      <c r="T83" s="31">
        <v>1</v>
      </c>
      <c r="U83" s="31">
        <v>1</v>
      </c>
      <c r="V83" s="31">
        <v>1</v>
      </c>
      <c r="W83" s="31">
        <v>5</v>
      </c>
      <c r="X83" s="3" t="s">
        <v>683</v>
      </c>
      <c r="Y83" s="3" t="s">
        <v>59</v>
      </c>
      <c r="Z83" s="3" t="s">
        <v>4311</v>
      </c>
    </row>
    <row r="84" spans="2:26" ht="63">
      <c r="B84" s="69"/>
      <c r="C84" s="891"/>
      <c r="D84" s="891"/>
      <c r="E84" s="892"/>
      <c r="F84" s="892"/>
      <c r="G84" s="892"/>
      <c r="H84" s="892"/>
      <c r="I84" s="892"/>
      <c r="J84" s="3" t="s">
        <v>622</v>
      </c>
      <c r="K84" s="3" t="s">
        <v>773</v>
      </c>
      <c r="L84" s="3">
        <v>20</v>
      </c>
      <c r="M84" s="3" t="s">
        <v>634</v>
      </c>
      <c r="N84" s="3" t="s">
        <v>719</v>
      </c>
      <c r="O84" s="31" t="s">
        <v>701</v>
      </c>
      <c r="P84" s="31">
        <v>100</v>
      </c>
      <c r="Q84" s="31">
        <v>100</v>
      </c>
      <c r="R84" s="31">
        <v>100</v>
      </c>
      <c r="S84" s="31">
        <v>100</v>
      </c>
      <c r="T84" s="31">
        <v>100</v>
      </c>
      <c r="U84" s="31">
        <v>100</v>
      </c>
      <c r="V84" s="31">
        <v>100</v>
      </c>
      <c r="W84" s="31">
        <v>100</v>
      </c>
      <c r="X84" s="3" t="s">
        <v>683</v>
      </c>
      <c r="Y84" s="3" t="s">
        <v>4586</v>
      </c>
      <c r="Z84" s="3"/>
    </row>
    <row r="85" spans="2:26" ht="94.5">
      <c r="B85" s="69"/>
      <c r="C85" s="891"/>
      <c r="D85" s="891"/>
      <c r="E85" s="890">
        <v>17</v>
      </c>
      <c r="F85" s="890" t="s">
        <v>48</v>
      </c>
      <c r="G85" s="890" t="s">
        <v>687</v>
      </c>
      <c r="H85" s="890"/>
      <c r="I85" s="890" t="s">
        <v>4918</v>
      </c>
      <c r="J85" s="890"/>
      <c r="K85" s="890"/>
      <c r="L85" s="890"/>
      <c r="M85" s="890"/>
      <c r="N85" s="3"/>
      <c r="O85" s="31"/>
      <c r="P85" s="31"/>
      <c r="Q85" s="31"/>
      <c r="R85" s="905"/>
      <c r="S85" s="905"/>
      <c r="T85" s="905"/>
      <c r="U85" s="505"/>
      <c r="V85" s="905"/>
      <c r="W85" s="31"/>
      <c r="X85" s="3"/>
      <c r="Y85" s="3"/>
      <c r="Z85" s="3"/>
    </row>
    <row r="86" spans="2:26" ht="78.75">
      <c r="B86" s="69"/>
      <c r="C86" s="891"/>
      <c r="D86" s="891"/>
      <c r="E86" s="891"/>
      <c r="F86" s="891"/>
      <c r="G86" s="891"/>
      <c r="H86" s="891"/>
      <c r="I86" s="891"/>
      <c r="J86" s="891" t="s">
        <v>622</v>
      </c>
      <c r="K86" s="891" t="s">
        <v>773</v>
      </c>
      <c r="L86" s="891">
        <v>17</v>
      </c>
      <c r="M86" s="891" t="s">
        <v>774</v>
      </c>
      <c r="N86" s="3" t="s">
        <v>753</v>
      </c>
      <c r="O86" s="31" t="s">
        <v>754</v>
      </c>
      <c r="P86" s="506">
        <v>108406133.59999999</v>
      </c>
      <c r="Q86" s="507">
        <v>150927864.90000001</v>
      </c>
      <c r="R86" s="508">
        <v>155000000</v>
      </c>
      <c r="S86" s="508">
        <v>160000000</v>
      </c>
      <c r="T86" s="508">
        <v>165000000</v>
      </c>
      <c r="U86" s="508">
        <v>170000000</v>
      </c>
      <c r="V86" s="508">
        <v>175000000</v>
      </c>
      <c r="W86" s="506">
        <f>V86</f>
        <v>175000000</v>
      </c>
      <c r="X86" s="3" t="s">
        <v>683</v>
      </c>
      <c r="Y86" s="3" t="s">
        <v>755</v>
      </c>
      <c r="Z86" s="3" t="s">
        <v>61</v>
      </c>
    </row>
    <row r="87" spans="2:26" ht="47.25">
      <c r="B87" s="69"/>
      <c r="C87" s="891"/>
      <c r="D87" s="891"/>
      <c r="E87" s="891"/>
      <c r="F87" s="891"/>
      <c r="G87" s="891"/>
      <c r="H87" s="891"/>
      <c r="I87" s="891"/>
      <c r="J87" s="892"/>
      <c r="K87" s="892"/>
      <c r="L87" s="892"/>
      <c r="M87" s="892"/>
      <c r="N87" s="3" t="s">
        <v>737</v>
      </c>
      <c r="O87" s="31" t="s">
        <v>741</v>
      </c>
      <c r="P87" s="31">
        <v>5</v>
      </c>
      <c r="Q87" s="31">
        <v>3</v>
      </c>
      <c r="R87" s="31">
        <v>3</v>
      </c>
      <c r="S87" s="31">
        <v>3</v>
      </c>
      <c r="T87" s="31">
        <v>3</v>
      </c>
      <c r="U87" s="31">
        <v>3</v>
      </c>
      <c r="V87" s="31">
        <v>3</v>
      </c>
      <c r="W87" s="31">
        <v>3</v>
      </c>
      <c r="X87" s="3" t="s">
        <v>683</v>
      </c>
      <c r="Y87" s="3" t="s">
        <v>738</v>
      </c>
      <c r="Z87" s="3"/>
    </row>
    <row r="88" spans="2:26" ht="63">
      <c r="B88" s="69"/>
      <c r="C88" s="891"/>
      <c r="D88" s="891"/>
      <c r="E88" s="892"/>
      <c r="F88" s="892"/>
      <c r="G88" s="892"/>
      <c r="H88" s="892"/>
      <c r="I88" s="892"/>
      <c r="J88" s="3" t="s">
        <v>622</v>
      </c>
      <c r="K88" s="3" t="s">
        <v>773</v>
      </c>
      <c r="L88" s="3">
        <v>19</v>
      </c>
      <c r="M88" s="3" t="s">
        <v>71</v>
      </c>
      <c r="N88" s="3" t="s">
        <v>70</v>
      </c>
      <c r="O88" s="31" t="s">
        <v>740</v>
      </c>
      <c r="P88" s="31">
        <v>120</v>
      </c>
      <c r="Q88" s="31">
        <v>120</v>
      </c>
      <c r="R88" s="31">
        <v>120</v>
      </c>
      <c r="S88" s="31">
        <v>240</v>
      </c>
      <c r="T88" s="31">
        <v>360</v>
      </c>
      <c r="U88" s="31">
        <v>480</v>
      </c>
      <c r="V88" s="31">
        <v>600</v>
      </c>
      <c r="W88" s="31">
        <v>600</v>
      </c>
      <c r="X88" s="3" t="s">
        <v>683</v>
      </c>
      <c r="Y88" s="3" t="s">
        <v>739</v>
      </c>
      <c r="Z88" s="3"/>
    </row>
    <row r="89" spans="2:26" ht="94.5">
      <c r="B89" s="69"/>
      <c r="C89" s="891"/>
      <c r="D89" s="891"/>
      <c r="E89" s="890">
        <v>18</v>
      </c>
      <c r="F89" s="890" t="s">
        <v>49</v>
      </c>
      <c r="G89" s="890" t="s">
        <v>688</v>
      </c>
      <c r="H89" s="890"/>
      <c r="I89" s="890" t="s">
        <v>4919</v>
      </c>
      <c r="J89" s="890"/>
      <c r="K89" s="890"/>
      <c r="L89" s="890"/>
      <c r="M89" s="890"/>
      <c r="N89" s="3"/>
      <c r="O89" s="31"/>
      <c r="P89" s="31"/>
      <c r="Q89" s="31"/>
      <c r="R89" s="31"/>
      <c r="S89" s="31"/>
      <c r="T89" s="31"/>
      <c r="U89" s="31"/>
      <c r="V89" s="31"/>
      <c r="W89" s="31"/>
      <c r="X89" s="3"/>
      <c r="Y89" s="3"/>
      <c r="Z89" s="3"/>
    </row>
    <row r="90" spans="2:26" ht="94.5">
      <c r="B90" s="69"/>
      <c r="C90" s="891"/>
      <c r="D90" s="891"/>
      <c r="E90" s="891"/>
      <c r="F90" s="891"/>
      <c r="G90" s="891"/>
      <c r="H90" s="891"/>
      <c r="I90" s="891"/>
      <c r="J90" s="891" t="s">
        <v>622</v>
      </c>
      <c r="K90" s="891" t="s">
        <v>773</v>
      </c>
      <c r="L90" s="891">
        <v>15</v>
      </c>
      <c r="M90" s="891" t="s">
        <v>69</v>
      </c>
      <c r="N90" s="3" t="s">
        <v>67</v>
      </c>
      <c r="O90" s="31" t="s">
        <v>744</v>
      </c>
      <c r="P90" s="31">
        <v>96</v>
      </c>
      <c r="Q90" s="31">
        <v>96</v>
      </c>
      <c r="R90" s="31">
        <v>96</v>
      </c>
      <c r="S90" s="31">
        <v>96</v>
      </c>
      <c r="T90" s="31">
        <v>96</v>
      </c>
      <c r="U90" s="31">
        <v>96</v>
      </c>
      <c r="V90" s="31">
        <v>96</v>
      </c>
      <c r="W90" s="31">
        <v>96</v>
      </c>
      <c r="X90" s="3" t="s">
        <v>683</v>
      </c>
      <c r="Y90" s="3" t="s">
        <v>756</v>
      </c>
      <c r="Z90" s="3" t="s">
        <v>68</v>
      </c>
    </row>
    <row r="91" spans="2:26" ht="63">
      <c r="B91" s="69"/>
      <c r="C91" s="891"/>
      <c r="D91" s="891"/>
      <c r="E91" s="891"/>
      <c r="F91" s="891"/>
      <c r="G91" s="891"/>
      <c r="H91" s="891"/>
      <c r="I91" s="891"/>
      <c r="J91" s="891"/>
      <c r="K91" s="891"/>
      <c r="L91" s="891"/>
      <c r="M91" s="891"/>
      <c r="N91" s="3" t="s">
        <v>50</v>
      </c>
      <c r="O91" s="31" t="s">
        <v>757</v>
      </c>
      <c r="P91" s="31">
        <v>14</v>
      </c>
      <c r="Q91" s="31">
        <v>10</v>
      </c>
      <c r="R91" s="31">
        <v>8</v>
      </c>
      <c r="S91" s="31">
        <v>6</v>
      </c>
      <c r="T91" s="31">
        <v>4</v>
      </c>
      <c r="U91" s="31">
        <v>2</v>
      </c>
      <c r="V91" s="31">
        <v>2</v>
      </c>
      <c r="W91" s="31">
        <v>2</v>
      </c>
      <c r="X91" s="3" t="s">
        <v>683</v>
      </c>
      <c r="Y91" s="3" t="s">
        <v>62</v>
      </c>
      <c r="Z91" s="3" t="s">
        <v>63</v>
      </c>
    </row>
    <row r="92" spans="2:26" ht="78.75">
      <c r="B92" s="69"/>
      <c r="C92" s="891"/>
      <c r="D92" s="891"/>
      <c r="E92" s="891"/>
      <c r="F92" s="891"/>
      <c r="G92" s="891"/>
      <c r="H92" s="891"/>
      <c r="I92" s="891"/>
      <c r="J92" s="891"/>
      <c r="K92" s="891"/>
      <c r="L92" s="891"/>
      <c r="M92" s="891"/>
      <c r="N92" s="3" t="s">
        <v>718</v>
      </c>
      <c r="O92" s="31" t="s">
        <v>742</v>
      </c>
      <c r="P92" s="485">
        <v>16601</v>
      </c>
      <c r="Q92" s="31">
        <v>16.77</v>
      </c>
      <c r="R92" s="509">
        <v>18823</v>
      </c>
      <c r="S92" s="509">
        <v>18879</v>
      </c>
      <c r="T92" s="509">
        <v>18936</v>
      </c>
      <c r="U92" s="509">
        <v>18993</v>
      </c>
      <c r="V92" s="509">
        <v>19050</v>
      </c>
      <c r="W92" s="483">
        <f>V92</f>
        <v>19050</v>
      </c>
      <c r="X92" s="3" t="s">
        <v>683</v>
      </c>
      <c r="Y92" s="3" t="s">
        <v>758</v>
      </c>
      <c r="Z92" s="3"/>
    </row>
    <row r="93" spans="2:26" ht="63">
      <c r="B93" s="77"/>
      <c r="C93" s="892"/>
      <c r="D93" s="892"/>
      <c r="E93" s="892"/>
      <c r="F93" s="892"/>
      <c r="G93" s="892"/>
      <c r="H93" s="892"/>
      <c r="I93" s="892"/>
      <c r="J93" s="892"/>
      <c r="K93" s="892"/>
      <c r="L93" s="892"/>
      <c r="M93" s="892"/>
      <c r="N93" s="3" t="s">
        <v>64</v>
      </c>
      <c r="O93" s="31" t="s">
        <v>701</v>
      </c>
      <c r="P93" s="31" t="s">
        <v>743</v>
      </c>
      <c r="Q93" s="31" t="s">
        <v>743</v>
      </c>
      <c r="R93" s="34">
        <v>50</v>
      </c>
      <c r="S93" s="34">
        <v>60</v>
      </c>
      <c r="T93" s="34">
        <v>75</v>
      </c>
      <c r="U93" s="34">
        <v>80</v>
      </c>
      <c r="V93" s="34">
        <v>85</v>
      </c>
      <c r="W93" s="34">
        <v>85</v>
      </c>
      <c r="X93" s="3" t="s">
        <v>683</v>
      </c>
      <c r="Y93" s="3" t="s">
        <v>4312</v>
      </c>
      <c r="Z93" s="3" t="s">
        <v>66</v>
      </c>
    </row>
    <row r="94" spans="2:26" ht="94.5">
      <c r="B94" s="37" t="s">
        <v>12</v>
      </c>
      <c r="C94" s="890">
        <v>10</v>
      </c>
      <c r="D94" s="78" t="s">
        <v>53</v>
      </c>
      <c r="E94" s="3"/>
      <c r="F94" s="3"/>
      <c r="G94" s="3"/>
      <c r="H94" s="3"/>
      <c r="I94" s="3"/>
      <c r="J94" s="890"/>
      <c r="K94" s="890"/>
      <c r="L94" s="890"/>
      <c r="M94" s="890"/>
      <c r="N94" s="3"/>
      <c r="O94" s="31"/>
      <c r="P94" s="483"/>
      <c r="Q94" s="31"/>
      <c r="R94" s="31"/>
      <c r="S94" s="31"/>
      <c r="T94" s="31"/>
      <c r="U94" s="31"/>
      <c r="V94" s="31"/>
      <c r="W94" s="31"/>
      <c r="X94" s="3"/>
      <c r="Y94" s="3"/>
      <c r="Z94" s="3"/>
    </row>
    <row r="95" spans="2:26" ht="63">
      <c r="B95" s="69"/>
      <c r="C95" s="891"/>
      <c r="D95" s="79"/>
      <c r="E95" s="890">
        <v>20</v>
      </c>
      <c r="F95" s="890" t="s">
        <v>4920</v>
      </c>
      <c r="G95" s="890" t="s">
        <v>4921</v>
      </c>
      <c r="H95" s="890" t="s">
        <v>5013</v>
      </c>
      <c r="I95" s="890" t="s">
        <v>4922</v>
      </c>
      <c r="J95" s="891"/>
      <c r="K95" s="891"/>
      <c r="L95" s="891"/>
      <c r="M95" s="891"/>
      <c r="N95" s="3"/>
      <c r="O95" s="31"/>
      <c r="P95" s="483"/>
      <c r="Q95" s="31"/>
      <c r="R95" s="31"/>
      <c r="S95" s="31"/>
      <c r="T95" s="31"/>
      <c r="U95" s="31"/>
      <c r="V95" s="31"/>
      <c r="W95" s="31"/>
      <c r="X95" s="3"/>
      <c r="Y95" s="3"/>
      <c r="Z95" s="3"/>
    </row>
    <row r="96" spans="2:26" ht="47.25">
      <c r="B96" s="69"/>
      <c r="C96" s="891"/>
      <c r="D96" s="79"/>
      <c r="E96" s="891"/>
      <c r="F96" s="891"/>
      <c r="G96" s="891"/>
      <c r="H96" s="75"/>
      <c r="I96" s="891"/>
      <c r="J96" s="891" t="s">
        <v>382</v>
      </c>
      <c r="K96" s="891" t="s">
        <v>773</v>
      </c>
      <c r="L96" s="891">
        <v>18</v>
      </c>
      <c r="M96" s="891" t="s">
        <v>78</v>
      </c>
      <c r="N96" s="3" t="s">
        <v>759</v>
      </c>
      <c r="O96" s="31" t="s">
        <v>701</v>
      </c>
      <c r="P96" s="498">
        <f>383/484*100</f>
        <v>79.132231404958674</v>
      </c>
      <c r="Q96" s="498">
        <f>404/484*100</f>
        <v>83.471074380165291</v>
      </c>
      <c r="R96" s="474">
        <f>419/484*100</f>
        <v>86.570247933884289</v>
      </c>
      <c r="S96" s="474">
        <f>424/484*100</f>
        <v>87.603305785123965</v>
      </c>
      <c r="T96" s="474">
        <f>429/484*100</f>
        <v>88.63636363636364</v>
      </c>
      <c r="U96" s="474">
        <f>434/484*100</f>
        <v>89.669421487603302</v>
      </c>
      <c r="V96" s="474">
        <f>439/484*100</f>
        <v>90.702479338842977</v>
      </c>
      <c r="W96" s="474">
        <f>439/484*100</f>
        <v>90.702479338842977</v>
      </c>
      <c r="X96" s="3" t="s">
        <v>693</v>
      </c>
      <c r="Y96" s="3" t="s">
        <v>4313</v>
      </c>
      <c r="Z96" s="3" t="s">
        <v>72</v>
      </c>
    </row>
    <row r="97" spans="2:26" ht="31.5">
      <c r="B97" s="69"/>
      <c r="C97" s="891"/>
      <c r="D97" s="79"/>
      <c r="E97" s="891"/>
      <c r="F97" s="891"/>
      <c r="G97" s="891"/>
      <c r="H97" s="75"/>
      <c r="I97" s="891"/>
      <c r="J97" s="891"/>
      <c r="K97" s="891"/>
      <c r="L97" s="891"/>
      <c r="M97" s="891"/>
      <c r="N97" s="3" t="s">
        <v>4587</v>
      </c>
      <c r="O97" s="31" t="s">
        <v>740</v>
      </c>
      <c r="P97" s="485">
        <v>149906</v>
      </c>
      <c r="Q97" s="485">
        <v>154700</v>
      </c>
      <c r="R97" s="484">
        <v>159670</v>
      </c>
      <c r="S97" s="484">
        <v>165500</v>
      </c>
      <c r="T97" s="484">
        <v>170800</v>
      </c>
      <c r="U97" s="484">
        <v>174500</v>
      </c>
      <c r="V97" s="484">
        <v>179500</v>
      </c>
      <c r="W97" s="485">
        <v>179500</v>
      </c>
      <c r="X97" s="3" t="s">
        <v>683</v>
      </c>
      <c r="Y97" s="3" t="s">
        <v>760</v>
      </c>
      <c r="Z97" s="3" t="s">
        <v>73</v>
      </c>
    </row>
    <row r="98" spans="2:26" ht="63">
      <c r="B98" s="69"/>
      <c r="C98" s="891"/>
      <c r="D98" s="79"/>
      <c r="E98" s="892"/>
      <c r="F98" s="892"/>
      <c r="G98" s="892"/>
      <c r="H98" s="76"/>
      <c r="I98" s="892"/>
      <c r="J98" s="892"/>
      <c r="K98" s="892"/>
      <c r="L98" s="892"/>
      <c r="M98" s="892"/>
      <c r="N98" s="3" t="s">
        <v>4588</v>
      </c>
      <c r="O98" s="31" t="s">
        <v>701</v>
      </c>
      <c r="P98" s="498">
        <f>178/484*100</f>
        <v>36.776859504132233</v>
      </c>
      <c r="Q98" s="498">
        <f>185/484*100</f>
        <v>38.223140495867767</v>
      </c>
      <c r="R98" s="474">
        <f>195/484*100</f>
        <v>40.289256198347104</v>
      </c>
      <c r="S98" s="474">
        <f>210/484*100</f>
        <v>43.388429752066116</v>
      </c>
      <c r="T98" s="474">
        <f>225/484*100</f>
        <v>46.487603305785122</v>
      </c>
      <c r="U98" s="474">
        <f>235/484*100</f>
        <v>48.553719008264466</v>
      </c>
      <c r="V98" s="474">
        <f>260/484*100</f>
        <v>53.719008264462808</v>
      </c>
      <c r="W98" s="474">
        <f>V98</f>
        <v>53.719008264462808</v>
      </c>
      <c r="X98" s="3" t="s">
        <v>683</v>
      </c>
      <c r="Y98" s="3" t="s">
        <v>761</v>
      </c>
      <c r="Z98" s="3" t="s">
        <v>74</v>
      </c>
    </row>
    <row r="99" spans="2:26" ht="157.5">
      <c r="B99" s="69"/>
      <c r="C99" s="891"/>
      <c r="D99" s="79"/>
      <c r="E99" s="890">
        <v>21</v>
      </c>
      <c r="F99" s="890" t="s">
        <v>689</v>
      </c>
      <c r="G99" s="890" t="s">
        <v>4</v>
      </c>
      <c r="H99" s="890"/>
      <c r="I99" s="890" t="s">
        <v>4923</v>
      </c>
      <c r="J99" s="890"/>
      <c r="K99" s="890"/>
      <c r="L99" s="890"/>
      <c r="M99" s="890"/>
      <c r="N99" s="3"/>
      <c r="O99" s="31"/>
      <c r="P99" s="31"/>
      <c r="Q99" s="31"/>
      <c r="R99" s="31"/>
      <c r="S99" s="31"/>
      <c r="T99" s="31"/>
      <c r="U99" s="31"/>
      <c r="V99" s="31"/>
      <c r="W99" s="31"/>
      <c r="X99" s="3"/>
      <c r="Y99" s="3"/>
      <c r="Z99" s="3"/>
    </row>
    <row r="100" spans="2:26" ht="126">
      <c r="B100" s="69"/>
      <c r="C100" s="891"/>
      <c r="D100" s="79"/>
      <c r="E100" s="891"/>
      <c r="F100" s="891"/>
      <c r="G100" s="891"/>
      <c r="H100" s="75"/>
      <c r="I100" s="891"/>
      <c r="J100" s="891" t="s">
        <v>382</v>
      </c>
      <c r="K100" s="891" t="s">
        <v>773</v>
      </c>
      <c r="L100" s="891">
        <v>16</v>
      </c>
      <c r="M100" s="891" t="s">
        <v>690</v>
      </c>
      <c r="N100" s="3" t="s">
        <v>79</v>
      </c>
      <c r="O100" s="31" t="s">
        <v>701</v>
      </c>
      <c r="P100" s="31" t="s">
        <v>1041</v>
      </c>
      <c r="Q100" s="31" t="s">
        <v>1041</v>
      </c>
      <c r="R100" s="31" t="s">
        <v>1041</v>
      </c>
      <c r="S100" s="34">
        <v>25</v>
      </c>
      <c r="T100" s="34">
        <v>50</v>
      </c>
      <c r="U100" s="31" t="s">
        <v>1041</v>
      </c>
      <c r="V100" s="31" t="s">
        <v>1041</v>
      </c>
      <c r="W100" s="31">
        <v>50</v>
      </c>
      <c r="X100" s="3" t="s">
        <v>683</v>
      </c>
      <c r="Y100" s="3" t="s">
        <v>762</v>
      </c>
      <c r="Z100" s="3" t="s">
        <v>4314</v>
      </c>
    </row>
    <row r="101" spans="2:26" ht="47.25">
      <c r="B101" s="69"/>
      <c r="C101" s="891"/>
      <c r="D101" s="79"/>
      <c r="E101" s="891"/>
      <c r="F101" s="891"/>
      <c r="G101" s="891"/>
      <c r="H101" s="75"/>
      <c r="I101" s="891"/>
      <c r="J101" s="891"/>
      <c r="K101" s="891"/>
      <c r="L101" s="891"/>
      <c r="M101" s="891"/>
      <c r="N101" s="3" t="s">
        <v>4589</v>
      </c>
      <c r="O101" s="31" t="s">
        <v>747</v>
      </c>
      <c r="P101" s="31"/>
      <c r="Q101" s="31">
        <v>63</v>
      </c>
      <c r="R101" s="486">
        <f>69+Q101</f>
        <v>132</v>
      </c>
      <c r="S101" s="486">
        <f>72+R101</f>
        <v>204</v>
      </c>
      <c r="T101" s="486">
        <f>77+S101</f>
        <v>281</v>
      </c>
      <c r="U101" s="486">
        <f>83+T101</f>
        <v>364</v>
      </c>
      <c r="V101" s="486">
        <f>87+U101</f>
        <v>451</v>
      </c>
      <c r="W101" s="35">
        <f>V101</f>
        <v>451</v>
      </c>
      <c r="X101" s="3" t="str">
        <f>X100</f>
        <v>DISPERINDAGKOP DAN UMKM</v>
      </c>
      <c r="Y101" s="3" t="s">
        <v>763</v>
      </c>
      <c r="Z101" s="3" t="s">
        <v>75</v>
      </c>
    </row>
    <row r="102" spans="2:26" ht="63">
      <c r="B102" s="77"/>
      <c r="C102" s="892"/>
      <c r="D102" s="80"/>
      <c r="E102" s="892"/>
      <c r="F102" s="892"/>
      <c r="G102" s="892"/>
      <c r="H102" s="76"/>
      <c r="I102" s="892"/>
      <c r="J102" s="892"/>
      <c r="K102" s="892"/>
      <c r="L102" s="892"/>
      <c r="M102" s="892"/>
      <c r="N102" s="3" t="s">
        <v>4590</v>
      </c>
      <c r="O102" s="31" t="s">
        <v>747</v>
      </c>
      <c r="P102" s="31"/>
      <c r="Q102" s="31">
        <v>132</v>
      </c>
      <c r="R102" s="486">
        <v>152</v>
      </c>
      <c r="S102" s="486">
        <v>172</v>
      </c>
      <c r="T102" s="486">
        <v>192</v>
      </c>
      <c r="U102" s="486">
        <v>212</v>
      </c>
      <c r="V102" s="486">
        <v>232</v>
      </c>
      <c r="W102" s="35">
        <f>100+Q102</f>
        <v>232</v>
      </c>
      <c r="X102" s="3" t="str">
        <f>X101</f>
        <v>DISPERINDAGKOP DAN UMKM</v>
      </c>
      <c r="Y102" s="3" t="s">
        <v>4315</v>
      </c>
      <c r="Z102" s="3" t="s">
        <v>76</v>
      </c>
    </row>
    <row r="103" spans="2:26" ht="63">
      <c r="B103" s="37" t="s">
        <v>8</v>
      </c>
      <c r="C103" s="890">
        <v>11</v>
      </c>
      <c r="D103" s="890" t="s">
        <v>51</v>
      </c>
      <c r="E103" s="890">
        <v>22</v>
      </c>
      <c r="F103" s="890" t="s">
        <v>52</v>
      </c>
      <c r="G103" s="890" t="s">
        <v>691</v>
      </c>
      <c r="H103" s="890" t="s">
        <v>30</v>
      </c>
      <c r="I103" s="890" t="s">
        <v>4924</v>
      </c>
      <c r="J103" s="3"/>
      <c r="K103" s="3"/>
      <c r="L103" s="3"/>
      <c r="M103" s="3"/>
      <c r="N103" s="3"/>
      <c r="O103" s="31"/>
      <c r="P103" s="483"/>
      <c r="Q103" s="31"/>
      <c r="R103" s="31"/>
      <c r="S103" s="31"/>
      <c r="T103" s="31"/>
      <c r="U103" s="31"/>
      <c r="V103" s="31"/>
      <c r="W103" s="31"/>
      <c r="X103" s="3"/>
      <c r="Y103" s="3"/>
      <c r="Z103" s="3"/>
    </row>
    <row r="104" spans="2:26" ht="173.25">
      <c r="B104" s="69"/>
      <c r="C104" s="891"/>
      <c r="D104" s="891"/>
      <c r="E104" s="892"/>
      <c r="F104" s="892"/>
      <c r="G104" s="892"/>
      <c r="H104" s="892"/>
      <c r="I104" s="892"/>
      <c r="J104" s="3" t="s">
        <v>572</v>
      </c>
      <c r="K104" s="3" t="s">
        <v>773</v>
      </c>
      <c r="L104" s="3">
        <v>16</v>
      </c>
      <c r="M104" s="3" t="s">
        <v>87</v>
      </c>
      <c r="N104" s="3" t="s">
        <v>4591</v>
      </c>
      <c r="O104" s="31" t="s">
        <v>749</v>
      </c>
      <c r="P104" s="483">
        <v>18619</v>
      </c>
      <c r="Q104" s="483">
        <v>26581</v>
      </c>
      <c r="R104" s="483">
        <f>Q104-3000</f>
        <v>23581</v>
      </c>
      <c r="S104" s="483">
        <f>R104-3000</f>
        <v>20581</v>
      </c>
      <c r="T104" s="483">
        <f t="shared" ref="T104:V104" si="1">S104-3000</f>
        <v>17581</v>
      </c>
      <c r="U104" s="483">
        <f t="shared" si="1"/>
        <v>14581</v>
      </c>
      <c r="V104" s="483">
        <f t="shared" si="1"/>
        <v>11581</v>
      </c>
      <c r="W104" s="483">
        <f>V104</f>
        <v>11581</v>
      </c>
      <c r="X104" s="3" t="s">
        <v>672</v>
      </c>
      <c r="Y104" s="3"/>
      <c r="Z104" s="3" t="s">
        <v>1894</v>
      </c>
    </row>
    <row r="105" spans="2:26" ht="94.5">
      <c r="B105" s="69"/>
      <c r="C105" s="891"/>
      <c r="D105" s="891"/>
      <c r="E105" s="890">
        <v>23</v>
      </c>
      <c r="F105" s="890" t="s">
        <v>5</v>
      </c>
      <c r="G105" s="890" t="s">
        <v>692</v>
      </c>
      <c r="H105" s="36" t="s">
        <v>30</v>
      </c>
      <c r="I105" s="890" t="s">
        <v>4925</v>
      </c>
      <c r="J105" s="3"/>
      <c r="K105" s="3"/>
      <c r="L105" s="3"/>
      <c r="M105" s="3"/>
      <c r="N105" s="3"/>
      <c r="O105" s="31"/>
      <c r="P105" s="483"/>
      <c r="Q105" s="31"/>
      <c r="R105" s="31"/>
      <c r="S105" s="31"/>
      <c r="T105" s="31"/>
      <c r="U105" s="31"/>
      <c r="V105" s="31"/>
      <c r="W105" s="31"/>
      <c r="X105" s="3"/>
      <c r="Y105" s="3"/>
      <c r="Z105" s="3"/>
    </row>
    <row r="106" spans="2:26" ht="157.5">
      <c r="B106" s="69"/>
      <c r="C106" s="891"/>
      <c r="D106" s="891"/>
      <c r="E106" s="891"/>
      <c r="F106" s="891"/>
      <c r="G106" s="891"/>
      <c r="H106" s="75"/>
      <c r="I106" s="891"/>
      <c r="J106" s="3" t="s">
        <v>572</v>
      </c>
      <c r="K106" s="3" t="s">
        <v>773</v>
      </c>
      <c r="L106" s="3">
        <v>17</v>
      </c>
      <c r="M106" s="3" t="s">
        <v>88</v>
      </c>
      <c r="N106" s="3" t="s">
        <v>703</v>
      </c>
      <c r="O106" s="31" t="s">
        <v>701</v>
      </c>
      <c r="P106" s="483">
        <v>0</v>
      </c>
      <c r="Q106" s="483">
        <v>0</v>
      </c>
      <c r="R106" s="33">
        <f>10/40*100</f>
        <v>25</v>
      </c>
      <c r="S106" s="33">
        <v>50</v>
      </c>
      <c r="T106" s="33">
        <v>75</v>
      </c>
      <c r="U106" s="33">
        <v>100</v>
      </c>
      <c r="V106" s="33">
        <f>40/40*100</f>
        <v>100</v>
      </c>
      <c r="W106" s="34">
        <f>V106</f>
        <v>100</v>
      </c>
      <c r="X106" s="3" t="s">
        <v>672</v>
      </c>
      <c r="Y106" s="3" t="s">
        <v>4316</v>
      </c>
      <c r="Z106" s="3" t="s">
        <v>1895</v>
      </c>
    </row>
    <row r="107" spans="2:26" ht="173.25">
      <c r="B107" s="69"/>
      <c r="C107" s="891"/>
      <c r="D107" s="891"/>
      <c r="E107" s="891"/>
      <c r="F107" s="891"/>
      <c r="G107" s="891"/>
      <c r="H107" s="75"/>
      <c r="I107" s="891"/>
      <c r="J107" s="3" t="s">
        <v>572</v>
      </c>
      <c r="K107" s="3" t="s">
        <v>773</v>
      </c>
      <c r="L107" s="3">
        <v>19</v>
      </c>
      <c r="M107" s="3" t="s">
        <v>775</v>
      </c>
      <c r="N107" s="3" t="s">
        <v>1896</v>
      </c>
      <c r="O107" s="31" t="s">
        <v>747</v>
      </c>
      <c r="P107" s="483">
        <v>0</v>
      </c>
      <c r="Q107" s="486">
        <v>2</v>
      </c>
      <c r="R107" s="486">
        <v>4</v>
      </c>
      <c r="S107" s="486">
        <v>6</v>
      </c>
      <c r="T107" s="486">
        <v>8</v>
      </c>
      <c r="U107" s="486">
        <v>10</v>
      </c>
      <c r="V107" s="486">
        <v>12</v>
      </c>
      <c r="W107" s="31">
        <v>12</v>
      </c>
      <c r="X107" s="3" t="s">
        <v>672</v>
      </c>
      <c r="Y107" s="3"/>
      <c r="Z107" s="3" t="s">
        <v>1897</v>
      </c>
    </row>
    <row r="108" spans="2:26" ht="94.5">
      <c r="B108" s="77"/>
      <c r="C108" s="892"/>
      <c r="D108" s="892"/>
      <c r="E108" s="892"/>
      <c r="F108" s="892"/>
      <c r="G108" s="892"/>
      <c r="H108" s="76"/>
      <c r="I108" s="892"/>
      <c r="J108" s="3" t="s">
        <v>572</v>
      </c>
      <c r="K108" s="3" t="s">
        <v>773</v>
      </c>
      <c r="L108" s="3">
        <v>17</v>
      </c>
      <c r="M108" s="3" t="s">
        <v>88</v>
      </c>
      <c r="N108" s="3" t="s">
        <v>704</v>
      </c>
      <c r="O108" s="31" t="s">
        <v>742</v>
      </c>
      <c r="P108" s="483">
        <v>80</v>
      </c>
      <c r="Q108" s="31">
        <v>120</v>
      </c>
      <c r="R108" s="486">
        <f>Q108*25%+Q108</f>
        <v>150</v>
      </c>
      <c r="S108" s="486">
        <f>R108*25%+R108</f>
        <v>187.5</v>
      </c>
      <c r="T108" s="486">
        <f t="shared" ref="T108:V108" si="2">S108*25%+S108</f>
        <v>234.375</v>
      </c>
      <c r="U108" s="486">
        <f t="shared" si="2"/>
        <v>292.96875</v>
      </c>
      <c r="V108" s="486">
        <f t="shared" si="2"/>
        <v>366.2109375</v>
      </c>
      <c r="W108" s="35">
        <f>V108</f>
        <v>366.2109375</v>
      </c>
      <c r="X108" s="3" t="s">
        <v>672</v>
      </c>
      <c r="Y108" s="3" t="s">
        <v>771</v>
      </c>
      <c r="Z108" s="3" t="s">
        <v>1898</v>
      </c>
    </row>
    <row r="109" spans="2:26">
      <c r="B109" s="71" t="s">
        <v>696</v>
      </c>
    </row>
    <row r="110" spans="2:26" ht="78.75">
      <c r="B110" s="37" t="s">
        <v>782</v>
      </c>
      <c r="C110" s="890">
        <v>1</v>
      </c>
      <c r="D110" s="890" t="s">
        <v>783</v>
      </c>
      <c r="E110" s="890">
        <v>1</v>
      </c>
      <c r="F110" s="890" t="s">
        <v>784</v>
      </c>
      <c r="G110" s="890" t="s">
        <v>785</v>
      </c>
      <c r="H110" s="890" t="s">
        <v>786</v>
      </c>
      <c r="I110" s="890" t="s">
        <v>4926</v>
      </c>
      <c r="J110" s="3"/>
      <c r="K110" s="3"/>
      <c r="L110" s="3"/>
      <c r="M110" s="3"/>
      <c r="N110" s="3"/>
      <c r="O110" s="31"/>
      <c r="P110" s="31"/>
      <c r="Q110" s="31"/>
      <c r="R110" s="31"/>
      <c r="S110" s="31"/>
      <c r="T110" s="31"/>
      <c r="U110" s="31"/>
      <c r="V110" s="31"/>
      <c r="W110" s="31"/>
      <c r="X110" s="3"/>
      <c r="Y110" s="3"/>
      <c r="Z110" s="3"/>
    </row>
    <row r="111" spans="2:26" ht="141.75">
      <c r="B111" s="69"/>
      <c r="C111" s="891"/>
      <c r="D111" s="891"/>
      <c r="E111" s="891"/>
      <c r="F111" s="891"/>
      <c r="G111" s="891"/>
      <c r="H111" s="69"/>
      <c r="I111" s="891"/>
      <c r="J111" s="3" t="s">
        <v>361</v>
      </c>
      <c r="K111" s="3" t="s">
        <v>773</v>
      </c>
      <c r="L111" s="3">
        <v>16</v>
      </c>
      <c r="M111" s="3" t="s">
        <v>787</v>
      </c>
      <c r="N111" s="890" t="s">
        <v>788</v>
      </c>
      <c r="O111" s="905" t="s">
        <v>701</v>
      </c>
      <c r="P111" s="472">
        <v>18</v>
      </c>
      <c r="Q111" s="472">
        <v>18</v>
      </c>
      <c r="R111" s="472">
        <v>18</v>
      </c>
      <c r="S111" s="472">
        <v>18</v>
      </c>
      <c r="T111" s="472">
        <v>18</v>
      </c>
      <c r="U111" s="472">
        <v>18</v>
      </c>
      <c r="V111" s="472">
        <v>18</v>
      </c>
      <c r="W111" s="472">
        <v>18</v>
      </c>
      <c r="X111" s="890" t="s">
        <v>789</v>
      </c>
      <c r="Y111" s="890" t="s">
        <v>790</v>
      </c>
      <c r="Z111" s="890" t="s">
        <v>791</v>
      </c>
    </row>
    <row r="112" spans="2:26" ht="63">
      <c r="B112" s="69"/>
      <c r="C112" s="891"/>
      <c r="D112" s="891"/>
      <c r="E112" s="891"/>
      <c r="F112" s="891"/>
      <c r="G112" s="891"/>
      <c r="H112" s="69"/>
      <c r="I112" s="891"/>
      <c r="J112" s="3" t="s">
        <v>361</v>
      </c>
      <c r="K112" s="3" t="s">
        <v>773</v>
      </c>
      <c r="L112" s="3">
        <v>17</v>
      </c>
      <c r="M112" s="3" t="s">
        <v>792</v>
      </c>
      <c r="N112" s="3" t="s">
        <v>793</v>
      </c>
      <c r="O112" s="31" t="s">
        <v>701</v>
      </c>
      <c r="P112" s="31">
        <v>0.76</v>
      </c>
      <c r="Q112" s="31">
        <v>0.93</v>
      </c>
      <c r="R112" s="31">
        <v>0.93</v>
      </c>
      <c r="S112" s="31">
        <v>1.28</v>
      </c>
      <c r="T112" s="31">
        <v>1.28</v>
      </c>
      <c r="U112" s="31">
        <v>1.28</v>
      </c>
      <c r="V112" s="31">
        <v>1.28</v>
      </c>
      <c r="W112" s="31">
        <v>1.28</v>
      </c>
      <c r="X112" s="3" t="s">
        <v>789</v>
      </c>
      <c r="Y112" s="3" t="s">
        <v>4328</v>
      </c>
      <c r="Z112" s="3"/>
    </row>
    <row r="113" spans="2:26" ht="409.5">
      <c r="B113" s="69"/>
      <c r="C113" s="891"/>
      <c r="D113" s="891"/>
      <c r="E113" s="891"/>
      <c r="F113" s="891"/>
      <c r="G113" s="891"/>
      <c r="H113" s="69"/>
      <c r="I113" s="891"/>
      <c r="J113" s="3" t="s">
        <v>361</v>
      </c>
      <c r="K113" s="3" t="s">
        <v>773</v>
      </c>
      <c r="L113" s="3">
        <v>16</v>
      </c>
      <c r="M113" s="3" t="s">
        <v>794</v>
      </c>
      <c r="N113" s="3" t="s">
        <v>795</v>
      </c>
      <c r="O113" s="31" t="s">
        <v>701</v>
      </c>
      <c r="P113" s="31">
        <v>2.7</v>
      </c>
      <c r="Q113" s="31">
        <v>2.7</v>
      </c>
      <c r="R113" s="31">
        <v>2.88</v>
      </c>
      <c r="S113" s="31">
        <v>3.08</v>
      </c>
      <c r="T113" s="31">
        <v>3.18</v>
      </c>
      <c r="U113" s="31">
        <v>3.18</v>
      </c>
      <c r="V113" s="31">
        <v>3.18</v>
      </c>
      <c r="W113" s="31">
        <v>3.18</v>
      </c>
      <c r="X113" s="3" t="s">
        <v>789</v>
      </c>
      <c r="Y113" s="3" t="s">
        <v>4329</v>
      </c>
      <c r="Z113" s="3" t="s">
        <v>796</v>
      </c>
    </row>
    <row r="114" spans="2:26" ht="204.75">
      <c r="B114" s="69"/>
      <c r="C114" s="891"/>
      <c r="D114" s="891"/>
      <c r="E114" s="891"/>
      <c r="F114" s="891"/>
      <c r="G114" s="891"/>
      <c r="H114" s="69"/>
      <c r="I114" s="891"/>
      <c r="J114" s="3" t="s">
        <v>361</v>
      </c>
      <c r="K114" s="3" t="s">
        <v>773</v>
      </c>
      <c r="L114" s="3">
        <v>18</v>
      </c>
      <c r="M114" s="3" t="s">
        <v>797</v>
      </c>
      <c r="N114" s="3" t="s">
        <v>798</v>
      </c>
      <c r="O114" s="31" t="s">
        <v>701</v>
      </c>
      <c r="P114" s="31">
        <v>0.94</v>
      </c>
      <c r="Q114" s="31">
        <v>0.94</v>
      </c>
      <c r="R114" s="31">
        <v>2.71</v>
      </c>
      <c r="S114" s="31">
        <v>2.71</v>
      </c>
      <c r="T114" s="31">
        <v>4.5999999999999996</v>
      </c>
      <c r="U114" s="31">
        <v>4.78</v>
      </c>
      <c r="V114" s="31">
        <v>5.0599999999999996</v>
      </c>
      <c r="W114" s="31">
        <v>5.0599999999999996</v>
      </c>
      <c r="X114" s="3" t="s">
        <v>789</v>
      </c>
      <c r="Y114" s="3" t="s">
        <v>1999</v>
      </c>
      <c r="Z114" s="3" t="s">
        <v>4370</v>
      </c>
    </row>
    <row r="115" spans="2:26" ht="94.5">
      <c r="B115" s="69"/>
      <c r="C115" s="891"/>
      <c r="D115" s="891"/>
      <c r="E115" s="891"/>
      <c r="F115" s="891"/>
      <c r="G115" s="891"/>
      <c r="H115" s="69"/>
      <c r="I115" s="891"/>
      <c r="J115" s="3" t="s">
        <v>361</v>
      </c>
      <c r="K115" s="3" t="s">
        <v>773</v>
      </c>
      <c r="L115" s="3">
        <v>20</v>
      </c>
      <c r="M115" s="3" t="s">
        <v>370</v>
      </c>
      <c r="N115" s="3"/>
      <c r="O115" s="31"/>
      <c r="P115" s="31"/>
      <c r="Q115" s="31"/>
      <c r="R115" s="31"/>
      <c r="S115" s="31"/>
      <c r="T115" s="31"/>
      <c r="U115" s="31"/>
      <c r="V115" s="31"/>
      <c r="W115" s="31"/>
      <c r="X115" s="3"/>
      <c r="Y115" s="3"/>
      <c r="Z115" s="3"/>
    </row>
    <row r="116" spans="2:26" ht="299.25">
      <c r="B116" s="69"/>
      <c r="C116" s="891"/>
      <c r="D116" s="891"/>
      <c r="E116" s="891"/>
      <c r="F116" s="891"/>
      <c r="G116" s="891"/>
      <c r="H116" s="69"/>
      <c r="I116" s="891"/>
      <c r="J116" s="3" t="s">
        <v>361</v>
      </c>
      <c r="K116" s="3" t="s">
        <v>773</v>
      </c>
      <c r="L116" s="3">
        <v>15</v>
      </c>
      <c r="M116" s="3" t="s">
        <v>105</v>
      </c>
      <c r="N116" s="3" t="s">
        <v>799</v>
      </c>
      <c r="O116" s="31" t="s">
        <v>701</v>
      </c>
      <c r="P116" s="31">
        <v>0.33</v>
      </c>
      <c r="Q116" s="31">
        <v>0.28999999999999998</v>
      </c>
      <c r="R116" s="31">
        <v>0.34</v>
      </c>
      <c r="S116" s="34">
        <v>1</v>
      </c>
      <c r="T116" s="31">
        <v>1.5</v>
      </c>
      <c r="U116" s="31">
        <v>2.25</v>
      </c>
      <c r="V116" s="34">
        <v>3</v>
      </c>
      <c r="W116" s="473">
        <f>V116</f>
        <v>3</v>
      </c>
      <c r="X116" s="3" t="s">
        <v>789</v>
      </c>
      <c r="Y116" s="30" t="s">
        <v>800</v>
      </c>
      <c r="Z116" s="3" t="s">
        <v>4371</v>
      </c>
    </row>
    <row r="117" spans="2:26" ht="189">
      <c r="B117" s="69"/>
      <c r="C117" s="891"/>
      <c r="D117" s="891"/>
      <c r="E117" s="891"/>
      <c r="F117" s="891"/>
      <c r="G117" s="891"/>
      <c r="H117" s="69"/>
      <c r="I117" s="891"/>
      <c r="J117" s="3" t="s">
        <v>361</v>
      </c>
      <c r="K117" s="3" t="s">
        <v>773</v>
      </c>
      <c r="L117" s="3">
        <v>16</v>
      </c>
      <c r="M117" s="3" t="s">
        <v>106</v>
      </c>
      <c r="N117" s="3" t="s">
        <v>801</v>
      </c>
      <c r="O117" s="31" t="s">
        <v>701</v>
      </c>
      <c r="P117" s="34">
        <v>100</v>
      </c>
      <c r="Q117" s="34">
        <v>100</v>
      </c>
      <c r="R117" s="34">
        <v>100</v>
      </c>
      <c r="S117" s="34">
        <v>100</v>
      </c>
      <c r="T117" s="34">
        <v>100</v>
      </c>
      <c r="U117" s="34">
        <v>100</v>
      </c>
      <c r="V117" s="34">
        <v>100</v>
      </c>
      <c r="W117" s="34">
        <v>100</v>
      </c>
      <c r="X117" s="3" t="s">
        <v>789</v>
      </c>
      <c r="Y117" s="30" t="s">
        <v>802</v>
      </c>
      <c r="Z117" s="3" t="s">
        <v>803</v>
      </c>
    </row>
    <row r="118" spans="2:26" ht="110.25">
      <c r="B118" s="69"/>
      <c r="C118" s="891"/>
      <c r="D118" s="891"/>
      <c r="E118" s="892"/>
      <c r="F118" s="892"/>
      <c r="G118" s="892"/>
      <c r="H118" s="77"/>
      <c r="I118" s="892"/>
      <c r="J118" s="3" t="s">
        <v>361</v>
      </c>
      <c r="K118" s="3" t="s">
        <v>773</v>
      </c>
      <c r="L118" s="3">
        <v>16</v>
      </c>
      <c r="M118" s="890" t="s">
        <v>106</v>
      </c>
      <c r="N118" s="3" t="s">
        <v>804</v>
      </c>
      <c r="O118" s="31" t="s">
        <v>701</v>
      </c>
      <c r="P118" s="31" t="s">
        <v>4363</v>
      </c>
      <c r="Q118" s="31" t="s">
        <v>4364</v>
      </c>
      <c r="R118" s="31" t="s">
        <v>4362</v>
      </c>
      <c r="S118" s="31" t="s">
        <v>4365</v>
      </c>
      <c r="T118" s="31" t="s">
        <v>4366</v>
      </c>
      <c r="U118" s="31" t="s">
        <v>4367</v>
      </c>
      <c r="V118" s="31" t="s">
        <v>4368</v>
      </c>
      <c r="W118" s="31" t="s">
        <v>4368</v>
      </c>
      <c r="X118" s="3" t="s">
        <v>789</v>
      </c>
      <c r="Y118" s="3" t="s">
        <v>805</v>
      </c>
      <c r="Z118" s="3" t="s">
        <v>4369</v>
      </c>
    </row>
    <row r="119" spans="2:26" ht="126">
      <c r="B119" s="69"/>
      <c r="C119" s="891"/>
      <c r="D119" s="891"/>
      <c r="E119" s="890">
        <v>2</v>
      </c>
      <c r="F119" s="890" t="s">
        <v>806</v>
      </c>
      <c r="G119" s="890" t="s">
        <v>807</v>
      </c>
      <c r="H119" s="890" t="s">
        <v>786</v>
      </c>
      <c r="I119" s="890" t="s">
        <v>4927</v>
      </c>
      <c r="J119" s="3">
        <v>1.1299999999999999</v>
      </c>
      <c r="K119" s="3" t="s">
        <v>773</v>
      </c>
      <c r="L119" s="3">
        <v>16</v>
      </c>
      <c r="M119" s="890" t="s">
        <v>106</v>
      </c>
      <c r="N119" s="890"/>
      <c r="O119" s="905"/>
      <c r="P119" s="905"/>
      <c r="Q119" s="905"/>
      <c r="R119" s="905"/>
      <c r="S119" s="905"/>
      <c r="T119" s="905"/>
      <c r="U119" s="905"/>
      <c r="V119" s="905"/>
      <c r="W119" s="905"/>
      <c r="X119" s="890"/>
      <c r="Y119" s="890"/>
      <c r="Z119" s="890"/>
    </row>
    <row r="120" spans="2:26" ht="204.75">
      <c r="B120" s="69"/>
      <c r="C120" s="891"/>
      <c r="D120" s="891"/>
      <c r="E120" s="891"/>
      <c r="F120" s="891"/>
      <c r="G120" s="891"/>
      <c r="H120" s="69"/>
      <c r="I120" s="891"/>
      <c r="J120" s="3">
        <v>1.1299999999999999</v>
      </c>
      <c r="K120" s="3" t="s">
        <v>773</v>
      </c>
      <c r="L120" s="3">
        <v>16</v>
      </c>
      <c r="M120" s="890" t="s">
        <v>106</v>
      </c>
      <c r="N120" s="892" t="s">
        <v>4317</v>
      </c>
      <c r="O120" s="907"/>
      <c r="P120" s="510">
        <v>100</v>
      </c>
      <c r="Q120" s="510">
        <v>100</v>
      </c>
      <c r="R120" s="510">
        <v>100</v>
      </c>
      <c r="S120" s="510">
        <v>100</v>
      </c>
      <c r="T120" s="510">
        <v>100</v>
      </c>
      <c r="U120" s="510">
        <v>100</v>
      </c>
      <c r="V120" s="510">
        <v>100</v>
      </c>
      <c r="W120" s="510">
        <v>100</v>
      </c>
      <c r="X120" s="892" t="s">
        <v>789</v>
      </c>
      <c r="Y120" s="892" t="s">
        <v>808</v>
      </c>
      <c r="Z120" s="892" t="s">
        <v>809</v>
      </c>
    </row>
    <row r="121" spans="2:26" ht="267.75">
      <c r="B121" s="69"/>
      <c r="C121" s="891"/>
      <c r="D121" s="891"/>
      <c r="E121" s="891"/>
      <c r="F121" s="891"/>
      <c r="G121" s="891"/>
      <c r="H121" s="69"/>
      <c r="I121" s="891"/>
      <c r="J121" s="3">
        <v>1.1299999999999999</v>
      </c>
      <c r="K121" s="3" t="s">
        <v>773</v>
      </c>
      <c r="L121" s="3">
        <v>21</v>
      </c>
      <c r="M121" s="3" t="s">
        <v>108</v>
      </c>
      <c r="N121" s="3" t="s">
        <v>810</v>
      </c>
      <c r="O121" s="31" t="s">
        <v>701</v>
      </c>
      <c r="P121" s="34">
        <v>100</v>
      </c>
      <c r="Q121" s="34">
        <v>100</v>
      </c>
      <c r="R121" s="34">
        <v>100</v>
      </c>
      <c r="S121" s="34">
        <v>100</v>
      </c>
      <c r="T121" s="34">
        <v>100</v>
      </c>
      <c r="U121" s="34">
        <v>100</v>
      </c>
      <c r="V121" s="34">
        <v>100</v>
      </c>
      <c r="W121" s="34">
        <v>100</v>
      </c>
      <c r="X121" s="3" t="s">
        <v>789</v>
      </c>
      <c r="Y121" s="3" t="s">
        <v>811</v>
      </c>
      <c r="Z121" s="3" t="s">
        <v>812</v>
      </c>
    </row>
    <row r="122" spans="2:26" ht="267.75">
      <c r="B122" s="69"/>
      <c r="C122" s="891"/>
      <c r="D122" s="891"/>
      <c r="E122" s="891"/>
      <c r="F122" s="891"/>
      <c r="G122" s="891"/>
      <c r="H122" s="69"/>
      <c r="I122" s="891"/>
      <c r="J122" s="3">
        <v>1.1299999999999999</v>
      </c>
      <c r="K122" s="3" t="s">
        <v>773</v>
      </c>
      <c r="L122" s="3">
        <v>21</v>
      </c>
      <c r="M122" s="3" t="s">
        <v>108</v>
      </c>
      <c r="N122" s="3" t="s">
        <v>813</v>
      </c>
      <c r="O122" s="31" t="s">
        <v>701</v>
      </c>
      <c r="P122" s="34">
        <v>100</v>
      </c>
      <c r="Q122" s="34">
        <v>100</v>
      </c>
      <c r="R122" s="34">
        <v>100</v>
      </c>
      <c r="S122" s="34">
        <v>100</v>
      </c>
      <c r="T122" s="34">
        <v>100</v>
      </c>
      <c r="U122" s="34">
        <v>100</v>
      </c>
      <c r="V122" s="34">
        <v>100</v>
      </c>
      <c r="W122" s="34">
        <v>100</v>
      </c>
      <c r="X122" s="3" t="s">
        <v>789</v>
      </c>
      <c r="Y122" s="3" t="s">
        <v>814</v>
      </c>
      <c r="Z122" s="3" t="s">
        <v>815</v>
      </c>
    </row>
    <row r="123" spans="2:26" ht="409.5">
      <c r="B123" s="69"/>
      <c r="C123" s="892"/>
      <c r="D123" s="892"/>
      <c r="E123" s="892"/>
      <c r="F123" s="892"/>
      <c r="G123" s="892"/>
      <c r="H123" s="77"/>
      <c r="I123" s="892"/>
      <c r="J123" s="3">
        <v>1.1299999999999999</v>
      </c>
      <c r="K123" s="3" t="s">
        <v>773</v>
      </c>
      <c r="L123" s="3">
        <v>21</v>
      </c>
      <c r="M123" s="3" t="s">
        <v>108</v>
      </c>
      <c r="N123" s="3" t="s">
        <v>816</v>
      </c>
      <c r="O123" s="31" t="s">
        <v>701</v>
      </c>
      <c r="P123" s="34">
        <v>0</v>
      </c>
      <c r="Q123" s="34">
        <v>0</v>
      </c>
      <c r="R123" s="34">
        <v>0</v>
      </c>
      <c r="S123" s="34">
        <v>24.22</v>
      </c>
      <c r="T123" s="34">
        <v>24.22</v>
      </c>
      <c r="U123" s="34">
        <v>25.61</v>
      </c>
      <c r="V123" s="34">
        <v>25.95</v>
      </c>
      <c r="W123" s="34">
        <v>25.95</v>
      </c>
      <c r="X123" s="3" t="s">
        <v>789</v>
      </c>
      <c r="Y123" s="3" t="s">
        <v>817</v>
      </c>
      <c r="Z123" s="3" t="s">
        <v>818</v>
      </c>
    </row>
    <row r="124" spans="2:26" ht="63">
      <c r="B124" s="69"/>
      <c r="C124" s="890">
        <v>2</v>
      </c>
      <c r="D124" s="890" t="s">
        <v>819</v>
      </c>
      <c r="E124" s="890">
        <v>3</v>
      </c>
      <c r="F124" s="890" t="s">
        <v>820</v>
      </c>
      <c r="G124" s="890" t="s">
        <v>821</v>
      </c>
      <c r="H124" s="37"/>
      <c r="I124" s="890" t="s">
        <v>4928</v>
      </c>
      <c r="J124" s="3"/>
      <c r="K124" s="3"/>
      <c r="L124" s="3"/>
      <c r="M124" s="3"/>
      <c r="N124" s="3"/>
      <c r="O124" s="31"/>
      <c r="P124" s="31"/>
      <c r="Q124" s="31"/>
      <c r="R124" s="31"/>
      <c r="S124" s="31"/>
      <c r="T124" s="31"/>
      <c r="U124" s="31"/>
      <c r="V124" s="31"/>
      <c r="W124" s="31"/>
      <c r="X124" s="3"/>
      <c r="Y124" s="3"/>
      <c r="Z124" s="3"/>
    </row>
    <row r="125" spans="2:26" ht="94.5">
      <c r="B125" s="69"/>
      <c r="C125" s="891"/>
      <c r="D125" s="891"/>
      <c r="E125" s="891"/>
      <c r="F125" s="891"/>
      <c r="G125" s="891"/>
      <c r="H125" s="69"/>
      <c r="I125" s="891"/>
      <c r="J125" s="3">
        <v>1.1299999999999999</v>
      </c>
      <c r="K125" s="3" t="s">
        <v>773</v>
      </c>
      <c r="L125" s="3">
        <v>16</v>
      </c>
      <c r="M125" s="3" t="s">
        <v>106</v>
      </c>
      <c r="N125" s="890" t="s">
        <v>822</v>
      </c>
      <c r="O125" s="905" t="s">
        <v>701</v>
      </c>
      <c r="P125" s="472">
        <v>100</v>
      </c>
      <c r="Q125" s="472">
        <v>100</v>
      </c>
      <c r="R125" s="472">
        <v>100</v>
      </c>
      <c r="S125" s="472">
        <v>100</v>
      </c>
      <c r="T125" s="472">
        <v>100</v>
      </c>
      <c r="U125" s="472">
        <v>100</v>
      </c>
      <c r="V125" s="472">
        <v>100</v>
      </c>
      <c r="W125" s="472">
        <v>100</v>
      </c>
      <c r="X125" s="890" t="s">
        <v>2046</v>
      </c>
      <c r="Y125" s="890" t="s">
        <v>823</v>
      </c>
      <c r="Z125" s="890"/>
    </row>
    <row r="126" spans="2:26" ht="47.25">
      <c r="B126" s="69"/>
      <c r="C126" s="891"/>
      <c r="D126" s="891"/>
      <c r="E126" s="891"/>
      <c r="F126" s="891"/>
      <c r="G126" s="891"/>
      <c r="H126" s="69"/>
      <c r="I126" s="891"/>
      <c r="J126" s="3">
        <v>1.1299999999999999</v>
      </c>
      <c r="K126" s="3" t="s">
        <v>773</v>
      </c>
      <c r="L126" s="3">
        <v>24</v>
      </c>
      <c r="M126" s="3" t="s">
        <v>824</v>
      </c>
      <c r="N126" s="892"/>
      <c r="O126" s="907"/>
      <c r="P126" s="907"/>
      <c r="Q126" s="907"/>
      <c r="R126" s="907"/>
      <c r="S126" s="907"/>
      <c r="T126" s="907"/>
      <c r="U126" s="907"/>
      <c r="V126" s="907"/>
      <c r="W126" s="907"/>
      <c r="X126" s="892"/>
      <c r="Y126" s="892"/>
      <c r="Z126" s="892"/>
    </row>
    <row r="127" spans="2:26" ht="63">
      <c r="B127" s="69"/>
      <c r="C127" s="890">
        <v>3</v>
      </c>
      <c r="D127" s="890" t="s">
        <v>825</v>
      </c>
      <c r="E127" s="890">
        <v>4</v>
      </c>
      <c r="F127" s="890" t="s">
        <v>826</v>
      </c>
      <c r="G127" s="890" t="s">
        <v>827</v>
      </c>
      <c r="H127" s="890" t="s">
        <v>828</v>
      </c>
      <c r="I127" s="890" t="s">
        <v>4929</v>
      </c>
      <c r="J127" s="3"/>
      <c r="K127" s="3"/>
      <c r="L127" s="3"/>
      <c r="M127" s="3"/>
      <c r="N127" s="3"/>
      <c r="O127" s="31"/>
      <c r="P127" s="31"/>
      <c r="Q127" s="31"/>
      <c r="R127" s="31"/>
      <c r="S127" s="31"/>
      <c r="T127" s="31"/>
      <c r="U127" s="31"/>
      <c r="V127" s="31"/>
      <c r="W127" s="31"/>
      <c r="X127" s="3"/>
      <c r="Y127" s="3"/>
      <c r="Z127" s="3"/>
    </row>
    <row r="128" spans="2:26" ht="31.5">
      <c r="B128" s="69"/>
      <c r="C128" s="891"/>
      <c r="D128" s="891"/>
      <c r="E128" s="891"/>
      <c r="F128" s="891"/>
      <c r="G128" s="891"/>
      <c r="H128" s="69"/>
      <c r="I128" s="891"/>
      <c r="J128" s="3">
        <v>1.1299999999999999</v>
      </c>
      <c r="K128" s="3" t="s">
        <v>773</v>
      </c>
      <c r="L128" s="3">
        <v>25</v>
      </c>
      <c r="M128" s="3" t="s">
        <v>829</v>
      </c>
      <c r="N128" s="890"/>
      <c r="O128" s="905"/>
      <c r="P128" s="905"/>
      <c r="Q128" s="905"/>
      <c r="R128" s="905"/>
      <c r="S128" s="905"/>
      <c r="T128" s="905"/>
      <c r="U128" s="905"/>
      <c r="V128" s="905"/>
      <c r="W128" s="905"/>
      <c r="X128" s="890"/>
      <c r="Y128" s="890"/>
      <c r="Z128" s="890"/>
    </row>
    <row r="129" spans="2:26" ht="220.5">
      <c r="B129" s="69"/>
      <c r="C129" s="891"/>
      <c r="D129" s="891"/>
      <c r="E129" s="891"/>
      <c r="F129" s="891"/>
      <c r="G129" s="891"/>
      <c r="H129" s="69"/>
      <c r="I129" s="891"/>
      <c r="J129" s="3">
        <v>1.1299999999999999</v>
      </c>
      <c r="K129" s="3" t="s">
        <v>773</v>
      </c>
      <c r="L129" s="3">
        <v>26</v>
      </c>
      <c r="M129" s="3" t="s">
        <v>830</v>
      </c>
      <c r="N129" s="892" t="s">
        <v>4627</v>
      </c>
      <c r="O129" s="907" t="s">
        <v>701</v>
      </c>
      <c r="P129" s="510">
        <v>100</v>
      </c>
      <c r="Q129" s="510">
        <v>100</v>
      </c>
      <c r="R129" s="510">
        <v>100</v>
      </c>
      <c r="S129" s="510">
        <v>100</v>
      </c>
      <c r="T129" s="510">
        <v>100</v>
      </c>
      <c r="U129" s="510">
        <v>100</v>
      </c>
      <c r="V129" s="510">
        <v>100</v>
      </c>
      <c r="W129" s="510">
        <v>100</v>
      </c>
      <c r="X129" s="892" t="s">
        <v>1033</v>
      </c>
      <c r="Y129" s="892" t="s">
        <v>832</v>
      </c>
      <c r="Z129" s="892"/>
    </row>
    <row r="130" spans="2:26" ht="157.5">
      <c r="B130" s="69"/>
      <c r="C130" s="891"/>
      <c r="D130" s="891"/>
      <c r="E130" s="891"/>
      <c r="F130" s="891"/>
      <c r="G130" s="891"/>
      <c r="H130" s="69"/>
      <c r="I130" s="891"/>
      <c r="J130" s="3">
        <v>1.1299999999999999</v>
      </c>
      <c r="K130" s="3" t="s">
        <v>773</v>
      </c>
      <c r="L130" s="3">
        <v>26</v>
      </c>
      <c r="M130" s="3" t="s">
        <v>830</v>
      </c>
      <c r="N130" s="3" t="s">
        <v>4628</v>
      </c>
      <c r="O130" s="31" t="s">
        <v>701</v>
      </c>
      <c r="P130" s="34">
        <v>100</v>
      </c>
      <c r="Q130" s="34">
        <v>100</v>
      </c>
      <c r="R130" s="34">
        <v>100</v>
      </c>
      <c r="S130" s="34">
        <v>100</v>
      </c>
      <c r="T130" s="34">
        <v>100</v>
      </c>
      <c r="U130" s="34">
        <v>100</v>
      </c>
      <c r="V130" s="34">
        <v>100</v>
      </c>
      <c r="W130" s="34">
        <v>100</v>
      </c>
      <c r="X130" s="3" t="s">
        <v>4569</v>
      </c>
      <c r="Y130" s="3" t="s">
        <v>4629</v>
      </c>
      <c r="Z130" s="3" t="s">
        <v>4630</v>
      </c>
    </row>
    <row r="131" spans="2:26" ht="173.25">
      <c r="B131" s="69"/>
      <c r="C131" s="891"/>
      <c r="D131" s="891"/>
      <c r="E131" s="891"/>
      <c r="F131" s="891"/>
      <c r="G131" s="891"/>
      <c r="H131" s="69"/>
      <c r="I131" s="891"/>
      <c r="J131" s="3">
        <v>1.1299999999999999</v>
      </c>
      <c r="K131" s="3" t="s">
        <v>773</v>
      </c>
      <c r="L131" s="3">
        <v>27</v>
      </c>
      <c r="M131" s="890" t="s">
        <v>833</v>
      </c>
      <c r="N131" s="3" t="s">
        <v>834</v>
      </c>
      <c r="O131" s="31" t="s">
        <v>701</v>
      </c>
      <c r="P131" s="34">
        <v>100</v>
      </c>
      <c r="Q131" s="34">
        <v>100</v>
      </c>
      <c r="R131" s="34">
        <v>100</v>
      </c>
      <c r="S131" s="34">
        <v>100</v>
      </c>
      <c r="T131" s="34">
        <v>100</v>
      </c>
      <c r="U131" s="34">
        <v>100</v>
      </c>
      <c r="V131" s="34">
        <v>100</v>
      </c>
      <c r="W131" s="34">
        <v>100</v>
      </c>
      <c r="X131" s="3" t="s">
        <v>4318</v>
      </c>
      <c r="Y131" s="3" t="s">
        <v>835</v>
      </c>
      <c r="Z131" s="3"/>
    </row>
    <row r="132" spans="2:26" ht="236.25">
      <c r="B132" s="69"/>
      <c r="C132" s="892"/>
      <c r="D132" s="892"/>
      <c r="E132" s="892"/>
      <c r="F132" s="892"/>
      <c r="G132" s="892"/>
      <c r="H132" s="77"/>
      <c r="I132" s="892"/>
      <c r="J132" s="3">
        <v>1.1299999999999999</v>
      </c>
      <c r="K132" s="3" t="s">
        <v>773</v>
      </c>
      <c r="L132" s="3">
        <v>27</v>
      </c>
      <c r="M132" s="890" t="s">
        <v>833</v>
      </c>
      <c r="N132" s="3" t="s">
        <v>836</v>
      </c>
      <c r="O132" s="31" t="s">
        <v>701</v>
      </c>
      <c r="P132" s="34">
        <v>100</v>
      </c>
      <c r="Q132" s="34">
        <v>100</v>
      </c>
      <c r="R132" s="34">
        <v>100</v>
      </c>
      <c r="S132" s="34">
        <v>100</v>
      </c>
      <c r="T132" s="34">
        <v>100</v>
      </c>
      <c r="U132" s="34">
        <v>100</v>
      </c>
      <c r="V132" s="34">
        <v>100</v>
      </c>
      <c r="W132" s="34">
        <v>100</v>
      </c>
      <c r="X132" s="3" t="s">
        <v>831</v>
      </c>
      <c r="Y132" s="3" t="s">
        <v>837</v>
      </c>
      <c r="Z132" s="3"/>
    </row>
    <row r="133" spans="2:26" ht="141.75">
      <c r="B133" s="37" t="s">
        <v>838</v>
      </c>
      <c r="C133" s="890">
        <v>4</v>
      </c>
      <c r="D133" s="890" t="s">
        <v>839</v>
      </c>
      <c r="E133" s="890">
        <v>5</v>
      </c>
      <c r="F133" s="890" t="s">
        <v>840</v>
      </c>
      <c r="G133" s="890" t="s">
        <v>841</v>
      </c>
      <c r="H133" s="890" t="s">
        <v>828</v>
      </c>
      <c r="I133" s="890" t="s">
        <v>4930</v>
      </c>
      <c r="J133" s="3"/>
      <c r="K133" s="3"/>
      <c r="L133" s="3" t="s">
        <v>1798</v>
      </c>
      <c r="M133" s="3"/>
      <c r="N133" s="3"/>
      <c r="O133" s="31"/>
      <c r="P133" s="31"/>
      <c r="Q133" s="31"/>
      <c r="R133" s="31"/>
      <c r="S133" s="31"/>
      <c r="T133" s="31"/>
      <c r="U133" s="31"/>
      <c r="V133" s="31"/>
      <c r="W133" s="31"/>
      <c r="X133" s="3"/>
      <c r="Y133" s="3"/>
      <c r="Z133" s="3"/>
    </row>
    <row r="134" spans="2:26" ht="78.75">
      <c r="B134" s="69"/>
      <c r="C134" s="891"/>
      <c r="D134" s="891"/>
      <c r="E134" s="891"/>
      <c r="F134" s="891"/>
      <c r="G134" s="891"/>
      <c r="H134" s="69"/>
      <c r="I134" s="891"/>
      <c r="J134" s="3">
        <v>1.1399999999999999</v>
      </c>
      <c r="K134" s="3" t="s">
        <v>773</v>
      </c>
      <c r="L134" s="3">
        <v>15</v>
      </c>
      <c r="M134" s="19" t="s">
        <v>139</v>
      </c>
      <c r="N134" s="3" t="s">
        <v>842</v>
      </c>
      <c r="O134" s="31" t="s">
        <v>701</v>
      </c>
      <c r="P134" s="34">
        <v>80</v>
      </c>
      <c r="Q134" s="34">
        <v>80</v>
      </c>
      <c r="R134" s="34">
        <v>80</v>
      </c>
      <c r="S134" s="34">
        <v>80</v>
      </c>
      <c r="T134" s="34">
        <v>80</v>
      </c>
      <c r="U134" s="34">
        <v>80</v>
      </c>
      <c r="V134" s="34">
        <v>80</v>
      </c>
      <c r="W134" s="34">
        <v>80</v>
      </c>
      <c r="X134" s="3" t="s">
        <v>843</v>
      </c>
      <c r="Y134" s="3" t="s">
        <v>844</v>
      </c>
      <c r="Z134" s="3"/>
    </row>
    <row r="135" spans="2:26" ht="78.75">
      <c r="B135" s="69"/>
      <c r="C135" s="891"/>
      <c r="D135" s="891"/>
      <c r="E135" s="891"/>
      <c r="F135" s="891"/>
      <c r="G135" s="891"/>
      <c r="H135" s="69"/>
      <c r="I135" s="891"/>
      <c r="J135" s="3">
        <v>1.1399999999999999</v>
      </c>
      <c r="K135" s="3" t="s">
        <v>773</v>
      </c>
      <c r="L135" s="3">
        <v>15</v>
      </c>
      <c r="M135" s="19" t="s">
        <v>139</v>
      </c>
      <c r="N135" s="3" t="s">
        <v>845</v>
      </c>
      <c r="O135" s="31" t="s">
        <v>701</v>
      </c>
      <c r="P135" s="34" t="s">
        <v>1041</v>
      </c>
      <c r="Q135" s="34" t="s">
        <v>1041</v>
      </c>
      <c r="R135" s="34" t="s">
        <v>1041</v>
      </c>
      <c r="S135" s="34">
        <v>80</v>
      </c>
      <c r="T135" s="34">
        <v>85</v>
      </c>
      <c r="U135" s="34">
        <v>90</v>
      </c>
      <c r="V135" s="34">
        <v>95</v>
      </c>
      <c r="W135" s="34">
        <v>95</v>
      </c>
      <c r="X135" s="3" t="s">
        <v>843</v>
      </c>
      <c r="Y135" s="3" t="s">
        <v>846</v>
      </c>
      <c r="Z135" s="3"/>
    </row>
    <row r="136" spans="2:26" ht="78.75">
      <c r="B136" s="69"/>
      <c r="C136" s="891"/>
      <c r="D136" s="891"/>
      <c r="E136" s="892"/>
      <c r="F136" s="892"/>
      <c r="G136" s="892"/>
      <c r="H136" s="77"/>
      <c r="I136" s="892"/>
      <c r="J136" s="3">
        <v>1.1399999999999999</v>
      </c>
      <c r="K136" s="3" t="s">
        <v>773</v>
      </c>
      <c r="L136" s="3">
        <v>15</v>
      </c>
      <c r="M136" s="19" t="s">
        <v>139</v>
      </c>
      <c r="N136" s="3" t="s">
        <v>847</v>
      </c>
      <c r="O136" s="31" t="s">
        <v>701</v>
      </c>
      <c r="P136" s="31" t="s">
        <v>1041</v>
      </c>
      <c r="Q136" s="34">
        <v>80</v>
      </c>
      <c r="R136" s="34">
        <v>80</v>
      </c>
      <c r="S136" s="34">
        <v>80</v>
      </c>
      <c r="T136" s="34">
        <v>80</v>
      </c>
      <c r="U136" s="34">
        <v>80</v>
      </c>
      <c r="V136" s="34">
        <v>80</v>
      </c>
      <c r="W136" s="34">
        <v>80</v>
      </c>
      <c r="X136" s="3" t="s">
        <v>843</v>
      </c>
      <c r="Y136" s="3" t="s">
        <v>848</v>
      </c>
      <c r="Z136" s="3"/>
    </row>
    <row r="137" spans="2:26" ht="110.25">
      <c r="B137" s="69"/>
      <c r="C137" s="891"/>
      <c r="D137" s="891"/>
      <c r="E137" s="890">
        <v>6</v>
      </c>
      <c r="F137" s="890" t="s">
        <v>849</v>
      </c>
      <c r="G137" s="890" t="s">
        <v>850</v>
      </c>
      <c r="H137" s="890" t="s">
        <v>828</v>
      </c>
      <c r="I137" s="890" t="s">
        <v>4931</v>
      </c>
      <c r="J137" s="3"/>
      <c r="K137" s="3"/>
      <c r="L137" s="3"/>
      <c r="M137" s="3"/>
      <c r="N137" s="3"/>
      <c r="O137" s="31"/>
      <c r="P137" s="31"/>
      <c r="Q137" s="31"/>
      <c r="R137" s="31"/>
      <c r="S137" s="31"/>
      <c r="T137" s="31"/>
      <c r="U137" s="31"/>
      <c r="V137" s="31"/>
      <c r="W137" s="31"/>
      <c r="X137" s="3"/>
      <c r="Y137" s="3"/>
      <c r="Z137" s="3"/>
    </row>
    <row r="138" spans="2:26" ht="63">
      <c r="B138" s="69"/>
      <c r="C138" s="891"/>
      <c r="D138" s="891"/>
      <c r="E138" s="891"/>
      <c r="F138" s="891"/>
      <c r="G138" s="891"/>
      <c r="H138" s="69"/>
      <c r="I138" s="891"/>
      <c r="J138" s="3">
        <v>1.1399999999999999</v>
      </c>
      <c r="K138" s="3" t="s">
        <v>773</v>
      </c>
      <c r="L138" s="3">
        <v>16</v>
      </c>
      <c r="M138" s="19" t="s">
        <v>140</v>
      </c>
      <c r="N138" s="3" t="s">
        <v>851</v>
      </c>
      <c r="O138" s="31" t="s">
        <v>701</v>
      </c>
      <c r="P138" s="34">
        <v>63</v>
      </c>
      <c r="Q138" s="34">
        <v>21</v>
      </c>
      <c r="R138" s="34">
        <v>65</v>
      </c>
      <c r="S138" s="34">
        <v>67</v>
      </c>
      <c r="T138" s="34">
        <v>70</v>
      </c>
      <c r="U138" s="34">
        <v>72</v>
      </c>
      <c r="V138" s="34">
        <v>75</v>
      </c>
      <c r="W138" s="34">
        <v>75</v>
      </c>
      <c r="X138" s="3" t="s">
        <v>843</v>
      </c>
      <c r="Y138" s="3" t="s">
        <v>852</v>
      </c>
      <c r="Z138" s="3"/>
    </row>
    <row r="139" spans="2:26" ht="63">
      <c r="B139" s="69"/>
      <c r="C139" s="891"/>
      <c r="D139" s="891"/>
      <c r="E139" s="891"/>
      <c r="F139" s="891"/>
      <c r="G139" s="891"/>
      <c r="H139" s="69"/>
      <c r="I139" s="891"/>
      <c r="J139" s="3">
        <v>1.1399999999999999</v>
      </c>
      <c r="K139" s="3" t="s">
        <v>773</v>
      </c>
      <c r="L139" s="3">
        <v>16</v>
      </c>
      <c r="M139" s="19" t="s">
        <v>140</v>
      </c>
      <c r="N139" s="3" t="s">
        <v>853</v>
      </c>
      <c r="O139" s="31" t="s">
        <v>701</v>
      </c>
      <c r="P139" s="31" t="s">
        <v>4372</v>
      </c>
      <c r="Q139" s="34">
        <v>94.53</v>
      </c>
      <c r="R139" s="34">
        <v>94.75</v>
      </c>
      <c r="S139" s="34">
        <v>95</v>
      </c>
      <c r="T139" s="34">
        <v>95.25</v>
      </c>
      <c r="U139" s="34">
        <v>95.5</v>
      </c>
      <c r="V139" s="34">
        <v>95.75</v>
      </c>
      <c r="W139" s="34">
        <f>V139</f>
        <v>95.75</v>
      </c>
      <c r="X139" s="3" t="s">
        <v>843</v>
      </c>
      <c r="Y139" s="3" t="s">
        <v>854</v>
      </c>
      <c r="Z139" s="3"/>
    </row>
    <row r="140" spans="2:26" ht="78.75">
      <c r="B140" s="69"/>
      <c r="C140" s="891"/>
      <c r="D140" s="891"/>
      <c r="E140" s="891"/>
      <c r="F140" s="891"/>
      <c r="G140" s="891"/>
      <c r="H140" s="69"/>
      <c r="I140" s="891"/>
      <c r="J140" s="3">
        <v>1.1399999999999999</v>
      </c>
      <c r="K140" s="3" t="s">
        <v>773</v>
      </c>
      <c r="L140" s="3">
        <v>16</v>
      </c>
      <c r="M140" s="19" t="s">
        <v>140</v>
      </c>
      <c r="N140" s="3" t="s">
        <v>855</v>
      </c>
      <c r="O140" s="31" t="s">
        <v>701</v>
      </c>
      <c r="P140" s="31" t="s">
        <v>4373</v>
      </c>
      <c r="Q140" s="34">
        <v>5.47</v>
      </c>
      <c r="R140" s="34">
        <v>5.25</v>
      </c>
      <c r="S140" s="34">
        <v>5</v>
      </c>
      <c r="T140" s="34">
        <v>4.75</v>
      </c>
      <c r="U140" s="34">
        <v>4.5</v>
      </c>
      <c r="V140" s="34">
        <v>4.25</v>
      </c>
      <c r="W140" s="34">
        <f>V140</f>
        <v>4.25</v>
      </c>
      <c r="X140" s="3" t="s">
        <v>843</v>
      </c>
      <c r="Y140" s="3" t="s">
        <v>856</v>
      </c>
      <c r="Z140" s="3"/>
    </row>
    <row r="141" spans="2:26" ht="63">
      <c r="B141" s="69"/>
      <c r="C141" s="891"/>
      <c r="D141" s="891"/>
      <c r="E141" s="892"/>
      <c r="F141" s="892"/>
      <c r="G141" s="892"/>
      <c r="H141" s="77"/>
      <c r="I141" s="892"/>
      <c r="J141" s="3">
        <v>1.1399999999999999</v>
      </c>
      <c r="K141" s="3" t="s">
        <v>773</v>
      </c>
      <c r="L141" s="3">
        <v>16</v>
      </c>
      <c r="M141" s="19" t="s">
        <v>140</v>
      </c>
      <c r="N141" s="3" t="s">
        <v>857</v>
      </c>
      <c r="O141" s="31" t="s">
        <v>701</v>
      </c>
      <c r="P141" s="34" t="s">
        <v>4374</v>
      </c>
      <c r="Q141" s="34">
        <v>76.87</v>
      </c>
      <c r="R141" s="34">
        <v>78</v>
      </c>
      <c r="S141" s="34">
        <v>79</v>
      </c>
      <c r="T141" s="34">
        <v>80</v>
      </c>
      <c r="U141" s="34">
        <v>81</v>
      </c>
      <c r="V141" s="34">
        <v>82</v>
      </c>
      <c r="W141" s="34">
        <v>82</v>
      </c>
      <c r="X141" s="3" t="s">
        <v>843</v>
      </c>
      <c r="Y141" s="3" t="s">
        <v>858</v>
      </c>
      <c r="Z141" s="3" t="s">
        <v>859</v>
      </c>
    </row>
    <row r="142" spans="2:26" ht="78.75">
      <c r="B142" s="69"/>
      <c r="C142" s="891"/>
      <c r="D142" s="891"/>
      <c r="E142" s="890">
        <v>7</v>
      </c>
      <c r="F142" s="890" t="s">
        <v>860</v>
      </c>
      <c r="G142" s="890" t="s">
        <v>861</v>
      </c>
      <c r="H142" s="890" t="s">
        <v>828</v>
      </c>
      <c r="I142" s="890" t="s">
        <v>4932</v>
      </c>
      <c r="J142" s="3"/>
      <c r="K142" s="3"/>
      <c r="L142" s="3"/>
      <c r="M142" s="3"/>
      <c r="N142" s="3"/>
      <c r="O142" s="31"/>
      <c r="P142" s="31"/>
      <c r="Q142" s="31"/>
      <c r="R142" s="31"/>
      <c r="S142" s="31"/>
      <c r="T142" s="31"/>
      <c r="U142" s="31"/>
      <c r="V142" s="31"/>
      <c r="W142" s="31"/>
      <c r="X142" s="3"/>
      <c r="Y142" s="3"/>
      <c r="Z142" s="3"/>
    </row>
    <row r="143" spans="2:26" ht="78.75">
      <c r="B143" s="69"/>
      <c r="C143" s="891"/>
      <c r="D143" s="891"/>
      <c r="E143" s="891"/>
      <c r="F143" s="891"/>
      <c r="G143" s="891"/>
      <c r="H143" s="69"/>
      <c r="I143" s="891"/>
      <c r="J143" s="3">
        <v>1.1399999999999999</v>
      </c>
      <c r="K143" s="3" t="s">
        <v>773</v>
      </c>
      <c r="L143" s="3">
        <v>17</v>
      </c>
      <c r="M143" s="19" t="s">
        <v>141</v>
      </c>
      <c r="N143" s="3" t="s">
        <v>862</v>
      </c>
      <c r="O143" s="31" t="s">
        <v>701</v>
      </c>
      <c r="P143" s="34">
        <v>9.3000000000000007</v>
      </c>
      <c r="Q143" s="34">
        <v>9.3000000000000007</v>
      </c>
      <c r="R143" s="34">
        <v>13.3</v>
      </c>
      <c r="S143" s="34">
        <v>14</v>
      </c>
      <c r="T143" s="34">
        <v>16</v>
      </c>
      <c r="U143" s="34">
        <v>18</v>
      </c>
      <c r="V143" s="34">
        <v>19.399999999999999</v>
      </c>
      <c r="W143" s="34">
        <f>V143</f>
        <v>19.399999999999999</v>
      </c>
      <c r="X143" s="3" t="s">
        <v>843</v>
      </c>
      <c r="Y143" s="3" t="s">
        <v>863</v>
      </c>
      <c r="Z143" s="3"/>
    </row>
    <row r="144" spans="2:26" ht="78.75">
      <c r="B144" s="69"/>
      <c r="C144" s="891"/>
      <c r="D144" s="891"/>
      <c r="E144" s="891"/>
      <c r="F144" s="891"/>
      <c r="G144" s="891"/>
      <c r="H144" s="69"/>
      <c r="I144" s="891"/>
      <c r="J144" s="3">
        <v>1.1399999999999999</v>
      </c>
      <c r="K144" s="3" t="s">
        <v>773</v>
      </c>
      <c r="L144" s="3">
        <v>17</v>
      </c>
      <c r="M144" s="19" t="s">
        <v>141</v>
      </c>
      <c r="N144" s="3" t="s">
        <v>4493</v>
      </c>
      <c r="O144" s="31" t="s">
        <v>701</v>
      </c>
      <c r="P144" s="31" t="s">
        <v>1041</v>
      </c>
      <c r="Q144" s="34">
        <v>62.4</v>
      </c>
      <c r="R144" s="34">
        <v>65.5</v>
      </c>
      <c r="S144" s="34">
        <v>65.5</v>
      </c>
      <c r="T144" s="34">
        <v>80</v>
      </c>
      <c r="U144" s="34">
        <v>90</v>
      </c>
      <c r="V144" s="34">
        <v>100</v>
      </c>
      <c r="W144" s="34">
        <v>100</v>
      </c>
      <c r="X144" s="3" t="s">
        <v>843</v>
      </c>
      <c r="Y144" s="3" t="s">
        <v>864</v>
      </c>
      <c r="Z144" s="3"/>
    </row>
    <row r="145" spans="2:26" ht="78.75">
      <c r="B145" s="69"/>
      <c r="C145" s="891"/>
      <c r="D145" s="891"/>
      <c r="E145" s="891"/>
      <c r="F145" s="891"/>
      <c r="G145" s="891"/>
      <c r="H145" s="69"/>
      <c r="I145" s="891"/>
      <c r="J145" s="3">
        <v>1.1399999999999999</v>
      </c>
      <c r="K145" s="3" t="s">
        <v>773</v>
      </c>
      <c r="L145" s="3">
        <v>17</v>
      </c>
      <c r="M145" s="19" t="s">
        <v>141</v>
      </c>
      <c r="N145" s="3" t="s">
        <v>865</v>
      </c>
      <c r="O145" s="31" t="s">
        <v>701</v>
      </c>
      <c r="P145" s="34">
        <v>100</v>
      </c>
      <c r="Q145" s="34">
        <v>100</v>
      </c>
      <c r="R145" s="34">
        <v>100</v>
      </c>
      <c r="S145" s="34">
        <v>100</v>
      </c>
      <c r="T145" s="34">
        <v>100</v>
      </c>
      <c r="U145" s="34">
        <v>100</v>
      </c>
      <c r="V145" s="34">
        <v>100</v>
      </c>
      <c r="W145" s="34">
        <v>100</v>
      </c>
      <c r="X145" s="3" t="s">
        <v>843</v>
      </c>
      <c r="Y145" s="3" t="s">
        <v>866</v>
      </c>
      <c r="Z145" s="3"/>
    </row>
    <row r="146" spans="2:26" ht="78.75">
      <c r="B146" s="77"/>
      <c r="C146" s="892"/>
      <c r="D146" s="892"/>
      <c r="E146" s="892"/>
      <c r="F146" s="892"/>
      <c r="G146" s="892"/>
      <c r="H146" s="77"/>
      <c r="I146" s="892"/>
      <c r="J146" s="3">
        <v>1.1399999999999999</v>
      </c>
      <c r="K146" s="3" t="s">
        <v>773</v>
      </c>
      <c r="L146" s="3">
        <v>17</v>
      </c>
      <c r="M146" s="19" t="s">
        <v>141</v>
      </c>
      <c r="N146" s="3" t="s">
        <v>867</v>
      </c>
      <c r="O146" s="31" t="s">
        <v>701</v>
      </c>
      <c r="P146" s="31" t="s">
        <v>1041</v>
      </c>
      <c r="Q146" s="34">
        <v>64</v>
      </c>
      <c r="R146" s="34">
        <v>67.5</v>
      </c>
      <c r="S146" s="34">
        <v>73</v>
      </c>
      <c r="T146" s="34">
        <v>76</v>
      </c>
      <c r="U146" s="34">
        <v>78</v>
      </c>
      <c r="V146" s="34">
        <v>82</v>
      </c>
      <c r="W146" s="34">
        <f>V146</f>
        <v>82</v>
      </c>
      <c r="X146" s="3" t="s">
        <v>843</v>
      </c>
      <c r="Y146" s="3" t="s">
        <v>868</v>
      </c>
      <c r="Z146" s="3"/>
    </row>
    <row r="147" spans="2:26" ht="126">
      <c r="B147" s="37" t="s">
        <v>16</v>
      </c>
      <c r="C147" s="890">
        <v>5</v>
      </c>
      <c r="D147" s="890" t="s">
        <v>869</v>
      </c>
      <c r="E147" s="890">
        <v>8</v>
      </c>
      <c r="F147" s="890" t="s">
        <v>870</v>
      </c>
      <c r="G147" s="890" t="s">
        <v>871</v>
      </c>
      <c r="H147" s="890" t="s">
        <v>828</v>
      </c>
      <c r="I147" s="890" t="s">
        <v>4935</v>
      </c>
      <c r="J147" s="3"/>
      <c r="K147" s="3"/>
      <c r="L147" s="3"/>
      <c r="M147" s="3"/>
      <c r="N147" s="3"/>
      <c r="O147" s="31"/>
      <c r="P147" s="31"/>
      <c r="Q147" s="31"/>
      <c r="R147" s="31"/>
      <c r="S147" s="31"/>
      <c r="T147" s="31"/>
      <c r="U147" s="31"/>
      <c r="V147" s="31"/>
      <c r="W147" s="31"/>
      <c r="X147" s="3"/>
      <c r="Y147" s="3"/>
      <c r="Z147" s="3"/>
    </row>
    <row r="148" spans="2:26" ht="47.25">
      <c r="B148" s="69"/>
      <c r="C148" s="891"/>
      <c r="D148" s="891"/>
      <c r="E148" s="891"/>
      <c r="F148" s="891"/>
      <c r="G148" s="891"/>
      <c r="H148" s="69"/>
      <c r="I148" s="891"/>
      <c r="J148" s="3">
        <v>1.22</v>
      </c>
      <c r="K148" s="3" t="s">
        <v>773</v>
      </c>
      <c r="L148" s="3">
        <v>22</v>
      </c>
      <c r="M148" s="3" t="s">
        <v>872</v>
      </c>
      <c r="N148" s="3" t="s">
        <v>4933</v>
      </c>
      <c r="O148" s="31" t="s">
        <v>701</v>
      </c>
      <c r="P148" s="473" t="s">
        <v>1556</v>
      </c>
      <c r="Q148" s="473" t="s">
        <v>1556</v>
      </c>
      <c r="R148" s="34">
        <v>10</v>
      </c>
      <c r="S148" s="34">
        <v>15</v>
      </c>
      <c r="T148" s="34">
        <v>20</v>
      </c>
      <c r="U148" s="34">
        <v>25</v>
      </c>
      <c r="V148" s="34">
        <v>30</v>
      </c>
      <c r="W148" s="34">
        <v>30</v>
      </c>
      <c r="X148" s="3" t="s">
        <v>873</v>
      </c>
      <c r="Y148" s="3" t="s">
        <v>4934</v>
      </c>
      <c r="Z148" s="3"/>
    </row>
    <row r="149" spans="2:26" ht="110.25">
      <c r="B149" s="69"/>
      <c r="C149" s="891"/>
      <c r="D149" s="891"/>
      <c r="E149" s="891"/>
      <c r="F149" s="891"/>
      <c r="G149" s="891"/>
      <c r="H149" s="69"/>
      <c r="I149" s="891"/>
      <c r="J149" s="3">
        <v>1.22</v>
      </c>
      <c r="K149" s="3" t="s">
        <v>773</v>
      </c>
      <c r="L149" s="3">
        <v>17</v>
      </c>
      <c r="M149" s="3" t="s">
        <v>874</v>
      </c>
      <c r="N149" s="3" t="s">
        <v>875</v>
      </c>
      <c r="O149" s="473" t="s">
        <v>701</v>
      </c>
      <c r="P149" s="34">
        <v>100</v>
      </c>
      <c r="Q149" s="34">
        <v>100</v>
      </c>
      <c r="R149" s="34">
        <v>100</v>
      </c>
      <c r="S149" s="34">
        <v>100</v>
      </c>
      <c r="T149" s="34">
        <v>100</v>
      </c>
      <c r="U149" s="34">
        <v>100</v>
      </c>
      <c r="V149" s="34">
        <v>100</v>
      </c>
      <c r="W149" s="34">
        <v>100</v>
      </c>
      <c r="X149" s="3" t="s">
        <v>873</v>
      </c>
      <c r="Y149" s="3" t="s">
        <v>876</v>
      </c>
      <c r="Z149" s="3" t="s">
        <v>877</v>
      </c>
    </row>
    <row r="150" spans="2:26" ht="94.5">
      <c r="B150" s="69"/>
      <c r="C150" s="891"/>
      <c r="D150" s="891"/>
      <c r="E150" s="891"/>
      <c r="F150" s="891"/>
      <c r="G150" s="891"/>
      <c r="H150" s="69"/>
      <c r="I150" s="891"/>
      <c r="J150" s="3">
        <v>1.22</v>
      </c>
      <c r="K150" s="3" t="s">
        <v>773</v>
      </c>
      <c r="L150" s="3">
        <v>16</v>
      </c>
      <c r="M150" s="3" t="s">
        <v>104</v>
      </c>
      <c r="N150" s="3" t="s">
        <v>878</v>
      </c>
      <c r="O150" s="31" t="s">
        <v>701</v>
      </c>
      <c r="P150" s="34">
        <v>12</v>
      </c>
      <c r="Q150" s="34">
        <v>12</v>
      </c>
      <c r="R150" s="34">
        <v>28</v>
      </c>
      <c r="S150" s="34">
        <v>34</v>
      </c>
      <c r="T150" s="34">
        <v>50</v>
      </c>
      <c r="U150" s="34">
        <v>65</v>
      </c>
      <c r="V150" s="34">
        <v>80</v>
      </c>
      <c r="W150" s="34">
        <v>80</v>
      </c>
      <c r="X150" s="3" t="s">
        <v>873</v>
      </c>
      <c r="Y150" s="3" t="s">
        <v>879</v>
      </c>
      <c r="Z150" s="3"/>
    </row>
    <row r="151" spans="2:26" ht="78.75">
      <c r="B151" s="69"/>
      <c r="C151" s="891"/>
      <c r="D151" s="891"/>
      <c r="E151" s="891"/>
      <c r="F151" s="891"/>
      <c r="G151" s="891"/>
      <c r="H151" s="69"/>
      <c r="I151" s="891"/>
      <c r="J151" s="3">
        <v>1.22</v>
      </c>
      <c r="K151" s="3" t="s">
        <v>773</v>
      </c>
      <c r="L151" s="3">
        <v>15</v>
      </c>
      <c r="M151" s="3" t="s">
        <v>880</v>
      </c>
      <c r="N151" s="3" t="s">
        <v>4379</v>
      </c>
      <c r="O151" s="31" t="s">
        <v>701</v>
      </c>
      <c r="P151" s="31">
        <v>17.79</v>
      </c>
      <c r="Q151" s="31" t="s">
        <v>4476</v>
      </c>
      <c r="R151" s="31">
        <v>15.6</v>
      </c>
      <c r="S151" s="31">
        <v>14.4</v>
      </c>
      <c r="T151" s="34">
        <v>13.3</v>
      </c>
      <c r="U151" s="34">
        <v>12.2</v>
      </c>
      <c r="V151" s="34">
        <v>11</v>
      </c>
      <c r="W151" s="34">
        <v>11</v>
      </c>
      <c r="X151" s="3" t="s">
        <v>873</v>
      </c>
      <c r="Y151" s="3" t="s">
        <v>881</v>
      </c>
      <c r="Z151" s="3" t="s">
        <v>882</v>
      </c>
    </row>
    <row r="152" spans="2:26" ht="94.5">
      <c r="B152" s="69"/>
      <c r="C152" s="891"/>
      <c r="D152" s="891"/>
      <c r="E152" s="891"/>
      <c r="F152" s="891"/>
      <c r="G152" s="891"/>
      <c r="H152" s="69"/>
      <c r="I152" s="891"/>
      <c r="J152" s="3">
        <v>1.22</v>
      </c>
      <c r="K152" s="3" t="s">
        <v>773</v>
      </c>
      <c r="L152" s="3">
        <v>15</v>
      </c>
      <c r="M152" s="3" t="s">
        <v>880</v>
      </c>
      <c r="N152" s="3" t="s">
        <v>883</v>
      </c>
      <c r="O152" s="31" t="s">
        <v>701</v>
      </c>
      <c r="P152" s="34">
        <v>5</v>
      </c>
      <c r="Q152" s="34">
        <v>9</v>
      </c>
      <c r="R152" s="34">
        <v>14</v>
      </c>
      <c r="S152" s="34">
        <v>19</v>
      </c>
      <c r="T152" s="34">
        <v>23</v>
      </c>
      <c r="U152" s="34">
        <v>28</v>
      </c>
      <c r="V152" s="34">
        <v>33</v>
      </c>
      <c r="W152" s="34">
        <v>37</v>
      </c>
      <c r="X152" s="3" t="s">
        <v>873</v>
      </c>
      <c r="Y152" s="3" t="s">
        <v>884</v>
      </c>
      <c r="Z152" s="3"/>
    </row>
    <row r="153" spans="2:26" ht="63">
      <c r="B153" s="69"/>
      <c r="C153" s="891"/>
      <c r="D153" s="891"/>
      <c r="E153" s="891"/>
      <c r="F153" s="891"/>
      <c r="G153" s="891"/>
      <c r="H153" s="69"/>
      <c r="I153" s="891"/>
      <c r="J153" s="3">
        <v>1.22</v>
      </c>
      <c r="K153" s="3" t="s">
        <v>773</v>
      </c>
      <c r="L153" s="3">
        <v>15</v>
      </c>
      <c r="M153" s="3" t="s">
        <v>880</v>
      </c>
      <c r="N153" s="3" t="s">
        <v>885</v>
      </c>
      <c r="O153" s="31" t="s">
        <v>701</v>
      </c>
      <c r="P153" s="34">
        <v>0.12</v>
      </c>
      <c r="Q153" s="34">
        <v>0.24</v>
      </c>
      <c r="R153" s="34">
        <v>0.26</v>
      </c>
      <c r="S153" s="34">
        <v>0.26</v>
      </c>
      <c r="T153" s="34">
        <v>0.26</v>
      </c>
      <c r="U153" s="34">
        <v>0.26</v>
      </c>
      <c r="V153" s="34">
        <v>1.26</v>
      </c>
      <c r="W153" s="34">
        <v>1.35</v>
      </c>
      <c r="X153" s="3" t="s">
        <v>873</v>
      </c>
      <c r="Y153" s="3" t="s">
        <v>886</v>
      </c>
      <c r="Z153" s="3" t="s">
        <v>887</v>
      </c>
    </row>
    <row r="154" spans="2:26" ht="94.5">
      <c r="B154" s="69"/>
      <c r="C154" s="891"/>
      <c r="D154" s="891"/>
      <c r="E154" s="891"/>
      <c r="F154" s="891"/>
      <c r="G154" s="891"/>
      <c r="H154" s="69"/>
      <c r="I154" s="891"/>
      <c r="J154" s="3">
        <v>1.22</v>
      </c>
      <c r="K154" s="3" t="s">
        <v>773</v>
      </c>
      <c r="L154" s="3">
        <v>17</v>
      </c>
      <c r="M154" s="3" t="s">
        <v>874</v>
      </c>
      <c r="N154" s="3" t="s">
        <v>888</v>
      </c>
      <c r="O154" s="31" t="s">
        <v>701</v>
      </c>
      <c r="P154" s="34">
        <v>20</v>
      </c>
      <c r="Q154" s="34">
        <v>20</v>
      </c>
      <c r="R154" s="34">
        <v>20</v>
      </c>
      <c r="S154" s="34">
        <v>20</v>
      </c>
      <c r="T154" s="34">
        <v>20</v>
      </c>
      <c r="U154" s="34">
        <v>20</v>
      </c>
      <c r="V154" s="34">
        <v>20</v>
      </c>
      <c r="W154" s="34">
        <v>20</v>
      </c>
      <c r="X154" s="3" t="s">
        <v>873</v>
      </c>
      <c r="Y154" s="3" t="s">
        <v>889</v>
      </c>
      <c r="Z154" s="3"/>
    </row>
    <row r="155" spans="2:26" ht="110.25">
      <c r="B155" s="77"/>
      <c r="C155" s="892"/>
      <c r="D155" s="892"/>
      <c r="E155" s="892"/>
      <c r="F155" s="892"/>
      <c r="G155" s="892"/>
      <c r="H155" s="77"/>
      <c r="I155" s="892"/>
      <c r="J155" s="3">
        <v>1.22</v>
      </c>
      <c r="K155" s="3" t="s">
        <v>773</v>
      </c>
      <c r="L155" s="3">
        <v>18</v>
      </c>
      <c r="M155" s="3" t="s">
        <v>890</v>
      </c>
      <c r="N155" s="3" t="s">
        <v>891</v>
      </c>
      <c r="O155" s="31" t="s">
        <v>701</v>
      </c>
      <c r="P155" s="34">
        <v>0</v>
      </c>
      <c r="Q155" s="34">
        <v>48</v>
      </c>
      <c r="R155" s="34">
        <v>69</v>
      </c>
      <c r="S155" s="34">
        <v>87</v>
      </c>
      <c r="T155" s="34">
        <v>100</v>
      </c>
      <c r="U155" s="34">
        <v>100</v>
      </c>
      <c r="V155" s="34">
        <v>100</v>
      </c>
      <c r="W155" s="34">
        <v>100</v>
      </c>
      <c r="X155" s="3" t="s">
        <v>873</v>
      </c>
      <c r="Y155" s="3" t="s">
        <v>892</v>
      </c>
      <c r="Z155" s="3"/>
    </row>
    <row r="156" spans="2:26" ht="78.75">
      <c r="B156" s="37" t="s">
        <v>17</v>
      </c>
      <c r="C156" s="890">
        <v>6</v>
      </c>
      <c r="D156" s="890" t="s">
        <v>893</v>
      </c>
      <c r="E156" s="890">
        <v>9</v>
      </c>
      <c r="F156" s="890" t="s">
        <v>894</v>
      </c>
      <c r="G156" s="890" t="s">
        <v>895</v>
      </c>
      <c r="H156" s="890" t="s">
        <v>828</v>
      </c>
      <c r="I156" s="890" t="s">
        <v>4936</v>
      </c>
      <c r="J156" s="3"/>
      <c r="K156" s="3"/>
      <c r="L156" s="3"/>
      <c r="M156" s="3"/>
      <c r="N156" s="3"/>
      <c r="O156" s="31"/>
      <c r="P156" s="31"/>
      <c r="Q156" s="31"/>
      <c r="R156" s="31"/>
      <c r="S156" s="31"/>
      <c r="T156" s="31"/>
      <c r="U156" s="31"/>
      <c r="V156" s="31"/>
      <c r="W156" s="31"/>
      <c r="X156" s="3"/>
      <c r="Y156" s="3"/>
      <c r="Z156" s="3"/>
    </row>
    <row r="157" spans="2:26" ht="63">
      <c r="B157" s="77"/>
      <c r="C157" s="892"/>
      <c r="D157" s="892"/>
      <c r="E157" s="892"/>
      <c r="F157" s="892"/>
      <c r="G157" s="892"/>
      <c r="H157" s="77"/>
      <c r="I157" s="892"/>
      <c r="J157" s="95">
        <v>2.08</v>
      </c>
      <c r="K157" s="3" t="s">
        <v>773</v>
      </c>
      <c r="L157" s="3">
        <v>15</v>
      </c>
      <c r="M157" s="19" t="s">
        <v>142</v>
      </c>
      <c r="N157" s="3" t="s">
        <v>896</v>
      </c>
      <c r="O157" s="31" t="s">
        <v>701</v>
      </c>
      <c r="P157" s="34">
        <v>80</v>
      </c>
      <c r="Q157" s="34">
        <v>80</v>
      </c>
      <c r="R157" s="34">
        <v>80</v>
      </c>
      <c r="S157" s="34">
        <v>80</v>
      </c>
      <c r="T157" s="34">
        <v>80</v>
      </c>
      <c r="U157" s="34">
        <v>80</v>
      </c>
      <c r="V157" s="34">
        <v>80</v>
      </c>
      <c r="W157" s="34">
        <v>80</v>
      </c>
      <c r="X157" s="3" t="s">
        <v>843</v>
      </c>
      <c r="Y157" s="3" t="s">
        <v>897</v>
      </c>
      <c r="Z157" s="3"/>
    </row>
    <row r="158" spans="2:26" ht="126">
      <c r="B158" s="37" t="s">
        <v>898</v>
      </c>
      <c r="C158" s="3">
        <v>7</v>
      </c>
      <c r="D158" s="3" t="s">
        <v>899</v>
      </c>
      <c r="E158" s="3">
        <v>10</v>
      </c>
      <c r="F158" s="3" t="s">
        <v>900</v>
      </c>
      <c r="G158" s="3" t="s">
        <v>901</v>
      </c>
      <c r="H158" s="3" t="s">
        <v>902</v>
      </c>
      <c r="I158" s="3" t="s">
        <v>4937</v>
      </c>
      <c r="J158" s="3"/>
      <c r="K158" s="3"/>
      <c r="L158" s="3"/>
      <c r="M158" s="3"/>
      <c r="N158" s="3"/>
      <c r="O158" s="31"/>
      <c r="P158" s="31"/>
      <c r="Q158" s="31"/>
      <c r="R158" s="31"/>
      <c r="S158" s="31"/>
      <c r="T158" s="31"/>
      <c r="U158" s="31"/>
      <c r="V158" s="31"/>
      <c r="W158" s="31"/>
      <c r="X158" s="3"/>
      <c r="Y158" s="3"/>
      <c r="Z158" s="3"/>
    </row>
    <row r="159" spans="2:26" ht="189">
      <c r="B159" s="69"/>
      <c r="C159" s="890"/>
      <c r="D159" s="890"/>
      <c r="E159" s="890"/>
      <c r="F159" s="890"/>
      <c r="G159" s="890"/>
      <c r="H159" s="37"/>
      <c r="I159" s="890"/>
      <c r="J159" s="535">
        <v>1.1100000000000001</v>
      </c>
      <c r="K159" s="535" t="s">
        <v>773</v>
      </c>
      <c r="L159" s="535">
        <v>15</v>
      </c>
      <c r="M159" s="1179" t="s">
        <v>1818</v>
      </c>
      <c r="N159" s="3" t="s">
        <v>903</v>
      </c>
      <c r="O159" s="31" t="s">
        <v>701</v>
      </c>
      <c r="P159" s="31">
        <v>88</v>
      </c>
      <c r="Q159" s="31">
        <v>90</v>
      </c>
      <c r="R159" s="31">
        <v>100</v>
      </c>
      <c r="S159" s="31">
        <v>100</v>
      </c>
      <c r="T159" s="31">
        <v>100</v>
      </c>
      <c r="U159" s="31">
        <v>100</v>
      </c>
      <c r="V159" s="31">
        <v>100</v>
      </c>
      <c r="W159" s="31">
        <v>100</v>
      </c>
      <c r="X159" s="3" t="s">
        <v>904</v>
      </c>
      <c r="Y159" s="3" t="s">
        <v>905</v>
      </c>
      <c r="Z159" s="3"/>
    </row>
    <row r="160" spans="2:26" ht="173.25">
      <c r="B160" s="69"/>
      <c r="C160" s="891"/>
      <c r="D160" s="891"/>
      <c r="E160" s="891"/>
      <c r="F160" s="891"/>
      <c r="G160" s="891"/>
      <c r="H160" s="69"/>
      <c r="I160" s="891"/>
      <c r="J160" s="536"/>
      <c r="K160" s="536"/>
      <c r="L160" s="536"/>
      <c r="M160" s="1180"/>
      <c r="N160" s="3" t="s">
        <v>906</v>
      </c>
      <c r="O160" s="31" t="s">
        <v>701</v>
      </c>
      <c r="P160" s="31">
        <v>100</v>
      </c>
      <c r="Q160" s="31">
        <v>100</v>
      </c>
      <c r="R160" s="31">
        <v>100</v>
      </c>
      <c r="S160" s="31">
        <v>100</v>
      </c>
      <c r="T160" s="31">
        <v>100</v>
      </c>
      <c r="U160" s="31">
        <v>100</v>
      </c>
      <c r="V160" s="31">
        <v>100</v>
      </c>
      <c r="W160" s="31">
        <v>100</v>
      </c>
      <c r="X160" s="3" t="s">
        <v>904</v>
      </c>
      <c r="Y160" s="3" t="s">
        <v>907</v>
      </c>
      <c r="Z160" s="3"/>
    </row>
    <row r="161" spans="2:26" ht="189">
      <c r="B161" s="69"/>
      <c r="C161" s="891"/>
      <c r="D161" s="891"/>
      <c r="E161" s="891"/>
      <c r="F161" s="891"/>
      <c r="G161" s="891"/>
      <c r="H161" s="69"/>
      <c r="I161" s="891"/>
      <c r="J161" s="536"/>
      <c r="K161" s="536"/>
      <c r="L161" s="536"/>
      <c r="M161" s="1180"/>
      <c r="N161" s="3" t="s">
        <v>908</v>
      </c>
      <c r="O161" s="31" t="s">
        <v>701</v>
      </c>
      <c r="P161" s="31">
        <v>75</v>
      </c>
      <c r="Q161" s="31">
        <v>80</v>
      </c>
      <c r="R161" s="31">
        <v>85</v>
      </c>
      <c r="S161" s="31">
        <v>85</v>
      </c>
      <c r="T161" s="31">
        <v>85</v>
      </c>
      <c r="U161" s="31">
        <v>85</v>
      </c>
      <c r="V161" s="31">
        <v>90</v>
      </c>
      <c r="W161" s="31">
        <v>90</v>
      </c>
      <c r="X161" s="3" t="s">
        <v>904</v>
      </c>
      <c r="Y161" s="3" t="s">
        <v>909</v>
      </c>
      <c r="Z161" s="3"/>
    </row>
    <row r="162" spans="2:26" ht="189">
      <c r="B162" s="69"/>
      <c r="C162" s="891"/>
      <c r="D162" s="891"/>
      <c r="E162" s="891"/>
      <c r="F162" s="891"/>
      <c r="G162" s="891"/>
      <c r="H162" s="69"/>
      <c r="I162" s="891"/>
      <c r="J162" s="536"/>
      <c r="K162" s="536"/>
      <c r="L162" s="536"/>
      <c r="M162" s="1180"/>
      <c r="N162" s="3" t="s">
        <v>910</v>
      </c>
      <c r="O162" s="31" t="s">
        <v>701</v>
      </c>
      <c r="P162" s="31">
        <v>60</v>
      </c>
      <c r="Q162" s="31">
        <v>60</v>
      </c>
      <c r="R162" s="31">
        <v>70</v>
      </c>
      <c r="S162" s="31">
        <v>70</v>
      </c>
      <c r="T162" s="31">
        <v>75</v>
      </c>
      <c r="U162" s="31">
        <v>75</v>
      </c>
      <c r="V162" s="31">
        <v>80</v>
      </c>
      <c r="W162" s="31">
        <v>80</v>
      </c>
      <c r="X162" s="3" t="s">
        <v>904</v>
      </c>
      <c r="Y162" s="3" t="s">
        <v>911</v>
      </c>
      <c r="Z162" s="3"/>
    </row>
    <row r="163" spans="2:26" ht="126">
      <c r="B163" s="69"/>
      <c r="C163" s="891"/>
      <c r="D163" s="891"/>
      <c r="E163" s="891"/>
      <c r="F163" s="891"/>
      <c r="G163" s="891"/>
      <c r="H163" s="69"/>
      <c r="I163" s="891"/>
      <c r="J163" s="536"/>
      <c r="K163" s="536"/>
      <c r="L163" s="536"/>
      <c r="M163" s="1180"/>
      <c r="N163" s="3" t="s">
        <v>912</v>
      </c>
      <c r="O163" s="31" t="s">
        <v>701</v>
      </c>
      <c r="P163" s="31">
        <v>25</v>
      </c>
      <c r="Q163" s="31">
        <v>25</v>
      </c>
      <c r="R163" s="31">
        <v>25</v>
      </c>
      <c r="S163" s="31">
        <v>25</v>
      </c>
      <c r="T163" s="31">
        <v>25</v>
      </c>
      <c r="U163" s="31">
        <v>25</v>
      </c>
      <c r="V163" s="31">
        <v>25</v>
      </c>
      <c r="W163" s="31">
        <v>25</v>
      </c>
      <c r="X163" s="3" t="s">
        <v>904</v>
      </c>
      <c r="Y163" s="3" t="s">
        <v>913</v>
      </c>
      <c r="Z163" s="3"/>
    </row>
    <row r="164" spans="2:26" ht="126">
      <c r="B164" s="69"/>
      <c r="C164" s="891"/>
      <c r="D164" s="891"/>
      <c r="E164" s="891"/>
      <c r="F164" s="891"/>
      <c r="G164" s="891"/>
      <c r="H164" s="69"/>
      <c r="I164" s="891"/>
      <c r="J164" s="536"/>
      <c r="K164" s="536"/>
      <c r="L164" s="536"/>
      <c r="M164" s="1180"/>
      <c r="N164" s="3" t="s">
        <v>914</v>
      </c>
      <c r="O164" s="31" t="s">
        <v>701</v>
      </c>
      <c r="P164" s="31">
        <v>90</v>
      </c>
      <c r="Q164" s="31">
        <v>94</v>
      </c>
      <c r="R164" s="31">
        <v>98</v>
      </c>
      <c r="S164" s="31">
        <v>98</v>
      </c>
      <c r="T164" s="31">
        <v>98</v>
      </c>
      <c r="U164" s="31">
        <v>98</v>
      </c>
      <c r="V164" s="31">
        <v>98</v>
      </c>
      <c r="W164" s="31">
        <v>98</v>
      </c>
      <c r="X164" s="3" t="s">
        <v>904</v>
      </c>
      <c r="Y164" s="3" t="s">
        <v>915</v>
      </c>
      <c r="Z164" s="3"/>
    </row>
    <row r="165" spans="2:26" ht="126">
      <c r="B165" s="69"/>
      <c r="C165" s="891"/>
      <c r="D165" s="891"/>
      <c r="E165" s="891"/>
      <c r="F165" s="891"/>
      <c r="G165" s="891"/>
      <c r="H165" s="69"/>
      <c r="I165" s="891"/>
      <c r="J165" s="536"/>
      <c r="K165" s="536"/>
      <c r="L165" s="536"/>
      <c r="M165" s="1180"/>
      <c r="N165" s="3" t="s">
        <v>916</v>
      </c>
      <c r="O165" s="31" t="s">
        <v>701</v>
      </c>
      <c r="P165" s="31">
        <v>80</v>
      </c>
      <c r="Q165" s="31">
        <v>80</v>
      </c>
      <c r="R165" s="31">
        <v>84</v>
      </c>
      <c r="S165" s="31">
        <v>84</v>
      </c>
      <c r="T165" s="31">
        <v>86</v>
      </c>
      <c r="U165" s="31">
        <v>86</v>
      </c>
      <c r="V165" s="31">
        <v>86</v>
      </c>
      <c r="W165" s="31">
        <v>86</v>
      </c>
      <c r="X165" s="3" t="s">
        <v>904</v>
      </c>
      <c r="Y165" s="3" t="s">
        <v>917</v>
      </c>
      <c r="Z165" s="3"/>
    </row>
    <row r="166" spans="2:26" ht="126">
      <c r="B166" s="69"/>
      <c r="C166" s="891"/>
      <c r="D166" s="891"/>
      <c r="E166" s="891"/>
      <c r="F166" s="891"/>
      <c r="G166" s="891"/>
      <c r="H166" s="69"/>
      <c r="I166" s="891"/>
      <c r="J166" s="536"/>
      <c r="K166" s="536"/>
      <c r="L166" s="536"/>
      <c r="M166" s="1180"/>
      <c r="N166" s="3" t="s">
        <v>918</v>
      </c>
      <c r="O166" s="31" t="s">
        <v>701</v>
      </c>
      <c r="P166" s="31">
        <v>40</v>
      </c>
      <c r="Q166" s="31">
        <v>40</v>
      </c>
      <c r="R166" s="31">
        <v>50</v>
      </c>
      <c r="S166" s="31">
        <v>50</v>
      </c>
      <c r="T166" s="31">
        <v>50</v>
      </c>
      <c r="U166" s="31">
        <v>50</v>
      </c>
      <c r="V166" s="31">
        <v>50</v>
      </c>
      <c r="W166" s="31">
        <v>50</v>
      </c>
      <c r="X166" s="3" t="s">
        <v>904</v>
      </c>
      <c r="Y166" s="3" t="s">
        <v>919</v>
      </c>
      <c r="Z166" s="3"/>
    </row>
    <row r="167" spans="2:26" ht="94.5">
      <c r="B167" s="69"/>
      <c r="C167" s="892"/>
      <c r="D167" s="892"/>
      <c r="E167" s="892"/>
      <c r="F167" s="892"/>
      <c r="G167" s="892"/>
      <c r="H167" s="77"/>
      <c r="I167" s="892"/>
      <c r="J167" s="537"/>
      <c r="K167" s="537"/>
      <c r="L167" s="537"/>
      <c r="M167" s="1181"/>
      <c r="N167" s="3" t="s">
        <v>920</v>
      </c>
      <c r="O167" s="31" t="s">
        <v>921</v>
      </c>
      <c r="P167" s="32" t="s">
        <v>1953</v>
      </c>
      <c r="Q167" s="32" t="s">
        <v>1954</v>
      </c>
      <c r="R167" s="32" t="s">
        <v>1954</v>
      </c>
      <c r="S167" s="32" t="s">
        <v>1955</v>
      </c>
      <c r="T167" s="32" t="s">
        <v>1955</v>
      </c>
      <c r="U167" s="32" t="s">
        <v>1958</v>
      </c>
      <c r="V167" s="32" t="s">
        <v>1958</v>
      </c>
      <c r="W167" s="32" t="s">
        <v>1958</v>
      </c>
      <c r="X167" s="3" t="s">
        <v>904</v>
      </c>
      <c r="Y167" s="3" t="s">
        <v>922</v>
      </c>
      <c r="Z167" s="3"/>
    </row>
    <row r="168" spans="2:26" ht="141.75">
      <c r="B168" s="69"/>
      <c r="C168" s="890">
        <v>8</v>
      </c>
      <c r="D168" s="890" t="s">
        <v>923</v>
      </c>
      <c r="E168" s="3">
        <v>11</v>
      </c>
      <c r="F168" s="3" t="s">
        <v>924</v>
      </c>
      <c r="G168" s="3" t="s">
        <v>925</v>
      </c>
      <c r="H168" s="3" t="s">
        <v>902</v>
      </c>
      <c r="I168" s="3" t="s">
        <v>4938</v>
      </c>
      <c r="J168" s="535">
        <v>1.1100000000000001</v>
      </c>
      <c r="K168" s="535" t="s">
        <v>773</v>
      </c>
      <c r="L168" s="535">
        <v>16</v>
      </c>
      <c r="M168" s="1176" t="s">
        <v>1819</v>
      </c>
      <c r="N168" s="3" t="s">
        <v>926</v>
      </c>
      <c r="O168" s="31" t="s">
        <v>701</v>
      </c>
      <c r="P168" s="31" t="s">
        <v>1956</v>
      </c>
      <c r="Q168" s="31" t="s">
        <v>1957</v>
      </c>
      <c r="R168" s="31">
        <v>30</v>
      </c>
      <c r="S168" s="31">
        <v>40</v>
      </c>
      <c r="T168" s="31">
        <v>50</v>
      </c>
      <c r="U168" s="31">
        <v>60</v>
      </c>
      <c r="V168" s="31">
        <v>70</v>
      </c>
      <c r="W168" s="31">
        <v>70</v>
      </c>
      <c r="X168" s="3" t="s">
        <v>904</v>
      </c>
      <c r="Y168" s="3" t="s">
        <v>1959</v>
      </c>
      <c r="Z168" s="3"/>
    </row>
    <row r="169" spans="2:26" ht="126">
      <c r="B169" s="69"/>
      <c r="C169" s="891"/>
      <c r="D169" s="891"/>
      <c r="E169" s="890">
        <v>12</v>
      </c>
      <c r="F169" s="890" t="s">
        <v>927</v>
      </c>
      <c r="G169" s="890" t="s">
        <v>928</v>
      </c>
      <c r="H169" s="890" t="s">
        <v>902</v>
      </c>
      <c r="I169" s="890" t="s">
        <v>4939</v>
      </c>
      <c r="J169" s="536"/>
      <c r="K169" s="536"/>
      <c r="L169" s="536"/>
      <c r="M169" s="1177"/>
      <c r="N169" s="3"/>
      <c r="O169" s="31"/>
      <c r="P169" s="31"/>
      <c r="Q169" s="31"/>
      <c r="R169" s="31"/>
      <c r="S169" s="31"/>
      <c r="T169" s="31"/>
      <c r="U169" s="31"/>
      <c r="V169" s="31"/>
      <c r="W169" s="31"/>
      <c r="X169" s="3"/>
      <c r="Y169" s="3"/>
      <c r="Z169" s="3"/>
    </row>
    <row r="170" spans="2:26" ht="94.5">
      <c r="B170" s="69"/>
      <c r="C170" s="891"/>
      <c r="D170" s="891"/>
      <c r="E170" s="891"/>
      <c r="F170" s="891"/>
      <c r="G170" s="891"/>
      <c r="H170" s="69"/>
      <c r="I170" s="891"/>
      <c r="J170" s="536"/>
      <c r="K170" s="536"/>
      <c r="L170" s="536"/>
      <c r="M170" s="1177"/>
      <c r="N170" s="892" t="s">
        <v>929</v>
      </c>
      <c r="O170" s="31" t="s">
        <v>701</v>
      </c>
      <c r="P170" s="31">
        <v>60</v>
      </c>
      <c r="Q170" s="31">
        <v>66</v>
      </c>
      <c r="R170" s="31">
        <v>70</v>
      </c>
      <c r="S170" s="31">
        <v>75</v>
      </c>
      <c r="T170" s="31">
        <v>80</v>
      </c>
      <c r="U170" s="31">
        <v>85</v>
      </c>
      <c r="V170" s="31">
        <v>90</v>
      </c>
      <c r="W170" s="31">
        <v>95</v>
      </c>
      <c r="X170" s="3" t="s">
        <v>904</v>
      </c>
      <c r="Y170" s="3" t="s">
        <v>930</v>
      </c>
      <c r="Z170" s="3"/>
    </row>
    <row r="171" spans="2:26" ht="157.5">
      <c r="B171" s="69"/>
      <c r="C171" s="891"/>
      <c r="D171" s="891"/>
      <c r="E171" s="891"/>
      <c r="F171" s="891"/>
      <c r="G171" s="891"/>
      <c r="H171" s="69"/>
      <c r="I171" s="891"/>
      <c r="J171" s="536"/>
      <c r="K171" s="536"/>
      <c r="L171" s="536"/>
      <c r="M171" s="1177"/>
      <c r="N171" s="3" t="s">
        <v>931</v>
      </c>
      <c r="O171" s="31" t="s">
        <v>701</v>
      </c>
      <c r="P171" s="31">
        <v>60</v>
      </c>
      <c r="Q171" s="31">
        <v>60</v>
      </c>
      <c r="R171" s="31">
        <v>70</v>
      </c>
      <c r="S171" s="31">
        <v>70</v>
      </c>
      <c r="T171" s="31">
        <v>75</v>
      </c>
      <c r="U171" s="31">
        <v>75</v>
      </c>
      <c r="V171" s="31">
        <v>80</v>
      </c>
      <c r="W171" s="31">
        <v>80</v>
      </c>
      <c r="X171" s="3" t="s">
        <v>904</v>
      </c>
      <c r="Y171" s="3" t="s">
        <v>932</v>
      </c>
      <c r="Z171" s="3"/>
    </row>
    <row r="172" spans="2:26" ht="94.5">
      <c r="B172" s="69"/>
      <c r="C172" s="891"/>
      <c r="D172" s="891"/>
      <c r="E172" s="891"/>
      <c r="F172" s="891"/>
      <c r="G172" s="891"/>
      <c r="H172" s="69"/>
      <c r="I172" s="891"/>
      <c r="J172" s="536"/>
      <c r="K172" s="536"/>
      <c r="L172" s="536"/>
      <c r="M172" s="1177"/>
      <c r="N172" s="3" t="s">
        <v>933</v>
      </c>
      <c r="O172" s="31" t="s">
        <v>701</v>
      </c>
      <c r="P172" s="31">
        <v>60</v>
      </c>
      <c r="Q172" s="31">
        <v>60</v>
      </c>
      <c r="R172" s="31">
        <v>70</v>
      </c>
      <c r="S172" s="31">
        <v>70</v>
      </c>
      <c r="T172" s="31">
        <v>75</v>
      </c>
      <c r="U172" s="31">
        <v>75</v>
      </c>
      <c r="V172" s="31">
        <v>80</v>
      </c>
      <c r="W172" s="31">
        <v>80</v>
      </c>
      <c r="X172" s="3" t="s">
        <v>904</v>
      </c>
      <c r="Y172" s="3" t="s">
        <v>934</v>
      </c>
      <c r="Z172" s="3"/>
    </row>
    <row r="173" spans="2:26" ht="157.5">
      <c r="B173" s="69"/>
      <c r="C173" s="891"/>
      <c r="D173" s="891"/>
      <c r="E173" s="891"/>
      <c r="F173" s="891"/>
      <c r="G173" s="891"/>
      <c r="H173" s="69"/>
      <c r="I173" s="891"/>
      <c r="J173" s="536"/>
      <c r="K173" s="536"/>
      <c r="L173" s="536"/>
      <c r="M173" s="1177"/>
      <c r="N173" s="3" t="s">
        <v>935</v>
      </c>
      <c r="O173" s="31" t="s">
        <v>701</v>
      </c>
      <c r="P173" s="31">
        <v>70</v>
      </c>
      <c r="Q173" s="31">
        <v>70</v>
      </c>
      <c r="R173" s="31">
        <v>75</v>
      </c>
      <c r="S173" s="31">
        <v>75</v>
      </c>
      <c r="T173" s="31">
        <v>80</v>
      </c>
      <c r="U173" s="31">
        <v>80</v>
      </c>
      <c r="V173" s="31">
        <v>85</v>
      </c>
      <c r="W173" s="31">
        <v>85</v>
      </c>
      <c r="X173" s="3" t="s">
        <v>904</v>
      </c>
      <c r="Y173" s="3" t="s">
        <v>936</v>
      </c>
      <c r="Z173" s="3"/>
    </row>
    <row r="174" spans="2:26" ht="94.5">
      <c r="B174" s="69"/>
      <c r="C174" s="891"/>
      <c r="D174" s="891"/>
      <c r="E174" s="892"/>
      <c r="F174" s="892"/>
      <c r="G174" s="892"/>
      <c r="H174" s="77"/>
      <c r="I174" s="892"/>
      <c r="J174" s="537"/>
      <c r="K174" s="537"/>
      <c r="L174" s="537"/>
      <c r="M174" s="1178"/>
      <c r="N174" s="3" t="s">
        <v>937</v>
      </c>
      <c r="O174" s="31" t="s">
        <v>701</v>
      </c>
      <c r="P174" s="31">
        <v>55</v>
      </c>
      <c r="Q174" s="31">
        <v>55</v>
      </c>
      <c r="R174" s="31">
        <v>60</v>
      </c>
      <c r="S174" s="31">
        <v>60</v>
      </c>
      <c r="T174" s="31">
        <v>65</v>
      </c>
      <c r="U174" s="31">
        <v>65</v>
      </c>
      <c r="V174" s="31">
        <v>70</v>
      </c>
      <c r="W174" s="31">
        <v>70</v>
      </c>
      <c r="X174" s="3" t="s">
        <v>904</v>
      </c>
      <c r="Y174" s="3" t="s">
        <v>938</v>
      </c>
      <c r="Z174" s="3"/>
    </row>
    <row r="175" spans="2:26" ht="126">
      <c r="B175" s="37" t="s">
        <v>15</v>
      </c>
      <c r="C175" s="890">
        <v>9</v>
      </c>
      <c r="D175" s="890" t="s">
        <v>939</v>
      </c>
      <c r="E175" s="890">
        <v>13</v>
      </c>
      <c r="F175" s="890" t="s">
        <v>940</v>
      </c>
      <c r="G175" s="890" t="s">
        <v>941</v>
      </c>
      <c r="H175" s="890" t="s">
        <v>902</v>
      </c>
      <c r="I175" s="890" t="s">
        <v>4942</v>
      </c>
      <c r="J175" s="3"/>
      <c r="K175" s="3"/>
      <c r="L175" s="3"/>
      <c r="M175" s="3"/>
      <c r="N175" s="3"/>
      <c r="O175" s="31"/>
      <c r="P175" s="31"/>
      <c r="Q175" s="31"/>
      <c r="R175" s="31"/>
      <c r="S175" s="31"/>
      <c r="T175" s="31"/>
      <c r="U175" s="31"/>
      <c r="V175" s="31"/>
      <c r="W175" s="31"/>
      <c r="X175" s="3"/>
      <c r="Y175" s="3"/>
      <c r="Z175" s="3"/>
    </row>
    <row r="176" spans="2:26" ht="141.75">
      <c r="B176" s="69"/>
      <c r="C176" s="891"/>
      <c r="D176" s="891"/>
      <c r="E176" s="891"/>
      <c r="F176" s="891"/>
      <c r="G176" s="891"/>
      <c r="H176" s="69"/>
      <c r="I176" s="891"/>
      <c r="J176" s="3">
        <v>1.18</v>
      </c>
      <c r="K176" s="3" t="s">
        <v>773</v>
      </c>
      <c r="L176" s="3">
        <v>20</v>
      </c>
      <c r="M176" s="19" t="s">
        <v>143</v>
      </c>
      <c r="N176" s="3" t="s">
        <v>942</v>
      </c>
      <c r="O176" s="31" t="s">
        <v>943</v>
      </c>
      <c r="P176" s="31">
        <v>9</v>
      </c>
      <c r="Q176" s="31">
        <v>9</v>
      </c>
      <c r="R176" s="31">
        <v>9</v>
      </c>
      <c r="S176" s="31">
        <v>10</v>
      </c>
      <c r="T176" s="31">
        <v>11</v>
      </c>
      <c r="U176" s="31">
        <v>12</v>
      </c>
      <c r="V176" s="31">
        <v>13</v>
      </c>
      <c r="W176" s="31">
        <v>13</v>
      </c>
      <c r="X176" s="3" t="s">
        <v>944</v>
      </c>
      <c r="Y176" s="3" t="s">
        <v>4319</v>
      </c>
      <c r="Z176" s="3" t="s">
        <v>945</v>
      </c>
    </row>
    <row r="177" spans="2:26" ht="63">
      <c r="B177" s="69"/>
      <c r="C177" s="891"/>
      <c r="D177" s="891"/>
      <c r="E177" s="890">
        <v>14</v>
      </c>
      <c r="F177" s="890" t="s">
        <v>946</v>
      </c>
      <c r="G177" s="890" t="s">
        <v>947</v>
      </c>
      <c r="H177" s="37"/>
      <c r="I177" s="890" t="s">
        <v>4941</v>
      </c>
      <c r="J177" s="890"/>
      <c r="K177" s="890"/>
      <c r="L177" s="890"/>
      <c r="M177" s="890"/>
      <c r="N177" s="890"/>
      <c r="O177" s="31"/>
      <c r="P177" s="31"/>
      <c r="Q177" s="31"/>
      <c r="R177" s="31"/>
      <c r="S177" s="31"/>
      <c r="T177" s="31"/>
      <c r="U177" s="31"/>
      <c r="V177" s="31"/>
      <c r="W177" s="31"/>
      <c r="X177" s="3"/>
      <c r="Y177" s="3"/>
      <c r="Z177" s="3"/>
    </row>
    <row r="178" spans="2:26" ht="78.75">
      <c r="B178" s="69"/>
      <c r="C178" s="891"/>
      <c r="D178" s="891"/>
      <c r="E178" s="891"/>
      <c r="F178" s="891"/>
      <c r="G178" s="891"/>
      <c r="H178" s="69"/>
      <c r="I178" s="891"/>
      <c r="J178" s="891">
        <v>1.18</v>
      </c>
      <c r="K178" s="891" t="s">
        <v>773</v>
      </c>
      <c r="L178" s="891">
        <v>21</v>
      </c>
      <c r="M178" s="899" t="s">
        <v>144</v>
      </c>
      <c r="N178" s="891" t="s">
        <v>2117</v>
      </c>
      <c r="O178" s="31" t="s">
        <v>701</v>
      </c>
      <c r="P178" s="474">
        <f>80/2004*100</f>
        <v>3.992015968063872</v>
      </c>
      <c r="Q178" s="474">
        <f>110/2004*100</f>
        <v>5.4890219560878242</v>
      </c>
      <c r="R178" s="474">
        <f>150/2004*100</f>
        <v>7.4850299401197598</v>
      </c>
      <c r="S178" s="474">
        <f>200/2004*100</f>
        <v>9.9800399201596814</v>
      </c>
      <c r="T178" s="474">
        <f>260/2004*100</f>
        <v>12.974051896207584</v>
      </c>
      <c r="U178" s="474">
        <f>330/2004*100</f>
        <v>16.467065868263472</v>
      </c>
      <c r="V178" s="474">
        <f>410/2004*100</f>
        <v>20.459081836327346</v>
      </c>
      <c r="W178" s="474">
        <f>410/2004*100</f>
        <v>20.459081836327346</v>
      </c>
      <c r="X178" s="3" t="s">
        <v>944</v>
      </c>
      <c r="Y178" s="3" t="s">
        <v>2118</v>
      </c>
      <c r="Z178" s="3" t="s">
        <v>2119</v>
      </c>
    </row>
    <row r="179" spans="2:26" ht="94.5">
      <c r="B179" s="69"/>
      <c r="C179" s="891"/>
      <c r="D179" s="891"/>
      <c r="E179" s="890">
        <v>15</v>
      </c>
      <c r="F179" s="890" t="s">
        <v>948</v>
      </c>
      <c r="G179" s="890" t="s">
        <v>949</v>
      </c>
      <c r="H179" s="37"/>
      <c r="I179" s="890" t="s">
        <v>4940</v>
      </c>
      <c r="J179" s="890"/>
      <c r="K179" s="890"/>
      <c r="L179" s="890"/>
      <c r="M179" s="890"/>
      <c r="N179" s="3"/>
      <c r="O179" s="31"/>
      <c r="P179" s="31"/>
      <c r="Q179" s="31"/>
      <c r="R179" s="31"/>
      <c r="S179" s="31"/>
      <c r="T179" s="31"/>
      <c r="U179" s="31"/>
      <c r="V179" s="31"/>
      <c r="W179" s="31"/>
      <c r="X179" s="3"/>
      <c r="Y179" s="3"/>
      <c r="Z179" s="3"/>
    </row>
    <row r="180" spans="2:26" ht="110.25">
      <c r="B180" s="69"/>
      <c r="C180" s="891"/>
      <c r="D180" s="891"/>
      <c r="E180" s="891"/>
      <c r="F180" s="891"/>
      <c r="G180" s="891"/>
      <c r="H180" s="69"/>
      <c r="I180" s="891"/>
      <c r="J180" s="891">
        <v>1.18</v>
      </c>
      <c r="K180" s="891" t="s">
        <v>773</v>
      </c>
      <c r="L180" s="891">
        <v>20</v>
      </c>
      <c r="M180" s="899" t="s">
        <v>143</v>
      </c>
      <c r="N180" s="3" t="s">
        <v>950</v>
      </c>
      <c r="O180" s="31" t="s">
        <v>951</v>
      </c>
      <c r="P180" s="31">
        <v>70</v>
      </c>
      <c r="Q180" s="31">
        <v>80</v>
      </c>
      <c r="R180" s="31">
        <v>80</v>
      </c>
      <c r="S180" s="31">
        <v>81</v>
      </c>
      <c r="T180" s="31">
        <v>80</v>
      </c>
      <c r="U180" s="31">
        <v>82</v>
      </c>
      <c r="V180" s="31">
        <v>85</v>
      </c>
      <c r="W180" s="31">
        <v>85</v>
      </c>
      <c r="X180" s="3" t="s">
        <v>944</v>
      </c>
      <c r="Y180" s="3" t="s">
        <v>952</v>
      </c>
      <c r="Z180" s="3" t="s">
        <v>953</v>
      </c>
    </row>
    <row r="181" spans="2:26" ht="63">
      <c r="B181" s="69"/>
      <c r="C181" s="891"/>
      <c r="D181" s="891"/>
      <c r="E181" s="891"/>
      <c r="F181" s="891"/>
      <c r="G181" s="891"/>
      <c r="H181" s="69"/>
      <c r="I181" s="891"/>
      <c r="J181" s="891"/>
      <c r="K181" s="891"/>
      <c r="L181" s="891"/>
      <c r="M181" s="899"/>
      <c r="N181" s="3" t="s">
        <v>2120</v>
      </c>
      <c r="O181" s="31" t="s">
        <v>2121</v>
      </c>
      <c r="P181" s="31">
        <v>71</v>
      </c>
      <c r="Q181" s="31">
        <v>65</v>
      </c>
      <c r="R181" s="31">
        <v>70</v>
      </c>
      <c r="S181" s="31">
        <v>75</v>
      </c>
      <c r="T181" s="31">
        <v>80</v>
      </c>
      <c r="U181" s="31">
        <v>85</v>
      </c>
      <c r="V181" s="31">
        <v>90</v>
      </c>
      <c r="W181" s="31">
        <v>90</v>
      </c>
      <c r="X181" s="3" t="s">
        <v>944</v>
      </c>
      <c r="Y181" s="3" t="s">
        <v>2122</v>
      </c>
      <c r="Z181" s="3" t="s">
        <v>2123</v>
      </c>
    </row>
    <row r="182" spans="2:26" ht="78.75">
      <c r="B182" s="77"/>
      <c r="C182" s="892"/>
      <c r="D182" s="892"/>
      <c r="E182" s="892"/>
      <c r="F182" s="892"/>
      <c r="G182" s="892"/>
      <c r="H182" s="77"/>
      <c r="I182" s="892"/>
      <c r="J182" s="892"/>
      <c r="K182" s="892"/>
      <c r="L182" s="892"/>
      <c r="M182" s="900"/>
      <c r="N182" s="3" t="s">
        <v>2124</v>
      </c>
      <c r="O182" s="31" t="s">
        <v>2125</v>
      </c>
      <c r="P182" s="31">
        <v>4</v>
      </c>
      <c r="Q182" s="31">
        <v>5</v>
      </c>
      <c r="R182" s="31">
        <v>5</v>
      </c>
      <c r="S182" s="31">
        <v>6</v>
      </c>
      <c r="T182" s="31">
        <v>6</v>
      </c>
      <c r="U182" s="31">
        <v>7</v>
      </c>
      <c r="V182" s="31">
        <v>7</v>
      </c>
      <c r="W182" s="31">
        <v>8</v>
      </c>
      <c r="X182" s="3" t="s">
        <v>944</v>
      </c>
      <c r="Y182" s="3" t="s">
        <v>2126</v>
      </c>
      <c r="Z182" s="3" t="s">
        <v>4320</v>
      </c>
    </row>
    <row r="183" spans="2:26" ht="78.75">
      <c r="B183" s="37" t="s">
        <v>14</v>
      </c>
      <c r="C183" s="890">
        <v>11</v>
      </c>
      <c r="D183" s="890" t="s">
        <v>956</v>
      </c>
      <c r="E183" s="890">
        <v>17</v>
      </c>
      <c r="F183" s="890" t="s">
        <v>957</v>
      </c>
      <c r="G183" s="890" t="s">
        <v>958</v>
      </c>
      <c r="H183" s="37" t="s">
        <v>954</v>
      </c>
      <c r="I183" s="890" t="s">
        <v>4943</v>
      </c>
      <c r="J183" s="890"/>
      <c r="K183" s="890"/>
      <c r="L183" s="890"/>
      <c r="M183" s="890"/>
      <c r="N183" s="3"/>
      <c r="O183" s="31"/>
      <c r="P183" s="31"/>
      <c r="Q183" s="31"/>
      <c r="R183" s="31"/>
      <c r="S183" s="31"/>
      <c r="T183" s="31"/>
      <c r="U183" s="31"/>
      <c r="V183" s="31"/>
      <c r="W183" s="31"/>
      <c r="X183" s="3"/>
      <c r="Y183" s="3"/>
      <c r="Z183" s="3"/>
    </row>
    <row r="184" spans="2:26" ht="78.75">
      <c r="B184" s="69"/>
      <c r="C184" s="891"/>
      <c r="D184" s="891"/>
      <c r="E184" s="891"/>
      <c r="F184" s="891"/>
      <c r="G184" s="891"/>
      <c r="H184" s="69"/>
      <c r="I184" s="891"/>
      <c r="J184" s="891">
        <v>1.17</v>
      </c>
      <c r="K184" s="891" t="s">
        <v>773</v>
      </c>
      <c r="L184" s="891">
        <v>19</v>
      </c>
      <c r="M184" s="897" t="s">
        <v>955</v>
      </c>
      <c r="N184" s="3" t="s">
        <v>959</v>
      </c>
      <c r="O184" s="31" t="s">
        <v>701</v>
      </c>
      <c r="P184" s="31">
        <v>100</v>
      </c>
      <c r="Q184" s="31">
        <v>100</v>
      </c>
      <c r="R184" s="31">
        <v>100</v>
      </c>
      <c r="S184" s="31">
        <v>100</v>
      </c>
      <c r="T184" s="31">
        <v>100</v>
      </c>
      <c r="U184" s="31">
        <v>100</v>
      </c>
      <c r="V184" s="31">
        <v>100</v>
      </c>
      <c r="W184" s="31">
        <v>100</v>
      </c>
      <c r="X184" s="3"/>
      <c r="Y184" s="3" t="s">
        <v>4378</v>
      </c>
      <c r="Z184" s="3"/>
    </row>
    <row r="185" spans="2:26" ht="94.5">
      <c r="B185" s="69"/>
      <c r="C185" s="891"/>
      <c r="D185" s="891"/>
      <c r="E185" s="891"/>
      <c r="F185" s="891"/>
      <c r="G185" s="891"/>
      <c r="H185" s="69"/>
      <c r="I185" s="891"/>
      <c r="J185" s="891"/>
      <c r="K185" s="891"/>
      <c r="L185" s="891"/>
      <c r="M185" s="891"/>
      <c r="N185" s="3" t="s">
        <v>960</v>
      </c>
      <c r="O185" s="31" t="s">
        <v>701</v>
      </c>
      <c r="P185" s="31">
        <v>100</v>
      </c>
      <c r="Q185" s="31">
        <v>100</v>
      </c>
      <c r="R185" s="31">
        <v>100</v>
      </c>
      <c r="S185" s="31">
        <v>100</v>
      </c>
      <c r="T185" s="31">
        <v>100</v>
      </c>
      <c r="U185" s="31">
        <v>100</v>
      </c>
      <c r="V185" s="31">
        <v>100</v>
      </c>
      <c r="W185" s="31">
        <v>100</v>
      </c>
      <c r="X185" s="3"/>
      <c r="Y185" s="3" t="s">
        <v>4375</v>
      </c>
      <c r="Z185" s="3" t="s">
        <v>4494</v>
      </c>
    </row>
    <row r="186" spans="2:26" ht="78.75">
      <c r="B186" s="69"/>
      <c r="C186" s="891"/>
      <c r="D186" s="891"/>
      <c r="E186" s="891"/>
      <c r="F186" s="891"/>
      <c r="G186" s="891"/>
      <c r="H186" s="69"/>
      <c r="I186" s="891"/>
      <c r="J186" s="891"/>
      <c r="K186" s="891"/>
      <c r="L186" s="891"/>
      <c r="M186" s="891"/>
      <c r="N186" s="3" t="s">
        <v>961</v>
      </c>
      <c r="O186" s="31" t="s">
        <v>701</v>
      </c>
      <c r="P186" s="31">
        <v>100</v>
      </c>
      <c r="Q186" s="31">
        <v>100</v>
      </c>
      <c r="R186" s="31">
        <v>100</v>
      </c>
      <c r="S186" s="31">
        <v>100</v>
      </c>
      <c r="T186" s="31">
        <v>100</v>
      </c>
      <c r="U186" s="31">
        <v>100</v>
      </c>
      <c r="V186" s="31">
        <v>100</v>
      </c>
      <c r="W186" s="31">
        <v>100</v>
      </c>
      <c r="X186" s="3"/>
      <c r="Y186" s="3" t="s">
        <v>4376</v>
      </c>
      <c r="Z186" s="3" t="s">
        <v>4495</v>
      </c>
    </row>
    <row r="187" spans="2:26" ht="94.5">
      <c r="B187" s="69"/>
      <c r="C187" s="892"/>
      <c r="D187" s="892"/>
      <c r="E187" s="892"/>
      <c r="F187" s="892"/>
      <c r="G187" s="892"/>
      <c r="H187" s="77"/>
      <c r="I187" s="892"/>
      <c r="J187" s="892"/>
      <c r="K187" s="892"/>
      <c r="L187" s="892"/>
      <c r="M187" s="892"/>
      <c r="N187" s="3" t="s">
        <v>962</v>
      </c>
      <c r="O187" s="31" t="s">
        <v>701</v>
      </c>
      <c r="P187" s="31">
        <v>100</v>
      </c>
      <c r="Q187" s="31">
        <v>100</v>
      </c>
      <c r="R187" s="31">
        <v>100</v>
      </c>
      <c r="S187" s="31">
        <v>100</v>
      </c>
      <c r="T187" s="31">
        <v>100</v>
      </c>
      <c r="U187" s="31">
        <v>100</v>
      </c>
      <c r="V187" s="31">
        <v>100</v>
      </c>
      <c r="W187" s="31">
        <v>100</v>
      </c>
      <c r="X187" s="3"/>
      <c r="Y187" s="3" t="s">
        <v>4377</v>
      </c>
      <c r="Z187" s="3" t="s">
        <v>4496</v>
      </c>
    </row>
    <row r="188" spans="2:26" ht="110.25">
      <c r="B188" s="69"/>
      <c r="C188" s="890">
        <v>12</v>
      </c>
      <c r="D188" s="890" t="s">
        <v>963</v>
      </c>
      <c r="E188" s="890">
        <v>18</v>
      </c>
      <c r="F188" s="890" t="s">
        <v>964</v>
      </c>
      <c r="G188" s="890" t="s">
        <v>965</v>
      </c>
      <c r="H188" s="37" t="s">
        <v>954</v>
      </c>
      <c r="I188" s="890" t="s">
        <v>4944</v>
      </c>
      <c r="J188" s="890"/>
      <c r="K188" s="890"/>
      <c r="L188" s="890"/>
      <c r="M188" s="890"/>
      <c r="N188" s="3"/>
      <c r="O188" s="31"/>
      <c r="P188" s="31"/>
      <c r="Q188" s="31"/>
      <c r="R188" s="31"/>
      <c r="S188" s="31"/>
      <c r="T188" s="31"/>
      <c r="U188" s="31"/>
      <c r="V188" s="31"/>
      <c r="W188" s="31"/>
      <c r="X188" s="3"/>
      <c r="Y188" s="3"/>
      <c r="Z188" s="3"/>
    </row>
    <row r="189" spans="2:26" ht="63">
      <c r="B189" s="69"/>
      <c r="C189" s="891"/>
      <c r="D189" s="891"/>
      <c r="E189" s="891"/>
      <c r="F189" s="891"/>
      <c r="G189" s="891"/>
      <c r="H189" s="69"/>
      <c r="I189" s="891"/>
      <c r="J189" s="1155">
        <v>1.17</v>
      </c>
      <c r="K189" s="1155" t="s">
        <v>773</v>
      </c>
      <c r="L189" s="1155">
        <v>16</v>
      </c>
      <c r="M189" s="1189" t="s">
        <v>406</v>
      </c>
      <c r="N189" s="3" t="s">
        <v>966</v>
      </c>
      <c r="O189" s="31" t="s">
        <v>701</v>
      </c>
      <c r="P189" s="31">
        <v>0.05</v>
      </c>
      <c r="Q189" s="31">
        <v>0.1</v>
      </c>
      <c r="R189" s="31">
        <v>0.15</v>
      </c>
      <c r="S189" s="31">
        <v>0.18</v>
      </c>
      <c r="T189" s="31">
        <v>0.21</v>
      </c>
      <c r="U189" s="31">
        <v>0.25</v>
      </c>
      <c r="V189" s="31">
        <v>0.28000000000000003</v>
      </c>
      <c r="W189" s="31">
        <v>0.28000000000000003</v>
      </c>
      <c r="X189" s="3" t="s">
        <v>944</v>
      </c>
      <c r="Y189" s="3" t="s">
        <v>967</v>
      </c>
      <c r="Z189" s="3"/>
    </row>
    <row r="190" spans="2:26" ht="126">
      <c r="B190" s="69"/>
      <c r="C190" s="891"/>
      <c r="D190" s="891"/>
      <c r="E190" s="892"/>
      <c r="F190" s="892"/>
      <c r="G190" s="892"/>
      <c r="H190" s="77"/>
      <c r="I190" s="892"/>
      <c r="J190" s="1187"/>
      <c r="K190" s="1187"/>
      <c r="L190" s="1187"/>
      <c r="M190" s="1190"/>
      <c r="N190" s="3" t="s">
        <v>968</v>
      </c>
      <c r="O190" s="31"/>
      <c r="P190" s="31">
        <v>6.38</v>
      </c>
      <c r="Q190" s="31">
        <v>6.38</v>
      </c>
      <c r="R190" s="31">
        <v>6.38</v>
      </c>
      <c r="S190" s="31">
        <v>6.38</v>
      </c>
      <c r="T190" s="31">
        <v>6.38</v>
      </c>
      <c r="U190" s="31">
        <v>6.38</v>
      </c>
      <c r="V190" s="31">
        <v>6.38</v>
      </c>
      <c r="W190" s="31">
        <v>6.38</v>
      </c>
      <c r="X190" s="3" t="s">
        <v>944</v>
      </c>
      <c r="Y190" s="3" t="s">
        <v>969</v>
      </c>
      <c r="Z190" s="3"/>
    </row>
    <row r="191" spans="2:26" ht="141.75">
      <c r="B191" s="69"/>
      <c r="C191" s="891"/>
      <c r="D191" s="891"/>
      <c r="E191" s="890">
        <v>19</v>
      </c>
      <c r="F191" s="890" t="s">
        <v>970</v>
      </c>
      <c r="G191" s="890" t="s">
        <v>971</v>
      </c>
      <c r="H191" s="37" t="s">
        <v>954</v>
      </c>
      <c r="I191" s="890" t="s">
        <v>4945</v>
      </c>
      <c r="J191" s="3"/>
      <c r="K191" s="3"/>
      <c r="L191" s="3"/>
      <c r="M191" s="3"/>
      <c r="N191" s="3"/>
      <c r="O191" s="31"/>
      <c r="P191" s="31"/>
      <c r="Q191" s="31"/>
      <c r="R191" s="31"/>
      <c r="S191" s="31"/>
      <c r="T191" s="31"/>
      <c r="U191" s="31"/>
      <c r="V191" s="31"/>
      <c r="W191" s="31"/>
      <c r="X191" s="3"/>
      <c r="Y191" s="3"/>
      <c r="Z191" s="3"/>
    </row>
    <row r="192" spans="2:26" ht="315">
      <c r="B192" s="69"/>
      <c r="C192" s="891"/>
      <c r="D192" s="891"/>
      <c r="E192" s="891"/>
      <c r="F192" s="891"/>
      <c r="G192" s="891"/>
      <c r="H192" s="69"/>
      <c r="I192" s="891"/>
      <c r="J192" s="1154">
        <v>1.17</v>
      </c>
      <c r="K192" s="1154" t="s">
        <v>773</v>
      </c>
      <c r="L192" s="1154">
        <v>17</v>
      </c>
      <c r="M192" s="1191" t="s">
        <v>408</v>
      </c>
      <c r="N192" s="3" t="s">
        <v>972</v>
      </c>
      <c r="O192" s="31" t="s">
        <v>701</v>
      </c>
      <c r="P192" s="31">
        <v>6.6</v>
      </c>
      <c r="Q192" s="31">
        <v>13.3</v>
      </c>
      <c r="R192" s="31">
        <v>20</v>
      </c>
      <c r="S192" s="31">
        <v>26.6</v>
      </c>
      <c r="T192" s="31">
        <v>26.6</v>
      </c>
      <c r="U192" s="31">
        <v>33.299999999999997</v>
      </c>
      <c r="V192" s="31">
        <v>33.299999999999997</v>
      </c>
      <c r="W192" s="31">
        <v>33.299999999999997</v>
      </c>
      <c r="X192" s="3" t="s">
        <v>944</v>
      </c>
      <c r="Y192" s="3" t="s">
        <v>973</v>
      </c>
      <c r="Z192" s="3" t="s">
        <v>974</v>
      </c>
    </row>
    <row r="193" spans="2:26" ht="126">
      <c r="B193" s="69"/>
      <c r="C193" s="891"/>
      <c r="D193" s="891"/>
      <c r="E193" s="891"/>
      <c r="F193" s="891"/>
      <c r="G193" s="891"/>
      <c r="H193" s="69"/>
      <c r="I193" s="891"/>
      <c r="J193" s="1186"/>
      <c r="K193" s="1186"/>
      <c r="L193" s="1186"/>
      <c r="M193" s="1189"/>
      <c r="N193" s="3" t="s">
        <v>975</v>
      </c>
      <c r="O193" s="31" t="s">
        <v>701</v>
      </c>
      <c r="P193" s="31">
        <v>42.8</v>
      </c>
      <c r="Q193" s="31">
        <v>42.8</v>
      </c>
      <c r="R193" s="31">
        <v>57.1</v>
      </c>
      <c r="S193" s="31">
        <v>57.1</v>
      </c>
      <c r="T193" s="31">
        <v>71.400000000000006</v>
      </c>
      <c r="U193" s="31">
        <v>71.400000000000006</v>
      </c>
      <c r="V193" s="31">
        <v>85.7</v>
      </c>
      <c r="W193" s="31">
        <v>85.7</v>
      </c>
      <c r="X193" s="3" t="s">
        <v>944</v>
      </c>
      <c r="Y193" s="3" t="s">
        <v>976</v>
      </c>
      <c r="Z193" s="3" t="s">
        <v>977</v>
      </c>
    </row>
    <row r="194" spans="2:26" ht="63">
      <c r="B194" s="69"/>
      <c r="C194" s="891"/>
      <c r="D194" s="891"/>
      <c r="E194" s="891"/>
      <c r="F194" s="891"/>
      <c r="G194" s="891"/>
      <c r="H194" s="69"/>
      <c r="I194" s="891"/>
      <c r="J194" s="1186"/>
      <c r="K194" s="1186"/>
      <c r="L194" s="1186"/>
      <c r="M194" s="1189"/>
      <c r="N194" s="3" t="s">
        <v>978</v>
      </c>
      <c r="O194" s="31" t="s">
        <v>701</v>
      </c>
      <c r="P194" s="34">
        <v>50</v>
      </c>
      <c r="Q194" s="34">
        <v>50</v>
      </c>
      <c r="R194" s="34">
        <v>50</v>
      </c>
      <c r="S194" s="34">
        <v>75</v>
      </c>
      <c r="T194" s="34">
        <v>75</v>
      </c>
      <c r="U194" s="34">
        <v>100</v>
      </c>
      <c r="V194" s="34">
        <v>100</v>
      </c>
      <c r="W194" s="34">
        <v>100</v>
      </c>
      <c r="X194" s="3" t="s">
        <v>944</v>
      </c>
      <c r="Y194" s="3" t="s">
        <v>979</v>
      </c>
      <c r="Z194" s="3" t="s">
        <v>980</v>
      </c>
    </row>
    <row r="195" spans="2:26" ht="31.5">
      <c r="B195" s="69"/>
      <c r="C195" s="891"/>
      <c r="D195" s="891"/>
      <c r="E195" s="891"/>
      <c r="F195" s="891"/>
      <c r="G195" s="891"/>
      <c r="H195" s="69"/>
      <c r="I195" s="891"/>
      <c r="J195" s="1186"/>
      <c r="K195" s="1186"/>
      <c r="L195" s="1186"/>
      <c r="M195" s="1189"/>
      <c r="N195" s="3" t="s">
        <v>981</v>
      </c>
      <c r="O195" s="31" t="s">
        <v>701</v>
      </c>
      <c r="P195" s="34">
        <v>60</v>
      </c>
      <c r="Q195" s="34">
        <v>65</v>
      </c>
      <c r="R195" s="34">
        <v>75</v>
      </c>
      <c r="S195" s="34">
        <v>80</v>
      </c>
      <c r="T195" s="34">
        <v>85</v>
      </c>
      <c r="U195" s="34">
        <v>90</v>
      </c>
      <c r="V195" s="34">
        <v>95</v>
      </c>
      <c r="W195" s="34">
        <v>95</v>
      </c>
      <c r="X195" s="3" t="s">
        <v>944</v>
      </c>
      <c r="Y195" s="3" t="s">
        <v>982</v>
      </c>
      <c r="Z195" s="3"/>
    </row>
    <row r="196" spans="2:26" ht="141.75">
      <c r="B196" s="69"/>
      <c r="C196" s="891"/>
      <c r="D196" s="891"/>
      <c r="E196" s="891"/>
      <c r="F196" s="891"/>
      <c r="G196" s="891"/>
      <c r="H196" s="69"/>
      <c r="I196" s="891"/>
      <c r="J196" s="1186"/>
      <c r="K196" s="1186"/>
      <c r="L196" s="1186"/>
      <c r="M196" s="1189"/>
      <c r="N196" s="3" t="s">
        <v>983</v>
      </c>
      <c r="O196" s="31" t="s">
        <v>701</v>
      </c>
      <c r="P196" s="34">
        <v>50</v>
      </c>
      <c r="Q196" s="34">
        <v>50</v>
      </c>
      <c r="R196" s="34">
        <v>50</v>
      </c>
      <c r="S196" s="34">
        <v>62.5</v>
      </c>
      <c r="T196" s="34">
        <v>75</v>
      </c>
      <c r="U196" s="34">
        <v>75</v>
      </c>
      <c r="V196" s="34">
        <v>87.5</v>
      </c>
      <c r="W196" s="34">
        <v>87.5</v>
      </c>
      <c r="X196" s="3" t="s">
        <v>944</v>
      </c>
      <c r="Y196" s="3" t="s">
        <v>984</v>
      </c>
      <c r="Z196" s="3" t="s">
        <v>985</v>
      </c>
    </row>
    <row r="197" spans="2:26" ht="110.25">
      <c r="B197" s="69"/>
      <c r="C197" s="891"/>
      <c r="D197" s="891"/>
      <c r="E197" s="891"/>
      <c r="F197" s="891"/>
      <c r="G197" s="891"/>
      <c r="H197" s="69"/>
      <c r="I197" s="891"/>
      <c r="J197" s="1186"/>
      <c r="K197" s="1186"/>
      <c r="L197" s="1186"/>
      <c r="M197" s="1189"/>
      <c r="N197" s="3" t="s">
        <v>986</v>
      </c>
      <c r="O197" s="31" t="s">
        <v>701</v>
      </c>
      <c r="P197" s="34">
        <v>50</v>
      </c>
      <c r="Q197" s="34">
        <v>50</v>
      </c>
      <c r="R197" s="34">
        <v>50</v>
      </c>
      <c r="S197" s="34">
        <v>50</v>
      </c>
      <c r="T197" s="34">
        <v>50</v>
      </c>
      <c r="U197" s="34">
        <v>50</v>
      </c>
      <c r="V197" s="34">
        <v>50</v>
      </c>
      <c r="W197" s="34">
        <v>50</v>
      </c>
      <c r="X197" s="3" t="s">
        <v>944</v>
      </c>
      <c r="Y197" s="3" t="s">
        <v>987</v>
      </c>
      <c r="Z197" s="3" t="s">
        <v>988</v>
      </c>
    </row>
    <row r="198" spans="2:26" ht="94.5">
      <c r="B198" s="69"/>
      <c r="C198" s="891"/>
      <c r="D198" s="891"/>
      <c r="E198" s="891"/>
      <c r="F198" s="891"/>
      <c r="G198" s="891"/>
      <c r="H198" s="69"/>
      <c r="I198" s="891"/>
      <c r="J198" s="1187"/>
      <c r="K198" s="1187"/>
      <c r="L198" s="1187"/>
      <c r="M198" s="1190"/>
      <c r="N198" s="3" t="s">
        <v>989</v>
      </c>
      <c r="O198" s="31" t="s">
        <v>701</v>
      </c>
      <c r="P198" s="34">
        <v>100</v>
      </c>
      <c r="Q198" s="34">
        <v>100</v>
      </c>
      <c r="R198" s="34">
        <v>100</v>
      </c>
      <c r="S198" s="34">
        <v>100</v>
      </c>
      <c r="T198" s="34">
        <v>100</v>
      </c>
      <c r="U198" s="34">
        <v>100</v>
      </c>
      <c r="V198" s="34">
        <v>100</v>
      </c>
      <c r="W198" s="34">
        <v>100</v>
      </c>
      <c r="X198" s="3" t="s">
        <v>944</v>
      </c>
      <c r="Y198" s="3" t="s">
        <v>990</v>
      </c>
      <c r="Z198" s="3" t="s">
        <v>991</v>
      </c>
    </row>
    <row r="199" spans="2:26" ht="78.75">
      <c r="B199" s="69"/>
      <c r="C199" s="890">
        <v>13</v>
      </c>
      <c r="D199" s="890" t="s">
        <v>996</v>
      </c>
      <c r="E199" s="890">
        <v>20</v>
      </c>
      <c r="F199" s="890" t="s">
        <v>997</v>
      </c>
      <c r="G199" s="890" t="s">
        <v>998</v>
      </c>
      <c r="H199" s="37" t="s">
        <v>954</v>
      </c>
      <c r="I199" s="890" t="s">
        <v>4946</v>
      </c>
      <c r="J199" s="890"/>
      <c r="K199" s="890"/>
      <c r="L199" s="890"/>
      <c r="M199" s="901"/>
      <c r="N199" s="3"/>
      <c r="O199" s="31"/>
      <c r="P199" s="31"/>
      <c r="Q199" s="31"/>
      <c r="R199" s="31"/>
      <c r="S199" s="31"/>
      <c r="T199" s="31"/>
      <c r="U199" s="31"/>
      <c r="V199" s="31"/>
      <c r="W199" s="31"/>
      <c r="X199" s="3"/>
      <c r="Y199" s="3"/>
      <c r="Z199" s="3"/>
    </row>
    <row r="200" spans="2:26" ht="63">
      <c r="B200" s="69"/>
      <c r="C200" s="891"/>
      <c r="D200" s="891"/>
      <c r="E200" s="891"/>
      <c r="F200" s="891"/>
      <c r="G200" s="891"/>
      <c r="H200" s="69"/>
      <c r="I200" s="891"/>
      <c r="J200" s="1155">
        <v>1.17</v>
      </c>
      <c r="K200" s="1155" t="s">
        <v>773</v>
      </c>
      <c r="L200" s="1155">
        <v>16</v>
      </c>
      <c r="M200" s="1189" t="s">
        <v>406</v>
      </c>
      <c r="N200" s="3" t="s">
        <v>992</v>
      </c>
      <c r="O200" s="31" t="s">
        <v>701</v>
      </c>
      <c r="P200" s="34">
        <v>2.12</v>
      </c>
      <c r="Q200" s="34">
        <v>2.12</v>
      </c>
      <c r="R200" s="34">
        <v>2.12</v>
      </c>
      <c r="S200" s="34">
        <v>2.12</v>
      </c>
      <c r="T200" s="34">
        <v>2.12</v>
      </c>
      <c r="U200" s="34">
        <v>2.12</v>
      </c>
      <c r="V200" s="34">
        <v>2.12</v>
      </c>
      <c r="W200" s="34">
        <v>2.12</v>
      </c>
      <c r="X200" s="3" t="s">
        <v>944</v>
      </c>
      <c r="Y200" s="3" t="s">
        <v>993</v>
      </c>
      <c r="Z200" s="3"/>
    </row>
    <row r="201" spans="2:26" ht="63">
      <c r="B201" s="69"/>
      <c r="C201" s="891"/>
      <c r="D201" s="891"/>
      <c r="E201" s="891"/>
      <c r="F201" s="891"/>
      <c r="G201" s="891"/>
      <c r="H201" s="69"/>
      <c r="I201" s="891"/>
      <c r="J201" s="1155"/>
      <c r="K201" s="1155"/>
      <c r="L201" s="1155"/>
      <c r="M201" s="1189"/>
      <c r="N201" s="3" t="s">
        <v>994</v>
      </c>
      <c r="O201" s="31" t="s">
        <v>701</v>
      </c>
      <c r="P201" s="34">
        <v>0.02</v>
      </c>
      <c r="Q201" s="34">
        <v>0.02</v>
      </c>
      <c r="R201" s="34">
        <v>0.02</v>
      </c>
      <c r="S201" s="34">
        <v>0.31</v>
      </c>
      <c r="T201" s="34">
        <v>0.42</v>
      </c>
      <c r="U201" s="34">
        <v>0.53</v>
      </c>
      <c r="V201" s="34">
        <v>0.63</v>
      </c>
      <c r="W201" s="34">
        <v>0.65</v>
      </c>
      <c r="X201" s="3" t="s">
        <v>944</v>
      </c>
      <c r="Y201" s="3" t="s">
        <v>995</v>
      </c>
      <c r="Z201" s="3"/>
    </row>
    <row r="202" spans="2:26" ht="110.25">
      <c r="B202" s="69"/>
      <c r="C202" s="891"/>
      <c r="D202" s="891"/>
      <c r="E202" s="891"/>
      <c r="F202" s="891"/>
      <c r="G202" s="891"/>
      <c r="H202" s="69"/>
      <c r="I202" s="891"/>
      <c r="J202" s="1156"/>
      <c r="K202" s="1156"/>
      <c r="L202" s="1156"/>
      <c r="M202" s="1190"/>
      <c r="N202" s="890" t="s">
        <v>999</v>
      </c>
      <c r="O202" s="31" t="s">
        <v>701</v>
      </c>
      <c r="P202" s="34">
        <v>100</v>
      </c>
      <c r="Q202" s="34">
        <v>100</v>
      </c>
      <c r="R202" s="34">
        <v>100</v>
      </c>
      <c r="S202" s="34">
        <v>100</v>
      </c>
      <c r="T202" s="34">
        <v>100</v>
      </c>
      <c r="U202" s="34">
        <v>100</v>
      </c>
      <c r="V202" s="34">
        <v>100</v>
      </c>
      <c r="W202" s="34">
        <v>100</v>
      </c>
      <c r="X202" s="3" t="s">
        <v>944</v>
      </c>
      <c r="Y202" s="3" t="s">
        <v>1000</v>
      </c>
      <c r="Z202" s="3"/>
    </row>
    <row r="203" spans="2:26" ht="126">
      <c r="B203" s="37" t="s">
        <v>1001</v>
      </c>
      <c r="C203" s="890">
        <v>14</v>
      </c>
      <c r="D203" s="78" t="s">
        <v>1002</v>
      </c>
      <c r="E203" s="890">
        <v>21</v>
      </c>
      <c r="F203" s="890" t="s">
        <v>1003</v>
      </c>
      <c r="G203" s="890" t="s">
        <v>1004</v>
      </c>
      <c r="H203" s="37" t="s">
        <v>1005</v>
      </c>
      <c r="I203" s="890" t="s">
        <v>4947</v>
      </c>
      <c r="J203" s="3"/>
      <c r="K203" s="3"/>
      <c r="L203" s="3"/>
      <c r="M203" s="3"/>
      <c r="N203" s="3"/>
      <c r="O203" s="31"/>
      <c r="P203" s="31"/>
      <c r="Q203" s="31"/>
      <c r="R203" s="31"/>
      <c r="S203" s="31"/>
      <c r="T203" s="31"/>
      <c r="U203" s="31"/>
      <c r="V203" s="31"/>
      <c r="W203" s="31"/>
      <c r="X203" s="3"/>
      <c r="Y203" s="3"/>
      <c r="Z203" s="3"/>
    </row>
    <row r="204" spans="2:26" ht="94.5">
      <c r="B204" s="69"/>
      <c r="C204" s="891"/>
      <c r="D204" s="79"/>
      <c r="E204" s="891"/>
      <c r="F204" s="891"/>
      <c r="G204" s="891"/>
      <c r="H204" s="69"/>
      <c r="I204" s="891"/>
      <c r="J204" s="3">
        <v>1.19</v>
      </c>
      <c r="K204" s="3" t="s">
        <v>773</v>
      </c>
      <c r="L204" s="95">
        <v>21</v>
      </c>
      <c r="M204" s="38" t="s">
        <v>437</v>
      </c>
      <c r="N204" s="3" t="s">
        <v>1006</v>
      </c>
      <c r="O204" s="31" t="s">
        <v>701</v>
      </c>
      <c r="P204" s="31">
        <v>100</v>
      </c>
      <c r="Q204" s="31">
        <v>100</v>
      </c>
      <c r="R204" s="31">
        <v>100</v>
      </c>
      <c r="S204" s="31">
        <v>100</v>
      </c>
      <c r="T204" s="31">
        <v>100</v>
      </c>
      <c r="U204" s="31">
        <v>100</v>
      </c>
      <c r="V204" s="31">
        <v>100</v>
      </c>
      <c r="W204" s="31">
        <v>100</v>
      </c>
      <c r="X204" s="3" t="s">
        <v>1007</v>
      </c>
      <c r="Y204" s="3" t="s">
        <v>1008</v>
      </c>
      <c r="Z204" s="3" t="s">
        <v>1009</v>
      </c>
    </row>
    <row r="205" spans="2:26" ht="78.75">
      <c r="B205" s="69"/>
      <c r="C205" s="891"/>
      <c r="D205" s="79"/>
      <c r="E205" s="891"/>
      <c r="F205" s="891"/>
      <c r="G205" s="891"/>
      <c r="H205" s="69"/>
      <c r="I205" s="891"/>
      <c r="J205" s="3">
        <v>1.19</v>
      </c>
      <c r="K205" s="3" t="s">
        <v>773</v>
      </c>
      <c r="L205" s="95">
        <v>20</v>
      </c>
      <c r="M205" s="38" t="s">
        <v>1010</v>
      </c>
      <c r="N205" s="3" t="s">
        <v>1011</v>
      </c>
      <c r="O205" s="31" t="s">
        <v>701</v>
      </c>
      <c r="P205" s="31">
        <v>100</v>
      </c>
      <c r="Q205" s="31">
        <v>100</v>
      </c>
      <c r="R205" s="31">
        <v>100</v>
      </c>
      <c r="S205" s="31">
        <v>100</v>
      </c>
      <c r="T205" s="31">
        <v>100</v>
      </c>
      <c r="U205" s="31">
        <v>100</v>
      </c>
      <c r="V205" s="31">
        <v>100</v>
      </c>
      <c r="W205" s="31">
        <v>100</v>
      </c>
      <c r="X205" s="3" t="s">
        <v>1007</v>
      </c>
      <c r="Y205" s="3" t="s">
        <v>1012</v>
      </c>
      <c r="Z205" s="3"/>
    </row>
    <row r="206" spans="2:26" ht="78.75">
      <c r="B206" s="69"/>
      <c r="C206" s="891"/>
      <c r="D206" s="79"/>
      <c r="E206" s="891"/>
      <c r="F206" s="891"/>
      <c r="G206" s="891"/>
      <c r="H206" s="69"/>
      <c r="I206" s="891"/>
      <c r="J206" s="3">
        <v>1.19</v>
      </c>
      <c r="K206" s="3" t="s">
        <v>773</v>
      </c>
      <c r="L206" s="95">
        <v>21</v>
      </c>
      <c r="M206" s="38" t="s">
        <v>437</v>
      </c>
      <c r="N206" s="3" t="s">
        <v>1013</v>
      </c>
      <c r="O206" s="31" t="s">
        <v>701</v>
      </c>
      <c r="P206" s="31" t="s">
        <v>1041</v>
      </c>
      <c r="Q206" s="31">
        <v>86</v>
      </c>
      <c r="R206" s="31" t="s">
        <v>1041</v>
      </c>
      <c r="S206" s="31" t="s">
        <v>1041</v>
      </c>
      <c r="T206" s="31" t="s">
        <v>1041</v>
      </c>
      <c r="U206" s="31" t="s">
        <v>1041</v>
      </c>
      <c r="V206" s="31">
        <v>100</v>
      </c>
      <c r="W206" s="31">
        <v>100</v>
      </c>
      <c r="X206" s="3" t="s">
        <v>1007</v>
      </c>
      <c r="Y206" s="3" t="s">
        <v>1014</v>
      </c>
      <c r="Z206" s="3"/>
    </row>
    <row r="207" spans="2:26" ht="63">
      <c r="B207" s="69"/>
      <c r="C207" s="891"/>
      <c r="D207" s="79"/>
      <c r="E207" s="891"/>
      <c r="F207" s="891"/>
      <c r="G207" s="891"/>
      <c r="H207" s="69"/>
      <c r="I207" s="891"/>
      <c r="J207" s="3">
        <v>1.19</v>
      </c>
      <c r="K207" s="3" t="s">
        <v>773</v>
      </c>
      <c r="L207" s="95">
        <v>17</v>
      </c>
      <c r="M207" s="38" t="s">
        <v>430</v>
      </c>
      <c r="N207" s="3" t="s">
        <v>1015</v>
      </c>
      <c r="O207" s="31" t="s">
        <v>701</v>
      </c>
      <c r="P207" s="31"/>
      <c r="Q207" s="31">
        <v>100</v>
      </c>
      <c r="R207" s="31">
        <v>100</v>
      </c>
      <c r="S207" s="31">
        <v>100</v>
      </c>
      <c r="T207" s="31">
        <v>100</v>
      </c>
      <c r="U207" s="31">
        <v>100</v>
      </c>
      <c r="V207" s="31">
        <v>100</v>
      </c>
      <c r="W207" s="31">
        <v>100</v>
      </c>
      <c r="X207" s="3" t="s">
        <v>1007</v>
      </c>
      <c r="Y207" s="3" t="s">
        <v>1016</v>
      </c>
      <c r="Z207" s="3"/>
    </row>
    <row r="208" spans="2:26" ht="126">
      <c r="B208" s="69"/>
      <c r="C208" s="891"/>
      <c r="D208" s="79"/>
      <c r="E208" s="892"/>
      <c r="F208" s="892"/>
      <c r="G208" s="892"/>
      <c r="H208" s="77"/>
      <c r="I208" s="892"/>
      <c r="J208" s="3">
        <v>1.19</v>
      </c>
      <c r="K208" s="3" t="s">
        <v>773</v>
      </c>
      <c r="L208" s="95">
        <v>16</v>
      </c>
      <c r="M208" s="38" t="s">
        <v>109</v>
      </c>
      <c r="N208" s="3" t="s">
        <v>1017</v>
      </c>
      <c r="O208" s="31" t="s">
        <v>701</v>
      </c>
      <c r="P208" s="31">
        <v>100</v>
      </c>
      <c r="Q208" s="31">
        <v>100</v>
      </c>
      <c r="R208" s="31">
        <v>100</v>
      </c>
      <c r="S208" s="31">
        <v>100</v>
      </c>
      <c r="T208" s="31">
        <v>100</v>
      </c>
      <c r="U208" s="31">
        <v>100</v>
      </c>
      <c r="V208" s="31">
        <v>100</v>
      </c>
      <c r="W208" s="31">
        <v>100</v>
      </c>
      <c r="X208" s="3" t="s">
        <v>1007</v>
      </c>
      <c r="Y208" s="3" t="s">
        <v>1018</v>
      </c>
      <c r="Z208" s="3"/>
    </row>
    <row r="209" spans="2:26" ht="173.25">
      <c r="B209" s="69"/>
      <c r="C209" s="891"/>
      <c r="D209" s="79"/>
      <c r="E209" s="891">
        <v>22</v>
      </c>
      <c r="F209" s="891" t="s">
        <v>1019</v>
      </c>
      <c r="G209" s="891" t="s">
        <v>1020</v>
      </c>
      <c r="H209" s="69"/>
      <c r="I209" s="891" t="s">
        <v>4949</v>
      </c>
      <c r="J209" s="3"/>
      <c r="K209" s="3"/>
      <c r="L209" s="3"/>
      <c r="M209" s="3"/>
      <c r="N209" s="3"/>
      <c r="O209" s="31"/>
      <c r="P209" s="31"/>
      <c r="Q209" s="31"/>
      <c r="R209" s="31"/>
      <c r="S209" s="31"/>
      <c r="T209" s="31"/>
      <c r="U209" s="31"/>
      <c r="V209" s="31"/>
      <c r="W209" s="31"/>
      <c r="X209" s="3"/>
      <c r="Y209" s="3"/>
      <c r="Z209" s="3"/>
    </row>
    <row r="210" spans="2:26" ht="189">
      <c r="B210" s="69"/>
      <c r="C210" s="891"/>
      <c r="D210" s="79"/>
      <c r="E210" s="891"/>
      <c r="F210" s="891"/>
      <c r="G210" s="891"/>
      <c r="H210" s="69"/>
      <c r="I210" s="891"/>
      <c r="J210" s="1154">
        <v>1.19</v>
      </c>
      <c r="K210" s="1154" t="s">
        <v>773</v>
      </c>
      <c r="L210" s="1188">
        <v>16</v>
      </c>
      <c r="M210" s="1154" t="s">
        <v>109</v>
      </c>
      <c r="N210" s="3" t="s">
        <v>1021</v>
      </c>
      <c r="O210" s="31" t="s">
        <v>701</v>
      </c>
      <c r="P210" s="34">
        <v>50</v>
      </c>
      <c r="Q210" s="34">
        <v>50</v>
      </c>
      <c r="R210" s="34">
        <v>100</v>
      </c>
      <c r="S210" s="34">
        <v>100</v>
      </c>
      <c r="T210" s="34">
        <v>100</v>
      </c>
      <c r="U210" s="34">
        <v>100</v>
      </c>
      <c r="V210" s="34">
        <v>100</v>
      </c>
      <c r="W210" s="34">
        <v>100</v>
      </c>
      <c r="X210" s="3" t="s">
        <v>1022</v>
      </c>
      <c r="Y210" s="3" t="s">
        <v>4331</v>
      </c>
      <c r="Z210" s="3" t="s">
        <v>4330</v>
      </c>
    </row>
    <row r="211" spans="2:26" ht="63">
      <c r="B211" s="69"/>
      <c r="C211" s="891"/>
      <c r="D211" s="79"/>
      <c r="E211" s="891"/>
      <c r="F211" s="891"/>
      <c r="G211" s="891"/>
      <c r="H211" s="69"/>
      <c r="I211" s="891"/>
      <c r="J211" s="1186"/>
      <c r="K211" s="1186"/>
      <c r="L211" s="1186"/>
      <c r="M211" s="1155"/>
      <c r="N211" s="3" t="s">
        <v>1023</v>
      </c>
      <c r="O211" s="31" t="s">
        <v>2047</v>
      </c>
      <c r="P211" s="31" t="s">
        <v>2048</v>
      </c>
      <c r="Q211" s="31" t="s">
        <v>2049</v>
      </c>
      <c r="R211" s="31" t="s">
        <v>2050</v>
      </c>
      <c r="S211" s="31" t="s">
        <v>2051</v>
      </c>
      <c r="T211" s="31" t="s">
        <v>2052</v>
      </c>
      <c r="U211" s="31" t="s">
        <v>2052</v>
      </c>
      <c r="V211" s="31" t="s">
        <v>2048</v>
      </c>
      <c r="W211" s="31" t="s">
        <v>2048</v>
      </c>
      <c r="X211" s="3" t="s">
        <v>1022</v>
      </c>
      <c r="Y211" s="3" t="s">
        <v>1024</v>
      </c>
      <c r="Z211" s="3" t="s">
        <v>4334</v>
      </c>
    </row>
    <row r="212" spans="2:26" ht="63">
      <c r="B212" s="69"/>
      <c r="C212" s="891"/>
      <c r="D212" s="79"/>
      <c r="E212" s="891"/>
      <c r="F212" s="891"/>
      <c r="G212" s="891"/>
      <c r="H212" s="69"/>
      <c r="I212" s="891"/>
      <c r="J212" s="1186"/>
      <c r="K212" s="1186"/>
      <c r="L212" s="1186"/>
      <c r="M212" s="1155"/>
      <c r="N212" s="3" t="s">
        <v>4948</v>
      </c>
      <c r="O212" s="31" t="s">
        <v>701</v>
      </c>
      <c r="P212" s="34">
        <v>100</v>
      </c>
      <c r="Q212" s="34">
        <v>100</v>
      </c>
      <c r="R212" s="34">
        <v>100</v>
      </c>
      <c r="S212" s="34">
        <v>100</v>
      </c>
      <c r="T212" s="34">
        <v>100</v>
      </c>
      <c r="U212" s="34">
        <v>100</v>
      </c>
      <c r="V212" s="34">
        <v>100</v>
      </c>
      <c r="W212" s="34">
        <v>100</v>
      </c>
      <c r="X212" s="3" t="s">
        <v>1022</v>
      </c>
      <c r="Y212" s="3" t="s">
        <v>4332</v>
      </c>
      <c r="Z212" s="3" t="s">
        <v>4333</v>
      </c>
    </row>
    <row r="213" spans="2:26" ht="63">
      <c r="B213" s="69"/>
      <c r="C213" s="891"/>
      <c r="D213" s="79"/>
      <c r="E213" s="891"/>
      <c r="F213" s="891"/>
      <c r="G213" s="891"/>
      <c r="H213" s="69"/>
      <c r="I213" s="891"/>
      <c r="J213" s="1187"/>
      <c r="K213" s="1187"/>
      <c r="L213" s="1187"/>
      <c r="M213" s="1156"/>
      <c r="N213" s="3" t="s">
        <v>1025</v>
      </c>
      <c r="O213" s="31" t="s">
        <v>741</v>
      </c>
      <c r="P213" s="31">
        <v>1</v>
      </c>
      <c r="Q213" s="31">
        <v>1</v>
      </c>
      <c r="R213" s="31">
        <v>1</v>
      </c>
      <c r="S213" s="31">
        <v>1</v>
      </c>
      <c r="T213" s="31">
        <v>1</v>
      </c>
      <c r="U213" s="31">
        <v>2</v>
      </c>
      <c r="V213" s="31">
        <v>3</v>
      </c>
      <c r="W213" s="31">
        <v>3</v>
      </c>
      <c r="X213" s="3" t="s">
        <v>1022</v>
      </c>
      <c r="Y213" s="3" t="s">
        <v>4667</v>
      </c>
      <c r="Z213" s="3"/>
    </row>
    <row r="214" spans="2:26" ht="78.75">
      <c r="B214" s="77"/>
      <c r="C214" s="892"/>
      <c r="D214" s="80"/>
      <c r="E214" s="892"/>
      <c r="F214" s="892"/>
      <c r="G214" s="892"/>
      <c r="H214" s="77"/>
      <c r="I214" s="892"/>
      <c r="J214" s="3">
        <v>1.19</v>
      </c>
      <c r="K214" s="3" t="s">
        <v>773</v>
      </c>
      <c r="L214" s="95">
        <v>19</v>
      </c>
      <c r="M214" s="3" t="s">
        <v>110</v>
      </c>
      <c r="N214" s="3" t="s">
        <v>1026</v>
      </c>
      <c r="O214" s="31" t="s">
        <v>921</v>
      </c>
      <c r="P214" s="31" t="s">
        <v>2053</v>
      </c>
      <c r="Q214" s="31" t="s">
        <v>2054</v>
      </c>
      <c r="R214" s="31" t="s">
        <v>2054</v>
      </c>
      <c r="S214" s="31" t="s">
        <v>2055</v>
      </c>
      <c r="T214" s="31" t="s">
        <v>2055</v>
      </c>
      <c r="U214" s="31" t="s">
        <v>2056</v>
      </c>
      <c r="V214" s="31" t="s">
        <v>2056</v>
      </c>
      <c r="W214" s="31" t="s">
        <v>2056</v>
      </c>
      <c r="X214" s="3" t="s">
        <v>1022</v>
      </c>
      <c r="Y214" s="3" t="s">
        <v>1027</v>
      </c>
      <c r="Z214" s="3" t="s">
        <v>4335</v>
      </c>
    </row>
    <row r="215" spans="2:26">
      <c r="B215" s="71" t="s">
        <v>697</v>
      </c>
    </row>
    <row r="216" spans="2:26" s="74" customFormat="1" ht="141.75">
      <c r="B216" s="37" t="s">
        <v>18</v>
      </c>
      <c r="C216" s="891">
        <v>1</v>
      </c>
      <c r="D216" s="891" t="s">
        <v>1028</v>
      </c>
      <c r="E216" s="891">
        <v>1</v>
      </c>
      <c r="F216" s="891" t="s">
        <v>1029</v>
      </c>
      <c r="G216" s="891" t="s">
        <v>1030</v>
      </c>
      <c r="H216" s="891" t="s">
        <v>1031</v>
      </c>
      <c r="I216" s="891" t="s">
        <v>4950</v>
      </c>
      <c r="J216" s="47"/>
      <c r="K216" s="107"/>
      <c r="L216" s="47"/>
      <c r="M216" s="108"/>
      <c r="N216" s="47"/>
      <c r="O216" s="47"/>
      <c r="P216" s="47"/>
      <c r="Q216" s="47"/>
      <c r="R216" s="47"/>
      <c r="S216" s="47"/>
      <c r="T216" s="47"/>
      <c r="U216" s="47"/>
      <c r="V216" s="47"/>
      <c r="W216" s="47"/>
      <c r="X216" s="47"/>
      <c r="Y216" s="47"/>
      <c r="Z216" s="47"/>
    </row>
    <row r="217" spans="2:26" s="109" customFormat="1" ht="111" thickBot="1">
      <c r="B217" s="69"/>
      <c r="C217" s="891"/>
      <c r="E217" s="891"/>
      <c r="G217" s="891"/>
      <c r="H217" s="891"/>
      <c r="I217" s="1"/>
      <c r="J217" s="891">
        <v>1.03</v>
      </c>
      <c r="K217" s="891" t="s">
        <v>773</v>
      </c>
      <c r="L217" s="891">
        <v>15</v>
      </c>
      <c r="M217" s="21" t="s">
        <v>112</v>
      </c>
      <c r="N217" s="892" t="s">
        <v>1032</v>
      </c>
      <c r="O217" s="892" t="s">
        <v>701</v>
      </c>
      <c r="P217" s="723">
        <v>74.7</v>
      </c>
      <c r="Q217" s="724">
        <v>69.7</v>
      </c>
      <c r="R217" s="383">
        <v>70</v>
      </c>
      <c r="S217" s="383">
        <v>73</v>
      </c>
      <c r="T217" s="383">
        <v>76</v>
      </c>
      <c r="U217" s="383">
        <v>79</v>
      </c>
      <c r="V217" s="383">
        <v>82</v>
      </c>
      <c r="W217" s="383">
        <f t="shared" ref="W217:W223" si="3">V217</f>
        <v>82</v>
      </c>
      <c r="X217" s="436" t="s">
        <v>4626</v>
      </c>
      <c r="Y217" s="892" t="s">
        <v>4511</v>
      </c>
      <c r="Z217" s="892"/>
    </row>
    <row r="218" spans="2:26" s="109" customFormat="1" ht="111" thickBot="1">
      <c r="B218" s="69"/>
      <c r="C218" s="891"/>
      <c r="D218" s="891"/>
      <c r="E218" s="891"/>
      <c r="F218" s="891"/>
      <c r="G218" s="891"/>
      <c r="H218" s="891"/>
      <c r="I218" s="10"/>
      <c r="J218" s="891"/>
      <c r="K218" s="891"/>
      <c r="L218" s="891"/>
      <c r="M218" s="899"/>
      <c r="N218" s="383" t="s">
        <v>1034</v>
      </c>
      <c r="O218" s="83" t="s">
        <v>701</v>
      </c>
      <c r="P218" s="723">
        <v>74.7</v>
      </c>
      <c r="Q218" s="724">
        <v>69.7</v>
      </c>
      <c r="R218" s="383">
        <v>70</v>
      </c>
      <c r="S218" s="383">
        <v>73</v>
      </c>
      <c r="T218" s="383">
        <v>76</v>
      </c>
      <c r="U218" s="383">
        <v>79</v>
      </c>
      <c r="V218" s="383">
        <v>82</v>
      </c>
      <c r="W218" s="383">
        <f>V218</f>
        <v>82</v>
      </c>
      <c r="X218" s="436" t="s">
        <v>4626</v>
      </c>
      <c r="Y218" s="892" t="s">
        <v>4511</v>
      </c>
      <c r="Z218" s="3"/>
    </row>
    <row r="219" spans="2:26" s="109" customFormat="1" ht="111" thickBot="1">
      <c r="B219" s="69"/>
      <c r="C219" s="891"/>
      <c r="D219" s="891"/>
      <c r="E219" s="891"/>
      <c r="F219" s="891"/>
      <c r="G219" s="891"/>
      <c r="H219" s="891"/>
      <c r="I219" s="891"/>
      <c r="J219" s="892"/>
      <c r="K219" s="892"/>
      <c r="L219" s="892"/>
      <c r="M219" s="900"/>
      <c r="N219" s="83" t="s">
        <v>1035</v>
      </c>
      <c r="O219" s="83" t="s">
        <v>701</v>
      </c>
      <c r="P219" s="723">
        <v>74.7</v>
      </c>
      <c r="Q219" s="724">
        <v>69.7</v>
      </c>
      <c r="R219" s="383">
        <v>70</v>
      </c>
      <c r="S219" s="383">
        <v>73</v>
      </c>
      <c r="T219" s="383">
        <v>76</v>
      </c>
      <c r="U219" s="383">
        <v>79</v>
      </c>
      <c r="V219" s="383">
        <v>82</v>
      </c>
      <c r="W219" s="383">
        <f>V219</f>
        <v>82</v>
      </c>
      <c r="X219" s="436" t="s">
        <v>4626</v>
      </c>
      <c r="Y219" s="892" t="s">
        <v>4511</v>
      </c>
      <c r="Z219" s="3"/>
    </row>
    <row r="220" spans="2:26" s="109" customFormat="1" ht="78.75">
      <c r="B220" s="69"/>
      <c r="C220" s="891"/>
      <c r="D220" s="891"/>
      <c r="E220" s="891"/>
      <c r="F220" s="891"/>
      <c r="G220" s="891"/>
      <c r="H220" s="891"/>
      <c r="I220" s="891"/>
      <c r="J220" s="890">
        <v>1.03</v>
      </c>
      <c r="K220" s="890" t="s">
        <v>773</v>
      </c>
      <c r="L220" s="890">
        <v>18</v>
      </c>
      <c r="M220" s="901" t="s">
        <v>1036</v>
      </c>
      <c r="N220" s="83" t="s">
        <v>1037</v>
      </c>
      <c r="O220" s="83" t="s">
        <v>701</v>
      </c>
      <c r="P220" s="83">
        <v>65</v>
      </c>
      <c r="Q220" s="383">
        <v>68</v>
      </c>
      <c r="R220" s="383">
        <v>70</v>
      </c>
      <c r="S220" s="383">
        <v>73</v>
      </c>
      <c r="T220" s="383">
        <v>76</v>
      </c>
      <c r="U220" s="383">
        <v>79</v>
      </c>
      <c r="V220" s="383">
        <v>82</v>
      </c>
      <c r="W220" s="383">
        <f t="shared" si="3"/>
        <v>82</v>
      </c>
      <c r="X220" s="437" t="s">
        <v>1033</v>
      </c>
      <c r="Y220" s="3" t="s">
        <v>4606</v>
      </c>
      <c r="Z220" s="3"/>
    </row>
    <row r="221" spans="2:26" s="109" customFormat="1" ht="63">
      <c r="B221" s="69"/>
      <c r="C221" s="891"/>
      <c r="D221" s="891"/>
      <c r="E221" s="891"/>
      <c r="F221" s="891"/>
      <c r="G221" s="891"/>
      <c r="H221" s="891"/>
      <c r="I221" s="892"/>
      <c r="J221" s="892"/>
      <c r="K221" s="892"/>
      <c r="L221" s="892"/>
      <c r="M221" s="900"/>
      <c r="N221" s="83" t="s">
        <v>1039</v>
      </c>
      <c r="O221" s="83" t="s">
        <v>701</v>
      </c>
      <c r="P221" s="83">
        <v>70</v>
      </c>
      <c r="Q221" s="83">
        <v>71</v>
      </c>
      <c r="R221" s="83">
        <f>Q221+5</f>
        <v>76</v>
      </c>
      <c r="S221" s="83">
        <f>R221+5</f>
        <v>81</v>
      </c>
      <c r="T221" s="83">
        <f>S221+3</f>
        <v>84</v>
      </c>
      <c r="U221" s="83">
        <f>T221+3</f>
        <v>87</v>
      </c>
      <c r="V221" s="83">
        <f>U221+3</f>
        <v>90</v>
      </c>
      <c r="W221" s="83">
        <f t="shared" si="3"/>
        <v>90</v>
      </c>
      <c r="X221" s="437" t="s">
        <v>1033</v>
      </c>
      <c r="Y221" s="3" t="s">
        <v>1038</v>
      </c>
      <c r="Z221" s="3"/>
    </row>
    <row r="222" spans="2:26" s="109" customFormat="1" ht="94.5">
      <c r="B222" s="69"/>
      <c r="C222" s="891"/>
      <c r="D222" s="891"/>
      <c r="E222" s="891"/>
      <c r="F222" s="891"/>
      <c r="G222" s="891"/>
      <c r="H222" s="891"/>
      <c r="I222" s="3" t="s">
        <v>5002</v>
      </c>
      <c r="J222" s="890">
        <v>1.03</v>
      </c>
      <c r="K222" s="890" t="s">
        <v>773</v>
      </c>
      <c r="L222" s="890">
        <v>15</v>
      </c>
      <c r="M222" s="29" t="s">
        <v>112</v>
      </c>
      <c r="N222" s="83" t="s">
        <v>4512</v>
      </c>
      <c r="O222" s="83" t="s">
        <v>4513</v>
      </c>
      <c r="P222" s="83" t="s">
        <v>1040</v>
      </c>
      <c r="Q222" s="83" t="s">
        <v>1040</v>
      </c>
      <c r="R222" s="83" t="s">
        <v>1040</v>
      </c>
      <c r="S222" s="83">
        <v>2</v>
      </c>
      <c r="T222" s="83">
        <v>6</v>
      </c>
      <c r="U222" s="83">
        <v>11</v>
      </c>
      <c r="V222" s="83">
        <v>19</v>
      </c>
      <c r="W222" s="83">
        <f t="shared" si="3"/>
        <v>19</v>
      </c>
      <c r="X222" s="437" t="s">
        <v>4514</v>
      </c>
      <c r="Y222" s="3" t="s">
        <v>4515</v>
      </c>
      <c r="Z222" s="3"/>
    </row>
    <row r="223" spans="2:26" s="109" customFormat="1" ht="63">
      <c r="B223" s="69"/>
      <c r="C223" s="891"/>
      <c r="D223" s="891"/>
      <c r="E223" s="891"/>
      <c r="F223" s="891"/>
      <c r="G223" s="891"/>
      <c r="H223" s="891"/>
      <c r="I223" s="891"/>
      <c r="J223" s="891" t="s">
        <v>210</v>
      </c>
      <c r="K223" s="891" t="s">
        <v>773</v>
      </c>
      <c r="L223" s="891">
        <v>23</v>
      </c>
      <c r="M223" s="11" t="s">
        <v>225</v>
      </c>
      <c r="N223" s="83" t="s">
        <v>1042</v>
      </c>
      <c r="O223" s="83" t="s">
        <v>701</v>
      </c>
      <c r="P223" s="83">
        <v>67</v>
      </c>
      <c r="Q223" s="83">
        <v>67</v>
      </c>
      <c r="R223" s="83">
        <v>70</v>
      </c>
      <c r="S223" s="83">
        <v>76</v>
      </c>
      <c r="T223" s="83">
        <v>80</v>
      </c>
      <c r="U223" s="83">
        <v>80</v>
      </c>
      <c r="V223" s="83">
        <v>85</v>
      </c>
      <c r="W223" s="83">
        <f t="shared" si="3"/>
        <v>85</v>
      </c>
      <c r="X223" s="437" t="s">
        <v>1033</v>
      </c>
      <c r="Y223" s="3" t="s">
        <v>4321</v>
      </c>
      <c r="Z223" s="3"/>
    </row>
    <row r="224" spans="2:26" s="109" customFormat="1" ht="110.25">
      <c r="B224" s="69"/>
      <c r="C224" s="891">
        <v>2</v>
      </c>
      <c r="D224" s="891" t="s">
        <v>1043</v>
      </c>
      <c r="E224" s="891">
        <v>2</v>
      </c>
      <c r="F224" s="891" t="s">
        <v>1044</v>
      </c>
      <c r="G224" s="891" t="s">
        <v>1045</v>
      </c>
      <c r="H224" s="891"/>
      <c r="I224" s="891" t="s">
        <v>4951</v>
      </c>
      <c r="J224" s="891" t="s">
        <v>210</v>
      </c>
      <c r="K224" s="891" t="s">
        <v>773</v>
      </c>
      <c r="L224" s="891">
        <v>24</v>
      </c>
      <c r="M224" s="11" t="s">
        <v>227</v>
      </c>
      <c r="N224" s="83" t="s">
        <v>4516</v>
      </c>
      <c r="O224" s="83" t="s">
        <v>701</v>
      </c>
      <c r="P224" s="83">
        <v>68</v>
      </c>
      <c r="Q224" s="83">
        <v>68</v>
      </c>
      <c r="R224" s="83">
        <v>70</v>
      </c>
      <c r="S224" s="83">
        <v>72</v>
      </c>
      <c r="T224" s="83">
        <f>S224+3</f>
        <v>75</v>
      </c>
      <c r="U224" s="83">
        <f>T224+3</f>
        <v>78</v>
      </c>
      <c r="V224" s="83">
        <v>80</v>
      </c>
      <c r="W224" s="83">
        <v>82</v>
      </c>
      <c r="X224" s="437" t="s">
        <v>1033</v>
      </c>
      <c r="Y224" s="3" t="s">
        <v>1046</v>
      </c>
      <c r="Z224" s="3"/>
    </row>
    <row r="225" spans="2:27" s="109" customFormat="1" ht="78.75">
      <c r="B225" s="69"/>
      <c r="C225" s="891"/>
      <c r="D225" s="891"/>
      <c r="E225" s="891"/>
      <c r="F225" s="891"/>
      <c r="G225" s="891"/>
      <c r="H225" s="891"/>
      <c r="I225" s="891"/>
      <c r="J225" s="891"/>
      <c r="K225" s="891"/>
      <c r="L225" s="891"/>
      <c r="M225" s="900"/>
      <c r="N225" s="3" t="s">
        <v>2116</v>
      </c>
      <c r="O225" s="3" t="s">
        <v>701</v>
      </c>
      <c r="P225" s="110">
        <f>22/630*100</f>
        <v>3.4920634920634921</v>
      </c>
      <c r="Q225" s="110">
        <f>29/630*100</f>
        <v>4.6031746031746037</v>
      </c>
      <c r="R225" s="110">
        <f>31/630*100</f>
        <v>4.9206349206349209</v>
      </c>
      <c r="S225" s="110">
        <f>33/630*100</f>
        <v>5.2380952380952381</v>
      </c>
      <c r="T225" s="110">
        <f>35/630*100</f>
        <v>5.5555555555555554</v>
      </c>
      <c r="U225" s="110">
        <f>37/630*100</f>
        <v>5.8730158730158726</v>
      </c>
      <c r="V225" s="110">
        <f>39/630*100</f>
        <v>6.1904761904761907</v>
      </c>
      <c r="W225" s="110">
        <f>39/630*100</f>
        <v>6.1904761904761907</v>
      </c>
      <c r="X225" s="31" t="s">
        <v>1033</v>
      </c>
      <c r="Y225" s="3" t="s">
        <v>4517</v>
      </c>
      <c r="Z225" s="3"/>
    </row>
    <row r="226" spans="2:27" s="109" customFormat="1" ht="94.5">
      <c r="B226" s="69"/>
      <c r="C226" s="891"/>
      <c r="D226" s="891"/>
      <c r="E226" s="891"/>
      <c r="F226" s="891"/>
      <c r="G226" s="891"/>
      <c r="H226" s="891"/>
      <c r="I226" s="891"/>
      <c r="J226" s="890">
        <v>1.03</v>
      </c>
      <c r="K226" s="890" t="s">
        <v>773</v>
      </c>
      <c r="L226" s="890">
        <v>16</v>
      </c>
      <c r="M226" s="11" t="s">
        <v>113</v>
      </c>
      <c r="N226" s="438" t="s">
        <v>4520</v>
      </c>
      <c r="O226" s="439" t="s">
        <v>701</v>
      </c>
      <c r="P226" s="438">
        <v>30.54</v>
      </c>
      <c r="Q226" s="438">
        <v>30.71</v>
      </c>
      <c r="R226" s="438">
        <v>30.9</v>
      </c>
      <c r="S226" s="438">
        <v>40.1</v>
      </c>
      <c r="T226" s="438">
        <v>40.299999999999997</v>
      </c>
      <c r="U226" s="438">
        <v>40.5</v>
      </c>
      <c r="V226" s="438">
        <v>40.700000000000003</v>
      </c>
      <c r="W226" s="438">
        <v>40.700000000000003</v>
      </c>
      <c r="X226" s="441" t="s">
        <v>1033</v>
      </c>
      <c r="Y226" s="438" t="s">
        <v>4521</v>
      </c>
      <c r="Z226" s="3"/>
    </row>
    <row r="227" spans="2:27" s="109" customFormat="1" ht="110.25">
      <c r="B227" s="69"/>
      <c r="C227" s="109">
        <v>3</v>
      </c>
      <c r="D227" s="891" t="s">
        <v>4952</v>
      </c>
      <c r="E227" s="891">
        <v>2</v>
      </c>
      <c r="F227" s="891" t="s">
        <v>4954</v>
      </c>
      <c r="G227" s="891" t="s">
        <v>4953</v>
      </c>
      <c r="H227" s="891"/>
      <c r="I227" s="890" t="s">
        <v>4955</v>
      </c>
      <c r="J227" s="95" t="s">
        <v>450</v>
      </c>
      <c r="K227" s="3" t="s">
        <v>773</v>
      </c>
      <c r="L227" s="3"/>
      <c r="M227" s="3" t="s">
        <v>1649</v>
      </c>
      <c r="N227" s="438" t="s">
        <v>4518</v>
      </c>
      <c r="O227" s="439" t="s">
        <v>1090</v>
      </c>
      <c r="P227" s="438">
        <v>2</v>
      </c>
      <c r="Q227" s="438" t="s">
        <v>743</v>
      </c>
      <c r="R227" s="438">
        <v>1</v>
      </c>
      <c r="S227" s="440" t="s">
        <v>743</v>
      </c>
      <c r="T227" s="438">
        <v>1</v>
      </c>
      <c r="U227" s="438">
        <v>1</v>
      </c>
      <c r="V227" s="438">
        <v>1</v>
      </c>
      <c r="W227" s="438">
        <v>4</v>
      </c>
      <c r="X227" s="441" t="s">
        <v>4270</v>
      </c>
      <c r="Y227" s="438" t="s">
        <v>4519</v>
      </c>
      <c r="Z227" s="3" t="s">
        <v>4605</v>
      </c>
    </row>
    <row r="228" spans="2:27" s="109" customFormat="1" ht="204.75">
      <c r="B228" s="37" t="s">
        <v>1047</v>
      </c>
      <c r="C228" s="890">
        <v>3</v>
      </c>
      <c r="D228" s="890" t="s">
        <v>1048</v>
      </c>
      <c r="E228" s="890">
        <v>4</v>
      </c>
      <c r="F228" s="890" t="s">
        <v>1049</v>
      </c>
      <c r="G228" s="890" t="s">
        <v>1050</v>
      </c>
      <c r="H228" s="890" t="s">
        <v>1051</v>
      </c>
      <c r="I228" s="890" t="s">
        <v>4956</v>
      </c>
      <c r="J228" s="890">
        <v>1.04</v>
      </c>
      <c r="K228" s="890" t="s">
        <v>773</v>
      </c>
      <c r="L228" s="890">
        <v>16</v>
      </c>
      <c r="M228" s="901" t="s">
        <v>118</v>
      </c>
      <c r="N228" s="3" t="s">
        <v>1052</v>
      </c>
      <c r="O228" s="3" t="s">
        <v>701</v>
      </c>
      <c r="P228" s="3" t="s">
        <v>4271</v>
      </c>
      <c r="Q228" s="3" t="s">
        <v>4522</v>
      </c>
      <c r="R228" s="3">
        <v>94.92</v>
      </c>
      <c r="S228" s="3">
        <f>R228+0.32</f>
        <v>95.24</v>
      </c>
      <c r="T228" s="3">
        <f>S228+0.32</f>
        <v>95.559999999999988</v>
      </c>
      <c r="U228" s="3">
        <f>T228+0.32</f>
        <v>95.879999999999981</v>
      </c>
      <c r="V228" s="3">
        <f>U228+0.32</f>
        <v>96.199999999999974</v>
      </c>
      <c r="W228" s="3">
        <f>V228</f>
        <v>96.199999999999974</v>
      </c>
      <c r="X228" s="441" t="s">
        <v>4523</v>
      </c>
      <c r="Y228" s="3" t="s">
        <v>4607</v>
      </c>
      <c r="Z228" s="441" t="s">
        <v>4608</v>
      </c>
      <c r="AA228" s="109" t="s">
        <v>4642</v>
      </c>
    </row>
    <row r="229" spans="2:27" s="109" customFormat="1" ht="59.25" customHeight="1">
      <c r="B229" s="69"/>
      <c r="C229" s="891"/>
      <c r="D229" s="891"/>
      <c r="E229" s="891"/>
      <c r="F229" s="891"/>
      <c r="G229" s="891"/>
      <c r="H229" s="891"/>
      <c r="I229" s="891"/>
      <c r="J229" s="890"/>
      <c r="K229" s="890"/>
      <c r="L229" s="890"/>
      <c r="M229" s="899"/>
      <c r="N229" s="3" t="s">
        <v>1053</v>
      </c>
      <c r="O229" s="3" t="s">
        <v>4513</v>
      </c>
      <c r="P229" s="903">
        <v>35.56</v>
      </c>
      <c r="Q229" s="903">
        <v>35.56</v>
      </c>
      <c r="R229" s="83">
        <v>32.36</v>
      </c>
      <c r="S229" s="83">
        <v>28.81</v>
      </c>
      <c r="T229" s="83">
        <v>25.42</v>
      </c>
      <c r="U229" s="83">
        <v>22.3</v>
      </c>
      <c r="V229" s="83">
        <v>19.91</v>
      </c>
      <c r="W229" s="83">
        <v>19.91</v>
      </c>
      <c r="X229" s="441" t="s">
        <v>1033</v>
      </c>
      <c r="Y229" s="3" t="s">
        <v>4524</v>
      </c>
      <c r="Z229" s="3"/>
      <c r="AA229" s="20"/>
    </row>
    <row r="230" spans="2:27" s="109" customFormat="1" ht="78.75">
      <c r="B230" s="69"/>
      <c r="C230" s="891"/>
      <c r="D230" s="891"/>
      <c r="E230" s="891"/>
      <c r="F230" s="891"/>
      <c r="G230" s="891"/>
      <c r="H230" s="891"/>
      <c r="I230" s="891"/>
      <c r="J230" s="891"/>
      <c r="K230" s="891"/>
      <c r="L230" s="891"/>
      <c r="M230" s="21"/>
      <c r="N230" s="438" t="s">
        <v>4525</v>
      </c>
      <c r="O230" s="442" t="s">
        <v>701</v>
      </c>
      <c r="P230" s="437">
        <v>74.48</v>
      </c>
      <c r="Q230" s="437">
        <v>82.48</v>
      </c>
      <c r="R230" s="443">
        <v>84.5</v>
      </c>
      <c r="S230" s="437">
        <v>86.6</v>
      </c>
      <c r="T230" s="437">
        <v>88.1</v>
      </c>
      <c r="U230" s="437">
        <v>90.2</v>
      </c>
      <c r="V230" s="437">
        <v>91.3</v>
      </c>
      <c r="W230" s="437">
        <f>V230</f>
        <v>91.3</v>
      </c>
      <c r="X230" s="441" t="s">
        <v>1033</v>
      </c>
      <c r="Y230" s="438" t="s">
        <v>4526</v>
      </c>
      <c r="Z230" s="3"/>
      <c r="AA230" s="20"/>
    </row>
    <row r="231" spans="2:27" s="109" customFormat="1" ht="78.75">
      <c r="B231" s="69"/>
      <c r="C231" s="891"/>
      <c r="D231" s="891"/>
      <c r="E231" s="891"/>
      <c r="F231" s="891"/>
      <c r="G231" s="891"/>
      <c r="H231" s="891"/>
      <c r="I231" s="891"/>
      <c r="J231" s="891"/>
      <c r="K231" s="891"/>
      <c r="L231" s="891"/>
      <c r="M231" s="21"/>
      <c r="N231" s="892" t="s">
        <v>4527</v>
      </c>
      <c r="O231" s="76" t="s">
        <v>701</v>
      </c>
      <c r="P231" s="444">
        <v>70.709999999999994</v>
      </c>
      <c r="Q231" s="444">
        <v>74.28</v>
      </c>
      <c r="R231" s="445">
        <v>74.900000000000006</v>
      </c>
      <c r="S231" s="904">
        <v>75.510000000000005</v>
      </c>
      <c r="T231" s="904">
        <v>76.099999999999994</v>
      </c>
      <c r="U231" s="904">
        <v>77.400000000000006</v>
      </c>
      <c r="V231" s="904">
        <v>78.900000000000006</v>
      </c>
      <c r="W231" s="904">
        <v>78.900000000000006</v>
      </c>
      <c r="X231" s="436" t="s">
        <v>4528</v>
      </c>
      <c r="Y231" s="892" t="s">
        <v>4529</v>
      </c>
      <c r="Z231" s="3"/>
      <c r="AA231" s="20"/>
    </row>
    <row r="232" spans="2:27" s="109" customFormat="1" ht="94.5">
      <c r="B232" s="69"/>
      <c r="C232" s="891"/>
      <c r="D232" s="891"/>
      <c r="E232" s="892"/>
      <c r="F232" s="892"/>
      <c r="G232" s="892"/>
      <c r="H232" s="892"/>
      <c r="I232" s="892"/>
      <c r="J232" s="892"/>
      <c r="K232" s="892"/>
      <c r="L232" s="892"/>
      <c r="M232" s="21"/>
      <c r="N232" s="892" t="s">
        <v>1054</v>
      </c>
      <c r="O232" s="892" t="s">
        <v>701</v>
      </c>
      <c r="P232" s="892">
        <v>3.8</v>
      </c>
      <c r="Q232" s="892">
        <v>5.8</v>
      </c>
      <c r="R232" s="892">
        <v>6</v>
      </c>
      <c r="S232" s="892">
        <v>7</v>
      </c>
      <c r="T232" s="892">
        <v>7.5</v>
      </c>
      <c r="U232" s="892">
        <v>8</v>
      </c>
      <c r="V232" s="892">
        <v>8.1999999999999993</v>
      </c>
      <c r="W232" s="892">
        <v>8.1999999999999993</v>
      </c>
      <c r="X232" s="436" t="s">
        <v>1033</v>
      </c>
      <c r="Y232" s="892" t="s">
        <v>4530</v>
      </c>
      <c r="Z232" s="3"/>
      <c r="AA232" s="20"/>
    </row>
    <row r="233" spans="2:27" s="109" customFormat="1" ht="110.25">
      <c r="B233" s="69"/>
      <c r="C233" s="891"/>
      <c r="D233" s="891"/>
      <c r="E233" s="891"/>
      <c r="F233" s="891"/>
      <c r="G233" s="891"/>
      <c r="H233" s="891"/>
      <c r="I233" s="890"/>
      <c r="J233" s="890"/>
      <c r="K233" s="890"/>
      <c r="L233" s="890"/>
      <c r="M233" s="899"/>
      <c r="N233" s="890" t="s">
        <v>1055</v>
      </c>
      <c r="O233" s="890" t="s">
        <v>701</v>
      </c>
      <c r="P233" s="3" t="s">
        <v>4272</v>
      </c>
      <c r="Q233" s="3" t="s">
        <v>4273</v>
      </c>
      <c r="R233" s="3">
        <v>28</v>
      </c>
      <c r="S233" s="3">
        <v>40</v>
      </c>
      <c r="T233" s="3">
        <v>52</v>
      </c>
      <c r="U233" s="3">
        <v>64</v>
      </c>
      <c r="V233" s="3">
        <v>76</v>
      </c>
      <c r="W233" s="3">
        <v>76</v>
      </c>
      <c r="X233" s="446" t="s">
        <v>1033</v>
      </c>
      <c r="Y233" s="890" t="s">
        <v>1056</v>
      </c>
      <c r="Z233" s="890"/>
      <c r="AA233" s="20"/>
    </row>
    <row r="234" spans="2:27" s="98" customFormat="1" ht="189">
      <c r="B234" s="624"/>
      <c r="C234" s="625">
        <v>4</v>
      </c>
      <c r="D234" s="625" t="s">
        <v>825</v>
      </c>
      <c r="E234" s="890">
        <v>5</v>
      </c>
      <c r="F234" s="625" t="s">
        <v>826</v>
      </c>
      <c r="G234" s="625" t="s">
        <v>827</v>
      </c>
      <c r="H234" s="626"/>
      <c r="I234" s="625" t="s">
        <v>4957</v>
      </c>
      <c r="J234" s="890">
        <v>1.04</v>
      </c>
      <c r="K234" s="890" t="s">
        <v>773</v>
      </c>
      <c r="L234" s="890">
        <v>18</v>
      </c>
      <c r="M234" s="627" t="s">
        <v>119</v>
      </c>
      <c r="N234" s="83" t="s">
        <v>4643</v>
      </c>
      <c r="O234" s="83" t="s">
        <v>701</v>
      </c>
      <c r="P234" s="83">
        <v>20</v>
      </c>
      <c r="Q234" s="83">
        <v>20</v>
      </c>
      <c r="R234" s="83">
        <v>20</v>
      </c>
      <c r="S234" s="83">
        <v>40</v>
      </c>
      <c r="T234" s="83">
        <v>60</v>
      </c>
      <c r="U234" s="83">
        <v>80</v>
      </c>
      <c r="V234" s="83">
        <v>80</v>
      </c>
      <c r="W234" s="83">
        <v>80</v>
      </c>
      <c r="X234" s="628" t="s">
        <v>1033</v>
      </c>
      <c r="Y234" s="725" t="s">
        <v>4644</v>
      </c>
      <c r="Z234" s="629"/>
    </row>
    <row r="235" spans="2:27" s="98" customFormat="1" ht="126">
      <c r="B235" s="624"/>
      <c r="C235" s="630"/>
      <c r="D235" s="630"/>
      <c r="E235" s="631"/>
      <c r="F235" s="631"/>
      <c r="G235" s="631"/>
      <c r="H235" s="632"/>
      <c r="I235" s="631"/>
      <c r="J235" s="630"/>
      <c r="K235" s="631"/>
      <c r="L235" s="630"/>
      <c r="M235" s="630"/>
      <c r="N235" s="84" t="s">
        <v>4645</v>
      </c>
      <c r="O235" s="83" t="s">
        <v>701</v>
      </c>
      <c r="P235" s="83">
        <v>39</v>
      </c>
      <c r="Q235" s="83">
        <v>68</v>
      </c>
      <c r="R235" s="83">
        <v>70</v>
      </c>
      <c r="S235" s="83">
        <v>73</v>
      </c>
      <c r="T235" s="83">
        <v>80</v>
      </c>
      <c r="U235" s="83">
        <v>80</v>
      </c>
      <c r="V235" s="83">
        <v>80</v>
      </c>
      <c r="W235" s="83">
        <v>80</v>
      </c>
      <c r="X235" s="628" t="s">
        <v>1033</v>
      </c>
      <c r="Y235" s="3" t="s">
        <v>4646</v>
      </c>
      <c r="Z235" s="83" t="s">
        <v>4647</v>
      </c>
    </row>
    <row r="236" spans="2:27" s="98" customFormat="1" ht="110.25">
      <c r="B236" s="624"/>
      <c r="C236" s="630"/>
      <c r="D236" s="630"/>
      <c r="E236" s="631"/>
      <c r="F236" s="631"/>
      <c r="G236" s="631"/>
      <c r="H236" s="632"/>
      <c r="I236" s="631"/>
      <c r="J236" s="630"/>
      <c r="K236" s="631"/>
      <c r="L236" s="630"/>
      <c r="M236" s="630"/>
      <c r="N236" s="83" t="s">
        <v>4648</v>
      </c>
      <c r="O236" s="83" t="s">
        <v>701</v>
      </c>
      <c r="P236" s="83">
        <v>71</v>
      </c>
      <c r="Q236" s="83">
        <v>83</v>
      </c>
      <c r="R236" s="83">
        <v>85</v>
      </c>
      <c r="S236" s="83">
        <v>87</v>
      </c>
      <c r="T236" s="83">
        <v>90</v>
      </c>
      <c r="U236" s="83">
        <v>93</v>
      </c>
      <c r="V236" s="83">
        <v>95</v>
      </c>
      <c r="W236" s="83">
        <v>95</v>
      </c>
      <c r="X236" s="628" t="s">
        <v>1033</v>
      </c>
      <c r="Y236" s="83" t="s">
        <v>4649</v>
      </c>
      <c r="Z236" s="83"/>
    </row>
    <row r="237" spans="2:27" s="98" customFormat="1" ht="141.75">
      <c r="B237" s="624"/>
      <c r="C237" s="630"/>
      <c r="D237" s="630"/>
      <c r="E237" s="631"/>
      <c r="F237" s="631"/>
      <c r="G237" s="631"/>
      <c r="H237" s="632"/>
      <c r="I237" s="631"/>
      <c r="J237" s="630"/>
      <c r="K237" s="631"/>
      <c r="L237" s="630"/>
      <c r="M237" s="633"/>
      <c r="N237" s="83" t="s">
        <v>4650</v>
      </c>
      <c r="O237" s="83" t="s">
        <v>701</v>
      </c>
      <c r="P237" s="83" t="s">
        <v>4651</v>
      </c>
      <c r="Q237" s="83">
        <v>82</v>
      </c>
      <c r="R237" s="83">
        <v>85</v>
      </c>
      <c r="S237" s="83">
        <v>87</v>
      </c>
      <c r="T237" s="83">
        <v>90</v>
      </c>
      <c r="U237" s="83">
        <v>93</v>
      </c>
      <c r="V237" s="83">
        <v>95</v>
      </c>
      <c r="W237" s="83">
        <v>95</v>
      </c>
      <c r="X237" s="628" t="s">
        <v>1033</v>
      </c>
      <c r="Y237" s="83" t="s">
        <v>4652</v>
      </c>
      <c r="Z237" s="83"/>
    </row>
    <row r="238" spans="2:27" s="109" customFormat="1" ht="189">
      <c r="B238" s="37" t="s">
        <v>1057</v>
      </c>
      <c r="C238" s="890">
        <v>5</v>
      </c>
      <c r="D238" s="890" t="s">
        <v>1058</v>
      </c>
      <c r="E238" s="890">
        <v>6</v>
      </c>
      <c r="F238" s="890" t="s">
        <v>1059</v>
      </c>
      <c r="G238" s="890" t="s">
        <v>1060</v>
      </c>
      <c r="H238" s="890" t="s">
        <v>1061</v>
      </c>
      <c r="I238" s="890" t="s">
        <v>4958</v>
      </c>
      <c r="J238" s="890"/>
      <c r="K238" s="890"/>
      <c r="L238" s="890"/>
      <c r="M238" s="3"/>
      <c r="N238" s="3"/>
      <c r="O238" s="3"/>
      <c r="P238" s="3"/>
      <c r="Q238" s="3"/>
      <c r="R238" s="3"/>
      <c r="S238" s="3"/>
      <c r="T238" s="3"/>
      <c r="U238" s="3"/>
      <c r="V238" s="3"/>
      <c r="W238" s="3"/>
      <c r="X238" s="31"/>
      <c r="Y238" s="3"/>
      <c r="Z238" s="3"/>
    </row>
    <row r="239" spans="2:27" s="109" customFormat="1" ht="110.25">
      <c r="B239" s="69"/>
      <c r="C239" s="891"/>
      <c r="D239" s="891"/>
      <c r="E239" s="891"/>
      <c r="F239" s="891"/>
      <c r="G239" s="891"/>
      <c r="H239" s="891"/>
      <c r="I239" s="891"/>
      <c r="J239" s="890" t="s">
        <v>256</v>
      </c>
      <c r="K239" s="890" t="s">
        <v>773</v>
      </c>
      <c r="L239" s="890">
        <v>15</v>
      </c>
      <c r="M239" s="11" t="s">
        <v>258</v>
      </c>
      <c r="N239" s="3" t="s">
        <v>4531</v>
      </c>
      <c r="O239" s="3" t="s">
        <v>4532</v>
      </c>
      <c r="P239" s="3">
        <v>1</v>
      </c>
      <c r="Q239" s="3">
        <v>1</v>
      </c>
      <c r="R239" s="3">
        <v>2</v>
      </c>
      <c r="S239" s="3">
        <v>2</v>
      </c>
      <c r="T239" s="3">
        <v>3</v>
      </c>
      <c r="U239" s="3">
        <v>3</v>
      </c>
      <c r="V239" s="3">
        <v>3</v>
      </c>
      <c r="W239" s="3">
        <v>3</v>
      </c>
      <c r="X239" s="31" t="s">
        <v>4533</v>
      </c>
      <c r="Y239" s="3" t="s">
        <v>4534</v>
      </c>
      <c r="Z239" s="890" t="s">
        <v>4535</v>
      </c>
    </row>
    <row r="240" spans="2:27" s="109" customFormat="1" ht="126">
      <c r="B240" s="69"/>
      <c r="C240" s="891"/>
      <c r="D240" s="891"/>
      <c r="E240" s="891"/>
      <c r="F240" s="891"/>
      <c r="G240" s="891"/>
      <c r="H240" s="891"/>
      <c r="I240" s="891"/>
      <c r="J240" s="890"/>
      <c r="K240" s="890"/>
      <c r="L240" s="890"/>
      <c r="M240" s="890"/>
      <c r="N240" s="3" t="s">
        <v>4536</v>
      </c>
      <c r="O240" s="3" t="s">
        <v>701</v>
      </c>
      <c r="P240" s="3">
        <v>100</v>
      </c>
      <c r="Q240" s="3">
        <v>100</v>
      </c>
      <c r="R240" s="3">
        <v>100</v>
      </c>
      <c r="S240" s="3">
        <v>100</v>
      </c>
      <c r="T240" s="3">
        <v>100</v>
      </c>
      <c r="U240" s="3">
        <v>100</v>
      </c>
      <c r="V240" s="3">
        <v>100</v>
      </c>
      <c r="W240" s="3">
        <v>100</v>
      </c>
      <c r="X240" s="31" t="s">
        <v>4533</v>
      </c>
      <c r="Y240" s="3" t="s">
        <v>4537</v>
      </c>
      <c r="Z240" s="890"/>
    </row>
    <row r="241" spans="1:27" s="109" customFormat="1" ht="63">
      <c r="B241" s="69"/>
      <c r="C241" s="891"/>
      <c r="D241" s="891"/>
      <c r="E241" s="891"/>
      <c r="F241" s="891"/>
      <c r="G241" s="891"/>
      <c r="H241" s="891"/>
      <c r="I241" s="891"/>
      <c r="J241" s="890"/>
      <c r="K241" s="890"/>
      <c r="L241" s="890"/>
      <c r="M241" s="890"/>
      <c r="N241" s="3" t="s">
        <v>4538</v>
      </c>
      <c r="O241" s="3" t="s">
        <v>701</v>
      </c>
      <c r="P241" s="3">
        <v>100</v>
      </c>
      <c r="Q241" s="3">
        <v>100</v>
      </c>
      <c r="R241" s="3">
        <v>100</v>
      </c>
      <c r="S241" s="3">
        <v>100</v>
      </c>
      <c r="T241" s="3">
        <v>100</v>
      </c>
      <c r="U241" s="3">
        <v>100</v>
      </c>
      <c r="V241" s="3">
        <v>100</v>
      </c>
      <c r="W241" s="3">
        <v>100</v>
      </c>
      <c r="X241" s="31" t="s">
        <v>1710</v>
      </c>
      <c r="Y241" s="3" t="s">
        <v>4609</v>
      </c>
      <c r="Z241" s="890"/>
    </row>
    <row r="242" spans="1:27" s="109" customFormat="1" ht="63">
      <c r="B242" s="69"/>
      <c r="C242" s="891"/>
      <c r="D242" s="891"/>
      <c r="E242" s="891"/>
      <c r="F242" s="891"/>
      <c r="G242" s="891"/>
      <c r="H242" s="891"/>
      <c r="I242" s="891"/>
      <c r="J242" s="890">
        <v>1.05</v>
      </c>
      <c r="K242" s="890" t="s">
        <v>773</v>
      </c>
      <c r="L242" s="890">
        <v>17</v>
      </c>
      <c r="M242" s="39" t="s">
        <v>120</v>
      </c>
      <c r="N242" s="3" t="s">
        <v>1062</v>
      </c>
      <c r="O242" s="3" t="s">
        <v>701</v>
      </c>
      <c r="P242" s="3">
        <f>22/22*100</f>
        <v>100</v>
      </c>
      <c r="Q242" s="3">
        <f>28/32*100</f>
        <v>87.5</v>
      </c>
      <c r="R242" s="3">
        <v>100</v>
      </c>
      <c r="S242" s="3">
        <v>100</v>
      </c>
      <c r="T242" s="3">
        <v>100</v>
      </c>
      <c r="U242" s="3">
        <v>100</v>
      </c>
      <c r="V242" s="3">
        <v>100</v>
      </c>
      <c r="W242" s="3">
        <v>100</v>
      </c>
      <c r="X242" s="31" t="s">
        <v>1063</v>
      </c>
      <c r="Y242" s="3" t="s">
        <v>4539</v>
      </c>
      <c r="Z242" s="890"/>
    </row>
    <row r="243" spans="1:27" s="109" customFormat="1" ht="78.75">
      <c r="B243" s="69"/>
      <c r="C243" s="891"/>
      <c r="D243" s="891"/>
      <c r="E243" s="891"/>
      <c r="F243" s="891"/>
      <c r="G243" s="891"/>
      <c r="H243" s="891"/>
      <c r="I243" s="891"/>
      <c r="J243" s="890"/>
      <c r="K243" s="890"/>
      <c r="L243" s="890"/>
      <c r="M243" s="39"/>
      <c r="N243" s="83" t="s">
        <v>1064</v>
      </c>
      <c r="O243" s="83" t="s">
        <v>701</v>
      </c>
      <c r="P243" s="83">
        <v>85</v>
      </c>
      <c r="Q243" s="83">
        <v>90</v>
      </c>
      <c r="R243" s="83">
        <v>95</v>
      </c>
      <c r="S243" s="83">
        <v>100</v>
      </c>
      <c r="T243" s="83">
        <v>100</v>
      </c>
      <c r="U243" s="83">
        <v>100</v>
      </c>
      <c r="V243" s="83">
        <v>100</v>
      </c>
      <c r="W243" s="83">
        <v>100</v>
      </c>
      <c r="X243" s="441" t="s">
        <v>1065</v>
      </c>
      <c r="Y243" s="3" t="s">
        <v>4610</v>
      </c>
      <c r="Z243" s="3"/>
    </row>
    <row r="244" spans="1:27" s="109" customFormat="1" ht="63">
      <c r="B244" s="69"/>
      <c r="C244" s="892"/>
      <c r="D244" s="892"/>
      <c r="E244" s="892"/>
      <c r="F244" s="892"/>
      <c r="G244" s="892"/>
      <c r="H244" s="892"/>
      <c r="I244" s="892"/>
      <c r="J244" s="892" t="s">
        <v>295</v>
      </c>
      <c r="K244" s="892" t="s">
        <v>773</v>
      </c>
      <c r="L244" s="892">
        <v>24</v>
      </c>
      <c r="M244" s="11" t="s">
        <v>122</v>
      </c>
      <c r="N244" s="3" t="s">
        <v>4540</v>
      </c>
      <c r="O244" s="3" t="s">
        <v>701</v>
      </c>
      <c r="P244" s="3">
        <v>29.15</v>
      </c>
      <c r="Q244" s="3">
        <v>29.15</v>
      </c>
      <c r="R244" s="3">
        <v>29.15</v>
      </c>
      <c r="S244" s="3">
        <v>30</v>
      </c>
      <c r="T244" s="3">
        <v>30.25</v>
      </c>
      <c r="U244" s="3">
        <v>30.5</v>
      </c>
      <c r="V244" s="3">
        <v>31.25</v>
      </c>
      <c r="W244" s="3">
        <v>31.25</v>
      </c>
      <c r="X244" s="31" t="s">
        <v>4541</v>
      </c>
      <c r="Y244" s="3" t="s">
        <v>4542</v>
      </c>
      <c r="Z244" s="3"/>
    </row>
    <row r="245" spans="1:27" s="109" customFormat="1" ht="78.75">
      <c r="B245" s="69"/>
      <c r="C245" s="891"/>
      <c r="D245" s="891"/>
      <c r="E245" s="891"/>
      <c r="F245" s="891"/>
      <c r="G245" s="891"/>
      <c r="H245" s="891"/>
      <c r="I245" s="891"/>
      <c r="J245" s="890">
        <v>1.03</v>
      </c>
      <c r="K245" s="890" t="s">
        <v>773</v>
      </c>
      <c r="L245" s="890">
        <v>32</v>
      </c>
      <c r="M245" s="19" t="s">
        <v>116</v>
      </c>
      <c r="N245" s="83" t="s">
        <v>1066</v>
      </c>
      <c r="O245" s="83" t="s">
        <v>701</v>
      </c>
      <c r="P245" s="83">
        <v>15.8</v>
      </c>
      <c r="Q245" s="83">
        <v>16.100000000000001</v>
      </c>
      <c r="R245" s="83">
        <v>16.399999999999999</v>
      </c>
      <c r="S245" s="83">
        <v>16.7</v>
      </c>
      <c r="T245" s="83">
        <v>17</v>
      </c>
      <c r="U245" s="83">
        <v>17.3</v>
      </c>
      <c r="V245" s="83">
        <v>17.600000000000001</v>
      </c>
      <c r="W245" s="83">
        <v>17.600000000000001</v>
      </c>
      <c r="X245" s="441" t="s">
        <v>1033</v>
      </c>
      <c r="Y245" s="3" t="s">
        <v>4611</v>
      </c>
      <c r="Z245" s="3"/>
      <c r="AA245" s="20"/>
    </row>
    <row r="246" spans="1:27" s="109" customFormat="1" ht="126">
      <c r="A246" s="109" t="s">
        <v>4543</v>
      </c>
      <c r="B246" s="37" t="s">
        <v>20</v>
      </c>
      <c r="C246" s="890">
        <v>7</v>
      </c>
      <c r="D246" s="890" t="s">
        <v>1068</v>
      </c>
      <c r="E246" s="890">
        <v>7</v>
      </c>
      <c r="F246" s="890" t="s">
        <v>1069</v>
      </c>
      <c r="G246" s="890" t="s">
        <v>1070</v>
      </c>
      <c r="H246" s="890"/>
      <c r="I246" s="890" t="s">
        <v>5003</v>
      </c>
      <c r="J246" s="3" t="s">
        <v>295</v>
      </c>
      <c r="K246" s="3" t="s">
        <v>773</v>
      </c>
      <c r="L246" s="3">
        <v>16</v>
      </c>
      <c r="M246" s="11" t="s">
        <v>125</v>
      </c>
      <c r="N246" s="83" t="s">
        <v>4322</v>
      </c>
      <c r="O246" s="83" t="s">
        <v>701</v>
      </c>
      <c r="P246" s="83">
        <v>2.21</v>
      </c>
      <c r="Q246" s="83">
        <v>2.9</v>
      </c>
      <c r="R246" s="83">
        <v>4.9000000000000004</v>
      </c>
      <c r="S246" s="83">
        <v>7.5</v>
      </c>
      <c r="T246" s="83">
        <v>9.8000000000000007</v>
      </c>
      <c r="U246" s="83">
        <v>11.2</v>
      </c>
      <c r="V246" s="83">
        <v>14.5</v>
      </c>
      <c r="W246" s="83">
        <v>14.5</v>
      </c>
      <c r="X246" s="437" t="s">
        <v>1067</v>
      </c>
      <c r="Y246" s="3" t="s">
        <v>4544</v>
      </c>
      <c r="Z246" s="3"/>
    </row>
    <row r="247" spans="1:27" s="109" customFormat="1" ht="78.75">
      <c r="B247" s="69"/>
      <c r="C247" s="891"/>
      <c r="D247" s="891"/>
      <c r="E247" s="891"/>
      <c r="F247" s="891"/>
      <c r="G247" s="891"/>
      <c r="H247" s="891"/>
      <c r="I247" s="891"/>
      <c r="J247" s="3" t="s">
        <v>295</v>
      </c>
      <c r="K247" s="3" t="s">
        <v>773</v>
      </c>
      <c r="L247" s="3">
        <v>15</v>
      </c>
      <c r="M247" s="11" t="s">
        <v>124</v>
      </c>
      <c r="N247" s="83" t="s">
        <v>4545</v>
      </c>
      <c r="O247" s="83" t="s">
        <v>701</v>
      </c>
      <c r="P247" s="83">
        <v>10.38</v>
      </c>
      <c r="Q247" s="83">
        <v>10.35</v>
      </c>
      <c r="R247" s="83" t="s">
        <v>4274</v>
      </c>
      <c r="S247" s="83">
        <v>13</v>
      </c>
      <c r="T247" s="83" t="s">
        <v>4275</v>
      </c>
      <c r="U247" s="83">
        <v>14</v>
      </c>
      <c r="V247" s="83" t="s">
        <v>4276</v>
      </c>
      <c r="W247" s="83">
        <v>15</v>
      </c>
      <c r="X247" s="441" t="s">
        <v>1033</v>
      </c>
      <c r="Y247" s="3" t="s">
        <v>4546</v>
      </c>
      <c r="Z247" s="3"/>
      <c r="AA247" s="20"/>
    </row>
    <row r="248" spans="1:27" s="109" customFormat="1" ht="106.5" customHeight="1">
      <c r="B248" s="69"/>
      <c r="C248" s="891"/>
      <c r="D248" s="891"/>
      <c r="E248" s="891"/>
      <c r="F248" s="891"/>
      <c r="G248" s="891"/>
      <c r="H248" s="891"/>
      <c r="I248" s="891"/>
      <c r="J248" s="892"/>
      <c r="K248" s="892"/>
      <c r="L248" s="892"/>
      <c r="M248" s="434"/>
      <c r="N248" s="3" t="s">
        <v>4547</v>
      </c>
      <c r="O248" s="3" t="s">
        <v>701</v>
      </c>
      <c r="P248" s="3">
        <v>76</v>
      </c>
      <c r="Q248" s="3">
        <v>80</v>
      </c>
      <c r="R248" s="3">
        <v>80</v>
      </c>
      <c r="S248" s="3">
        <v>83</v>
      </c>
      <c r="T248" s="3">
        <v>85</v>
      </c>
      <c r="U248" s="3">
        <v>86</v>
      </c>
      <c r="V248" s="3">
        <v>87</v>
      </c>
      <c r="W248" s="3">
        <v>87</v>
      </c>
      <c r="X248" s="31" t="s">
        <v>1033</v>
      </c>
      <c r="Y248" s="3" t="s">
        <v>4548</v>
      </c>
      <c r="Z248" s="3"/>
      <c r="AA248" s="20"/>
    </row>
    <row r="249" spans="1:27" s="109" customFormat="1" ht="114.75" customHeight="1">
      <c r="B249" s="69"/>
      <c r="C249" s="891"/>
      <c r="D249" s="891"/>
      <c r="E249" s="891"/>
      <c r="F249" s="891"/>
      <c r="G249" s="891"/>
      <c r="H249" s="891"/>
      <c r="I249" s="891"/>
      <c r="J249" s="891"/>
      <c r="K249" s="891"/>
      <c r="L249" s="891"/>
      <c r="M249" s="11"/>
      <c r="N249" s="447" t="s">
        <v>4549</v>
      </c>
      <c r="O249" s="447" t="s">
        <v>701</v>
      </c>
      <c r="P249" s="447">
        <v>45</v>
      </c>
      <c r="Q249" s="447">
        <v>50</v>
      </c>
      <c r="R249" s="447">
        <v>55</v>
      </c>
      <c r="S249" s="448">
        <v>55</v>
      </c>
      <c r="T249" s="447">
        <v>60</v>
      </c>
      <c r="U249" s="447">
        <v>60</v>
      </c>
      <c r="V249" s="447">
        <v>65</v>
      </c>
      <c r="W249" s="447">
        <v>65</v>
      </c>
      <c r="X249" s="441" t="s">
        <v>1033</v>
      </c>
      <c r="Y249" s="438" t="s">
        <v>4550</v>
      </c>
      <c r="Z249" s="3" t="s">
        <v>4551</v>
      </c>
      <c r="AA249" s="20"/>
    </row>
    <row r="250" spans="1:27" s="109" customFormat="1" ht="47.25">
      <c r="B250" s="69"/>
      <c r="C250" s="891"/>
      <c r="D250" s="891"/>
      <c r="E250" s="891"/>
      <c r="F250" s="891"/>
      <c r="G250" s="891"/>
      <c r="H250" s="891"/>
      <c r="I250" s="891"/>
      <c r="J250" s="891"/>
      <c r="K250" s="891"/>
      <c r="L250" s="891"/>
      <c r="M250" s="434"/>
      <c r="N250" s="83" t="s">
        <v>4277</v>
      </c>
      <c r="O250" s="83" t="s">
        <v>742</v>
      </c>
      <c r="P250" s="83" t="s">
        <v>743</v>
      </c>
      <c r="Q250" s="83" t="s">
        <v>743</v>
      </c>
      <c r="R250" s="83" t="s">
        <v>743</v>
      </c>
      <c r="S250" s="83"/>
      <c r="T250" s="83"/>
      <c r="U250" s="83">
        <v>1</v>
      </c>
      <c r="V250" s="83">
        <v>1</v>
      </c>
      <c r="W250" s="83">
        <v>1</v>
      </c>
      <c r="X250" s="449" t="s">
        <v>4552</v>
      </c>
      <c r="Y250" s="3"/>
      <c r="Z250" s="3" t="s">
        <v>4323</v>
      </c>
      <c r="AA250" s="20"/>
    </row>
    <row r="251" spans="1:27" s="109" customFormat="1" ht="136.5" customHeight="1">
      <c r="B251" s="69"/>
      <c r="C251" s="891"/>
      <c r="D251" s="891"/>
      <c r="E251" s="890">
        <v>8</v>
      </c>
      <c r="F251" s="890" t="s">
        <v>1076</v>
      </c>
      <c r="G251" s="890" t="s">
        <v>1077</v>
      </c>
      <c r="H251" s="890"/>
      <c r="I251" s="890" t="s">
        <v>5004</v>
      </c>
      <c r="J251" s="890" t="s">
        <v>295</v>
      </c>
      <c r="K251" s="890" t="s">
        <v>773</v>
      </c>
      <c r="L251" s="890">
        <v>15</v>
      </c>
      <c r="M251" s="11" t="s">
        <v>125</v>
      </c>
      <c r="N251" s="3" t="s">
        <v>1075</v>
      </c>
      <c r="O251" s="3" t="s">
        <v>701</v>
      </c>
      <c r="P251" s="3">
        <v>100</v>
      </c>
      <c r="Q251" s="3">
        <v>100</v>
      </c>
      <c r="R251" s="3">
        <v>100</v>
      </c>
      <c r="S251" s="3">
        <v>100</v>
      </c>
      <c r="T251" s="3">
        <v>100</v>
      </c>
      <c r="U251" s="3">
        <v>100</v>
      </c>
      <c r="V251" s="3">
        <v>100</v>
      </c>
      <c r="W251" s="3">
        <v>100</v>
      </c>
      <c r="X251" s="31" t="s">
        <v>1072</v>
      </c>
      <c r="Y251" s="3" t="s">
        <v>4553</v>
      </c>
      <c r="Z251" s="3"/>
      <c r="AA251" s="20"/>
    </row>
    <row r="252" spans="1:27" s="109" customFormat="1" ht="193.5" customHeight="1">
      <c r="B252" s="69"/>
      <c r="C252" s="891"/>
      <c r="D252" s="891"/>
      <c r="E252" s="891"/>
      <c r="F252" s="891"/>
      <c r="G252" s="899"/>
      <c r="H252" s="891"/>
      <c r="I252" s="891"/>
      <c r="J252" s="890"/>
      <c r="K252" s="890"/>
      <c r="L252" s="890"/>
      <c r="M252" s="19"/>
      <c r="N252" s="3" t="s">
        <v>1074</v>
      </c>
      <c r="O252" s="3" t="s">
        <v>701</v>
      </c>
      <c r="P252" s="3" t="s">
        <v>1839</v>
      </c>
      <c r="Q252" s="3">
        <v>100</v>
      </c>
      <c r="R252" s="3">
        <v>100</v>
      </c>
      <c r="S252" s="3">
        <v>100</v>
      </c>
      <c r="T252" s="3">
        <v>100</v>
      </c>
      <c r="U252" s="3">
        <v>100</v>
      </c>
      <c r="V252" s="3">
        <v>100</v>
      </c>
      <c r="W252" s="3">
        <v>100</v>
      </c>
      <c r="X252" s="31" t="s">
        <v>1072</v>
      </c>
      <c r="Y252" s="3" t="s">
        <v>4554</v>
      </c>
      <c r="Z252" s="3"/>
      <c r="AA252" s="20"/>
    </row>
    <row r="253" spans="1:27" s="109" customFormat="1" ht="157.5">
      <c r="B253" s="69"/>
      <c r="C253" s="891"/>
      <c r="D253" s="891"/>
      <c r="E253" s="891"/>
      <c r="F253" s="891"/>
      <c r="G253" s="899"/>
      <c r="H253" s="891"/>
      <c r="I253" s="891"/>
      <c r="J253" s="890"/>
      <c r="K253" s="890"/>
      <c r="L253" s="890"/>
      <c r="M253" s="19"/>
      <c r="N253" s="3" t="s">
        <v>4324</v>
      </c>
      <c r="O253" s="3" t="s">
        <v>701</v>
      </c>
      <c r="P253" s="95" t="s">
        <v>743</v>
      </c>
      <c r="Q253" s="95" t="s">
        <v>743</v>
      </c>
      <c r="R253" s="3">
        <v>20</v>
      </c>
      <c r="S253" s="3">
        <v>40</v>
      </c>
      <c r="T253" s="3">
        <v>60</v>
      </c>
      <c r="U253" s="3">
        <v>80</v>
      </c>
      <c r="V253" s="3">
        <v>100</v>
      </c>
      <c r="W253" s="3">
        <v>100</v>
      </c>
      <c r="X253" s="31" t="s">
        <v>1072</v>
      </c>
      <c r="Y253" s="3" t="s">
        <v>4555</v>
      </c>
      <c r="Z253" s="3"/>
      <c r="AA253" s="20"/>
    </row>
    <row r="254" spans="1:27" s="109" customFormat="1" ht="126">
      <c r="B254" s="37"/>
      <c r="C254" s="890"/>
      <c r="D254" s="890"/>
      <c r="J254" s="3"/>
      <c r="K254" s="3"/>
      <c r="L254" s="3"/>
      <c r="M254" s="3"/>
      <c r="N254" s="3" t="s">
        <v>1071</v>
      </c>
      <c r="O254" s="3" t="s">
        <v>701</v>
      </c>
      <c r="P254" s="3">
        <v>100</v>
      </c>
      <c r="Q254" s="3">
        <v>100</v>
      </c>
      <c r="R254" s="3">
        <v>100</v>
      </c>
      <c r="S254" s="3">
        <v>100</v>
      </c>
      <c r="T254" s="3">
        <v>100</v>
      </c>
      <c r="U254" s="3">
        <v>100</v>
      </c>
      <c r="V254" s="3">
        <v>100</v>
      </c>
      <c r="W254" s="3">
        <v>100</v>
      </c>
      <c r="X254" s="31" t="s">
        <v>1072</v>
      </c>
      <c r="Y254" s="3" t="s">
        <v>4556</v>
      </c>
      <c r="Z254" s="3" t="s">
        <v>1073</v>
      </c>
    </row>
    <row r="255" spans="1:27" s="109" customFormat="1" ht="141.75">
      <c r="B255" s="77"/>
      <c r="C255" s="892"/>
      <c r="D255" s="892"/>
      <c r="E255" s="892"/>
      <c r="F255" s="892"/>
      <c r="G255" s="900"/>
      <c r="H255" s="892"/>
      <c r="I255" s="892"/>
      <c r="J255" s="892"/>
      <c r="K255" s="892"/>
      <c r="L255" s="892"/>
      <c r="M255" s="892"/>
      <c r="N255" s="3" t="s">
        <v>1078</v>
      </c>
      <c r="O255" s="3" t="s">
        <v>701</v>
      </c>
      <c r="P255" s="3">
        <v>100</v>
      </c>
      <c r="Q255" s="3">
        <v>100</v>
      </c>
      <c r="R255" s="3">
        <v>100</v>
      </c>
      <c r="S255" s="3">
        <v>100</v>
      </c>
      <c r="T255" s="3">
        <v>100</v>
      </c>
      <c r="U255" s="3">
        <v>100</v>
      </c>
      <c r="V255" s="3">
        <v>100</v>
      </c>
      <c r="W255" s="3">
        <v>100</v>
      </c>
      <c r="X255" s="31" t="s">
        <v>1072</v>
      </c>
      <c r="Y255" s="3" t="s">
        <v>4557</v>
      </c>
      <c r="Z255" s="3"/>
      <c r="AA255" s="20"/>
    </row>
    <row r="256" spans="1:27" s="109" customFormat="1" ht="141.75">
      <c r="B256" s="450" t="s">
        <v>1079</v>
      </c>
      <c r="C256" s="890">
        <v>9</v>
      </c>
      <c r="D256" s="890" t="s">
        <v>1080</v>
      </c>
      <c r="E256" s="890">
        <v>9</v>
      </c>
      <c r="F256" s="890" t="s">
        <v>1081</v>
      </c>
      <c r="G256" s="890" t="s">
        <v>1082</v>
      </c>
      <c r="H256" s="890"/>
      <c r="I256" s="890" t="s">
        <v>5005</v>
      </c>
      <c r="J256" s="890">
        <v>2.0299999999999998</v>
      </c>
      <c r="K256" s="890" t="s">
        <v>773</v>
      </c>
      <c r="L256" s="890">
        <v>17</v>
      </c>
      <c r="M256" s="11" t="s">
        <v>593</v>
      </c>
      <c r="N256" s="83" t="s">
        <v>4558</v>
      </c>
      <c r="O256" s="83" t="s">
        <v>742</v>
      </c>
      <c r="P256" s="83">
        <v>5</v>
      </c>
      <c r="Q256" s="83">
        <v>5</v>
      </c>
      <c r="R256" s="83">
        <v>6</v>
      </c>
      <c r="S256" s="83">
        <v>6</v>
      </c>
      <c r="T256" s="83">
        <v>7</v>
      </c>
      <c r="U256" s="83">
        <v>7</v>
      </c>
      <c r="V256" s="83">
        <v>8</v>
      </c>
      <c r="W256" s="83">
        <v>8</v>
      </c>
      <c r="X256" s="451" t="s">
        <v>4559</v>
      </c>
      <c r="Y256" s="469" t="s">
        <v>4560</v>
      </c>
      <c r="Z256" s="3"/>
    </row>
    <row r="257" spans="1:41" s="109" customFormat="1" ht="173.25">
      <c r="B257" s="37" t="s">
        <v>19</v>
      </c>
      <c r="C257" s="890">
        <v>10</v>
      </c>
      <c r="D257" s="890" t="s">
        <v>1083</v>
      </c>
      <c r="E257" s="890">
        <v>10</v>
      </c>
      <c r="F257" s="890" t="s">
        <v>1084</v>
      </c>
      <c r="G257" s="890" t="s">
        <v>1085</v>
      </c>
      <c r="H257" s="890" t="s">
        <v>1086</v>
      </c>
      <c r="I257" s="890" t="s">
        <v>5006</v>
      </c>
      <c r="J257" s="43" t="s">
        <v>285</v>
      </c>
      <c r="K257" s="890" t="s">
        <v>773</v>
      </c>
      <c r="L257" s="890">
        <v>17</v>
      </c>
      <c r="M257" s="44" t="s">
        <v>129</v>
      </c>
      <c r="N257" s="3" t="s">
        <v>1087</v>
      </c>
      <c r="O257" s="3" t="s">
        <v>701</v>
      </c>
      <c r="P257" s="3">
        <v>81.400000000000006</v>
      </c>
      <c r="Q257" s="3">
        <v>90.2</v>
      </c>
      <c r="R257" s="3">
        <v>91.4</v>
      </c>
      <c r="S257" s="3">
        <v>92.3</v>
      </c>
      <c r="T257" s="3">
        <v>93.7</v>
      </c>
      <c r="U257" s="3">
        <v>94.3</v>
      </c>
      <c r="V257" s="3">
        <v>95</v>
      </c>
      <c r="W257" s="3">
        <v>95</v>
      </c>
      <c r="X257" s="31" t="s">
        <v>1088</v>
      </c>
      <c r="Y257" s="3" t="s">
        <v>4325</v>
      </c>
      <c r="Z257" s="3" t="s">
        <v>4561</v>
      </c>
    </row>
    <row r="258" spans="1:41" s="109" customFormat="1" ht="84" customHeight="1">
      <c r="B258" s="69"/>
      <c r="C258" s="891"/>
      <c r="D258" s="891"/>
      <c r="E258" s="891"/>
      <c r="F258" s="891"/>
      <c r="G258" s="891"/>
      <c r="H258" s="891"/>
      <c r="I258" s="891"/>
      <c r="J258" s="43" t="s">
        <v>285</v>
      </c>
      <c r="K258" s="890" t="s">
        <v>773</v>
      </c>
      <c r="L258" s="890">
        <v>16</v>
      </c>
      <c r="M258" s="11" t="s">
        <v>128</v>
      </c>
      <c r="N258" s="3" t="s">
        <v>1089</v>
      </c>
      <c r="O258" s="3" t="s">
        <v>701</v>
      </c>
      <c r="P258" s="3">
        <v>81.400000000000006</v>
      </c>
      <c r="Q258" s="3">
        <v>90.2</v>
      </c>
      <c r="R258" s="3">
        <v>91.4</v>
      </c>
      <c r="S258" s="3">
        <v>92.3</v>
      </c>
      <c r="T258" s="3">
        <v>93.7</v>
      </c>
      <c r="U258" s="3">
        <v>94.3</v>
      </c>
      <c r="V258" s="3">
        <v>95</v>
      </c>
      <c r="W258" s="3">
        <v>95</v>
      </c>
      <c r="X258" s="31" t="s">
        <v>1088</v>
      </c>
      <c r="Y258" s="20" t="s">
        <v>4562</v>
      </c>
      <c r="Z258" s="3"/>
      <c r="AA258" s="20"/>
    </row>
    <row r="259" spans="1:41" s="109" customFormat="1" ht="39.75" customHeight="1">
      <c r="B259" s="69"/>
      <c r="C259" s="891"/>
      <c r="D259" s="891"/>
      <c r="E259" s="891"/>
      <c r="F259" s="891"/>
      <c r="G259" s="891"/>
      <c r="H259" s="891"/>
      <c r="I259" s="891"/>
      <c r="J259" s="43" t="s">
        <v>285</v>
      </c>
      <c r="K259" s="890" t="s">
        <v>773</v>
      </c>
      <c r="L259" s="890">
        <v>18</v>
      </c>
      <c r="M259" s="519" t="s">
        <v>130</v>
      </c>
      <c r="N259" s="3" t="s">
        <v>4563</v>
      </c>
      <c r="O259" s="3" t="s">
        <v>1090</v>
      </c>
      <c r="P259" s="3">
        <v>1</v>
      </c>
      <c r="Q259" s="3">
        <v>1</v>
      </c>
      <c r="R259" s="3">
        <v>1</v>
      </c>
      <c r="S259" s="3">
        <v>1</v>
      </c>
      <c r="T259" s="3">
        <v>1</v>
      </c>
      <c r="U259" s="3">
        <v>1</v>
      </c>
      <c r="V259" s="3">
        <v>1</v>
      </c>
      <c r="W259" s="3">
        <v>1</v>
      </c>
      <c r="X259" s="31" t="s">
        <v>1088</v>
      </c>
      <c r="Y259" s="452" t="s">
        <v>742</v>
      </c>
      <c r="Z259" s="3"/>
      <c r="AA259" s="20"/>
    </row>
    <row r="260" spans="1:41" s="109" customFormat="1" ht="31.5">
      <c r="B260" s="69"/>
      <c r="C260" s="891"/>
      <c r="D260" s="891"/>
      <c r="E260" s="891"/>
      <c r="F260" s="891"/>
      <c r="G260" s="891"/>
      <c r="H260" s="891"/>
      <c r="I260" s="891"/>
      <c r="J260" s="891"/>
      <c r="K260" s="891"/>
      <c r="L260" s="891"/>
      <c r="M260" s="22"/>
      <c r="N260" s="3" t="s">
        <v>4564</v>
      </c>
      <c r="O260" s="3" t="s">
        <v>1090</v>
      </c>
      <c r="P260" s="3">
        <v>12</v>
      </c>
      <c r="Q260" s="3">
        <v>12</v>
      </c>
      <c r="R260" s="3">
        <v>12</v>
      </c>
      <c r="S260" s="3">
        <v>12</v>
      </c>
      <c r="T260" s="3">
        <v>12</v>
      </c>
      <c r="U260" s="3">
        <v>12</v>
      </c>
      <c r="V260" s="3">
        <v>12</v>
      </c>
      <c r="W260" s="3">
        <v>12</v>
      </c>
      <c r="X260" s="31" t="s">
        <v>1088</v>
      </c>
      <c r="Y260" s="452" t="s">
        <v>742</v>
      </c>
      <c r="Z260" s="3"/>
      <c r="AA260" s="20"/>
    </row>
    <row r="261" spans="1:41" s="109" customFormat="1" ht="78.75">
      <c r="B261" s="69"/>
      <c r="C261" s="891"/>
      <c r="D261" s="891"/>
      <c r="E261" s="891"/>
      <c r="F261" s="891"/>
      <c r="G261" s="891"/>
      <c r="H261" s="891"/>
      <c r="I261" s="891"/>
      <c r="J261" s="892"/>
      <c r="K261" s="892"/>
      <c r="L261" s="892"/>
      <c r="M261" s="23"/>
      <c r="N261" s="3" t="s">
        <v>1091</v>
      </c>
      <c r="O261" s="3" t="s">
        <v>701</v>
      </c>
      <c r="P261" s="3">
        <v>50</v>
      </c>
      <c r="Q261" s="3">
        <v>60</v>
      </c>
      <c r="R261" s="3">
        <v>61</v>
      </c>
      <c r="S261" s="3">
        <v>63</v>
      </c>
      <c r="T261" s="3">
        <v>65</v>
      </c>
      <c r="U261" s="3">
        <v>67</v>
      </c>
      <c r="V261" s="3">
        <v>69</v>
      </c>
      <c r="W261" s="3">
        <v>69</v>
      </c>
      <c r="X261" s="31" t="s">
        <v>1088</v>
      </c>
      <c r="Y261" s="3" t="s">
        <v>4326</v>
      </c>
      <c r="Z261" s="3"/>
      <c r="AA261" s="20"/>
    </row>
    <row r="262" spans="1:41" s="109" customFormat="1" ht="78.75" customHeight="1">
      <c r="B262" s="69"/>
      <c r="C262" s="891"/>
      <c r="D262" s="891"/>
      <c r="E262" s="891"/>
      <c r="F262" s="891"/>
      <c r="G262" s="891"/>
      <c r="H262" s="891"/>
      <c r="I262" s="891"/>
      <c r="J262" s="43" t="s">
        <v>285</v>
      </c>
      <c r="K262" s="890" t="s">
        <v>773</v>
      </c>
      <c r="L262" s="890">
        <v>17</v>
      </c>
      <c r="M262" s="44" t="s">
        <v>129</v>
      </c>
      <c r="N262" s="3" t="s">
        <v>1092</v>
      </c>
      <c r="O262" s="3" t="s">
        <v>701</v>
      </c>
      <c r="P262" s="3">
        <v>70</v>
      </c>
      <c r="Q262" s="3">
        <v>70</v>
      </c>
      <c r="R262" s="3">
        <v>80</v>
      </c>
      <c r="S262" s="3">
        <v>80</v>
      </c>
      <c r="T262" s="3">
        <v>80</v>
      </c>
      <c r="U262" s="3">
        <v>80</v>
      </c>
      <c r="V262" s="3">
        <v>90</v>
      </c>
      <c r="W262" s="3">
        <v>90</v>
      </c>
      <c r="X262" s="31" t="s">
        <v>1088</v>
      </c>
      <c r="Y262" s="3" t="s">
        <v>4327</v>
      </c>
      <c r="Z262" s="3"/>
      <c r="AA262" s="20"/>
    </row>
    <row r="263" spans="1:41" s="109" customFormat="1" ht="94.5">
      <c r="B263" s="69"/>
      <c r="C263" s="891"/>
      <c r="D263" s="891"/>
      <c r="E263" s="891"/>
      <c r="F263" s="891"/>
      <c r="G263" s="891"/>
      <c r="H263" s="891"/>
      <c r="I263" s="891"/>
      <c r="J263" s="891"/>
      <c r="K263" s="891"/>
      <c r="L263" s="891"/>
      <c r="M263" s="22"/>
      <c r="N263" s="3" t="s">
        <v>1093</v>
      </c>
      <c r="O263" s="3" t="s">
        <v>701</v>
      </c>
      <c r="P263" s="3">
        <v>50</v>
      </c>
      <c r="Q263" s="3">
        <v>60</v>
      </c>
      <c r="R263" s="3">
        <v>61</v>
      </c>
      <c r="S263" s="3">
        <v>63</v>
      </c>
      <c r="T263" s="3">
        <v>65</v>
      </c>
      <c r="U263" s="3">
        <v>67</v>
      </c>
      <c r="V263" s="3">
        <v>69</v>
      </c>
      <c r="W263" s="3">
        <v>69</v>
      </c>
      <c r="X263" s="31" t="s">
        <v>1088</v>
      </c>
      <c r="Y263" s="3" t="s">
        <v>1094</v>
      </c>
      <c r="Z263" s="3"/>
      <c r="AA263" s="20"/>
    </row>
    <row r="264" spans="1:41" s="109" customFormat="1" ht="110.25">
      <c r="B264" s="77"/>
      <c r="C264" s="892"/>
      <c r="D264" s="892"/>
      <c r="E264" s="892"/>
      <c r="F264" s="892"/>
      <c r="G264" s="892"/>
      <c r="H264" s="892"/>
      <c r="I264" s="892"/>
      <c r="J264" s="892"/>
      <c r="K264" s="892"/>
      <c r="L264" s="892"/>
      <c r="M264" s="23"/>
      <c r="N264" s="3" t="s">
        <v>1095</v>
      </c>
      <c r="O264" s="3" t="s">
        <v>701</v>
      </c>
      <c r="P264" s="3">
        <v>100</v>
      </c>
      <c r="Q264" s="3">
        <v>100</v>
      </c>
      <c r="R264" s="3">
        <v>100</v>
      </c>
      <c r="S264" s="3">
        <v>100</v>
      </c>
      <c r="T264" s="3">
        <v>100</v>
      </c>
      <c r="U264" s="3">
        <v>100</v>
      </c>
      <c r="V264" s="3">
        <v>100</v>
      </c>
      <c r="W264" s="3">
        <v>100</v>
      </c>
      <c r="X264" s="31" t="s">
        <v>1088</v>
      </c>
      <c r="Y264" s="3" t="s">
        <v>1096</v>
      </c>
      <c r="Z264" s="3"/>
      <c r="AA264" s="20"/>
    </row>
    <row r="265" spans="1:41">
      <c r="B265" s="71" t="s">
        <v>698</v>
      </c>
    </row>
    <row r="266" spans="1:41" s="121" customFormat="1" ht="204.75">
      <c r="A266" s="119"/>
      <c r="B266" s="37" t="s">
        <v>21</v>
      </c>
      <c r="C266" s="890">
        <v>1</v>
      </c>
      <c r="D266" s="890" t="s">
        <v>1097</v>
      </c>
      <c r="E266" s="890">
        <v>1</v>
      </c>
      <c r="F266" s="890" t="s">
        <v>1098</v>
      </c>
      <c r="G266" s="890" t="s">
        <v>1099</v>
      </c>
      <c r="H266" s="890" t="s">
        <v>1100</v>
      </c>
      <c r="I266" s="890" t="s">
        <v>4959</v>
      </c>
      <c r="J266" s="3"/>
      <c r="K266" s="3"/>
      <c r="L266" s="3"/>
      <c r="M266" s="3"/>
      <c r="N266" s="3"/>
      <c r="O266" s="31"/>
      <c r="P266" s="31"/>
      <c r="Q266" s="31"/>
      <c r="R266" s="31"/>
      <c r="S266" s="31"/>
      <c r="T266" s="31"/>
      <c r="U266" s="31"/>
      <c r="V266" s="31"/>
      <c r="W266" s="31"/>
      <c r="X266" s="3"/>
      <c r="Y266" s="3"/>
      <c r="Z266" s="3"/>
      <c r="AA266" s="120"/>
      <c r="AB266" s="120"/>
      <c r="AC266" s="120"/>
      <c r="AD266" s="120"/>
      <c r="AE266" s="120"/>
      <c r="AF266" s="120"/>
      <c r="AG266" s="120"/>
      <c r="AH266" s="120"/>
      <c r="AI266" s="120"/>
      <c r="AJ266" s="120"/>
      <c r="AK266" s="120"/>
      <c r="AL266" s="120"/>
      <c r="AM266" s="120"/>
      <c r="AN266" s="120"/>
      <c r="AO266" s="120"/>
    </row>
    <row r="267" spans="1:41" s="121" customFormat="1" ht="94.5">
      <c r="A267" s="119"/>
      <c r="B267" s="69"/>
      <c r="C267" s="891"/>
      <c r="D267" s="891"/>
      <c r="E267" s="891"/>
      <c r="F267" s="891"/>
      <c r="G267" s="891"/>
      <c r="H267" s="891"/>
      <c r="I267" s="891"/>
      <c r="J267" s="898">
        <v>1.01</v>
      </c>
      <c r="K267" s="890" t="s">
        <v>773</v>
      </c>
      <c r="L267" s="890">
        <v>15</v>
      </c>
      <c r="M267" s="890" t="s">
        <v>1101</v>
      </c>
      <c r="N267" s="3" t="s">
        <v>1102</v>
      </c>
      <c r="O267" s="31" t="s">
        <v>701</v>
      </c>
      <c r="P267" s="31" t="s">
        <v>1041</v>
      </c>
      <c r="Q267" s="31" t="s">
        <v>1041</v>
      </c>
      <c r="R267" s="31" t="s">
        <v>1041</v>
      </c>
      <c r="S267" s="31">
        <v>32.729999999999997</v>
      </c>
      <c r="T267" s="31">
        <v>61.78</v>
      </c>
      <c r="U267" s="31">
        <v>86.33</v>
      </c>
      <c r="V267" s="31">
        <v>100</v>
      </c>
      <c r="W267" s="31">
        <v>100</v>
      </c>
      <c r="X267" s="3" t="s">
        <v>1103</v>
      </c>
      <c r="Y267" s="3"/>
      <c r="Z267" s="3" t="s">
        <v>1104</v>
      </c>
      <c r="AA267" s="26"/>
      <c r="AB267" s="26"/>
      <c r="AC267" s="120"/>
      <c r="AD267" s="120"/>
      <c r="AE267" s="120"/>
      <c r="AF267" s="120"/>
      <c r="AG267" s="120"/>
      <c r="AH267" s="120"/>
      <c r="AI267" s="120"/>
      <c r="AJ267" s="120"/>
      <c r="AK267" s="120"/>
      <c r="AL267" s="120"/>
      <c r="AM267" s="120"/>
      <c r="AN267" s="120"/>
      <c r="AO267" s="120"/>
    </row>
    <row r="268" spans="1:41" s="121" customFormat="1" ht="173.25">
      <c r="A268" s="119"/>
      <c r="B268" s="69"/>
      <c r="C268" s="891"/>
      <c r="D268" s="891"/>
      <c r="E268" s="891"/>
      <c r="F268" s="891"/>
      <c r="G268" s="891"/>
      <c r="H268" s="891"/>
      <c r="I268" s="891"/>
      <c r="J268" s="892"/>
      <c r="K268" s="892"/>
      <c r="L268" s="892"/>
      <c r="M268" s="892"/>
      <c r="N268" s="3" t="s">
        <v>1105</v>
      </c>
      <c r="O268" s="31" t="s">
        <v>701</v>
      </c>
      <c r="P268" s="31" t="s">
        <v>1041</v>
      </c>
      <c r="Q268" s="31" t="s">
        <v>1041</v>
      </c>
      <c r="R268" s="31" t="s">
        <v>1041</v>
      </c>
      <c r="S268" s="31">
        <v>20</v>
      </c>
      <c r="T268" s="31">
        <v>30</v>
      </c>
      <c r="U268" s="31">
        <v>40</v>
      </c>
      <c r="V268" s="31">
        <v>50</v>
      </c>
      <c r="W268" s="31">
        <v>50</v>
      </c>
      <c r="X268" s="3" t="s">
        <v>1103</v>
      </c>
      <c r="Y268" s="3" t="s">
        <v>1106</v>
      </c>
      <c r="Z268" s="3"/>
      <c r="AA268" s="26"/>
      <c r="AB268" s="26"/>
      <c r="AC268" s="120"/>
      <c r="AD268" s="120"/>
      <c r="AE268" s="120"/>
      <c r="AF268" s="120"/>
      <c r="AG268" s="120"/>
      <c r="AH268" s="120"/>
      <c r="AI268" s="120"/>
      <c r="AJ268" s="120"/>
      <c r="AK268" s="120"/>
      <c r="AL268" s="120"/>
      <c r="AM268" s="120"/>
      <c r="AN268" s="120"/>
      <c r="AO268" s="120"/>
    </row>
    <row r="269" spans="1:41" s="121" customFormat="1" ht="63">
      <c r="A269" s="119"/>
      <c r="B269" s="69"/>
      <c r="C269" s="891"/>
      <c r="D269" s="891"/>
      <c r="E269" s="891"/>
      <c r="F269" s="891"/>
      <c r="G269" s="891"/>
      <c r="H269" s="891"/>
      <c r="I269" s="891"/>
      <c r="J269" s="95">
        <v>1.01</v>
      </c>
      <c r="K269" s="3" t="s">
        <v>773</v>
      </c>
      <c r="L269" s="3">
        <v>20</v>
      </c>
      <c r="M269" s="3" t="s">
        <v>1107</v>
      </c>
      <c r="N269" s="3" t="s">
        <v>1108</v>
      </c>
      <c r="O269" s="31" t="s">
        <v>701</v>
      </c>
      <c r="P269" s="31" t="s">
        <v>1041</v>
      </c>
      <c r="Q269" s="31" t="s">
        <v>1041</v>
      </c>
      <c r="R269" s="31">
        <v>100</v>
      </c>
      <c r="S269" s="31">
        <v>100</v>
      </c>
      <c r="T269" s="31">
        <v>100</v>
      </c>
      <c r="U269" s="31">
        <v>100</v>
      </c>
      <c r="V269" s="31">
        <v>100</v>
      </c>
      <c r="W269" s="31">
        <v>100</v>
      </c>
      <c r="X269" s="3" t="s">
        <v>1103</v>
      </c>
      <c r="Y269" s="3" t="s">
        <v>1109</v>
      </c>
      <c r="Z269" s="3" t="s">
        <v>1110</v>
      </c>
      <c r="AA269" s="26"/>
      <c r="AB269" s="26"/>
      <c r="AC269" s="120"/>
      <c r="AD269" s="120"/>
      <c r="AE269" s="120"/>
      <c r="AF269" s="120"/>
      <c r="AG269" s="120"/>
      <c r="AH269" s="120"/>
      <c r="AI269" s="120"/>
      <c r="AJ269" s="120"/>
      <c r="AK269" s="120"/>
      <c r="AL269" s="120"/>
      <c r="AM269" s="120"/>
      <c r="AN269" s="120"/>
      <c r="AO269" s="120"/>
    </row>
    <row r="270" spans="1:41" s="121" customFormat="1" ht="78.75">
      <c r="A270" s="119"/>
      <c r="B270" s="69"/>
      <c r="C270" s="892"/>
      <c r="D270" s="892"/>
      <c r="E270" s="892"/>
      <c r="F270" s="892"/>
      <c r="G270" s="892"/>
      <c r="H270" s="892"/>
      <c r="I270" s="892"/>
      <c r="J270" s="898">
        <v>1.01</v>
      </c>
      <c r="K270" s="3" t="s">
        <v>773</v>
      </c>
      <c r="L270" s="3">
        <v>22</v>
      </c>
      <c r="M270" s="11" t="s">
        <v>1111</v>
      </c>
      <c r="N270" s="3" t="s">
        <v>1112</v>
      </c>
      <c r="O270" s="31" t="s">
        <v>701</v>
      </c>
      <c r="P270" s="31" t="s">
        <v>1041</v>
      </c>
      <c r="Q270" s="31" t="s">
        <v>1041</v>
      </c>
      <c r="R270" s="31">
        <v>0</v>
      </c>
      <c r="S270" s="31">
        <v>0</v>
      </c>
      <c r="T270" s="31">
        <v>0</v>
      </c>
      <c r="U270" s="31">
        <v>0</v>
      </c>
      <c r="V270" s="31">
        <v>0</v>
      </c>
      <c r="W270" s="31">
        <v>0</v>
      </c>
      <c r="X270" s="3" t="s">
        <v>1103</v>
      </c>
      <c r="Y270" s="3" t="s">
        <v>1113</v>
      </c>
      <c r="Z270" s="3" t="s">
        <v>1114</v>
      </c>
      <c r="AA270" s="26"/>
      <c r="AB270" s="26"/>
      <c r="AC270" s="120"/>
      <c r="AD270" s="120"/>
      <c r="AE270" s="120"/>
      <c r="AF270" s="120"/>
      <c r="AG270" s="120"/>
      <c r="AH270" s="120"/>
      <c r="AI270" s="120"/>
      <c r="AJ270" s="120"/>
      <c r="AK270" s="120"/>
      <c r="AL270" s="120"/>
      <c r="AM270" s="120"/>
      <c r="AN270" s="120"/>
      <c r="AO270" s="120"/>
    </row>
    <row r="271" spans="1:41" s="124" customFormat="1" ht="110.25">
      <c r="A271" s="119"/>
      <c r="B271" s="69"/>
      <c r="C271" s="890">
        <v>2</v>
      </c>
      <c r="D271" s="890" t="s">
        <v>1115</v>
      </c>
      <c r="E271" s="890">
        <v>2</v>
      </c>
      <c r="F271" s="890" t="s">
        <v>1116</v>
      </c>
      <c r="G271" s="890" t="s">
        <v>1117</v>
      </c>
      <c r="H271" s="890" t="s">
        <v>5014</v>
      </c>
      <c r="I271" s="890" t="s">
        <v>4960</v>
      </c>
      <c r="J271" s="3"/>
      <c r="K271" s="3"/>
      <c r="L271" s="3"/>
      <c r="M271" s="3"/>
      <c r="N271" s="3"/>
      <c r="O271" s="31"/>
      <c r="P271" s="31"/>
      <c r="Q271" s="31"/>
      <c r="R271" s="31"/>
      <c r="S271" s="31"/>
      <c r="T271" s="31"/>
      <c r="U271" s="31"/>
      <c r="V271" s="31"/>
      <c r="W271" s="31"/>
      <c r="X271" s="3"/>
      <c r="Y271" s="3"/>
      <c r="Z271" s="3"/>
      <c r="AA271" s="120"/>
      <c r="AB271" s="120"/>
      <c r="AC271" s="120"/>
      <c r="AD271" s="120"/>
      <c r="AE271" s="120"/>
      <c r="AF271" s="120"/>
      <c r="AG271" s="120"/>
      <c r="AH271" s="120"/>
      <c r="AI271" s="120"/>
      <c r="AJ271" s="120"/>
      <c r="AK271" s="120"/>
      <c r="AL271" s="120"/>
      <c r="AM271" s="120"/>
      <c r="AN271" s="120"/>
      <c r="AO271" s="120"/>
    </row>
    <row r="272" spans="1:41" s="124" customFormat="1" ht="78.75">
      <c r="A272" s="119"/>
      <c r="B272" s="69"/>
      <c r="C272" s="891"/>
      <c r="D272" s="891"/>
      <c r="E272" s="891"/>
      <c r="F272" s="891"/>
      <c r="G272" s="891"/>
      <c r="H272" s="891"/>
      <c r="I272" s="891"/>
      <c r="J272" s="898">
        <v>1.01</v>
      </c>
      <c r="K272" s="890" t="s">
        <v>773</v>
      </c>
      <c r="L272" s="890">
        <v>15</v>
      </c>
      <c r="M272" s="890" t="s">
        <v>160</v>
      </c>
      <c r="N272" s="3" t="s">
        <v>1118</v>
      </c>
      <c r="O272" s="31" t="s">
        <v>701</v>
      </c>
      <c r="P272" s="499">
        <v>62.54</v>
      </c>
      <c r="Q272" s="499">
        <v>66.13</v>
      </c>
      <c r="R272" s="499">
        <v>67.13</v>
      </c>
      <c r="S272" s="499">
        <v>67.63</v>
      </c>
      <c r="T272" s="499">
        <v>68.13</v>
      </c>
      <c r="U272" s="499">
        <v>68.63</v>
      </c>
      <c r="V272" s="499">
        <v>69.13</v>
      </c>
      <c r="W272" s="499">
        <v>69.13</v>
      </c>
      <c r="X272" s="3" t="s">
        <v>1119</v>
      </c>
      <c r="Y272" s="3" t="s">
        <v>1120</v>
      </c>
      <c r="Z272" s="3"/>
      <c r="AA272" s="26"/>
      <c r="AB272" s="26"/>
      <c r="AC272" s="120"/>
      <c r="AD272" s="120"/>
      <c r="AE272" s="120"/>
      <c r="AF272" s="120"/>
      <c r="AG272" s="120"/>
      <c r="AH272" s="120"/>
      <c r="AI272" s="120"/>
      <c r="AJ272" s="120"/>
      <c r="AK272" s="120"/>
      <c r="AL272" s="120"/>
      <c r="AM272" s="120"/>
      <c r="AN272" s="120"/>
      <c r="AO272" s="120"/>
    </row>
    <row r="273" spans="1:41" s="124" customFormat="1" ht="94.5">
      <c r="A273" s="119"/>
      <c r="B273" s="69"/>
      <c r="C273" s="891"/>
      <c r="D273" s="891"/>
      <c r="E273" s="891"/>
      <c r="F273" s="891"/>
      <c r="G273" s="891"/>
      <c r="H273" s="891"/>
      <c r="I273" s="891"/>
      <c r="J273" s="891"/>
      <c r="K273" s="891"/>
      <c r="L273" s="891"/>
      <c r="M273" s="891"/>
      <c r="N273" s="3" t="s">
        <v>1121</v>
      </c>
      <c r="O273" s="31" t="s">
        <v>701</v>
      </c>
      <c r="P273" s="499">
        <v>32.32</v>
      </c>
      <c r="Q273" s="499">
        <v>32.36</v>
      </c>
      <c r="R273" s="499">
        <v>32.4</v>
      </c>
      <c r="S273" s="499">
        <v>32.44</v>
      </c>
      <c r="T273" s="499">
        <v>32.479999999999997</v>
      </c>
      <c r="U273" s="499">
        <v>32.520000000000003</v>
      </c>
      <c r="V273" s="499">
        <v>32.56</v>
      </c>
      <c r="W273" s="499">
        <v>32.56</v>
      </c>
      <c r="X273" s="3" t="s">
        <v>1119</v>
      </c>
      <c r="Y273" s="3" t="s">
        <v>1122</v>
      </c>
      <c r="Z273" s="3"/>
      <c r="AA273" s="26"/>
      <c r="AB273" s="26"/>
      <c r="AC273" s="120"/>
      <c r="AD273" s="120"/>
      <c r="AE273" s="120"/>
      <c r="AF273" s="120"/>
      <c r="AG273" s="120"/>
      <c r="AH273" s="120"/>
      <c r="AI273" s="120"/>
      <c r="AJ273" s="120"/>
      <c r="AK273" s="120"/>
      <c r="AL273" s="120"/>
      <c r="AM273" s="120"/>
      <c r="AN273" s="120"/>
      <c r="AO273" s="120"/>
    </row>
    <row r="274" spans="1:41" s="124" customFormat="1" ht="126">
      <c r="A274" s="119"/>
      <c r="B274" s="69"/>
      <c r="C274" s="891"/>
      <c r="D274" s="891"/>
      <c r="E274" s="891"/>
      <c r="F274" s="891"/>
      <c r="G274" s="891"/>
      <c r="H274" s="891"/>
      <c r="I274" s="891"/>
      <c r="J274" s="891"/>
      <c r="K274" s="891"/>
      <c r="L274" s="891"/>
      <c r="M274" s="891"/>
      <c r="N274" s="3" t="s">
        <v>1123</v>
      </c>
      <c r="O274" s="31" t="s">
        <v>701</v>
      </c>
      <c r="P274" s="499">
        <f>9806/20172*100</f>
        <v>48.611937338885589</v>
      </c>
      <c r="Q274" s="499">
        <v>48.61</v>
      </c>
      <c r="R274" s="499">
        <v>48.64</v>
      </c>
      <c r="S274" s="499">
        <v>48.67</v>
      </c>
      <c r="T274" s="499">
        <v>48.7</v>
      </c>
      <c r="U274" s="499">
        <v>48.73</v>
      </c>
      <c r="V274" s="499">
        <v>48.76</v>
      </c>
      <c r="W274" s="499">
        <v>48.76</v>
      </c>
      <c r="X274" s="3" t="s">
        <v>1119</v>
      </c>
      <c r="Y274" s="3" t="s">
        <v>1124</v>
      </c>
      <c r="Z274" s="3"/>
      <c r="AA274" s="26"/>
      <c r="AB274" s="26"/>
      <c r="AC274" s="120"/>
      <c r="AD274" s="120"/>
      <c r="AE274" s="120"/>
      <c r="AF274" s="120"/>
      <c r="AG274" s="120"/>
      <c r="AH274" s="120"/>
      <c r="AI274" s="120"/>
      <c r="AJ274" s="120"/>
      <c r="AK274" s="120"/>
      <c r="AL274" s="120"/>
      <c r="AM274" s="120"/>
      <c r="AN274" s="120"/>
      <c r="AO274" s="120"/>
    </row>
    <row r="275" spans="1:41" s="124" customFormat="1" ht="157.5">
      <c r="A275" s="119"/>
      <c r="B275" s="69"/>
      <c r="C275" s="891"/>
      <c r="D275" s="891"/>
      <c r="E275" s="891"/>
      <c r="F275" s="891"/>
      <c r="G275" s="891"/>
      <c r="H275" s="891"/>
      <c r="I275" s="891"/>
      <c r="J275" s="891"/>
      <c r="K275" s="891"/>
      <c r="L275" s="891"/>
      <c r="M275" s="891"/>
      <c r="N275" s="3" t="s">
        <v>1125</v>
      </c>
      <c r="O275" s="31" t="s">
        <v>701</v>
      </c>
      <c r="P275" s="499">
        <f>13609/27733*100</f>
        <v>49.071503263260375</v>
      </c>
      <c r="Q275" s="499">
        <v>49.07</v>
      </c>
      <c r="R275" s="499">
        <v>49.09</v>
      </c>
      <c r="S275" s="499">
        <v>49.110999999999997</v>
      </c>
      <c r="T275" s="499">
        <v>49.13</v>
      </c>
      <c r="U275" s="499">
        <v>49.15</v>
      </c>
      <c r="V275" s="499">
        <v>49.17</v>
      </c>
      <c r="W275" s="499">
        <v>49.17</v>
      </c>
      <c r="X275" s="3" t="s">
        <v>1119</v>
      </c>
      <c r="Y275" s="3" t="s">
        <v>1126</v>
      </c>
      <c r="Z275" s="3"/>
      <c r="AA275" s="26"/>
      <c r="AB275" s="26"/>
      <c r="AC275" s="120"/>
      <c r="AD275" s="120"/>
      <c r="AE275" s="120"/>
      <c r="AF275" s="120"/>
      <c r="AG275" s="120"/>
      <c r="AH275" s="120"/>
      <c r="AI275" s="120"/>
      <c r="AJ275" s="120"/>
      <c r="AK275" s="120"/>
      <c r="AL275" s="120"/>
      <c r="AM275" s="120"/>
      <c r="AN275" s="120"/>
      <c r="AO275" s="120"/>
    </row>
    <row r="276" spans="1:41" s="124" customFormat="1" ht="78.75">
      <c r="A276" s="119"/>
      <c r="B276" s="69"/>
      <c r="C276" s="891"/>
      <c r="D276" s="891"/>
      <c r="E276" s="892"/>
      <c r="F276" s="892"/>
      <c r="G276" s="892"/>
      <c r="H276" s="892"/>
      <c r="I276" s="892"/>
      <c r="J276" s="892"/>
      <c r="K276" s="892"/>
      <c r="L276" s="892"/>
      <c r="M276" s="892"/>
      <c r="N276" s="3" t="s">
        <v>1127</v>
      </c>
      <c r="O276" s="31" t="s">
        <v>921</v>
      </c>
      <c r="P276" s="435">
        <v>21</v>
      </c>
      <c r="Q276" s="435">
        <v>21</v>
      </c>
      <c r="R276" s="435">
        <v>21</v>
      </c>
      <c r="S276" s="435">
        <v>21</v>
      </c>
      <c r="T276" s="435">
        <v>21</v>
      </c>
      <c r="U276" s="435">
        <v>21</v>
      </c>
      <c r="V276" s="435">
        <v>21</v>
      </c>
      <c r="W276" s="435">
        <v>21</v>
      </c>
      <c r="X276" s="3" t="s">
        <v>1119</v>
      </c>
      <c r="Y276" s="3" t="s">
        <v>1129</v>
      </c>
      <c r="Z276" s="3" t="s">
        <v>4336</v>
      </c>
      <c r="AA276" s="26"/>
      <c r="AB276" s="26"/>
      <c r="AC276" s="120"/>
      <c r="AD276" s="120"/>
      <c r="AE276" s="120"/>
      <c r="AF276" s="120"/>
      <c r="AG276" s="120"/>
      <c r="AH276" s="120"/>
      <c r="AI276" s="120"/>
      <c r="AJ276" s="120"/>
      <c r="AK276" s="120"/>
      <c r="AL276" s="120"/>
      <c r="AM276" s="120"/>
      <c r="AN276" s="120"/>
      <c r="AO276" s="120"/>
    </row>
    <row r="277" spans="1:41" s="124" customFormat="1" ht="110.25">
      <c r="A277" s="119"/>
      <c r="B277" s="69"/>
      <c r="C277" s="891"/>
      <c r="D277" s="891"/>
      <c r="E277" s="890">
        <v>3</v>
      </c>
      <c r="F277" s="890" t="s">
        <v>1130</v>
      </c>
      <c r="G277" s="890" t="s">
        <v>1131</v>
      </c>
      <c r="H277" s="890"/>
      <c r="I277" s="890" t="s">
        <v>4961</v>
      </c>
      <c r="J277" s="3"/>
      <c r="K277" s="3"/>
      <c r="L277" s="3"/>
      <c r="M277" s="3"/>
      <c r="N277" s="3"/>
      <c r="O277" s="31"/>
      <c r="P277" s="499"/>
      <c r="Q277" s="499"/>
      <c r="R277" s="499"/>
      <c r="S277" s="499"/>
      <c r="T277" s="499"/>
      <c r="U277" s="499"/>
      <c r="V277" s="499"/>
      <c r="W277" s="499"/>
      <c r="X277" s="3"/>
      <c r="Y277" s="3"/>
      <c r="Z277" s="3"/>
      <c r="AA277" s="120"/>
      <c r="AB277" s="120"/>
      <c r="AC277" s="120"/>
      <c r="AD277" s="120"/>
      <c r="AE277" s="120"/>
      <c r="AF277" s="120"/>
      <c r="AG277" s="120"/>
      <c r="AH277" s="120"/>
      <c r="AI277" s="120"/>
      <c r="AJ277" s="120"/>
      <c r="AK277" s="120"/>
      <c r="AL277" s="120"/>
      <c r="AM277" s="120"/>
      <c r="AN277" s="120"/>
      <c r="AO277" s="120"/>
    </row>
    <row r="278" spans="1:41" s="124" customFormat="1" ht="63">
      <c r="A278" s="119"/>
      <c r="B278" s="69"/>
      <c r="C278" s="891"/>
      <c r="D278" s="891"/>
      <c r="E278" s="891"/>
      <c r="F278" s="891"/>
      <c r="G278" s="891"/>
      <c r="H278" s="891"/>
      <c r="I278" s="891"/>
      <c r="J278" s="898">
        <v>1.01</v>
      </c>
      <c r="K278" s="890" t="s">
        <v>773</v>
      </c>
      <c r="L278" s="890">
        <v>16</v>
      </c>
      <c r="M278" s="29" t="s">
        <v>1132</v>
      </c>
      <c r="N278" s="3" t="s">
        <v>2001</v>
      </c>
      <c r="O278" s="31" t="s">
        <v>701</v>
      </c>
      <c r="P278" s="499">
        <v>103.5</v>
      </c>
      <c r="Q278" s="499">
        <v>103.55</v>
      </c>
      <c r="R278" s="499">
        <v>103.58</v>
      </c>
      <c r="S278" s="499">
        <v>103.61</v>
      </c>
      <c r="T278" s="499">
        <v>103.64</v>
      </c>
      <c r="U278" s="499">
        <v>103.67</v>
      </c>
      <c r="V278" s="499">
        <v>103.7</v>
      </c>
      <c r="W278" s="499">
        <v>103.7</v>
      </c>
      <c r="X278" s="3" t="s">
        <v>1103</v>
      </c>
      <c r="Y278" s="3" t="s">
        <v>1133</v>
      </c>
      <c r="Z278" s="3"/>
      <c r="AA278" s="26"/>
      <c r="AB278" s="26"/>
      <c r="AC278" s="120"/>
      <c r="AD278" s="120"/>
      <c r="AE278" s="120"/>
      <c r="AF278" s="120"/>
      <c r="AG278" s="120"/>
      <c r="AH278" s="120"/>
      <c r="AI278" s="120"/>
      <c r="AJ278" s="120"/>
      <c r="AK278" s="120"/>
      <c r="AL278" s="120"/>
      <c r="AM278" s="120"/>
      <c r="AN278" s="120"/>
      <c r="AO278" s="120"/>
    </row>
    <row r="279" spans="1:41" s="124" customFormat="1" ht="78.75">
      <c r="A279" s="119"/>
      <c r="B279" s="69"/>
      <c r="C279" s="891"/>
      <c r="D279" s="891"/>
      <c r="E279" s="891"/>
      <c r="F279" s="891"/>
      <c r="G279" s="891"/>
      <c r="H279" s="891"/>
      <c r="I279" s="891"/>
      <c r="J279" s="891"/>
      <c r="K279" s="891"/>
      <c r="L279" s="891"/>
      <c r="M279" s="891"/>
      <c r="N279" s="3" t="s">
        <v>2002</v>
      </c>
      <c r="O279" s="31" t="s">
        <v>701</v>
      </c>
      <c r="P279" s="499">
        <v>95.4</v>
      </c>
      <c r="Q279" s="499">
        <v>95.42</v>
      </c>
      <c r="R279" s="499">
        <v>95.45</v>
      </c>
      <c r="S279" s="499">
        <v>95.48</v>
      </c>
      <c r="T279" s="499">
        <v>95.51</v>
      </c>
      <c r="U279" s="499">
        <v>95.54</v>
      </c>
      <c r="V279" s="499">
        <v>95.57</v>
      </c>
      <c r="W279" s="499">
        <v>95.57</v>
      </c>
      <c r="X279" s="3" t="s">
        <v>1103</v>
      </c>
      <c r="Y279" s="3" t="s">
        <v>1134</v>
      </c>
      <c r="Z279" s="3"/>
      <c r="AA279" s="26"/>
      <c r="AB279" s="26"/>
      <c r="AC279" s="120"/>
      <c r="AD279" s="120"/>
      <c r="AE279" s="120"/>
      <c r="AF279" s="120"/>
      <c r="AG279" s="120"/>
      <c r="AH279" s="120"/>
      <c r="AI279" s="120"/>
      <c r="AJ279" s="120"/>
      <c r="AK279" s="120"/>
      <c r="AL279" s="120"/>
      <c r="AM279" s="120"/>
      <c r="AN279" s="120"/>
      <c r="AO279" s="120"/>
    </row>
    <row r="280" spans="1:41" s="124" customFormat="1" ht="63">
      <c r="A280" s="119"/>
      <c r="B280" s="69"/>
      <c r="C280" s="891"/>
      <c r="D280" s="891"/>
      <c r="E280" s="891"/>
      <c r="F280" s="891"/>
      <c r="G280" s="891"/>
      <c r="H280" s="891"/>
      <c r="I280" s="891"/>
      <c r="J280" s="891"/>
      <c r="K280" s="891"/>
      <c r="L280" s="891"/>
      <c r="M280" s="891"/>
      <c r="N280" s="3" t="s">
        <v>2003</v>
      </c>
      <c r="O280" s="31" t="s">
        <v>701</v>
      </c>
      <c r="P280" s="499">
        <v>96</v>
      </c>
      <c r="Q280" s="499">
        <v>96.03</v>
      </c>
      <c r="R280" s="499">
        <v>96.06</v>
      </c>
      <c r="S280" s="499">
        <v>96.09</v>
      </c>
      <c r="T280" s="499">
        <v>96.12</v>
      </c>
      <c r="U280" s="499">
        <v>96.15</v>
      </c>
      <c r="V280" s="499">
        <v>96.15</v>
      </c>
      <c r="W280" s="499">
        <v>96.15</v>
      </c>
      <c r="X280" s="3" t="s">
        <v>1103</v>
      </c>
      <c r="Y280" s="3" t="s">
        <v>1135</v>
      </c>
      <c r="Z280" s="3"/>
      <c r="AA280" s="26"/>
      <c r="AB280" s="26"/>
      <c r="AC280" s="120"/>
      <c r="AD280" s="120"/>
      <c r="AE280" s="120"/>
      <c r="AF280" s="120"/>
      <c r="AG280" s="120"/>
      <c r="AH280" s="120"/>
      <c r="AI280" s="120"/>
      <c r="AJ280" s="120"/>
      <c r="AK280" s="120"/>
      <c r="AL280" s="120"/>
      <c r="AM280" s="120"/>
      <c r="AN280" s="120"/>
      <c r="AO280" s="120"/>
    </row>
    <row r="281" spans="1:41" s="124" customFormat="1" ht="78.75">
      <c r="A281" s="119"/>
      <c r="B281" s="69"/>
      <c r="C281" s="891"/>
      <c r="D281" s="891"/>
      <c r="E281" s="891"/>
      <c r="F281" s="891"/>
      <c r="G281" s="891"/>
      <c r="H281" s="891"/>
      <c r="I281" s="891"/>
      <c r="J281" s="891"/>
      <c r="K281" s="891"/>
      <c r="L281" s="891"/>
      <c r="M281" s="891"/>
      <c r="N281" s="3" t="s">
        <v>2004</v>
      </c>
      <c r="O281" s="31" t="s">
        <v>701</v>
      </c>
      <c r="P281" s="499">
        <v>83.63</v>
      </c>
      <c r="Q281" s="499">
        <v>83.66</v>
      </c>
      <c r="R281" s="499">
        <v>83.69</v>
      </c>
      <c r="S281" s="499">
        <v>83.72</v>
      </c>
      <c r="T281" s="499">
        <v>83.75</v>
      </c>
      <c r="U281" s="499">
        <v>83.78</v>
      </c>
      <c r="V281" s="499">
        <v>83.81</v>
      </c>
      <c r="W281" s="499">
        <v>83.81</v>
      </c>
      <c r="X281" s="3" t="s">
        <v>1103</v>
      </c>
      <c r="Y281" s="3" t="s">
        <v>1136</v>
      </c>
      <c r="Z281" s="3"/>
      <c r="AA281" s="26"/>
      <c r="AB281" s="26"/>
      <c r="AC281" s="120"/>
      <c r="AD281" s="120"/>
      <c r="AE281" s="120"/>
      <c r="AF281" s="120"/>
      <c r="AG281" s="120"/>
      <c r="AH281" s="120"/>
      <c r="AI281" s="120"/>
      <c r="AJ281" s="120"/>
      <c r="AK281" s="120"/>
      <c r="AL281" s="120"/>
      <c r="AM281" s="120"/>
      <c r="AN281" s="120"/>
      <c r="AO281" s="120"/>
    </row>
    <row r="282" spans="1:41" s="124" customFormat="1" ht="78.75">
      <c r="A282" s="119"/>
      <c r="B282" s="69"/>
      <c r="C282" s="891"/>
      <c r="D282" s="891"/>
      <c r="E282" s="891"/>
      <c r="F282" s="891"/>
      <c r="G282" s="891"/>
      <c r="H282" s="891"/>
      <c r="I282" s="891"/>
      <c r="J282" s="891"/>
      <c r="K282" s="891"/>
      <c r="L282" s="891"/>
      <c r="M282" s="891"/>
      <c r="N282" s="3" t="s">
        <v>1137</v>
      </c>
      <c r="O282" s="31" t="s">
        <v>701</v>
      </c>
      <c r="P282" s="499">
        <v>95.34094966083542</v>
      </c>
      <c r="Q282" s="499">
        <v>95.37</v>
      </c>
      <c r="R282" s="499">
        <v>100</v>
      </c>
      <c r="S282" s="499">
        <v>100</v>
      </c>
      <c r="T282" s="499">
        <v>100</v>
      </c>
      <c r="U282" s="499">
        <v>100</v>
      </c>
      <c r="V282" s="499">
        <v>100</v>
      </c>
      <c r="W282" s="499">
        <v>100</v>
      </c>
      <c r="X282" s="3" t="s">
        <v>1103</v>
      </c>
      <c r="Y282" s="3" t="s">
        <v>1138</v>
      </c>
      <c r="Z282" s="3"/>
      <c r="AA282" s="26"/>
      <c r="AB282" s="26"/>
      <c r="AC282" s="120"/>
      <c r="AD282" s="120"/>
      <c r="AE282" s="120"/>
      <c r="AF282" s="120"/>
      <c r="AG282" s="120"/>
      <c r="AH282" s="120"/>
      <c r="AI282" s="120"/>
      <c r="AJ282" s="120"/>
      <c r="AK282" s="120"/>
      <c r="AL282" s="120"/>
      <c r="AM282" s="120"/>
      <c r="AN282" s="120"/>
      <c r="AO282" s="120"/>
    </row>
    <row r="283" spans="1:41" s="124" customFormat="1" ht="110.25">
      <c r="A283" s="119"/>
      <c r="B283" s="69"/>
      <c r="C283" s="891"/>
      <c r="D283" s="891"/>
      <c r="E283" s="891"/>
      <c r="F283" s="891"/>
      <c r="G283" s="891"/>
      <c r="H283" s="891"/>
      <c r="I283" s="891"/>
      <c r="J283" s="891"/>
      <c r="K283" s="891"/>
      <c r="L283" s="891"/>
      <c r="M283" s="891"/>
      <c r="N283" s="3" t="s">
        <v>2005</v>
      </c>
      <c r="O283" s="31" t="s">
        <v>701</v>
      </c>
      <c r="P283" s="499">
        <f>52621/108286*100</f>
        <v>48.594462811443769</v>
      </c>
      <c r="Q283" s="499">
        <v>48.59</v>
      </c>
      <c r="R283" s="499">
        <v>48.61</v>
      </c>
      <c r="S283" s="499">
        <v>48.63</v>
      </c>
      <c r="T283" s="499">
        <v>48.65</v>
      </c>
      <c r="U283" s="499">
        <v>48.67</v>
      </c>
      <c r="V283" s="499">
        <v>48.69</v>
      </c>
      <c r="W283" s="499">
        <v>48.69</v>
      </c>
      <c r="X283" s="3" t="s">
        <v>1103</v>
      </c>
      <c r="Y283" s="3" t="s">
        <v>1139</v>
      </c>
      <c r="Z283" s="3"/>
      <c r="AA283" s="26"/>
      <c r="AB283" s="26"/>
      <c r="AC283" s="120"/>
      <c r="AD283" s="120"/>
      <c r="AE283" s="120"/>
      <c r="AF283" s="120"/>
      <c r="AG283" s="120"/>
      <c r="AH283" s="120"/>
      <c r="AI283" s="120"/>
      <c r="AJ283" s="120"/>
      <c r="AK283" s="120"/>
      <c r="AL283" s="120"/>
      <c r="AM283" s="120"/>
      <c r="AN283" s="120"/>
      <c r="AO283" s="120"/>
    </row>
    <row r="284" spans="1:41" s="124" customFormat="1" ht="47.25">
      <c r="A284" s="119"/>
      <c r="B284" s="69"/>
      <c r="C284" s="891"/>
      <c r="D284" s="891"/>
      <c r="E284" s="891"/>
      <c r="F284" s="891"/>
      <c r="G284" s="891"/>
      <c r="H284" s="891"/>
      <c r="I284" s="891"/>
      <c r="J284" s="891"/>
      <c r="K284" s="891"/>
      <c r="L284" s="891"/>
      <c r="M284" s="891"/>
      <c r="N284" s="3" t="s">
        <v>1140</v>
      </c>
      <c r="O284" s="31" t="s">
        <v>1141</v>
      </c>
      <c r="P284" s="499">
        <v>21.06</v>
      </c>
      <c r="Q284" s="499">
        <v>21.06</v>
      </c>
      <c r="R284" s="499">
        <v>21.8</v>
      </c>
      <c r="S284" s="499">
        <v>21.1</v>
      </c>
      <c r="T284" s="499">
        <v>21.12</v>
      </c>
      <c r="U284" s="499">
        <v>21.14</v>
      </c>
      <c r="V284" s="499">
        <v>21.16</v>
      </c>
      <c r="W284" s="499">
        <v>21.16</v>
      </c>
      <c r="X284" s="3" t="s">
        <v>1103</v>
      </c>
      <c r="Y284" s="3" t="s">
        <v>1142</v>
      </c>
      <c r="Z284" s="3"/>
      <c r="AA284" s="26"/>
      <c r="AB284" s="26"/>
      <c r="AC284" s="120"/>
      <c r="AD284" s="120"/>
      <c r="AE284" s="120"/>
      <c r="AF284" s="120"/>
      <c r="AG284" s="120"/>
      <c r="AH284" s="120"/>
      <c r="AI284" s="120"/>
      <c r="AJ284" s="120"/>
      <c r="AK284" s="120"/>
      <c r="AL284" s="120"/>
      <c r="AM284" s="120"/>
      <c r="AN284" s="120"/>
      <c r="AO284" s="120"/>
    </row>
    <row r="285" spans="1:41" s="124" customFormat="1" ht="47.25">
      <c r="A285" s="119"/>
      <c r="B285" s="69"/>
      <c r="C285" s="891"/>
      <c r="D285" s="891"/>
      <c r="E285" s="891"/>
      <c r="F285" s="891"/>
      <c r="G285" s="891"/>
      <c r="H285" s="891"/>
      <c r="I285" s="891"/>
      <c r="J285" s="891"/>
      <c r="K285" s="891"/>
      <c r="L285" s="891"/>
      <c r="M285" s="891"/>
      <c r="N285" s="3" t="s">
        <v>1143</v>
      </c>
      <c r="O285" s="31" t="s">
        <v>1141</v>
      </c>
      <c r="P285" s="499">
        <v>31.9</v>
      </c>
      <c r="Q285" s="499">
        <v>31.9</v>
      </c>
      <c r="R285" s="499">
        <v>31.92</v>
      </c>
      <c r="S285" s="499">
        <v>31.94</v>
      </c>
      <c r="T285" s="499">
        <v>31.96</v>
      </c>
      <c r="U285" s="499">
        <v>31.98</v>
      </c>
      <c r="V285" s="499">
        <v>32</v>
      </c>
      <c r="W285" s="499">
        <v>32</v>
      </c>
      <c r="X285" s="3" t="s">
        <v>1103</v>
      </c>
      <c r="Y285" s="3" t="s">
        <v>1144</v>
      </c>
      <c r="Z285" s="3"/>
      <c r="AA285" s="26"/>
      <c r="AB285" s="26"/>
      <c r="AC285" s="120"/>
      <c r="AD285" s="120"/>
      <c r="AE285" s="120"/>
      <c r="AF285" s="120"/>
      <c r="AG285" s="120"/>
      <c r="AH285" s="120"/>
      <c r="AI285" s="120"/>
      <c r="AJ285" s="120"/>
      <c r="AK285" s="120"/>
      <c r="AL285" s="120"/>
      <c r="AM285" s="120"/>
      <c r="AN285" s="120"/>
      <c r="AO285" s="120"/>
    </row>
    <row r="286" spans="1:41" s="124" customFormat="1" ht="110.25">
      <c r="A286" s="119"/>
      <c r="B286" s="69"/>
      <c r="C286" s="891"/>
      <c r="D286" s="891"/>
      <c r="E286" s="891"/>
      <c r="F286" s="891"/>
      <c r="G286" s="891"/>
      <c r="H286" s="891"/>
      <c r="I286" s="891"/>
      <c r="J286" s="891"/>
      <c r="K286" s="891"/>
      <c r="L286" s="891"/>
      <c r="M286" s="891"/>
      <c r="N286" s="3" t="s">
        <v>1145</v>
      </c>
      <c r="O286" s="31" t="s">
        <v>701</v>
      </c>
      <c r="P286" s="499" t="s">
        <v>4278</v>
      </c>
      <c r="Q286" s="499" t="s">
        <v>4279</v>
      </c>
      <c r="R286" s="499" t="s">
        <v>4280</v>
      </c>
      <c r="S286" s="499" t="s">
        <v>4281</v>
      </c>
      <c r="T286" s="499" t="s">
        <v>4282</v>
      </c>
      <c r="U286" s="499" t="s">
        <v>4283</v>
      </c>
      <c r="V286" s="499" t="s">
        <v>4283</v>
      </c>
      <c r="W286" s="499" t="s">
        <v>4283</v>
      </c>
      <c r="X286" s="3" t="s">
        <v>1103</v>
      </c>
      <c r="Y286" s="3" t="s">
        <v>1146</v>
      </c>
      <c r="Z286" s="3"/>
      <c r="AA286" s="26"/>
      <c r="AB286" s="26"/>
      <c r="AC286" s="120"/>
      <c r="AD286" s="120"/>
      <c r="AE286" s="120"/>
      <c r="AF286" s="120"/>
      <c r="AG286" s="120"/>
      <c r="AH286" s="120"/>
      <c r="AI286" s="120"/>
      <c r="AJ286" s="120"/>
      <c r="AK286" s="120"/>
      <c r="AL286" s="120"/>
      <c r="AM286" s="120"/>
      <c r="AN286" s="120"/>
      <c r="AO286" s="120"/>
    </row>
    <row r="287" spans="1:41" s="124" customFormat="1" ht="94.5">
      <c r="A287" s="119"/>
      <c r="B287" s="69"/>
      <c r="C287" s="891"/>
      <c r="D287" s="891"/>
      <c r="E287" s="891"/>
      <c r="F287" s="891"/>
      <c r="G287" s="891"/>
      <c r="H287" s="891"/>
      <c r="I287" s="891"/>
      <c r="J287" s="891"/>
      <c r="K287" s="891"/>
      <c r="L287" s="891"/>
      <c r="M287" s="891"/>
      <c r="N287" s="3" t="s">
        <v>1147</v>
      </c>
      <c r="O287" s="31" t="s">
        <v>701</v>
      </c>
      <c r="P287" s="499">
        <v>99.37</v>
      </c>
      <c r="Q287" s="499">
        <v>99.37</v>
      </c>
      <c r="R287" s="499">
        <v>99.4</v>
      </c>
      <c r="S287" s="499">
        <v>99.43</v>
      </c>
      <c r="T287" s="499">
        <v>99.46</v>
      </c>
      <c r="U287" s="499">
        <v>99.49</v>
      </c>
      <c r="V287" s="499">
        <v>99.52</v>
      </c>
      <c r="W287" s="499">
        <v>99.52</v>
      </c>
      <c r="X287" s="3" t="s">
        <v>1103</v>
      </c>
      <c r="Y287" s="3" t="s">
        <v>1148</v>
      </c>
      <c r="Z287" s="3"/>
      <c r="AA287" s="26"/>
      <c r="AB287" s="26"/>
      <c r="AC287" s="120"/>
      <c r="AD287" s="120"/>
      <c r="AE287" s="120"/>
      <c r="AF287" s="120"/>
      <c r="AG287" s="120"/>
      <c r="AH287" s="120"/>
      <c r="AI287" s="120"/>
      <c r="AJ287" s="120"/>
      <c r="AK287" s="120"/>
      <c r="AL287" s="120"/>
      <c r="AM287" s="120"/>
      <c r="AN287" s="120"/>
      <c r="AO287" s="120"/>
    </row>
    <row r="288" spans="1:41" s="124" customFormat="1" ht="94.5">
      <c r="A288" s="119"/>
      <c r="B288" s="69"/>
      <c r="C288" s="891"/>
      <c r="D288" s="891"/>
      <c r="E288" s="891"/>
      <c r="F288" s="891"/>
      <c r="G288" s="891"/>
      <c r="H288" s="891"/>
      <c r="I288" s="891"/>
      <c r="J288" s="891"/>
      <c r="K288" s="891"/>
      <c r="L288" s="891"/>
      <c r="M288" s="891"/>
      <c r="N288" s="3" t="s">
        <v>1149</v>
      </c>
      <c r="O288" s="31" t="s">
        <v>701</v>
      </c>
      <c r="P288" s="499">
        <v>99.25</v>
      </c>
      <c r="Q288" s="499">
        <v>99.25</v>
      </c>
      <c r="R288" s="499">
        <v>99.28</v>
      </c>
      <c r="S288" s="499">
        <v>99.31</v>
      </c>
      <c r="T288" s="499">
        <v>99.34</v>
      </c>
      <c r="U288" s="499">
        <v>99.37</v>
      </c>
      <c r="V288" s="499">
        <v>99.4</v>
      </c>
      <c r="W288" s="499">
        <v>99.4</v>
      </c>
      <c r="X288" s="3" t="s">
        <v>1103</v>
      </c>
      <c r="Y288" s="3" t="s">
        <v>1150</v>
      </c>
      <c r="Z288" s="3"/>
      <c r="AA288" s="26"/>
      <c r="AB288" s="26"/>
      <c r="AC288" s="120"/>
      <c r="AD288" s="120"/>
      <c r="AE288" s="120"/>
      <c r="AF288" s="120"/>
      <c r="AG288" s="120"/>
      <c r="AH288" s="120"/>
      <c r="AI288" s="120"/>
      <c r="AJ288" s="120"/>
      <c r="AK288" s="120"/>
      <c r="AL288" s="120"/>
      <c r="AM288" s="120"/>
      <c r="AN288" s="120"/>
      <c r="AO288" s="120"/>
    </row>
    <row r="289" spans="1:41" s="124" customFormat="1" ht="141.75">
      <c r="A289" s="119"/>
      <c r="B289" s="69"/>
      <c r="C289" s="891"/>
      <c r="D289" s="891"/>
      <c r="E289" s="890">
        <v>4</v>
      </c>
      <c r="F289" s="890" t="s">
        <v>1151</v>
      </c>
      <c r="G289" s="890" t="s">
        <v>1152</v>
      </c>
      <c r="H289" s="890"/>
      <c r="I289" s="890" t="s">
        <v>4962</v>
      </c>
      <c r="J289" s="3"/>
      <c r="K289" s="3"/>
      <c r="L289" s="3"/>
      <c r="M289" s="3"/>
      <c r="N289" s="3"/>
      <c r="O289" s="31"/>
      <c r="P289" s="499"/>
      <c r="Q289" s="499"/>
      <c r="R289" s="499"/>
      <c r="S289" s="499"/>
      <c r="T289" s="499"/>
      <c r="U289" s="499"/>
      <c r="V289" s="499"/>
      <c r="W289" s="499"/>
      <c r="X289" s="3"/>
      <c r="Y289" s="3"/>
      <c r="Z289" s="3"/>
      <c r="AA289" s="120"/>
      <c r="AB289" s="120"/>
      <c r="AC289" s="120"/>
      <c r="AD289" s="120"/>
      <c r="AE289" s="120"/>
      <c r="AF289" s="120"/>
      <c r="AG289" s="120"/>
      <c r="AH289" s="120"/>
      <c r="AI289" s="120"/>
      <c r="AJ289" s="120"/>
      <c r="AK289" s="120"/>
      <c r="AL289" s="120"/>
      <c r="AM289" s="120"/>
      <c r="AN289" s="120"/>
      <c r="AO289" s="120"/>
    </row>
    <row r="290" spans="1:41" s="124" customFormat="1" ht="78.75">
      <c r="A290" s="119"/>
      <c r="B290" s="69"/>
      <c r="C290" s="891"/>
      <c r="D290" s="891"/>
      <c r="E290" s="891"/>
      <c r="F290" s="891"/>
      <c r="G290" s="891"/>
      <c r="H290" s="891"/>
      <c r="I290" s="891"/>
      <c r="J290" s="898">
        <v>1.01</v>
      </c>
      <c r="K290" s="890" t="s">
        <v>773</v>
      </c>
      <c r="L290" s="890">
        <v>17</v>
      </c>
      <c r="M290" s="890" t="s">
        <v>1153</v>
      </c>
      <c r="N290" s="3" t="s">
        <v>2006</v>
      </c>
      <c r="O290" s="31" t="s">
        <v>701</v>
      </c>
      <c r="P290" s="499">
        <v>56.56</v>
      </c>
      <c r="Q290" s="499">
        <v>56.66</v>
      </c>
      <c r="R290" s="499">
        <v>56.76</v>
      </c>
      <c r="S290" s="499">
        <v>56.86</v>
      </c>
      <c r="T290" s="499">
        <v>56.96</v>
      </c>
      <c r="U290" s="499">
        <v>57.06</v>
      </c>
      <c r="V290" s="499">
        <v>57.16</v>
      </c>
      <c r="W290" s="499">
        <v>57.16</v>
      </c>
      <c r="X290" s="3" t="s">
        <v>1103</v>
      </c>
      <c r="Y290" s="3" t="s">
        <v>1154</v>
      </c>
      <c r="Z290" s="3"/>
      <c r="AA290" s="26"/>
      <c r="AB290" s="26"/>
      <c r="AC290" s="120"/>
      <c r="AD290" s="120"/>
      <c r="AE290" s="120"/>
      <c r="AF290" s="120"/>
      <c r="AG290" s="120"/>
      <c r="AH290" s="120"/>
      <c r="AI290" s="120"/>
      <c r="AJ290" s="120"/>
      <c r="AK290" s="120"/>
      <c r="AL290" s="120"/>
      <c r="AM290" s="120"/>
      <c r="AN290" s="120"/>
      <c r="AO290" s="120"/>
    </row>
    <row r="291" spans="1:41" s="124" customFormat="1" ht="94.5">
      <c r="A291" s="119"/>
      <c r="B291" s="69"/>
      <c r="C291" s="891"/>
      <c r="D291" s="891"/>
      <c r="E291" s="891"/>
      <c r="F291" s="891"/>
      <c r="G291" s="891"/>
      <c r="H291" s="891"/>
      <c r="I291" s="891"/>
      <c r="J291" s="891"/>
      <c r="K291" s="891"/>
      <c r="L291" s="891"/>
      <c r="M291" s="891"/>
      <c r="N291" s="3" t="s">
        <v>2007</v>
      </c>
      <c r="O291" s="31" t="s">
        <v>701</v>
      </c>
      <c r="P291" s="499">
        <v>39.549999999999997</v>
      </c>
      <c r="Q291" s="499">
        <v>39.65</v>
      </c>
      <c r="R291" s="499">
        <v>39.75</v>
      </c>
      <c r="S291" s="499">
        <v>39.85</v>
      </c>
      <c r="T291" s="499" t="s">
        <v>1922</v>
      </c>
      <c r="U291" s="499">
        <v>40.049999999999997</v>
      </c>
      <c r="V291" s="499">
        <v>40.15</v>
      </c>
      <c r="W291" s="499">
        <v>40.15</v>
      </c>
      <c r="X291" s="3" t="s">
        <v>1103</v>
      </c>
      <c r="Y291" s="3" t="s">
        <v>1155</v>
      </c>
      <c r="Z291" s="3"/>
      <c r="AA291" s="26"/>
      <c r="AB291" s="26"/>
      <c r="AC291" s="120"/>
      <c r="AD291" s="120"/>
      <c r="AE291" s="120"/>
      <c r="AF291" s="120"/>
      <c r="AG291" s="120"/>
      <c r="AH291" s="120"/>
      <c r="AI291" s="120"/>
      <c r="AJ291" s="120"/>
      <c r="AK291" s="120"/>
      <c r="AL291" s="120"/>
      <c r="AM291" s="120"/>
      <c r="AN291" s="120"/>
      <c r="AO291" s="120"/>
    </row>
    <row r="292" spans="1:41" s="124" customFormat="1" ht="94.5">
      <c r="A292" s="119"/>
      <c r="B292" s="69"/>
      <c r="C292" s="891"/>
      <c r="D292" s="891"/>
      <c r="E292" s="891"/>
      <c r="F292" s="891"/>
      <c r="G292" s="891"/>
      <c r="H292" s="891"/>
      <c r="I292" s="891"/>
      <c r="J292" s="891"/>
      <c r="K292" s="891"/>
      <c r="L292" s="891"/>
      <c r="M292" s="891"/>
      <c r="N292" s="3" t="s">
        <v>1156</v>
      </c>
      <c r="O292" s="31" t="s">
        <v>701</v>
      </c>
      <c r="P292" s="499">
        <v>65.479140850888058</v>
      </c>
      <c r="Q292" s="499">
        <v>65.569999999999993</v>
      </c>
      <c r="R292" s="499">
        <v>65.66</v>
      </c>
      <c r="S292" s="499">
        <v>65.75</v>
      </c>
      <c r="T292" s="499">
        <v>65.84</v>
      </c>
      <c r="U292" s="499">
        <v>65.930000000000007</v>
      </c>
      <c r="V292" s="499">
        <v>66.02</v>
      </c>
      <c r="W292" s="499">
        <v>66.02</v>
      </c>
      <c r="X292" s="3" t="s">
        <v>1103</v>
      </c>
      <c r="Y292" s="3" t="s">
        <v>1157</v>
      </c>
      <c r="Z292" s="3"/>
      <c r="AA292" s="26"/>
      <c r="AB292" s="26"/>
      <c r="AC292" s="120"/>
      <c r="AD292" s="120"/>
      <c r="AE292" s="120"/>
      <c r="AF292" s="120"/>
      <c r="AG292" s="120"/>
      <c r="AH292" s="120"/>
      <c r="AI292" s="120"/>
      <c r="AJ292" s="120"/>
      <c r="AK292" s="120"/>
      <c r="AL292" s="120"/>
      <c r="AM292" s="120"/>
      <c r="AN292" s="120"/>
      <c r="AO292" s="120"/>
    </row>
    <row r="293" spans="1:41" s="124" customFormat="1" ht="110.25">
      <c r="A293" s="119"/>
      <c r="B293" s="69"/>
      <c r="C293" s="891"/>
      <c r="D293" s="891"/>
      <c r="E293" s="891"/>
      <c r="F293" s="891"/>
      <c r="G293" s="891"/>
      <c r="H293" s="891"/>
      <c r="I293" s="891"/>
      <c r="J293" s="891"/>
      <c r="K293" s="891"/>
      <c r="L293" s="891"/>
      <c r="M293" s="891"/>
      <c r="N293" s="3" t="s">
        <v>2008</v>
      </c>
      <c r="O293" s="31" t="s">
        <v>701</v>
      </c>
      <c r="P293" s="499">
        <f>9179/17911*100</f>
        <v>51.247836525040483</v>
      </c>
      <c r="Q293" s="499">
        <v>51.25</v>
      </c>
      <c r="R293" s="499">
        <v>51.17</v>
      </c>
      <c r="S293" s="499">
        <v>51.09</v>
      </c>
      <c r="T293" s="499">
        <v>51.01</v>
      </c>
      <c r="U293" s="499">
        <v>50.93</v>
      </c>
      <c r="V293" s="499">
        <v>50.85</v>
      </c>
      <c r="W293" s="499">
        <v>50.85</v>
      </c>
      <c r="X293" s="3" t="s">
        <v>1103</v>
      </c>
      <c r="Y293" s="3" t="s">
        <v>1158</v>
      </c>
      <c r="Z293" s="3"/>
      <c r="AA293" s="26"/>
      <c r="AB293" s="26"/>
      <c r="AC293" s="120"/>
      <c r="AD293" s="120"/>
      <c r="AE293" s="120"/>
      <c r="AF293" s="120"/>
      <c r="AG293" s="120"/>
      <c r="AH293" s="120"/>
      <c r="AI293" s="120"/>
      <c r="AJ293" s="120"/>
      <c r="AK293" s="120"/>
      <c r="AL293" s="120"/>
      <c r="AM293" s="120"/>
      <c r="AN293" s="120"/>
      <c r="AO293" s="120"/>
    </row>
    <row r="294" spans="1:41" s="124" customFormat="1" ht="47.25">
      <c r="A294" s="119"/>
      <c r="B294" s="69"/>
      <c r="C294" s="891"/>
      <c r="D294" s="891"/>
      <c r="E294" s="891"/>
      <c r="F294" s="891"/>
      <c r="G294" s="891"/>
      <c r="H294" s="891"/>
      <c r="I294" s="891"/>
      <c r="J294" s="891"/>
      <c r="K294" s="891"/>
      <c r="L294" s="891"/>
      <c r="M294" s="891"/>
      <c r="N294" s="3" t="s">
        <v>1159</v>
      </c>
      <c r="O294" s="31" t="s">
        <v>921</v>
      </c>
      <c r="P294" s="125" t="s">
        <v>1160</v>
      </c>
      <c r="Q294" s="499" t="str">
        <f>P294</f>
        <v>1 : 28</v>
      </c>
      <c r="R294" s="125" t="s">
        <v>1923</v>
      </c>
      <c r="S294" s="499" t="str">
        <f>R294</f>
        <v>1:29</v>
      </c>
      <c r="T294" s="125" t="s">
        <v>1924</v>
      </c>
      <c r="U294" s="499" t="str">
        <f>T294</f>
        <v>1:30</v>
      </c>
      <c r="V294" s="499"/>
      <c r="W294" s="499"/>
      <c r="X294" s="3" t="s">
        <v>1103</v>
      </c>
      <c r="Y294" s="3" t="s">
        <v>1161</v>
      </c>
      <c r="Z294" s="3"/>
      <c r="AA294" s="26"/>
      <c r="AB294" s="26"/>
      <c r="AC294" s="120"/>
      <c r="AD294" s="120"/>
      <c r="AE294" s="120"/>
      <c r="AF294" s="120"/>
      <c r="AG294" s="120"/>
      <c r="AH294" s="120"/>
      <c r="AI294" s="120"/>
      <c r="AJ294" s="120"/>
      <c r="AK294" s="120"/>
      <c r="AL294" s="120"/>
      <c r="AM294" s="120"/>
      <c r="AN294" s="120"/>
      <c r="AO294" s="120"/>
    </row>
    <row r="295" spans="1:41" s="124" customFormat="1" ht="47.25">
      <c r="A295" s="119"/>
      <c r="B295" s="69"/>
      <c r="C295" s="891"/>
      <c r="D295" s="891"/>
      <c r="E295" s="891"/>
      <c r="F295" s="891"/>
      <c r="G295" s="891"/>
      <c r="H295" s="891"/>
      <c r="I295" s="891"/>
      <c r="J295" s="891"/>
      <c r="K295" s="891"/>
      <c r="L295" s="891"/>
      <c r="M295" s="891"/>
      <c r="N295" s="3" t="s">
        <v>1162</v>
      </c>
      <c r="O295" s="31" t="s">
        <v>921</v>
      </c>
      <c r="P295" s="125" t="s">
        <v>1163</v>
      </c>
      <c r="Q295" s="499" t="str">
        <f>P295</f>
        <v>1 : 32</v>
      </c>
      <c r="R295" s="499" t="str">
        <f>Q295</f>
        <v>1 : 32</v>
      </c>
      <c r="S295" s="499" t="str">
        <f>R295</f>
        <v>1 : 32</v>
      </c>
      <c r="T295" s="499" t="str">
        <f>S295</f>
        <v>1 : 32</v>
      </c>
      <c r="U295" s="499" t="str">
        <f>T295</f>
        <v>1 : 32</v>
      </c>
      <c r="V295" s="499" t="str">
        <f>U295</f>
        <v>1 : 32</v>
      </c>
      <c r="W295" s="499" t="str">
        <f>V295</f>
        <v>1 : 32</v>
      </c>
      <c r="X295" s="3" t="s">
        <v>1103</v>
      </c>
      <c r="Y295" s="3" t="s">
        <v>1164</v>
      </c>
      <c r="Z295" s="3"/>
      <c r="AA295" s="26"/>
      <c r="AB295" s="26"/>
      <c r="AC295" s="120"/>
      <c r="AD295" s="120"/>
      <c r="AE295" s="120"/>
      <c r="AF295" s="120"/>
      <c r="AG295" s="120"/>
      <c r="AH295" s="120"/>
      <c r="AI295" s="120"/>
      <c r="AJ295" s="120"/>
      <c r="AK295" s="120"/>
      <c r="AL295" s="120"/>
      <c r="AM295" s="120"/>
      <c r="AN295" s="120"/>
      <c r="AO295" s="120"/>
    </row>
    <row r="296" spans="1:41" s="124" customFormat="1" ht="126">
      <c r="A296" s="119"/>
      <c r="B296" s="69"/>
      <c r="C296" s="891"/>
      <c r="D296" s="891"/>
      <c r="E296" s="891"/>
      <c r="F296" s="891"/>
      <c r="G296" s="891"/>
      <c r="H296" s="891"/>
      <c r="I296" s="891"/>
      <c r="J296" s="891"/>
      <c r="K296" s="891"/>
      <c r="L296" s="891"/>
      <c r="M296" s="891"/>
      <c r="N296" s="3" t="s">
        <v>1165</v>
      </c>
      <c r="O296" s="31" t="s">
        <v>701</v>
      </c>
      <c r="P296" s="499"/>
      <c r="Q296" s="499">
        <v>24</v>
      </c>
      <c r="R296" s="499" t="s">
        <v>4284</v>
      </c>
      <c r="S296" s="499" t="s">
        <v>4285</v>
      </c>
      <c r="T296" s="499" t="s">
        <v>4286</v>
      </c>
      <c r="U296" s="499" t="s">
        <v>4287</v>
      </c>
      <c r="V296" s="499" t="s">
        <v>4288</v>
      </c>
      <c r="W296" s="499" t="s">
        <v>4288</v>
      </c>
      <c r="X296" s="3" t="s">
        <v>1103</v>
      </c>
      <c r="Y296" s="3" t="s">
        <v>1166</v>
      </c>
      <c r="Z296" s="3"/>
      <c r="AA296" s="26"/>
      <c r="AB296" s="26"/>
      <c r="AC296" s="120"/>
      <c r="AD296" s="120"/>
      <c r="AE296" s="120"/>
      <c r="AF296" s="120"/>
      <c r="AG296" s="120"/>
      <c r="AH296" s="120"/>
      <c r="AI296" s="120"/>
      <c r="AJ296" s="120"/>
      <c r="AK296" s="120"/>
      <c r="AL296" s="120"/>
      <c r="AM296" s="120"/>
      <c r="AN296" s="120"/>
      <c r="AO296" s="120"/>
    </row>
    <row r="297" spans="1:41" s="124" customFormat="1" ht="299.25">
      <c r="A297" s="119"/>
      <c r="B297" s="69"/>
      <c r="C297" s="891"/>
      <c r="D297" s="891"/>
      <c r="E297" s="891"/>
      <c r="F297" s="891"/>
      <c r="G297" s="891"/>
      <c r="H297" s="891"/>
      <c r="I297" s="891"/>
      <c r="J297" s="891"/>
      <c r="K297" s="891"/>
      <c r="L297" s="891"/>
      <c r="M297" s="891"/>
      <c r="N297" s="3" t="s">
        <v>1167</v>
      </c>
      <c r="O297" s="31" t="s">
        <v>701</v>
      </c>
      <c r="P297" s="511">
        <v>80</v>
      </c>
      <c r="Q297" s="511">
        <v>75</v>
      </c>
      <c r="R297" s="511">
        <v>75</v>
      </c>
      <c r="S297" s="511">
        <v>75</v>
      </c>
      <c r="T297" s="511">
        <v>80</v>
      </c>
      <c r="U297" s="511">
        <v>80</v>
      </c>
      <c r="V297" s="511">
        <v>80</v>
      </c>
      <c r="W297" s="511">
        <v>80</v>
      </c>
      <c r="X297" s="3" t="s">
        <v>1103</v>
      </c>
      <c r="Y297" s="3" t="s">
        <v>4497</v>
      </c>
      <c r="Z297" s="3" t="s">
        <v>4337</v>
      </c>
      <c r="AA297" s="26"/>
      <c r="AB297" s="26"/>
      <c r="AC297" s="120"/>
      <c r="AD297" s="120"/>
      <c r="AE297" s="120"/>
      <c r="AF297" s="120"/>
      <c r="AG297" s="120"/>
      <c r="AH297" s="120"/>
      <c r="AI297" s="120"/>
      <c r="AJ297" s="120"/>
      <c r="AK297" s="120"/>
      <c r="AL297" s="120"/>
      <c r="AM297" s="120"/>
      <c r="AN297" s="120"/>
      <c r="AO297" s="120"/>
    </row>
    <row r="298" spans="1:41" s="124" customFormat="1" ht="94.5">
      <c r="A298" s="119"/>
      <c r="B298" s="69"/>
      <c r="C298" s="891"/>
      <c r="D298" s="891"/>
      <c r="E298" s="891"/>
      <c r="F298" s="891"/>
      <c r="G298" s="891"/>
      <c r="H298" s="891"/>
      <c r="I298" s="891"/>
      <c r="J298" s="891"/>
      <c r="K298" s="891"/>
      <c r="L298" s="891"/>
      <c r="M298" s="891"/>
      <c r="N298" s="3" t="s">
        <v>1168</v>
      </c>
      <c r="O298" s="31" t="s">
        <v>701</v>
      </c>
      <c r="P298" s="499">
        <v>43.89</v>
      </c>
      <c r="Q298" s="499">
        <v>43.89</v>
      </c>
      <c r="R298" s="499">
        <v>43.97</v>
      </c>
      <c r="S298" s="499">
        <v>44.05</v>
      </c>
      <c r="T298" s="499">
        <v>44.13</v>
      </c>
      <c r="U298" s="499">
        <v>44.21</v>
      </c>
      <c r="V298" s="499">
        <v>44.29</v>
      </c>
      <c r="W298" s="499">
        <v>44.29</v>
      </c>
      <c r="X298" s="3" t="s">
        <v>1103</v>
      </c>
      <c r="Y298" s="3" t="s">
        <v>1169</v>
      </c>
      <c r="Z298" s="3"/>
      <c r="AA298" s="26"/>
      <c r="AB298" s="26"/>
      <c r="AC298" s="120"/>
      <c r="AD298" s="120"/>
      <c r="AE298" s="120"/>
      <c r="AF298" s="120"/>
      <c r="AG298" s="120"/>
      <c r="AH298" s="120"/>
      <c r="AI298" s="120"/>
      <c r="AJ298" s="120"/>
      <c r="AK298" s="120"/>
      <c r="AL298" s="120"/>
      <c r="AM298" s="120"/>
      <c r="AN298" s="120"/>
      <c r="AO298" s="120"/>
    </row>
    <row r="299" spans="1:41" s="124" customFormat="1" ht="78.75">
      <c r="A299" s="119"/>
      <c r="B299" s="69"/>
      <c r="C299" s="891"/>
      <c r="D299" s="891"/>
      <c r="E299" s="892"/>
      <c r="F299" s="892"/>
      <c r="G299" s="892"/>
      <c r="H299" s="892"/>
      <c r="I299" s="892"/>
      <c r="J299" s="892"/>
      <c r="K299" s="892"/>
      <c r="L299" s="892"/>
      <c r="M299" s="892"/>
      <c r="N299" s="3" t="s">
        <v>1170</v>
      </c>
      <c r="O299" s="31" t="s">
        <v>4338</v>
      </c>
      <c r="P299" s="512" t="s">
        <v>4339</v>
      </c>
      <c r="Q299" s="499" t="s">
        <v>4340</v>
      </c>
      <c r="R299" s="499" t="s">
        <v>4498</v>
      </c>
      <c r="S299" s="499" t="s">
        <v>4499</v>
      </c>
      <c r="T299" s="499" t="s">
        <v>4500</v>
      </c>
      <c r="U299" s="499" t="s">
        <v>4501</v>
      </c>
      <c r="V299" s="499" t="s">
        <v>4502</v>
      </c>
      <c r="W299" s="499" t="s">
        <v>4502</v>
      </c>
      <c r="X299" s="3" t="s">
        <v>1103</v>
      </c>
      <c r="Y299" s="3" t="s">
        <v>1171</v>
      </c>
      <c r="Z299" s="3" t="s">
        <v>1172</v>
      </c>
      <c r="AA299" s="26"/>
      <c r="AB299" s="26"/>
      <c r="AC299" s="120"/>
      <c r="AD299" s="120"/>
      <c r="AE299" s="120"/>
      <c r="AF299" s="120"/>
      <c r="AG299" s="120"/>
      <c r="AH299" s="120"/>
      <c r="AI299" s="120"/>
      <c r="AJ299" s="120"/>
      <c r="AK299" s="120"/>
      <c r="AL299" s="120"/>
      <c r="AM299" s="120"/>
      <c r="AN299" s="120"/>
      <c r="AO299" s="120"/>
    </row>
    <row r="300" spans="1:41" s="124" customFormat="1" ht="110.25">
      <c r="A300" s="119"/>
      <c r="B300" s="69"/>
      <c r="C300" s="891"/>
      <c r="D300" s="891"/>
      <c r="E300" s="890">
        <v>5</v>
      </c>
      <c r="F300" s="890" t="s">
        <v>1173</v>
      </c>
      <c r="G300" s="890" t="s">
        <v>1174</v>
      </c>
      <c r="H300" s="890"/>
      <c r="I300" s="890" t="s">
        <v>4963</v>
      </c>
      <c r="J300" s="3"/>
      <c r="K300" s="3"/>
      <c r="L300" s="3"/>
      <c r="M300" s="3"/>
      <c r="N300" s="3"/>
      <c r="O300" s="31"/>
      <c r="P300" s="512"/>
      <c r="Q300" s="499"/>
      <c r="R300" s="499"/>
      <c r="S300" s="499"/>
      <c r="T300" s="499"/>
      <c r="U300" s="499"/>
      <c r="V300" s="499"/>
      <c r="W300" s="499"/>
      <c r="X300" s="3"/>
      <c r="Y300" s="3"/>
      <c r="Z300" s="3"/>
      <c r="AA300" s="120"/>
      <c r="AB300" s="120"/>
      <c r="AC300" s="120"/>
      <c r="AD300" s="120"/>
      <c r="AE300" s="120"/>
      <c r="AF300" s="120"/>
      <c r="AG300" s="120"/>
      <c r="AH300" s="120"/>
      <c r="AI300" s="120"/>
      <c r="AJ300" s="120"/>
      <c r="AK300" s="120"/>
      <c r="AL300" s="120"/>
      <c r="AM300" s="120"/>
      <c r="AN300" s="120"/>
      <c r="AO300" s="120"/>
    </row>
    <row r="301" spans="1:41" s="124" customFormat="1" ht="78.75">
      <c r="A301" s="119"/>
      <c r="B301" s="69"/>
      <c r="C301" s="891"/>
      <c r="D301" s="891"/>
      <c r="E301" s="891"/>
      <c r="F301" s="891"/>
      <c r="G301" s="891"/>
      <c r="H301" s="891"/>
      <c r="I301" s="891"/>
      <c r="J301" s="898">
        <v>1.01</v>
      </c>
      <c r="K301" s="890" t="s">
        <v>773</v>
      </c>
      <c r="L301" s="890">
        <v>18</v>
      </c>
      <c r="M301" s="29" t="s">
        <v>166</v>
      </c>
      <c r="N301" s="3" t="s">
        <v>2009</v>
      </c>
      <c r="O301" s="31" t="s">
        <v>701</v>
      </c>
      <c r="P301" s="499">
        <v>97.82</v>
      </c>
      <c r="Q301" s="499">
        <v>97.9</v>
      </c>
      <c r="R301" s="499">
        <v>98.09</v>
      </c>
      <c r="S301" s="499">
        <v>98.36</v>
      </c>
      <c r="T301" s="499">
        <v>98.63</v>
      </c>
      <c r="U301" s="499">
        <v>98.7</v>
      </c>
      <c r="V301" s="499">
        <v>99.17</v>
      </c>
      <c r="W301" s="499">
        <v>99.17</v>
      </c>
      <c r="X301" s="3" t="s">
        <v>1103</v>
      </c>
      <c r="Y301" s="3" t="s">
        <v>2010</v>
      </c>
      <c r="Z301" s="3"/>
      <c r="AA301" s="120"/>
      <c r="AB301" s="120"/>
      <c r="AC301" s="120"/>
      <c r="AD301" s="120"/>
      <c r="AE301" s="120"/>
      <c r="AF301" s="120"/>
      <c r="AG301" s="120"/>
      <c r="AH301" s="120"/>
      <c r="AI301" s="120"/>
      <c r="AJ301" s="120"/>
      <c r="AK301" s="120"/>
      <c r="AL301" s="120"/>
      <c r="AM301" s="120"/>
      <c r="AN301" s="120"/>
      <c r="AO301" s="120"/>
    </row>
    <row r="302" spans="1:41" s="124" customFormat="1" ht="94.5">
      <c r="A302" s="119"/>
      <c r="B302" s="69"/>
      <c r="C302" s="891"/>
      <c r="D302" s="891"/>
      <c r="E302" s="891"/>
      <c r="F302" s="891"/>
      <c r="G302" s="891"/>
      <c r="H302" s="891"/>
      <c r="I302" s="891"/>
      <c r="J302" s="891"/>
      <c r="K302" s="891"/>
      <c r="L302" s="891"/>
      <c r="M302" s="891"/>
      <c r="N302" s="3" t="s">
        <v>1175</v>
      </c>
      <c r="O302" s="31" t="s">
        <v>1176</v>
      </c>
      <c r="P302" s="499">
        <v>7.1</v>
      </c>
      <c r="Q302" s="499">
        <v>7.1</v>
      </c>
      <c r="R302" s="499">
        <v>7.11</v>
      </c>
      <c r="S302" s="499">
        <v>7.13</v>
      </c>
      <c r="T302" s="499">
        <v>7.15</v>
      </c>
      <c r="U302" s="499">
        <v>7.17</v>
      </c>
      <c r="V302" s="499">
        <v>7.19</v>
      </c>
      <c r="W302" s="499">
        <v>7.19</v>
      </c>
      <c r="X302" s="3" t="s">
        <v>1177</v>
      </c>
      <c r="Y302" s="3" t="s">
        <v>1178</v>
      </c>
      <c r="Z302" s="3" t="s">
        <v>1179</v>
      </c>
      <c r="AA302" s="120"/>
      <c r="AB302" s="120"/>
      <c r="AC302" s="120"/>
      <c r="AD302" s="120"/>
      <c r="AE302" s="120"/>
      <c r="AF302" s="120"/>
      <c r="AG302" s="120"/>
      <c r="AH302" s="120"/>
      <c r="AI302" s="120"/>
      <c r="AJ302" s="120"/>
      <c r="AK302" s="120"/>
      <c r="AL302" s="120"/>
      <c r="AM302" s="120"/>
      <c r="AN302" s="120"/>
      <c r="AO302" s="120"/>
    </row>
    <row r="303" spans="1:41" s="124" customFormat="1" ht="110.25">
      <c r="A303" s="119"/>
      <c r="B303" s="69"/>
      <c r="C303" s="891"/>
      <c r="D303" s="891"/>
      <c r="E303" s="891"/>
      <c r="F303" s="891"/>
      <c r="G303" s="891"/>
      <c r="H303" s="891"/>
      <c r="I303" s="891"/>
      <c r="J303" s="891"/>
      <c r="K303" s="891"/>
      <c r="L303" s="891"/>
      <c r="M303" s="891"/>
      <c r="N303" s="3" t="s">
        <v>2011</v>
      </c>
      <c r="O303" s="31" t="s">
        <v>701</v>
      </c>
      <c r="P303" s="501">
        <v>20</v>
      </c>
      <c r="Q303" s="501">
        <v>25</v>
      </c>
      <c r="R303" s="501">
        <v>25</v>
      </c>
      <c r="S303" s="501">
        <v>25</v>
      </c>
      <c r="T303" s="501">
        <v>33</v>
      </c>
      <c r="U303" s="501">
        <v>50</v>
      </c>
      <c r="V303" s="501">
        <v>100</v>
      </c>
      <c r="W303" s="501">
        <v>100</v>
      </c>
      <c r="X303" s="3" t="s">
        <v>1103</v>
      </c>
      <c r="Y303" s="3" t="s">
        <v>4583</v>
      </c>
      <c r="Z303" s="3"/>
      <c r="AA303" s="120"/>
      <c r="AB303" s="120"/>
      <c r="AC303" s="120"/>
      <c r="AD303" s="120"/>
      <c r="AE303" s="120"/>
      <c r="AF303" s="120"/>
      <c r="AG303" s="120"/>
      <c r="AH303" s="120"/>
      <c r="AI303" s="120"/>
      <c r="AJ303" s="120"/>
      <c r="AK303" s="120"/>
      <c r="AL303" s="120"/>
      <c r="AM303" s="120"/>
      <c r="AN303" s="120"/>
      <c r="AO303" s="120"/>
    </row>
    <row r="304" spans="1:41" s="124" customFormat="1" ht="78.75">
      <c r="A304" s="119"/>
      <c r="B304" s="69"/>
      <c r="C304" s="890">
        <v>3</v>
      </c>
      <c r="D304" s="890" t="s">
        <v>1180</v>
      </c>
      <c r="E304" s="890">
        <v>6</v>
      </c>
      <c r="F304" s="890" t="s">
        <v>1181</v>
      </c>
      <c r="G304" s="890" t="s">
        <v>1182</v>
      </c>
      <c r="H304" s="890"/>
      <c r="I304" s="890" t="s">
        <v>4964</v>
      </c>
      <c r="J304" s="3"/>
      <c r="K304" s="3"/>
      <c r="L304" s="3"/>
      <c r="M304" s="3"/>
      <c r="N304" s="3"/>
      <c r="O304" s="31"/>
      <c r="P304" s="499"/>
      <c r="Q304" s="499"/>
      <c r="R304" s="499"/>
      <c r="S304" s="499"/>
      <c r="T304" s="499"/>
      <c r="U304" s="499"/>
      <c r="V304" s="499"/>
      <c r="W304" s="499"/>
      <c r="X304" s="3"/>
      <c r="Y304" s="3"/>
      <c r="Z304" s="3"/>
      <c r="AA304" s="120"/>
      <c r="AB304" s="120"/>
      <c r="AC304" s="120"/>
      <c r="AD304" s="120"/>
      <c r="AE304" s="120"/>
      <c r="AF304" s="120"/>
      <c r="AG304" s="120"/>
      <c r="AH304" s="120"/>
      <c r="AI304" s="120"/>
      <c r="AJ304" s="120"/>
      <c r="AK304" s="120"/>
      <c r="AL304" s="120"/>
      <c r="AM304" s="120"/>
      <c r="AN304" s="120"/>
      <c r="AO304" s="120"/>
    </row>
    <row r="305" spans="1:41" s="124" customFormat="1" ht="63">
      <c r="A305" s="119"/>
      <c r="B305" s="69"/>
      <c r="C305" s="891"/>
      <c r="D305" s="891"/>
      <c r="E305" s="891"/>
      <c r="F305" s="891"/>
      <c r="G305" s="891"/>
      <c r="H305" s="891"/>
      <c r="I305" s="891"/>
      <c r="J305" s="898">
        <v>1.01</v>
      </c>
      <c r="K305" s="890" t="s">
        <v>773</v>
      </c>
      <c r="L305" s="890">
        <v>22</v>
      </c>
      <c r="M305" s="890" t="s">
        <v>1111</v>
      </c>
      <c r="N305" s="3" t="s">
        <v>1183</v>
      </c>
      <c r="O305" s="31" t="s">
        <v>701</v>
      </c>
      <c r="P305" s="499">
        <v>5.83</v>
      </c>
      <c r="Q305" s="499">
        <v>5.83</v>
      </c>
      <c r="R305" s="499">
        <v>5.83</v>
      </c>
      <c r="S305" s="499">
        <v>5.83</v>
      </c>
      <c r="T305" s="499">
        <v>5.83</v>
      </c>
      <c r="U305" s="499">
        <v>5.83</v>
      </c>
      <c r="V305" s="499">
        <v>5.83</v>
      </c>
      <c r="W305" s="499">
        <v>5.83</v>
      </c>
      <c r="X305" s="3" t="s">
        <v>1103</v>
      </c>
      <c r="Y305" s="3" t="s">
        <v>1184</v>
      </c>
      <c r="Z305" s="3" t="s">
        <v>4343</v>
      </c>
      <c r="AA305" s="120"/>
      <c r="AB305" s="120"/>
      <c r="AC305" s="120"/>
      <c r="AD305" s="120"/>
      <c r="AE305" s="120"/>
      <c r="AF305" s="120"/>
      <c r="AG305" s="120"/>
      <c r="AH305" s="120"/>
      <c r="AI305" s="120"/>
      <c r="AJ305" s="120"/>
      <c r="AK305" s="120"/>
      <c r="AL305" s="120"/>
      <c r="AM305" s="120"/>
      <c r="AN305" s="120"/>
      <c r="AO305" s="120"/>
    </row>
    <row r="306" spans="1:41" s="124" customFormat="1" ht="63">
      <c r="A306" s="119"/>
      <c r="B306" s="69"/>
      <c r="C306" s="891"/>
      <c r="D306" s="891"/>
      <c r="E306" s="891"/>
      <c r="F306" s="891"/>
      <c r="G306" s="891"/>
      <c r="H306" s="891"/>
      <c r="I306" s="891"/>
      <c r="J306" s="891"/>
      <c r="K306" s="891"/>
      <c r="L306" s="891"/>
      <c r="M306" s="891"/>
      <c r="N306" s="3" t="s">
        <v>1185</v>
      </c>
      <c r="O306" s="31" t="s">
        <v>701</v>
      </c>
      <c r="P306" s="499">
        <v>42.71</v>
      </c>
      <c r="Q306" s="499">
        <v>42.71</v>
      </c>
      <c r="R306" s="499">
        <v>42.71</v>
      </c>
      <c r="S306" s="499">
        <v>42.71</v>
      </c>
      <c r="T306" s="499">
        <v>42.71</v>
      </c>
      <c r="U306" s="499">
        <v>42.71</v>
      </c>
      <c r="V306" s="499">
        <v>42.71</v>
      </c>
      <c r="W306" s="499">
        <v>42.71</v>
      </c>
      <c r="X306" s="3" t="s">
        <v>1103</v>
      </c>
      <c r="Y306" s="3" t="s">
        <v>1186</v>
      </c>
      <c r="Z306" s="3" t="s">
        <v>4343</v>
      </c>
      <c r="AA306" s="120"/>
      <c r="AB306" s="120"/>
      <c r="AC306" s="120"/>
      <c r="AD306" s="120"/>
      <c r="AE306" s="120"/>
      <c r="AF306" s="120"/>
      <c r="AG306" s="120"/>
      <c r="AH306" s="120"/>
      <c r="AI306" s="120"/>
      <c r="AJ306" s="120"/>
      <c r="AK306" s="120"/>
      <c r="AL306" s="120"/>
      <c r="AM306" s="120"/>
      <c r="AN306" s="120"/>
      <c r="AO306" s="120"/>
    </row>
    <row r="307" spans="1:41" s="124" customFormat="1" ht="78.75">
      <c r="A307" s="119"/>
      <c r="B307" s="69"/>
      <c r="C307" s="891"/>
      <c r="D307" s="891"/>
      <c r="E307" s="891"/>
      <c r="F307" s="891"/>
      <c r="G307" s="891"/>
      <c r="H307" s="891"/>
      <c r="I307" s="891"/>
      <c r="J307" s="891"/>
      <c r="K307" s="891"/>
      <c r="L307" s="891"/>
      <c r="M307" s="891"/>
      <c r="N307" s="3" t="s">
        <v>1187</v>
      </c>
      <c r="O307" s="31" t="s">
        <v>701</v>
      </c>
      <c r="P307" s="499">
        <v>42.29</v>
      </c>
      <c r="Q307" s="499">
        <v>42.29</v>
      </c>
      <c r="R307" s="499">
        <v>42.29</v>
      </c>
      <c r="S307" s="499">
        <v>42.29</v>
      </c>
      <c r="T307" s="499">
        <v>42.29</v>
      </c>
      <c r="U307" s="499">
        <v>42.29</v>
      </c>
      <c r="V307" s="499">
        <v>42.29</v>
      </c>
      <c r="W307" s="499">
        <v>42.29</v>
      </c>
      <c r="X307" s="3" t="s">
        <v>1103</v>
      </c>
      <c r="Y307" s="3" t="s">
        <v>1188</v>
      </c>
      <c r="Z307" s="3" t="s">
        <v>4341</v>
      </c>
      <c r="AA307" s="120"/>
      <c r="AB307" s="120"/>
      <c r="AC307" s="120"/>
      <c r="AD307" s="120"/>
      <c r="AE307" s="120"/>
      <c r="AF307" s="120"/>
      <c r="AG307" s="120"/>
      <c r="AH307" s="120"/>
      <c r="AI307" s="120"/>
      <c r="AJ307" s="120"/>
      <c r="AK307" s="120"/>
      <c r="AL307" s="120"/>
      <c r="AM307" s="120"/>
      <c r="AN307" s="120"/>
      <c r="AO307" s="120"/>
    </row>
    <row r="308" spans="1:41" s="124" customFormat="1" ht="173.25">
      <c r="A308" s="121"/>
      <c r="B308" s="69"/>
      <c r="C308" s="891"/>
      <c r="D308" s="891"/>
      <c r="E308" s="890">
        <v>7</v>
      </c>
      <c r="F308" s="890" t="s">
        <v>1189</v>
      </c>
      <c r="G308" s="890" t="s">
        <v>1190</v>
      </c>
      <c r="H308" s="890"/>
      <c r="I308" s="890" t="s">
        <v>4966</v>
      </c>
      <c r="J308" s="3"/>
      <c r="K308" s="3"/>
      <c r="L308" s="3"/>
      <c r="M308" s="3"/>
      <c r="N308" s="3"/>
      <c r="O308" s="31"/>
      <c r="P308" s="499"/>
      <c r="Q308" s="499"/>
      <c r="R308" s="499"/>
      <c r="S308" s="499"/>
      <c r="T308" s="499"/>
      <c r="U308" s="499"/>
      <c r="V308" s="499"/>
      <c r="W308" s="499"/>
      <c r="X308" s="3"/>
      <c r="Y308" s="3"/>
      <c r="Z308" s="3"/>
      <c r="AA308" s="120"/>
      <c r="AB308" s="120"/>
      <c r="AC308" s="120"/>
      <c r="AD308" s="120"/>
      <c r="AE308" s="120"/>
      <c r="AF308" s="120"/>
      <c r="AG308" s="120"/>
      <c r="AH308" s="120"/>
      <c r="AI308" s="120"/>
      <c r="AJ308" s="120"/>
      <c r="AK308" s="120"/>
      <c r="AL308" s="120"/>
      <c r="AM308" s="120"/>
      <c r="AN308" s="120"/>
      <c r="AO308" s="120"/>
    </row>
    <row r="309" spans="1:41" s="124" customFormat="1" ht="63">
      <c r="A309" s="121"/>
      <c r="B309" s="69"/>
      <c r="C309" s="891"/>
      <c r="D309" s="891"/>
      <c r="E309" s="891"/>
      <c r="F309" s="891"/>
      <c r="G309" s="891"/>
      <c r="H309" s="891"/>
      <c r="I309" s="891"/>
      <c r="J309" s="898">
        <v>1.01</v>
      </c>
      <c r="K309" s="890" t="s">
        <v>773</v>
      </c>
      <c r="L309" s="890">
        <v>22</v>
      </c>
      <c r="M309" s="890" t="s">
        <v>1111</v>
      </c>
      <c r="N309" s="3" t="s">
        <v>1191</v>
      </c>
      <c r="O309" s="31" t="s">
        <v>701</v>
      </c>
      <c r="P309" s="499">
        <v>2.97</v>
      </c>
      <c r="Q309" s="499">
        <v>2.97</v>
      </c>
      <c r="R309" s="499">
        <v>3.31</v>
      </c>
      <c r="S309" s="499">
        <v>3.65</v>
      </c>
      <c r="T309" s="499">
        <v>3.99</v>
      </c>
      <c r="U309" s="499">
        <v>4.33</v>
      </c>
      <c r="V309" s="499">
        <v>4.67</v>
      </c>
      <c r="W309" s="499">
        <v>4.67</v>
      </c>
      <c r="X309" s="3" t="s">
        <v>1103</v>
      </c>
      <c r="Y309" s="3" t="s">
        <v>1192</v>
      </c>
      <c r="Z309" s="3"/>
      <c r="AA309" s="120"/>
      <c r="AB309" s="120"/>
      <c r="AC309" s="120"/>
      <c r="AD309" s="120"/>
      <c r="AE309" s="120"/>
      <c r="AF309" s="120"/>
      <c r="AG309" s="120"/>
      <c r="AH309" s="120"/>
      <c r="AI309" s="120"/>
      <c r="AJ309" s="120"/>
      <c r="AK309" s="120"/>
      <c r="AL309" s="120"/>
      <c r="AM309" s="120"/>
      <c r="AN309" s="120"/>
      <c r="AO309" s="120"/>
    </row>
    <row r="310" spans="1:41" s="124" customFormat="1" ht="63">
      <c r="A310" s="121"/>
      <c r="B310" s="69"/>
      <c r="C310" s="891"/>
      <c r="D310" s="891"/>
      <c r="E310" s="891"/>
      <c r="F310" s="891"/>
      <c r="G310" s="891"/>
      <c r="H310" s="891"/>
      <c r="I310" s="891"/>
      <c r="J310" s="891"/>
      <c r="K310" s="891"/>
      <c r="L310" s="891"/>
      <c r="M310" s="891"/>
      <c r="N310" s="3" t="s">
        <v>1193</v>
      </c>
      <c r="O310" s="31" t="s">
        <v>701</v>
      </c>
      <c r="P310" s="499">
        <v>61.01</v>
      </c>
      <c r="Q310" s="499">
        <v>61.1</v>
      </c>
      <c r="R310" s="499">
        <v>61.011000000000003</v>
      </c>
      <c r="S310" s="499">
        <v>61.01</v>
      </c>
      <c r="T310" s="499">
        <v>61.01</v>
      </c>
      <c r="U310" s="499">
        <v>61.01</v>
      </c>
      <c r="V310" s="499">
        <v>61.01</v>
      </c>
      <c r="W310" s="499">
        <v>61.01</v>
      </c>
      <c r="X310" s="3" t="s">
        <v>1103</v>
      </c>
      <c r="Y310" s="3" t="s">
        <v>1194</v>
      </c>
      <c r="Z310" s="3"/>
      <c r="AA310" s="120"/>
      <c r="AB310" s="120"/>
      <c r="AC310" s="120"/>
      <c r="AD310" s="120"/>
      <c r="AE310" s="120"/>
      <c r="AF310" s="120"/>
      <c r="AG310" s="120"/>
      <c r="AH310" s="120"/>
      <c r="AI310" s="120"/>
      <c r="AJ310" s="120"/>
      <c r="AK310" s="120"/>
      <c r="AL310" s="120"/>
      <c r="AM310" s="120"/>
      <c r="AN310" s="120"/>
      <c r="AO310" s="120"/>
    </row>
    <row r="311" spans="1:41" s="124" customFormat="1" ht="63">
      <c r="A311" s="121"/>
      <c r="B311" s="69"/>
      <c r="C311" s="891"/>
      <c r="D311" s="891"/>
      <c r="E311" s="891"/>
      <c r="F311" s="891"/>
      <c r="G311" s="891"/>
      <c r="H311" s="891"/>
      <c r="I311" s="891"/>
      <c r="J311" s="891"/>
      <c r="K311" s="891"/>
      <c r="L311" s="891"/>
      <c r="M311" s="891"/>
      <c r="N311" s="3" t="s">
        <v>1195</v>
      </c>
      <c r="O311" s="31" t="s">
        <v>701</v>
      </c>
      <c r="P311" s="499">
        <v>33.22</v>
      </c>
      <c r="Q311" s="499">
        <v>33.22</v>
      </c>
      <c r="R311" s="499">
        <v>33.22</v>
      </c>
      <c r="S311" s="499">
        <v>33.22</v>
      </c>
      <c r="T311" s="499">
        <v>33.22</v>
      </c>
      <c r="U311" s="499">
        <v>33.22</v>
      </c>
      <c r="V311" s="499">
        <v>33.22</v>
      </c>
      <c r="W311" s="499">
        <v>33.22</v>
      </c>
      <c r="X311" s="3" t="s">
        <v>1103</v>
      </c>
      <c r="Y311" s="3" t="s">
        <v>1196</v>
      </c>
      <c r="Z311" s="3" t="s">
        <v>4342</v>
      </c>
      <c r="AA311" s="120"/>
      <c r="AB311" s="120"/>
      <c r="AC311" s="120"/>
      <c r="AD311" s="120"/>
      <c r="AE311" s="120"/>
      <c r="AF311" s="120"/>
      <c r="AG311" s="120"/>
      <c r="AH311" s="120"/>
      <c r="AI311" s="120"/>
      <c r="AJ311" s="120"/>
      <c r="AK311" s="120"/>
      <c r="AL311" s="120"/>
      <c r="AM311" s="120"/>
      <c r="AN311" s="120"/>
      <c r="AO311" s="120"/>
    </row>
    <row r="312" spans="1:41" s="124" customFormat="1" ht="63">
      <c r="A312" s="121"/>
      <c r="B312" s="69"/>
      <c r="C312" s="891"/>
      <c r="D312" s="891"/>
      <c r="E312" s="891"/>
      <c r="F312" s="891"/>
      <c r="G312" s="891"/>
      <c r="H312" s="891"/>
      <c r="I312" s="891"/>
      <c r="J312" s="891"/>
      <c r="K312" s="891"/>
      <c r="L312" s="891"/>
      <c r="M312" s="891"/>
      <c r="N312" s="3" t="s">
        <v>1197</v>
      </c>
      <c r="O312" s="31" t="s">
        <v>701</v>
      </c>
      <c r="P312" s="499">
        <v>21.9</v>
      </c>
      <c r="Q312" s="499">
        <v>21.9</v>
      </c>
      <c r="R312" s="499">
        <v>23.8</v>
      </c>
      <c r="S312" s="499">
        <v>25.7</v>
      </c>
      <c r="T312" s="499">
        <v>27.6</v>
      </c>
      <c r="U312" s="499">
        <v>29.5</v>
      </c>
      <c r="V312" s="499">
        <v>31.4</v>
      </c>
      <c r="W312" s="499">
        <v>31.4</v>
      </c>
      <c r="X312" s="3" t="s">
        <v>1103</v>
      </c>
      <c r="Y312" s="3" t="s">
        <v>1198</v>
      </c>
      <c r="Z312" s="3"/>
      <c r="AA312" s="120"/>
      <c r="AB312" s="120"/>
      <c r="AC312" s="120"/>
      <c r="AD312" s="120"/>
      <c r="AE312" s="120"/>
      <c r="AF312" s="120"/>
      <c r="AG312" s="120"/>
      <c r="AH312" s="120"/>
      <c r="AI312" s="120"/>
      <c r="AJ312" s="120"/>
      <c r="AK312" s="120"/>
      <c r="AL312" s="120"/>
      <c r="AM312" s="120"/>
      <c r="AN312" s="120"/>
      <c r="AO312" s="120"/>
    </row>
    <row r="313" spans="1:41" s="124" customFormat="1" ht="63">
      <c r="A313" s="121"/>
      <c r="B313" s="69"/>
      <c r="C313" s="891"/>
      <c r="D313" s="891"/>
      <c r="E313" s="891"/>
      <c r="F313" s="891"/>
      <c r="G313" s="891"/>
      <c r="H313" s="891"/>
      <c r="I313" s="891"/>
      <c r="J313" s="891"/>
      <c r="K313" s="891"/>
      <c r="L313" s="891"/>
      <c r="M313" s="891"/>
      <c r="N313" s="3" t="s">
        <v>1199</v>
      </c>
      <c r="O313" s="31" t="s">
        <v>701</v>
      </c>
      <c r="P313" s="499">
        <v>40</v>
      </c>
      <c r="Q313" s="499">
        <v>40</v>
      </c>
      <c r="R313" s="499">
        <v>40</v>
      </c>
      <c r="S313" s="499">
        <v>40</v>
      </c>
      <c r="T313" s="499">
        <v>40</v>
      </c>
      <c r="U313" s="499">
        <v>40</v>
      </c>
      <c r="V313" s="499">
        <v>40</v>
      </c>
      <c r="W313" s="499">
        <v>40</v>
      </c>
      <c r="X313" s="3" t="s">
        <v>1103</v>
      </c>
      <c r="Y313" s="3" t="s">
        <v>1200</v>
      </c>
      <c r="Z313" s="3"/>
      <c r="AA313" s="120"/>
      <c r="AB313" s="120"/>
      <c r="AC313" s="120"/>
      <c r="AD313" s="120"/>
      <c r="AE313" s="120"/>
      <c r="AF313" s="120"/>
      <c r="AG313" s="120"/>
      <c r="AH313" s="120"/>
      <c r="AI313" s="120"/>
      <c r="AJ313" s="120"/>
      <c r="AK313" s="120"/>
      <c r="AL313" s="120"/>
      <c r="AM313" s="120"/>
      <c r="AN313" s="120"/>
      <c r="AO313" s="120"/>
    </row>
    <row r="314" spans="1:41" s="124" customFormat="1" ht="63">
      <c r="A314" s="121"/>
      <c r="B314" s="69"/>
      <c r="C314" s="891"/>
      <c r="D314" s="891"/>
      <c r="E314" s="891"/>
      <c r="F314" s="891"/>
      <c r="G314" s="891"/>
      <c r="H314" s="891"/>
      <c r="I314" s="891"/>
      <c r="J314" s="891"/>
      <c r="K314" s="891"/>
      <c r="L314" s="891"/>
      <c r="M314" s="891"/>
      <c r="N314" s="3" t="s">
        <v>1201</v>
      </c>
      <c r="O314" s="31" t="s">
        <v>701</v>
      </c>
      <c r="P314" s="499">
        <v>27.62</v>
      </c>
      <c r="Q314" s="499">
        <v>27.62</v>
      </c>
      <c r="R314" s="499">
        <v>27.62</v>
      </c>
      <c r="S314" s="499">
        <v>27.62</v>
      </c>
      <c r="T314" s="499">
        <v>27.62</v>
      </c>
      <c r="U314" s="499">
        <v>27.62</v>
      </c>
      <c r="V314" s="499">
        <v>27.62</v>
      </c>
      <c r="W314" s="499">
        <v>27.62</v>
      </c>
      <c r="X314" s="3" t="s">
        <v>1103</v>
      </c>
      <c r="Y314" s="3" t="s">
        <v>1202</v>
      </c>
      <c r="Z314" s="3" t="s">
        <v>4344</v>
      </c>
      <c r="AA314" s="120"/>
      <c r="AB314" s="120"/>
      <c r="AC314" s="120"/>
      <c r="AD314" s="120"/>
      <c r="AE314" s="120"/>
      <c r="AF314" s="120"/>
      <c r="AG314" s="120"/>
      <c r="AH314" s="120"/>
      <c r="AI314" s="120"/>
      <c r="AJ314" s="120"/>
      <c r="AK314" s="120"/>
      <c r="AL314" s="120"/>
      <c r="AM314" s="120"/>
      <c r="AN314" s="120"/>
      <c r="AO314" s="120"/>
    </row>
    <row r="315" spans="1:41" s="124" customFormat="1" ht="47.25">
      <c r="A315" s="121"/>
      <c r="B315" s="69"/>
      <c r="C315" s="891"/>
      <c r="D315" s="891"/>
      <c r="E315" s="891"/>
      <c r="F315" s="891"/>
      <c r="G315" s="891"/>
      <c r="H315" s="891"/>
      <c r="I315" s="891"/>
      <c r="J315" s="891"/>
      <c r="K315" s="891"/>
      <c r="L315" s="891"/>
      <c r="M315" s="891"/>
      <c r="N315" s="3" t="s">
        <v>2013</v>
      </c>
      <c r="O315" s="31" t="s">
        <v>701</v>
      </c>
      <c r="P315" s="499">
        <v>99.99</v>
      </c>
      <c r="Q315" s="499">
        <v>100</v>
      </c>
      <c r="R315" s="499">
        <v>99.9</v>
      </c>
      <c r="S315" s="499">
        <v>99.93</v>
      </c>
      <c r="T315" s="499">
        <v>99.95</v>
      </c>
      <c r="U315" s="499">
        <v>99.97</v>
      </c>
      <c r="V315" s="499">
        <v>100</v>
      </c>
      <c r="W315" s="499">
        <v>100</v>
      </c>
      <c r="X315" s="3" t="s">
        <v>1103</v>
      </c>
      <c r="Y315" s="3" t="s">
        <v>1203</v>
      </c>
      <c r="Z315" s="3"/>
      <c r="AA315" s="120"/>
      <c r="AB315" s="120"/>
      <c r="AC315" s="120"/>
      <c r="AD315" s="120"/>
      <c r="AE315" s="120"/>
      <c r="AF315" s="120"/>
      <c r="AG315" s="120"/>
      <c r="AH315" s="120"/>
      <c r="AI315" s="120"/>
      <c r="AJ315" s="120"/>
      <c r="AK315" s="120"/>
      <c r="AL315" s="120"/>
      <c r="AM315" s="120"/>
      <c r="AN315" s="120"/>
      <c r="AO315" s="120"/>
    </row>
    <row r="316" spans="1:41" s="124" customFormat="1" ht="63">
      <c r="A316" s="121"/>
      <c r="B316" s="69"/>
      <c r="C316" s="891"/>
      <c r="D316" s="891"/>
      <c r="E316" s="891"/>
      <c r="F316" s="891"/>
      <c r="G316" s="891"/>
      <c r="H316" s="891"/>
      <c r="I316" s="891"/>
      <c r="J316" s="891"/>
      <c r="K316" s="891"/>
      <c r="L316" s="891"/>
      <c r="M316" s="891"/>
      <c r="N316" s="3" t="s">
        <v>2014</v>
      </c>
      <c r="O316" s="31" t="s">
        <v>701</v>
      </c>
      <c r="P316" s="499">
        <v>98.13</v>
      </c>
      <c r="Q316" s="499">
        <v>99.17</v>
      </c>
      <c r="R316" s="499">
        <v>100</v>
      </c>
      <c r="S316" s="499">
        <v>100</v>
      </c>
      <c r="T316" s="499">
        <v>100</v>
      </c>
      <c r="U316" s="499">
        <v>100</v>
      </c>
      <c r="V316" s="499">
        <v>100</v>
      </c>
      <c r="W316" s="499">
        <v>100</v>
      </c>
      <c r="X316" s="3" t="s">
        <v>1103</v>
      </c>
      <c r="Y316" s="3" t="s">
        <v>1204</v>
      </c>
      <c r="Z316" s="3"/>
      <c r="AA316" s="120"/>
      <c r="AB316" s="120"/>
      <c r="AC316" s="120"/>
      <c r="AD316" s="120"/>
      <c r="AE316" s="120"/>
      <c r="AF316" s="120"/>
      <c r="AG316" s="120"/>
      <c r="AH316" s="120"/>
      <c r="AI316" s="120"/>
      <c r="AJ316" s="120"/>
      <c r="AK316" s="120"/>
      <c r="AL316" s="120"/>
      <c r="AM316" s="120"/>
      <c r="AN316" s="120"/>
      <c r="AO316" s="120"/>
    </row>
    <row r="317" spans="1:41" s="124" customFormat="1" ht="94.5">
      <c r="A317" s="121"/>
      <c r="B317" s="69"/>
      <c r="C317" s="891"/>
      <c r="D317" s="891"/>
      <c r="E317" s="891"/>
      <c r="F317" s="891"/>
      <c r="G317" s="891"/>
      <c r="H317" s="891"/>
      <c r="I317" s="891"/>
      <c r="J317" s="891"/>
      <c r="K317" s="891"/>
      <c r="L317" s="891"/>
      <c r="M317" s="891"/>
      <c r="N317" s="3" t="s">
        <v>1205</v>
      </c>
      <c r="O317" s="31" t="s">
        <v>701</v>
      </c>
      <c r="P317" s="499">
        <v>73.150000000000006</v>
      </c>
      <c r="Q317" s="499">
        <f>8636/11799*100</f>
        <v>73.192643444359689</v>
      </c>
      <c r="R317" s="499">
        <v>73.23</v>
      </c>
      <c r="S317" s="499">
        <v>73.27</v>
      </c>
      <c r="T317" s="499">
        <v>73.31</v>
      </c>
      <c r="U317" s="499">
        <v>73.349999999999994</v>
      </c>
      <c r="V317" s="499">
        <v>73.39</v>
      </c>
      <c r="W317" s="499">
        <v>73.39</v>
      </c>
      <c r="X317" s="3" t="s">
        <v>1103</v>
      </c>
      <c r="Y317" s="3" t="s">
        <v>1206</v>
      </c>
      <c r="Z317" s="3"/>
      <c r="AA317" s="120"/>
      <c r="AB317" s="120"/>
      <c r="AC317" s="120"/>
      <c r="AD317" s="120"/>
      <c r="AE317" s="120"/>
      <c r="AF317" s="120"/>
      <c r="AG317" s="120"/>
      <c r="AH317" s="120"/>
      <c r="AI317" s="120"/>
      <c r="AJ317" s="120"/>
      <c r="AK317" s="120"/>
      <c r="AL317" s="120"/>
      <c r="AM317" s="120"/>
      <c r="AN317" s="120"/>
      <c r="AO317" s="120"/>
    </row>
    <row r="318" spans="1:41" s="124" customFormat="1" ht="94.5">
      <c r="A318" s="121"/>
      <c r="B318" s="69"/>
      <c r="C318" s="891"/>
      <c r="D318" s="891"/>
      <c r="E318" s="891"/>
      <c r="F318" s="891"/>
      <c r="G318" s="891"/>
      <c r="H318" s="891"/>
      <c r="I318" s="891"/>
      <c r="J318" s="892"/>
      <c r="K318" s="892"/>
      <c r="L318" s="892"/>
      <c r="M318" s="892"/>
      <c r="N318" s="3" t="s">
        <v>1207</v>
      </c>
      <c r="O318" s="31" t="s">
        <v>701</v>
      </c>
      <c r="P318" s="499">
        <f>2765/10006*100</f>
        <v>27.633419948031179</v>
      </c>
      <c r="Q318" s="499">
        <f>1998/9501*100</f>
        <v>21.029365329965266</v>
      </c>
      <c r="R318" s="499">
        <v>21.08</v>
      </c>
      <c r="S318" s="499">
        <v>21.13</v>
      </c>
      <c r="T318" s="499">
        <v>21.18</v>
      </c>
      <c r="U318" s="499">
        <v>21.23</v>
      </c>
      <c r="V318" s="499">
        <v>21.28</v>
      </c>
      <c r="W318" s="499">
        <v>21.28</v>
      </c>
      <c r="X318" s="3" t="s">
        <v>1103</v>
      </c>
      <c r="Y318" s="3" t="s">
        <v>1208</v>
      </c>
      <c r="Z318" s="3"/>
      <c r="AA318" s="120"/>
      <c r="AB318" s="120"/>
      <c r="AC318" s="120"/>
      <c r="AD318" s="120"/>
      <c r="AE318" s="120"/>
      <c r="AF318" s="120"/>
      <c r="AG318" s="120"/>
      <c r="AH318" s="120"/>
      <c r="AI318" s="120"/>
      <c r="AJ318" s="120"/>
      <c r="AK318" s="120"/>
      <c r="AL318" s="120"/>
      <c r="AM318" s="120"/>
      <c r="AN318" s="120"/>
      <c r="AO318" s="120"/>
    </row>
    <row r="319" spans="1:41" s="124" customFormat="1" ht="94.5">
      <c r="A319" s="121"/>
      <c r="B319" s="69"/>
      <c r="C319" s="891"/>
      <c r="D319" s="891"/>
      <c r="E319" s="891"/>
      <c r="F319" s="891"/>
      <c r="G319" s="891"/>
      <c r="H319" s="891"/>
      <c r="I319" s="891"/>
      <c r="J319" s="898">
        <v>1.01</v>
      </c>
      <c r="K319" s="3" t="s">
        <v>773</v>
      </c>
      <c r="L319" s="3">
        <v>16</v>
      </c>
      <c r="M319" s="29" t="s">
        <v>162</v>
      </c>
      <c r="N319" s="3" t="s">
        <v>1209</v>
      </c>
      <c r="O319" s="31" t="s">
        <v>701</v>
      </c>
      <c r="P319" s="499">
        <v>94.809186374114205</v>
      </c>
      <c r="Q319" s="499">
        <v>94.82</v>
      </c>
      <c r="R319" s="499">
        <v>94.83</v>
      </c>
      <c r="S319" s="499">
        <v>94.84</v>
      </c>
      <c r="T319" s="499">
        <v>94.85</v>
      </c>
      <c r="U319" s="499">
        <v>94.86</v>
      </c>
      <c r="V319" s="499">
        <v>94.87</v>
      </c>
      <c r="W319" s="499">
        <v>94.87</v>
      </c>
      <c r="X319" s="3" t="s">
        <v>1103</v>
      </c>
      <c r="Y319" s="3" t="s">
        <v>1210</v>
      </c>
      <c r="Z319" s="3"/>
      <c r="AA319" s="120"/>
      <c r="AB319" s="120"/>
      <c r="AC319" s="120"/>
      <c r="AD319" s="120"/>
      <c r="AE319" s="120"/>
      <c r="AF319" s="120"/>
      <c r="AG319" s="120"/>
      <c r="AH319" s="120"/>
      <c r="AI319" s="120"/>
      <c r="AJ319" s="120"/>
      <c r="AK319" s="120"/>
      <c r="AL319" s="120"/>
      <c r="AM319" s="120"/>
      <c r="AN319" s="120"/>
      <c r="AO319" s="120"/>
    </row>
    <row r="320" spans="1:41" s="124" customFormat="1" ht="47.25">
      <c r="A320" s="121"/>
      <c r="B320" s="69"/>
      <c r="C320" s="891"/>
      <c r="D320" s="891"/>
      <c r="E320" s="891"/>
      <c r="F320" s="891"/>
      <c r="G320" s="891"/>
      <c r="H320" s="891"/>
      <c r="I320" s="891"/>
      <c r="J320" s="890"/>
      <c r="K320" s="890"/>
      <c r="L320" s="890"/>
      <c r="M320" s="29"/>
      <c r="N320" s="3" t="s">
        <v>1211</v>
      </c>
      <c r="O320" s="31" t="s">
        <v>701</v>
      </c>
      <c r="P320" s="499">
        <v>0.2</v>
      </c>
      <c r="Q320" s="499">
        <v>0.18</v>
      </c>
      <c r="R320" s="499">
        <v>0.17</v>
      </c>
      <c r="S320" s="499">
        <v>0.16</v>
      </c>
      <c r="T320" s="499">
        <v>0.15</v>
      </c>
      <c r="U320" s="499">
        <v>0.14000000000000001</v>
      </c>
      <c r="V320" s="499">
        <v>0.13</v>
      </c>
      <c r="W320" s="499">
        <v>0.13</v>
      </c>
      <c r="X320" s="3" t="s">
        <v>1103</v>
      </c>
      <c r="Y320" s="3" t="s">
        <v>1212</v>
      </c>
      <c r="Z320" s="3"/>
      <c r="AA320" s="120"/>
      <c r="AB320" s="120"/>
      <c r="AC320" s="120"/>
      <c r="AD320" s="120"/>
      <c r="AE320" s="120"/>
      <c r="AF320" s="120"/>
      <c r="AG320" s="120"/>
      <c r="AH320" s="120"/>
      <c r="AI320" s="120"/>
      <c r="AJ320" s="120"/>
      <c r="AK320" s="120"/>
      <c r="AL320" s="120"/>
      <c r="AM320" s="120"/>
      <c r="AN320" s="120"/>
      <c r="AO320" s="120"/>
    </row>
    <row r="321" spans="1:41" s="124" customFormat="1" ht="63">
      <c r="A321" s="121"/>
      <c r="B321" s="69"/>
      <c r="C321" s="891"/>
      <c r="D321" s="891"/>
      <c r="E321" s="891"/>
      <c r="F321" s="891"/>
      <c r="G321" s="891"/>
      <c r="H321" s="891"/>
      <c r="I321" s="891"/>
      <c r="J321" s="892"/>
      <c r="K321" s="892"/>
      <c r="L321" s="892"/>
      <c r="M321" s="892"/>
      <c r="N321" s="3" t="s">
        <v>1213</v>
      </c>
      <c r="O321" s="31" t="s">
        <v>701</v>
      </c>
      <c r="P321" s="499">
        <v>0.44489263257800449</v>
      </c>
      <c r="Q321" s="499">
        <v>0.43</v>
      </c>
      <c r="R321" s="499">
        <v>0.42</v>
      </c>
      <c r="S321" s="499">
        <v>0.41</v>
      </c>
      <c r="T321" s="499">
        <v>0.4</v>
      </c>
      <c r="U321" s="499">
        <v>0.39</v>
      </c>
      <c r="V321" s="499">
        <v>0.33800000000000002</v>
      </c>
      <c r="W321" s="499">
        <v>0.33800000000000002</v>
      </c>
      <c r="X321" s="3" t="s">
        <v>1103</v>
      </c>
      <c r="Y321" s="3" t="s">
        <v>1214</v>
      </c>
      <c r="Z321" s="3"/>
      <c r="AA321" s="120"/>
      <c r="AB321" s="120"/>
      <c r="AC321" s="120"/>
      <c r="AD321" s="120"/>
      <c r="AE321" s="120"/>
      <c r="AF321" s="120"/>
      <c r="AG321" s="120"/>
      <c r="AH321" s="120"/>
      <c r="AI321" s="120"/>
      <c r="AJ321" s="120"/>
      <c r="AK321" s="120"/>
      <c r="AL321" s="120"/>
      <c r="AM321" s="120"/>
      <c r="AN321" s="120"/>
      <c r="AO321" s="120"/>
    </row>
    <row r="322" spans="1:41" s="124" customFormat="1" ht="315">
      <c r="A322" s="121"/>
      <c r="B322" s="69"/>
      <c r="C322" s="891"/>
      <c r="D322" s="891"/>
      <c r="E322" s="891"/>
      <c r="F322" s="891"/>
      <c r="G322" s="891"/>
      <c r="H322" s="891"/>
      <c r="I322" s="891"/>
      <c r="J322" s="898">
        <v>1.01</v>
      </c>
      <c r="K322" s="890" t="s">
        <v>773</v>
      </c>
      <c r="L322" s="890">
        <v>22</v>
      </c>
      <c r="M322" s="890" t="s">
        <v>1215</v>
      </c>
      <c r="N322" s="3" t="s">
        <v>4345</v>
      </c>
      <c r="O322" s="31" t="s">
        <v>701</v>
      </c>
      <c r="P322" s="501">
        <v>100</v>
      </c>
      <c r="Q322" s="501">
        <v>100</v>
      </c>
      <c r="R322" s="501">
        <v>100</v>
      </c>
      <c r="S322" s="501">
        <v>100</v>
      </c>
      <c r="T322" s="501">
        <v>100</v>
      </c>
      <c r="U322" s="501">
        <v>100</v>
      </c>
      <c r="V322" s="501">
        <v>100</v>
      </c>
      <c r="W322" s="501">
        <v>100</v>
      </c>
      <c r="X322" s="3" t="s">
        <v>1103</v>
      </c>
      <c r="Y322" s="3" t="s">
        <v>1216</v>
      </c>
      <c r="Z322" s="3" t="s">
        <v>4570</v>
      </c>
      <c r="AA322" s="120"/>
      <c r="AB322" s="120"/>
      <c r="AC322" s="120"/>
      <c r="AD322" s="120"/>
      <c r="AE322" s="120"/>
      <c r="AF322" s="120"/>
      <c r="AG322" s="120"/>
      <c r="AH322" s="120"/>
      <c r="AI322" s="120"/>
      <c r="AJ322" s="120"/>
      <c r="AK322" s="120"/>
      <c r="AL322" s="120"/>
      <c r="AM322" s="120"/>
      <c r="AN322" s="120"/>
      <c r="AO322" s="120"/>
    </row>
    <row r="323" spans="1:41" s="124" customFormat="1" ht="315">
      <c r="A323" s="121"/>
      <c r="B323" s="69"/>
      <c r="C323" s="891"/>
      <c r="D323" s="891"/>
      <c r="E323" s="892"/>
      <c r="F323" s="892"/>
      <c r="G323" s="892"/>
      <c r="H323" s="892"/>
      <c r="I323" s="892"/>
      <c r="J323" s="892"/>
      <c r="K323" s="892"/>
      <c r="L323" s="892"/>
      <c r="M323" s="892"/>
      <c r="N323" s="3" t="s">
        <v>4346</v>
      </c>
      <c r="O323" s="31" t="s">
        <v>701</v>
      </c>
      <c r="P323" s="499">
        <v>66.180000000000007</v>
      </c>
      <c r="Q323" s="499">
        <v>74</v>
      </c>
      <c r="R323" s="499">
        <v>74.260000000000005</v>
      </c>
      <c r="S323" s="499">
        <v>74.52</v>
      </c>
      <c r="T323" s="499">
        <v>74.78</v>
      </c>
      <c r="U323" s="499">
        <v>75.040000000000006</v>
      </c>
      <c r="V323" s="499">
        <v>75.3</v>
      </c>
      <c r="W323" s="499">
        <v>75.3</v>
      </c>
      <c r="X323" s="3" t="s">
        <v>1103</v>
      </c>
      <c r="Y323" s="3" t="s">
        <v>1217</v>
      </c>
      <c r="Z323" s="3" t="s">
        <v>4571</v>
      </c>
      <c r="AA323" s="120"/>
      <c r="AB323" s="120"/>
      <c r="AC323" s="120"/>
      <c r="AD323" s="120"/>
      <c r="AE323" s="120"/>
      <c r="AF323" s="120"/>
      <c r="AG323" s="120"/>
      <c r="AH323" s="120"/>
      <c r="AI323" s="120"/>
      <c r="AJ323" s="120"/>
      <c r="AK323" s="120"/>
      <c r="AL323" s="120"/>
      <c r="AM323" s="120"/>
      <c r="AN323" s="120"/>
      <c r="AO323" s="120"/>
    </row>
    <row r="324" spans="1:41" s="124" customFormat="1" ht="173.25">
      <c r="A324" s="121"/>
      <c r="B324" s="69"/>
      <c r="C324" s="891"/>
      <c r="D324" s="891"/>
      <c r="E324" s="890">
        <v>8</v>
      </c>
      <c r="F324" s="890" t="s">
        <v>1218</v>
      </c>
      <c r="G324" s="890" t="s">
        <v>1219</v>
      </c>
      <c r="H324" s="890"/>
      <c r="I324" s="890" t="s">
        <v>4965</v>
      </c>
      <c r="J324" s="3"/>
      <c r="K324" s="3"/>
      <c r="L324" s="3"/>
      <c r="M324" s="3"/>
      <c r="N324" s="3"/>
      <c r="O324" s="31"/>
      <c r="P324" s="499"/>
      <c r="Q324" s="499"/>
      <c r="R324" s="499"/>
      <c r="S324" s="499"/>
      <c r="T324" s="499"/>
      <c r="U324" s="499"/>
      <c r="V324" s="499"/>
      <c r="W324" s="499"/>
      <c r="X324" s="3"/>
      <c r="Y324" s="3"/>
      <c r="Z324" s="3"/>
      <c r="AA324" s="120"/>
      <c r="AB324" s="120"/>
      <c r="AC324" s="120"/>
      <c r="AD324" s="120"/>
      <c r="AE324" s="120"/>
      <c r="AF324" s="120"/>
      <c r="AG324" s="120"/>
      <c r="AH324" s="120"/>
      <c r="AI324" s="120"/>
      <c r="AJ324" s="120"/>
      <c r="AK324" s="120"/>
      <c r="AL324" s="120"/>
      <c r="AM324" s="120"/>
      <c r="AN324" s="120"/>
      <c r="AO324" s="120"/>
    </row>
    <row r="325" spans="1:41" s="124" customFormat="1" ht="63">
      <c r="A325" s="121"/>
      <c r="B325" s="69"/>
      <c r="C325" s="891"/>
      <c r="D325" s="891"/>
      <c r="E325" s="891"/>
      <c r="F325" s="891"/>
      <c r="G325" s="891"/>
      <c r="H325" s="891"/>
      <c r="I325" s="891"/>
      <c r="J325" s="898">
        <v>1.01</v>
      </c>
      <c r="K325" s="890" t="s">
        <v>773</v>
      </c>
      <c r="L325" s="890">
        <v>22</v>
      </c>
      <c r="M325" s="890" t="s">
        <v>1111</v>
      </c>
      <c r="N325" s="3" t="s">
        <v>1220</v>
      </c>
      <c r="O325" s="31" t="s">
        <v>701</v>
      </c>
      <c r="P325" s="499">
        <v>29.63</v>
      </c>
      <c r="Q325" s="499">
        <v>29.63</v>
      </c>
      <c r="R325" s="499">
        <v>33.33</v>
      </c>
      <c r="S325" s="499">
        <v>37.03</v>
      </c>
      <c r="T325" s="499">
        <v>40.729999999999997</v>
      </c>
      <c r="U325" s="499">
        <v>44.43</v>
      </c>
      <c r="V325" s="499">
        <v>48.13</v>
      </c>
      <c r="W325" s="499">
        <v>48.13</v>
      </c>
      <c r="X325" s="3" t="s">
        <v>1103</v>
      </c>
      <c r="Y325" s="3" t="s">
        <v>1221</v>
      </c>
      <c r="Z325" s="3"/>
      <c r="AA325" s="120"/>
      <c r="AB325" s="120"/>
      <c r="AC325" s="120"/>
      <c r="AD325" s="120"/>
      <c r="AE325" s="120"/>
      <c r="AF325" s="120"/>
      <c r="AG325" s="120"/>
      <c r="AH325" s="120"/>
      <c r="AI325" s="120"/>
      <c r="AJ325" s="120"/>
      <c r="AK325" s="120"/>
      <c r="AL325" s="120"/>
      <c r="AM325" s="120"/>
      <c r="AN325" s="120"/>
      <c r="AO325" s="120"/>
    </row>
    <row r="326" spans="1:41" s="124" customFormat="1" ht="63">
      <c r="A326" s="121"/>
      <c r="B326" s="69"/>
      <c r="C326" s="891"/>
      <c r="D326" s="891"/>
      <c r="E326" s="891"/>
      <c r="F326" s="891"/>
      <c r="G326" s="891"/>
      <c r="H326" s="891"/>
      <c r="I326" s="891"/>
      <c r="J326" s="891"/>
      <c r="K326" s="891"/>
      <c r="L326" s="891"/>
      <c r="M326" s="891"/>
      <c r="N326" s="3" t="s">
        <v>1222</v>
      </c>
      <c r="O326" s="31" t="s">
        <v>701</v>
      </c>
      <c r="P326" s="499">
        <v>25.93</v>
      </c>
      <c r="Q326" s="499">
        <v>25.93</v>
      </c>
      <c r="R326" s="499">
        <v>25.93</v>
      </c>
      <c r="S326" s="499">
        <v>25.93</v>
      </c>
      <c r="T326" s="499">
        <v>25.93</v>
      </c>
      <c r="U326" s="499">
        <v>25.93</v>
      </c>
      <c r="V326" s="499">
        <v>25.93</v>
      </c>
      <c r="W326" s="499">
        <v>25.93</v>
      </c>
      <c r="X326" s="3" t="s">
        <v>1103</v>
      </c>
      <c r="Y326" s="3" t="s">
        <v>1223</v>
      </c>
      <c r="Z326" s="3"/>
      <c r="AA326" s="120"/>
      <c r="AB326" s="120"/>
      <c r="AC326" s="120"/>
      <c r="AD326" s="120"/>
      <c r="AE326" s="120"/>
      <c r="AF326" s="120"/>
      <c r="AG326" s="120"/>
      <c r="AH326" s="120"/>
      <c r="AI326" s="120"/>
      <c r="AJ326" s="120"/>
      <c r="AK326" s="120"/>
      <c r="AL326" s="120"/>
      <c r="AM326" s="120"/>
      <c r="AN326" s="120"/>
      <c r="AO326" s="120"/>
    </row>
    <row r="327" spans="1:41" s="124" customFormat="1" ht="63">
      <c r="A327" s="121"/>
      <c r="B327" s="69"/>
      <c r="C327" s="891"/>
      <c r="D327" s="891"/>
      <c r="E327" s="891"/>
      <c r="F327" s="891"/>
      <c r="G327" s="891"/>
      <c r="H327" s="891"/>
      <c r="I327" s="891"/>
      <c r="J327" s="891"/>
      <c r="K327" s="891"/>
      <c r="L327" s="891"/>
      <c r="M327" s="891"/>
      <c r="N327" s="3" t="s">
        <v>1224</v>
      </c>
      <c r="O327" s="31" t="s">
        <v>701</v>
      </c>
      <c r="P327" s="499">
        <v>22.22</v>
      </c>
      <c r="Q327" s="499">
        <v>22.22</v>
      </c>
      <c r="R327" s="499">
        <v>22.22</v>
      </c>
      <c r="S327" s="499">
        <v>22.22</v>
      </c>
      <c r="T327" s="499">
        <v>22.22</v>
      </c>
      <c r="U327" s="499">
        <v>22.22</v>
      </c>
      <c r="V327" s="499">
        <v>22.22</v>
      </c>
      <c r="W327" s="499">
        <v>22.22</v>
      </c>
      <c r="X327" s="3" t="s">
        <v>1103</v>
      </c>
      <c r="Y327" s="3" t="s">
        <v>1225</v>
      </c>
      <c r="Z327" s="3" t="s">
        <v>4347</v>
      </c>
      <c r="AA327" s="120"/>
      <c r="AB327" s="120"/>
      <c r="AC327" s="120"/>
      <c r="AD327" s="120"/>
      <c r="AE327" s="120"/>
      <c r="AF327" s="120"/>
      <c r="AG327" s="120"/>
      <c r="AH327" s="120"/>
      <c r="AI327" s="120"/>
      <c r="AJ327" s="120"/>
      <c r="AK327" s="120"/>
      <c r="AL327" s="120"/>
      <c r="AM327" s="120"/>
      <c r="AN327" s="120"/>
      <c r="AO327" s="120"/>
    </row>
    <row r="328" spans="1:41" s="124" customFormat="1" ht="94.5">
      <c r="A328" s="121"/>
      <c r="B328" s="69"/>
      <c r="C328" s="891"/>
      <c r="D328" s="891"/>
      <c r="E328" s="891"/>
      <c r="F328" s="891"/>
      <c r="G328" s="891"/>
      <c r="H328" s="891"/>
      <c r="I328" s="891"/>
      <c r="J328" s="891"/>
      <c r="K328" s="891"/>
      <c r="L328" s="891"/>
      <c r="M328" s="891"/>
      <c r="N328" s="3" t="s">
        <v>1226</v>
      </c>
      <c r="O328" s="31" t="s">
        <v>701</v>
      </c>
      <c r="P328" s="499">
        <v>15.87</v>
      </c>
      <c r="Q328" s="500">
        <v>15.87</v>
      </c>
      <c r="R328" s="499">
        <v>19.05</v>
      </c>
      <c r="S328" s="499">
        <v>22.23</v>
      </c>
      <c r="T328" s="499">
        <v>25.41</v>
      </c>
      <c r="U328" s="499">
        <v>28.59</v>
      </c>
      <c r="V328" s="499">
        <v>31.77</v>
      </c>
      <c r="W328" s="499">
        <v>31.77</v>
      </c>
      <c r="X328" s="3" t="s">
        <v>1103</v>
      </c>
      <c r="Y328" s="3" t="s">
        <v>1227</v>
      </c>
      <c r="Z328" s="3"/>
      <c r="AA328" s="120"/>
      <c r="AB328" s="120"/>
      <c r="AC328" s="120"/>
      <c r="AD328" s="120"/>
      <c r="AE328" s="120"/>
      <c r="AF328" s="120"/>
      <c r="AG328" s="120"/>
      <c r="AH328" s="120"/>
      <c r="AI328" s="120"/>
      <c r="AJ328" s="120"/>
      <c r="AK328" s="120"/>
      <c r="AL328" s="120"/>
      <c r="AM328" s="120"/>
      <c r="AN328" s="120"/>
      <c r="AO328" s="120"/>
    </row>
    <row r="329" spans="1:41" s="124" customFormat="1" ht="94.5">
      <c r="A329" s="121"/>
      <c r="B329" s="69"/>
      <c r="C329" s="891"/>
      <c r="D329" s="891"/>
      <c r="E329" s="891"/>
      <c r="F329" s="891"/>
      <c r="G329" s="891"/>
      <c r="H329" s="891"/>
      <c r="I329" s="891"/>
      <c r="J329" s="891"/>
      <c r="K329" s="891"/>
      <c r="L329" s="891"/>
      <c r="M329" s="891"/>
      <c r="N329" s="3" t="s">
        <v>1228</v>
      </c>
      <c r="O329" s="31" t="s">
        <v>701</v>
      </c>
      <c r="P329" s="499">
        <v>47.62</v>
      </c>
      <c r="Q329" s="499">
        <v>47.62</v>
      </c>
      <c r="R329" s="499">
        <v>47.62</v>
      </c>
      <c r="S329" s="499">
        <v>47.62</v>
      </c>
      <c r="T329" s="499">
        <v>47.62</v>
      </c>
      <c r="U329" s="499">
        <v>47.62</v>
      </c>
      <c r="V329" s="499">
        <v>47.62</v>
      </c>
      <c r="W329" s="499">
        <v>47.62</v>
      </c>
      <c r="X329" s="3" t="s">
        <v>1103</v>
      </c>
      <c r="Y329" s="3" t="s">
        <v>1229</v>
      </c>
      <c r="Z329" s="3"/>
      <c r="AA329" s="120"/>
      <c r="AB329" s="120"/>
      <c r="AC329" s="120"/>
      <c r="AD329" s="120"/>
      <c r="AE329" s="120"/>
      <c r="AF329" s="120"/>
      <c r="AG329" s="120"/>
      <c r="AH329" s="120"/>
      <c r="AI329" s="120"/>
      <c r="AJ329" s="120"/>
      <c r="AK329" s="120"/>
      <c r="AL329" s="120"/>
      <c r="AM329" s="120"/>
      <c r="AN329" s="120"/>
      <c r="AO329" s="120"/>
    </row>
    <row r="330" spans="1:41" s="124" customFormat="1" ht="94.5">
      <c r="A330" s="121"/>
      <c r="B330" s="69"/>
      <c r="C330" s="891"/>
      <c r="D330" s="891"/>
      <c r="E330" s="891"/>
      <c r="F330" s="891"/>
      <c r="G330" s="891"/>
      <c r="H330" s="891"/>
      <c r="I330" s="891"/>
      <c r="J330" s="891"/>
      <c r="K330" s="891"/>
      <c r="L330" s="891"/>
      <c r="M330" s="891"/>
      <c r="N330" s="3" t="s">
        <v>1230</v>
      </c>
      <c r="O330" s="31" t="s">
        <v>701</v>
      </c>
      <c r="P330" s="499">
        <v>19.05</v>
      </c>
      <c r="Q330" s="499">
        <v>19.05</v>
      </c>
      <c r="R330" s="499">
        <v>19.05</v>
      </c>
      <c r="S330" s="499">
        <v>19.05</v>
      </c>
      <c r="T330" s="499">
        <v>19.05</v>
      </c>
      <c r="U330" s="499">
        <v>19.05</v>
      </c>
      <c r="V330" s="499">
        <v>19.05</v>
      </c>
      <c r="W330" s="499">
        <v>19.05</v>
      </c>
      <c r="X330" s="3" t="s">
        <v>1103</v>
      </c>
      <c r="Y330" s="3" t="s">
        <v>1231</v>
      </c>
      <c r="Z330" s="3" t="s">
        <v>4348</v>
      </c>
      <c r="AA330" s="120"/>
      <c r="AB330" s="120"/>
      <c r="AC330" s="120"/>
      <c r="AD330" s="120"/>
      <c r="AE330" s="120"/>
      <c r="AF330" s="120"/>
      <c r="AG330" s="120"/>
      <c r="AH330" s="120"/>
      <c r="AI330" s="120"/>
      <c r="AJ330" s="120"/>
      <c r="AK330" s="120"/>
      <c r="AL330" s="120"/>
      <c r="AM330" s="120"/>
      <c r="AN330" s="120"/>
      <c r="AO330" s="120"/>
    </row>
    <row r="331" spans="1:41" s="124" customFormat="1" ht="94.5">
      <c r="A331" s="121"/>
      <c r="B331" s="69"/>
      <c r="C331" s="891"/>
      <c r="D331" s="891"/>
      <c r="E331" s="891"/>
      <c r="F331" s="891"/>
      <c r="G331" s="891"/>
      <c r="H331" s="891"/>
      <c r="I331" s="891"/>
      <c r="J331" s="891"/>
      <c r="K331" s="891"/>
      <c r="L331" s="891"/>
      <c r="M331" s="891"/>
      <c r="N331" s="3" t="s">
        <v>2015</v>
      </c>
      <c r="O331" s="31" t="s">
        <v>701</v>
      </c>
      <c r="P331" s="499">
        <f>4824/4857*100</f>
        <v>99.320568252007419</v>
      </c>
      <c r="Q331" s="499">
        <f>5170/5177*100</f>
        <v>99.864786555920418</v>
      </c>
      <c r="R331" s="499">
        <v>100</v>
      </c>
      <c r="S331" s="499">
        <v>100</v>
      </c>
      <c r="T331" s="499">
        <v>100</v>
      </c>
      <c r="U331" s="499">
        <v>100</v>
      </c>
      <c r="V331" s="499">
        <v>100</v>
      </c>
      <c r="W331" s="499">
        <v>100</v>
      </c>
      <c r="X331" s="3" t="s">
        <v>1103</v>
      </c>
      <c r="Y331" s="3" t="s">
        <v>1232</v>
      </c>
      <c r="Z331" s="3"/>
      <c r="AA331" s="120"/>
      <c r="AB331" s="120"/>
      <c r="AC331" s="120"/>
      <c r="AD331" s="120"/>
      <c r="AE331" s="120"/>
      <c r="AF331" s="120"/>
      <c r="AG331" s="120"/>
      <c r="AH331" s="120"/>
      <c r="AI331" s="120"/>
      <c r="AJ331" s="120"/>
      <c r="AK331" s="120"/>
      <c r="AL331" s="120"/>
      <c r="AM331" s="120"/>
      <c r="AN331" s="120"/>
      <c r="AO331" s="120"/>
    </row>
    <row r="332" spans="1:41" s="124" customFormat="1" ht="141.75">
      <c r="A332" s="121"/>
      <c r="B332" s="69"/>
      <c r="C332" s="891"/>
      <c r="D332" s="891"/>
      <c r="E332" s="891"/>
      <c r="F332" s="891"/>
      <c r="G332" s="891"/>
      <c r="H332" s="891"/>
      <c r="I332" s="891"/>
      <c r="J332" s="892"/>
      <c r="K332" s="892"/>
      <c r="L332" s="892"/>
      <c r="M332" s="892"/>
      <c r="N332" s="3" t="s">
        <v>4503</v>
      </c>
      <c r="O332" s="31" t="s">
        <v>701</v>
      </c>
      <c r="P332" s="499">
        <f>3503/4857*100</f>
        <v>72.122709491455623</v>
      </c>
      <c r="Q332" s="499">
        <f>2960/5163*100</f>
        <v>57.331009103234557</v>
      </c>
      <c r="R332" s="499">
        <v>57.43</v>
      </c>
      <c r="S332" s="499">
        <v>57.63</v>
      </c>
      <c r="T332" s="499">
        <v>57.78</v>
      </c>
      <c r="U332" s="499">
        <v>57.93</v>
      </c>
      <c r="V332" s="499">
        <v>58.08</v>
      </c>
      <c r="W332" s="499">
        <v>58.08</v>
      </c>
      <c r="X332" s="3" t="s">
        <v>1103</v>
      </c>
      <c r="Y332" s="3" t="s">
        <v>4504</v>
      </c>
      <c r="Z332" s="3" t="s">
        <v>4349</v>
      </c>
      <c r="AA332" s="120"/>
      <c r="AB332" s="120"/>
      <c r="AC332" s="120"/>
      <c r="AD332" s="120"/>
      <c r="AE332" s="120"/>
      <c r="AF332" s="120"/>
      <c r="AG332" s="120"/>
      <c r="AH332" s="120"/>
      <c r="AI332" s="120"/>
      <c r="AJ332" s="120"/>
      <c r="AK332" s="120"/>
      <c r="AL332" s="120"/>
      <c r="AM332" s="120"/>
      <c r="AN332" s="120"/>
      <c r="AO332" s="120"/>
    </row>
    <row r="333" spans="1:41" s="124" customFormat="1" ht="94.5">
      <c r="A333" s="121"/>
      <c r="B333" s="69"/>
      <c r="C333" s="891"/>
      <c r="D333" s="891"/>
      <c r="E333" s="892"/>
      <c r="F333" s="892"/>
      <c r="G333" s="892"/>
      <c r="H333" s="892"/>
      <c r="I333" s="892"/>
      <c r="J333" s="898">
        <v>1.01</v>
      </c>
      <c r="K333" s="3" t="s">
        <v>773</v>
      </c>
      <c r="L333" s="3">
        <v>17</v>
      </c>
      <c r="M333" s="3" t="s">
        <v>1233</v>
      </c>
      <c r="N333" s="3" t="s">
        <v>1234</v>
      </c>
      <c r="O333" s="31" t="s">
        <v>701</v>
      </c>
      <c r="P333" s="499">
        <v>1.1807668898356665</v>
      </c>
      <c r="Q333" s="499">
        <v>1.64</v>
      </c>
      <c r="R333" s="499">
        <v>1.62</v>
      </c>
      <c r="S333" s="499">
        <v>1.6</v>
      </c>
      <c r="T333" s="499">
        <v>1.58</v>
      </c>
      <c r="U333" s="499">
        <v>1.56</v>
      </c>
      <c r="V333" s="499">
        <v>1.54</v>
      </c>
      <c r="W333" s="499">
        <v>1.54</v>
      </c>
      <c r="X333" s="3" t="s">
        <v>1103</v>
      </c>
      <c r="Y333" s="3" t="s">
        <v>1235</v>
      </c>
      <c r="Z333" s="3"/>
      <c r="AA333" s="120"/>
      <c r="AB333" s="120"/>
      <c r="AC333" s="120"/>
      <c r="AD333" s="120"/>
      <c r="AE333" s="120"/>
      <c r="AF333" s="120"/>
      <c r="AG333" s="120"/>
      <c r="AH333" s="120"/>
      <c r="AI333" s="120"/>
      <c r="AJ333" s="120"/>
      <c r="AK333" s="120"/>
      <c r="AL333" s="120"/>
      <c r="AM333" s="120"/>
      <c r="AN333" s="120"/>
      <c r="AO333" s="120"/>
    </row>
    <row r="334" spans="1:41" s="124" customFormat="1" ht="78.75">
      <c r="A334" s="121"/>
      <c r="B334" s="69"/>
      <c r="C334" s="891"/>
      <c r="D334" s="891"/>
      <c r="E334" s="890">
        <v>9</v>
      </c>
      <c r="F334" s="890" t="s">
        <v>1236</v>
      </c>
      <c r="G334" s="890" t="s">
        <v>1237</v>
      </c>
      <c r="H334" s="890"/>
      <c r="I334" s="890" t="s">
        <v>4967</v>
      </c>
      <c r="J334" s="3"/>
      <c r="K334" s="3"/>
      <c r="L334" s="3"/>
      <c r="M334" s="3"/>
      <c r="N334" s="3"/>
      <c r="O334" s="31"/>
      <c r="P334" s="499"/>
      <c r="Q334" s="499"/>
      <c r="R334" s="499"/>
      <c r="S334" s="499"/>
      <c r="T334" s="499"/>
      <c r="U334" s="499"/>
      <c r="V334" s="499"/>
      <c r="W334" s="499"/>
      <c r="X334" s="3"/>
      <c r="Y334" s="3"/>
      <c r="Z334" s="3"/>
      <c r="AA334" s="120"/>
      <c r="AB334" s="120"/>
      <c r="AC334" s="120"/>
      <c r="AD334" s="120"/>
      <c r="AE334" s="120"/>
      <c r="AF334" s="120"/>
      <c r="AG334" s="120"/>
      <c r="AH334" s="120"/>
      <c r="AI334" s="120"/>
      <c r="AJ334" s="120"/>
      <c r="AK334" s="120"/>
      <c r="AL334" s="120"/>
      <c r="AM334" s="120"/>
      <c r="AN334" s="120"/>
      <c r="AO334" s="120"/>
    </row>
    <row r="335" spans="1:41" s="124" customFormat="1" ht="94.5">
      <c r="A335" s="121"/>
      <c r="B335" s="69"/>
      <c r="C335" s="892"/>
      <c r="D335" s="892"/>
      <c r="E335" s="892"/>
      <c r="F335" s="892"/>
      <c r="G335" s="892"/>
      <c r="H335" s="892"/>
      <c r="I335" s="892"/>
      <c r="J335" s="898">
        <v>1.01</v>
      </c>
      <c r="K335" s="890" t="s">
        <v>773</v>
      </c>
      <c r="L335" s="890">
        <v>18</v>
      </c>
      <c r="M335" s="890" t="s">
        <v>1238</v>
      </c>
      <c r="N335" s="3" t="s">
        <v>2016</v>
      </c>
      <c r="O335" s="31" t="s">
        <v>701</v>
      </c>
      <c r="P335" s="499">
        <v>90.39</v>
      </c>
      <c r="Q335" s="499">
        <v>81.56</v>
      </c>
      <c r="R335" s="499">
        <v>87.06</v>
      </c>
      <c r="S335" s="499">
        <v>92.56</v>
      </c>
      <c r="T335" s="499">
        <v>92.56</v>
      </c>
      <c r="U335" s="499">
        <v>92.56</v>
      </c>
      <c r="V335" s="499">
        <v>92.56</v>
      </c>
      <c r="W335" s="499">
        <v>92.56</v>
      </c>
      <c r="X335" s="3" t="s">
        <v>1103</v>
      </c>
      <c r="Y335" s="3" t="s">
        <v>1239</v>
      </c>
      <c r="Z335" s="3"/>
      <c r="AA335" s="120"/>
      <c r="AB335" s="120"/>
      <c r="AC335" s="120"/>
      <c r="AD335" s="120"/>
      <c r="AE335" s="120"/>
      <c r="AF335" s="120"/>
      <c r="AG335" s="120"/>
      <c r="AH335" s="120"/>
      <c r="AI335" s="120"/>
      <c r="AJ335" s="120"/>
      <c r="AK335" s="120"/>
      <c r="AL335" s="120"/>
      <c r="AM335" s="120"/>
      <c r="AN335" s="120"/>
      <c r="AO335" s="120"/>
    </row>
    <row r="336" spans="1:41" s="124" customFormat="1" ht="110.25">
      <c r="A336" s="121"/>
      <c r="B336" s="69"/>
      <c r="C336" s="890">
        <v>4</v>
      </c>
      <c r="D336" s="890" t="s">
        <v>1240</v>
      </c>
      <c r="E336" s="890">
        <v>10</v>
      </c>
      <c r="F336" s="890" t="s">
        <v>1241</v>
      </c>
      <c r="G336" s="890" t="s">
        <v>1242</v>
      </c>
      <c r="H336" s="890"/>
      <c r="I336" s="890" t="s">
        <v>4968</v>
      </c>
      <c r="J336" s="3"/>
      <c r="K336" s="3"/>
      <c r="L336" s="3"/>
      <c r="M336" s="3"/>
      <c r="N336" s="3"/>
      <c r="O336" s="31"/>
      <c r="P336" s="499"/>
      <c r="Q336" s="499"/>
      <c r="R336" s="499"/>
      <c r="S336" s="499"/>
      <c r="T336" s="499"/>
      <c r="U336" s="499"/>
      <c r="V336" s="499"/>
      <c r="W336" s="499"/>
      <c r="X336" s="3"/>
      <c r="Y336" s="3"/>
      <c r="Z336" s="3"/>
      <c r="AA336" s="120"/>
      <c r="AB336" s="120"/>
      <c r="AC336" s="120"/>
      <c r="AD336" s="120"/>
      <c r="AE336" s="120"/>
      <c r="AF336" s="120"/>
      <c r="AG336" s="120"/>
      <c r="AH336" s="120"/>
      <c r="AI336" s="120"/>
      <c r="AJ336" s="120"/>
      <c r="AK336" s="120"/>
      <c r="AL336" s="120"/>
      <c r="AM336" s="120"/>
      <c r="AN336" s="120"/>
      <c r="AO336" s="120"/>
    </row>
    <row r="337" spans="1:41" s="124" customFormat="1" ht="47.25">
      <c r="A337" s="121"/>
      <c r="B337" s="69"/>
      <c r="C337" s="891"/>
      <c r="D337" s="891"/>
      <c r="E337" s="891"/>
      <c r="F337" s="891"/>
      <c r="G337" s="891"/>
      <c r="H337" s="891"/>
      <c r="I337" s="891"/>
      <c r="J337" s="898">
        <v>1.01</v>
      </c>
      <c r="K337" s="3" t="s">
        <v>773</v>
      </c>
      <c r="L337" s="3">
        <v>20</v>
      </c>
      <c r="M337" s="3" t="s">
        <v>1107</v>
      </c>
      <c r="N337" s="3" t="s">
        <v>1243</v>
      </c>
      <c r="O337" s="31" t="s">
        <v>921</v>
      </c>
      <c r="P337" s="125" t="s">
        <v>1244</v>
      </c>
      <c r="Q337" s="125" t="s">
        <v>1244</v>
      </c>
      <c r="R337" s="125" t="s">
        <v>1244</v>
      </c>
      <c r="S337" s="125" t="s">
        <v>1244</v>
      </c>
      <c r="T337" s="125" t="s">
        <v>1244</v>
      </c>
      <c r="U337" s="125" t="s">
        <v>1244</v>
      </c>
      <c r="V337" s="125" t="s">
        <v>1244</v>
      </c>
      <c r="W337" s="125" t="s">
        <v>1244</v>
      </c>
      <c r="X337" s="3" t="s">
        <v>1103</v>
      </c>
      <c r="Y337" s="3" t="s">
        <v>1245</v>
      </c>
      <c r="Z337" s="3"/>
      <c r="AA337" s="120"/>
      <c r="AB337" s="120"/>
      <c r="AC337" s="120"/>
      <c r="AD337" s="120"/>
      <c r="AE337" s="120"/>
      <c r="AF337" s="120"/>
      <c r="AG337" s="120"/>
      <c r="AH337" s="120"/>
      <c r="AI337" s="120"/>
      <c r="AJ337" s="120"/>
      <c r="AK337" s="120"/>
      <c r="AL337" s="120"/>
      <c r="AM337" s="120"/>
      <c r="AN337" s="120"/>
      <c r="AO337" s="120"/>
    </row>
    <row r="338" spans="1:41" s="124" customFormat="1" ht="47.25">
      <c r="A338" s="121"/>
      <c r="B338" s="69"/>
      <c r="C338" s="891"/>
      <c r="D338" s="891"/>
      <c r="E338" s="891"/>
      <c r="F338" s="891"/>
      <c r="G338" s="891"/>
      <c r="H338" s="891"/>
      <c r="I338" s="891"/>
      <c r="J338" s="890"/>
      <c r="K338" s="890"/>
      <c r="L338" s="890"/>
      <c r="M338" s="890"/>
      <c r="N338" s="3" t="s">
        <v>1246</v>
      </c>
      <c r="O338" s="31" t="s">
        <v>921</v>
      </c>
      <c r="P338" s="125" t="s">
        <v>1244</v>
      </c>
      <c r="Q338" s="125" t="s">
        <v>1244</v>
      </c>
      <c r="R338" s="125" t="s">
        <v>1244</v>
      </c>
      <c r="S338" s="125" t="s">
        <v>1244</v>
      </c>
      <c r="T338" s="125" t="s">
        <v>1244</v>
      </c>
      <c r="U338" s="125" t="s">
        <v>1244</v>
      </c>
      <c r="V338" s="125" t="s">
        <v>1244</v>
      </c>
      <c r="W338" s="125" t="s">
        <v>1244</v>
      </c>
      <c r="X338" s="3" t="s">
        <v>1103</v>
      </c>
      <c r="Y338" s="3" t="s">
        <v>1247</v>
      </c>
      <c r="Z338" s="3"/>
      <c r="AA338" s="120"/>
      <c r="AB338" s="120"/>
      <c r="AC338" s="120"/>
      <c r="AD338" s="120"/>
      <c r="AE338" s="120"/>
      <c r="AF338" s="120"/>
      <c r="AG338" s="120"/>
      <c r="AH338" s="120"/>
      <c r="AI338" s="120"/>
      <c r="AJ338" s="120"/>
      <c r="AK338" s="120"/>
      <c r="AL338" s="120"/>
      <c r="AM338" s="120"/>
      <c r="AN338" s="120"/>
      <c r="AO338" s="120"/>
    </row>
    <row r="339" spans="1:41" s="124" customFormat="1" ht="63">
      <c r="A339" s="121"/>
      <c r="B339" s="69"/>
      <c r="C339" s="891"/>
      <c r="D339" s="891"/>
      <c r="E339" s="891"/>
      <c r="F339" s="891"/>
      <c r="G339" s="891"/>
      <c r="H339" s="891"/>
      <c r="I339" s="891"/>
      <c r="J339" s="892"/>
      <c r="K339" s="892"/>
      <c r="L339" s="892"/>
      <c r="M339" s="892"/>
      <c r="N339" s="3" t="s">
        <v>1248</v>
      </c>
      <c r="O339" s="31" t="s">
        <v>921</v>
      </c>
      <c r="P339" s="125" t="s">
        <v>1249</v>
      </c>
      <c r="Q339" s="125" t="s">
        <v>1249</v>
      </c>
      <c r="R339" s="125" t="s">
        <v>1249</v>
      </c>
      <c r="S339" s="125" t="s">
        <v>1937</v>
      </c>
      <c r="T339" s="125" t="s">
        <v>1937</v>
      </c>
      <c r="U339" s="125" t="s">
        <v>1937</v>
      </c>
      <c r="V339" s="125" t="s">
        <v>1937</v>
      </c>
      <c r="W339" s="125" t="s">
        <v>1937</v>
      </c>
      <c r="X339" s="3" t="s">
        <v>1103</v>
      </c>
      <c r="Y339" s="3" t="s">
        <v>1250</v>
      </c>
      <c r="Z339" s="3"/>
      <c r="AA339" s="120"/>
      <c r="AB339" s="120"/>
      <c r="AC339" s="120"/>
      <c r="AD339" s="120"/>
      <c r="AE339" s="120"/>
      <c r="AF339" s="120"/>
      <c r="AG339" s="120"/>
      <c r="AH339" s="120"/>
      <c r="AI339" s="120"/>
      <c r="AJ339" s="120"/>
      <c r="AK339" s="120"/>
      <c r="AL339" s="120"/>
      <c r="AM339" s="120"/>
      <c r="AN339" s="120"/>
      <c r="AO339" s="120"/>
    </row>
    <row r="340" spans="1:41" s="124" customFormat="1" ht="47.25">
      <c r="A340" s="121"/>
      <c r="B340" s="69"/>
      <c r="C340" s="891"/>
      <c r="D340" s="891"/>
      <c r="E340" s="891"/>
      <c r="F340" s="891"/>
      <c r="G340" s="891"/>
      <c r="H340" s="891"/>
      <c r="I340" s="891"/>
      <c r="J340" s="890"/>
      <c r="K340" s="890"/>
      <c r="L340" s="890"/>
      <c r="M340" s="890"/>
      <c r="N340" s="3" t="s">
        <v>1251</v>
      </c>
      <c r="O340" s="31" t="s">
        <v>921</v>
      </c>
      <c r="P340" s="125" t="s">
        <v>1252</v>
      </c>
      <c r="Q340" s="125" t="s">
        <v>1252</v>
      </c>
      <c r="R340" s="125" t="s">
        <v>1252</v>
      </c>
      <c r="S340" s="125" t="s">
        <v>1252</v>
      </c>
      <c r="T340" s="125" t="s">
        <v>1252</v>
      </c>
      <c r="U340" s="125" t="s">
        <v>1252</v>
      </c>
      <c r="V340" s="125" t="s">
        <v>1252</v>
      </c>
      <c r="W340" s="125" t="s">
        <v>1252</v>
      </c>
      <c r="X340" s="3" t="s">
        <v>1103</v>
      </c>
      <c r="Y340" s="3" t="s">
        <v>1253</v>
      </c>
      <c r="Z340" s="3"/>
      <c r="AA340" s="120"/>
      <c r="AB340" s="120"/>
      <c r="AC340" s="120"/>
      <c r="AD340" s="120"/>
      <c r="AE340" s="120"/>
      <c r="AF340" s="120"/>
      <c r="AG340" s="120"/>
      <c r="AH340" s="120"/>
      <c r="AI340" s="120"/>
      <c r="AJ340" s="120"/>
      <c r="AK340" s="120"/>
      <c r="AL340" s="120"/>
      <c r="AM340" s="120"/>
      <c r="AN340" s="120"/>
      <c r="AO340" s="120"/>
    </row>
    <row r="341" spans="1:41" s="124" customFormat="1" ht="47.25">
      <c r="A341" s="121"/>
      <c r="B341" s="69"/>
      <c r="C341" s="891"/>
      <c r="D341" s="891"/>
      <c r="E341" s="892"/>
      <c r="F341" s="892"/>
      <c r="G341" s="892"/>
      <c r="H341" s="892"/>
      <c r="I341" s="892"/>
      <c r="J341" s="892"/>
      <c r="K341" s="892"/>
      <c r="L341" s="892"/>
      <c r="M341" s="892"/>
      <c r="N341" s="3" t="s">
        <v>1254</v>
      </c>
      <c r="O341" s="31" t="s">
        <v>921</v>
      </c>
      <c r="P341" s="125" t="s">
        <v>1255</v>
      </c>
      <c r="Q341" s="125" t="s">
        <v>1255</v>
      </c>
      <c r="R341" s="125" t="s">
        <v>1255</v>
      </c>
      <c r="S341" s="125" t="s">
        <v>1938</v>
      </c>
      <c r="T341" s="125" t="s">
        <v>1938</v>
      </c>
      <c r="U341" s="125" t="s">
        <v>1938</v>
      </c>
      <c r="V341" s="125" t="s">
        <v>1939</v>
      </c>
      <c r="W341" s="125" t="s">
        <v>1939</v>
      </c>
      <c r="X341" s="3" t="s">
        <v>1103</v>
      </c>
      <c r="Y341" s="3" t="s">
        <v>1256</v>
      </c>
      <c r="Z341" s="3"/>
      <c r="AA341" s="120"/>
      <c r="AB341" s="120"/>
      <c r="AC341" s="120"/>
      <c r="AD341" s="120"/>
      <c r="AE341" s="120"/>
      <c r="AF341" s="120"/>
      <c r="AG341" s="120"/>
      <c r="AH341" s="120"/>
      <c r="AI341" s="120"/>
      <c r="AJ341" s="120"/>
      <c r="AK341" s="120"/>
      <c r="AL341" s="120"/>
      <c r="AM341" s="120"/>
      <c r="AN341" s="120"/>
      <c r="AO341" s="120"/>
    </row>
    <row r="342" spans="1:41" s="124" customFormat="1" ht="141.75">
      <c r="A342" s="121"/>
      <c r="B342" s="69"/>
      <c r="C342" s="891"/>
      <c r="D342" s="891"/>
      <c r="E342" s="890">
        <v>11</v>
      </c>
      <c r="F342" s="890" t="s">
        <v>1257</v>
      </c>
      <c r="G342" s="890" t="s">
        <v>1258</v>
      </c>
      <c r="H342" s="890"/>
      <c r="I342" s="890" t="s">
        <v>4969</v>
      </c>
      <c r="J342" s="3"/>
      <c r="K342" s="3"/>
      <c r="L342" s="3"/>
      <c r="M342" s="3"/>
      <c r="N342" s="3"/>
      <c r="O342" s="31"/>
      <c r="P342" s="499"/>
      <c r="Q342" s="499"/>
      <c r="R342" s="499"/>
      <c r="S342" s="499"/>
      <c r="T342" s="499"/>
      <c r="U342" s="499"/>
      <c r="V342" s="499"/>
      <c r="W342" s="499"/>
      <c r="X342" s="3"/>
      <c r="Y342" s="3"/>
      <c r="Z342" s="3"/>
      <c r="AA342" s="120"/>
      <c r="AB342" s="120"/>
      <c r="AC342" s="120"/>
      <c r="AD342" s="120"/>
      <c r="AE342" s="120"/>
      <c r="AF342" s="120"/>
      <c r="AG342" s="120"/>
      <c r="AH342" s="120"/>
      <c r="AI342" s="120"/>
      <c r="AJ342" s="120"/>
      <c r="AK342" s="120"/>
      <c r="AL342" s="120"/>
      <c r="AM342" s="120"/>
      <c r="AN342" s="120"/>
      <c r="AO342" s="120"/>
    </row>
    <row r="343" spans="1:41" s="124" customFormat="1" ht="78.75">
      <c r="A343" s="121"/>
      <c r="B343" s="69"/>
      <c r="C343" s="891"/>
      <c r="D343" s="891"/>
      <c r="E343" s="891"/>
      <c r="F343" s="891"/>
      <c r="G343" s="891"/>
      <c r="H343" s="891"/>
      <c r="I343" s="891"/>
      <c r="J343" s="898">
        <v>1.01</v>
      </c>
      <c r="K343" s="890" t="s">
        <v>773</v>
      </c>
      <c r="L343" s="890">
        <v>20</v>
      </c>
      <c r="M343" s="890" t="s">
        <v>1107</v>
      </c>
      <c r="N343" s="3" t="s">
        <v>1259</v>
      </c>
      <c r="O343" s="31" t="s">
        <v>701</v>
      </c>
      <c r="P343" s="499">
        <f>516/1468*100</f>
        <v>35.14986376021799</v>
      </c>
      <c r="Q343" s="499">
        <v>41.79</v>
      </c>
      <c r="R343" s="499">
        <v>42.34</v>
      </c>
      <c r="S343" s="499">
        <v>42.89</v>
      </c>
      <c r="T343" s="499">
        <v>43.44</v>
      </c>
      <c r="U343" s="499">
        <v>44.33</v>
      </c>
      <c r="V343" s="499">
        <v>45.22</v>
      </c>
      <c r="W343" s="499">
        <v>45.22</v>
      </c>
      <c r="X343" s="3" t="s">
        <v>1103</v>
      </c>
      <c r="Y343" s="3" t="s">
        <v>4505</v>
      </c>
      <c r="Z343" s="3" t="s">
        <v>4350</v>
      </c>
      <c r="AA343" s="120"/>
      <c r="AB343" s="120"/>
      <c r="AC343" s="120"/>
      <c r="AD343" s="120"/>
      <c r="AE343" s="120"/>
      <c r="AF343" s="120"/>
      <c r="AG343" s="120"/>
      <c r="AH343" s="120"/>
      <c r="AI343" s="120"/>
      <c r="AJ343" s="120"/>
      <c r="AK343" s="120"/>
      <c r="AL343" s="120"/>
      <c r="AM343" s="120"/>
      <c r="AN343" s="120"/>
      <c r="AO343" s="120"/>
    </row>
    <row r="344" spans="1:41" s="124" customFormat="1" ht="78.75">
      <c r="A344" s="121"/>
      <c r="B344" s="69"/>
      <c r="C344" s="891"/>
      <c r="D344" s="891"/>
      <c r="E344" s="891"/>
      <c r="F344" s="891"/>
      <c r="G344" s="891"/>
      <c r="H344" s="891"/>
      <c r="I344" s="891"/>
      <c r="J344" s="891"/>
      <c r="K344" s="891"/>
      <c r="L344" s="891"/>
      <c r="M344" s="891"/>
      <c r="N344" s="3" t="s">
        <v>1260</v>
      </c>
      <c r="O344" s="31" t="s">
        <v>701</v>
      </c>
      <c r="P344" s="499">
        <v>63.370350784417418</v>
      </c>
      <c r="Q344" s="499">
        <v>70.510000000000005</v>
      </c>
      <c r="R344" s="499" t="s">
        <v>4477</v>
      </c>
      <c r="S344" s="499" t="s">
        <v>4478</v>
      </c>
      <c r="T344" s="499" t="s">
        <v>4479</v>
      </c>
      <c r="U344" s="499">
        <v>71.16</v>
      </c>
      <c r="V344" s="499">
        <v>71.66</v>
      </c>
      <c r="W344" s="499">
        <v>71.66</v>
      </c>
      <c r="X344" s="3" t="s">
        <v>1103</v>
      </c>
      <c r="Y344" s="3" t="s">
        <v>4506</v>
      </c>
      <c r="Z344" s="3"/>
      <c r="AA344" s="120"/>
      <c r="AB344" s="120"/>
      <c r="AC344" s="120"/>
      <c r="AD344" s="120"/>
      <c r="AE344" s="120"/>
      <c r="AF344" s="120"/>
      <c r="AG344" s="120"/>
      <c r="AH344" s="120"/>
      <c r="AI344" s="120"/>
      <c r="AJ344" s="120"/>
      <c r="AK344" s="120"/>
      <c r="AL344" s="120"/>
      <c r="AM344" s="120"/>
      <c r="AN344" s="120"/>
      <c r="AO344" s="120"/>
    </row>
    <row r="345" spans="1:41" s="124" customFormat="1" ht="94.5">
      <c r="A345" s="121"/>
      <c r="B345" s="69"/>
      <c r="C345" s="891"/>
      <c r="D345" s="891"/>
      <c r="E345" s="891"/>
      <c r="F345" s="891"/>
      <c r="G345" s="891"/>
      <c r="H345" s="891"/>
      <c r="I345" s="891"/>
      <c r="J345" s="891"/>
      <c r="K345" s="891"/>
      <c r="L345" s="891"/>
      <c r="M345" s="891"/>
      <c r="N345" s="3" t="s">
        <v>1261</v>
      </c>
      <c r="O345" s="31" t="s">
        <v>701</v>
      </c>
      <c r="P345" s="499">
        <v>83.286516853932582</v>
      </c>
      <c r="Q345" s="499">
        <v>83.34</v>
      </c>
      <c r="R345" s="499">
        <v>83.39</v>
      </c>
      <c r="S345" s="499">
        <v>83.44</v>
      </c>
      <c r="T345" s="499">
        <v>83.49</v>
      </c>
      <c r="U345" s="499">
        <v>83.54</v>
      </c>
      <c r="V345" s="499">
        <v>83.59</v>
      </c>
      <c r="W345" s="499">
        <v>83.59</v>
      </c>
      <c r="X345" s="3" t="s">
        <v>1103</v>
      </c>
      <c r="Y345" s="3" t="s">
        <v>4507</v>
      </c>
      <c r="Z345" s="3"/>
      <c r="AA345" s="120"/>
      <c r="AB345" s="120"/>
      <c r="AC345" s="120"/>
      <c r="AD345" s="120"/>
      <c r="AE345" s="120"/>
      <c r="AF345" s="120"/>
      <c r="AG345" s="120"/>
      <c r="AH345" s="120"/>
      <c r="AI345" s="120"/>
      <c r="AJ345" s="120"/>
      <c r="AK345" s="120"/>
      <c r="AL345" s="120"/>
      <c r="AM345" s="120"/>
      <c r="AN345" s="120"/>
      <c r="AO345" s="120"/>
    </row>
    <row r="346" spans="1:41" s="124" customFormat="1" ht="94.5">
      <c r="A346" s="121"/>
      <c r="B346" s="69"/>
      <c r="C346" s="891"/>
      <c r="D346" s="891"/>
      <c r="E346" s="891"/>
      <c r="F346" s="891"/>
      <c r="G346" s="891"/>
      <c r="H346" s="891"/>
      <c r="I346" s="891"/>
      <c r="J346" s="891"/>
      <c r="K346" s="891"/>
      <c r="L346" s="891"/>
      <c r="M346" s="891"/>
      <c r="N346" s="3" t="s">
        <v>1262</v>
      </c>
      <c r="O346" s="31" t="s">
        <v>701</v>
      </c>
      <c r="P346" s="499">
        <v>91.448275862068968</v>
      </c>
      <c r="Q346" s="499">
        <v>91.5</v>
      </c>
      <c r="R346" s="499">
        <v>91.55</v>
      </c>
      <c r="S346" s="499">
        <v>91.6</v>
      </c>
      <c r="T346" s="499">
        <v>91.65</v>
      </c>
      <c r="U346" s="499">
        <v>91.7</v>
      </c>
      <c r="V346" s="499">
        <v>91.75</v>
      </c>
      <c r="W346" s="499">
        <v>91.75</v>
      </c>
      <c r="X346" s="3" t="s">
        <v>1103</v>
      </c>
      <c r="Y346" s="3" t="s">
        <v>4508</v>
      </c>
      <c r="Z346" s="3"/>
      <c r="AA346" s="120"/>
      <c r="AB346" s="120"/>
      <c r="AC346" s="120"/>
      <c r="AD346" s="120"/>
      <c r="AE346" s="120"/>
      <c r="AF346" s="120"/>
      <c r="AG346" s="120"/>
      <c r="AH346" s="120"/>
      <c r="AI346" s="120"/>
      <c r="AJ346" s="120"/>
      <c r="AK346" s="120"/>
      <c r="AL346" s="120"/>
      <c r="AM346" s="120"/>
      <c r="AN346" s="120"/>
      <c r="AO346" s="120"/>
    </row>
    <row r="347" spans="1:41" s="124" customFormat="1" ht="78.75">
      <c r="A347" s="121"/>
      <c r="B347" s="69"/>
      <c r="C347" s="891"/>
      <c r="D347" s="891"/>
      <c r="E347" s="891"/>
      <c r="F347" s="891"/>
      <c r="G347" s="891"/>
      <c r="H347" s="891"/>
      <c r="I347" s="891"/>
      <c r="J347" s="891"/>
      <c r="K347" s="891"/>
      <c r="L347" s="891"/>
      <c r="M347" s="891"/>
      <c r="N347" s="3" t="s">
        <v>1263</v>
      </c>
      <c r="O347" s="31" t="s">
        <v>701</v>
      </c>
      <c r="P347" s="499">
        <v>90.209790209790214</v>
      </c>
      <c r="Q347" s="499">
        <v>90.26</v>
      </c>
      <c r="R347" s="499">
        <v>90.31</v>
      </c>
      <c r="S347" s="499">
        <v>90.36</v>
      </c>
      <c r="T347" s="499">
        <v>90.41</v>
      </c>
      <c r="U347" s="499">
        <v>90.46</v>
      </c>
      <c r="V347" s="499">
        <v>90.51</v>
      </c>
      <c r="W347" s="499">
        <v>90.51</v>
      </c>
      <c r="X347" s="3" t="s">
        <v>1103</v>
      </c>
      <c r="Y347" s="3" t="s">
        <v>4509</v>
      </c>
      <c r="Z347" s="3"/>
      <c r="AA347" s="120"/>
      <c r="AB347" s="120"/>
      <c r="AC347" s="120"/>
      <c r="AD347" s="120"/>
      <c r="AE347" s="120"/>
      <c r="AF347" s="120"/>
      <c r="AG347" s="120"/>
      <c r="AH347" s="120"/>
      <c r="AI347" s="120"/>
      <c r="AJ347" s="120"/>
      <c r="AK347" s="120"/>
      <c r="AL347" s="120"/>
      <c r="AM347" s="120"/>
      <c r="AN347" s="120"/>
      <c r="AO347" s="120"/>
    </row>
    <row r="348" spans="1:41" s="124" customFormat="1" ht="157.5">
      <c r="A348" s="121"/>
      <c r="B348" s="69"/>
      <c r="C348" s="891"/>
      <c r="D348" s="891"/>
      <c r="E348" s="891"/>
      <c r="F348" s="891"/>
      <c r="G348" s="891"/>
      <c r="H348" s="891"/>
      <c r="I348" s="891"/>
      <c r="J348" s="891"/>
      <c r="K348" s="891"/>
      <c r="L348" s="891"/>
      <c r="M348" s="891"/>
      <c r="N348" s="3" t="s">
        <v>4351</v>
      </c>
      <c r="O348" s="31" t="s">
        <v>701</v>
      </c>
      <c r="P348" s="499">
        <v>90.87</v>
      </c>
      <c r="Q348" s="499">
        <v>92</v>
      </c>
      <c r="R348" s="499">
        <v>92.6</v>
      </c>
      <c r="S348" s="499">
        <v>93.2</v>
      </c>
      <c r="T348" s="499">
        <v>93.8</v>
      </c>
      <c r="U348" s="499">
        <v>94.4</v>
      </c>
      <c r="V348" s="499">
        <v>95</v>
      </c>
      <c r="W348" s="499">
        <v>95</v>
      </c>
      <c r="X348" s="3" t="s">
        <v>1103</v>
      </c>
      <c r="Y348" s="3" t="s">
        <v>1264</v>
      </c>
      <c r="Z348" s="3" t="s">
        <v>4572</v>
      </c>
      <c r="AA348" s="120"/>
      <c r="AB348" s="120"/>
      <c r="AC348" s="120"/>
      <c r="AD348" s="120"/>
      <c r="AE348" s="120"/>
      <c r="AF348" s="120"/>
      <c r="AG348" s="120"/>
      <c r="AH348" s="120"/>
      <c r="AI348" s="120"/>
      <c r="AJ348" s="120"/>
      <c r="AK348" s="120"/>
      <c r="AL348" s="120"/>
      <c r="AM348" s="120"/>
      <c r="AN348" s="120"/>
      <c r="AO348" s="120"/>
    </row>
    <row r="349" spans="1:41" s="124" customFormat="1" ht="94.5">
      <c r="A349" s="121"/>
      <c r="B349" s="69"/>
      <c r="C349" s="891"/>
      <c r="D349" s="891"/>
      <c r="E349" s="891"/>
      <c r="F349" s="891"/>
      <c r="G349" s="891"/>
      <c r="H349" s="891"/>
      <c r="I349" s="891"/>
      <c r="J349" s="891"/>
      <c r="K349" s="891"/>
      <c r="L349" s="891"/>
      <c r="M349" s="891"/>
      <c r="N349" s="3" t="s">
        <v>4352</v>
      </c>
      <c r="O349" s="31" t="s">
        <v>701</v>
      </c>
      <c r="P349" s="499">
        <v>78.099999999999994</v>
      </c>
      <c r="Q349" s="499">
        <v>78.5</v>
      </c>
      <c r="R349" s="499">
        <v>79.7</v>
      </c>
      <c r="S349" s="499">
        <v>80.900000000000006</v>
      </c>
      <c r="T349" s="499">
        <v>82.1</v>
      </c>
      <c r="U349" s="499">
        <v>83.3</v>
      </c>
      <c r="V349" s="499">
        <v>84.5</v>
      </c>
      <c r="W349" s="499">
        <v>84.5</v>
      </c>
      <c r="X349" s="3" t="s">
        <v>1103</v>
      </c>
      <c r="Y349" s="3" t="s">
        <v>1265</v>
      </c>
      <c r="Z349" s="3" t="s">
        <v>4573</v>
      </c>
      <c r="AA349" s="120"/>
      <c r="AB349" s="120"/>
      <c r="AC349" s="120"/>
      <c r="AD349" s="120"/>
      <c r="AE349" s="120"/>
      <c r="AF349" s="120"/>
      <c r="AG349" s="120"/>
      <c r="AH349" s="120"/>
      <c r="AI349" s="120"/>
      <c r="AJ349" s="120"/>
      <c r="AK349" s="120"/>
      <c r="AL349" s="120"/>
      <c r="AM349" s="120"/>
      <c r="AN349" s="120"/>
      <c r="AO349" s="120"/>
    </row>
    <row r="350" spans="1:41" s="124" customFormat="1" ht="189">
      <c r="A350" s="121"/>
      <c r="B350" s="69"/>
      <c r="C350" s="891"/>
      <c r="D350" s="891"/>
      <c r="E350" s="891"/>
      <c r="F350" s="891"/>
      <c r="G350" s="891"/>
      <c r="H350" s="891"/>
      <c r="I350" s="891"/>
      <c r="J350" s="891"/>
      <c r="K350" s="891"/>
      <c r="L350" s="891"/>
      <c r="M350" s="891"/>
      <c r="N350" s="3" t="s">
        <v>4480</v>
      </c>
      <c r="O350" s="31" t="s">
        <v>701</v>
      </c>
      <c r="P350" s="499">
        <v>81.3</v>
      </c>
      <c r="Q350" s="499">
        <v>81.5</v>
      </c>
      <c r="R350" s="499">
        <v>83</v>
      </c>
      <c r="S350" s="499">
        <v>84.5</v>
      </c>
      <c r="T350" s="499">
        <v>86</v>
      </c>
      <c r="U350" s="499">
        <v>87.5</v>
      </c>
      <c r="V350" s="499">
        <v>89</v>
      </c>
      <c r="W350" s="499">
        <v>89</v>
      </c>
      <c r="X350" s="3" t="s">
        <v>1103</v>
      </c>
      <c r="Y350" s="3" t="s">
        <v>1266</v>
      </c>
      <c r="Z350" s="3" t="s">
        <v>4574</v>
      </c>
      <c r="AA350" s="120"/>
      <c r="AB350" s="120"/>
      <c r="AC350" s="120"/>
      <c r="AD350" s="120"/>
      <c r="AE350" s="120"/>
      <c r="AF350" s="120"/>
      <c r="AG350" s="120"/>
      <c r="AH350" s="120"/>
      <c r="AI350" s="120"/>
      <c r="AJ350" s="120"/>
      <c r="AK350" s="120"/>
      <c r="AL350" s="120"/>
      <c r="AM350" s="120"/>
      <c r="AN350" s="120"/>
      <c r="AO350" s="120"/>
    </row>
    <row r="351" spans="1:41" s="124" customFormat="1" ht="220.5">
      <c r="A351" s="121"/>
      <c r="B351" s="69"/>
      <c r="C351" s="891"/>
      <c r="D351" s="891"/>
      <c r="E351" s="891"/>
      <c r="F351" s="891"/>
      <c r="G351" s="891"/>
      <c r="H351" s="891"/>
      <c r="I351" s="891"/>
      <c r="J351" s="892"/>
      <c r="K351" s="892"/>
      <c r="L351" s="892"/>
      <c r="M351" s="892"/>
      <c r="N351" s="3" t="s">
        <v>4353</v>
      </c>
      <c r="O351" s="31" t="s">
        <v>701</v>
      </c>
      <c r="P351" s="499">
        <v>72.38</v>
      </c>
      <c r="Q351" s="499">
        <v>72.5</v>
      </c>
      <c r="R351" s="499">
        <v>74.5</v>
      </c>
      <c r="S351" s="499">
        <v>76.5</v>
      </c>
      <c r="T351" s="499">
        <v>78.5</v>
      </c>
      <c r="U351" s="499">
        <v>80.5</v>
      </c>
      <c r="V351" s="499">
        <v>82.5</v>
      </c>
      <c r="W351" s="499">
        <v>82.5</v>
      </c>
      <c r="X351" s="3" t="s">
        <v>1103</v>
      </c>
      <c r="Y351" s="3" t="s">
        <v>1267</v>
      </c>
      <c r="Z351" s="3" t="s">
        <v>4575</v>
      </c>
      <c r="AA351" s="120"/>
      <c r="AB351" s="120"/>
      <c r="AC351" s="120"/>
      <c r="AD351" s="120"/>
      <c r="AE351" s="120"/>
      <c r="AF351" s="120"/>
      <c r="AG351" s="120"/>
      <c r="AH351" s="120"/>
      <c r="AI351" s="120"/>
      <c r="AJ351" s="120"/>
      <c r="AK351" s="120"/>
      <c r="AL351" s="120"/>
      <c r="AM351" s="120"/>
      <c r="AN351" s="120"/>
      <c r="AO351" s="120"/>
    </row>
    <row r="352" spans="1:41" s="124" customFormat="1" ht="220.5">
      <c r="A352" s="121"/>
      <c r="B352" s="69"/>
      <c r="C352" s="891"/>
      <c r="D352" s="891"/>
      <c r="E352" s="891"/>
      <c r="F352" s="891"/>
      <c r="G352" s="891"/>
      <c r="H352" s="891"/>
      <c r="I352" s="891"/>
      <c r="J352" s="898">
        <v>1.01</v>
      </c>
      <c r="K352" s="890" t="s">
        <v>773</v>
      </c>
      <c r="L352" s="890">
        <v>20</v>
      </c>
      <c r="M352" s="890" t="s">
        <v>1107</v>
      </c>
      <c r="N352" s="3" t="s">
        <v>4510</v>
      </c>
      <c r="O352" s="31" t="s">
        <v>701</v>
      </c>
      <c r="P352" s="499">
        <v>65.709999999999994</v>
      </c>
      <c r="Q352" s="499">
        <v>66</v>
      </c>
      <c r="R352" s="499">
        <v>67.7</v>
      </c>
      <c r="S352" s="499">
        <v>69.400000000000006</v>
      </c>
      <c r="T352" s="499">
        <v>71.099999999999994</v>
      </c>
      <c r="U352" s="499">
        <v>72.8</v>
      </c>
      <c r="V352" s="499">
        <v>74.5</v>
      </c>
      <c r="W352" s="499">
        <v>74.5</v>
      </c>
      <c r="X352" s="3" t="s">
        <v>1103</v>
      </c>
      <c r="Y352" s="3" t="s">
        <v>1268</v>
      </c>
      <c r="Z352" s="3" t="s">
        <v>4631</v>
      </c>
      <c r="AA352" s="120"/>
      <c r="AB352" s="120"/>
      <c r="AC352" s="120"/>
      <c r="AD352" s="120"/>
      <c r="AE352" s="120"/>
      <c r="AF352" s="120"/>
      <c r="AG352" s="120"/>
      <c r="AH352" s="120"/>
      <c r="AI352" s="120"/>
      <c r="AJ352" s="120"/>
      <c r="AK352" s="120"/>
      <c r="AL352" s="120"/>
      <c r="AM352" s="120"/>
      <c r="AN352" s="120"/>
      <c r="AO352" s="120"/>
    </row>
    <row r="353" spans="1:41" s="124" customFormat="1" ht="110.25">
      <c r="A353" s="121"/>
      <c r="B353" s="69"/>
      <c r="C353" s="891"/>
      <c r="D353" s="891"/>
      <c r="E353" s="891"/>
      <c r="F353" s="891"/>
      <c r="G353" s="891"/>
      <c r="H353" s="891"/>
      <c r="I353" s="891"/>
      <c r="J353" s="891"/>
      <c r="K353" s="891"/>
      <c r="L353" s="891"/>
      <c r="M353" s="891"/>
      <c r="N353" s="3" t="s">
        <v>4354</v>
      </c>
      <c r="O353" s="31" t="s">
        <v>701</v>
      </c>
      <c r="P353" s="499">
        <v>82.96</v>
      </c>
      <c r="Q353" s="499">
        <v>83</v>
      </c>
      <c r="R353" s="499">
        <v>84.2</v>
      </c>
      <c r="S353" s="499">
        <v>85.4</v>
      </c>
      <c r="T353" s="499">
        <v>86.6</v>
      </c>
      <c r="U353" s="499">
        <v>87.8</v>
      </c>
      <c r="V353" s="499">
        <v>89</v>
      </c>
      <c r="W353" s="499">
        <v>89</v>
      </c>
      <c r="X353" s="3" t="s">
        <v>1103</v>
      </c>
      <c r="Y353" s="3" t="s">
        <v>1269</v>
      </c>
      <c r="Z353" s="3" t="s">
        <v>4576</v>
      </c>
      <c r="AA353" s="120"/>
      <c r="AB353" s="120"/>
      <c r="AC353" s="120"/>
      <c r="AD353" s="120"/>
      <c r="AE353" s="120"/>
      <c r="AF353" s="120"/>
      <c r="AG353" s="120"/>
      <c r="AH353" s="120"/>
      <c r="AI353" s="120"/>
      <c r="AJ353" s="120"/>
      <c r="AK353" s="120"/>
      <c r="AL353" s="120"/>
      <c r="AM353" s="120"/>
      <c r="AN353" s="120"/>
      <c r="AO353" s="120"/>
    </row>
    <row r="354" spans="1:41" s="124" customFormat="1" ht="126">
      <c r="A354" s="121"/>
      <c r="B354" s="69"/>
      <c r="C354" s="891"/>
      <c r="D354" s="891"/>
      <c r="E354" s="891"/>
      <c r="F354" s="891"/>
      <c r="G354" s="891"/>
      <c r="H354" s="891"/>
      <c r="I354" s="891"/>
      <c r="J354" s="891"/>
      <c r="K354" s="891"/>
      <c r="L354" s="891"/>
      <c r="M354" s="891"/>
      <c r="N354" s="3" t="s">
        <v>4355</v>
      </c>
      <c r="O354" s="31" t="s">
        <v>701</v>
      </c>
      <c r="P354" s="499">
        <v>90.48</v>
      </c>
      <c r="Q354" s="499">
        <v>90.5</v>
      </c>
      <c r="R354" s="499">
        <v>92</v>
      </c>
      <c r="S354" s="499">
        <v>93.5</v>
      </c>
      <c r="T354" s="499">
        <v>95</v>
      </c>
      <c r="U354" s="499">
        <v>96.5</v>
      </c>
      <c r="V354" s="499">
        <v>98</v>
      </c>
      <c r="W354" s="499">
        <v>98</v>
      </c>
      <c r="X354" s="3" t="s">
        <v>1103</v>
      </c>
      <c r="Y354" s="3" t="s">
        <v>1270</v>
      </c>
      <c r="Z354" s="3" t="s">
        <v>4577</v>
      </c>
      <c r="AA354" s="120"/>
      <c r="AB354" s="120"/>
      <c r="AC354" s="120"/>
      <c r="AD354" s="120"/>
      <c r="AE354" s="120"/>
      <c r="AF354" s="120"/>
      <c r="AG354" s="120"/>
      <c r="AH354" s="120"/>
      <c r="AI354" s="120"/>
      <c r="AJ354" s="120"/>
      <c r="AK354" s="120"/>
      <c r="AL354" s="120"/>
      <c r="AM354" s="120"/>
      <c r="AN354" s="120"/>
      <c r="AO354" s="120"/>
    </row>
    <row r="355" spans="1:41" s="124" customFormat="1" ht="157.5">
      <c r="A355" s="121"/>
      <c r="B355" s="69"/>
      <c r="C355" s="891"/>
      <c r="D355" s="891"/>
      <c r="E355" s="892"/>
      <c r="F355" s="892"/>
      <c r="G355" s="892"/>
      <c r="H355" s="892"/>
      <c r="I355" s="892"/>
      <c r="J355" s="892"/>
      <c r="K355" s="892"/>
      <c r="L355" s="892"/>
      <c r="M355" s="892"/>
      <c r="N355" s="3" t="s">
        <v>4356</v>
      </c>
      <c r="O355" s="31" t="s">
        <v>701</v>
      </c>
      <c r="P355" s="499">
        <v>100</v>
      </c>
      <c r="Q355" s="499">
        <v>95.92</v>
      </c>
      <c r="R355" s="499">
        <v>95.92</v>
      </c>
      <c r="S355" s="499">
        <v>95.92</v>
      </c>
      <c r="T355" s="499">
        <v>95.92</v>
      </c>
      <c r="U355" s="499">
        <v>95.92</v>
      </c>
      <c r="V355" s="499">
        <v>95.92</v>
      </c>
      <c r="W355" s="499">
        <v>95.92</v>
      </c>
      <c r="X355" s="3" t="s">
        <v>1103</v>
      </c>
      <c r="Y355" s="3" t="s">
        <v>1271</v>
      </c>
      <c r="Z355" s="3" t="s">
        <v>4578</v>
      </c>
      <c r="AA355" s="120"/>
      <c r="AB355" s="120"/>
      <c r="AC355" s="120"/>
      <c r="AD355" s="120"/>
      <c r="AE355" s="120"/>
      <c r="AF355" s="120"/>
      <c r="AG355" s="120"/>
      <c r="AH355" s="120"/>
      <c r="AI355" s="120"/>
      <c r="AJ355" s="120"/>
      <c r="AK355" s="120"/>
      <c r="AL355" s="120"/>
      <c r="AM355" s="120"/>
      <c r="AN355" s="120"/>
      <c r="AO355" s="120"/>
    </row>
    <row r="356" spans="1:41" s="124" customFormat="1" ht="141.75">
      <c r="A356" s="121"/>
      <c r="B356" s="69"/>
      <c r="C356" s="891"/>
      <c r="D356" s="891"/>
      <c r="E356" s="890">
        <v>12</v>
      </c>
      <c r="F356" s="890" t="s">
        <v>1272</v>
      </c>
      <c r="G356" s="890" t="s">
        <v>1273</v>
      </c>
      <c r="H356" s="890"/>
      <c r="I356" s="890" t="s">
        <v>4970</v>
      </c>
      <c r="J356" s="3"/>
      <c r="K356" s="3"/>
      <c r="L356" s="3"/>
      <c r="M356" s="3"/>
      <c r="N356" s="3"/>
      <c r="O356" s="31"/>
      <c r="P356" s="499"/>
      <c r="Q356" s="499"/>
      <c r="R356" s="499"/>
      <c r="S356" s="499"/>
      <c r="T356" s="499"/>
      <c r="U356" s="499"/>
      <c r="V356" s="499"/>
      <c r="W356" s="499"/>
      <c r="X356" s="3"/>
      <c r="Y356" s="3"/>
      <c r="Z356" s="3"/>
      <c r="AA356" s="120"/>
      <c r="AB356" s="120"/>
      <c r="AC356" s="120"/>
      <c r="AD356" s="120"/>
      <c r="AE356" s="120"/>
      <c r="AF356" s="120"/>
      <c r="AG356" s="120"/>
      <c r="AH356" s="120"/>
      <c r="AI356" s="120"/>
      <c r="AJ356" s="120"/>
      <c r="AK356" s="120"/>
      <c r="AL356" s="120"/>
      <c r="AM356" s="120"/>
      <c r="AN356" s="120"/>
      <c r="AO356" s="120"/>
    </row>
    <row r="357" spans="1:41" s="124" customFormat="1" ht="78.75">
      <c r="A357" s="121"/>
      <c r="B357" s="69"/>
      <c r="C357" s="891"/>
      <c r="D357" s="891"/>
      <c r="E357" s="891"/>
      <c r="F357" s="891"/>
      <c r="G357" s="891"/>
      <c r="H357" s="891"/>
      <c r="I357" s="891"/>
      <c r="J357" s="898">
        <v>1.01</v>
      </c>
      <c r="K357" s="890" t="s">
        <v>773</v>
      </c>
      <c r="L357" s="890">
        <v>20</v>
      </c>
      <c r="M357" s="890" t="s">
        <v>1107</v>
      </c>
      <c r="N357" s="3" t="s">
        <v>1274</v>
      </c>
      <c r="O357" s="31" t="s">
        <v>701</v>
      </c>
      <c r="P357" s="499">
        <v>3.13</v>
      </c>
      <c r="Q357" s="499">
        <v>3.23</v>
      </c>
      <c r="R357" s="499">
        <v>3.33</v>
      </c>
      <c r="S357" s="499">
        <v>3.43</v>
      </c>
      <c r="T357" s="499">
        <v>3.53</v>
      </c>
      <c r="U357" s="499">
        <v>3.63</v>
      </c>
      <c r="V357" s="499">
        <v>3.73</v>
      </c>
      <c r="W357" s="499">
        <v>3.73</v>
      </c>
      <c r="X357" s="3" t="s">
        <v>1275</v>
      </c>
      <c r="Y357" s="3" t="s">
        <v>1276</v>
      </c>
      <c r="Z357" s="3" t="s">
        <v>4357</v>
      </c>
      <c r="AA357" s="120"/>
      <c r="AB357" s="120"/>
      <c r="AC357" s="120"/>
      <c r="AD357" s="120"/>
      <c r="AE357" s="120"/>
      <c r="AF357" s="120"/>
      <c r="AG357" s="120"/>
      <c r="AH357" s="120"/>
      <c r="AI357" s="120"/>
      <c r="AJ357" s="120"/>
      <c r="AK357" s="120"/>
      <c r="AL357" s="120"/>
      <c r="AM357" s="120"/>
      <c r="AN357" s="120"/>
      <c r="AO357" s="120"/>
    </row>
    <row r="358" spans="1:41" s="124" customFormat="1" ht="78.75">
      <c r="A358" s="121"/>
      <c r="B358" s="69"/>
      <c r="C358" s="891"/>
      <c r="D358" s="891"/>
      <c r="E358" s="891"/>
      <c r="F358" s="891"/>
      <c r="G358" s="891"/>
      <c r="H358" s="891"/>
      <c r="I358" s="891"/>
      <c r="J358" s="891"/>
      <c r="K358" s="891"/>
      <c r="L358" s="891"/>
      <c r="M358" s="891"/>
      <c r="N358" s="3" t="s">
        <v>1277</v>
      </c>
      <c r="O358" s="31" t="s">
        <v>701</v>
      </c>
      <c r="P358" s="499">
        <v>30.8</v>
      </c>
      <c r="Q358" s="499">
        <v>30.9</v>
      </c>
      <c r="R358" s="499">
        <v>31</v>
      </c>
      <c r="S358" s="499">
        <v>31.1</v>
      </c>
      <c r="T358" s="499">
        <v>31.2</v>
      </c>
      <c r="U358" s="499">
        <v>31.3</v>
      </c>
      <c r="V358" s="499">
        <v>31.4</v>
      </c>
      <c r="W358" s="499">
        <v>31.4</v>
      </c>
      <c r="X358" s="3" t="s">
        <v>1275</v>
      </c>
      <c r="Y358" s="3" t="s">
        <v>1278</v>
      </c>
      <c r="Z358" s="3" t="s">
        <v>4357</v>
      </c>
      <c r="AA358" s="120"/>
      <c r="AB358" s="120"/>
      <c r="AC358" s="120"/>
      <c r="AD358" s="120"/>
      <c r="AE358" s="120"/>
      <c r="AF358" s="120"/>
      <c r="AG358" s="120"/>
      <c r="AH358" s="120"/>
      <c r="AI358" s="120"/>
      <c r="AJ358" s="120"/>
      <c r="AK358" s="120"/>
      <c r="AL358" s="120"/>
      <c r="AM358" s="120"/>
      <c r="AN358" s="120"/>
      <c r="AO358" s="120"/>
    </row>
    <row r="359" spans="1:41" s="124" customFormat="1" ht="94.5">
      <c r="A359" s="121"/>
      <c r="B359" s="69"/>
      <c r="C359" s="891"/>
      <c r="D359" s="891"/>
      <c r="E359" s="891"/>
      <c r="F359" s="891"/>
      <c r="G359" s="891"/>
      <c r="H359" s="891"/>
      <c r="I359" s="891"/>
      <c r="J359" s="891"/>
      <c r="K359" s="891"/>
      <c r="L359" s="891"/>
      <c r="M359" s="891"/>
      <c r="N359" s="3" t="s">
        <v>1279</v>
      </c>
      <c r="O359" s="31" t="s">
        <v>701</v>
      </c>
      <c r="P359" s="499">
        <v>50.09</v>
      </c>
      <c r="Q359" s="499">
        <v>5019</v>
      </c>
      <c r="R359" s="499">
        <v>50.29</v>
      </c>
      <c r="S359" s="499">
        <v>50.39</v>
      </c>
      <c r="T359" s="499">
        <v>50.49</v>
      </c>
      <c r="U359" s="499" t="s">
        <v>1940</v>
      </c>
      <c r="V359" s="499">
        <v>50.69</v>
      </c>
      <c r="W359" s="499">
        <v>50.69</v>
      </c>
      <c r="X359" s="3" t="s">
        <v>1275</v>
      </c>
      <c r="Y359" s="3" t="s">
        <v>1280</v>
      </c>
      <c r="Z359" s="3" t="s">
        <v>4357</v>
      </c>
      <c r="AA359" s="120"/>
      <c r="AB359" s="120"/>
      <c r="AC359" s="120"/>
      <c r="AD359" s="120"/>
      <c r="AE359" s="120"/>
      <c r="AF359" s="120"/>
      <c r="AG359" s="120"/>
      <c r="AH359" s="120"/>
      <c r="AI359" s="120"/>
      <c r="AJ359" s="120"/>
      <c r="AK359" s="120"/>
      <c r="AL359" s="120"/>
      <c r="AM359" s="120"/>
      <c r="AN359" s="120"/>
      <c r="AO359" s="120"/>
    </row>
    <row r="360" spans="1:41" s="124" customFormat="1" ht="94.5">
      <c r="A360" s="121"/>
      <c r="B360" s="69"/>
      <c r="C360" s="891"/>
      <c r="D360" s="891"/>
      <c r="E360" s="891"/>
      <c r="F360" s="891"/>
      <c r="G360" s="891"/>
      <c r="H360" s="891"/>
      <c r="I360" s="891"/>
      <c r="J360" s="891"/>
      <c r="K360" s="891"/>
      <c r="L360" s="891"/>
      <c r="M360" s="891"/>
      <c r="N360" s="3" t="s">
        <v>1281</v>
      </c>
      <c r="O360" s="31" t="s">
        <v>701</v>
      </c>
      <c r="P360" s="499">
        <v>44.79</v>
      </c>
      <c r="Q360" s="499">
        <v>44.89</v>
      </c>
      <c r="R360" s="499">
        <v>44.99</v>
      </c>
      <c r="S360" s="499">
        <v>45.09</v>
      </c>
      <c r="T360" s="499">
        <v>45.19</v>
      </c>
      <c r="U360" s="499">
        <v>45.29</v>
      </c>
      <c r="V360" s="499">
        <v>45.39</v>
      </c>
      <c r="W360" s="499">
        <v>45.39</v>
      </c>
      <c r="X360" s="3" t="s">
        <v>1275</v>
      </c>
      <c r="Y360" s="3" t="s">
        <v>1282</v>
      </c>
      <c r="Z360" s="3" t="s">
        <v>4357</v>
      </c>
      <c r="AA360" s="120"/>
      <c r="AB360" s="120"/>
      <c r="AC360" s="120"/>
      <c r="AD360" s="120"/>
      <c r="AE360" s="120"/>
      <c r="AF360" s="120"/>
      <c r="AG360" s="120"/>
      <c r="AH360" s="120"/>
      <c r="AI360" s="120"/>
      <c r="AJ360" s="120"/>
      <c r="AK360" s="120"/>
      <c r="AL360" s="120"/>
      <c r="AM360" s="120"/>
      <c r="AN360" s="120"/>
      <c r="AO360" s="120"/>
    </row>
    <row r="361" spans="1:41" s="124" customFormat="1" ht="78.75">
      <c r="A361" s="121"/>
      <c r="B361" s="69"/>
      <c r="C361" s="891"/>
      <c r="D361" s="891"/>
      <c r="E361" s="892"/>
      <c r="F361" s="892"/>
      <c r="G361" s="892"/>
      <c r="H361" s="892"/>
      <c r="I361" s="892"/>
      <c r="J361" s="892"/>
      <c r="K361" s="892"/>
      <c r="L361" s="892"/>
      <c r="M361" s="892"/>
      <c r="N361" s="3" t="s">
        <v>1283</v>
      </c>
      <c r="O361" s="31" t="s">
        <v>701</v>
      </c>
      <c r="P361" s="499">
        <v>44.79</v>
      </c>
      <c r="Q361" s="499">
        <v>44.89</v>
      </c>
      <c r="R361" s="499">
        <v>44.99</v>
      </c>
      <c r="S361" s="499">
        <v>45.09</v>
      </c>
      <c r="T361" s="499">
        <v>45.19</v>
      </c>
      <c r="U361" s="499">
        <v>45.29</v>
      </c>
      <c r="V361" s="499">
        <v>45.39</v>
      </c>
      <c r="W361" s="499">
        <v>45.39</v>
      </c>
      <c r="X361" s="3" t="s">
        <v>1275</v>
      </c>
      <c r="Y361" s="3" t="s">
        <v>1284</v>
      </c>
      <c r="Z361" s="3" t="s">
        <v>4357</v>
      </c>
      <c r="AA361" s="120"/>
      <c r="AB361" s="120"/>
      <c r="AC361" s="120"/>
      <c r="AD361" s="120"/>
      <c r="AE361" s="120"/>
      <c r="AF361" s="120"/>
      <c r="AG361" s="120"/>
      <c r="AH361" s="120"/>
      <c r="AI361" s="120"/>
      <c r="AJ361" s="120"/>
      <c r="AK361" s="120"/>
      <c r="AL361" s="120"/>
      <c r="AM361" s="120"/>
      <c r="AN361" s="120"/>
      <c r="AO361" s="120"/>
    </row>
    <row r="362" spans="1:41" s="124" customFormat="1" ht="141.75">
      <c r="A362" s="121"/>
      <c r="B362" s="69"/>
      <c r="C362" s="891"/>
      <c r="D362" s="891"/>
      <c r="E362" s="890">
        <v>13</v>
      </c>
      <c r="F362" s="890" t="s">
        <v>1285</v>
      </c>
      <c r="G362" s="890" t="s">
        <v>1286</v>
      </c>
      <c r="H362" s="890"/>
      <c r="I362" s="890" t="s">
        <v>4971</v>
      </c>
      <c r="J362" s="3"/>
      <c r="K362" s="3"/>
      <c r="L362" s="3"/>
      <c r="M362" s="3"/>
      <c r="N362" s="3"/>
      <c r="O362" s="31"/>
      <c r="P362" s="499"/>
      <c r="Q362" s="499"/>
      <c r="R362" s="499"/>
      <c r="S362" s="499"/>
      <c r="T362" s="499"/>
      <c r="U362" s="499"/>
      <c r="V362" s="499"/>
      <c r="W362" s="499"/>
      <c r="X362" s="3"/>
      <c r="Y362" s="3"/>
      <c r="Z362" s="3"/>
      <c r="AA362" s="120"/>
      <c r="AB362" s="120"/>
      <c r="AC362" s="120"/>
      <c r="AD362" s="120"/>
      <c r="AE362" s="120"/>
      <c r="AF362" s="120"/>
      <c r="AG362" s="120"/>
      <c r="AH362" s="120"/>
      <c r="AI362" s="120"/>
      <c r="AJ362" s="120"/>
      <c r="AK362" s="120"/>
      <c r="AL362" s="120"/>
      <c r="AM362" s="120"/>
      <c r="AN362" s="120"/>
      <c r="AO362" s="120"/>
    </row>
    <row r="363" spans="1:41" s="124" customFormat="1" ht="47.25">
      <c r="A363" s="121"/>
      <c r="B363" s="69"/>
      <c r="C363" s="891"/>
      <c r="D363" s="891"/>
      <c r="E363" s="891"/>
      <c r="F363" s="891"/>
      <c r="G363" s="891"/>
      <c r="H363" s="891"/>
      <c r="I363" s="891"/>
      <c r="J363" s="898">
        <v>1.01</v>
      </c>
      <c r="K363" s="890" t="s">
        <v>773</v>
      </c>
      <c r="L363" s="890">
        <v>20</v>
      </c>
      <c r="M363" s="890" t="s">
        <v>1107</v>
      </c>
      <c r="N363" s="3" t="s">
        <v>1287</v>
      </c>
      <c r="O363" s="31" t="s">
        <v>1288</v>
      </c>
      <c r="P363" s="501">
        <v>181</v>
      </c>
      <c r="Q363" s="501">
        <v>181</v>
      </c>
      <c r="R363" s="501">
        <v>181</v>
      </c>
      <c r="S363" s="501">
        <v>181</v>
      </c>
      <c r="T363" s="501">
        <v>181</v>
      </c>
      <c r="U363" s="501">
        <v>181</v>
      </c>
      <c r="V363" s="501">
        <v>181</v>
      </c>
      <c r="W363" s="501">
        <v>181</v>
      </c>
      <c r="X363" s="3" t="s">
        <v>1103</v>
      </c>
      <c r="Y363" s="3" t="s">
        <v>1289</v>
      </c>
      <c r="Z363" s="3"/>
      <c r="AA363" s="120"/>
      <c r="AB363" s="120"/>
      <c r="AC363" s="120"/>
      <c r="AD363" s="120"/>
      <c r="AE363" s="120"/>
      <c r="AF363" s="120"/>
      <c r="AG363" s="120"/>
      <c r="AH363" s="120"/>
      <c r="AI363" s="120"/>
      <c r="AJ363" s="120"/>
      <c r="AK363" s="120"/>
      <c r="AL363" s="120"/>
      <c r="AM363" s="120"/>
      <c r="AN363" s="120"/>
      <c r="AO363" s="120"/>
    </row>
    <row r="364" spans="1:41" s="124" customFormat="1" ht="31.5">
      <c r="A364" s="121"/>
      <c r="B364" s="69"/>
      <c r="C364" s="891"/>
      <c r="D364" s="891"/>
      <c r="E364" s="891"/>
      <c r="F364" s="891"/>
      <c r="G364" s="891"/>
      <c r="H364" s="891"/>
      <c r="I364" s="891"/>
      <c r="J364" s="891"/>
      <c r="K364" s="891"/>
      <c r="L364" s="891"/>
      <c r="M364" s="891"/>
      <c r="N364" s="3" t="s">
        <v>2017</v>
      </c>
      <c r="O364" s="31" t="s">
        <v>1288</v>
      </c>
      <c r="P364" s="501">
        <v>18</v>
      </c>
      <c r="Q364" s="501">
        <v>18</v>
      </c>
      <c r="R364" s="501">
        <v>18</v>
      </c>
      <c r="S364" s="501">
        <v>18</v>
      </c>
      <c r="T364" s="501">
        <v>18</v>
      </c>
      <c r="U364" s="501">
        <v>18</v>
      </c>
      <c r="V364" s="501">
        <v>20</v>
      </c>
      <c r="W364" s="501">
        <v>20</v>
      </c>
      <c r="X364" s="3" t="s">
        <v>1103</v>
      </c>
      <c r="Y364" s="3" t="s">
        <v>1290</v>
      </c>
      <c r="Z364" s="3"/>
      <c r="AA364" s="120"/>
      <c r="AB364" s="120"/>
      <c r="AC364" s="120"/>
      <c r="AD364" s="120"/>
      <c r="AE364" s="120"/>
      <c r="AF364" s="120"/>
      <c r="AG364" s="120"/>
      <c r="AH364" s="120"/>
      <c r="AI364" s="120"/>
      <c r="AJ364" s="120"/>
      <c r="AK364" s="120"/>
      <c r="AL364" s="120"/>
      <c r="AM364" s="120"/>
      <c r="AN364" s="120"/>
      <c r="AO364" s="120"/>
    </row>
    <row r="365" spans="1:41" s="124" customFormat="1" ht="47.25">
      <c r="A365" s="121"/>
      <c r="B365" s="69"/>
      <c r="C365" s="891"/>
      <c r="D365" s="891"/>
      <c r="E365" s="891"/>
      <c r="F365" s="891"/>
      <c r="G365" s="891"/>
      <c r="H365" s="891"/>
      <c r="I365" s="891"/>
      <c r="J365" s="891"/>
      <c r="K365" s="891"/>
      <c r="L365" s="891"/>
      <c r="M365" s="891"/>
      <c r="N365" s="3" t="s">
        <v>1291</v>
      </c>
      <c r="O365" s="31" t="s">
        <v>921</v>
      </c>
      <c r="P365" s="499" t="s">
        <v>4289</v>
      </c>
      <c r="Q365" s="499" t="s">
        <v>4289</v>
      </c>
      <c r="R365" s="499" t="s">
        <v>4289</v>
      </c>
      <c r="S365" s="499" t="s">
        <v>4289</v>
      </c>
      <c r="T365" s="499" t="s">
        <v>4289</v>
      </c>
      <c r="U365" s="499" t="s">
        <v>4289</v>
      </c>
      <c r="V365" s="499" t="s">
        <v>4289</v>
      </c>
      <c r="W365" s="499" t="s">
        <v>4289</v>
      </c>
      <c r="X365" s="3" t="s">
        <v>1103</v>
      </c>
      <c r="Y365" s="3" t="s">
        <v>1292</v>
      </c>
      <c r="Z365" s="3"/>
      <c r="AA365" s="120"/>
      <c r="AB365" s="120"/>
      <c r="AC365" s="120"/>
      <c r="AD365" s="120"/>
      <c r="AE365" s="120"/>
      <c r="AF365" s="120"/>
      <c r="AG365" s="120"/>
      <c r="AH365" s="120"/>
      <c r="AI365" s="120"/>
      <c r="AJ365" s="120"/>
      <c r="AK365" s="120"/>
      <c r="AL365" s="120"/>
      <c r="AM365" s="120"/>
      <c r="AN365" s="120"/>
      <c r="AO365" s="120"/>
    </row>
    <row r="366" spans="1:41" s="124" customFormat="1" ht="31.5">
      <c r="A366" s="121"/>
      <c r="B366" s="69"/>
      <c r="C366" s="892"/>
      <c r="D366" s="892"/>
      <c r="E366" s="892"/>
      <c r="F366" s="892"/>
      <c r="G366" s="892"/>
      <c r="H366" s="892"/>
      <c r="I366" s="892"/>
      <c r="J366" s="892"/>
      <c r="K366" s="892"/>
      <c r="L366" s="892"/>
      <c r="M366" s="892"/>
      <c r="N366" s="3" t="s">
        <v>1293</v>
      </c>
      <c r="O366" s="31" t="s">
        <v>1288</v>
      </c>
      <c r="P366" s="501">
        <v>3</v>
      </c>
      <c r="Q366" s="501">
        <v>3</v>
      </c>
      <c r="R366" s="501">
        <v>3</v>
      </c>
      <c r="S366" s="501">
        <v>4</v>
      </c>
      <c r="T366" s="501">
        <v>4</v>
      </c>
      <c r="U366" s="501">
        <v>5</v>
      </c>
      <c r="V366" s="501">
        <v>5</v>
      </c>
      <c r="W366" s="501">
        <v>6</v>
      </c>
      <c r="X366" s="3" t="s">
        <v>1103</v>
      </c>
      <c r="Y366" s="3" t="s">
        <v>1294</v>
      </c>
      <c r="Z366" s="3"/>
      <c r="AA366" s="120"/>
      <c r="AB366" s="120"/>
      <c r="AC366" s="120"/>
      <c r="AD366" s="120"/>
      <c r="AE366" s="120"/>
      <c r="AF366" s="120"/>
      <c r="AG366" s="120"/>
      <c r="AH366" s="120"/>
      <c r="AI366" s="120"/>
      <c r="AJ366" s="120"/>
      <c r="AK366" s="120"/>
      <c r="AL366" s="120"/>
      <c r="AM366" s="120"/>
      <c r="AN366" s="120"/>
      <c r="AO366" s="120"/>
    </row>
    <row r="367" spans="1:41" s="124" customFormat="1" ht="78.75">
      <c r="A367" s="121"/>
      <c r="B367" s="69"/>
      <c r="C367" s="890">
        <v>5</v>
      </c>
      <c r="D367" s="890" t="s">
        <v>1295</v>
      </c>
      <c r="E367" s="890">
        <v>14</v>
      </c>
      <c r="F367" s="890" t="s">
        <v>1296</v>
      </c>
      <c r="G367" s="890" t="s">
        <v>1297</v>
      </c>
      <c r="H367" s="890"/>
      <c r="I367" s="890" t="s">
        <v>4972</v>
      </c>
      <c r="J367" s="3"/>
      <c r="K367" s="3"/>
      <c r="L367" s="3"/>
      <c r="M367" s="3"/>
      <c r="N367" s="3"/>
      <c r="O367" s="31"/>
      <c r="P367" s="499"/>
      <c r="Q367" s="499"/>
      <c r="R367" s="499"/>
      <c r="S367" s="499"/>
      <c r="T367" s="499"/>
      <c r="U367" s="499"/>
      <c r="V367" s="499"/>
      <c r="W367" s="499"/>
      <c r="X367" s="3"/>
      <c r="Y367" s="3"/>
      <c r="Z367" s="3"/>
      <c r="AA367" s="120"/>
      <c r="AB367" s="120"/>
      <c r="AC367" s="120"/>
      <c r="AD367" s="120"/>
      <c r="AE367" s="120"/>
      <c r="AF367" s="120"/>
      <c r="AG367" s="120"/>
      <c r="AH367" s="120"/>
      <c r="AI367" s="120"/>
      <c r="AJ367" s="120"/>
      <c r="AK367" s="120"/>
      <c r="AL367" s="120"/>
      <c r="AM367" s="120"/>
      <c r="AN367" s="120"/>
      <c r="AO367" s="120"/>
    </row>
    <row r="368" spans="1:41" s="124" customFormat="1" ht="78.75">
      <c r="A368" s="121"/>
      <c r="B368" s="69"/>
      <c r="C368" s="891"/>
      <c r="D368" s="891"/>
      <c r="E368" s="891"/>
      <c r="F368" s="891"/>
      <c r="G368" s="891"/>
      <c r="H368" s="891"/>
      <c r="I368" s="891"/>
      <c r="J368" s="898">
        <v>1.01</v>
      </c>
      <c r="K368" s="890" t="s">
        <v>773</v>
      </c>
      <c r="L368" s="890">
        <v>15</v>
      </c>
      <c r="M368" s="890" t="s">
        <v>1298</v>
      </c>
      <c r="N368" s="3" t="s">
        <v>1299</v>
      </c>
      <c r="O368" s="31" t="s">
        <v>701</v>
      </c>
      <c r="P368" s="499">
        <v>86.45</v>
      </c>
      <c r="Q368" s="499">
        <v>86.84</v>
      </c>
      <c r="R368" s="499">
        <v>87.23</v>
      </c>
      <c r="S368" s="499">
        <v>87.62</v>
      </c>
      <c r="T368" s="499">
        <v>88.01</v>
      </c>
      <c r="U368" s="499">
        <v>88.4</v>
      </c>
      <c r="V368" s="499">
        <v>88.79</v>
      </c>
      <c r="W368" s="499">
        <v>88.79</v>
      </c>
      <c r="X368" s="3" t="s">
        <v>1103</v>
      </c>
      <c r="Y368" s="3" t="s">
        <v>1300</v>
      </c>
      <c r="Z368" s="3"/>
      <c r="AA368" s="120"/>
      <c r="AB368" s="120"/>
      <c r="AC368" s="120"/>
      <c r="AD368" s="120"/>
      <c r="AE368" s="120"/>
      <c r="AF368" s="120"/>
      <c r="AG368" s="120"/>
      <c r="AH368" s="120"/>
      <c r="AI368" s="120"/>
      <c r="AJ368" s="120"/>
      <c r="AK368" s="120"/>
      <c r="AL368" s="120"/>
      <c r="AM368" s="120"/>
      <c r="AN368" s="120"/>
      <c r="AO368" s="120"/>
    </row>
    <row r="369" spans="1:41" s="124" customFormat="1" ht="78.75">
      <c r="A369" s="121"/>
      <c r="B369" s="69"/>
      <c r="C369" s="891"/>
      <c r="D369" s="891"/>
      <c r="E369" s="891"/>
      <c r="F369" s="891"/>
      <c r="G369" s="891"/>
      <c r="H369" s="891"/>
      <c r="I369" s="891"/>
      <c r="J369" s="891"/>
      <c r="K369" s="891"/>
      <c r="L369" s="891"/>
      <c r="M369" s="891"/>
      <c r="N369" s="3" t="s">
        <v>1301</v>
      </c>
      <c r="O369" s="31" t="s">
        <v>701</v>
      </c>
      <c r="P369" s="499">
        <v>85</v>
      </c>
      <c r="Q369" s="499">
        <v>85.41</v>
      </c>
      <c r="R369" s="499">
        <v>85.82</v>
      </c>
      <c r="S369" s="499">
        <v>86.24</v>
      </c>
      <c r="T369" s="499">
        <v>86.65</v>
      </c>
      <c r="U369" s="499">
        <v>87.06</v>
      </c>
      <c r="V369" s="499">
        <v>87.47</v>
      </c>
      <c r="W369" s="499">
        <v>87.47</v>
      </c>
      <c r="X369" s="3" t="s">
        <v>1103</v>
      </c>
      <c r="Y369" s="3" t="s">
        <v>1302</v>
      </c>
      <c r="Z369" s="3"/>
      <c r="AA369" s="120"/>
      <c r="AB369" s="120"/>
      <c r="AC369" s="120"/>
      <c r="AD369" s="120"/>
      <c r="AE369" s="120"/>
      <c r="AF369" s="120"/>
      <c r="AG369" s="120"/>
      <c r="AH369" s="120"/>
      <c r="AI369" s="120"/>
      <c r="AJ369" s="120"/>
      <c r="AK369" s="120"/>
      <c r="AL369" s="120"/>
      <c r="AM369" s="120"/>
      <c r="AN369" s="120"/>
      <c r="AO369" s="120"/>
    </row>
    <row r="370" spans="1:41" s="124" customFormat="1" ht="94.5">
      <c r="A370" s="121"/>
      <c r="B370" s="69"/>
      <c r="C370" s="891"/>
      <c r="D370" s="891"/>
      <c r="E370" s="891"/>
      <c r="F370" s="891"/>
      <c r="G370" s="891"/>
      <c r="H370" s="891"/>
      <c r="I370" s="891"/>
      <c r="J370" s="891"/>
      <c r="K370" s="891"/>
      <c r="L370" s="891"/>
      <c r="M370" s="891"/>
      <c r="N370" s="3" t="s">
        <v>1303</v>
      </c>
      <c r="O370" s="31" t="s">
        <v>701</v>
      </c>
      <c r="P370" s="499">
        <v>23.66</v>
      </c>
      <c r="Q370" s="499">
        <v>24.08</v>
      </c>
      <c r="R370" s="499">
        <v>25.11</v>
      </c>
      <c r="S370" s="499">
        <v>26.14</v>
      </c>
      <c r="T370" s="499">
        <v>27.17</v>
      </c>
      <c r="U370" s="499">
        <v>28.19</v>
      </c>
      <c r="V370" s="499">
        <v>29.22</v>
      </c>
      <c r="W370" s="499">
        <v>29.22</v>
      </c>
      <c r="X370" s="3" t="s">
        <v>1103</v>
      </c>
      <c r="Y370" s="3" t="s">
        <v>1304</v>
      </c>
      <c r="Z370" s="3"/>
      <c r="AA370" s="120"/>
      <c r="AB370" s="120"/>
      <c r="AC370" s="120"/>
      <c r="AD370" s="120"/>
      <c r="AE370" s="120"/>
      <c r="AF370" s="120"/>
      <c r="AG370" s="120"/>
      <c r="AH370" s="120"/>
      <c r="AI370" s="120"/>
      <c r="AJ370" s="120"/>
      <c r="AK370" s="120"/>
      <c r="AL370" s="120"/>
      <c r="AM370" s="120"/>
      <c r="AN370" s="120"/>
      <c r="AO370" s="120"/>
    </row>
    <row r="371" spans="1:41" s="124" customFormat="1" ht="78.75">
      <c r="A371" s="121"/>
      <c r="B371" s="69"/>
      <c r="C371" s="891"/>
      <c r="D371" s="891"/>
      <c r="E371" s="891"/>
      <c r="F371" s="891"/>
      <c r="G371" s="891"/>
      <c r="H371" s="891"/>
      <c r="I371" s="891"/>
      <c r="J371" s="891"/>
      <c r="K371" s="891"/>
      <c r="L371" s="891"/>
      <c r="M371" s="891"/>
      <c r="N371" s="3" t="s">
        <v>1305</v>
      </c>
      <c r="O371" s="31" t="s">
        <v>701</v>
      </c>
      <c r="P371" s="499">
        <v>85</v>
      </c>
      <c r="Q371" s="499">
        <v>85.41</v>
      </c>
      <c r="R371" s="499">
        <v>85.82</v>
      </c>
      <c r="S371" s="499">
        <v>86.24</v>
      </c>
      <c r="T371" s="499">
        <v>86.65</v>
      </c>
      <c r="U371" s="499">
        <v>87.06</v>
      </c>
      <c r="V371" s="499">
        <v>88.747</v>
      </c>
      <c r="W371" s="499">
        <v>88.75</v>
      </c>
      <c r="X371" s="3" t="s">
        <v>1103</v>
      </c>
      <c r="Y371" s="3" t="s">
        <v>1306</v>
      </c>
      <c r="Z371" s="3"/>
      <c r="AA371" s="120"/>
      <c r="AB371" s="120"/>
      <c r="AC371" s="120"/>
      <c r="AD371" s="120"/>
      <c r="AE371" s="120"/>
      <c r="AF371" s="120"/>
      <c r="AG371" s="120"/>
      <c r="AH371" s="120"/>
      <c r="AI371" s="120"/>
      <c r="AJ371" s="120"/>
      <c r="AK371" s="120"/>
      <c r="AL371" s="120"/>
      <c r="AM371" s="120"/>
      <c r="AN371" s="120"/>
      <c r="AO371" s="120"/>
    </row>
    <row r="372" spans="1:41" s="124" customFormat="1" ht="78.75">
      <c r="A372" s="121"/>
      <c r="B372" s="69"/>
      <c r="C372" s="891"/>
      <c r="D372" s="891"/>
      <c r="E372" s="892"/>
      <c r="F372" s="892"/>
      <c r="G372" s="892"/>
      <c r="H372" s="892"/>
      <c r="I372" s="892"/>
      <c r="J372" s="892"/>
      <c r="K372" s="892"/>
      <c r="L372" s="892"/>
      <c r="M372" s="892"/>
      <c r="N372" s="3" t="s">
        <v>1307</v>
      </c>
      <c r="O372" s="31" t="s">
        <v>701</v>
      </c>
      <c r="P372" s="499">
        <v>85</v>
      </c>
      <c r="Q372" s="499">
        <v>85.41</v>
      </c>
      <c r="R372" s="499">
        <v>85.82</v>
      </c>
      <c r="S372" s="499">
        <v>86.24</v>
      </c>
      <c r="T372" s="499">
        <v>86.65</v>
      </c>
      <c r="U372" s="499">
        <v>87.06</v>
      </c>
      <c r="V372" s="499">
        <v>87.47</v>
      </c>
      <c r="W372" s="499">
        <v>87.47</v>
      </c>
      <c r="X372" s="3" t="s">
        <v>1103</v>
      </c>
      <c r="Y372" s="3" t="s">
        <v>1308</v>
      </c>
      <c r="Z372" s="3"/>
      <c r="AA372" s="120"/>
      <c r="AB372" s="120"/>
      <c r="AC372" s="120"/>
      <c r="AD372" s="120"/>
      <c r="AE372" s="120"/>
      <c r="AF372" s="120"/>
      <c r="AG372" s="120"/>
      <c r="AH372" s="120"/>
      <c r="AI372" s="120"/>
      <c r="AJ372" s="120"/>
      <c r="AK372" s="120"/>
      <c r="AL372" s="120"/>
      <c r="AM372" s="120"/>
      <c r="AN372" s="120"/>
      <c r="AO372" s="120"/>
    </row>
    <row r="373" spans="1:41" s="124" customFormat="1" ht="94.5">
      <c r="A373" s="121"/>
      <c r="B373" s="69"/>
      <c r="C373" s="891"/>
      <c r="D373" s="891"/>
      <c r="E373" s="890">
        <v>15</v>
      </c>
      <c r="F373" s="890" t="s">
        <v>1309</v>
      </c>
      <c r="G373" s="890" t="s">
        <v>1310</v>
      </c>
      <c r="H373" s="890"/>
      <c r="I373" s="890" t="s">
        <v>4973</v>
      </c>
      <c r="J373" s="3"/>
      <c r="K373" s="3"/>
      <c r="L373" s="3"/>
      <c r="M373" s="3"/>
      <c r="N373" s="3"/>
      <c r="O373" s="31"/>
      <c r="P373" s="499"/>
      <c r="Q373" s="499"/>
      <c r="R373" s="499"/>
      <c r="S373" s="499"/>
      <c r="T373" s="499"/>
      <c r="U373" s="499"/>
      <c r="V373" s="499"/>
      <c r="W373" s="499"/>
      <c r="X373" s="3"/>
      <c r="Y373" s="3"/>
      <c r="Z373" s="3"/>
      <c r="AA373" s="120"/>
      <c r="AB373" s="120"/>
      <c r="AC373" s="120"/>
      <c r="AD373" s="120"/>
      <c r="AE373" s="120"/>
      <c r="AF373" s="120"/>
      <c r="AG373" s="120"/>
      <c r="AH373" s="120"/>
      <c r="AI373" s="120"/>
      <c r="AJ373" s="120"/>
      <c r="AK373" s="120"/>
      <c r="AL373" s="120"/>
      <c r="AM373" s="120"/>
      <c r="AN373" s="120"/>
      <c r="AO373" s="120"/>
    </row>
    <row r="374" spans="1:41" s="124" customFormat="1" ht="78.75">
      <c r="A374" s="121"/>
      <c r="B374" s="69"/>
      <c r="C374" s="891"/>
      <c r="D374" s="891"/>
      <c r="E374" s="891"/>
      <c r="F374" s="891"/>
      <c r="G374" s="891"/>
      <c r="H374" s="891"/>
      <c r="I374" s="891"/>
      <c r="J374" s="898">
        <v>1.01</v>
      </c>
      <c r="K374" s="890" t="s">
        <v>773</v>
      </c>
      <c r="L374" s="890">
        <v>16</v>
      </c>
      <c r="M374" s="890" t="s">
        <v>1132</v>
      </c>
      <c r="N374" s="3" t="s">
        <v>2018</v>
      </c>
      <c r="O374" s="31" t="s">
        <v>701</v>
      </c>
      <c r="P374" s="499">
        <v>85.008469791078483</v>
      </c>
      <c r="Q374" s="499">
        <v>86.42</v>
      </c>
      <c r="R374" s="499">
        <v>87.83</v>
      </c>
      <c r="S374" s="499">
        <v>89.25</v>
      </c>
      <c r="T374" s="499">
        <v>90.66</v>
      </c>
      <c r="U374" s="499">
        <v>92.07</v>
      </c>
      <c r="V374" s="499">
        <v>93.48</v>
      </c>
      <c r="W374" s="499">
        <v>93.48</v>
      </c>
      <c r="X374" s="3" t="s">
        <v>1103</v>
      </c>
      <c r="Y374" s="3" t="s">
        <v>1311</v>
      </c>
      <c r="Z374" s="3"/>
      <c r="AA374" s="120"/>
      <c r="AB374" s="120"/>
      <c r="AC374" s="120"/>
      <c r="AD374" s="120"/>
      <c r="AE374" s="120"/>
      <c r="AF374" s="120"/>
      <c r="AG374" s="120"/>
      <c r="AH374" s="120"/>
      <c r="AI374" s="120"/>
      <c r="AJ374" s="120"/>
      <c r="AK374" s="120"/>
      <c r="AL374" s="120"/>
      <c r="AM374" s="120"/>
      <c r="AN374" s="120"/>
      <c r="AO374" s="120"/>
    </row>
    <row r="375" spans="1:41" s="124" customFormat="1" ht="78.75">
      <c r="A375" s="121"/>
      <c r="B375" s="69"/>
      <c r="C375" s="891"/>
      <c r="D375" s="891"/>
      <c r="E375" s="891"/>
      <c r="F375" s="891"/>
      <c r="G375" s="891"/>
      <c r="H375" s="891"/>
      <c r="I375" s="891"/>
      <c r="J375" s="891"/>
      <c r="K375" s="891"/>
      <c r="L375" s="891"/>
      <c r="M375" s="891"/>
      <c r="N375" s="3" t="s">
        <v>2019</v>
      </c>
      <c r="O375" s="31" t="s">
        <v>701</v>
      </c>
      <c r="P375" s="499">
        <v>87.352941176470594</v>
      </c>
      <c r="Q375" s="499">
        <v>88.33</v>
      </c>
      <c r="R375" s="499">
        <v>89.31</v>
      </c>
      <c r="S375" s="499">
        <v>90.29</v>
      </c>
      <c r="T375" s="499">
        <v>91.27</v>
      </c>
      <c r="U375" s="499">
        <v>92.25</v>
      </c>
      <c r="V375" s="499">
        <v>93.23</v>
      </c>
      <c r="W375" s="499">
        <v>93.23</v>
      </c>
      <c r="X375" s="3" t="s">
        <v>1103</v>
      </c>
      <c r="Y375" s="3" t="s">
        <v>1312</v>
      </c>
      <c r="Z375" s="3"/>
      <c r="AA375" s="120"/>
      <c r="AB375" s="120"/>
      <c r="AC375" s="120"/>
      <c r="AD375" s="120"/>
      <c r="AE375" s="120"/>
      <c r="AF375" s="120"/>
      <c r="AG375" s="120"/>
      <c r="AH375" s="120"/>
      <c r="AI375" s="120"/>
      <c r="AJ375" s="120"/>
      <c r="AK375" s="120"/>
      <c r="AL375" s="120"/>
      <c r="AM375" s="120"/>
      <c r="AN375" s="120"/>
      <c r="AO375" s="120"/>
    </row>
    <row r="376" spans="1:41" s="124" customFormat="1" ht="110.25">
      <c r="A376" s="121"/>
      <c r="B376" s="69"/>
      <c r="C376" s="891"/>
      <c r="D376" s="891"/>
      <c r="E376" s="891"/>
      <c r="F376" s="891"/>
      <c r="G376" s="891"/>
      <c r="H376" s="891"/>
      <c r="I376" s="891"/>
      <c r="J376" s="891"/>
      <c r="K376" s="891"/>
      <c r="L376" s="891"/>
      <c r="M376" s="891"/>
      <c r="N376" s="3" t="s">
        <v>2020</v>
      </c>
      <c r="O376" s="31" t="s">
        <v>701</v>
      </c>
      <c r="P376" s="499">
        <v>60</v>
      </c>
      <c r="Q376" s="499">
        <v>61.75</v>
      </c>
      <c r="R376" s="499">
        <v>63.5</v>
      </c>
      <c r="S376" s="499">
        <v>65.239999999999995</v>
      </c>
      <c r="T376" s="499">
        <v>66.989999999999995</v>
      </c>
      <c r="U376" s="499">
        <v>68.739999999999995</v>
      </c>
      <c r="V376" s="499">
        <v>70.489999999999995</v>
      </c>
      <c r="W376" s="499">
        <v>70.489999999999995</v>
      </c>
      <c r="X376" s="3" t="s">
        <v>1103</v>
      </c>
      <c r="Y376" s="3" t="s">
        <v>1313</v>
      </c>
      <c r="Z376" s="3"/>
      <c r="AA376" s="120"/>
      <c r="AB376" s="120"/>
      <c r="AC376" s="120"/>
      <c r="AD376" s="120"/>
      <c r="AE376" s="120"/>
      <c r="AF376" s="120"/>
      <c r="AG376" s="120"/>
      <c r="AH376" s="120"/>
      <c r="AI376" s="120"/>
      <c r="AJ376" s="120"/>
      <c r="AK376" s="120"/>
      <c r="AL376" s="120"/>
      <c r="AM376" s="120"/>
      <c r="AN376" s="120"/>
      <c r="AO376" s="120"/>
    </row>
    <row r="377" spans="1:41" s="124" customFormat="1" ht="110.25">
      <c r="A377" s="121"/>
      <c r="B377" s="69"/>
      <c r="C377" s="891"/>
      <c r="D377" s="891"/>
      <c r="E377" s="891"/>
      <c r="F377" s="891"/>
      <c r="G377" s="891"/>
      <c r="H377" s="891"/>
      <c r="I377" s="891"/>
      <c r="J377" s="891"/>
      <c r="K377" s="891"/>
      <c r="L377" s="891"/>
      <c r="M377" s="891"/>
      <c r="N377" s="3" t="s">
        <v>2021</v>
      </c>
      <c r="O377" s="31" t="s">
        <v>701</v>
      </c>
      <c r="P377" s="499">
        <v>75.239999999999995</v>
      </c>
      <c r="Q377" s="499">
        <v>76.19</v>
      </c>
      <c r="R377" s="499">
        <v>77.14</v>
      </c>
      <c r="S377" s="499">
        <v>78.09</v>
      </c>
      <c r="T377" s="499">
        <v>79.040000000000006</v>
      </c>
      <c r="U377" s="499">
        <v>79.989999999999995</v>
      </c>
      <c r="V377" s="499" t="s">
        <v>1941</v>
      </c>
      <c r="W377" s="499" t="s">
        <v>1941</v>
      </c>
      <c r="X377" s="3" t="s">
        <v>1103</v>
      </c>
      <c r="Y377" s="3" t="s">
        <v>1314</v>
      </c>
      <c r="Z377" s="3"/>
      <c r="AA377" s="120"/>
      <c r="AB377" s="120"/>
      <c r="AC377" s="120"/>
      <c r="AD377" s="120"/>
      <c r="AE377" s="120"/>
      <c r="AF377" s="120"/>
      <c r="AG377" s="120"/>
      <c r="AH377" s="120"/>
      <c r="AI377" s="120"/>
      <c r="AJ377" s="120"/>
      <c r="AK377" s="120"/>
      <c r="AL377" s="120"/>
      <c r="AM377" s="120"/>
      <c r="AN377" s="120"/>
      <c r="AO377" s="120"/>
    </row>
    <row r="378" spans="1:41" s="124" customFormat="1" ht="330.75">
      <c r="A378" s="119"/>
      <c r="B378" s="69"/>
      <c r="C378" s="891"/>
      <c r="D378" s="891"/>
      <c r="E378" s="891"/>
      <c r="F378" s="891"/>
      <c r="G378" s="891"/>
      <c r="H378" s="891"/>
      <c r="I378" s="891"/>
      <c r="J378" s="891"/>
      <c r="K378" s="891"/>
      <c r="L378" s="891"/>
      <c r="M378" s="891"/>
      <c r="N378" s="3" t="s">
        <v>4358</v>
      </c>
      <c r="O378" s="31" t="s">
        <v>701</v>
      </c>
      <c r="P378" s="499">
        <v>100</v>
      </c>
      <c r="Q378" s="499">
        <v>100</v>
      </c>
      <c r="R378" s="499">
        <v>100</v>
      </c>
      <c r="S378" s="499">
        <v>100</v>
      </c>
      <c r="T378" s="499">
        <v>100</v>
      </c>
      <c r="U378" s="499">
        <v>100</v>
      </c>
      <c r="V378" s="499">
        <v>100</v>
      </c>
      <c r="W378" s="499">
        <v>100</v>
      </c>
      <c r="X378" s="3" t="s">
        <v>1103</v>
      </c>
      <c r="Y378" s="3" t="s">
        <v>1315</v>
      </c>
      <c r="Z378" s="3" t="s">
        <v>4579</v>
      </c>
      <c r="AA378" s="120"/>
      <c r="AB378" s="120"/>
      <c r="AC378" s="120"/>
      <c r="AD378" s="120"/>
      <c r="AE378" s="120"/>
      <c r="AF378" s="120"/>
      <c r="AG378" s="120"/>
      <c r="AH378" s="120"/>
      <c r="AI378" s="120"/>
      <c r="AJ378" s="120"/>
      <c r="AK378" s="120"/>
      <c r="AL378" s="120"/>
      <c r="AM378" s="120"/>
      <c r="AN378" s="120"/>
      <c r="AO378" s="120"/>
    </row>
    <row r="379" spans="1:41" s="124" customFormat="1" ht="252">
      <c r="A379" s="121"/>
      <c r="B379" s="69"/>
      <c r="C379" s="891"/>
      <c r="D379" s="891"/>
      <c r="E379" s="891"/>
      <c r="F379" s="891"/>
      <c r="G379" s="891"/>
      <c r="H379" s="891"/>
      <c r="I379" s="891"/>
      <c r="J379" s="892"/>
      <c r="K379" s="892"/>
      <c r="L379" s="892"/>
      <c r="M379" s="892"/>
      <c r="N379" s="30" t="s">
        <v>4359</v>
      </c>
      <c r="O379" s="31" t="s">
        <v>701</v>
      </c>
      <c r="P379" s="499">
        <v>86.69</v>
      </c>
      <c r="Q379" s="499">
        <v>86.98</v>
      </c>
      <c r="R379" s="499">
        <v>87.28</v>
      </c>
      <c r="S379" s="499">
        <v>87.57</v>
      </c>
      <c r="T379" s="499">
        <v>87.87</v>
      </c>
      <c r="U379" s="499">
        <v>88.16</v>
      </c>
      <c r="V379" s="499">
        <v>88.45</v>
      </c>
      <c r="W379" s="499">
        <v>88.45</v>
      </c>
      <c r="X379" s="3" t="s">
        <v>1103</v>
      </c>
      <c r="Y379" s="3" t="s">
        <v>1316</v>
      </c>
      <c r="Z379" s="30" t="s">
        <v>4580</v>
      </c>
      <c r="AA379" s="120"/>
      <c r="AB379" s="120"/>
      <c r="AC379" s="120"/>
      <c r="AD379" s="120"/>
      <c r="AE379" s="120"/>
      <c r="AF379" s="120"/>
      <c r="AG379" s="120"/>
      <c r="AH379" s="120"/>
      <c r="AI379" s="120"/>
      <c r="AJ379" s="120"/>
      <c r="AK379" s="120"/>
      <c r="AL379" s="120"/>
      <c r="AM379" s="120"/>
      <c r="AN379" s="120"/>
      <c r="AO379" s="120"/>
    </row>
    <row r="380" spans="1:41" s="124" customFormat="1" ht="189">
      <c r="A380" s="121"/>
      <c r="B380" s="69"/>
      <c r="C380" s="891"/>
      <c r="D380" s="891"/>
      <c r="E380" s="891"/>
      <c r="F380" s="891"/>
      <c r="G380" s="891"/>
      <c r="H380" s="891"/>
      <c r="I380" s="891"/>
      <c r="J380" s="898">
        <v>1.01</v>
      </c>
      <c r="K380" s="890" t="s">
        <v>773</v>
      </c>
      <c r="L380" s="890">
        <v>16</v>
      </c>
      <c r="M380" s="890" t="s">
        <v>1132</v>
      </c>
      <c r="N380" s="3" t="s">
        <v>4360</v>
      </c>
      <c r="O380" s="31" t="s">
        <v>701</v>
      </c>
      <c r="P380" s="499">
        <v>70</v>
      </c>
      <c r="Q380" s="499">
        <v>71.900000000000006</v>
      </c>
      <c r="R380" s="499">
        <v>73.81</v>
      </c>
      <c r="S380" s="499">
        <v>75.709999999999994</v>
      </c>
      <c r="T380" s="499">
        <v>77.62</v>
      </c>
      <c r="U380" s="499">
        <v>79.52</v>
      </c>
      <c r="V380" s="499">
        <v>81.42</v>
      </c>
      <c r="W380" s="499">
        <v>81.42</v>
      </c>
      <c r="X380" s="3" t="s">
        <v>1103</v>
      </c>
      <c r="Y380" s="3" t="s">
        <v>1317</v>
      </c>
      <c r="Z380" s="3" t="s">
        <v>4581</v>
      </c>
      <c r="AA380" s="120"/>
      <c r="AB380" s="120"/>
      <c r="AC380" s="120"/>
      <c r="AD380" s="120"/>
      <c r="AE380" s="120"/>
      <c r="AF380" s="120"/>
      <c r="AG380" s="120"/>
      <c r="AH380" s="120"/>
      <c r="AI380" s="120"/>
      <c r="AJ380" s="120"/>
      <c r="AK380" s="120"/>
      <c r="AL380" s="120"/>
      <c r="AM380" s="120"/>
      <c r="AN380" s="120"/>
      <c r="AO380" s="120"/>
    </row>
    <row r="381" spans="1:41" s="124" customFormat="1" ht="204.75">
      <c r="A381" s="121"/>
      <c r="B381" s="69"/>
      <c r="C381" s="891"/>
      <c r="D381" s="891"/>
      <c r="E381" s="892"/>
      <c r="F381" s="892"/>
      <c r="G381" s="892"/>
      <c r="H381" s="892"/>
      <c r="I381" s="892"/>
      <c r="J381" s="898">
        <v>1.01</v>
      </c>
      <c r="K381" s="890" t="s">
        <v>773</v>
      </c>
      <c r="L381" s="890">
        <v>16</v>
      </c>
      <c r="M381" s="890" t="s">
        <v>1132</v>
      </c>
      <c r="N381" s="3" t="s">
        <v>4361</v>
      </c>
      <c r="O381" s="31" t="s">
        <v>701</v>
      </c>
      <c r="P381" s="499">
        <v>98.47</v>
      </c>
      <c r="Q381" s="499">
        <v>98.67</v>
      </c>
      <c r="R381" s="499">
        <v>98.97</v>
      </c>
      <c r="S381" s="499">
        <v>99.26</v>
      </c>
      <c r="T381" s="499">
        <v>99.56</v>
      </c>
      <c r="U381" s="499">
        <v>99.85</v>
      </c>
      <c r="V381" s="499">
        <v>100</v>
      </c>
      <c r="W381" s="499">
        <v>100</v>
      </c>
      <c r="X381" s="3" t="s">
        <v>1103</v>
      </c>
      <c r="Y381" s="3" t="s">
        <v>1318</v>
      </c>
      <c r="Z381" s="3" t="s">
        <v>4582</v>
      </c>
      <c r="AA381" s="120"/>
      <c r="AB381" s="120"/>
      <c r="AC381" s="120"/>
      <c r="AD381" s="120"/>
      <c r="AE381" s="120"/>
      <c r="AF381" s="120"/>
      <c r="AG381" s="120"/>
      <c r="AH381" s="120"/>
      <c r="AI381" s="120"/>
      <c r="AJ381" s="120"/>
      <c r="AK381" s="120"/>
      <c r="AL381" s="120"/>
      <c r="AM381" s="120"/>
      <c r="AN381" s="120"/>
      <c r="AO381" s="120"/>
    </row>
    <row r="382" spans="1:41" s="124" customFormat="1" ht="94.5">
      <c r="A382" s="121"/>
      <c r="B382" s="69"/>
      <c r="C382" s="891"/>
      <c r="D382" s="891"/>
      <c r="E382" s="890">
        <v>16</v>
      </c>
      <c r="F382" s="890" t="s">
        <v>1319</v>
      </c>
      <c r="G382" s="890" t="s">
        <v>1320</v>
      </c>
      <c r="H382" s="890"/>
      <c r="I382" s="890" t="s">
        <v>4974</v>
      </c>
      <c r="J382" s="3"/>
      <c r="K382" s="3"/>
      <c r="L382" s="3"/>
      <c r="M382" s="3"/>
      <c r="N382" s="3"/>
      <c r="O382" s="31"/>
      <c r="P382" s="499"/>
      <c r="Q382" s="499"/>
      <c r="R382" s="499"/>
      <c r="S382" s="499"/>
      <c r="T382" s="499"/>
      <c r="U382" s="499"/>
      <c r="V382" s="499"/>
      <c r="W382" s="499"/>
      <c r="X382" s="3"/>
      <c r="Y382" s="3"/>
      <c r="Z382" s="3"/>
      <c r="AA382" s="120"/>
      <c r="AB382" s="120"/>
      <c r="AC382" s="120"/>
      <c r="AD382" s="120"/>
      <c r="AE382" s="120"/>
      <c r="AF382" s="120"/>
      <c r="AG382" s="120"/>
      <c r="AH382" s="120"/>
      <c r="AI382" s="120"/>
      <c r="AJ382" s="120"/>
      <c r="AK382" s="120"/>
      <c r="AL382" s="120"/>
      <c r="AM382" s="120"/>
      <c r="AN382" s="120"/>
      <c r="AO382" s="120"/>
    </row>
    <row r="383" spans="1:41" s="121" customFormat="1" ht="78.75">
      <c r="B383" s="69"/>
      <c r="C383" s="891"/>
      <c r="D383" s="891"/>
      <c r="E383" s="891"/>
      <c r="F383" s="891"/>
      <c r="G383" s="891"/>
      <c r="H383" s="891"/>
      <c r="I383" s="891"/>
      <c r="J383" s="898">
        <v>1.01</v>
      </c>
      <c r="K383" s="890" t="s">
        <v>773</v>
      </c>
      <c r="L383" s="890">
        <v>17</v>
      </c>
      <c r="M383" s="890" t="s">
        <v>1233</v>
      </c>
      <c r="N383" s="3" t="s">
        <v>1321</v>
      </c>
      <c r="O383" s="31" t="s">
        <v>701</v>
      </c>
      <c r="P383" s="499">
        <v>95.3125</v>
      </c>
      <c r="Q383" s="499">
        <v>96.59</v>
      </c>
      <c r="R383" s="499">
        <v>97.37</v>
      </c>
      <c r="S383" s="499">
        <v>98.15</v>
      </c>
      <c r="T383" s="499">
        <v>98.93</v>
      </c>
      <c r="U383" s="499">
        <v>99.71</v>
      </c>
      <c r="V383" s="499">
        <v>100</v>
      </c>
      <c r="W383" s="499">
        <v>100</v>
      </c>
      <c r="X383" s="3" t="s">
        <v>1103</v>
      </c>
      <c r="Y383" s="3" t="s">
        <v>1322</v>
      </c>
      <c r="Z383" s="3"/>
      <c r="AA383" s="120"/>
      <c r="AB383" s="120"/>
      <c r="AC383" s="120"/>
      <c r="AD383" s="120"/>
      <c r="AE383" s="120"/>
      <c r="AF383" s="120"/>
      <c r="AG383" s="120"/>
      <c r="AH383" s="120"/>
      <c r="AI383" s="120"/>
      <c r="AJ383" s="120"/>
      <c r="AK383" s="120"/>
      <c r="AL383" s="120"/>
      <c r="AM383" s="120"/>
      <c r="AN383" s="120"/>
      <c r="AO383" s="120"/>
    </row>
    <row r="384" spans="1:41" s="121" customFormat="1" ht="78.75">
      <c r="B384" s="69"/>
      <c r="C384" s="891"/>
      <c r="D384" s="891"/>
      <c r="E384" s="891"/>
      <c r="F384" s="891"/>
      <c r="G384" s="891"/>
      <c r="H384" s="891"/>
      <c r="I384" s="891"/>
      <c r="J384" s="891"/>
      <c r="K384" s="891"/>
      <c r="L384" s="891"/>
      <c r="M384" s="891"/>
      <c r="N384" s="3" t="s">
        <v>1323</v>
      </c>
      <c r="O384" s="31" t="s">
        <v>701</v>
      </c>
      <c r="P384" s="499">
        <v>98.107255520504737</v>
      </c>
      <c r="Q384" s="499">
        <v>98.75</v>
      </c>
      <c r="R384" s="499">
        <v>99.39</v>
      </c>
      <c r="S384" s="499">
        <v>100</v>
      </c>
      <c r="T384" s="499">
        <v>99.39</v>
      </c>
      <c r="U384" s="499">
        <v>99.39</v>
      </c>
      <c r="V384" s="499">
        <v>99.39</v>
      </c>
      <c r="W384" s="499">
        <v>99.39</v>
      </c>
      <c r="X384" s="3" t="s">
        <v>1103</v>
      </c>
      <c r="Y384" s="3" t="s">
        <v>1324</v>
      </c>
      <c r="Z384" s="3"/>
      <c r="AA384" s="120"/>
      <c r="AB384" s="120"/>
      <c r="AC384" s="120"/>
      <c r="AD384" s="120"/>
      <c r="AE384" s="120"/>
      <c r="AF384" s="120"/>
      <c r="AG384" s="120"/>
      <c r="AH384" s="120"/>
      <c r="AI384" s="120"/>
      <c r="AJ384" s="120"/>
      <c r="AK384" s="120"/>
      <c r="AL384" s="120"/>
      <c r="AM384" s="120"/>
      <c r="AN384" s="120"/>
      <c r="AO384" s="120"/>
    </row>
    <row r="385" spans="2:41" s="121" customFormat="1" ht="110.25">
      <c r="B385" s="69"/>
      <c r="C385" s="891"/>
      <c r="D385" s="891"/>
      <c r="E385" s="891"/>
      <c r="F385" s="891"/>
      <c r="G385" s="891"/>
      <c r="H385" s="891"/>
      <c r="I385" s="891"/>
      <c r="J385" s="891"/>
      <c r="K385" s="891"/>
      <c r="L385" s="891"/>
      <c r="M385" s="891"/>
      <c r="N385" s="3" t="s">
        <v>1325</v>
      </c>
      <c r="O385" s="31" t="s">
        <v>701</v>
      </c>
      <c r="P385" s="499">
        <v>80</v>
      </c>
      <c r="Q385" s="499">
        <v>74.069999999999993</v>
      </c>
      <c r="R385" s="499">
        <v>81.47</v>
      </c>
      <c r="S385" s="499">
        <v>8.8699999999999992</v>
      </c>
      <c r="T385" s="499">
        <v>96.27</v>
      </c>
      <c r="U385" s="499">
        <v>96.27</v>
      </c>
      <c r="V385" s="499">
        <v>96.27</v>
      </c>
      <c r="W385" s="499">
        <v>96.27</v>
      </c>
      <c r="X385" s="3" t="s">
        <v>1103</v>
      </c>
      <c r="Y385" s="3" t="s">
        <v>1326</v>
      </c>
      <c r="Z385" s="3"/>
      <c r="AA385" s="120"/>
      <c r="AB385" s="120"/>
      <c r="AC385" s="120"/>
      <c r="AD385" s="120"/>
      <c r="AE385" s="120"/>
      <c r="AF385" s="120"/>
      <c r="AG385" s="120"/>
      <c r="AH385" s="120"/>
      <c r="AI385" s="120"/>
      <c r="AJ385" s="120"/>
      <c r="AK385" s="120"/>
      <c r="AL385" s="120"/>
      <c r="AM385" s="120"/>
      <c r="AN385" s="120"/>
      <c r="AO385" s="120"/>
    </row>
    <row r="386" spans="2:41" s="121" customFormat="1" ht="94.5">
      <c r="B386" s="891"/>
      <c r="C386" s="891"/>
      <c r="D386" s="891"/>
      <c r="E386" s="892"/>
      <c r="F386" s="892"/>
      <c r="G386" s="892"/>
      <c r="H386" s="892"/>
      <c r="I386" s="892"/>
      <c r="J386" s="892"/>
      <c r="K386" s="892"/>
      <c r="L386" s="892"/>
      <c r="M386" s="892"/>
      <c r="N386" s="3" t="s">
        <v>1327</v>
      </c>
      <c r="O386" s="31" t="s">
        <v>701</v>
      </c>
      <c r="P386" s="499">
        <v>80</v>
      </c>
      <c r="Q386" s="499">
        <v>81.819999999999993</v>
      </c>
      <c r="R386" s="499">
        <v>86.37</v>
      </c>
      <c r="S386" s="499">
        <v>90.92</v>
      </c>
      <c r="T386" s="499">
        <v>95.47</v>
      </c>
      <c r="U386" s="499">
        <v>95.47</v>
      </c>
      <c r="V386" s="499">
        <v>95.47</v>
      </c>
      <c r="W386" s="499">
        <v>95.47</v>
      </c>
      <c r="X386" s="3" t="s">
        <v>1103</v>
      </c>
      <c r="Y386" s="3" t="s">
        <v>1328</v>
      </c>
      <c r="Z386" s="3"/>
      <c r="AA386" s="120"/>
      <c r="AB386" s="120"/>
      <c r="AC386" s="120"/>
      <c r="AD386" s="120"/>
      <c r="AE386" s="120"/>
      <c r="AF386" s="120"/>
      <c r="AG386" s="120"/>
      <c r="AH386" s="120"/>
      <c r="AI386" s="120"/>
      <c r="AJ386" s="120"/>
      <c r="AK386" s="120"/>
      <c r="AL386" s="120"/>
      <c r="AM386" s="120"/>
      <c r="AN386" s="120"/>
      <c r="AO386" s="120"/>
    </row>
    <row r="387" spans="2:41" s="121" customFormat="1" ht="110.25">
      <c r="B387" s="891"/>
      <c r="C387" s="891"/>
      <c r="D387" s="891"/>
      <c r="E387" s="890">
        <v>17</v>
      </c>
      <c r="F387" s="890" t="s">
        <v>1329</v>
      </c>
      <c r="G387" s="890" t="s">
        <v>1330</v>
      </c>
      <c r="H387" s="890"/>
      <c r="I387" s="890" t="s">
        <v>4975</v>
      </c>
      <c r="J387" s="3"/>
      <c r="K387" s="3"/>
      <c r="L387" s="3"/>
      <c r="M387" s="3"/>
      <c r="N387" s="3"/>
      <c r="O387" s="31"/>
      <c r="P387" s="499"/>
      <c r="Q387" s="499"/>
      <c r="R387" s="499"/>
      <c r="S387" s="499"/>
      <c r="T387" s="499"/>
      <c r="U387" s="499"/>
      <c r="V387" s="499"/>
      <c r="W387" s="499"/>
      <c r="X387" s="3"/>
      <c r="Y387" s="3"/>
      <c r="Z387" s="3"/>
      <c r="AA387" s="120"/>
      <c r="AB387" s="120"/>
      <c r="AC387" s="120"/>
      <c r="AD387" s="120"/>
      <c r="AE387" s="120"/>
      <c r="AF387" s="120"/>
      <c r="AG387" s="120"/>
      <c r="AH387" s="120"/>
      <c r="AI387" s="120"/>
      <c r="AJ387" s="120"/>
      <c r="AK387" s="120"/>
      <c r="AL387" s="120"/>
      <c r="AM387" s="120"/>
      <c r="AN387" s="120"/>
      <c r="AO387" s="120"/>
    </row>
    <row r="388" spans="2:41" s="121" customFormat="1" ht="126">
      <c r="B388" s="891"/>
      <c r="C388" s="891"/>
      <c r="D388" s="891"/>
      <c r="E388" s="891"/>
      <c r="F388" s="891"/>
      <c r="G388" s="891"/>
      <c r="H388" s="891"/>
      <c r="I388" s="891"/>
      <c r="J388" s="898">
        <v>1.01</v>
      </c>
      <c r="K388" s="890" t="s">
        <v>773</v>
      </c>
      <c r="L388" s="890">
        <v>18</v>
      </c>
      <c r="M388" s="890" t="s">
        <v>1238</v>
      </c>
      <c r="N388" s="3" t="s">
        <v>1331</v>
      </c>
      <c r="O388" s="31" t="s">
        <v>701</v>
      </c>
      <c r="P388" s="499" t="s">
        <v>4290</v>
      </c>
      <c r="Q388" s="499" t="s">
        <v>4291</v>
      </c>
      <c r="R388" s="499" t="s">
        <v>4292</v>
      </c>
      <c r="S388" s="499" t="s">
        <v>4293</v>
      </c>
      <c r="T388" s="499" t="s">
        <v>4294</v>
      </c>
      <c r="U388" s="499" t="s">
        <v>4295</v>
      </c>
      <c r="V388" s="499" t="s">
        <v>4296</v>
      </c>
      <c r="W388" s="499" t="s">
        <v>4296</v>
      </c>
      <c r="X388" s="3" t="s">
        <v>1103</v>
      </c>
      <c r="Y388" s="3" t="s">
        <v>1332</v>
      </c>
      <c r="Z388" s="3"/>
      <c r="AA388" s="120"/>
      <c r="AB388" s="120"/>
      <c r="AC388" s="120"/>
      <c r="AD388" s="120"/>
      <c r="AE388" s="120"/>
      <c r="AF388" s="120"/>
      <c r="AG388" s="120"/>
      <c r="AH388" s="120"/>
      <c r="AI388" s="120"/>
      <c r="AJ388" s="120"/>
      <c r="AK388" s="120"/>
      <c r="AL388" s="120"/>
      <c r="AM388" s="120"/>
      <c r="AN388" s="120"/>
      <c r="AO388" s="120"/>
    </row>
    <row r="389" spans="2:41" s="121" customFormat="1" ht="110.25">
      <c r="B389" s="892"/>
      <c r="C389" s="892"/>
      <c r="D389" s="892"/>
      <c r="E389" s="892"/>
      <c r="F389" s="892"/>
      <c r="G389" s="892"/>
      <c r="H389" s="892"/>
      <c r="I389" s="892"/>
      <c r="J389" s="892"/>
      <c r="K389" s="892"/>
      <c r="L389" s="892"/>
      <c r="M389" s="892"/>
      <c r="N389" s="3" t="s">
        <v>1333</v>
      </c>
      <c r="O389" s="31" t="s">
        <v>701</v>
      </c>
      <c r="P389" s="499" t="s">
        <v>4297</v>
      </c>
      <c r="Q389" s="499" t="s">
        <v>4298</v>
      </c>
      <c r="R389" s="499" t="s">
        <v>4299</v>
      </c>
      <c r="S389" s="499" t="s">
        <v>4300</v>
      </c>
      <c r="T389" s="499" t="s">
        <v>4301</v>
      </c>
      <c r="U389" s="499" t="s">
        <v>4302</v>
      </c>
      <c r="V389" s="499" t="s">
        <v>4303</v>
      </c>
      <c r="W389" s="499" t="s">
        <v>4303</v>
      </c>
      <c r="X389" s="3" t="s">
        <v>1103</v>
      </c>
      <c r="Y389" s="3" t="s">
        <v>1334</v>
      </c>
      <c r="Z389" s="3"/>
      <c r="AA389" s="120"/>
      <c r="AB389" s="120"/>
      <c r="AC389" s="120"/>
      <c r="AD389" s="120"/>
      <c r="AE389" s="120"/>
      <c r="AF389" s="120"/>
      <c r="AG389" s="120"/>
      <c r="AH389" s="120"/>
      <c r="AI389" s="120"/>
      <c r="AJ389" s="120"/>
      <c r="AK389" s="120"/>
      <c r="AL389" s="120"/>
      <c r="AM389" s="120"/>
      <c r="AN389" s="120"/>
      <c r="AO389" s="120"/>
    </row>
    <row r="390" spans="2:41">
      <c r="B390" s="71" t="s">
        <v>699</v>
      </c>
    </row>
    <row r="391" spans="2:41" ht="126">
      <c r="B391" s="37" t="s">
        <v>22</v>
      </c>
      <c r="C391" s="890">
        <v>1</v>
      </c>
      <c r="D391" s="890" t="s">
        <v>1335</v>
      </c>
      <c r="E391" s="890">
        <v>1</v>
      </c>
      <c r="F391" s="890" t="s">
        <v>1336</v>
      </c>
      <c r="G391" s="890" t="s">
        <v>1337</v>
      </c>
      <c r="H391" s="890" t="s">
        <v>1338</v>
      </c>
      <c r="I391" s="890" t="s">
        <v>4976</v>
      </c>
      <c r="J391" s="3"/>
      <c r="K391" s="3"/>
      <c r="L391" s="3"/>
      <c r="M391" s="3"/>
      <c r="N391" s="3"/>
      <c r="O391" s="31"/>
      <c r="P391" s="31"/>
      <c r="Q391" s="449"/>
      <c r="R391" s="31"/>
      <c r="S391" s="31"/>
      <c r="T391" s="31"/>
      <c r="U391" s="31"/>
      <c r="V391" s="31"/>
      <c r="W391" s="3"/>
      <c r="X391" s="3"/>
      <c r="Y391" s="3"/>
      <c r="Z391" s="3"/>
    </row>
    <row r="392" spans="2:41" ht="94.5">
      <c r="B392" s="69"/>
      <c r="C392" s="891"/>
      <c r="D392" s="891"/>
      <c r="E392" s="891"/>
      <c r="F392" s="891"/>
      <c r="G392" s="891"/>
      <c r="H392" s="891"/>
      <c r="I392" s="891"/>
      <c r="J392" s="898">
        <v>1.02</v>
      </c>
      <c r="K392" s="890" t="s">
        <v>773</v>
      </c>
      <c r="L392" s="890">
        <v>32</v>
      </c>
      <c r="M392" s="682" t="s">
        <v>207</v>
      </c>
      <c r="N392" s="3" t="s">
        <v>1339</v>
      </c>
      <c r="O392" s="31" t="s">
        <v>701</v>
      </c>
      <c r="P392" s="683" t="s">
        <v>1340</v>
      </c>
      <c r="Q392" s="31">
        <v>95</v>
      </c>
      <c r="R392" s="684">
        <v>95</v>
      </c>
      <c r="S392" s="684">
        <v>95</v>
      </c>
      <c r="T392" s="684">
        <v>95</v>
      </c>
      <c r="U392" s="684">
        <v>95</v>
      </c>
      <c r="V392" s="684">
        <v>95</v>
      </c>
      <c r="W392" s="684">
        <v>95</v>
      </c>
      <c r="X392" s="3" t="s">
        <v>1341</v>
      </c>
      <c r="Y392" s="3" t="s">
        <v>1342</v>
      </c>
      <c r="Z392" s="3" t="s">
        <v>1343</v>
      </c>
    </row>
    <row r="393" spans="2:41" ht="94.5">
      <c r="B393" s="69"/>
      <c r="C393" s="891"/>
      <c r="D393" s="891"/>
      <c r="E393" s="891"/>
      <c r="F393" s="891"/>
      <c r="G393" s="891"/>
      <c r="H393" s="891"/>
      <c r="I393" s="891"/>
      <c r="J393" s="891"/>
      <c r="K393" s="891"/>
      <c r="L393" s="891"/>
      <c r="M393" s="891"/>
      <c r="N393" s="3" t="s">
        <v>1344</v>
      </c>
      <c r="O393" s="31" t="s">
        <v>701</v>
      </c>
      <c r="P393" s="685" t="s">
        <v>1345</v>
      </c>
      <c r="Q393" s="32">
        <v>95</v>
      </c>
      <c r="R393" s="686">
        <v>95</v>
      </c>
      <c r="S393" s="686">
        <v>95</v>
      </c>
      <c r="T393" s="686">
        <v>95</v>
      </c>
      <c r="U393" s="686">
        <v>95</v>
      </c>
      <c r="V393" s="686">
        <v>95</v>
      </c>
      <c r="W393" s="686">
        <v>95</v>
      </c>
      <c r="X393" s="3" t="s">
        <v>1341</v>
      </c>
      <c r="Y393" s="3" t="s">
        <v>1346</v>
      </c>
      <c r="Z393" s="3"/>
    </row>
    <row r="394" spans="2:41" ht="94.5">
      <c r="B394" s="69"/>
      <c r="C394" s="891"/>
      <c r="D394" s="891"/>
      <c r="E394" s="891"/>
      <c r="F394" s="891"/>
      <c r="G394" s="891"/>
      <c r="H394" s="891"/>
      <c r="I394" s="891"/>
      <c r="J394" s="891"/>
      <c r="K394" s="891"/>
      <c r="L394" s="891"/>
      <c r="M394" s="891"/>
      <c r="N394" s="3" t="s">
        <v>1347</v>
      </c>
      <c r="O394" s="31" t="s">
        <v>701</v>
      </c>
      <c r="P394" s="687" t="s">
        <v>1348</v>
      </c>
      <c r="Q394" s="31">
        <v>96</v>
      </c>
      <c r="R394" s="686">
        <v>87</v>
      </c>
      <c r="S394" s="686">
        <v>87</v>
      </c>
      <c r="T394" s="686">
        <v>90</v>
      </c>
      <c r="U394" s="686">
        <v>90</v>
      </c>
      <c r="V394" s="686">
        <v>90</v>
      </c>
      <c r="W394" s="686">
        <v>90</v>
      </c>
      <c r="X394" s="3" t="s">
        <v>1341</v>
      </c>
      <c r="Y394" s="688" t="s">
        <v>1349</v>
      </c>
      <c r="Z394" s="3"/>
    </row>
    <row r="395" spans="2:41" ht="94.5">
      <c r="B395" s="69"/>
      <c r="C395" s="891"/>
      <c r="D395" s="891"/>
      <c r="E395" s="891"/>
      <c r="F395" s="891"/>
      <c r="G395" s="891"/>
      <c r="H395" s="891"/>
      <c r="I395" s="891"/>
      <c r="J395" s="891"/>
      <c r="K395" s="891"/>
      <c r="L395" s="891"/>
      <c r="M395" s="891"/>
      <c r="N395" s="3" t="s">
        <v>1350</v>
      </c>
      <c r="O395" s="31" t="s">
        <v>701</v>
      </c>
      <c r="P395" s="31">
        <v>94.56</v>
      </c>
      <c r="Q395" s="31">
        <v>95</v>
      </c>
      <c r="R395" s="33">
        <v>95</v>
      </c>
      <c r="S395" s="33">
        <v>95</v>
      </c>
      <c r="T395" s="33">
        <v>95</v>
      </c>
      <c r="U395" s="33">
        <v>95</v>
      </c>
      <c r="V395" s="33">
        <v>95</v>
      </c>
      <c r="W395" s="33">
        <v>95</v>
      </c>
      <c r="X395" s="3" t="s">
        <v>1341</v>
      </c>
      <c r="Y395" s="3" t="s">
        <v>1351</v>
      </c>
      <c r="Z395" s="3"/>
    </row>
    <row r="396" spans="2:41" ht="157.5">
      <c r="B396" s="69"/>
      <c r="C396" s="891"/>
      <c r="D396" s="891"/>
      <c r="E396" s="891"/>
      <c r="F396" s="891"/>
      <c r="G396" s="891"/>
      <c r="H396" s="891"/>
      <c r="I396" s="891"/>
      <c r="J396" s="892"/>
      <c r="K396" s="892"/>
      <c r="L396" s="892"/>
      <c r="M396" s="892"/>
      <c r="N396" s="3" t="s">
        <v>1352</v>
      </c>
      <c r="O396" s="31" t="s">
        <v>1353</v>
      </c>
      <c r="P396" s="31">
        <v>88.92</v>
      </c>
      <c r="Q396" s="31">
        <v>102</v>
      </c>
      <c r="R396" s="34">
        <v>102</v>
      </c>
      <c r="S396" s="34">
        <v>101</v>
      </c>
      <c r="T396" s="34">
        <v>101</v>
      </c>
      <c r="U396" s="34">
        <v>100</v>
      </c>
      <c r="V396" s="34">
        <v>100</v>
      </c>
      <c r="W396" s="34">
        <v>100</v>
      </c>
      <c r="X396" s="689" t="s">
        <v>1341</v>
      </c>
      <c r="Y396" s="3" t="s">
        <v>1354</v>
      </c>
      <c r="Z396" s="3"/>
    </row>
    <row r="397" spans="2:41" ht="94.5">
      <c r="B397" s="69"/>
      <c r="C397" s="891"/>
      <c r="D397" s="891"/>
      <c r="E397" s="891"/>
      <c r="F397" s="891"/>
      <c r="G397" s="891"/>
      <c r="H397" s="891"/>
      <c r="I397" s="891"/>
      <c r="J397" s="898"/>
      <c r="K397" s="890"/>
      <c r="L397" s="890"/>
      <c r="M397" s="682"/>
      <c r="N397" s="3" t="s">
        <v>1355</v>
      </c>
      <c r="O397" s="31" t="s">
        <v>701</v>
      </c>
      <c r="P397" s="690" t="s">
        <v>1356</v>
      </c>
      <c r="Q397" s="31">
        <v>90</v>
      </c>
      <c r="R397" s="686">
        <v>92.5</v>
      </c>
      <c r="S397" s="686">
        <v>95</v>
      </c>
      <c r="T397" s="686">
        <v>97.5</v>
      </c>
      <c r="U397" s="686">
        <v>98</v>
      </c>
      <c r="V397" s="686">
        <v>99</v>
      </c>
      <c r="W397" s="691">
        <v>99</v>
      </c>
      <c r="X397" s="689" t="s">
        <v>1341</v>
      </c>
      <c r="Y397" s="3" t="s">
        <v>1357</v>
      </c>
      <c r="Z397" s="3"/>
    </row>
    <row r="398" spans="2:41" ht="204.75">
      <c r="B398" s="69"/>
      <c r="C398" s="891"/>
      <c r="D398" s="891"/>
      <c r="E398" s="891"/>
      <c r="F398" s="891"/>
      <c r="G398" s="891"/>
      <c r="H398" s="891"/>
      <c r="I398" s="891"/>
      <c r="J398" s="891"/>
      <c r="K398" s="891"/>
      <c r="L398" s="891"/>
      <c r="M398" s="891"/>
      <c r="N398" s="3" t="s">
        <v>1358</v>
      </c>
      <c r="O398" s="31" t="s">
        <v>701</v>
      </c>
      <c r="P398" s="692" t="s">
        <v>1359</v>
      </c>
      <c r="Q398" s="905">
        <v>96</v>
      </c>
      <c r="R398" s="472">
        <v>99</v>
      </c>
      <c r="S398" s="472">
        <v>99</v>
      </c>
      <c r="T398" s="472">
        <v>99</v>
      </c>
      <c r="U398" s="472">
        <v>99</v>
      </c>
      <c r="V398" s="472">
        <v>99</v>
      </c>
      <c r="W398" s="472">
        <v>99</v>
      </c>
      <c r="X398" s="3" t="s">
        <v>1341</v>
      </c>
      <c r="Y398" s="3" t="s">
        <v>1360</v>
      </c>
      <c r="Z398" s="3"/>
    </row>
    <row r="399" spans="2:41" ht="141.75">
      <c r="B399" s="69"/>
      <c r="C399" s="891"/>
      <c r="D399" s="891"/>
      <c r="E399" s="891"/>
      <c r="F399" s="891"/>
      <c r="G399" s="891"/>
      <c r="H399" s="891"/>
      <c r="I399" s="891"/>
      <c r="J399" s="891"/>
      <c r="K399" s="891"/>
      <c r="L399" s="891"/>
      <c r="M399" s="891"/>
      <c r="N399" s="3" t="s">
        <v>1361</v>
      </c>
      <c r="O399" s="31" t="s">
        <v>701</v>
      </c>
      <c r="P399" s="685" t="s">
        <v>1362</v>
      </c>
      <c r="Q399" s="31">
        <v>90</v>
      </c>
      <c r="R399" s="31">
        <v>90</v>
      </c>
      <c r="S399" s="31">
        <v>90</v>
      </c>
      <c r="T399" s="31">
        <v>90</v>
      </c>
      <c r="U399" s="31">
        <v>90</v>
      </c>
      <c r="V399" s="31">
        <v>90</v>
      </c>
      <c r="W399" s="31">
        <v>90</v>
      </c>
      <c r="X399" s="3" t="s">
        <v>1341</v>
      </c>
      <c r="Y399" s="3" t="s">
        <v>1363</v>
      </c>
      <c r="Z399" s="3"/>
    </row>
    <row r="400" spans="2:41" ht="110.25">
      <c r="B400" s="69"/>
      <c r="C400" s="891"/>
      <c r="D400" s="891"/>
      <c r="E400" s="891"/>
      <c r="F400" s="891"/>
      <c r="G400" s="891"/>
      <c r="H400" s="891"/>
      <c r="I400" s="891"/>
      <c r="J400" s="891"/>
      <c r="K400" s="891"/>
      <c r="L400" s="891"/>
      <c r="M400" s="891"/>
      <c r="N400" s="3" t="s">
        <v>1364</v>
      </c>
      <c r="O400" s="31" t="s">
        <v>701</v>
      </c>
      <c r="P400" s="687" t="s">
        <v>1348</v>
      </c>
      <c r="Q400" s="34">
        <v>100</v>
      </c>
      <c r="R400" s="686">
        <v>65</v>
      </c>
      <c r="S400" s="686">
        <v>65</v>
      </c>
      <c r="T400" s="686">
        <v>65</v>
      </c>
      <c r="U400" s="686">
        <v>65</v>
      </c>
      <c r="V400" s="686">
        <v>65</v>
      </c>
      <c r="W400" s="686">
        <v>65</v>
      </c>
      <c r="X400" s="3" t="s">
        <v>1341</v>
      </c>
      <c r="Y400" s="3" t="s">
        <v>1365</v>
      </c>
      <c r="Z400" s="3"/>
    </row>
    <row r="401" spans="2:26" ht="47.25">
      <c r="B401" s="69"/>
      <c r="C401" s="891"/>
      <c r="D401" s="891"/>
      <c r="E401" s="891"/>
      <c r="F401" s="891"/>
      <c r="G401" s="891"/>
      <c r="H401" s="891"/>
      <c r="I401" s="891"/>
      <c r="J401" s="891"/>
      <c r="K401" s="891"/>
      <c r="L401" s="891"/>
      <c r="M401" s="891"/>
      <c r="N401" s="3" t="s">
        <v>1366</v>
      </c>
      <c r="O401" s="31" t="s">
        <v>1367</v>
      </c>
      <c r="P401" s="693">
        <v>0.98699999999999999</v>
      </c>
      <c r="Q401" s="694">
        <v>0.98</v>
      </c>
      <c r="R401" s="35" t="s">
        <v>1368</v>
      </c>
      <c r="S401" s="35" t="s">
        <v>1369</v>
      </c>
      <c r="T401" s="35" t="s">
        <v>1370</v>
      </c>
      <c r="U401" s="35" t="s">
        <v>1371</v>
      </c>
      <c r="V401" s="35" t="s">
        <v>1372</v>
      </c>
      <c r="W401" s="35" t="s">
        <v>1372</v>
      </c>
      <c r="X401" s="3" t="s">
        <v>1341</v>
      </c>
      <c r="Y401" s="3" t="s">
        <v>1373</v>
      </c>
      <c r="Z401" s="3"/>
    </row>
    <row r="402" spans="2:26" ht="141.75">
      <c r="B402" s="69"/>
      <c r="C402" s="891"/>
      <c r="D402" s="891"/>
      <c r="E402" s="891"/>
      <c r="F402" s="891"/>
      <c r="G402" s="891"/>
      <c r="H402" s="891"/>
      <c r="I402" s="891"/>
      <c r="J402" s="891"/>
      <c r="K402" s="891"/>
      <c r="L402" s="891"/>
      <c r="M402" s="891"/>
      <c r="N402" s="3" t="s">
        <v>1374</v>
      </c>
      <c r="O402" s="31" t="s">
        <v>1367</v>
      </c>
      <c r="P402" s="31">
        <v>6</v>
      </c>
      <c r="Q402" s="31">
        <v>9</v>
      </c>
      <c r="R402" s="34">
        <v>8.5</v>
      </c>
      <c r="S402" s="34">
        <v>8.5</v>
      </c>
      <c r="T402" s="34">
        <v>7.3</v>
      </c>
      <c r="U402" s="34">
        <v>7</v>
      </c>
      <c r="V402" s="34">
        <v>6.8</v>
      </c>
      <c r="W402" s="695">
        <v>6.8</v>
      </c>
      <c r="X402" s="3" t="s">
        <v>1341</v>
      </c>
      <c r="Y402" s="3" t="s">
        <v>1375</v>
      </c>
      <c r="Z402" s="3"/>
    </row>
    <row r="403" spans="2:26" ht="141.75">
      <c r="B403" s="69"/>
      <c r="C403" s="891"/>
      <c r="D403" s="891"/>
      <c r="E403" s="891"/>
      <c r="F403" s="891"/>
      <c r="G403" s="891"/>
      <c r="H403" s="891"/>
      <c r="I403" s="891"/>
      <c r="J403" s="891"/>
      <c r="K403" s="891"/>
      <c r="L403" s="891"/>
      <c r="M403" s="891"/>
      <c r="N403" s="3" t="s">
        <v>1376</v>
      </c>
      <c r="O403" s="31" t="s">
        <v>1367</v>
      </c>
      <c r="P403" s="31">
        <v>12.21</v>
      </c>
      <c r="Q403" s="31">
        <v>14.2</v>
      </c>
      <c r="R403" s="34">
        <v>14.11</v>
      </c>
      <c r="S403" s="34">
        <v>14</v>
      </c>
      <c r="T403" s="34">
        <v>13</v>
      </c>
      <c r="U403" s="34">
        <v>12</v>
      </c>
      <c r="V403" s="34">
        <v>11</v>
      </c>
      <c r="W403" s="3">
        <v>11</v>
      </c>
      <c r="X403" s="3" t="s">
        <v>1341</v>
      </c>
      <c r="Y403" s="3" t="s">
        <v>1377</v>
      </c>
      <c r="Z403" s="3"/>
    </row>
    <row r="404" spans="2:26" ht="141.75">
      <c r="B404" s="69"/>
      <c r="C404" s="891"/>
      <c r="D404" s="891"/>
      <c r="E404" s="891"/>
      <c r="F404" s="891"/>
      <c r="G404" s="891"/>
      <c r="H404" s="891"/>
      <c r="I404" s="891"/>
      <c r="J404" s="891"/>
      <c r="K404" s="891"/>
      <c r="L404" s="891"/>
      <c r="M404" s="891"/>
      <c r="N404" s="3" t="s">
        <v>1378</v>
      </c>
      <c r="O404" s="31" t="s">
        <v>1367</v>
      </c>
      <c r="P404" s="31">
        <v>13</v>
      </c>
      <c r="Q404" s="31">
        <v>15.5</v>
      </c>
      <c r="R404" s="34">
        <v>15.2</v>
      </c>
      <c r="S404" s="34">
        <v>14.7</v>
      </c>
      <c r="T404" s="34">
        <v>14.5</v>
      </c>
      <c r="U404" s="34">
        <v>14</v>
      </c>
      <c r="V404" s="34">
        <v>13.8</v>
      </c>
      <c r="W404" s="3">
        <v>13.8</v>
      </c>
      <c r="X404" s="3" t="s">
        <v>1341</v>
      </c>
      <c r="Y404" s="3" t="s">
        <v>1379</v>
      </c>
      <c r="Z404" s="3"/>
    </row>
    <row r="405" spans="2:26" ht="173.25">
      <c r="B405" s="69"/>
      <c r="C405" s="891"/>
      <c r="D405" s="891"/>
      <c r="E405" s="891"/>
      <c r="F405" s="891"/>
      <c r="G405" s="891"/>
      <c r="H405" s="891"/>
      <c r="I405" s="891"/>
      <c r="J405" s="892"/>
      <c r="K405" s="892"/>
      <c r="L405" s="892"/>
      <c r="M405" s="892"/>
      <c r="N405" s="3" t="s">
        <v>1380</v>
      </c>
      <c r="O405" s="31" t="s">
        <v>701</v>
      </c>
      <c r="P405" s="685" t="s">
        <v>1381</v>
      </c>
      <c r="Q405" s="34">
        <v>86</v>
      </c>
      <c r="R405" s="34">
        <v>80</v>
      </c>
      <c r="S405" s="34">
        <v>80</v>
      </c>
      <c r="T405" s="34">
        <v>80</v>
      </c>
      <c r="U405" s="34">
        <v>80</v>
      </c>
      <c r="V405" s="34">
        <v>80</v>
      </c>
      <c r="W405" s="34">
        <v>80</v>
      </c>
      <c r="X405" s="3" t="s">
        <v>1341</v>
      </c>
      <c r="Y405" s="3" t="s">
        <v>1382</v>
      </c>
      <c r="Z405" s="3"/>
    </row>
    <row r="406" spans="2:26" ht="110.25">
      <c r="B406" s="69"/>
      <c r="C406" s="891"/>
      <c r="D406" s="891"/>
      <c r="E406" s="891"/>
      <c r="F406" s="891"/>
      <c r="G406" s="891"/>
      <c r="H406" s="891"/>
      <c r="I406" s="891"/>
      <c r="J406" s="898">
        <v>1.02</v>
      </c>
      <c r="K406" s="890" t="s">
        <v>773</v>
      </c>
      <c r="L406" s="890">
        <v>24</v>
      </c>
      <c r="M406" s="696" t="s">
        <v>148</v>
      </c>
      <c r="N406" s="3" t="s">
        <v>1383</v>
      </c>
      <c r="O406" s="31" t="s">
        <v>701</v>
      </c>
      <c r="P406" s="685" t="s">
        <v>1384</v>
      </c>
      <c r="Q406" s="34">
        <v>100</v>
      </c>
      <c r="R406" s="34">
        <v>100</v>
      </c>
      <c r="S406" s="34">
        <v>100</v>
      </c>
      <c r="T406" s="34">
        <v>100</v>
      </c>
      <c r="U406" s="34">
        <v>100</v>
      </c>
      <c r="V406" s="34">
        <v>100</v>
      </c>
      <c r="W406" s="34">
        <v>100</v>
      </c>
      <c r="X406" s="3" t="s">
        <v>1341</v>
      </c>
      <c r="Y406" s="3" t="s">
        <v>1385</v>
      </c>
      <c r="Z406" s="3"/>
    </row>
    <row r="407" spans="2:26" ht="173.25">
      <c r="B407" s="69"/>
      <c r="C407" s="891"/>
      <c r="D407" s="891"/>
      <c r="E407" s="891"/>
      <c r="F407" s="891"/>
      <c r="G407" s="891"/>
      <c r="H407" s="891"/>
      <c r="I407" s="891"/>
      <c r="J407" s="891"/>
      <c r="K407" s="891"/>
      <c r="L407" s="891"/>
      <c r="M407" s="891"/>
      <c r="N407" s="3" t="s">
        <v>1478</v>
      </c>
      <c r="O407" s="31" t="s">
        <v>701</v>
      </c>
      <c r="P407" s="31">
        <v>130.63999999999999</v>
      </c>
      <c r="Q407" s="31">
        <v>100</v>
      </c>
      <c r="R407" s="31">
        <v>100</v>
      </c>
      <c r="S407" s="31">
        <v>100</v>
      </c>
      <c r="T407" s="31">
        <v>100</v>
      </c>
      <c r="U407" s="31">
        <v>100</v>
      </c>
      <c r="V407" s="31">
        <v>100</v>
      </c>
      <c r="W407" s="31">
        <v>100</v>
      </c>
      <c r="X407" s="3" t="s">
        <v>1474</v>
      </c>
      <c r="Y407" s="3" t="s">
        <v>2058</v>
      </c>
      <c r="Z407" s="3"/>
    </row>
    <row r="408" spans="2:26" ht="126">
      <c r="B408" s="69"/>
      <c r="C408" s="891"/>
      <c r="D408" s="891"/>
      <c r="E408" s="891"/>
      <c r="F408" s="891"/>
      <c r="G408" s="891"/>
      <c r="H408" s="891"/>
      <c r="I408" s="891"/>
      <c r="J408" s="898">
        <v>1.02</v>
      </c>
      <c r="K408" s="890" t="s">
        <v>773</v>
      </c>
      <c r="L408" s="890">
        <v>28</v>
      </c>
      <c r="M408" s="697" t="s">
        <v>1386</v>
      </c>
      <c r="N408" s="3" t="s">
        <v>1387</v>
      </c>
      <c r="O408" s="31" t="s">
        <v>701</v>
      </c>
      <c r="P408" s="687" t="s">
        <v>1348</v>
      </c>
      <c r="Q408" s="34">
        <v>100</v>
      </c>
      <c r="R408" s="34">
        <v>100</v>
      </c>
      <c r="S408" s="34">
        <v>100</v>
      </c>
      <c r="T408" s="34">
        <v>100</v>
      </c>
      <c r="U408" s="34">
        <v>100</v>
      </c>
      <c r="V408" s="34">
        <v>100</v>
      </c>
      <c r="W408" s="34">
        <v>100</v>
      </c>
      <c r="X408" s="3" t="s">
        <v>1341</v>
      </c>
      <c r="Y408" s="3" t="s">
        <v>1388</v>
      </c>
      <c r="Z408" s="3"/>
    </row>
    <row r="409" spans="2:26" ht="252">
      <c r="B409" s="69"/>
      <c r="C409" s="891"/>
      <c r="D409" s="891"/>
      <c r="E409" s="891"/>
      <c r="F409" s="891"/>
      <c r="G409" s="891"/>
      <c r="H409" s="891"/>
      <c r="I409" s="892"/>
      <c r="J409" s="891"/>
      <c r="K409" s="891"/>
      <c r="L409" s="891"/>
      <c r="N409" s="3" t="s">
        <v>1389</v>
      </c>
      <c r="O409" s="31" t="s">
        <v>701</v>
      </c>
      <c r="P409" s="31">
        <v>100</v>
      </c>
      <c r="Q409" s="34">
        <v>100</v>
      </c>
      <c r="R409" s="34">
        <v>100</v>
      </c>
      <c r="S409" s="34">
        <v>100</v>
      </c>
      <c r="T409" s="34">
        <v>100</v>
      </c>
      <c r="U409" s="34">
        <v>100</v>
      </c>
      <c r="V409" s="34">
        <v>100</v>
      </c>
      <c r="W409" s="34">
        <v>100</v>
      </c>
      <c r="X409" s="3" t="s">
        <v>1341</v>
      </c>
      <c r="Y409" s="3" t="s">
        <v>1390</v>
      </c>
      <c r="Z409" s="3" t="s">
        <v>1391</v>
      </c>
    </row>
    <row r="410" spans="2:26" ht="102" customHeight="1">
      <c r="B410" s="69"/>
      <c r="C410" s="890">
        <v>2</v>
      </c>
      <c r="D410" s="890" t="s">
        <v>1392</v>
      </c>
      <c r="E410" s="890">
        <v>2</v>
      </c>
      <c r="F410" s="890" t="s">
        <v>1393</v>
      </c>
      <c r="G410" s="890" t="s">
        <v>1394</v>
      </c>
      <c r="H410" s="890"/>
      <c r="I410" s="890" t="s">
        <v>4977</v>
      </c>
      <c r="J410" s="3"/>
      <c r="K410" s="3"/>
      <c r="L410" s="3"/>
      <c r="M410" s="3"/>
      <c r="N410" s="3"/>
      <c r="O410" s="31"/>
      <c r="P410" s="31"/>
      <c r="Q410" s="31"/>
      <c r="R410" s="31"/>
      <c r="S410" s="31"/>
      <c r="T410" s="31"/>
      <c r="U410" s="31"/>
      <c r="V410" s="31"/>
      <c r="W410" s="3"/>
      <c r="X410" s="3"/>
      <c r="Y410" s="3"/>
      <c r="Z410" s="3"/>
    </row>
    <row r="411" spans="2:26" ht="157.5">
      <c r="B411" s="69"/>
      <c r="C411" s="891"/>
      <c r="D411" s="891"/>
      <c r="E411" s="891"/>
      <c r="F411" s="891"/>
      <c r="G411" s="891"/>
      <c r="H411" s="891"/>
      <c r="I411" s="891"/>
      <c r="J411" s="898">
        <v>1.02</v>
      </c>
      <c r="K411" s="890" t="s">
        <v>773</v>
      </c>
      <c r="L411" s="890">
        <v>22</v>
      </c>
      <c r="M411" s="682" t="s">
        <v>1395</v>
      </c>
      <c r="N411" s="3" t="s">
        <v>1396</v>
      </c>
      <c r="O411" s="31" t="s">
        <v>701</v>
      </c>
      <c r="P411" s="698" t="s">
        <v>1397</v>
      </c>
      <c r="Q411" s="699">
        <v>87</v>
      </c>
      <c r="R411" s="699" t="s">
        <v>1398</v>
      </c>
      <c r="S411" s="699" t="s">
        <v>1398</v>
      </c>
      <c r="T411" s="699" t="s">
        <v>1398</v>
      </c>
      <c r="U411" s="699" t="s">
        <v>1398</v>
      </c>
      <c r="V411" s="699" t="s">
        <v>1398</v>
      </c>
      <c r="W411" s="699" t="s">
        <v>1398</v>
      </c>
      <c r="X411" s="3" t="s">
        <v>1341</v>
      </c>
      <c r="Y411" s="3" t="s">
        <v>1399</v>
      </c>
      <c r="Z411" s="3"/>
    </row>
    <row r="412" spans="2:26" ht="110.25">
      <c r="B412" s="69"/>
      <c r="C412" s="891"/>
      <c r="D412" s="891"/>
      <c r="E412" s="891"/>
      <c r="F412" s="891"/>
      <c r="G412" s="891"/>
      <c r="H412" s="891"/>
      <c r="I412" s="891"/>
      <c r="J412" s="891"/>
      <c r="K412" s="891"/>
      <c r="L412" s="891"/>
      <c r="M412" s="891"/>
      <c r="N412" s="3" t="s">
        <v>1400</v>
      </c>
      <c r="O412" s="31" t="s">
        <v>701</v>
      </c>
      <c r="P412" s="34">
        <v>38.700000000000003</v>
      </c>
      <c r="Q412" s="34">
        <v>70</v>
      </c>
      <c r="R412" s="34">
        <v>70</v>
      </c>
      <c r="S412" s="34">
        <v>70</v>
      </c>
      <c r="T412" s="34">
        <v>70</v>
      </c>
      <c r="U412" s="34">
        <v>70</v>
      </c>
      <c r="V412" s="34">
        <v>70</v>
      </c>
      <c r="W412" s="34">
        <v>70</v>
      </c>
      <c r="X412" s="689" t="s">
        <v>1341</v>
      </c>
      <c r="Y412" s="3" t="s">
        <v>1401</v>
      </c>
      <c r="Z412" s="3" t="s">
        <v>1402</v>
      </c>
    </row>
    <row r="413" spans="2:26" ht="94.5">
      <c r="B413" s="69"/>
      <c r="C413" s="891"/>
      <c r="D413" s="891"/>
      <c r="E413" s="891"/>
      <c r="F413" s="891"/>
      <c r="G413" s="891"/>
      <c r="H413" s="891"/>
      <c r="I413" s="891"/>
      <c r="J413" s="891"/>
      <c r="K413" s="891"/>
      <c r="L413" s="891"/>
      <c r="M413" s="891"/>
      <c r="N413" s="3" t="s">
        <v>1403</v>
      </c>
      <c r="O413" s="31" t="s">
        <v>701</v>
      </c>
      <c r="P413" s="31">
        <v>8.7999999999999995E-2</v>
      </c>
      <c r="Q413" s="693">
        <v>3.8999999999999998E-3</v>
      </c>
      <c r="R413" s="693" t="s">
        <v>1405</v>
      </c>
      <c r="S413" s="693" t="s">
        <v>1404</v>
      </c>
      <c r="T413" s="693" t="s">
        <v>1405</v>
      </c>
      <c r="U413" s="693" t="s">
        <v>1404</v>
      </c>
      <c r="V413" s="693" t="s">
        <v>1405</v>
      </c>
      <c r="W413" s="693" t="s">
        <v>1404</v>
      </c>
      <c r="X413" s="689" t="s">
        <v>1341</v>
      </c>
      <c r="Y413" s="3" t="s">
        <v>1406</v>
      </c>
      <c r="Z413" s="3"/>
    </row>
    <row r="414" spans="2:26" ht="141.75">
      <c r="B414" s="69"/>
      <c r="C414" s="891"/>
      <c r="D414" s="891"/>
      <c r="E414" s="891"/>
      <c r="F414" s="891"/>
      <c r="G414" s="891"/>
      <c r="H414" s="891"/>
      <c r="I414" s="891"/>
      <c r="J414" s="891"/>
      <c r="K414" s="891"/>
      <c r="L414" s="891"/>
      <c r="M414" s="891"/>
      <c r="N414" s="3" t="s">
        <v>1407</v>
      </c>
      <c r="O414" s="31" t="s">
        <v>701</v>
      </c>
      <c r="P414" s="31" t="s">
        <v>2036</v>
      </c>
      <c r="Q414" s="31">
        <v>60</v>
      </c>
      <c r="R414" s="31">
        <v>60</v>
      </c>
      <c r="S414" s="31">
        <v>62.5</v>
      </c>
      <c r="T414" s="31">
        <v>65</v>
      </c>
      <c r="U414" s="31">
        <v>67.5</v>
      </c>
      <c r="V414" s="31">
        <v>70</v>
      </c>
      <c r="W414" s="31">
        <f>V414</f>
        <v>70</v>
      </c>
      <c r="X414" s="689" t="s">
        <v>1341</v>
      </c>
      <c r="Y414" s="3" t="s">
        <v>1408</v>
      </c>
      <c r="Z414" s="3"/>
    </row>
    <row r="415" spans="2:26" ht="110.25">
      <c r="B415" s="69"/>
      <c r="C415" s="891"/>
      <c r="D415" s="891"/>
      <c r="E415" s="891"/>
      <c r="F415" s="891"/>
      <c r="G415" s="891"/>
      <c r="H415" s="891"/>
      <c r="I415" s="891"/>
      <c r="J415" s="891"/>
      <c r="K415" s="891"/>
      <c r="L415" s="891"/>
      <c r="M415" s="891"/>
      <c r="N415" s="3" t="s">
        <v>1409</v>
      </c>
      <c r="O415" s="31" t="s">
        <v>701</v>
      </c>
      <c r="P415" s="700">
        <v>28.5</v>
      </c>
      <c r="Q415" s="700">
        <v>60</v>
      </c>
      <c r="R415" s="700">
        <v>60</v>
      </c>
      <c r="S415" s="701">
        <v>65</v>
      </c>
      <c r="T415" s="701">
        <v>65</v>
      </c>
      <c r="U415" s="701">
        <v>70</v>
      </c>
      <c r="V415" s="701">
        <v>70</v>
      </c>
      <c r="W415" s="701">
        <v>70</v>
      </c>
      <c r="X415" s="689" t="s">
        <v>1341</v>
      </c>
      <c r="Y415" s="3" t="s">
        <v>1410</v>
      </c>
      <c r="Z415" s="3" t="s">
        <v>1411</v>
      </c>
    </row>
    <row r="416" spans="2:26" ht="173.25">
      <c r="B416" s="69"/>
      <c r="C416" s="891"/>
      <c r="D416" s="891"/>
      <c r="E416" s="891"/>
      <c r="F416" s="891"/>
      <c r="G416" s="891"/>
      <c r="H416" s="891"/>
      <c r="I416" s="891"/>
      <c r="J416" s="891"/>
      <c r="K416" s="891"/>
      <c r="L416" s="891"/>
      <c r="M416" s="891"/>
      <c r="N416" s="3" t="s">
        <v>1412</v>
      </c>
      <c r="O416" s="31" t="s">
        <v>701</v>
      </c>
      <c r="P416" s="702">
        <v>62.9</v>
      </c>
      <c r="Q416" s="702">
        <v>90</v>
      </c>
      <c r="R416" s="702">
        <v>90</v>
      </c>
      <c r="S416" s="702">
        <v>90</v>
      </c>
      <c r="T416" s="702">
        <v>90</v>
      </c>
      <c r="U416" s="702">
        <v>90</v>
      </c>
      <c r="V416" s="702">
        <v>90</v>
      </c>
      <c r="W416" s="702">
        <v>90</v>
      </c>
      <c r="X416" s="3" t="s">
        <v>1341</v>
      </c>
      <c r="Y416" s="3" t="s">
        <v>1413</v>
      </c>
      <c r="Z416" s="3" t="s">
        <v>1414</v>
      </c>
    </row>
    <row r="417" spans="2:26" ht="141.75">
      <c r="B417" s="69"/>
      <c r="C417" s="891"/>
      <c r="D417" s="891"/>
      <c r="E417" s="891"/>
      <c r="F417" s="891"/>
      <c r="G417" s="891"/>
      <c r="H417" s="891"/>
      <c r="I417" s="891"/>
      <c r="J417" s="891"/>
      <c r="K417" s="891"/>
      <c r="L417" s="891"/>
      <c r="M417" s="891"/>
      <c r="N417" s="3" t="s">
        <v>1415</v>
      </c>
      <c r="O417" s="31"/>
      <c r="P417" s="693">
        <v>0.79</v>
      </c>
      <c r="Q417" s="693" t="s">
        <v>1416</v>
      </c>
      <c r="R417" s="693" t="s">
        <v>1417</v>
      </c>
      <c r="S417" s="703" t="s">
        <v>1417</v>
      </c>
      <c r="T417" s="703" t="s">
        <v>1417</v>
      </c>
      <c r="U417" s="703" t="s">
        <v>1417</v>
      </c>
      <c r="V417" s="703" t="s">
        <v>1417</v>
      </c>
      <c r="W417" s="704" t="s">
        <v>1417</v>
      </c>
      <c r="X417" s="689" t="s">
        <v>1341</v>
      </c>
      <c r="Y417" s="3" t="s">
        <v>1418</v>
      </c>
      <c r="Z417" s="3"/>
    </row>
    <row r="418" spans="2:26" ht="78.75">
      <c r="B418" s="69"/>
      <c r="C418" s="891"/>
      <c r="D418" s="891"/>
      <c r="E418" s="891"/>
      <c r="F418" s="891"/>
      <c r="G418" s="891"/>
      <c r="H418" s="891"/>
      <c r="I418" s="891"/>
      <c r="J418" s="891"/>
      <c r="K418" s="891"/>
      <c r="L418" s="891"/>
      <c r="M418" s="891"/>
      <c r="N418" s="3" t="s">
        <v>1419</v>
      </c>
      <c r="O418" s="31"/>
      <c r="P418" s="693" t="s">
        <v>1416</v>
      </c>
      <c r="Q418" s="693" t="s">
        <v>1416</v>
      </c>
      <c r="R418" s="693" t="s">
        <v>1416</v>
      </c>
      <c r="S418" s="693" t="s">
        <v>1416</v>
      </c>
      <c r="T418" s="693" t="s">
        <v>1416</v>
      </c>
      <c r="U418" s="693" t="s">
        <v>1416</v>
      </c>
      <c r="V418" s="693" t="s">
        <v>1416</v>
      </c>
      <c r="W418" s="705" t="s">
        <v>1416</v>
      </c>
      <c r="X418" s="689" t="s">
        <v>1341</v>
      </c>
      <c r="Y418" s="3" t="s">
        <v>1420</v>
      </c>
      <c r="Z418" s="3"/>
    </row>
    <row r="419" spans="2:26" ht="78.75">
      <c r="B419" s="69"/>
      <c r="C419" s="891"/>
      <c r="D419" s="891"/>
      <c r="E419" s="891"/>
      <c r="F419" s="891"/>
      <c r="G419" s="891"/>
      <c r="H419" s="891"/>
      <c r="I419" s="891"/>
      <c r="J419" s="891"/>
      <c r="K419" s="891"/>
      <c r="L419" s="891"/>
      <c r="M419" s="891"/>
      <c r="N419" s="3" t="s">
        <v>1421</v>
      </c>
      <c r="O419" s="31" t="s">
        <v>701</v>
      </c>
      <c r="P419" s="693">
        <v>0.56999999999999995</v>
      </c>
      <c r="Q419" s="693" t="s">
        <v>1422</v>
      </c>
      <c r="R419" s="693" t="s">
        <v>1422</v>
      </c>
      <c r="S419" s="693" t="s">
        <v>1422</v>
      </c>
      <c r="T419" s="693" t="s">
        <v>1422</v>
      </c>
      <c r="U419" s="693" t="s">
        <v>1422</v>
      </c>
      <c r="V419" s="693" t="s">
        <v>1422</v>
      </c>
      <c r="W419" s="705" t="s">
        <v>1422</v>
      </c>
      <c r="X419" s="689" t="s">
        <v>1341</v>
      </c>
      <c r="Y419" s="3" t="s">
        <v>1423</v>
      </c>
      <c r="Z419" s="3"/>
    </row>
    <row r="420" spans="2:26" ht="157.5">
      <c r="B420" s="69"/>
      <c r="C420" s="891"/>
      <c r="D420" s="891"/>
      <c r="E420" s="891"/>
      <c r="F420" s="891"/>
      <c r="G420" s="891"/>
      <c r="H420" s="891"/>
      <c r="I420" s="891"/>
      <c r="J420" s="891"/>
      <c r="K420" s="891"/>
      <c r="L420" s="891"/>
      <c r="M420" s="891"/>
      <c r="N420" s="3" t="s">
        <v>1424</v>
      </c>
      <c r="O420" s="31" t="s">
        <v>701</v>
      </c>
      <c r="P420" s="693">
        <v>0</v>
      </c>
      <c r="Q420" s="693" t="s">
        <v>1997</v>
      </c>
      <c r="R420" s="693" t="s">
        <v>1416</v>
      </c>
      <c r="S420" s="693" t="s">
        <v>1416</v>
      </c>
      <c r="T420" s="693" t="s">
        <v>1416</v>
      </c>
      <c r="U420" s="693" t="s">
        <v>1416</v>
      </c>
      <c r="V420" s="693" t="s">
        <v>1416</v>
      </c>
      <c r="W420" s="693" t="s">
        <v>1416</v>
      </c>
      <c r="X420" s="689" t="s">
        <v>1341</v>
      </c>
      <c r="Y420" s="3" t="s">
        <v>1425</v>
      </c>
      <c r="Z420" s="3"/>
    </row>
    <row r="421" spans="2:26" ht="78.75">
      <c r="B421" s="69"/>
      <c r="C421" s="891"/>
      <c r="D421" s="891"/>
      <c r="E421" s="891"/>
      <c r="F421" s="891"/>
      <c r="G421" s="891"/>
      <c r="H421" s="891"/>
      <c r="I421" s="891"/>
      <c r="J421" s="891"/>
      <c r="K421" s="891"/>
      <c r="L421" s="891"/>
      <c r="M421" s="891"/>
      <c r="N421" s="3" t="s">
        <v>1426</v>
      </c>
      <c r="O421" s="31" t="s">
        <v>701</v>
      </c>
      <c r="P421" s="700">
        <v>100</v>
      </c>
      <c r="Q421" s="700">
        <v>100</v>
      </c>
      <c r="R421" s="700">
        <v>100</v>
      </c>
      <c r="S421" s="700">
        <v>100</v>
      </c>
      <c r="T421" s="700">
        <v>100</v>
      </c>
      <c r="U421" s="700">
        <v>100</v>
      </c>
      <c r="V421" s="700">
        <v>100</v>
      </c>
      <c r="W421" s="700">
        <v>100</v>
      </c>
      <c r="X421" s="689" t="s">
        <v>1341</v>
      </c>
      <c r="Y421" s="3" t="s">
        <v>1427</v>
      </c>
      <c r="Z421" s="3"/>
    </row>
    <row r="422" spans="2:26" ht="63">
      <c r="B422" s="69"/>
      <c r="C422" s="891"/>
      <c r="D422" s="891"/>
      <c r="E422" s="891"/>
      <c r="F422" s="891"/>
      <c r="G422" s="891"/>
      <c r="H422" s="891"/>
      <c r="I422" s="891"/>
      <c r="J422" s="891"/>
      <c r="K422" s="891"/>
      <c r="L422" s="891"/>
      <c r="M422" s="891"/>
      <c r="N422" s="3" t="s">
        <v>4654</v>
      </c>
      <c r="O422" s="31" t="s">
        <v>701</v>
      </c>
      <c r="P422" s="34">
        <v>99.65</v>
      </c>
      <c r="Q422" s="700">
        <v>100</v>
      </c>
      <c r="R422" s="700">
        <v>100</v>
      </c>
      <c r="S422" s="700">
        <v>100</v>
      </c>
      <c r="T422" s="700">
        <v>100</v>
      </c>
      <c r="U422" s="700">
        <v>100</v>
      </c>
      <c r="V422" s="700">
        <v>100</v>
      </c>
      <c r="W422" s="700">
        <v>100</v>
      </c>
      <c r="X422" s="689" t="s">
        <v>1341</v>
      </c>
      <c r="Y422" s="3" t="s">
        <v>1428</v>
      </c>
      <c r="Z422" s="3"/>
    </row>
    <row r="423" spans="2:26" ht="126">
      <c r="B423" s="69"/>
      <c r="C423" s="891"/>
      <c r="D423" s="891"/>
      <c r="E423" s="891"/>
      <c r="F423" s="891"/>
      <c r="G423" s="891"/>
      <c r="H423" s="891"/>
      <c r="I423" s="891"/>
      <c r="J423" s="891"/>
      <c r="K423" s="891"/>
      <c r="L423" s="891"/>
      <c r="M423" s="891"/>
      <c r="N423" s="3" t="s">
        <v>1429</v>
      </c>
      <c r="O423" s="31" t="s">
        <v>701</v>
      </c>
      <c r="P423" s="686">
        <v>95</v>
      </c>
      <c r="Q423" s="686">
        <v>95</v>
      </c>
      <c r="R423" s="686">
        <v>95</v>
      </c>
      <c r="S423" s="686">
        <v>95</v>
      </c>
      <c r="T423" s="686">
        <v>95</v>
      </c>
      <c r="U423" s="686">
        <v>95</v>
      </c>
      <c r="V423" s="686">
        <v>95</v>
      </c>
      <c r="W423" s="686">
        <v>95</v>
      </c>
      <c r="X423" s="689" t="s">
        <v>1341</v>
      </c>
      <c r="Y423" s="3" t="s">
        <v>1430</v>
      </c>
      <c r="Z423" s="3"/>
    </row>
    <row r="424" spans="2:26" ht="110.25">
      <c r="B424" s="69"/>
      <c r="C424" s="891"/>
      <c r="D424" s="891"/>
      <c r="E424" s="891"/>
      <c r="F424" s="891"/>
      <c r="G424" s="891"/>
      <c r="H424" s="891"/>
      <c r="I424" s="891"/>
      <c r="J424" s="891"/>
      <c r="K424" s="891"/>
      <c r="L424" s="891"/>
      <c r="M424" s="891"/>
      <c r="N424" s="3" t="s">
        <v>4655</v>
      </c>
      <c r="O424" s="31" t="s">
        <v>4632</v>
      </c>
      <c r="P424" s="31" t="s">
        <v>2351</v>
      </c>
      <c r="Q424" s="31" t="s">
        <v>1431</v>
      </c>
      <c r="R424" s="31" t="s">
        <v>1431</v>
      </c>
      <c r="S424" s="31" t="s">
        <v>1431</v>
      </c>
      <c r="T424" s="31" t="s">
        <v>1431</v>
      </c>
      <c r="U424" s="31" t="s">
        <v>1431</v>
      </c>
      <c r="V424" s="31" t="s">
        <v>1431</v>
      </c>
      <c r="W424" s="706" t="s">
        <v>1431</v>
      </c>
      <c r="X424" s="689" t="s">
        <v>1341</v>
      </c>
      <c r="Y424" s="3" t="s">
        <v>1432</v>
      </c>
      <c r="Z424" s="3"/>
    </row>
    <row r="425" spans="2:26" ht="110.25">
      <c r="B425" s="69"/>
      <c r="C425" s="891"/>
      <c r="D425" s="891"/>
      <c r="E425" s="891"/>
      <c r="F425" s="891"/>
      <c r="G425" s="891"/>
      <c r="H425" s="891"/>
      <c r="I425" s="891"/>
      <c r="J425" s="891"/>
      <c r="K425" s="891"/>
      <c r="L425" s="891"/>
      <c r="M425" s="891"/>
      <c r="N425" s="3" t="s">
        <v>1433</v>
      </c>
      <c r="O425" s="31" t="s">
        <v>701</v>
      </c>
      <c r="P425" s="34">
        <v>96.15</v>
      </c>
      <c r="Q425" s="700">
        <v>100</v>
      </c>
      <c r="R425" s="700">
        <v>100</v>
      </c>
      <c r="S425" s="700">
        <v>100</v>
      </c>
      <c r="T425" s="700">
        <v>100</v>
      </c>
      <c r="U425" s="700">
        <v>100</v>
      </c>
      <c r="V425" s="700">
        <v>100</v>
      </c>
      <c r="W425" s="700">
        <v>100</v>
      </c>
      <c r="X425" s="689" t="s">
        <v>1341</v>
      </c>
      <c r="Y425" s="3" t="s">
        <v>1434</v>
      </c>
      <c r="Z425" s="3"/>
    </row>
    <row r="426" spans="2:26" ht="94.5">
      <c r="B426" s="69"/>
      <c r="C426" s="892"/>
      <c r="D426" s="892"/>
      <c r="E426" s="892"/>
      <c r="F426" s="892"/>
      <c r="G426" s="892"/>
      <c r="H426" s="891"/>
      <c r="I426" s="892"/>
      <c r="J426" s="892"/>
      <c r="K426" s="892"/>
      <c r="L426" s="892"/>
      <c r="M426" s="892"/>
      <c r="N426" s="3" t="s">
        <v>1435</v>
      </c>
      <c r="O426" s="31" t="s">
        <v>701</v>
      </c>
      <c r="P426" s="700">
        <v>100</v>
      </c>
      <c r="Q426" s="700">
        <v>100</v>
      </c>
      <c r="R426" s="700">
        <v>100</v>
      </c>
      <c r="S426" s="700">
        <v>100</v>
      </c>
      <c r="T426" s="700">
        <v>100</v>
      </c>
      <c r="U426" s="700">
        <v>100</v>
      </c>
      <c r="V426" s="700">
        <v>100</v>
      </c>
      <c r="W426" s="700">
        <v>100</v>
      </c>
      <c r="X426" s="689" t="s">
        <v>1341</v>
      </c>
      <c r="Y426" s="3" t="s">
        <v>1436</v>
      </c>
      <c r="Z426" s="3"/>
    </row>
    <row r="427" spans="2:26" ht="94.5">
      <c r="B427" s="69"/>
      <c r="C427" s="890">
        <v>3</v>
      </c>
      <c r="D427" s="890" t="s">
        <v>1437</v>
      </c>
      <c r="E427" s="890">
        <v>3</v>
      </c>
      <c r="F427" s="890" t="s">
        <v>1438</v>
      </c>
      <c r="G427" s="890" t="s">
        <v>1439</v>
      </c>
      <c r="H427" s="890"/>
      <c r="I427" s="890" t="s">
        <v>4978</v>
      </c>
      <c r="J427" s="3"/>
      <c r="K427" s="3"/>
      <c r="L427" s="3"/>
      <c r="M427" s="3"/>
      <c r="N427" s="3"/>
      <c r="O427" s="31"/>
      <c r="P427" s="31"/>
      <c r="Q427" s="31"/>
      <c r="R427" s="31"/>
      <c r="S427" s="31"/>
      <c r="T427" s="31"/>
      <c r="U427" s="31"/>
      <c r="V427" s="31"/>
      <c r="W427" s="3"/>
      <c r="X427" s="3"/>
      <c r="Y427" s="3"/>
      <c r="Z427" s="3"/>
    </row>
    <row r="428" spans="2:26" ht="78.75">
      <c r="B428" s="69"/>
      <c r="C428" s="891"/>
      <c r="D428" s="891"/>
      <c r="E428" s="891"/>
      <c r="F428" s="891"/>
      <c r="G428" s="891"/>
      <c r="H428" s="891"/>
      <c r="I428" s="891"/>
      <c r="J428" s="898">
        <v>1.02</v>
      </c>
      <c r="K428" s="890" t="s">
        <v>773</v>
      </c>
      <c r="L428" s="890">
        <v>20</v>
      </c>
      <c r="M428" s="890" t="s">
        <v>1440</v>
      </c>
      <c r="N428" s="3" t="s">
        <v>1441</v>
      </c>
      <c r="O428" s="31" t="s">
        <v>701</v>
      </c>
      <c r="P428" s="700">
        <v>11.2</v>
      </c>
      <c r="Q428" s="700">
        <v>15.5</v>
      </c>
      <c r="R428" s="700">
        <v>15.5</v>
      </c>
      <c r="S428" s="700">
        <v>15.5</v>
      </c>
      <c r="T428" s="700">
        <v>15.5</v>
      </c>
      <c r="U428" s="700">
        <v>15.5</v>
      </c>
      <c r="V428" s="700">
        <v>15.5</v>
      </c>
      <c r="W428" s="700">
        <v>15.5</v>
      </c>
      <c r="X428" s="689" t="s">
        <v>1341</v>
      </c>
      <c r="Y428" s="3" t="s">
        <v>1442</v>
      </c>
      <c r="Z428" s="3"/>
    </row>
    <row r="429" spans="2:26" ht="78.75">
      <c r="B429" s="69"/>
      <c r="C429" s="891"/>
      <c r="D429" s="891"/>
      <c r="E429" s="891"/>
      <c r="F429" s="891"/>
      <c r="G429" s="891"/>
      <c r="H429" s="891"/>
      <c r="I429" s="891"/>
      <c r="J429" s="891"/>
      <c r="K429" s="891"/>
      <c r="L429" s="891"/>
      <c r="M429" s="891"/>
      <c r="N429" s="3" t="s">
        <v>1443</v>
      </c>
      <c r="O429" s="31" t="s">
        <v>701</v>
      </c>
      <c r="P429" s="707">
        <v>0.04</v>
      </c>
      <c r="Q429" s="707" t="s">
        <v>1444</v>
      </c>
      <c r="R429" s="707" t="s">
        <v>1444</v>
      </c>
      <c r="S429" s="707" t="s">
        <v>1444</v>
      </c>
      <c r="T429" s="707" t="s">
        <v>1444</v>
      </c>
      <c r="U429" s="707" t="s">
        <v>1444</v>
      </c>
      <c r="V429" s="707" t="s">
        <v>1444</v>
      </c>
      <c r="W429" s="707" t="s">
        <v>1444</v>
      </c>
      <c r="X429" s="689"/>
      <c r="Y429" s="3" t="s">
        <v>1445</v>
      </c>
      <c r="Z429" s="3"/>
    </row>
    <row r="430" spans="2:26" ht="110.25">
      <c r="B430" s="69"/>
      <c r="C430" s="891"/>
      <c r="D430" s="891"/>
      <c r="E430" s="891"/>
      <c r="F430" s="891"/>
      <c r="G430" s="891"/>
      <c r="H430" s="891"/>
      <c r="I430" s="891"/>
      <c r="J430" s="891"/>
      <c r="K430" s="891"/>
      <c r="L430" s="891"/>
      <c r="M430" s="891"/>
      <c r="N430" s="3" t="s">
        <v>1446</v>
      </c>
      <c r="O430" s="31" t="s">
        <v>701</v>
      </c>
      <c r="P430" s="34">
        <v>100</v>
      </c>
      <c r="Q430" s="34">
        <v>100</v>
      </c>
      <c r="R430" s="34">
        <v>100</v>
      </c>
      <c r="S430" s="34">
        <v>100</v>
      </c>
      <c r="T430" s="34">
        <v>100</v>
      </c>
      <c r="U430" s="34">
        <v>100</v>
      </c>
      <c r="V430" s="34">
        <v>100</v>
      </c>
      <c r="W430" s="34">
        <v>100</v>
      </c>
      <c r="X430" s="689" t="s">
        <v>1341</v>
      </c>
      <c r="Y430" s="3" t="s">
        <v>1447</v>
      </c>
      <c r="Z430" s="3"/>
    </row>
    <row r="431" spans="2:26" ht="110.25">
      <c r="B431" s="69"/>
      <c r="C431" s="891"/>
      <c r="D431" s="891"/>
      <c r="E431" s="891"/>
      <c r="F431" s="891"/>
      <c r="G431" s="891"/>
      <c r="H431" s="891"/>
      <c r="I431" s="891"/>
      <c r="J431" s="891"/>
      <c r="K431" s="891"/>
      <c r="L431" s="891"/>
      <c r="M431" s="891"/>
      <c r="N431" s="3" t="s">
        <v>1448</v>
      </c>
      <c r="O431" s="31" t="s">
        <v>701</v>
      </c>
      <c r="P431" s="34">
        <v>100</v>
      </c>
      <c r="Q431" s="34">
        <v>100</v>
      </c>
      <c r="R431" s="34">
        <v>100</v>
      </c>
      <c r="S431" s="34">
        <v>100</v>
      </c>
      <c r="T431" s="34">
        <v>100</v>
      </c>
      <c r="U431" s="34">
        <v>100</v>
      </c>
      <c r="V431" s="34">
        <v>100</v>
      </c>
      <c r="W431" s="34">
        <v>100</v>
      </c>
      <c r="X431" s="3" t="s">
        <v>1341</v>
      </c>
      <c r="Y431" s="3" t="s">
        <v>1449</v>
      </c>
      <c r="Z431" s="3"/>
    </row>
    <row r="432" spans="2:26" ht="110.25">
      <c r="B432" s="69"/>
      <c r="C432" s="890">
        <v>4</v>
      </c>
      <c r="D432" s="890" t="s">
        <v>1450</v>
      </c>
      <c r="E432" s="890">
        <v>4</v>
      </c>
      <c r="F432" s="890" t="s">
        <v>1451</v>
      </c>
      <c r="G432" s="890" t="s">
        <v>1452</v>
      </c>
      <c r="H432" s="890"/>
      <c r="I432" s="890" t="s">
        <v>4979</v>
      </c>
      <c r="J432" s="3"/>
      <c r="K432" s="3"/>
      <c r="L432" s="3"/>
      <c r="M432" s="3"/>
      <c r="N432" s="3"/>
      <c r="O432" s="31"/>
      <c r="P432" s="31"/>
      <c r="Q432" s="31"/>
      <c r="R432" s="31"/>
      <c r="S432" s="31"/>
      <c r="T432" s="31"/>
      <c r="U432" s="31"/>
      <c r="V432" s="31"/>
      <c r="W432" s="3"/>
      <c r="X432" s="3"/>
      <c r="Y432" s="3"/>
      <c r="Z432" s="3"/>
    </row>
    <row r="433" spans="2:26" ht="78.75">
      <c r="B433" s="69"/>
      <c r="C433" s="891"/>
      <c r="D433" s="891"/>
      <c r="E433" s="891"/>
      <c r="F433" s="891"/>
      <c r="G433" s="891"/>
      <c r="H433" s="891"/>
      <c r="I433" s="891"/>
      <c r="J433" s="898">
        <v>1.02</v>
      </c>
      <c r="K433" s="890" t="s">
        <v>773</v>
      </c>
      <c r="L433" s="3">
        <v>15</v>
      </c>
      <c r="M433" s="3" t="s">
        <v>1453</v>
      </c>
      <c r="N433" s="890" t="s">
        <v>1454</v>
      </c>
      <c r="O433" s="905" t="s">
        <v>701</v>
      </c>
      <c r="P433" s="708">
        <v>98.6</v>
      </c>
      <c r="Q433" s="708">
        <v>100</v>
      </c>
      <c r="R433" s="708">
        <v>90</v>
      </c>
      <c r="S433" s="708">
        <v>90</v>
      </c>
      <c r="T433" s="708">
        <v>90</v>
      </c>
      <c r="U433" s="708">
        <v>90</v>
      </c>
      <c r="V433" s="708">
        <v>90</v>
      </c>
      <c r="W433" s="708">
        <v>90</v>
      </c>
      <c r="X433" s="890" t="s">
        <v>1341</v>
      </c>
      <c r="Y433" s="136" t="s">
        <v>1455</v>
      </c>
      <c r="Z433" s="1154" t="s">
        <v>1456</v>
      </c>
    </row>
    <row r="434" spans="2:26" ht="31.5">
      <c r="B434" s="69"/>
      <c r="C434" s="892"/>
      <c r="D434" s="892"/>
      <c r="E434" s="892"/>
      <c r="F434" s="892"/>
      <c r="G434" s="892"/>
      <c r="H434" s="891"/>
      <c r="I434" s="892"/>
      <c r="J434" s="898">
        <v>1.02</v>
      </c>
      <c r="K434" s="890" t="s">
        <v>773</v>
      </c>
      <c r="L434" s="3">
        <v>17</v>
      </c>
      <c r="M434" s="3" t="s">
        <v>150</v>
      </c>
      <c r="N434" s="709"/>
      <c r="O434" s="907"/>
      <c r="P434" s="510"/>
      <c r="Q434" s="510"/>
      <c r="R434" s="510"/>
      <c r="S434" s="510"/>
      <c r="T434" s="510"/>
      <c r="U434" s="510"/>
      <c r="V434" s="510"/>
      <c r="W434" s="710"/>
      <c r="X434" s="892"/>
      <c r="Y434" s="538"/>
      <c r="Z434" s="1156"/>
    </row>
    <row r="435" spans="2:26" ht="141.75">
      <c r="B435" s="69"/>
      <c r="C435" s="890">
        <v>5</v>
      </c>
      <c r="D435" s="890" t="s">
        <v>1457</v>
      </c>
      <c r="E435" s="890">
        <v>5</v>
      </c>
      <c r="F435" s="890" t="s">
        <v>1458</v>
      </c>
      <c r="G435" s="890" t="s">
        <v>1459</v>
      </c>
      <c r="H435" s="890"/>
      <c r="I435" s="890" t="s">
        <v>4980</v>
      </c>
      <c r="J435" s="3"/>
      <c r="K435" s="3"/>
      <c r="L435" s="3"/>
      <c r="M435" s="3"/>
      <c r="N435" s="3"/>
      <c r="O435" s="31"/>
      <c r="P435" s="34"/>
      <c r="Q435" s="34"/>
      <c r="R435" s="34"/>
      <c r="S435" s="34"/>
      <c r="T435" s="34"/>
      <c r="U435" s="34"/>
      <c r="V435" s="34"/>
      <c r="W435" s="30"/>
      <c r="X435" s="3"/>
      <c r="Y435" s="3"/>
      <c r="Z435" s="3"/>
    </row>
    <row r="436" spans="2:26" ht="94.5">
      <c r="B436" s="69"/>
      <c r="C436" s="891"/>
      <c r="D436" s="891"/>
      <c r="E436" s="891"/>
      <c r="F436" s="891"/>
      <c r="G436" s="891"/>
      <c r="H436" s="891"/>
      <c r="I436" s="891"/>
      <c r="J436" s="898">
        <v>1.02</v>
      </c>
      <c r="K436" s="890" t="s">
        <v>773</v>
      </c>
      <c r="L436" s="890">
        <v>23</v>
      </c>
      <c r="M436" s="890" t="s">
        <v>1460</v>
      </c>
      <c r="N436" s="3" t="s">
        <v>1461</v>
      </c>
      <c r="O436" s="31" t="s">
        <v>701</v>
      </c>
      <c r="P436" s="34" t="s">
        <v>2036</v>
      </c>
      <c r="Q436" s="34" t="s">
        <v>2036</v>
      </c>
      <c r="R436" s="34">
        <v>65</v>
      </c>
      <c r="S436" s="34">
        <v>66.25</v>
      </c>
      <c r="T436" s="34">
        <v>67</v>
      </c>
      <c r="U436" s="34">
        <v>68.5</v>
      </c>
      <c r="V436" s="34">
        <v>70</v>
      </c>
      <c r="W436" s="34">
        <v>70</v>
      </c>
      <c r="X436" s="3" t="s">
        <v>1341</v>
      </c>
      <c r="Y436" s="3" t="s">
        <v>1462</v>
      </c>
      <c r="Z436" s="3" t="s">
        <v>1463</v>
      </c>
    </row>
    <row r="437" spans="2:26" ht="110.25">
      <c r="B437" s="69"/>
      <c r="C437" s="891"/>
      <c r="D437" s="891"/>
      <c r="E437" s="891"/>
      <c r="F437" s="891"/>
      <c r="G437" s="891"/>
      <c r="H437" s="891"/>
      <c r="I437" s="891"/>
      <c r="J437" s="892"/>
      <c r="K437" s="892"/>
      <c r="L437" s="892"/>
      <c r="M437" s="892"/>
      <c r="N437" s="3" t="s">
        <v>1464</v>
      </c>
      <c r="O437" s="31" t="s">
        <v>701</v>
      </c>
      <c r="P437" s="34" t="s">
        <v>2036</v>
      </c>
      <c r="Q437" s="34" t="s">
        <v>2036</v>
      </c>
      <c r="R437" s="34">
        <v>70</v>
      </c>
      <c r="S437" s="34">
        <v>75</v>
      </c>
      <c r="T437" s="34">
        <v>80</v>
      </c>
      <c r="U437" s="34">
        <v>85</v>
      </c>
      <c r="V437" s="34">
        <v>90</v>
      </c>
      <c r="W437" s="695">
        <v>90</v>
      </c>
      <c r="X437" s="3" t="s">
        <v>1341</v>
      </c>
      <c r="Y437" s="3" t="s">
        <v>1465</v>
      </c>
      <c r="Z437" s="3" t="s">
        <v>1466</v>
      </c>
    </row>
    <row r="438" spans="2:26" ht="94.5">
      <c r="B438" s="69"/>
      <c r="C438" s="891"/>
      <c r="D438" s="891"/>
      <c r="E438" s="891"/>
      <c r="F438" s="891"/>
      <c r="G438" s="891"/>
      <c r="H438" s="891"/>
      <c r="I438" s="891"/>
      <c r="J438" s="898">
        <v>1.02</v>
      </c>
      <c r="K438" s="890" t="s">
        <v>773</v>
      </c>
      <c r="L438" s="3">
        <v>26</v>
      </c>
      <c r="M438" s="11" t="s">
        <v>197</v>
      </c>
      <c r="N438" s="3" t="s">
        <v>1468</v>
      </c>
      <c r="O438" s="31" t="s">
        <v>921</v>
      </c>
      <c r="P438" s="32" t="s">
        <v>1469</v>
      </c>
      <c r="Q438" s="31" t="s">
        <v>2031</v>
      </c>
      <c r="R438" s="31" t="s">
        <v>2032</v>
      </c>
      <c r="S438" s="31" t="s">
        <v>2032</v>
      </c>
      <c r="T438" s="31" t="s">
        <v>2033</v>
      </c>
      <c r="U438" s="31" t="s">
        <v>2034</v>
      </c>
      <c r="V438" s="31" t="s">
        <v>2034</v>
      </c>
      <c r="W438" s="31" t="s">
        <v>2031</v>
      </c>
      <c r="X438" s="3"/>
      <c r="Y438" s="3" t="s">
        <v>1470</v>
      </c>
      <c r="Z438" s="3" t="s">
        <v>1471</v>
      </c>
    </row>
    <row r="439" spans="2:26" ht="78.75">
      <c r="B439" s="69"/>
      <c r="C439" s="891"/>
      <c r="D439" s="891"/>
      <c r="E439" s="891"/>
      <c r="F439" s="891"/>
      <c r="G439" s="891"/>
      <c r="H439" s="891"/>
      <c r="I439" s="891"/>
      <c r="J439" s="898"/>
      <c r="K439" s="890"/>
      <c r="L439" s="3"/>
      <c r="M439" s="11"/>
      <c r="N439" s="3" t="s">
        <v>1472</v>
      </c>
      <c r="O439" s="31" t="s">
        <v>701</v>
      </c>
      <c r="P439" s="31">
        <v>50.63</v>
      </c>
      <c r="Q439" s="31">
        <v>80</v>
      </c>
      <c r="R439" s="31">
        <v>85</v>
      </c>
      <c r="S439" s="31">
        <v>90</v>
      </c>
      <c r="T439" s="31">
        <v>95</v>
      </c>
      <c r="U439" s="31">
        <v>100</v>
      </c>
      <c r="V439" s="31">
        <v>100</v>
      </c>
      <c r="W439" s="31">
        <v>100</v>
      </c>
      <c r="X439" s="3" t="s">
        <v>1474</v>
      </c>
      <c r="Y439" s="3" t="s">
        <v>4624</v>
      </c>
      <c r="Z439" s="3" t="s">
        <v>4625</v>
      </c>
    </row>
    <row r="440" spans="2:26" ht="48" customHeight="1">
      <c r="B440" s="69"/>
      <c r="C440" s="891"/>
      <c r="D440" s="891"/>
      <c r="E440" s="891"/>
      <c r="F440" s="891"/>
      <c r="G440" s="891"/>
      <c r="H440" s="891"/>
      <c r="I440" s="891"/>
      <c r="J440" s="898">
        <v>1.02</v>
      </c>
      <c r="K440" s="890" t="s">
        <v>773</v>
      </c>
      <c r="L440" s="890">
        <v>33</v>
      </c>
      <c r="M440" s="890" t="s">
        <v>1473</v>
      </c>
      <c r="N440" s="3" t="s">
        <v>1829</v>
      </c>
      <c r="O440" s="31"/>
      <c r="P440" s="31"/>
      <c r="Q440" s="31"/>
      <c r="R440" s="31"/>
      <c r="S440" s="31"/>
      <c r="T440" s="31"/>
      <c r="U440" s="31"/>
      <c r="V440" s="31"/>
      <c r="W440" s="3"/>
      <c r="X440" s="3" t="s">
        <v>1474</v>
      </c>
      <c r="Y440" s="3"/>
      <c r="Z440" s="3"/>
    </row>
    <row r="441" spans="2:26" ht="82.5">
      <c r="B441" s="69"/>
      <c r="C441" s="891"/>
      <c r="D441" s="891"/>
      <c r="E441" s="891"/>
      <c r="F441" s="891"/>
      <c r="G441" s="891"/>
      <c r="H441" s="891"/>
      <c r="I441" s="891"/>
      <c r="J441" s="711"/>
      <c r="K441" s="891"/>
      <c r="L441" s="891"/>
      <c r="M441" s="891"/>
      <c r="N441" s="3" t="s">
        <v>1830</v>
      </c>
      <c r="O441" s="31" t="s">
        <v>701</v>
      </c>
      <c r="P441" s="31">
        <v>73.73</v>
      </c>
      <c r="Q441" s="31">
        <v>70</v>
      </c>
      <c r="R441" s="31">
        <v>65</v>
      </c>
      <c r="S441" s="31">
        <v>65</v>
      </c>
      <c r="T441" s="31">
        <v>66</v>
      </c>
      <c r="U441" s="31">
        <v>68</v>
      </c>
      <c r="V441" s="31">
        <v>70</v>
      </c>
      <c r="W441" s="31">
        <v>70</v>
      </c>
      <c r="X441" s="3"/>
      <c r="Y441" s="712" t="s">
        <v>1475</v>
      </c>
      <c r="Z441" s="3"/>
    </row>
    <row r="442" spans="2:26" ht="66">
      <c r="B442" s="69"/>
      <c r="C442" s="891"/>
      <c r="D442" s="891"/>
      <c r="E442" s="891"/>
      <c r="F442" s="891"/>
      <c r="G442" s="891"/>
      <c r="H442" s="891"/>
      <c r="I442" s="891"/>
      <c r="J442" s="711"/>
      <c r="K442" s="891"/>
      <c r="L442" s="891"/>
      <c r="M442" s="891"/>
      <c r="N442" s="3" t="s">
        <v>1831</v>
      </c>
      <c r="O442" s="31" t="s">
        <v>1770</v>
      </c>
      <c r="P442" s="31">
        <v>4.24</v>
      </c>
      <c r="Q442" s="31">
        <v>4</v>
      </c>
      <c r="R442" s="31">
        <v>4</v>
      </c>
      <c r="S442" s="31">
        <v>4</v>
      </c>
      <c r="T442" s="31">
        <v>5</v>
      </c>
      <c r="U442" s="31">
        <v>5</v>
      </c>
      <c r="V442" s="31">
        <v>6</v>
      </c>
      <c r="W442" s="31">
        <v>6</v>
      </c>
      <c r="X442" s="3"/>
      <c r="Y442" s="712" t="s">
        <v>2059</v>
      </c>
      <c r="Z442" s="3"/>
    </row>
    <row r="443" spans="2:26" ht="99">
      <c r="B443" s="69"/>
      <c r="C443" s="891"/>
      <c r="D443" s="891"/>
      <c r="E443" s="891"/>
      <c r="F443" s="891"/>
      <c r="G443" s="891"/>
      <c r="H443" s="891"/>
      <c r="I443" s="891"/>
      <c r="J443" s="711"/>
      <c r="K443" s="891"/>
      <c r="L443" s="891"/>
      <c r="M443" s="891"/>
      <c r="N443" s="3" t="s">
        <v>1832</v>
      </c>
      <c r="O443" s="31" t="s">
        <v>1770</v>
      </c>
      <c r="P443" s="31">
        <v>1.1599999999999999</v>
      </c>
      <c r="Q443" s="31">
        <v>1</v>
      </c>
      <c r="R443" s="31">
        <v>2</v>
      </c>
      <c r="S443" s="31">
        <v>2</v>
      </c>
      <c r="T443" s="31">
        <v>2</v>
      </c>
      <c r="U443" s="31">
        <v>2</v>
      </c>
      <c r="V443" s="31">
        <v>2</v>
      </c>
      <c r="W443" s="31">
        <v>2</v>
      </c>
      <c r="X443" s="3"/>
      <c r="Y443" s="712" t="s">
        <v>2060</v>
      </c>
      <c r="Z443" s="3"/>
    </row>
    <row r="444" spans="2:26" ht="82.5">
      <c r="B444" s="69"/>
      <c r="C444" s="891"/>
      <c r="D444" s="891"/>
      <c r="E444" s="891"/>
      <c r="F444" s="891"/>
      <c r="G444" s="891"/>
      <c r="H444" s="891"/>
      <c r="I444" s="891"/>
      <c r="J444" s="711"/>
      <c r="K444" s="891"/>
      <c r="L444" s="891"/>
      <c r="M444" s="891"/>
      <c r="N444" s="3" t="s">
        <v>1833</v>
      </c>
      <c r="O444" s="713" t="s">
        <v>1835</v>
      </c>
      <c r="P444" s="31">
        <v>37.299999999999997</v>
      </c>
      <c r="Q444" s="31">
        <v>37</v>
      </c>
      <c r="R444" s="31">
        <v>37</v>
      </c>
      <c r="S444" s="31">
        <v>37</v>
      </c>
      <c r="T444" s="31">
        <v>36</v>
      </c>
      <c r="U444" s="31">
        <v>36</v>
      </c>
      <c r="V444" s="31">
        <v>36</v>
      </c>
      <c r="W444" s="31">
        <v>36</v>
      </c>
      <c r="X444" s="3"/>
      <c r="Y444" s="712" t="s">
        <v>2061</v>
      </c>
      <c r="Z444" s="3"/>
    </row>
    <row r="445" spans="2:26" ht="99">
      <c r="B445" s="69"/>
      <c r="C445" s="891"/>
      <c r="D445" s="891"/>
      <c r="E445" s="891"/>
      <c r="F445" s="891"/>
      <c r="G445" s="891"/>
      <c r="H445" s="891"/>
      <c r="I445" s="891"/>
      <c r="J445" s="711"/>
      <c r="K445" s="891"/>
      <c r="L445" s="891"/>
      <c r="M445" s="891"/>
      <c r="N445" s="3" t="s">
        <v>1834</v>
      </c>
      <c r="O445" s="713" t="s">
        <v>1835</v>
      </c>
      <c r="P445" s="31">
        <v>19.059999999999999</v>
      </c>
      <c r="Q445" s="31">
        <v>17</v>
      </c>
      <c r="R445" s="31">
        <v>19</v>
      </c>
      <c r="S445" s="31">
        <v>19</v>
      </c>
      <c r="T445" s="31">
        <v>18</v>
      </c>
      <c r="U445" s="31">
        <v>18</v>
      </c>
      <c r="V445" s="31">
        <v>18</v>
      </c>
      <c r="W445" s="31">
        <v>18</v>
      </c>
      <c r="X445" s="3"/>
      <c r="Y445" s="712" t="s">
        <v>4656</v>
      </c>
      <c r="Z445" s="3"/>
    </row>
    <row r="446" spans="2:26" ht="31.5">
      <c r="B446" s="69"/>
      <c r="C446" s="891"/>
      <c r="D446" s="891"/>
      <c r="E446" s="891"/>
      <c r="F446" s="891"/>
      <c r="G446" s="891"/>
      <c r="H446" s="891"/>
      <c r="I446" s="891"/>
      <c r="J446" s="711"/>
      <c r="K446" s="891"/>
      <c r="L446" s="891"/>
      <c r="M446" s="891"/>
      <c r="N446" s="3" t="s">
        <v>1837</v>
      </c>
      <c r="O446" s="31" t="s">
        <v>1836</v>
      </c>
      <c r="P446" s="32" t="s">
        <v>743</v>
      </c>
      <c r="Q446" s="31" t="s">
        <v>1838</v>
      </c>
      <c r="R446" s="31" t="s">
        <v>1838</v>
      </c>
      <c r="S446" s="31" t="s">
        <v>1838</v>
      </c>
      <c r="T446" s="31" t="s">
        <v>1838</v>
      </c>
      <c r="U446" s="31" t="s">
        <v>1838</v>
      </c>
      <c r="V446" s="31" t="s">
        <v>1838</v>
      </c>
      <c r="W446" s="31" t="s">
        <v>1838</v>
      </c>
      <c r="X446" s="3"/>
      <c r="Y446" s="3"/>
      <c r="Z446" s="3"/>
    </row>
    <row r="447" spans="2:26" ht="33.75" customHeight="1">
      <c r="B447" s="69"/>
      <c r="C447" s="891"/>
      <c r="D447" s="891"/>
      <c r="E447" s="891"/>
      <c r="F447" s="891"/>
      <c r="G447" s="891"/>
      <c r="H447" s="891"/>
      <c r="I447" s="891"/>
      <c r="J447" s="891"/>
      <c r="K447" s="891"/>
      <c r="L447" s="891"/>
      <c r="M447" s="891"/>
      <c r="N447" s="3" t="s">
        <v>1476</v>
      </c>
      <c r="O447" s="32" t="s">
        <v>743</v>
      </c>
      <c r="P447" s="31" t="s">
        <v>2035</v>
      </c>
      <c r="Q447" s="31" t="s">
        <v>2035</v>
      </c>
      <c r="R447" s="31" t="s">
        <v>2035</v>
      </c>
      <c r="S447" s="31" t="s">
        <v>2035</v>
      </c>
      <c r="T447" s="31" t="s">
        <v>2035</v>
      </c>
      <c r="U447" s="31" t="s">
        <v>2035</v>
      </c>
      <c r="V447" s="31" t="s">
        <v>2035</v>
      </c>
      <c r="W447" s="31" t="s">
        <v>2035</v>
      </c>
      <c r="X447" s="3" t="s">
        <v>1474</v>
      </c>
      <c r="Y447" s="3" t="s">
        <v>4636</v>
      </c>
      <c r="Z447" s="3" t="s">
        <v>1477</v>
      </c>
    </row>
    <row r="448" spans="2:26" ht="173.25">
      <c r="B448" s="69"/>
      <c r="C448" s="890">
        <v>6</v>
      </c>
      <c r="D448" s="890" t="s">
        <v>1479</v>
      </c>
      <c r="E448" s="890">
        <v>6</v>
      </c>
      <c r="F448" s="890" t="s">
        <v>1480</v>
      </c>
      <c r="G448" s="890" t="s">
        <v>1481</v>
      </c>
      <c r="H448" s="890" t="s">
        <v>1482</v>
      </c>
      <c r="I448" s="890" t="s">
        <v>4981</v>
      </c>
      <c r="J448" s="3"/>
      <c r="K448" s="3"/>
      <c r="L448" s="3"/>
      <c r="M448" s="3"/>
      <c r="N448" s="3"/>
      <c r="O448" s="31"/>
      <c r="P448" s="31"/>
      <c r="Q448" s="31"/>
      <c r="R448" s="31"/>
      <c r="S448" s="31"/>
      <c r="T448" s="31"/>
      <c r="U448" s="31"/>
      <c r="V448" s="31"/>
      <c r="W448" s="3"/>
      <c r="X448" s="3"/>
      <c r="Y448" s="3"/>
      <c r="Z448" s="3"/>
    </row>
    <row r="449" spans="2:26" ht="110.25">
      <c r="B449" s="69"/>
      <c r="C449" s="891"/>
      <c r="D449" s="891"/>
      <c r="E449" s="891"/>
      <c r="F449" s="891"/>
      <c r="G449" s="891"/>
      <c r="H449" s="891"/>
      <c r="I449" s="891"/>
      <c r="J449" s="898">
        <v>1.02</v>
      </c>
      <c r="K449" s="890" t="s">
        <v>773</v>
      </c>
      <c r="L449" s="890">
        <v>21</v>
      </c>
      <c r="M449" s="890" t="s">
        <v>1483</v>
      </c>
      <c r="N449" s="3" t="s">
        <v>1484</v>
      </c>
      <c r="O449" s="31" t="s">
        <v>701</v>
      </c>
      <c r="P449" s="31" t="s">
        <v>2036</v>
      </c>
      <c r="Q449" s="31" t="s">
        <v>2036</v>
      </c>
      <c r="R449" s="31">
        <v>65</v>
      </c>
      <c r="S449" s="31">
        <v>67.5</v>
      </c>
      <c r="T449" s="31">
        <v>70</v>
      </c>
      <c r="U449" s="31">
        <v>72.5</v>
      </c>
      <c r="V449" s="31">
        <v>75</v>
      </c>
      <c r="W449" s="3">
        <v>75</v>
      </c>
      <c r="X449" s="3" t="s">
        <v>1341</v>
      </c>
      <c r="Y449" s="3" t="s">
        <v>1485</v>
      </c>
      <c r="Z449" s="3"/>
    </row>
    <row r="450" spans="2:26" ht="110.25">
      <c r="B450" s="69"/>
      <c r="C450" s="891"/>
      <c r="D450" s="891"/>
      <c r="E450" s="891"/>
      <c r="F450" s="891"/>
      <c r="G450" s="891"/>
      <c r="H450" s="891"/>
      <c r="I450" s="891"/>
      <c r="J450" s="891"/>
      <c r="K450" s="891"/>
      <c r="L450" s="891"/>
      <c r="M450" s="891"/>
      <c r="N450" s="3" t="s">
        <v>1486</v>
      </c>
      <c r="O450" s="31" t="s">
        <v>701</v>
      </c>
      <c r="P450" s="31" t="s">
        <v>2036</v>
      </c>
      <c r="Q450" s="31">
        <v>62.5</v>
      </c>
      <c r="R450" s="31">
        <v>65</v>
      </c>
      <c r="S450" s="31">
        <v>67.5</v>
      </c>
      <c r="T450" s="31">
        <v>70</v>
      </c>
      <c r="U450" s="31">
        <v>72.5</v>
      </c>
      <c r="V450" s="31">
        <v>75</v>
      </c>
      <c r="W450" s="3">
        <v>75</v>
      </c>
      <c r="X450" s="3" t="s">
        <v>1341</v>
      </c>
      <c r="Y450" s="3" t="s">
        <v>1487</v>
      </c>
      <c r="Z450" s="3"/>
    </row>
    <row r="451" spans="2:26" ht="78.75">
      <c r="B451" s="69"/>
      <c r="C451" s="891"/>
      <c r="D451" s="891"/>
      <c r="E451" s="891"/>
      <c r="F451" s="891"/>
      <c r="G451" s="891"/>
      <c r="H451" s="891"/>
      <c r="I451" s="891"/>
      <c r="J451" s="891"/>
      <c r="K451" s="891"/>
      <c r="L451" s="891"/>
      <c r="M451" s="891"/>
      <c r="N451" s="3" t="s">
        <v>1488</v>
      </c>
      <c r="O451" s="31" t="s">
        <v>701</v>
      </c>
      <c r="P451" s="714">
        <v>63.2</v>
      </c>
      <c r="Q451" s="714">
        <v>79.3</v>
      </c>
      <c r="R451" s="715">
        <v>80</v>
      </c>
      <c r="S451" s="715">
        <v>80</v>
      </c>
      <c r="T451" s="715">
        <v>80</v>
      </c>
      <c r="U451" s="715">
        <v>80</v>
      </c>
      <c r="V451" s="715">
        <v>80</v>
      </c>
      <c r="W451" s="715">
        <v>80</v>
      </c>
      <c r="X451" s="3" t="s">
        <v>1341</v>
      </c>
      <c r="Y451" s="3" t="s">
        <v>1489</v>
      </c>
      <c r="Z451" s="3" t="s">
        <v>1490</v>
      </c>
    </row>
    <row r="452" spans="2:26" ht="110.25">
      <c r="B452" s="69"/>
      <c r="C452" s="891"/>
      <c r="D452" s="891"/>
      <c r="E452" s="891"/>
      <c r="F452" s="891"/>
      <c r="G452" s="891"/>
      <c r="H452" s="891"/>
      <c r="I452" s="891"/>
      <c r="J452" s="891"/>
      <c r="K452" s="891"/>
      <c r="L452" s="891"/>
      <c r="M452" s="891"/>
      <c r="N452" s="3" t="s">
        <v>5025</v>
      </c>
      <c r="O452" s="31" t="s">
        <v>701</v>
      </c>
      <c r="P452" s="31" t="s">
        <v>2036</v>
      </c>
      <c r="Q452" s="31">
        <v>62.5</v>
      </c>
      <c r="R452" s="31">
        <v>65</v>
      </c>
      <c r="S452" s="31">
        <v>67.5</v>
      </c>
      <c r="T452" s="31">
        <v>70</v>
      </c>
      <c r="U452" s="31">
        <v>72.5</v>
      </c>
      <c r="V452" s="31">
        <v>75</v>
      </c>
      <c r="W452" s="31">
        <v>75</v>
      </c>
      <c r="X452" s="3" t="s">
        <v>1341</v>
      </c>
      <c r="Y452" s="3" t="s">
        <v>1492</v>
      </c>
      <c r="Z452" s="3"/>
    </row>
    <row r="453" spans="2:26" ht="110.25">
      <c r="B453" s="69"/>
      <c r="C453" s="891"/>
      <c r="D453" s="891"/>
      <c r="E453" s="891"/>
      <c r="F453" s="891"/>
      <c r="G453" s="891"/>
      <c r="H453" s="891"/>
      <c r="I453" s="891"/>
      <c r="J453" s="892"/>
      <c r="K453" s="892"/>
      <c r="L453" s="892"/>
      <c r="M453" s="892"/>
      <c r="N453" s="3" t="s">
        <v>5026</v>
      </c>
      <c r="O453" s="31" t="s">
        <v>701</v>
      </c>
      <c r="P453" s="31" t="s">
        <v>2036</v>
      </c>
      <c r="Q453" s="31">
        <v>50</v>
      </c>
      <c r="R453" s="31">
        <v>50</v>
      </c>
      <c r="S453" s="31">
        <v>53</v>
      </c>
      <c r="T453" s="31">
        <v>55</v>
      </c>
      <c r="U453" s="31">
        <v>58</v>
      </c>
      <c r="V453" s="31">
        <v>60</v>
      </c>
      <c r="W453" s="31">
        <v>60</v>
      </c>
      <c r="X453" s="3" t="s">
        <v>1341</v>
      </c>
      <c r="Y453" s="3" t="s">
        <v>1494</v>
      </c>
      <c r="Z453" s="3"/>
    </row>
    <row r="454" spans="2:26" ht="173.25">
      <c r="B454" s="69"/>
      <c r="C454" s="891"/>
      <c r="D454" s="891"/>
      <c r="E454" s="891"/>
      <c r="F454" s="891"/>
      <c r="G454" s="891"/>
      <c r="H454" s="891"/>
      <c r="I454" s="891"/>
      <c r="J454" s="898">
        <v>1.02</v>
      </c>
      <c r="K454" s="890" t="s">
        <v>773</v>
      </c>
      <c r="L454" s="3">
        <v>16</v>
      </c>
      <c r="M454" s="3" t="s">
        <v>152</v>
      </c>
      <c r="N454" s="3" t="s">
        <v>1495</v>
      </c>
      <c r="O454" s="31" t="s">
        <v>701</v>
      </c>
      <c r="P454" s="702">
        <v>99.36</v>
      </c>
      <c r="Q454" s="702">
        <v>100</v>
      </c>
      <c r="R454" s="702">
        <v>100</v>
      </c>
      <c r="S454" s="702">
        <v>100</v>
      </c>
      <c r="T454" s="702">
        <v>100</v>
      </c>
      <c r="U454" s="702">
        <v>100</v>
      </c>
      <c r="V454" s="702">
        <v>100</v>
      </c>
      <c r="W454" s="702">
        <v>100</v>
      </c>
      <c r="X454" s="3" t="s">
        <v>1341</v>
      </c>
      <c r="Y454" s="3" t="s">
        <v>1496</v>
      </c>
      <c r="Z454" s="3"/>
    </row>
    <row r="455" spans="2:26" ht="63">
      <c r="B455" s="69"/>
      <c r="C455" s="891"/>
      <c r="D455" s="891"/>
      <c r="E455" s="891"/>
      <c r="F455" s="891"/>
      <c r="G455" s="891"/>
      <c r="H455" s="891"/>
      <c r="I455" s="891"/>
      <c r="J455" s="898">
        <v>1.02</v>
      </c>
      <c r="K455" s="890" t="s">
        <v>773</v>
      </c>
      <c r="L455" s="890">
        <v>19</v>
      </c>
      <c r="M455" s="896" t="s">
        <v>185</v>
      </c>
      <c r="N455" s="3" t="s">
        <v>1497</v>
      </c>
      <c r="O455" s="31" t="s">
        <v>701</v>
      </c>
      <c r="P455" s="700">
        <v>100</v>
      </c>
      <c r="Q455" s="700">
        <v>100</v>
      </c>
      <c r="R455" s="700">
        <v>100</v>
      </c>
      <c r="S455" s="700">
        <v>100</v>
      </c>
      <c r="T455" s="700">
        <v>100</v>
      </c>
      <c r="U455" s="700">
        <v>100</v>
      </c>
      <c r="V455" s="700">
        <v>100</v>
      </c>
      <c r="W455" s="700">
        <v>100</v>
      </c>
      <c r="X455" s="3" t="s">
        <v>1341</v>
      </c>
      <c r="Y455" s="3" t="s">
        <v>1498</v>
      </c>
      <c r="Z455" s="3"/>
    </row>
    <row r="456" spans="2:26" ht="141.75">
      <c r="B456" s="69"/>
      <c r="C456" s="891"/>
      <c r="D456" s="891"/>
      <c r="E456" s="891"/>
      <c r="F456" s="891"/>
      <c r="G456" s="891"/>
      <c r="H456" s="891"/>
      <c r="I456" s="891"/>
      <c r="J456" s="891"/>
      <c r="K456" s="891"/>
      <c r="L456" s="891"/>
      <c r="M456" s="891"/>
      <c r="N456" s="3" t="s">
        <v>1499</v>
      </c>
      <c r="O456" s="31" t="s">
        <v>701</v>
      </c>
      <c r="P456" s="700">
        <v>42.6</v>
      </c>
      <c r="Q456" s="700">
        <v>40</v>
      </c>
      <c r="R456" s="701">
        <v>42</v>
      </c>
      <c r="S456" s="701">
        <v>44</v>
      </c>
      <c r="T456" s="701">
        <v>46</v>
      </c>
      <c r="U456" s="701">
        <v>48</v>
      </c>
      <c r="V456" s="701">
        <v>50</v>
      </c>
      <c r="W456" s="701">
        <v>50</v>
      </c>
      <c r="X456" s="3" t="s">
        <v>1341</v>
      </c>
      <c r="Y456" s="3" t="s">
        <v>1500</v>
      </c>
      <c r="Z456" s="3"/>
    </row>
    <row r="457" spans="2:26" ht="157.5">
      <c r="B457" s="77"/>
      <c r="C457" s="892"/>
      <c r="D457" s="892"/>
      <c r="E457" s="892"/>
      <c r="F457" s="892"/>
      <c r="G457" s="892"/>
      <c r="H457" s="892"/>
      <c r="I457" s="892"/>
      <c r="J457" s="892"/>
      <c r="K457" s="892"/>
      <c r="L457" s="892"/>
      <c r="M457" s="892"/>
      <c r="N457" s="3" t="s">
        <v>1501</v>
      </c>
      <c r="O457" s="31" t="s">
        <v>701</v>
      </c>
      <c r="P457" s="716">
        <v>74.099999999999994</v>
      </c>
      <c r="Q457" s="717">
        <v>74.099999999999994</v>
      </c>
      <c r="R457" s="718">
        <v>80</v>
      </c>
      <c r="S457" s="718">
        <v>80</v>
      </c>
      <c r="T457" s="718">
        <v>80</v>
      </c>
      <c r="U457" s="718">
        <v>80</v>
      </c>
      <c r="V457" s="718">
        <v>80</v>
      </c>
      <c r="W457" s="718">
        <v>80</v>
      </c>
      <c r="X457" s="3" t="s">
        <v>1341</v>
      </c>
      <c r="Y457" s="3" t="s">
        <v>1502</v>
      </c>
      <c r="Z457" s="3"/>
    </row>
    <row r="458" spans="2:26" ht="94.5">
      <c r="B458" s="37" t="s">
        <v>1503</v>
      </c>
      <c r="C458" s="890">
        <v>7</v>
      </c>
      <c r="D458" s="890" t="s">
        <v>1504</v>
      </c>
      <c r="E458" s="890">
        <v>7</v>
      </c>
      <c r="F458" s="890" t="s">
        <v>1505</v>
      </c>
      <c r="G458" s="890" t="s">
        <v>1506</v>
      </c>
      <c r="H458" s="890" t="s">
        <v>1482</v>
      </c>
      <c r="I458" s="890" t="s">
        <v>4982</v>
      </c>
      <c r="J458" s="3"/>
      <c r="K458" s="3"/>
      <c r="L458" s="3"/>
      <c r="M458" s="3"/>
      <c r="N458" s="3"/>
      <c r="O458" s="31"/>
      <c r="P458" s="31"/>
      <c r="Q458" s="31"/>
      <c r="R458" s="31"/>
      <c r="S458" s="31"/>
      <c r="T458" s="31"/>
      <c r="U458" s="31"/>
      <c r="V458" s="31"/>
      <c r="W458" s="3"/>
      <c r="X458" s="3"/>
      <c r="Y458" s="3"/>
      <c r="Z458" s="3"/>
    </row>
    <row r="459" spans="2:26" ht="47.25">
      <c r="B459" s="69"/>
      <c r="C459" s="891"/>
      <c r="D459" s="891"/>
      <c r="E459" s="891"/>
      <c r="F459" s="891"/>
      <c r="G459" s="891"/>
      <c r="H459" s="891"/>
      <c r="I459" s="891"/>
      <c r="J459" s="890">
        <v>1.1200000000000001</v>
      </c>
      <c r="K459" s="890" t="s">
        <v>773</v>
      </c>
      <c r="L459" s="890">
        <v>28</v>
      </c>
      <c r="M459" s="29" t="s">
        <v>1826</v>
      </c>
      <c r="N459" s="3" t="s">
        <v>1825</v>
      </c>
      <c r="O459" s="31"/>
      <c r="P459" s="31"/>
      <c r="Q459" s="31"/>
      <c r="R459" s="31"/>
      <c r="S459" s="31"/>
      <c r="T459" s="31"/>
      <c r="U459" s="31"/>
      <c r="V459" s="31"/>
      <c r="W459" s="3"/>
      <c r="X459" s="3" t="s">
        <v>904</v>
      </c>
      <c r="Y459" s="3"/>
      <c r="Z459" s="3"/>
    </row>
    <row r="460" spans="2:26" ht="173.25">
      <c r="B460" s="69"/>
      <c r="C460" s="891"/>
      <c r="D460" s="891"/>
      <c r="E460" s="891"/>
      <c r="F460" s="891"/>
      <c r="G460" s="891"/>
      <c r="H460" s="891"/>
      <c r="I460" s="891"/>
      <c r="J460" s="891"/>
      <c r="K460" s="891"/>
      <c r="L460" s="891"/>
      <c r="M460" s="891"/>
      <c r="N460" s="3" t="s">
        <v>2062</v>
      </c>
      <c r="O460" s="31" t="s">
        <v>701</v>
      </c>
      <c r="P460" s="31" t="s">
        <v>2068</v>
      </c>
      <c r="Q460" s="31" t="s">
        <v>2069</v>
      </c>
      <c r="R460" s="31" t="s">
        <v>2069</v>
      </c>
      <c r="S460" s="31" t="s">
        <v>2070</v>
      </c>
      <c r="T460" s="31" t="s">
        <v>2071</v>
      </c>
      <c r="U460" s="31" t="s">
        <v>2072</v>
      </c>
      <c r="V460" s="31" t="s">
        <v>2073</v>
      </c>
      <c r="W460" s="31" t="s">
        <v>2073</v>
      </c>
      <c r="X460" s="3" t="s">
        <v>904</v>
      </c>
      <c r="Y460" s="1" t="s">
        <v>2102</v>
      </c>
      <c r="Z460" s="3" t="s">
        <v>1507</v>
      </c>
    </row>
    <row r="461" spans="2:26" ht="409.5">
      <c r="B461" s="69"/>
      <c r="C461" s="891"/>
      <c r="D461" s="891"/>
      <c r="E461" s="891"/>
      <c r="F461" s="891"/>
      <c r="G461" s="891"/>
      <c r="H461" s="891"/>
      <c r="I461" s="891"/>
      <c r="J461" s="891"/>
      <c r="K461" s="891"/>
      <c r="L461" s="891"/>
      <c r="M461" s="891"/>
      <c r="N461" s="3" t="s">
        <v>2063</v>
      </c>
      <c r="O461" s="31" t="s">
        <v>701</v>
      </c>
      <c r="P461" s="31" t="s">
        <v>2074</v>
      </c>
      <c r="Q461" s="31" t="s">
        <v>2075</v>
      </c>
      <c r="R461" s="31" t="s">
        <v>2075</v>
      </c>
      <c r="S461" s="31" t="s">
        <v>2076</v>
      </c>
      <c r="T461" s="31" t="s">
        <v>2077</v>
      </c>
      <c r="U461" s="31" t="s">
        <v>2078</v>
      </c>
      <c r="V461" s="31" t="s">
        <v>2079</v>
      </c>
      <c r="W461" s="31" t="s">
        <v>2079</v>
      </c>
      <c r="X461" s="3" t="s">
        <v>904</v>
      </c>
      <c r="Y461" s="1" t="s">
        <v>2101</v>
      </c>
      <c r="Z461" s="3" t="s">
        <v>1508</v>
      </c>
    </row>
    <row r="462" spans="2:26" ht="409.5">
      <c r="B462" s="69"/>
      <c r="C462" s="891"/>
      <c r="D462" s="891"/>
      <c r="E462" s="891"/>
      <c r="F462" s="891"/>
      <c r="G462" s="891"/>
      <c r="H462" s="891"/>
      <c r="I462" s="891"/>
      <c r="J462" s="891"/>
      <c r="K462" s="891"/>
      <c r="L462" s="891"/>
      <c r="M462" s="891"/>
      <c r="N462" s="3" t="s">
        <v>2064</v>
      </c>
      <c r="O462" s="31" t="s">
        <v>701</v>
      </c>
      <c r="P462" s="31" t="s">
        <v>2080</v>
      </c>
      <c r="Q462" s="31" t="s">
        <v>2081</v>
      </c>
      <c r="R462" s="31" t="s">
        <v>2081</v>
      </c>
      <c r="S462" s="31" t="s">
        <v>2082</v>
      </c>
      <c r="T462" s="31" t="s">
        <v>2083</v>
      </c>
      <c r="U462" s="31" t="s">
        <v>2084</v>
      </c>
      <c r="V462" s="31" t="s">
        <v>2085</v>
      </c>
      <c r="W462" s="31" t="s">
        <v>2085</v>
      </c>
      <c r="X462" s="3" t="s">
        <v>904</v>
      </c>
      <c r="Y462" s="1" t="s">
        <v>2100</v>
      </c>
      <c r="Z462" s="3" t="s">
        <v>1509</v>
      </c>
    </row>
    <row r="463" spans="2:26" ht="409.5">
      <c r="B463" s="69"/>
      <c r="C463" s="891"/>
      <c r="D463" s="891"/>
      <c r="E463" s="891"/>
      <c r="F463" s="891"/>
      <c r="G463" s="891"/>
      <c r="H463" s="891"/>
      <c r="I463" s="891"/>
      <c r="J463" s="891"/>
      <c r="K463" s="891"/>
      <c r="L463" s="891"/>
      <c r="M463" s="891"/>
      <c r="N463" s="3" t="s">
        <v>2065</v>
      </c>
      <c r="O463" s="31" t="s">
        <v>701</v>
      </c>
      <c r="P463" s="31" t="s">
        <v>2086</v>
      </c>
      <c r="Q463" s="31" t="s">
        <v>2087</v>
      </c>
      <c r="R463" s="31" t="s">
        <v>2087</v>
      </c>
      <c r="S463" s="31" t="s">
        <v>2088</v>
      </c>
      <c r="T463" s="31" t="s">
        <v>2089</v>
      </c>
      <c r="U463" s="31" t="s">
        <v>2090</v>
      </c>
      <c r="V463" s="31" t="s">
        <v>2091</v>
      </c>
      <c r="W463" s="31" t="s">
        <v>2091</v>
      </c>
      <c r="X463" s="3" t="s">
        <v>904</v>
      </c>
      <c r="Y463" s="1" t="s">
        <v>2099</v>
      </c>
      <c r="Z463" s="3" t="s">
        <v>1510</v>
      </c>
    </row>
    <row r="464" spans="2:26" ht="346.5">
      <c r="B464" s="69"/>
      <c r="C464" s="892"/>
      <c r="D464" s="892"/>
      <c r="E464" s="892"/>
      <c r="F464" s="892"/>
      <c r="G464" s="892"/>
      <c r="H464" s="892"/>
      <c r="I464" s="892"/>
      <c r="J464" s="892"/>
      <c r="K464" s="892"/>
      <c r="L464" s="892"/>
      <c r="M464" s="892"/>
      <c r="N464" s="3" t="s">
        <v>2066</v>
      </c>
      <c r="O464" s="31" t="s">
        <v>701</v>
      </c>
      <c r="P464" s="31" t="s">
        <v>2092</v>
      </c>
      <c r="Q464" s="31" t="s">
        <v>2093</v>
      </c>
      <c r="R464" s="31" t="s">
        <v>2093</v>
      </c>
      <c r="S464" s="31" t="s">
        <v>2094</v>
      </c>
      <c r="T464" s="31" t="s">
        <v>2095</v>
      </c>
      <c r="U464" s="31" t="s">
        <v>2096</v>
      </c>
      <c r="V464" s="31" t="s">
        <v>2097</v>
      </c>
      <c r="W464" s="31" t="s">
        <v>2097</v>
      </c>
      <c r="X464" s="3" t="s">
        <v>904</v>
      </c>
      <c r="Y464" s="1" t="s">
        <v>2098</v>
      </c>
      <c r="Z464" s="3" t="s">
        <v>1511</v>
      </c>
    </row>
    <row r="465" spans="2:26" ht="78.75">
      <c r="B465" s="69"/>
      <c r="C465" s="891"/>
      <c r="D465" s="891"/>
      <c r="E465" s="891"/>
      <c r="F465" s="891"/>
      <c r="G465" s="891"/>
      <c r="H465" s="891"/>
      <c r="I465" s="891"/>
      <c r="J465" s="890">
        <v>1.1200000000000001</v>
      </c>
      <c r="K465" s="890" t="s">
        <v>773</v>
      </c>
      <c r="L465" s="890">
        <v>28</v>
      </c>
      <c r="M465" s="29" t="s">
        <v>1826</v>
      </c>
      <c r="N465" s="3" t="s">
        <v>1827</v>
      </c>
      <c r="O465" s="31" t="s">
        <v>701</v>
      </c>
      <c r="P465" s="31">
        <v>100</v>
      </c>
      <c r="Q465" s="31">
        <v>100</v>
      </c>
      <c r="R465" s="31">
        <v>100</v>
      </c>
      <c r="S465" s="31">
        <v>100</v>
      </c>
      <c r="T465" s="31">
        <v>100</v>
      </c>
      <c r="U465" s="31">
        <v>100</v>
      </c>
      <c r="V465" s="31">
        <v>100</v>
      </c>
      <c r="W465" s="31">
        <v>100</v>
      </c>
      <c r="X465" s="3" t="s">
        <v>904</v>
      </c>
      <c r="Y465" s="1" t="s">
        <v>1828</v>
      </c>
      <c r="Z465" s="3"/>
    </row>
    <row r="466" spans="2:26" ht="126">
      <c r="B466" s="69"/>
      <c r="C466" s="890"/>
      <c r="D466" s="890"/>
      <c r="E466" s="890">
        <v>8</v>
      </c>
      <c r="F466" s="890" t="s">
        <v>1512</v>
      </c>
      <c r="G466" s="890" t="s">
        <v>1513</v>
      </c>
      <c r="H466" s="890" t="s">
        <v>1482</v>
      </c>
      <c r="I466" s="890" t="s">
        <v>4983</v>
      </c>
      <c r="J466" s="3"/>
      <c r="K466" s="3"/>
      <c r="L466" s="3"/>
      <c r="M466" s="3"/>
      <c r="N466" s="3"/>
      <c r="O466" s="31"/>
      <c r="P466" s="31"/>
      <c r="Q466" s="31"/>
      <c r="R466" s="31"/>
      <c r="S466" s="31"/>
      <c r="T466" s="31"/>
      <c r="U466" s="31"/>
      <c r="V466" s="31"/>
      <c r="W466" s="3"/>
      <c r="X466" s="3" t="s">
        <v>904</v>
      </c>
      <c r="Z466" s="3"/>
    </row>
    <row r="467" spans="2:26" ht="110.25" customHeight="1">
      <c r="B467" s="69"/>
      <c r="C467" s="891"/>
      <c r="D467" s="891"/>
      <c r="E467" s="891"/>
      <c r="F467" s="891"/>
      <c r="G467" s="891"/>
      <c r="H467" s="891"/>
      <c r="I467" s="891"/>
      <c r="J467" s="905">
        <v>1.1200000000000001</v>
      </c>
      <c r="K467" s="890" t="s">
        <v>773</v>
      </c>
      <c r="L467" s="890">
        <v>15</v>
      </c>
      <c r="M467" s="29" t="s">
        <v>1823</v>
      </c>
      <c r="N467" s="890" t="s">
        <v>1514</v>
      </c>
      <c r="O467" s="31" t="s">
        <v>701</v>
      </c>
      <c r="P467" s="31" t="s">
        <v>1903</v>
      </c>
      <c r="Q467" s="31" t="s">
        <v>1899</v>
      </c>
      <c r="R467" s="31" t="s">
        <v>1960</v>
      </c>
      <c r="S467" s="31">
        <v>3</v>
      </c>
      <c r="T467" s="31" t="s">
        <v>1961</v>
      </c>
      <c r="U467" s="31" t="s">
        <v>1962</v>
      </c>
      <c r="V467" s="31" t="s">
        <v>1963</v>
      </c>
      <c r="W467" s="31" t="s">
        <v>1963</v>
      </c>
      <c r="X467" s="3" t="s">
        <v>904</v>
      </c>
      <c r="Y467" s="3" t="s">
        <v>1515</v>
      </c>
      <c r="Z467" s="3"/>
    </row>
    <row r="468" spans="2:26" ht="94.5">
      <c r="B468" s="69"/>
      <c r="C468" s="891"/>
      <c r="D468" s="891"/>
      <c r="E468" s="891"/>
      <c r="F468" s="891"/>
      <c r="G468" s="891"/>
      <c r="H468" s="891"/>
      <c r="I468" s="891"/>
      <c r="J468" s="905">
        <v>1.1200000000000001</v>
      </c>
      <c r="K468" s="890" t="s">
        <v>773</v>
      </c>
      <c r="L468" s="890">
        <v>20</v>
      </c>
      <c r="M468" s="21" t="s">
        <v>1820</v>
      </c>
      <c r="N468" s="891" t="s">
        <v>1516</v>
      </c>
      <c r="O468" s="31" t="s">
        <v>701</v>
      </c>
      <c r="P468" s="31" t="s">
        <v>1900</v>
      </c>
      <c r="Q468" s="31" t="s">
        <v>1904</v>
      </c>
      <c r="R468" s="31" t="s">
        <v>1964</v>
      </c>
      <c r="S468" s="31" t="s">
        <v>1965</v>
      </c>
      <c r="T468" s="31" t="s">
        <v>1966</v>
      </c>
      <c r="U468" s="31" t="s">
        <v>1967</v>
      </c>
      <c r="V468" s="31">
        <v>84</v>
      </c>
      <c r="W468" s="31">
        <v>84</v>
      </c>
      <c r="X468" s="3" t="s">
        <v>904</v>
      </c>
      <c r="Y468" s="3" t="s">
        <v>1517</v>
      </c>
      <c r="Z468" s="3"/>
    </row>
    <row r="469" spans="2:26" ht="126">
      <c r="B469" s="69"/>
      <c r="C469" s="891"/>
      <c r="D469" s="891"/>
      <c r="E469" s="891"/>
      <c r="F469" s="891"/>
      <c r="G469" s="891"/>
      <c r="H469" s="891"/>
      <c r="I469" s="891"/>
      <c r="J469" s="905">
        <v>1.1200000000000001</v>
      </c>
      <c r="K469" s="890" t="s">
        <v>773</v>
      </c>
      <c r="L469" s="890">
        <v>21</v>
      </c>
      <c r="M469" s="21" t="s">
        <v>1821</v>
      </c>
      <c r="N469" s="891" t="s">
        <v>1518</v>
      </c>
      <c r="O469" s="31" t="s">
        <v>701</v>
      </c>
      <c r="P469" s="31" t="s">
        <v>1901</v>
      </c>
      <c r="Q469" s="31" t="s">
        <v>1905</v>
      </c>
      <c r="R469" s="31" t="s">
        <v>1968</v>
      </c>
      <c r="S469" s="31" t="s">
        <v>1969</v>
      </c>
      <c r="T469" s="31" t="s">
        <v>1970</v>
      </c>
      <c r="U469" s="31" t="s">
        <v>1971</v>
      </c>
      <c r="V469" s="31" t="s">
        <v>1972</v>
      </c>
      <c r="W469" s="31" t="s">
        <v>1972</v>
      </c>
      <c r="X469" s="3" t="s">
        <v>904</v>
      </c>
      <c r="Y469" s="3" t="s">
        <v>1519</v>
      </c>
      <c r="Z469" s="3"/>
    </row>
    <row r="470" spans="2:26" ht="63">
      <c r="B470" s="69"/>
      <c r="C470" s="891"/>
      <c r="D470" s="891"/>
      <c r="E470" s="891"/>
      <c r="F470" s="891"/>
      <c r="G470" s="891"/>
      <c r="H470" s="891"/>
      <c r="I470" s="891"/>
      <c r="J470" s="905">
        <v>1.1200000000000001</v>
      </c>
      <c r="K470" s="890" t="s">
        <v>773</v>
      </c>
      <c r="L470" s="890">
        <v>23</v>
      </c>
      <c r="M470" s="21" t="s">
        <v>1824</v>
      </c>
      <c r="N470" s="891" t="s">
        <v>1520</v>
      </c>
      <c r="O470" s="31" t="s">
        <v>701</v>
      </c>
      <c r="P470" s="31" t="s">
        <v>1902</v>
      </c>
      <c r="Q470" s="31" t="s">
        <v>1906</v>
      </c>
      <c r="R470" s="31" t="s">
        <v>1973</v>
      </c>
      <c r="S470" s="31" t="s">
        <v>1974</v>
      </c>
      <c r="T470" s="31" t="s">
        <v>1975</v>
      </c>
      <c r="U470" s="31" t="s">
        <v>1976</v>
      </c>
      <c r="V470" s="31" t="s">
        <v>1977</v>
      </c>
      <c r="W470" s="31" t="s">
        <v>1977</v>
      </c>
      <c r="X470" s="3" t="s">
        <v>904</v>
      </c>
      <c r="Y470" s="3" t="s">
        <v>1521</v>
      </c>
      <c r="Z470" s="3"/>
    </row>
    <row r="471" spans="2:26" ht="94.5">
      <c r="B471" s="69"/>
      <c r="C471" s="891"/>
      <c r="D471" s="891"/>
      <c r="E471" s="891"/>
      <c r="F471" s="891"/>
      <c r="G471" s="891"/>
      <c r="H471" s="891"/>
      <c r="I471" s="891"/>
      <c r="J471" s="905">
        <v>1.1200000000000001</v>
      </c>
      <c r="K471" s="890" t="s">
        <v>773</v>
      </c>
      <c r="L471" s="890">
        <v>24</v>
      </c>
      <c r="M471" s="21" t="s">
        <v>1822</v>
      </c>
      <c r="N471" s="891" t="s">
        <v>1522</v>
      </c>
      <c r="O471" s="31" t="s">
        <v>701</v>
      </c>
      <c r="P471" s="31" t="s">
        <v>1907</v>
      </c>
      <c r="Q471" s="31" t="s">
        <v>1908</v>
      </c>
      <c r="R471" s="31" t="s">
        <v>1978</v>
      </c>
      <c r="S471" s="31" t="s">
        <v>1979</v>
      </c>
      <c r="T471" s="31" t="s">
        <v>1980</v>
      </c>
      <c r="U471" s="31" t="s">
        <v>1981</v>
      </c>
      <c r="V471" s="31">
        <v>86</v>
      </c>
      <c r="W471" s="31">
        <v>86</v>
      </c>
      <c r="X471" s="3" t="s">
        <v>904</v>
      </c>
      <c r="Y471" s="3" t="s">
        <v>1523</v>
      </c>
      <c r="Z471" s="3"/>
    </row>
    <row r="472" spans="2:26" ht="110.25">
      <c r="B472" s="69"/>
      <c r="C472" s="891"/>
      <c r="D472" s="891"/>
      <c r="E472" s="891"/>
      <c r="F472" s="891"/>
      <c r="G472" s="891"/>
      <c r="H472" s="891"/>
      <c r="I472" s="891"/>
      <c r="J472" s="906"/>
      <c r="K472" s="891"/>
      <c r="L472" s="891"/>
      <c r="M472" s="21"/>
      <c r="N472" s="891" t="s">
        <v>1524</v>
      </c>
      <c r="O472" s="31" t="s">
        <v>921</v>
      </c>
      <c r="P472" s="719" t="s">
        <v>1909</v>
      </c>
      <c r="Q472" s="32" t="s">
        <v>1909</v>
      </c>
      <c r="R472" s="32" t="s">
        <v>1985</v>
      </c>
      <c r="S472" s="32" t="s">
        <v>1982</v>
      </c>
      <c r="T472" s="32" t="s">
        <v>1983</v>
      </c>
      <c r="U472" s="32" t="s">
        <v>1983</v>
      </c>
      <c r="V472" s="32" t="s">
        <v>1984</v>
      </c>
      <c r="W472" s="32" t="s">
        <v>1984</v>
      </c>
      <c r="X472" s="3" t="s">
        <v>904</v>
      </c>
      <c r="Y472" s="3" t="s">
        <v>1525</v>
      </c>
      <c r="Z472" s="3" t="s">
        <v>1526</v>
      </c>
    </row>
    <row r="473" spans="2:26" ht="63">
      <c r="B473" s="69"/>
      <c r="C473" s="891"/>
      <c r="D473" s="891"/>
      <c r="E473" s="891"/>
      <c r="F473" s="891"/>
      <c r="G473" s="891"/>
      <c r="H473" s="891"/>
      <c r="I473" s="891"/>
      <c r="J473" s="891"/>
      <c r="K473" s="891"/>
      <c r="L473" s="891"/>
      <c r="M473" s="21"/>
      <c r="N473" s="891" t="s">
        <v>1527</v>
      </c>
      <c r="O473" s="31" t="s">
        <v>921</v>
      </c>
      <c r="P473" s="719" t="s">
        <v>2104</v>
      </c>
      <c r="Q473" s="719" t="s">
        <v>2104</v>
      </c>
      <c r="R473" s="719" t="s">
        <v>2104</v>
      </c>
      <c r="S473" s="719" t="s">
        <v>2104</v>
      </c>
      <c r="T473" s="719" t="s">
        <v>2104</v>
      </c>
      <c r="U473" s="719" t="s">
        <v>2104</v>
      </c>
      <c r="V473" s="719" t="s">
        <v>2104</v>
      </c>
      <c r="W473" s="719" t="s">
        <v>2104</v>
      </c>
      <c r="X473" s="3" t="s">
        <v>904</v>
      </c>
      <c r="Y473" s="3" t="s">
        <v>1528</v>
      </c>
      <c r="Z473" s="3"/>
    </row>
    <row r="474" spans="2:26" ht="63">
      <c r="B474" s="69"/>
      <c r="C474" s="891"/>
      <c r="D474" s="891"/>
      <c r="E474" s="891"/>
      <c r="F474" s="891"/>
      <c r="G474" s="891"/>
      <c r="H474" s="891"/>
      <c r="I474" s="891"/>
      <c r="J474" s="891"/>
      <c r="K474" s="891"/>
      <c r="L474" s="891"/>
      <c r="M474" s="21"/>
      <c r="N474" s="891" t="s">
        <v>1532</v>
      </c>
      <c r="O474" s="31" t="s">
        <v>701</v>
      </c>
      <c r="P474" s="31" t="s">
        <v>1910</v>
      </c>
      <c r="Q474" s="31" t="s">
        <v>1911</v>
      </c>
      <c r="R474" s="31" t="s">
        <v>1986</v>
      </c>
      <c r="S474" s="31" t="s">
        <v>1987</v>
      </c>
      <c r="T474" s="31" t="s">
        <v>1988</v>
      </c>
      <c r="U474" s="31" t="s">
        <v>1989</v>
      </c>
      <c r="V474" s="31" t="s">
        <v>1990</v>
      </c>
      <c r="W474" s="31" t="s">
        <v>1990</v>
      </c>
      <c r="X474" s="3" t="s">
        <v>904</v>
      </c>
      <c r="Y474" s="3" t="s">
        <v>1533</v>
      </c>
      <c r="Z474" s="3"/>
    </row>
    <row r="475" spans="2:26" ht="47.25">
      <c r="B475" s="69"/>
      <c r="C475" s="891"/>
      <c r="D475" s="891"/>
      <c r="E475" s="891"/>
      <c r="F475" s="891"/>
      <c r="G475" s="891"/>
      <c r="H475" s="891"/>
      <c r="I475" s="891"/>
      <c r="J475" s="891"/>
      <c r="K475" s="891"/>
      <c r="L475" s="891"/>
      <c r="M475" s="21"/>
      <c r="N475" s="891" t="s">
        <v>1530</v>
      </c>
      <c r="O475" s="31" t="s">
        <v>701</v>
      </c>
      <c r="P475" s="31" t="s">
        <v>1991</v>
      </c>
      <c r="Q475" s="31" t="s">
        <v>1991</v>
      </c>
      <c r="R475" s="31" t="s">
        <v>1992</v>
      </c>
      <c r="S475" s="31" t="s">
        <v>1993</v>
      </c>
      <c r="T475" s="31" t="s">
        <v>1995</v>
      </c>
      <c r="U475" s="31" t="s">
        <v>1994</v>
      </c>
      <c r="V475" s="31" t="s">
        <v>1996</v>
      </c>
      <c r="W475" s="31" t="s">
        <v>1996</v>
      </c>
      <c r="X475" s="3" t="s">
        <v>904</v>
      </c>
      <c r="Y475" s="3"/>
      <c r="Z475" s="3" t="s">
        <v>1531</v>
      </c>
    </row>
    <row r="476" spans="2:26" ht="63">
      <c r="B476" s="69"/>
      <c r="C476" s="891"/>
      <c r="D476" s="891"/>
      <c r="E476" s="891"/>
      <c r="F476" s="891"/>
      <c r="G476" s="891"/>
      <c r="H476" s="891"/>
      <c r="I476" s="891"/>
      <c r="J476" s="891"/>
      <c r="K476" s="891"/>
      <c r="L476" s="891"/>
      <c r="M476" s="42"/>
      <c r="N476" s="892" t="s">
        <v>2067</v>
      </c>
      <c r="O476" s="31"/>
      <c r="P476" s="31">
        <v>19.428000000000001</v>
      </c>
      <c r="Q476" s="31">
        <v>17.274000000000001</v>
      </c>
      <c r="R476" s="31">
        <v>14.073</v>
      </c>
      <c r="S476" s="31">
        <v>14.065</v>
      </c>
      <c r="T476" s="31">
        <v>14.058999999999999</v>
      </c>
      <c r="U476" s="31">
        <v>14.057</v>
      </c>
      <c r="V476" s="31">
        <v>14.055</v>
      </c>
      <c r="W476" s="31">
        <v>14.055</v>
      </c>
      <c r="X476" s="3" t="s">
        <v>904</v>
      </c>
      <c r="Y476" s="3" t="s">
        <v>2103</v>
      </c>
      <c r="Z476" s="3"/>
    </row>
    <row r="477" spans="2:26" ht="78.75">
      <c r="B477" s="77"/>
      <c r="C477" s="892"/>
      <c r="D477" s="892"/>
      <c r="E477" s="892"/>
      <c r="F477" s="892"/>
      <c r="G477" s="892"/>
      <c r="H477" s="892"/>
      <c r="I477" s="892"/>
      <c r="J477" s="3">
        <v>1.1200000000000001</v>
      </c>
      <c r="K477" s="3" t="s">
        <v>773</v>
      </c>
      <c r="L477" s="3">
        <v>17</v>
      </c>
      <c r="M477" s="3" t="s">
        <v>1816</v>
      </c>
      <c r="N477" s="3" t="s">
        <v>1817</v>
      </c>
      <c r="O477" s="31" t="s">
        <v>701</v>
      </c>
      <c r="P477" s="34">
        <v>4</v>
      </c>
      <c r="Q477" s="34">
        <v>4</v>
      </c>
      <c r="R477" s="34">
        <v>3</v>
      </c>
      <c r="S477" s="34">
        <v>3</v>
      </c>
      <c r="T477" s="34">
        <v>3</v>
      </c>
      <c r="U477" s="34">
        <v>3</v>
      </c>
      <c r="V477" s="34">
        <v>3</v>
      </c>
      <c r="W477" s="34">
        <v>3</v>
      </c>
      <c r="X477" s="3" t="s">
        <v>904</v>
      </c>
      <c r="Y477" s="3" t="s">
        <v>1529</v>
      </c>
      <c r="Z477" s="3"/>
    </row>
    <row r="478" spans="2:26">
      <c r="B478" s="71" t="s">
        <v>154</v>
      </c>
    </row>
    <row r="479" spans="2:26" ht="126">
      <c r="B479" s="37" t="s">
        <v>1534</v>
      </c>
      <c r="C479" s="890">
        <v>1</v>
      </c>
      <c r="D479" s="890" t="s">
        <v>1535</v>
      </c>
      <c r="E479" s="890">
        <v>1</v>
      </c>
      <c r="F479" s="890" t="s">
        <v>1536</v>
      </c>
      <c r="G479" s="890" t="s">
        <v>1537</v>
      </c>
      <c r="H479" s="890" t="s">
        <v>1538</v>
      </c>
      <c r="I479" s="890" t="s">
        <v>1539</v>
      </c>
      <c r="J479" s="3"/>
      <c r="K479" s="3"/>
      <c r="L479" s="3"/>
      <c r="N479" s="3"/>
      <c r="O479" s="449"/>
      <c r="P479" s="449"/>
      <c r="Q479" s="449"/>
      <c r="R479" s="449"/>
      <c r="S479" s="449"/>
      <c r="T479" s="449"/>
      <c r="U479" s="449"/>
      <c r="V479" s="449"/>
      <c r="W479" s="449"/>
      <c r="X479" s="3"/>
      <c r="Y479" s="3"/>
      <c r="Z479" s="3"/>
    </row>
    <row r="480" spans="2:26" ht="78.75">
      <c r="B480" s="69"/>
      <c r="C480" s="891"/>
      <c r="D480" s="891"/>
      <c r="E480" s="891"/>
      <c r="F480" s="891"/>
      <c r="G480" s="891"/>
      <c r="H480" s="891"/>
      <c r="I480" s="891"/>
      <c r="J480" s="95">
        <v>1.06</v>
      </c>
      <c r="K480" s="3" t="s">
        <v>773</v>
      </c>
      <c r="L480" s="1">
        <v>15</v>
      </c>
      <c r="M480" s="890" t="s">
        <v>1540</v>
      </c>
      <c r="N480" s="3" t="s">
        <v>1541</v>
      </c>
      <c r="O480" s="449" t="s">
        <v>1542</v>
      </c>
      <c r="P480" s="449"/>
      <c r="Q480" s="449"/>
      <c r="R480" s="449"/>
      <c r="S480" s="449">
        <v>1</v>
      </c>
      <c r="T480" s="449">
        <v>1</v>
      </c>
      <c r="U480" s="449">
        <v>1</v>
      </c>
      <c r="V480" s="449">
        <v>1</v>
      </c>
      <c r="W480" s="449">
        <v>4</v>
      </c>
      <c r="X480" s="890" t="s">
        <v>1543</v>
      </c>
      <c r="Y480" s="3" t="s">
        <v>1803</v>
      </c>
      <c r="Z480" s="3" t="s">
        <v>2027</v>
      </c>
    </row>
    <row r="481" spans="2:26" ht="126">
      <c r="B481" s="69"/>
      <c r="C481" s="891"/>
      <c r="D481" s="891"/>
      <c r="E481" s="891"/>
      <c r="F481" s="891"/>
      <c r="G481" s="891"/>
      <c r="H481" s="891"/>
      <c r="I481" s="891"/>
      <c r="J481" s="3"/>
      <c r="K481" s="3"/>
      <c r="L481" s="3"/>
      <c r="M481" s="891"/>
      <c r="N481" s="3" t="s">
        <v>1804</v>
      </c>
      <c r="O481" s="449" t="s">
        <v>701</v>
      </c>
      <c r="P481" s="449">
        <v>100</v>
      </c>
      <c r="Q481" s="449">
        <v>100</v>
      </c>
      <c r="R481" s="449">
        <v>100</v>
      </c>
      <c r="S481" s="449">
        <v>100</v>
      </c>
      <c r="T481" s="449">
        <v>100</v>
      </c>
      <c r="U481" s="449">
        <v>100</v>
      </c>
      <c r="V481" s="449">
        <v>100</v>
      </c>
      <c r="W481" s="449">
        <v>100</v>
      </c>
      <c r="X481" s="891" t="s">
        <v>1543</v>
      </c>
      <c r="Y481" s="3" t="s">
        <v>1805</v>
      </c>
      <c r="Z481" s="3"/>
    </row>
    <row r="482" spans="2:26">
      <c r="B482" s="69"/>
      <c r="C482" s="891"/>
      <c r="D482" s="891"/>
      <c r="E482" s="891"/>
      <c r="F482" s="891"/>
      <c r="G482" s="891"/>
      <c r="H482" s="891"/>
      <c r="I482" s="891"/>
      <c r="J482" s="3"/>
      <c r="K482" s="3"/>
      <c r="L482" s="3"/>
      <c r="M482" s="891"/>
      <c r="N482" s="3"/>
      <c r="O482" s="449"/>
      <c r="P482" s="449"/>
      <c r="Q482" s="449"/>
      <c r="R482" s="449"/>
      <c r="S482" s="449"/>
      <c r="T482" s="449"/>
      <c r="U482" s="449"/>
      <c r="V482" s="449"/>
      <c r="W482" s="449"/>
      <c r="X482" s="891"/>
      <c r="Y482" s="3"/>
      <c r="Z482" s="3"/>
    </row>
    <row r="483" spans="2:26" ht="94.5">
      <c r="B483" s="69"/>
      <c r="C483" s="891"/>
      <c r="D483" s="891"/>
      <c r="E483" s="891"/>
      <c r="F483" s="891"/>
      <c r="G483" s="891"/>
      <c r="H483" s="891"/>
      <c r="I483" s="891"/>
      <c r="J483" s="3"/>
      <c r="K483" s="3"/>
      <c r="L483" s="3"/>
      <c r="M483" s="891"/>
      <c r="N483" s="3" t="s">
        <v>1545</v>
      </c>
      <c r="O483" s="449" t="s">
        <v>921</v>
      </c>
      <c r="P483" s="454">
        <f>1/6</f>
        <v>0.16666666666666666</v>
      </c>
      <c r="Q483" s="454">
        <f>1/6</f>
        <v>0.16666666666666666</v>
      </c>
      <c r="R483" s="449" t="s">
        <v>1546</v>
      </c>
      <c r="S483" s="449" t="s">
        <v>1546</v>
      </c>
      <c r="T483" s="449" t="s">
        <v>1547</v>
      </c>
      <c r="U483" s="449" t="s">
        <v>1547</v>
      </c>
      <c r="V483" s="449" t="s">
        <v>1548</v>
      </c>
      <c r="W483" s="449" t="s">
        <v>1548</v>
      </c>
      <c r="X483" s="891" t="s">
        <v>1549</v>
      </c>
      <c r="Y483" s="3" t="s">
        <v>1550</v>
      </c>
      <c r="Z483" s="3" t="s">
        <v>1551</v>
      </c>
    </row>
    <row r="484" spans="2:26" ht="78.75">
      <c r="B484" s="69"/>
      <c r="C484" s="891"/>
      <c r="D484" s="891"/>
      <c r="E484" s="891"/>
      <c r="F484" s="891"/>
      <c r="G484" s="891"/>
      <c r="H484" s="891"/>
      <c r="I484" s="891"/>
      <c r="J484" s="3"/>
      <c r="K484" s="3"/>
      <c r="L484" s="3"/>
      <c r="M484" s="891"/>
      <c r="N484" s="3" t="s">
        <v>1806</v>
      </c>
      <c r="O484" s="449" t="s">
        <v>701</v>
      </c>
      <c r="P484" s="464">
        <f>5/300</f>
        <v>1.6666666666666666E-2</v>
      </c>
      <c r="Q484" s="464">
        <f>5/300</f>
        <v>1.6666666666666666E-2</v>
      </c>
      <c r="R484" s="464" t="s">
        <v>1552</v>
      </c>
      <c r="S484" s="464" t="s">
        <v>1552</v>
      </c>
      <c r="T484" s="464" t="s">
        <v>1553</v>
      </c>
      <c r="U484" s="464" t="s">
        <v>1553</v>
      </c>
      <c r="V484" s="464" t="s">
        <v>1554</v>
      </c>
      <c r="W484" s="464" t="s">
        <v>1554</v>
      </c>
      <c r="X484" s="891" t="s">
        <v>1549</v>
      </c>
      <c r="Y484" s="3" t="s">
        <v>1807</v>
      </c>
      <c r="Z484" s="3" t="s">
        <v>1808</v>
      </c>
    </row>
    <row r="485" spans="2:26" ht="126">
      <c r="B485" s="69"/>
      <c r="C485" s="891"/>
      <c r="D485" s="891"/>
      <c r="E485" s="891"/>
      <c r="F485" s="891"/>
      <c r="G485" s="891"/>
      <c r="H485" s="891"/>
      <c r="I485" s="891"/>
      <c r="J485" s="3"/>
      <c r="K485" s="3"/>
      <c r="L485" s="3"/>
      <c r="M485" s="891"/>
      <c r="N485" s="3" t="s">
        <v>1809</v>
      </c>
      <c r="O485" s="449" t="s">
        <v>1544</v>
      </c>
      <c r="P485" s="449"/>
      <c r="Q485" s="449"/>
      <c r="R485" s="449"/>
      <c r="S485" s="449">
        <v>5</v>
      </c>
      <c r="T485" s="449">
        <v>2</v>
      </c>
      <c r="U485" s="449">
        <v>5</v>
      </c>
      <c r="V485" s="449">
        <v>2</v>
      </c>
      <c r="W485" s="449">
        <v>14</v>
      </c>
      <c r="X485" s="891" t="s">
        <v>1549</v>
      </c>
      <c r="Y485" s="3" t="s">
        <v>1810</v>
      </c>
      <c r="Z485" s="3" t="s">
        <v>1811</v>
      </c>
    </row>
    <row r="486" spans="2:26" ht="63">
      <c r="B486" s="69"/>
      <c r="C486" s="891"/>
      <c r="D486" s="891"/>
      <c r="E486" s="891"/>
      <c r="F486" s="891"/>
      <c r="G486" s="891"/>
      <c r="H486" s="891"/>
      <c r="I486" s="891"/>
      <c r="J486" s="3"/>
      <c r="K486" s="3"/>
      <c r="L486" s="3"/>
      <c r="M486" s="891"/>
      <c r="N486" s="3" t="s">
        <v>1555</v>
      </c>
      <c r="O486" s="449" t="s">
        <v>701</v>
      </c>
      <c r="P486" s="449" t="s">
        <v>1556</v>
      </c>
      <c r="Q486" s="449" t="s">
        <v>1556</v>
      </c>
      <c r="R486" s="449">
        <v>100</v>
      </c>
      <c r="S486" s="449">
        <v>100</v>
      </c>
      <c r="T486" s="449">
        <v>100</v>
      </c>
      <c r="U486" s="449">
        <v>100</v>
      </c>
      <c r="V486" s="449">
        <v>100</v>
      </c>
      <c r="W486" s="449">
        <v>100</v>
      </c>
      <c r="X486" s="891" t="s">
        <v>1549</v>
      </c>
      <c r="Y486" s="3" t="s">
        <v>1557</v>
      </c>
      <c r="Z486" s="3"/>
    </row>
    <row r="487" spans="2:26" ht="157.5">
      <c r="B487" s="69"/>
      <c r="C487" s="891"/>
      <c r="D487" s="891"/>
      <c r="E487" s="891"/>
      <c r="F487" s="891"/>
      <c r="G487" s="891"/>
      <c r="H487" s="891"/>
      <c r="I487" s="891"/>
      <c r="J487" s="3"/>
      <c r="K487" s="3"/>
      <c r="L487" s="3"/>
      <c r="M487" s="891"/>
      <c r="N487" s="3" t="s">
        <v>1558</v>
      </c>
      <c r="O487" s="449" t="s">
        <v>701</v>
      </c>
      <c r="P487" s="449" t="s">
        <v>1556</v>
      </c>
      <c r="Q487" s="449" t="s">
        <v>1556</v>
      </c>
      <c r="R487" s="449">
        <v>100</v>
      </c>
      <c r="S487" s="449">
        <v>100</v>
      </c>
      <c r="T487" s="449">
        <v>100</v>
      </c>
      <c r="U487" s="449">
        <v>100</v>
      </c>
      <c r="V487" s="449">
        <v>100</v>
      </c>
      <c r="W487" s="449">
        <v>100</v>
      </c>
      <c r="X487" s="891" t="s">
        <v>1549</v>
      </c>
      <c r="Y487" s="3" t="s">
        <v>1559</v>
      </c>
      <c r="Z487" s="3" t="s">
        <v>1560</v>
      </c>
    </row>
    <row r="488" spans="2:26" ht="126">
      <c r="B488" s="69"/>
      <c r="C488" s="891"/>
      <c r="D488" s="891"/>
      <c r="E488" s="891"/>
      <c r="F488" s="891"/>
      <c r="G488" s="891"/>
      <c r="H488" s="891"/>
      <c r="I488" s="891"/>
      <c r="J488" s="3"/>
      <c r="K488" s="3"/>
      <c r="L488" s="3"/>
      <c r="M488" s="891"/>
      <c r="N488" s="3" t="s">
        <v>1561</v>
      </c>
      <c r="O488" s="449" t="s">
        <v>701</v>
      </c>
      <c r="P488" s="449">
        <v>0</v>
      </c>
      <c r="Q488" s="449">
        <v>0</v>
      </c>
      <c r="R488" s="449">
        <v>100</v>
      </c>
      <c r="S488" s="449">
        <v>100</v>
      </c>
      <c r="T488" s="449">
        <v>100</v>
      </c>
      <c r="U488" s="449">
        <v>100</v>
      </c>
      <c r="V488" s="449">
        <v>100</v>
      </c>
      <c r="W488" s="449">
        <v>100</v>
      </c>
      <c r="X488" s="891" t="s">
        <v>1549</v>
      </c>
      <c r="Y488" s="3" t="s">
        <v>1562</v>
      </c>
      <c r="Z488" s="3" t="s">
        <v>2028</v>
      </c>
    </row>
    <row r="489" spans="2:26" ht="78.75">
      <c r="B489" s="69"/>
      <c r="C489" s="891"/>
      <c r="D489" s="891"/>
      <c r="E489" s="891"/>
      <c r="F489" s="891"/>
      <c r="G489" s="891"/>
      <c r="H489" s="891"/>
      <c r="I489" s="891"/>
      <c r="J489" s="3"/>
      <c r="K489" s="3"/>
      <c r="L489" s="3"/>
      <c r="M489" s="891"/>
      <c r="N489" s="3" t="s">
        <v>1812</v>
      </c>
      <c r="O489" s="449" t="s">
        <v>701</v>
      </c>
      <c r="P489" s="449">
        <v>0</v>
      </c>
      <c r="Q489" s="449">
        <v>0</v>
      </c>
      <c r="R489" s="449">
        <v>0</v>
      </c>
      <c r="S489" s="449">
        <v>0</v>
      </c>
      <c r="T489" s="449">
        <v>0</v>
      </c>
      <c r="U489" s="449">
        <v>0</v>
      </c>
      <c r="V489" s="449">
        <v>0</v>
      </c>
      <c r="W489" s="449">
        <v>0</v>
      </c>
      <c r="X489" s="891" t="s">
        <v>1549</v>
      </c>
      <c r="Y489" s="3" t="s">
        <v>1563</v>
      </c>
      <c r="Z489" s="3" t="s">
        <v>1564</v>
      </c>
    </row>
    <row r="490" spans="2:26" ht="94.5">
      <c r="B490" s="77"/>
      <c r="C490" s="892"/>
      <c r="D490" s="892"/>
      <c r="E490" s="892"/>
      <c r="F490" s="892"/>
      <c r="G490" s="892"/>
      <c r="H490" s="892"/>
      <c r="I490" s="892"/>
      <c r="J490" s="3"/>
      <c r="K490" s="3"/>
      <c r="L490" s="3"/>
      <c r="M490" s="892"/>
      <c r="N490" s="3" t="s">
        <v>1565</v>
      </c>
      <c r="O490" s="449" t="s">
        <v>701</v>
      </c>
      <c r="P490" s="449">
        <v>0</v>
      </c>
      <c r="Q490" s="449">
        <v>0</v>
      </c>
      <c r="R490" s="449">
        <v>0</v>
      </c>
      <c r="S490" s="449">
        <v>0</v>
      </c>
      <c r="T490" s="449">
        <v>0</v>
      </c>
      <c r="U490" s="449">
        <v>0</v>
      </c>
      <c r="V490" s="449">
        <v>0</v>
      </c>
      <c r="W490" s="449">
        <v>0</v>
      </c>
      <c r="X490" s="891" t="s">
        <v>1549</v>
      </c>
      <c r="Y490" s="3" t="s">
        <v>1566</v>
      </c>
      <c r="Z490" s="3" t="s">
        <v>1564</v>
      </c>
    </row>
    <row r="491" spans="2:26" ht="78.75">
      <c r="B491" s="37" t="s">
        <v>23</v>
      </c>
      <c r="C491" s="890">
        <v>2</v>
      </c>
      <c r="D491" s="890" t="s">
        <v>1567</v>
      </c>
      <c r="E491" s="890">
        <v>2</v>
      </c>
      <c r="F491" s="890" t="s">
        <v>1568</v>
      </c>
      <c r="G491" s="890" t="s">
        <v>1569</v>
      </c>
      <c r="H491" s="890" t="s">
        <v>1538</v>
      </c>
      <c r="I491" s="890" t="s">
        <v>4984</v>
      </c>
      <c r="J491" s="95"/>
      <c r="K491" s="95"/>
      <c r="L491" s="3"/>
      <c r="M491" s="3"/>
      <c r="N491" s="3"/>
      <c r="O491" s="449"/>
      <c r="P491" s="449"/>
      <c r="Q491" s="449"/>
      <c r="R491" s="449"/>
      <c r="S491" s="449"/>
      <c r="T491" s="449"/>
      <c r="U491" s="449"/>
      <c r="V491" s="449"/>
      <c r="W491" s="449"/>
      <c r="X491" s="3"/>
      <c r="Y491" s="3"/>
      <c r="Z491" s="3"/>
    </row>
    <row r="492" spans="2:26" ht="94.5">
      <c r="B492" s="69"/>
      <c r="C492" s="891"/>
      <c r="D492" s="891"/>
      <c r="E492" s="891"/>
      <c r="F492" s="891"/>
      <c r="G492" s="891"/>
      <c r="H492" s="891"/>
      <c r="I492" s="891"/>
      <c r="J492" s="95">
        <v>1.0900000000000001</v>
      </c>
      <c r="K492" s="3" t="s">
        <v>773</v>
      </c>
      <c r="L492" s="3">
        <v>16</v>
      </c>
      <c r="M492" s="890" t="s">
        <v>1570</v>
      </c>
      <c r="N492" s="890" t="s">
        <v>1571</v>
      </c>
      <c r="O492" s="449" t="s">
        <v>701</v>
      </c>
      <c r="P492" s="449" t="s">
        <v>1925</v>
      </c>
      <c r="Q492" s="449" t="s">
        <v>1926</v>
      </c>
      <c r="R492" s="449" t="s">
        <v>1927</v>
      </c>
      <c r="S492" s="449" t="s">
        <v>1928</v>
      </c>
      <c r="T492" s="449" t="s">
        <v>1929</v>
      </c>
      <c r="U492" s="449" t="s">
        <v>1930</v>
      </c>
      <c r="V492" s="449">
        <v>100</v>
      </c>
      <c r="W492" s="449">
        <v>100</v>
      </c>
      <c r="X492" s="3" t="s">
        <v>1572</v>
      </c>
      <c r="Y492" s="3" t="s">
        <v>1573</v>
      </c>
      <c r="Z492" s="3" t="s">
        <v>1574</v>
      </c>
    </row>
    <row r="493" spans="2:26" ht="189">
      <c r="B493" s="77"/>
      <c r="C493" s="892"/>
      <c r="D493" s="892"/>
      <c r="E493" s="892"/>
      <c r="F493" s="892"/>
      <c r="G493" s="892"/>
      <c r="H493" s="892"/>
      <c r="I493" s="892"/>
      <c r="J493" s="95">
        <v>1.0900000000000001</v>
      </c>
      <c r="K493" s="3" t="s">
        <v>773</v>
      </c>
      <c r="L493" s="3">
        <v>17</v>
      </c>
      <c r="M493" s="890" t="s">
        <v>1575</v>
      </c>
      <c r="N493" s="3" t="s">
        <v>1576</v>
      </c>
      <c r="O493" s="449" t="s">
        <v>701</v>
      </c>
      <c r="P493" s="456">
        <v>5</v>
      </c>
      <c r="Q493" s="456">
        <v>7.5</v>
      </c>
      <c r="R493" s="456">
        <v>7.5</v>
      </c>
      <c r="S493" s="456">
        <v>12.5</v>
      </c>
      <c r="T493" s="456">
        <v>15</v>
      </c>
      <c r="U493" s="456">
        <v>17.5</v>
      </c>
      <c r="V493" s="456">
        <v>20</v>
      </c>
      <c r="W493" s="456">
        <v>20</v>
      </c>
      <c r="X493" s="3" t="s">
        <v>1572</v>
      </c>
      <c r="Y493" s="3" t="s">
        <v>1578</v>
      </c>
      <c r="Z493" s="3" t="s">
        <v>1952</v>
      </c>
    </row>
    <row r="494" spans="2:26" ht="204.75">
      <c r="B494" s="37" t="s">
        <v>1579</v>
      </c>
      <c r="C494" s="890">
        <v>3</v>
      </c>
      <c r="D494" s="890" t="s">
        <v>1580</v>
      </c>
      <c r="E494" s="890">
        <v>3</v>
      </c>
      <c r="F494" s="890" t="s">
        <v>1581</v>
      </c>
      <c r="G494" s="890" t="s">
        <v>1582</v>
      </c>
      <c r="H494" s="890" t="s">
        <v>1583</v>
      </c>
      <c r="I494" s="890" t="s">
        <v>4985</v>
      </c>
      <c r="J494" s="3"/>
      <c r="K494" s="3"/>
      <c r="L494" s="3"/>
      <c r="M494" s="3"/>
      <c r="N494" s="3"/>
      <c r="O494" s="449"/>
      <c r="P494" s="449"/>
      <c r="Q494" s="449"/>
      <c r="R494" s="449"/>
      <c r="S494" s="449"/>
      <c r="T494" s="449"/>
      <c r="U494" s="449"/>
      <c r="V494" s="449"/>
      <c r="W494" s="449"/>
      <c r="X494" s="3"/>
      <c r="Y494" s="3"/>
      <c r="Z494" s="3"/>
    </row>
    <row r="495" spans="2:26" ht="63">
      <c r="B495" s="69"/>
      <c r="C495" s="891"/>
      <c r="D495" s="891"/>
      <c r="E495" s="891"/>
      <c r="F495" s="891"/>
      <c r="G495" s="891"/>
      <c r="H495" s="891"/>
      <c r="I495" s="891"/>
      <c r="J495" s="898" t="s">
        <v>450</v>
      </c>
      <c r="K495" s="890" t="s">
        <v>773</v>
      </c>
      <c r="L495" s="890">
        <v>33</v>
      </c>
      <c r="M495" s="890" t="s">
        <v>1584</v>
      </c>
      <c r="N495" s="3" t="s">
        <v>1589</v>
      </c>
      <c r="O495" s="449" t="s">
        <v>701</v>
      </c>
      <c r="P495" s="456">
        <v>1.6</v>
      </c>
      <c r="Q495" s="456">
        <v>1.3</v>
      </c>
      <c r="R495" s="456">
        <v>1.4</v>
      </c>
      <c r="S495" s="456">
        <v>1.5</v>
      </c>
      <c r="T495" s="456">
        <v>1.6</v>
      </c>
      <c r="U495" s="456">
        <v>1.8</v>
      </c>
      <c r="V495" s="456">
        <v>1.9</v>
      </c>
      <c r="W495" s="456">
        <v>1.9</v>
      </c>
      <c r="X495" s="890" t="s">
        <v>1586</v>
      </c>
      <c r="Y495" s="3" t="s">
        <v>1847</v>
      </c>
      <c r="Z495" s="3"/>
    </row>
    <row r="496" spans="2:26" ht="78.75">
      <c r="B496" s="69"/>
      <c r="C496" s="891"/>
      <c r="D496" s="891"/>
      <c r="E496" s="891"/>
      <c r="F496" s="891"/>
      <c r="G496" s="891"/>
      <c r="H496" s="891"/>
      <c r="I496" s="891"/>
      <c r="J496" s="891"/>
      <c r="K496" s="891"/>
      <c r="L496" s="891"/>
      <c r="M496" s="134"/>
      <c r="N496" s="3" t="s">
        <v>1590</v>
      </c>
      <c r="O496" s="449" t="s">
        <v>701</v>
      </c>
      <c r="P496" s="457">
        <f>160/8608*100</f>
        <v>1.8587360594795539</v>
      </c>
      <c r="Q496" s="457">
        <f>158/8298*100</f>
        <v>1.9040732706676309</v>
      </c>
      <c r="R496" s="458">
        <v>2.1</v>
      </c>
      <c r="S496" s="458">
        <v>2.4</v>
      </c>
      <c r="T496" s="458">
        <v>2.6</v>
      </c>
      <c r="U496" s="458">
        <v>2.8</v>
      </c>
      <c r="V496" s="458">
        <v>3</v>
      </c>
      <c r="W496" s="458">
        <v>3</v>
      </c>
      <c r="X496" s="890" t="s">
        <v>1586</v>
      </c>
      <c r="Y496" s="3" t="s">
        <v>1846</v>
      </c>
      <c r="Z496" s="3"/>
    </row>
    <row r="497" spans="2:26" ht="94.5">
      <c r="B497" s="69"/>
      <c r="C497" s="891"/>
      <c r="D497" s="891"/>
      <c r="E497" s="891"/>
      <c r="F497" s="891"/>
      <c r="G497" s="891"/>
      <c r="H497" s="891"/>
      <c r="I497" s="891"/>
      <c r="J497" s="95" t="s">
        <v>450</v>
      </c>
      <c r="K497" s="3" t="s">
        <v>773</v>
      </c>
      <c r="L497" s="3">
        <v>32</v>
      </c>
      <c r="M497" s="3" t="s">
        <v>486</v>
      </c>
      <c r="N497" s="3" t="s">
        <v>1591</v>
      </c>
      <c r="O497" s="449" t="s">
        <v>701</v>
      </c>
      <c r="P497" s="456">
        <v>50</v>
      </c>
      <c r="Q497" s="456">
        <v>39</v>
      </c>
      <c r="R497" s="456">
        <v>37</v>
      </c>
      <c r="S497" s="456">
        <v>37</v>
      </c>
      <c r="T497" s="456">
        <v>36</v>
      </c>
      <c r="U497" s="456">
        <v>35</v>
      </c>
      <c r="V497" s="456">
        <v>34</v>
      </c>
      <c r="W497" s="456">
        <v>34</v>
      </c>
      <c r="X497" s="3" t="s">
        <v>1586</v>
      </c>
      <c r="Y497" s="3" t="s">
        <v>1845</v>
      </c>
      <c r="Z497" s="3"/>
    </row>
    <row r="498" spans="2:26" ht="94.5">
      <c r="B498" s="69"/>
      <c r="C498" s="891"/>
      <c r="D498" s="891"/>
      <c r="E498" s="891"/>
      <c r="F498" s="891"/>
      <c r="G498" s="891"/>
      <c r="H498" s="891"/>
      <c r="I498" s="891"/>
      <c r="J498" s="898" t="s">
        <v>450</v>
      </c>
      <c r="K498" s="890" t="s">
        <v>773</v>
      </c>
      <c r="L498" s="890">
        <v>34</v>
      </c>
      <c r="M498" s="890" t="s">
        <v>490</v>
      </c>
      <c r="N498" s="3" t="s">
        <v>1592</v>
      </c>
      <c r="O498" s="449" t="s">
        <v>701</v>
      </c>
      <c r="P498" s="457">
        <f>27/34*100</f>
        <v>79.411764705882348</v>
      </c>
      <c r="Q498" s="457">
        <f>22/26*100</f>
        <v>84.615384615384613</v>
      </c>
      <c r="R498" s="458">
        <v>87</v>
      </c>
      <c r="S498" s="458">
        <v>89</v>
      </c>
      <c r="T498" s="458">
        <v>91</v>
      </c>
      <c r="U498" s="458">
        <v>93</v>
      </c>
      <c r="V498" s="458">
        <v>95</v>
      </c>
      <c r="W498" s="458">
        <v>95</v>
      </c>
      <c r="X498" s="890" t="s">
        <v>1586</v>
      </c>
      <c r="Y498" s="3" t="s">
        <v>1844</v>
      </c>
      <c r="Z498" s="3"/>
    </row>
    <row r="499" spans="2:26" ht="63">
      <c r="B499" s="69"/>
      <c r="C499" s="891"/>
      <c r="D499" s="891"/>
      <c r="E499" s="891"/>
      <c r="F499" s="891"/>
      <c r="G499" s="891"/>
      <c r="H499" s="891"/>
      <c r="I499" s="891"/>
      <c r="J499" s="891"/>
      <c r="K499" s="891"/>
      <c r="L499" s="891"/>
      <c r="M499" s="891"/>
      <c r="N499" s="3" t="s">
        <v>1593</v>
      </c>
      <c r="O499" s="449" t="s">
        <v>701</v>
      </c>
      <c r="P499" s="456">
        <v>81</v>
      </c>
      <c r="Q499" s="458">
        <v>85</v>
      </c>
      <c r="R499" s="458">
        <v>86</v>
      </c>
      <c r="S499" s="458">
        <v>86</v>
      </c>
      <c r="T499" s="458">
        <v>87</v>
      </c>
      <c r="U499" s="458">
        <v>87</v>
      </c>
      <c r="V499" s="458">
        <v>90</v>
      </c>
      <c r="W499" s="458">
        <v>90</v>
      </c>
      <c r="X499" s="890" t="s">
        <v>1586</v>
      </c>
      <c r="Y499" s="3" t="s">
        <v>1594</v>
      </c>
      <c r="Z499" s="3" t="s">
        <v>1595</v>
      </c>
    </row>
    <row r="500" spans="2:26" ht="47.25">
      <c r="B500" s="69"/>
      <c r="C500" s="891"/>
      <c r="D500" s="891"/>
      <c r="E500" s="891"/>
      <c r="F500" s="891"/>
      <c r="G500" s="891"/>
      <c r="H500" s="891"/>
      <c r="I500" s="891"/>
      <c r="J500" s="891"/>
      <c r="K500" s="891"/>
      <c r="L500" s="891"/>
      <c r="M500" s="891"/>
      <c r="N500" s="3" t="s">
        <v>1585</v>
      </c>
      <c r="O500" s="449" t="s">
        <v>701</v>
      </c>
      <c r="P500" s="456">
        <v>40</v>
      </c>
      <c r="Q500" s="456">
        <v>42</v>
      </c>
      <c r="R500" s="456">
        <v>46</v>
      </c>
      <c r="S500" s="456">
        <v>49</v>
      </c>
      <c r="T500" s="456">
        <v>52</v>
      </c>
      <c r="U500" s="456">
        <v>55</v>
      </c>
      <c r="V500" s="456">
        <v>58</v>
      </c>
      <c r="W500" s="456">
        <v>58</v>
      </c>
      <c r="X500" s="890" t="s">
        <v>1586</v>
      </c>
      <c r="Y500" s="3" t="s">
        <v>1841</v>
      </c>
      <c r="Z500" s="3" t="s">
        <v>1587</v>
      </c>
    </row>
    <row r="501" spans="2:26" ht="47.25">
      <c r="B501" s="69"/>
      <c r="C501" s="891"/>
      <c r="D501" s="891"/>
      <c r="E501" s="891"/>
      <c r="F501" s="891"/>
      <c r="G501" s="891"/>
      <c r="H501" s="891"/>
      <c r="I501" s="891"/>
      <c r="J501" s="891"/>
      <c r="K501" s="891"/>
      <c r="L501" s="891"/>
      <c r="M501" s="891"/>
      <c r="N501" s="3" t="s">
        <v>1588</v>
      </c>
      <c r="O501" s="449" t="s">
        <v>701</v>
      </c>
      <c r="P501" s="456">
        <v>2.7</v>
      </c>
      <c r="Q501" s="456">
        <v>3.4</v>
      </c>
      <c r="R501" s="456">
        <v>3.7</v>
      </c>
      <c r="S501" s="456">
        <v>4.0999999999999996</v>
      </c>
      <c r="T501" s="456">
        <v>4.4000000000000004</v>
      </c>
      <c r="U501" s="456">
        <v>4.8</v>
      </c>
      <c r="V501" s="456">
        <v>5.0999999999999996</v>
      </c>
      <c r="W501" s="456">
        <v>5.0999999999999996</v>
      </c>
      <c r="X501" s="890" t="s">
        <v>1586</v>
      </c>
      <c r="Y501" s="3" t="s">
        <v>1842</v>
      </c>
      <c r="Z501" s="3" t="s">
        <v>1587</v>
      </c>
    </row>
    <row r="502" spans="2:26" ht="78.75">
      <c r="B502" s="69"/>
      <c r="C502" s="891"/>
      <c r="D502" s="891"/>
      <c r="E502" s="891"/>
      <c r="F502" s="891"/>
      <c r="G502" s="891"/>
      <c r="H502" s="891"/>
      <c r="I502" s="891"/>
      <c r="J502" s="891"/>
      <c r="K502" s="891"/>
      <c r="L502" s="891"/>
      <c r="M502" s="891"/>
      <c r="N502" s="3" t="s">
        <v>1597</v>
      </c>
      <c r="O502" s="449" t="s">
        <v>701</v>
      </c>
      <c r="P502" s="456">
        <v>50</v>
      </c>
      <c r="Q502" s="458">
        <v>50</v>
      </c>
      <c r="R502" s="458">
        <v>51</v>
      </c>
      <c r="S502" s="458">
        <v>52</v>
      </c>
      <c r="T502" s="458">
        <v>53</v>
      </c>
      <c r="U502" s="458">
        <v>54</v>
      </c>
      <c r="V502" s="458">
        <v>55</v>
      </c>
      <c r="W502" s="458">
        <v>55</v>
      </c>
      <c r="X502" s="890" t="s">
        <v>1586</v>
      </c>
      <c r="Y502" s="3" t="s">
        <v>1598</v>
      </c>
      <c r="Z502" s="3" t="s">
        <v>1599</v>
      </c>
    </row>
    <row r="503" spans="2:26" ht="78.75">
      <c r="B503" s="69"/>
      <c r="C503" s="891"/>
      <c r="D503" s="891"/>
      <c r="E503" s="891"/>
      <c r="F503" s="891"/>
      <c r="G503" s="891"/>
      <c r="H503" s="891"/>
      <c r="I503" s="891"/>
      <c r="J503" s="898" t="s">
        <v>450</v>
      </c>
      <c r="K503" s="890" t="s">
        <v>773</v>
      </c>
      <c r="L503" s="890">
        <v>35</v>
      </c>
      <c r="M503" s="890" t="s">
        <v>1596</v>
      </c>
      <c r="N503" s="3" t="s">
        <v>1600</v>
      </c>
      <c r="O503" s="449" t="s">
        <v>701</v>
      </c>
      <c r="P503" s="456">
        <v>100</v>
      </c>
      <c r="Q503" s="458">
        <v>99</v>
      </c>
      <c r="R503" s="456">
        <v>100</v>
      </c>
      <c r="S503" s="456">
        <v>100</v>
      </c>
      <c r="T503" s="456">
        <v>100</v>
      </c>
      <c r="U503" s="456">
        <v>100</v>
      </c>
      <c r="V503" s="456">
        <v>100</v>
      </c>
      <c r="W503" s="456">
        <v>100</v>
      </c>
      <c r="X503" s="890" t="s">
        <v>1586</v>
      </c>
      <c r="Y503" s="3" t="s">
        <v>1843</v>
      </c>
      <c r="Z503" s="3" t="s">
        <v>1840</v>
      </c>
    </row>
    <row r="504" spans="2:26" ht="126">
      <c r="B504" s="69"/>
      <c r="C504" s="891"/>
      <c r="D504" s="891"/>
      <c r="E504" s="891"/>
      <c r="F504" s="891"/>
      <c r="G504" s="891"/>
      <c r="H504" s="891"/>
      <c r="I504" s="891"/>
      <c r="J504" s="898" t="s">
        <v>450</v>
      </c>
      <c r="K504" s="890" t="s">
        <v>773</v>
      </c>
      <c r="L504" s="890">
        <v>28</v>
      </c>
      <c r="M504" s="890" t="s">
        <v>478</v>
      </c>
      <c r="N504" s="3" t="s">
        <v>1601</v>
      </c>
      <c r="O504" s="449" t="s">
        <v>701</v>
      </c>
      <c r="P504" s="456">
        <v>100</v>
      </c>
      <c r="Q504" s="456">
        <v>100</v>
      </c>
      <c r="R504" s="456">
        <v>100</v>
      </c>
      <c r="S504" s="456">
        <v>100</v>
      </c>
      <c r="T504" s="456">
        <v>100</v>
      </c>
      <c r="U504" s="456">
        <v>100</v>
      </c>
      <c r="V504" s="456">
        <v>100</v>
      </c>
      <c r="W504" s="456">
        <v>100</v>
      </c>
      <c r="X504" s="890" t="s">
        <v>1577</v>
      </c>
      <c r="Y504" s="3" t="s">
        <v>1602</v>
      </c>
      <c r="Z504" s="3" t="s">
        <v>2029</v>
      </c>
    </row>
    <row r="505" spans="2:26" ht="78.75">
      <c r="B505" s="69"/>
      <c r="C505" s="891"/>
      <c r="D505" s="891"/>
      <c r="E505" s="891"/>
      <c r="F505" s="891"/>
      <c r="G505" s="891"/>
      <c r="H505" s="891"/>
      <c r="I505" s="891"/>
      <c r="J505" s="891"/>
      <c r="K505" s="891"/>
      <c r="L505" s="891"/>
      <c r="M505" s="891"/>
      <c r="N505" s="3" t="s">
        <v>1603</v>
      </c>
      <c r="O505" s="449" t="s">
        <v>701</v>
      </c>
      <c r="P505" s="456">
        <v>100</v>
      </c>
      <c r="Q505" s="456">
        <v>100</v>
      </c>
      <c r="R505" s="456">
        <v>92.2</v>
      </c>
      <c r="S505" s="456">
        <v>100</v>
      </c>
      <c r="T505" s="456">
        <v>100</v>
      </c>
      <c r="U505" s="456">
        <v>100</v>
      </c>
      <c r="V505" s="456">
        <v>100</v>
      </c>
      <c r="W505" s="456">
        <v>100</v>
      </c>
      <c r="X505" s="890" t="s">
        <v>1577</v>
      </c>
      <c r="Y505" s="3" t="s">
        <v>1604</v>
      </c>
      <c r="Z505" s="3" t="s">
        <v>1605</v>
      </c>
    </row>
    <row r="506" spans="2:26" ht="78.75">
      <c r="B506" s="69"/>
      <c r="C506" s="892"/>
      <c r="D506" s="892"/>
      <c r="E506" s="892"/>
      <c r="F506" s="892"/>
      <c r="G506" s="892"/>
      <c r="H506" s="892"/>
      <c r="I506" s="892"/>
      <c r="J506" s="892"/>
      <c r="K506" s="892"/>
      <c r="L506" s="892"/>
      <c r="M506" s="892"/>
      <c r="N506" s="3" t="s">
        <v>1606</v>
      </c>
      <c r="O506" s="449" t="s">
        <v>701</v>
      </c>
      <c r="P506" s="456">
        <v>98.1</v>
      </c>
      <c r="Q506" s="456">
        <v>97</v>
      </c>
      <c r="R506" s="456">
        <v>97</v>
      </c>
      <c r="S506" s="456">
        <v>97</v>
      </c>
      <c r="T506" s="456">
        <v>97</v>
      </c>
      <c r="U506" s="456">
        <v>97</v>
      </c>
      <c r="V506" s="456">
        <v>97</v>
      </c>
      <c r="W506" s="456">
        <v>97</v>
      </c>
      <c r="X506" s="890" t="s">
        <v>1577</v>
      </c>
      <c r="Y506" s="3" t="s">
        <v>1607</v>
      </c>
      <c r="Z506" s="3" t="s">
        <v>1605</v>
      </c>
    </row>
    <row r="507" spans="2:26" ht="252">
      <c r="B507" s="69"/>
      <c r="C507" s="890">
        <v>4</v>
      </c>
      <c r="D507" s="890" t="s">
        <v>1608</v>
      </c>
      <c r="E507" s="890">
        <v>4</v>
      </c>
      <c r="F507" s="890" t="s">
        <v>1609</v>
      </c>
      <c r="G507" s="890" t="s">
        <v>1610</v>
      </c>
      <c r="H507" s="890" t="s">
        <v>1583</v>
      </c>
      <c r="I507" s="890" t="s">
        <v>4986</v>
      </c>
      <c r="J507" s="3"/>
      <c r="K507" s="3"/>
      <c r="L507" s="3"/>
      <c r="M507" s="3"/>
      <c r="N507" s="3"/>
      <c r="O507" s="449"/>
      <c r="P507" s="449"/>
      <c r="Q507" s="449"/>
      <c r="R507" s="449"/>
      <c r="S507" s="449"/>
      <c r="T507" s="449"/>
      <c r="U507" s="449"/>
      <c r="V507" s="449"/>
      <c r="W507" s="449"/>
      <c r="X507" s="3"/>
      <c r="Y507" s="3"/>
      <c r="Z507" s="3"/>
    </row>
    <row r="508" spans="2:26" ht="78.75">
      <c r="B508" s="69"/>
      <c r="C508" s="891"/>
      <c r="D508" s="891"/>
      <c r="E508" s="891"/>
      <c r="F508" s="891"/>
      <c r="G508" s="891"/>
      <c r="H508" s="891"/>
      <c r="I508" s="891"/>
      <c r="J508" s="898" t="s">
        <v>450</v>
      </c>
      <c r="K508" s="890" t="s">
        <v>773</v>
      </c>
      <c r="L508" s="890">
        <v>15</v>
      </c>
      <c r="M508" s="890" t="s">
        <v>1611</v>
      </c>
      <c r="N508" s="3" t="s">
        <v>1612</v>
      </c>
      <c r="O508" s="449" t="s">
        <v>701</v>
      </c>
      <c r="P508" s="449">
        <v>100</v>
      </c>
      <c r="Q508" s="449">
        <v>100</v>
      </c>
      <c r="R508" s="449">
        <v>100</v>
      </c>
      <c r="S508" s="449">
        <v>100</v>
      </c>
      <c r="T508" s="449">
        <v>100</v>
      </c>
      <c r="U508" s="449">
        <v>100</v>
      </c>
      <c r="V508" s="449">
        <v>100</v>
      </c>
      <c r="W508" s="449">
        <v>100</v>
      </c>
      <c r="X508" s="890" t="s">
        <v>1613</v>
      </c>
      <c r="Y508" s="3" t="s">
        <v>1614</v>
      </c>
      <c r="Z508" s="3" t="s">
        <v>1615</v>
      </c>
    </row>
    <row r="509" spans="2:26" ht="78.75">
      <c r="B509" s="69"/>
      <c r="C509" s="891"/>
      <c r="D509" s="891"/>
      <c r="E509" s="891"/>
      <c r="F509" s="891"/>
      <c r="G509" s="891"/>
      <c r="H509" s="891"/>
      <c r="I509" s="891"/>
      <c r="J509" s="892"/>
      <c r="K509" s="892"/>
      <c r="L509" s="892"/>
      <c r="M509" s="892"/>
      <c r="N509" s="3" t="s">
        <v>1616</v>
      </c>
      <c r="O509" s="449" t="s">
        <v>701</v>
      </c>
      <c r="P509" s="449">
        <v>100</v>
      </c>
      <c r="Q509" s="449">
        <v>100</v>
      </c>
      <c r="R509" s="449">
        <v>100</v>
      </c>
      <c r="S509" s="449">
        <v>100</v>
      </c>
      <c r="T509" s="449">
        <v>100</v>
      </c>
      <c r="U509" s="449">
        <v>100</v>
      </c>
      <c r="V509" s="449">
        <v>100</v>
      </c>
      <c r="W509" s="449">
        <v>100</v>
      </c>
      <c r="X509" s="890" t="s">
        <v>1613</v>
      </c>
      <c r="Y509" s="3" t="s">
        <v>1617</v>
      </c>
      <c r="Z509" s="3"/>
    </row>
    <row r="510" spans="2:26" ht="78.75">
      <c r="B510" s="69"/>
      <c r="C510" s="891"/>
      <c r="D510" s="891"/>
      <c r="E510" s="891"/>
      <c r="F510" s="891"/>
      <c r="G510" s="891"/>
      <c r="H510" s="891"/>
      <c r="I510" s="891"/>
      <c r="J510" s="95" t="s">
        <v>450</v>
      </c>
      <c r="K510" s="3" t="s">
        <v>773</v>
      </c>
      <c r="L510" s="3">
        <v>21</v>
      </c>
      <c r="M510" s="3" t="s">
        <v>1618</v>
      </c>
      <c r="N510" s="890" t="s">
        <v>2113</v>
      </c>
      <c r="O510" s="1213" t="s">
        <v>701</v>
      </c>
      <c r="P510" s="1215"/>
      <c r="Q510" s="1219">
        <v>64</v>
      </c>
      <c r="R510" s="1219">
        <v>70</v>
      </c>
      <c r="S510" s="1219">
        <v>75</v>
      </c>
      <c r="T510" s="1219">
        <v>80</v>
      </c>
      <c r="U510" s="1219">
        <v>85</v>
      </c>
      <c r="V510" s="1219">
        <v>90</v>
      </c>
      <c r="W510" s="1213">
        <v>90</v>
      </c>
      <c r="X510" s="1154" t="s">
        <v>1619</v>
      </c>
      <c r="Y510" s="890" t="s">
        <v>1620</v>
      </c>
      <c r="Z510" s="1211" t="s">
        <v>1621</v>
      </c>
    </row>
    <row r="511" spans="2:26" ht="63">
      <c r="B511" s="69"/>
      <c r="C511" s="891"/>
      <c r="D511" s="891"/>
      <c r="E511" s="891"/>
      <c r="F511" s="891"/>
      <c r="G511" s="891"/>
      <c r="H511" s="891"/>
      <c r="I511" s="891"/>
      <c r="J511" s="95" t="s">
        <v>450</v>
      </c>
      <c r="K511" s="3" t="s">
        <v>773</v>
      </c>
      <c r="L511" s="3">
        <v>22</v>
      </c>
      <c r="M511" s="3" t="s">
        <v>1622</v>
      </c>
      <c r="N511" s="892"/>
      <c r="O511" s="1214"/>
      <c r="P511" s="1216"/>
      <c r="Q511" s="1220"/>
      <c r="R511" s="1220"/>
      <c r="S511" s="1220"/>
      <c r="T511" s="1220"/>
      <c r="U511" s="1220"/>
      <c r="V511" s="1220"/>
      <c r="W511" s="1214"/>
      <c r="X511" s="1156"/>
      <c r="Y511" s="892"/>
      <c r="Z511" s="1212"/>
    </row>
    <row r="512" spans="2:26" ht="110.25">
      <c r="B512" s="69"/>
      <c r="C512" s="891"/>
      <c r="D512" s="891"/>
      <c r="E512" s="891"/>
      <c r="F512" s="891"/>
      <c r="G512" s="891"/>
      <c r="H512" s="891"/>
      <c r="I512" s="891"/>
      <c r="J512" s="898" t="s">
        <v>450</v>
      </c>
      <c r="K512" s="890" t="s">
        <v>773</v>
      </c>
      <c r="L512" s="890">
        <v>26</v>
      </c>
      <c r="M512" s="890" t="s">
        <v>474</v>
      </c>
      <c r="N512" s="3" t="s">
        <v>2022</v>
      </c>
      <c r="O512" s="449" t="s">
        <v>701</v>
      </c>
      <c r="P512" s="454">
        <f>15/560*100</f>
        <v>2.6785714285714284</v>
      </c>
      <c r="Q512" s="454">
        <f>23/560*100</f>
        <v>4.1071428571428568</v>
      </c>
      <c r="R512" s="455">
        <v>7</v>
      </c>
      <c r="S512" s="455">
        <v>15</v>
      </c>
      <c r="T512" s="455">
        <v>45</v>
      </c>
      <c r="U512" s="455">
        <v>70</v>
      </c>
      <c r="V512" s="455">
        <f>560/560*100</f>
        <v>100</v>
      </c>
      <c r="W512" s="455">
        <v>100</v>
      </c>
      <c r="X512" s="890" t="s">
        <v>1623</v>
      </c>
      <c r="Y512" s="3" t="s">
        <v>1624</v>
      </c>
      <c r="Z512" s="3" t="s">
        <v>2000</v>
      </c>
    </row>
    <row r="513" spans="1:27" ht="78.75">
      <c r="B513" s="69"/>
      <c r="C513" s="891"/>
      <c r="D513" s="891"/>
      <c r="E513" s="891"/>
      <c r="F513" s="891"/>
      <c r="G513" s="891"/>
      <c r="H513" s="891"/>
      <c r="I513" s="891"/>
      <c r="J513" s="892"/>
      <c r="K513" s="892"/>
      <c r="L513" s="892"/>
      <c r="M513" s="892"/>
      <c r="N513" s="3" t="s">
        <v>2023</v>
      </c>
      <c r="O513" s="449" t="s">
        <v>701</v>
      </c>
      <c r="P513" s="454">
        <f>8/645*100</f>
        <v>1.2403100775193798</v>
      </c>
      <c r="Q513" s="454">
        <f>16/645*100</f>
        <v>2.4806201550387597</v>
      </c>
      <c r="R513" s="455">
        <v>8</v>
      </c>
      <c r="S513" s="455">
        <v>25</v>
      </c>
      <c r="T513" s="455">
        <v>50</v>
      </c>
      <c r="U513" s="455">
        <v>75</v>
      </c>
      <c r="V513" s="455">
        <f>645/645*100</f>
        <v>100</v>
      </c>
      <c r="W513" s="455">
        <f>V513</f>
        <v>100</v>
      </c>
      <c r="X513" s="890" t="s">
        <v>1623</v>
      </c>
      <c r="Y513" s="3" t="s">
        <v>1625</v>
      </c>
      <c r="Z513" s="3" t="s">
        <v>1626</v>
      </c>
    </row>
    <row r="514" spans="1:27" ht="63">
      <c r="B514" s="69"/>
      <c r="C514" s="891"/>
      <c r="D514" s="891"/>
      <c r="E514" s="891"/>
      <c r="F514" s="891"/>
      <c r="G514" s="891"/>
      <c r="H514" s="891"/>
      <c r="I514" s="891"/>
      <c r="J514" s="892"/>
      <c r="K514" s="892"/>
      <c r="L514" s="892"/>
      <c r="M514" s="892" t="s">
        <v>4987</v>
      </c>
      <c r="N514" s="890" t="s">
        <v>2115</v>
      </c>
      <c r="O514" s="903" t="s">
        <v>1627</v>
      </c>
      <c r="P514" s="465" t="s">
        <v>2026</v>
      </c>
      <c r="Q514" s="465" t="s">
        <v>2026</v>
      </c>
      <c r="R514" s="465" t="s">
        <v>2026</v>
      </c>
      <c r="S514" s="465" t="s">
        <v>2026</v>
      </c>
      <c r="T514" s="465" t="s">
        <v>2026</v>
      </c>
      <c r="U514" s="465" t="s">
        <v>2026</v>
      </c>
      <c r="V514" s="465" t="s">
        <v>2026</v>
      </c>
      <c r="W514" s="465" t="s">
        <v>2026</v>
      </c>
      <c r="X514" s="890" t="s">
        <v>1623</v>
      </c>
      <c r="Y514" s="890"/>
      <c r="Z514" s="890"/>
    </row>
    <row r="515" spans="1:27" ht="31.5" customHeight="1">
      <c r="B515" s="69"/>
      <c r="C515" s="891"/>
      <c r="D515" s="891"/>
      <c r="E515" s="891"/>
      <c r="F515" s="891"/>
      <c r="G515" s="891"/>
      <c r="H515" s="891"/>
      <c r="I515" s="891"/>
      <c r="J515" s="95">
        <v>1.06</v>
      </c>
      <c r="K515" s="3" t="s">
        <v>773</v>
      </c>
      <c r="L515" s="3">
        <v>15</v>
      </c>
      <c r="M515" s="3" t="s">
        <v>1540</v>
      </c>
      <c r="N515" s="136" t="s">
        <v>2114</v>
      </c>
      <c r="O515" s="1213" t="s">
        <v>1627</v>
      </c>
      <c r="P515" s="1213" t="s">
        <v>2024</v>
      </c>
      <c r="Q515" s="1213" t="s">
        <v>2025</v>
      </c>
      <c r="R515" s="1213" t="s">
        <v>2025</v>
      </c>
      <c r="S515" s="1213" t="s">
        <v>2026</v>
      </c>
      <c r="T515" s="1213" t="s">
        <v>2026</v>
      </c>
      <c r="U515" s="1213" t="s">
        <v>2026</v>
      </c>
      <c r="V515" s="1213" t="s">
        <v>2026</v>
      </c>
      <c r="W515" s="1213" t="str">
        <f>V515</f>
        <v>B</v>
      </c>
      <c r="X515" s="1154" t="s">
        <v>1623</v>
      </c>
      <c r="Y515" s="1154" t="s">
        <v>1628</v>
      </c>
      <c r="Z515" s="1221" t="s">
        <v>1629</v>
      </c>
    </row>
    <row r="516" spans="1:27" ht="31.5">
      <c r="B516" s="69"/>
      <c r="C516" s="891"/>
      <c r="D516" s="891"/>
      <c r="E516" s="891"/>
      <c r="F516" s="891"/>
      <c r="G516" s="891"/>
      <c r="H516" s="891"/>
      <c r="I516" s="891"/>
      <c r="J516" s="95" t="s">
        <v>450</v>
      </c>
      <c r="K516" s="3" t="s">
        <v>773</v>
      </c>
      <c r="L516" s="3">
        <v>27</v>
      </c>
      <c r="M516" s="3" t="s">
        <v>476</v>
      </c>
      <c r="N516" s="539"/>
      <c r="O516" s="1224"/>
      <c r="P516" s="1224"/>
      <c r="Q516" s="1224"/>
      <c r="R516" s="1224"/>
      <c r="S516" s="1224"/>
      <c r="T516" s="1224"/>
      <c r="U516" s="1224"/>
      <c r="V516" s="1224"/>
      <c r="W516" s="1224"/>
      <c r="X516" s="1155"/>
      <c r="Y516" s="1155"/>
      <c r="Z516" s="1222"/>
    </row>
    <row r="517" spans="1:27" ht="63">
      <c r="B517" s="69"/>
      <c r="C517" s="891"/>
      <c r="D517" s="891"/>
      <c r="E517" s="891"/>
      <c r="F517" s="891"/>
      <c r="G517" s="891"/>
      <c r="H517" s="891"/>
      <c r="I517" s="891"/>
      <c r="J517" s="95" t="s">
        <v>450</v>
      </c>
      <c r="K517" s="3" t="s">
        <v>773</v>
      </c>
      <c r="L517" s="3">
        <v>29</v>
      </c>
      <c r="M517" s="3" t="s">
        <v>480</v>
      </c>
      <c r="N517" s="539"/>
      <c r="O517" s="1224"/>
      <c r="P517" s="1224"/>
      <c r="Q517" s="1224"/>
      <c r="R517" s="1224"/>
      <c r="S517" s="1224"/>
      <c r="T517" s="1224"/>
      <c r="U517" s="1224"/>
      <c r="V517" s="1224"/>
      <c r="W517" s="1224"/>
      <c r="X517" s="1155"/>
      <c r="Y517" s="1155"/>
      <c r="Z517" s="1222"/>
    </row>
    <row r="518" spans="1:27" ht="63">
      <c r="B518" s="69"/>
      <c r="C518" s="891"/>
      <c r="D518" s="891"/>
      <c r="E518" s="891"/>
      <c r="F518" s="891"/>
      <c r="G518" s="891"/>
      <c r="H518" s="891"/>
      <c r="I518" s="891"/>
      <c r="J518" s="95" t="s">
        <v>450</v>
      </c>
      <c r="K518" s="3" t="s">
        <v>773</v>
      </c>
      <c r="L518" s="3">
        <v>16</v>
      </c>
      <c r="M518" s="3" t="s">
        <v>1630</v>
      </c>
      <c r="N518" s="539"/>
      <c r="O518" s="1224"/>
      <c r="P518" s="1224"/>
      <c r="Q518" s="1224"/>
      <c r="R518" s="1224"/>
      <c r="S518" s="1224"/>
      <c r="T518" s="1224"/>
      <c r="U518" s="1224"/>
      <c r="V518" s="1224"/>
      <c r="W518" s="1224"/>
      <c r="X518" s="1155"/>
      <c r="Y518" s="1155"/>
      <c r="Z518" s="1222"/>
    </row>
    <row r="519" spans="1:27" ht="47.25">
      <c r="B519" s="69"/>
      <c r="C519" s="891"/>
      <c r="D519" s="891"/>
      <c r="E519" s="891"/>
      <c r="F519" s="891"/>
      <c r="G519" s="891"/>
      <c r="H519" s="891"/>
      <c r="I519" s="891"/>
      <c r="J519" s="95" t="s">
        <v>450</v>
      </c>
      <c r="K519" s="3" t="s">
        <v>773</v>
      </c>
      <c r="L519" s="3">
        <v>34</v>
      </c>
      <c r="M519" s="3" t="s">
        <v>490</v>
      </c>
      <c r="N519" s="538"/>
      <c r="O519" s="1214"/>
      <c r="P519" s="1214"/>
      <c r="Q519" s="1214"/>
      <c r="R519" s="1214"/>
      <c r="S519" s="1214"/>
      <c r="T519" s="1214"/>
      <c r="U519" s="1214"/>
      <c r="V519" s="1214"/>
      <c r="W519" s="1214"/>
      <c r="X519" s="1156"/>
      <c r="Y519" s="1156"/>
      <c r="Z519" s="1223"/>
    </row>
    <row r="520" spans="1:27" ht="94.5">
      <c r="B520" s="69"/>
      <c r="C520" s="891"/>
      <c r="D520" s="891"/>
      <c r="E520" s="891"/>
      <c r="F520" s="891"/>
      <c r="G520" s="891"/>
      <c r="H520" s="891"/>
      <c r="I520" s="891"/>
      <c r="J520" s="95">
        <v>1.06</v>
      </c>
      <c r="K520" s="3" t="s">
        <v>773</v>
      </c>
      <c r="L520" s="1">
        <v>15</v>
      </c>
      <c r="M520" s="3" t="s">
        <v>1540</v>
      </c>
      <c r="N520" s="888" t="s">
        <v>1631</v>
      </c>
      <c r="O520" s="449" t="s">
        <v>701</v>
      </c>
      <c r="P520" s="449">
        <v>50</v>
      </c>
      <c r="Q520" s="449">
        <v>60</v>
      </c>
      <c r="R520" s="449">
        <v>70</v>
      </c>
      <c r="S520" s="449">
        <v>80</v>
      </c>
      <c r="T520" s="449">
        <v>90</v>
      </c>
      <c r="U520" s="449">
        <v>95</v>
      </c>
      <c r="V520" s="449">
        <v>95</v>
      </c>
      <c r="W520" s="449">
        <f>V520</f>
        <v>95</v>
      </c>
      <c r="X520" s="3" t="s">
        <v>1623</v>
      </c>
      <c r="Y520" s="3" t="s">
        <v>1632</v>
      </c>
      <c r="Z520" s="31"/>
    </row>
    <row r="521" spans="1:27" ht="31.5">
      <c r="A521" s="3"/>
      <c r="B521" s="69"/>
      <c r="C521" s="891"/>
      <c r="D521" s="891"/>
      <c r="E521" s="891"/>
      <c r="F521" s="891"/>
      <c r="G521" s="891"/>
      <c r="H521" s="891"/>
      <c r="I521" s="891"/>
      <c r="J521" s="95" t="s">
        <v>450</v>
      </c>
      <c r="K521" s="3" t="s">
        <v>773</v>
      </c>
      <c r="L521" s="3">
        <v>27</v>
      </c>
      <c r="M521" s="892" t="s">
        <v>476</v>
      </c>
      <c r="N521" s="887"/>
      <c r="O521" s="908"/>
      <c r="P521" s="908"/>
      <c r="Q521" s="908"/>
      <c r="R521" s="908"/>
      <c r="S521" s="908"/>
      <c r="T521" s="908"/>
      <c r="U521" s="908"/>
      <c r="V521" s="908"/>
      <c r="W521" s="908"/>
      <c r="X521" s="891"/>
      <c r="Y521" s="891"/>
      <c r="Z521" s="906"/>
      <c r="AA521" s="75"/>
    </row>
    <row r="522" spans="1:27" ht="63">
      <c r="A522" s="3"/>
      <c r="B522" s="69"/>
      <c r="C522" s="891"/>
      <c r="D522" s="891"/>
      <c r="E522" s="891"/>
      <c r="F522" s="891"/>
      <c r="G522" s="891"/>
      <c r="H522" s="891"/>
      <c r="I522" s="891"/>
      <c r="J522" s="95" t="s">
        <v>450</v>
      </c>
      <c r="K522" s="3" t="s">
        <v>773</v>
      </c>
      <c r="L522" s="3">
        <v>29</v>
      </c>
      <c r="M522" s="3" t="s">
        <v>480</v>
      </c>
      <c r="N522" s="887"/>
      <c r="O522" s="904"/>
      <c r="P522" s="904"/>
      <c r="Q522" s="904"/>
      <c r="R522" s="904"/>
      <c r="S522" s="904"/>
      <c r="T522" s="904"/>
      <c r="U522" s="904"/>
      <c r="V522" s="904"/>
      <c r="W522" s="904"/>
      <c r="X522" s="892"/>
      <c r="Y522" s="892"/>
      <c r="Z522" s="907"/>
      <c r="AA522" s="75"/>
    </row>
    <row r="523" spans="1:27" ht="141.75">
      <c r="A523" s="3"/>
      <c r="B523" s="69"/>
      <c r="C523" s="891"/>
      <c r="D523" s="891"/>
      <c r="E523" s="891"/>
      <c r="F523" s="891"/>
      <c r="G523" s="891"/>
      <c r="H523" s="891"/>
      <c r="I523" s="891"/>
      <c r="J523" s="95" t="s">
        <v>450</v>
      </c>
      <c r="K523" s="3" t="s">
        <v>773</v>
      </c>
      <c r="L523" s="3">
        <v>16</v>
      </c>
      <c r="M523" s="3" t="s">
        <v>1630</v>
      </c>
      <c r="N523" s="3" t="s">
        <v>4990</v>
      </c>
      <c r="O523" s="908"/>
      <c r="P523" s="908"/>
      <c r="Q523" s="908"/>
      <c r="R523" s="908"/>
      <c r="S523" s="908"/>
      <c r="T523" s="908"/>
      <c r="U523" s="908"/>
      <c r="V523" s="908"/>
      <c r="W523" s="908"/>
      <c r="X523" s="891" t="s">
        <v>4988</v>
      </c>
      <c r="Y523" s="3" t="s">
        <v>4989</v>
      </c>
      <c r="Z523" s="906"/>
      <c r="AA523" s="75"/>
    </row>
    <row r="524" spans="1:27" ht="94.5">
      <c r="B524" s="69"/>
      <c r="C524" s="891"/>
      <c r="D524" s="891"/>
      <c r="E524" s="891"/>
      <c r="F524" s="891"/>
      <c r="G524" s="891"/>
      <c r="H524" s="891"/>
      <c r="I524" s="891"/>
      <c r="J524" s="95" t="s">
        <v>450</v>
      </c>
      <c r="K524" s="3" t="s">
        <v>773</v>
      </c>
      <c r="L524" s="3">
        <v>20</v>
      </c>
      <c r="M524" s="3" t="s">
        <v>1633</v>
      </c>
      <c r="N524" s="3" t="s">
        <v>4991</v>
      </c>
      <c r="O524" s="449" t="s">
        <v>701</v>
      </c>
      <c r="P524" s="449"/>
      <c r="Q524" s="449"/>
      <c r="R524" s="449">
        <v>100</v>
      </c>
      <c r="S524" s="449">
        <v>100</v>
      </c>
      <c r="T524" s="449">
        <v>100</v>
      </c>
      <c r="U524" s="449">
        <v>100</v>
      </c>
      <c r="V524" s="449">
        <v>100</v>
      </c>
      <c r="W524" s="449">
        <v>100</v>
      </c>
      <c r="X524" s="3" t="s">
        <v>1634</v>
      </c>
      <c r="Y524" s="3" t="s">
        <v>1635</v>
      </c>
      <c r="Z524" s="3"/>
    </row>
    <row r="525" spans="1:27" ht="63">
      <c r="B525" s="69"/>
      <c r="C525" s="891"/>
      <c r="D525" s="891"/>
      <c r="E525" s="891"/>
      <c r="F525" s="891"/>
      <c r="G525" s="891"/>
      <c r="H525" s="891"/>
      <c r="I525" s="891"/>
      <c r="J525" s="95" t="s">
        <v>450</v>
      </c>
      <c r="K525" s="3" t="s">
        <v>773</v>
      </c>
      <c r="L525" s="3">
        <v>29</v>
      </c>
      <c r="M525" s="3" t="s">
        <v>480</v>
      </c>
      <c r="N525" s="3" t="s">
        <v>1636</v>
      </c>
      <c r="O525" s="449" t="s">
        <v>701</v>
      </c>
      <c r="P525" s="449"/>
      <c r="Q525" s="449"/>
      <c r="R525" s="449">
        <v>100</v>
      </c>
      <c r="S525" s="449">
        <v>100</v>
      </c>
      <c r="T525" s="449">
        <v>100</v>
      </c>
      <c r="U525" s="449">
        <v>100</v>
      </c>
      <c r="V525" s="449">
        <v>100</v>
      </c>
      <c r="W525" s="449">
        <v>100</v>
      </c>
      <c r="X525" s="890" t="s">
        <v>1634</v>
      </c>
      <c r="Y525" s="3" t="s">
        <v>1637</v>
      </c>
      <c r="Z525" s="3"/>
    </row>
    <row r="526" spans="1:27" ht="94.5">
      <c r="B526" s="69"/>
      <c r="C526" s="891"/>
      <c r="D526" s="891"/>
      <c r="E526" s="891"/>
      <c r="F526" s="891"/>
      <c r="G526" s="891"/>
      <c r="H526" s="891"/>
      <c r="I526" s="891"/>
      <c r="J526" s="95" t="s">
        <v>450</v>
      </c>
      <c r="K526" s="3" t="s">
        <v>773</v>
      </c>
      <c r="L526" s="3">
        <v>18</v>
      </c>
      <c r="M526" s="3" t="s">
        <v>1638</v>
      </c>
      <c r="N526" s="3" t="s">
        <v>1639</v>
      </c>
      <c r="O526" s="449" t="s">
        <v>701</v>
      </c>
      <c r="P526" s="449"/>
      <c r="Q526" s="449"/>
      <c r="R526" s="449">
        <v>100</v>
      </c>
      <c r="S526" s="449">
        <v>100</v>
      </c>
      <c r="T526" s="449">
        <v>100</v>
      </c>
      <c r="U526" s="449">
        <v>100</v>
      </c>
      <c r="V526" s="449">
        <v>100</v>
      </c>
      <c r="W526" s="449">
        <v>100</v>
      </c>
      <c r="X526" s="890" t="s">
        <v>1634</v>
      </c>
      <c r="Y526" s="3" t="s">
        <v>1640</v>
      </c>
      <c r="Z526" s="3"/>
    </row>
    <row r="527" spans="1:27" ht="110.25" customHeight="1">
      <c r="B527" s="69"/>
      <c r="C527" s="891"/>
      <c r="D527" s="891"/>
      <c r="E527" s="891"/>
      <c r="F527" s="891"/>
      <c r="G527" s="891"/>
      <c r="H527" s="891"/>
      <c r="I527" s="891"/>
      <c r="J527" s="95" t="s">
        <v>450</v>
      </c>
      <c r="K527" s="3" t="s">
        <v>773</v>
      </c>
      <c r="L527" s="3">
        <v>26</v>
      </c>
      <c r="M527" s="3" t="s">
        <v>474</v>
      </c>
      <c r="N527" s="3" t="s">
        <v>1641</v>
      </c>
      <c r="O527" s="449" t="s">
        <v>701</v>
      </c>
      <c r="P527" s="449" t="s">
        <v>1998</v>
      </c>
      <c r="Q527" s="449">
        <v>100</v>
      </c>
      <c r="R527" s="449">
        <v>100</v>
      </c>
      <c r="S527" s="449">
        <v>100</v>
      </c>
      <c r="T527" s="449">
        <v>100</v>
      </c>
      <c r="U527" s="449">
        <v>100</v>
      </c>
      <c r="V527" s="449">
        <v>100</v>
      </c>
      <c r="W527" s="449">
        <v>100</v>
      </c>
      <c r="X527" s="3" t="s">
        <v>1642</v>
      </c>
      <c r="Y527" s="3" t="s">
        <v>1643</v>
      </c>
      <c r="Z527" s="3" t="s">
        <v>1644</v>
      </c>
    </row>
    <row r="528" spans="1:27" ht="94.5">
      <c r="B528" s="69"/>
      <c r="C528" s="891"/>
      <c r="D528" s="891"/>
      <c r="E528" s="891"/>
      <c r="F528" s="891"/>
      <c r="G528" s="891"/>
      <c r="H528" s="891"/>
      <c r="I528" s="891"/>
      <c r="J528" s="95" t="s">
        <v>450</v>
      </c>
      <c r="K528" s="3" t="s">
        <v>773</v>
      </c>
      <c r="L528" s="3"/>
      <c r="M528" s="3" t="s">
        <v>1645</v>
      </c>
      <c r="N528" s="890" t="s">
        <v>1646</v>
      </c>
      <c r="O528" s="903" t="s">
        <v>701</v>
      </c>
      <c r="P528" s="903">
        <v>26</v>
      </c>
      <c r="Q528" s="903">
        <v>26</v>
      </c>
      <c r="R528" s="903">
        <v>26</v>
      </c>
      <c r="S528" s="903">
        <v>25</v>
      </c>
      <c r="T528" s="903">
        <v>25</v>
      </c>
      <c r="U528" s="903">
        <v>25</v>
      </c>
      <c r="V528" s="903">
        <v>25</v>
      </c>
      <c r="W528" s="903">
        <v>25</v>
      </c>
      <c r="X528" s="890" t="s">
        <v>1647</v>
      </c>
      <c r="Y528" s="890" t="s">
        <v>1648</v>
      </c>
      <c r="Z528" s="890"/>
    </row>
    <row r="529" spans="2:26" ht="47.25">
      <c r="B529" s="69"/>
      <c r="C529" s="891"/>
      <c r="D529" s="891"/>
      <c r="E529" s="891"/>
      <c r="F529" s="891"/>
      <c r="G529" s="891"/>
      <c r="H529" s="891"/>
      <c r="I529" s="891"/>
      <c r="J529" s="95" t="s">
        <v>450</v>
      </c>
      <c r="K529" s="3" t="s">
        <v>773</v>
      </c>
      <c r="L529" s="3"/>
      <c r="M529" s="3" t="s">
        <v>1649</v>
      </c>
      <c r="N529" s="891"/>
      <c r="O529" s="908"/>
      <c r="P529" s="908"/>
      <c r="Q529" s="908"/>
      <c r="R529" s="908"/>
      <c r="S529" s="908"/>
      <c r="T529" s="908"/>
      <c r="U529" s="908"/>
      <c r="V529" s="908"/>
      <c r="W529" s="908"/>
      <c r="X529" s="891"/>
      <c r="Y529" s="891"/>
      <c r="Z529" s="891"/>
    </row>
    <row r="530" spans="2:26" ht="31.5">
      <c r="B530" s="69"/>
      <c r="C530" s="891"/>
      <c r="D530" s="891"/>
      <c r="E530" s="891"/>
      <c r="F530" s="891"/>
      <c r="G530" s="891"/>
      <c r="H530" s="891"/>
      <c r="I530" s="891"/>
      <c r="J530" s="95" t="s">
        <v>450</v>
      </c>
      <c r="K530" s="3" t="s">
        <v>773</v>
      </c>
      <c r="L530" s="3"/>
      <c r="M530" s="3" t="s">
        <v>1650</v>
      </c>
      <c r="N530" s="891"/>
      <c r="O530" s="904"/>
      <c r="P530" s="904"/>
      <c r="Q530" s="904"/>
      <c r="R530" s="904"/>
      <c r="S530" s="904"/>
      <c r="T530" s="904"/>
      <c r="U530" s="904"/>
      <c r="V530" s="904"/>
      <c r="W530" s="904"/>
      <c r="X530" s="891"/>
      <c r="Y530" s="892"/>
      <c r="Z530" s="892"/>
    </row>
    <row r="531" spans="2:26" ht="94.5">
      <c r="B531" s="69"/>
      <c r="C531" s="891"/>
      <c r="D531" s="891"/>
      <c r="E531" s="891"/>
      <c r="F531" s="891"/>
      <c r="G531" s="891"/>
      <c r="H531" s="891"/>
      <c r="I531" s="891"/>
      <c r="J531" s="95" t="s">
        <v>450</v>
      </c>
      <c r="K531" s="3" t="s">
        <v>773</v>
      </c>
      <c r="L531" s="3">
        <v>16</v>
      </c>
      <c r="M531" s="3" t="s">
        <v>1630</v>
      </c>
      <c r="N531" s="3" t="s">
        <v>1651</v>
      </c>
      <c r="O531" s="449" t="s">
        <v>701</v>
      </c>
      <c r="P531" s="449" t="s">
        <v>1041</v>
      </c>
      <c r="Q531" s="449" t="s">
        <v>1041</v>
      </c>
      <c r="R531" s="449">
        <v>100</v>
      </c>
      <c r="S531" s="449">
        <v>100</v>
      </c>
      <c r="T531" s="449">
        <v>100</v>
      </c>
      <c r="U531" s="449">
        <v>100</v>
      </c>
      <c r="V531" s="449">
        <v>100</v>
      </c>
      <c r="W531" s="449">
        <v>100</v>
      </c>
      <c r="X531" s="3" t="s">
        <v>1652</v>
      </c>
      <c r="Y531" s="3"/>
      <c r="Z531" s="3"/>
    </row>
    <row r="532" spans="2:26" ht="31.5">
      <c r="B532" s="69"/>
      <c r="C532" s="891"/>
      <c r="D532" s="891"/>
      <c r="E532" s="891"/>
      <c r="F532" s="891"/>
      <c r="G532" s="891"/>
      <c r="H532" s="891"/>
      <c r="I532" s="891"/>
      <c r="J532" s="95" t="s">
        <v>450</v>
      </c>
      <c r="K532" s="3" t="s">
        <v>773</v>
      </c>
      <c r="L532" s="3">
        <v>25</v>
      </c>
      <c r="M532" s="3" t="s">
        <v>1653</v>
      </c>
      <c r="N532" s="890" t="s">
        <v>1654</v>
      </c>
      <c r="O532" s="449" t="s">
        <v>1544</v>
      </c>
      <c r="P532" s="449">
        <v>1</v>
      </c>
      <c r="Q532" s="449">
        <v>1</v>
      </c>
      <c r="R532" s="449">
        <v>1</v>
      </c>
      <c r="S532" s="449">
        <v>1</v>
      </c>
      <c r="T532" s="449">
        <v>1</v>
      </c>
      <c r="U532" s="449">
        <v>1</v>
      </c>
      <c r="V532" s="449">
        <v>1</v>
      </c>
      <c r="W532" s="449">
        <v>1</v>
      </c>
      <c r="X532" s="890" t="s">
        <v>1572</v>
      </c>
      <c r="Y532" s="3" t="s">
        <v>1655</v>
      </c>
      <c r="Z532" s="3" t="s">
        <v>1656</v>
      </c>
    </row>
    <row r="533" spans="2:26" ht="94.5">
      <c r="B533" s="69"/>
      <c r="C533" s="892"/>
      <c r="D533" s="892"/>
      <c r="E533" s="892"/>
      <c r="F533" s="892"/>
      <c r="G533" s="892"/>
      <c r="H533" s="892"/>
      <c r="I533" s="892"/>
      <c r="J533" s="95" t="s">
        <v>450</v>
      </c>
      <c r="K533" s="3" t="s">
        <v>773</v>
      </c>
      <c r="L533" s="3">
        <v>20</v>
      </c>
      <c r="M533" s="3" t="s">
        <v>1657</v>
      </c>
      <c r="N533" s="3" t="s">
        <v>1658</v>
      </c>
      <c r="O533" s="449" t="s">
        <v>701</v>
      </c>
      <c r="P533" s="449" t="s">
        <v>1931</v>
      </c>
      <c r="Q533" s="449" t="s">
        <v>1932</v>
      </c>
      <c r="R533" s="449" t="s">
        <v>1933</v>
      </c>
      <c r="S533" s="449" t="s">
        <v>1934</v>
      </c>
      <c r="T533" s="449" t="s">
        <v>1359</v>
      </c>
      <c r="U533" s="449" t="s">
        <v>1359</v>
      </c>
      <c r="V533" s="449" t="s">
        <v>1359</v>
      </c>
      <c r="W533" s="449" t="s">
        <v>1359</v>
      </c>
      <c r="X533" s="3" t="s">
        <v>1572</v>
      </c>
      <c r="Y533" s="3" t="s">
        <v>1659</v>
      </c>
      <c r="Z533" s="3" t="s">
        <v>1660</v>
      </c>
    </row>
    <row r="534" spans="2:26" ht="78.75">
      <c r="B534" s="69"/>
      <c r="C534" s="890"/>
      <c r="D534" s="890"/>
      <c r="E534" s="890">
        <v>5</v>
      </c>
      <c r="F534" s="890" t="s">
        <v>1661</v>
      </c>
      <c r="G534" s="890" t="s">
        <v>1662</v>
      </c>
      <c r="H534" s="890" t="s">
        <v>1661</v>
      </c>
      <c r="I534" s="890" t="s">
        <v>4992</v>
      </c>
      <c r="J534" s="3"/>
      <c r="K534" s="3"/>
      <c r="L534" s="3"/>
      <c r="M534" s="3"/>
      <c r="N534" s="3"/>
      <c r="O534" s="449"/>
      <c r="P534" s="449"/>
      <c r="Q534" s="449"/>
      <c r="R534" s="449"/>
      <c r="S534" s="449"/>
      <c r="T534" s="449"/>
      <c r="U534" s="449"/>
      <c r="V534" s="449"/>
      <c r="W534" s="449"/>
      <c r="X534" s="3"/>
      <c r="Y534" s="3"/>
      <c r="Z534" s="3"/>
    </row>
    <row r="535" spans="2:26" ht="94.5">
      <c r="B535" s="69"/>
      <c r="C535" s="891"/>
      <c r="D535" s="891"/>
      <c r="E535" s="891"/>
      <c r="F535" s="891"/>
      <c r="G535" s="891"/>
      <c r="H535" s="891"/>
      <c r="I535" s="891"/>
      <c r="J535" s="95" t="s">
        <v>450</v>
      </c>
      <c r="K535" s="3" t="s">
        <v>773</v>
      </c>
      <c r="L535" s="3">
        <v>20</v>
      </c>
      <c r="M535" s="3" t="s">
        <v>1633</v>
      </c>
      <c r="N535" s="3" t="s">
        <v>1663</v>
      </c>
      <c r="O535" s="449" t="s">
        <v>701</v>
      </c>
      <c r="P535" s="449">
        <v>100</v>
      </c>
      <c r="Q535" s="449">
        <v>100</v>
      </c>
      <c r="R535" s="449">
        <v>100</v>
      </c>
      <c r="S535" s="449">
        <v>100</v>
      </c>
      <c r="T535" s="449">
        <v>100</v>
      </c>
      <c r="U535" s="449">
        <v>100</v>
      </c>
      <c r="V535" s="449">
        <v>100</v>
      </c>
      <c r="W535" s="449">
        <v>100</v>
      </c>
      <c r="X535" s="890" t="s">
        <v>1572</v>
      </c>
      <c r="Y535" s="3" t="s">
        <v>1664</v>
      </c>
      <c r="Z535" s="3" t="s">
        <v>1665</v>
      </c>
    </row>
    <row r="536" spans="2:26" ht="78.75">
      <c r="B536" s="69"/>
      <c r="C536" s="891"/>
      <c r="D536" s="891"/>
      <c r="E536" s="891"/>
      <c r="F536" s="891"/>
      <c r="G536" s="891"/>
      <c r="H536" s="891"/>
      <c r="I536" s="891"/>
      <c r="J536" s="95" t="s">
        <v>450</v>
      </c>
      <c r="K536" s="3" t="s">
        <v>773</v>
      </c>
      <c r="L536" s="3">
        <v>33</v>
      </c>
      <c r="M536" s="3" t="s">
        <v>1584</v>
      </c>
      <c r="N536" s="3" t="s">
        <v>1935</v>
      </c>
      <c r="O536" s="449" t="s">
        <v>701</v>
      </c>
      <c r="P536" s="449">
        <v>10</v>
      </c>
      <c r="Q536" s="449">
        <v>10</v>
      </c>
      <c r="R536" s="449">
        <v>10</v>
      </c>
      <c r="S536" s="449">
        <v>25</v>
      </c>
      <c r="T536" s="449">
        <v>50</v>
      </c>
      <c r="U536" s="449">
        <v>75</v>
      </c>
      <c r="V536" s="449">
        <v>100</v>
      </c>
      <c r="W536" s="449">
        <v>100</v>
      </c>
      <c r="X536" s="890" t="s">
        <v>1572</v>
      </c>
      <c r="Y536" s="3" t="s">
        <v>1936</v>
      </c>
      <c r="Z536" s="3"/>
    </row>
    <row r="537" spans="2:26" ht="78.75">
      <c r="B537" s="69"/>
      <c r="C537" s="891"/>
      <c r="D537" s="891"/>
      <c r="E537" s="891"/>
      <c r="F537" s="891"/>
      <c r="G537" s="891"/>
      <c r="H537" s="891"/>
      <c r="I537" s="891"/>
      <c r="J537" s="95" t="s">
        <v>450</v>
      </c>
      <c r="K537" s="3" t="s">
        <v>773</v>
      </c>
      <c r="L537" s="3">
        <v>19</v>
      </c>
      <c r="M537" s="3" t="s">
        <v>1666</v>
      </c>
      <c r="N537" s="890" t="s">
        <v>1667</v>
      </c>
      <c r="O537" s="903" t="s">
        <v>701</v>
      </c>
      <c r="P537" s="449">
        <v>100</v>
      </c>
      <c r="Q537" s="449">
        <v>100</v>
      </c>
      <c r="R537" s="449">
        <v>100</v>
      </c>
      <c r="S537" s="449">
        <v>100</v>
      </c>
      <c r="T537" s="449">
        <v>100</v>
      </c>
      <c r="U537" s="449">
        <v>100</v>
      </c>
      <c r="V537" s="449">
        <v>100</v>
      </c>
      <c r="W537" s="449">
        <v>100</v>
      </c>
      <c r="X537" s="890" t="s">
        <v>1668</v>
      </c>
      <c r="Y537" s="890" t="s">
        <v>1669</v>
      </c>
      <c r="Z537" s="890"/>
    </row>
    <row r="538" spans="2:26" ht="47.25">
      <c r="B538" s="69"/>
      <c r="C538" s="892"/>
      <c r="D538" s="892"/>
      <c r="E538" s="892"/>
      <c r="F538" s="892"/>
      <c r="G538" s="892"/>
      <c r="H538" s="892"/>
      <c r="I538" s="892"/>
      <c r="J538" s="95" t="s">
        <v>450</v>
      </c>
      <c r="K538" s="3" t="s">
        <v>773</v>
      </c>
      <c r="L538" s="3">
        <v>28</v>
      </c>
      <c r="M538" s="3" t="s">
        <v>478</v>
      </c>
      <c r="N538" s="892"/>
      <c r="O538" s="904"/>
      <c r="P538" s="904"/>
      <c r="Q538" s="904"/>
      <c r="R538" s="904"/>
      <c r="S538" s="904"/>
      <c r="T538" s="904"/>
      <c r="U538" s="904"/>
      <c r="V538" s="904"/>
      <c r="W538" s="904"/>
      <c r="X538" s="892" t="s">
        <v>1577</v>
      </c>
      <c r="Y538" s="135"/>
      <c r="Z538" s="892"/>
    </row>
    <row r="539" spans="2:26" ht="141.75">
      <c r="B539" s="69"/>
      <c r="C539" s="890">
        <v>5</v>
      </c>
      <c r="D539" s="890" t="s">
        <v>1670</v>
      </c>
      <c r="E539" s="890">
        <v>6</v>
      </c>
      <c r="F539" s="890" t="s">
        <v>1671</v>
      </c>
      <c r="G539" s="890" t="s">
        <v>1672</v>
      </c>
      <c r="H539" s="890" t="s">
        <v>1673</v>
      </c>
      <c r="I539" s="890" t="s">
        <v>4993</v>
      </c>
      <c r="J539" s="3"/>
      <c r="K539" s="3"/>
      <c r="L539" s="3"/>
      <c r="M539" s="3"/>
      <c r="N539" s="3"/>
      <c r="O539" s="449"/>
      <c r="P539" s="449"/>
      <c r="Q539" s="449"/>
      <c r="R539" s="449"/>
      <c r="S539" s="449"/>
      <c r="T539" s="449"/>
      <c r="U539" s="449"/>
      <c r="V539" s="449"/>
      <c r="W539" s="449"/>
      <c r="X539" s="3"/>
      <c r="Y539" s="3"/>
      <c r="Z539" s="3"/>
    </row>
    <row r="540" spans="2:26" ht="63">
      <c r="B540" s="69"/>
      <c r="C540" s="891"/>
      <c r="D540" s="891"/>
      <c r="E540" s="891"/>
      <c r="F540" s="891"/>
      <c r="G540" s="891"/>
      <c r="H540" s="891"/>
      <c r="I540" s="891"/>
      <c r="J540" s="95" t="s">
        <v>450</v>
      </c>
      <c r="K540" s="3" t="s">
        <v>773</v>
      </c>
      <c r="L540" s="3">
        <v>17</v>
      </c>
      <c r="M540" s="3" t="s">
        <v>1674</v>
      </c>
      <c r="N540" s="890" t="s">
        <v>1675</v>
      </c>
      <c r="O540" s="449" t="s">
        <v>701</v>
      </c>
      <c r="P540" s="86">
        <v>0.87</v>
      </c>
      <c r="Q540" s="86">
        <v>0.85</v>
      </c>
      <c r="R540" s="86">
        <v>0.87</v>
      </c>
      <c r="S540" s="86">
        <v>0.87</v>
      </c>
      <c r="T540" s="86">
        <v>0.87</v>
      </c>
      <c r="U540" s="86">
        <v>0.87</v>
      </c>
      <c r="V540" s="86">
        <v>0.87</v>
      </c>
      <c r="W540" s="86">
        <v>0.87</v>
      </c>
      <c r="X540" s="3" t="s">
        <v>1647</v>
      </c>
      <c r="Y540" s="3" t="s">
        <v>1676</v>
      </c>
      <c r="Z540" s="3"/>
    </row>
    <row r="541" spans="2:26" ht="78.75">
      <c r="B541" s="69"/>
      <c r="C541" s="891"/>
      <c r="D541" s="891"/>
      <c r="E541" s="891"/>
      <c r="F541" s="891"/>
      <c r="G541" s="891"/>
      <c r="H541" s="891"/>
      <c r="I541" s="891"/>
      <c r="J541" s="95" t="s">
        <v>450</v>
      </c>
      <c r="K541" s="3" t="s">
        <v>773</v>
      </c>
      <c r="L541" s="3">
        <v>18</v>
      </c>
      <c r="M541" s="3" t="s">
        <v>1677</v>
      </c>
      <c r="N541" s="3" t="s">
        <v>2132</v>
      </c>
      <c r="O541" s="449" t="s">
        <v>1627</v>
      </c>
      <c r="P541" s="449" t="s">
        <v>2133</v>
      </c>
      <c r="Q541" s="449" t="s">
        <v>2133</v>
      </c>
      <c r="R541" s="449" t="s">
        <v>2133</v>
      </c>
      <c r="S541" s="449" t="s">
        <v>2133</v>
      </c>
      <c r="T541" s="449" t="s">
        <v>2133</v>
      </c>
      <c r="U541" s="449" t="s">
        <v>2133</v>
      </c>
      <c r="V541" s="449" t="s">
        <v>2133</v>
      </c>
      <c r="W541" s="449" t="s">
        <v>2133</v>
      </c>
      <c r="X541" s="3" t="s">
        <v>1647</v>
      </c>
      <c r="Y541" s="3"/>
      <c r="Z541" s="3"/>
    </row>
    <row r="542" spans="2:26" ht="78.75">
      <c r="B542" s="69"/>
      <c r="C542" s="891"/>
      <c r="D542" s="891"/>
      <c r="E542" s="891"/>
      <c r="F542" s="891"/>
      <c r="G542" s="891"/>
      <c r="H542" s="891"/>
      <c r="I542" s="891"/>
      <c r="J542" s="95" t="s">
        <v>450</v>
      </c>
      <c r="K542" s="3" t="s">
        <v>773</v>
      </c>
      <c r="L542" s="3">
        <v>17</v>
      </c>
      <c r="M542" s="3" t="s">
        <v>1674</v>
      </c>
      <c r="N542" s="890" t="s">
        <v>1678</v>
      </c>
      <c r="O542" s="449" t="s">
        <v>701</v>
      </c>
      <c r="P542" s="87" t="s">
        <v>4612</v>
      </c>
      <c r="Q542" s="87" t="s">
        <v>4613</v>
      </c>
      <c r="R542" s="456">
        <v>9</v>
      </c>
      <c r="S542" s="456">
        <v>9</v>
      </c>
      <c r="T542" s="456">
        <v>9</v>
      </c>
      <c r="U542" s="456">
        <v>9</v>
      </c>
      <c r="V542" s="456">
        <v>9</v>
      </c>
      <c r="W542" s="456">
        <v>9</v>
      </c>
      <c r="X542" s="3" t="s">
        <v>1647</v>
      </c>
      <c r="Y542" s="3" t="s">
        <v>4596</v>
      </c>
      <c r="Z542" s="3"/>
    </row>
    <row r="543" spans="2:26" ht="78.75">
      <c r="B543" s="69"/>
      <c r="C543" s="891"/>
      <c r="D543" s="891"/>
      <c r="E543" s="892"/>
      <c r="F543" s="892"/>
      <c r="G543" s="892"/>
      <c r="H543" s="892"/>
      <c r="I543" s="892"/>
      <c r="J543" s="95" t="s">
        <v>450</v>
      </c>
      <c r="K543" s="3" t="s">
        <v>773</v>
      </c>
      <c r="L543" s="3">
        <v>18</v>
      </c>
      <c r="M543" s="3" t="s">
        <v>1677</v>
      </c>
      <c r="N543" s="892"/>
      <c r="O543" s="449"/>
      <c r="P543" s="449"/>
      <c r="Q543" s="449"/>
      <c r="R543" s="449"/>
      <c r="S543" s="449"/>
      <c r="T543" s="449"/>
      <c r="U543" s="449"/>
      <c r="V543" s="449"/>
      <c r="W543" s="449"/>
      <c r="X543" s="3" t="s">
        <v>1647</v>
      </c>
      <c r="Y543" s="3"/>
      <c r="Z543" s="3"/>
    </row>
    <row r="544" spans="2:26" ht="94.5">
      <c r="B544" s="69"/>
      <c r="C544" s="891"/>
      <c r="D544" s="891"/>
      <c r="E544" s="890">
        <v>7</v>
      </c>
      <c r="F544" s="890" t="s">
        <v>1679</v>
      </c>
      <c r="G544" s="890" t="s">
        <v>1680</v>
      </c>
      <c r="H544" s="890" t="s">
        <v>1681</v>
      </c>
      <c r="I544" s="890" t="s">
        <v>4994</v>
      </c>
      <c r="J544" s="3"/>
      <c r="K544" s="3"/>
      <c r="L544" s="3"/>
      <c r="M544" s="3"/>
      <c r="N544" s="3"/>
      <c r="O544" s="449"/>
      <c r="P544" s="449"/>
      <c r="Q544" s="449"/>
      <c r="R544" s="449"/>
      <c r="S544" s="449"/>
      <c r="T544" s="449"/>
      <c r="U544" s="449"/>
      <c r="V544" s="449"/>
      <c r="W544" s="449"/>
      <c r="X544" s="3"/>
      <c r="Y544" s="3"/>
      <c r="Z544" s="3"/>
    </row>
    <row r="545" spans="2:26" ht="78.75">
      <c r="B545" s="69"/>
      <c r="C545" s="891"/>
      <c r="D545" s="891"/>
      <c r="E545" s="891"/>
      <c r="F545" s="891"/>
      <c r="G545" s="891"/>
      <c r="H545" s="891"/>
      <c r="I545" s="891"/>
      <c r="J545" s="95" t="s">
        <v>450</v>
      </c>
      <c r="K545" s="3" t="s">
        <v>773</v>
      </c>
      <c r="L545" s="3">
        <v>17</v>
      </c>
      <c r="M545" s="3" t="s">
        <v>1674</v>
      </c>
      <c r="N545" s="890" t="s">
        <v>1682</v>
      </c>
      <c r="O545" s="449" t="s">
        <v>701</v>
      </c>
      <c r="P545" s="456">
        <v>70</v>
      </c>
      <c r="Q545" s="456">
        <v>75</v>
      </c>
      <c r="R545" s="456">
        <v>68</v>
      </c>
      <c r="S545" s="456">
        <v>68</v>
      </c>
      <c r="T545" s="456">
        <v>70</v>
      </c>
      <c r="U545" s="456">
        <v>75</v>
      </c>
      <c r="V545" s="456">
        <v>80</v>
      </c>
      <c r="W545" s="456">
        <v>80</v>
      </c>
      <c r="X545" s="3" t="s">
        <v>1647</v>
      </c>
      <c r="Y545" s="3" t="s">
        <v>1683</v>
      </c>
      <c r="Z545" s="3"/>
    </row>
    <row r="546" spans="2:26" ht="78.75">
      <c r="B546" s="77"/>
      <c r="C546" s="892"/>
      <c r="D546" s="892"/>
      <c r="E546" s="892"/>
      <c r="F546" s="892"/>
      <c r="G546" s="892"/>
      <c r="H546" s="892"/>
      <c r="I546" s="892"/>
      <c r="J546" s="95" t="s">
        <v>450</v>
      </c>
      <c r="K546" s="3" t="s">
        <v>773</v>
      </c>
      <c r="L546" s="3">
        <v>18</v>
      </c>
      <c r="M546" s="3" t="s">
        <v>1677</v>
      </c>
      <c r="N546" s="892"/>
      <c r="O546" s="449"/>
      <c r="P546" s="449"/>
      <c r="Q546" s="449"/>
      <c r="R546" s="449"/>
      <c r="S546" s="449"/>
      <c r="T546" s="449"/>
      <c r="U546" s="449"/>
      <c r="V546" s="449"/>
      <c r="W546" s="449"/>
      <c r="X546" s="3" t="s">
        <v>1647</v>
      </c>
      <c r="Y546" s="3"/>
      <c r="Z546" s="3"/>
    </row>
    <row r="547" spans="2:26" ht="63">
      <c r="B547" s="37" t="s">
        <v>26</v>
      </c>
      <c r="C547" s="890">
        <v>6</v>
      </c>
      <c r="D547" s="890" t="s">
        <v>1684</v>
      </c>
      <c r="E547" s="890">
        <v>8</v>
      </c>
      <c r="F547" s="890" t="s">
        <v>1685</v>
      </c>
      <c r="G547" s="890" t="s">
        <v>1686</v>
      </c>
      <c r="H547" s="890" t="s">
        <v>1684</v>
      </c>
      <c r="I547" s="890" t="s">
        <v>4995</v>
      </c>
      <c r="J547" s="3"/>
      <c r="K547" s="3"/>
      <c r="L547" s="3"/>
      <c r="M547" s="3"/>
      <c r="N547" s="3"/>
      <c r="O547" s="449"/>
      <c r="P547" s="449"/>
      <c r="Q547" s="449"/>
      <c r="R547" s="449"/>
      <c r="S547" s="449"/>
      <c r="T547" s="449"/>
      <c r="U547" s="449"/>
      <c r="V547" s="449"/>
      <c r="W547" s="449"/>
      <c r="X547" s="3"/>
      <c r="Y547" s="3"/>
      <c r="Z547" s="3"/>
    </row>
    <row r="548" spans="2:26" ht="47.25">
      <c r="B548" s="69"/>
      <c r="C548" s="891"/>
      <c r="D548" s="891"/>
      <c r="E548" s="891"/>
      <c r="F548" s="891"/>
      <c r="G548" s="891"/>
      <c r="H548" s="891"/>
      <c r="I548" s="891"/>
      <c r="J548" s="3">
        <v>1.24</v>
      </c>
      <c r="K548" s="3" t="s">
        <v>773</v>
      </c>
      <c r="L548" s="3">
        <v>15</v>
      </c>
      <c r="M548" s="3" t="s">
        <v>1687</v>
      </c>
      <c r="N548" s="1154" t="s">
        <v>1688</v>
      </c>
      <c r="O548" s="1213" t="s">
        <v>701</v>
      </c>
      <c r="P548" s="1213">
        <v>63</v>
      </c>
      <c r="Q548" s="1213">
        <v>86</v>
      </c>
      <c r="R548" s="1213">
        <v>100</v>
      </c>
      <c r="S548" s="1213">
        <v>100</v>
      </c>
      <c r="T548" s="1213">
        <v>100</v>
      </c>
      <c r="U548" s="1213">
        <v>100</v>
      </c>
      <c r="V548" s="1213">
        <v>100</v>
      </c>
      <c r="W548" s="1213">
        <v>100</v>
      </c>
      <c r="X548" s="1154" t="s">
        <v>1689</v>
      </c>
      <c r="Y548" s="1154" t="s">
        <v>1690</v>
      </c>
      <c r="Z548" s="1221"/>
    </row>
    <row r="549" spans="2:26" ht="78.75">
      <c r="B549" s="69"/>
      <c r="C549" s="891"/>
      <c r="D549" s="891"/>
      <c r="E549" s="891"/>
      <c r="F549" s="891"/>
      <c r="G549" s="891"/>
      <c r="H549" s="891"/>
      <c r="I549" s="891"/>
      <c r="J549" s="3">
        <v>1.24</v>
      </c>
      <c r="K549" s="3" t="s">
        <v>773</v>
      </c>
      <c r="L549" s="3">
        <v>16</v>
      </c>
      <c r="M549" s="3" t="s">
        <v>1691</v>
      </c>
      <c r="N549" s="1155"/>
      <c r="O549" s="1224"/>
      <c r="P549" s="1224"/>
      <c r="Q549" s="1224"/>
      <c r="R549" s="1224"/>
      <c r="S549" s="1224"/>
      <c r="T549" s="1224"/>
      <c r="U549" s="1224"/>
      <c r="V549" s="1224"/>
      <c r="W549" s="1224"/>
      <c r="X549" s="1155"/>
      <c r="Y549" s="1155"/>
      <c r="Z549" s="1222"/>
    </row>
    <row r="550" spans="2:26" ht="63">
      <c r="B550" s="77"/>
      <c r="C550" s="892"/>
      <c r="D550" s="892"/>
      <c r="E550" s="892"/>
      <c r="F550" s="892"/>
      <c r="G550" s="892"/>
      <c r="H550" s="892"/>
      <c r="I550" s="892"/>
      <c r="J550" s="3">
        <v>1.24</v>
      </c>
      <c r="K550" s="3" t="s">
        <v>773</v>
      </c>
      <c r="L550" s="3">
        <v>17</v>
      </c>
      <c r="M550" s="3" t="s">
        <v>1692</v>
      </c>
      <c r="N550" s="1156"/>
      <c r="O550" s="1214"/>
      <c r="P550" s="1214"/>
      <c r="Q550" s="1214"/>
      <c r="R550" s="1214"/>
      <c r="S550" s="1214"/>
      <c r="T550" s="1214"/>
      <c r="U550" s="1214"/>
      <c r="V550" s="1214"/>
      <c r="W550" s="1214"/>
      <c r="X550" s="1156"/>
      <c r="Y550" s="1156"/>
      <c r="Z550" s="1223"/>
    </row>
    <row r="551" spans="2:26" ht="78.75">
      <c r="B551" s="37" t="s">
        <v>1693</v>
      </c>
      <c r="C551" s="890">
        <v>7</v>
      </c>
      <c r="D551" s="890" t="s">
        <v>1694</v>
      </c>
      <c r="E551" s="890">
        <v>9</v>
      </c>
      <c r="F551" s="890" t="s">
        <v>1695</v>
      </c>
      <c r="G551" s="890" t="s">
        <v>1696</v>
      </c>
      <c r="H551" s="890" t="s">
        <v>1697</v>
      </c>
      <c r="I551" s="890" t="s">
        <v>1694</v>
      </c>
      <c r="J551" s="3"/>
      <c r="K551" s="3"/>
      <c r="L551" s="3"/>
      <c r="M551" s="3"/>
      <c r="N551" s="3"/>
      <c r="O551" s="449"/>
      <c r="P551" s="449"/>
      <c r="Q551" s="449"/>
      <c r="R551" s="449"/>
      <c r="S551" s="449"/>
      <c r="T551" s="449"/>
      <c r="U551" s="449"/>
      <c r="V551" s="449"/>
      <c r="W551" s="449"/>
      <c r="X551" s="3"/>
      <c r="Y551" s="3"/>
      <c r="Z551" s="3"/>
    </row>
    <row r="552" spans="2:26" ht="110.25">
      <c r="B552" s="69"/>
      <c r="C552" s="891"/>
      <c r="D552" s="891"/>
      <c r="E552" s="891"/>
      <c r="F552" s="891"/>
      <c r="G552" s="891"/>
      <c r="H552" s="891"/>
      <c r="I552" s="891"/>
      <c r="J552" s="898" t="s">
        <v>317</v>
      </c>
      <c r="K552" s="890" t="s">
        <v>773</v>
      </c>
      <c r="L552" s="890">
        <v>15</v>
      </c>
      <c r="M552" s="890" t="s">
        <v>111</v>
      </c>
      <c r="N552" s="3" t="s">
        <v>1698</v>
      </c>
      <c r="O552" s="449" t="s">
        <v>701</v>
      </c>
      <c r="P552" s="449">
        <v>21.61</v>
      </c>
      <c r="Q552" s="449">
        <f>17.93+P552</f>
        <v>39.54</v>
      </c>
      <c r="R552" s="470">
        <v>53.18</v>
      </c>
      <c r="S552" s="470">
        <v>65.08</v>
      </c>
      <c r="T552" s="470">
        <v>76.989999999999995</v>
      </c>
      <c r="U552" s="470">
        <v>88.89</v>
      </c>
      <c r="V552" s="470">
        <v>100</v>
      </c>
      <c r="W552" s="449">
        <v>100</v>
      </c>
      <c r="X552" s="3" t="s">
        <v>1699</v>
      </c>
      <c r="Y552" s="3" t="s">
        <v>1700</v>
      </c>
      <c r="Z552" s="3"/>
    </row>
    <row r="553" spans="2:26" ht="63">
      <c r="B553" s="69"/>
      <c r="C553" s="891"/>
      <c r="D553" s="891"/>
      <c r="E553" s="891"/>
      <c r="F553" s="891"/>
      <c r="G553" s="891"/>
      <c r="H553" s="891"/>
      <c r="I553" s="891"/>
      <c r="J553" s="891"/>
      <c r="K553" s="891"/>
      <c r="L553" s="891"/>
      <c r="M553" s="891"/>
      <c r="N553" s="3" t="s">
        <v>1701</v>
      </c>
      <c r="O553" s="449" t="s">
        <v>701</v>
      </c>
      <c r="P553" s="449">
        <v>86.56</v>
      </c>
      <c r="Q553" s="449">
        <v>2.39</v>
      </c>
      <c r="R553" s="449">
        <v>18.149999999999999</v>
      </c>
      <c r="S553" s="449">
        <f>4.69+R553</f>
        <v>22.84</v>
      </c>
      <c r="T553" s="449">
        <f>4.81+S553</f>
        <v>27.65</v>
      </c>
      <c r="U553" s="449">
        <f>4.93+T553</f>
        <v>32.58</v>
      </c>
      <c r="V553" s="449">
        <f>5.05+U553</f>
        <v>37.629999999999995</v>
      </c>
      <c r="W553" s="456">
        <v>37.630000000000003</v>
      </c>
      <c r="X553" s="3" t="s">
        <v>1699</v>
      </c>
      <c r="Y553" s="3" t="s">
        <v>4614</v>
      </c>
      <c r="Z553" s="3" t="s">
        <v>4597</v>
      </c>
    </row>
    <row r="554" spans="2:26" ht="110.25">
      <c r="B554" s="69"/>
      <c r="C554" s="891"/>
      <c r="D554" s="891"/>
      <c r="E554" s="891"/>
      <c r="F554" s="891"/>
      <c r="G554" s="891"/>
      <c r="H554" s="891"/>
      <c r="I554" s="891"/>
      <c r="J554" s="891"/>
      <c r="K554" s="891"/>
      <c r="L554" s="891"/>
      <c r="M554" s="891"/>
      <c r="N554" s="3" t="s">
        <v>2030</v>
      </c>
      <c r="O554" s="449" t="s">
        <v>701</v>
      </c>
      <c r="P554" s="449">
        <v>40.43</v>
      </c>
      <c r="Q554" s="449">
        <v>42.65</v>
      </c>
      <c r="R554" s="449">
        <v>47.94</v>
      </c>
      <c r="S554" s="449">
        <v>51.56</v>
      </c>
      <c r="T554" s="449">
        <v>56.13</v>
      </c>
      <c r="U554" s="449">
        <v>59.79</v>
      </c>
      <c r="V554" s="449">
        <v>63.46</v>
      </c>
      <c r="W554" s="449">
        <v>67.010000000000005</v>
      </c>
      <c r="X554" s="3" t="s">
        <v>1699</v>
      </c>
      <c r="Y554" s="3" t="s">
        <v>1702</v>
      </c>
      <c r="Z554" s="3"/>
    </row>
    <row r="555" spans="2:26" ht="63">
      <c r="B555" s="69"/>
      <c r="C555" s="891"/>
      <c r="D555" s="891"/>
      <c r="E555" s="891"/>
      <c r="F555" s="891"/>
      <c r="G555" s="891"/>
      <c r="H555" s="891"/>
      <c r="I555" s="891"/>
      <c r="J555" s="891"/>
      <c r="K555" s="891"/>
      <c r="L555" s="891"/>
      <c r="M555" s="891"/>
      <c r="N555" s="3" t="s">
        <v>4599</v>
      </c>
      <c r="O555" s="449" t="s">
        <v>701</v>
      </c>
      <c r="P555" s="449">
        <v>1.83</v>
      </c>
      <c r="Q555" s="449">
        <v>1.4</v>
      </c>
      <c r="R555" s="449">
        <v>100</v>
      </c>
      <c r="S555" s="449">
        <v>100</v>
      </c>
      <c r="T555" s="449">
        <v>100</v>
      </c>
      <c r="U555" s="449">
        <v>100</v>
      </c>
      <c r="V555" s="449">
        <v>100</v>
      </c>
      <c r="W555" s="449">
        <v>100</v>
      </c>
      <c r="X555" s="3" t="s">
        <v>1699</v>
      </c>
      <c r="Y555" s="3" t="s">
        <v>4615</v>
      </c>
      <c r="Z555" s="3"/>
    </row>
    <row r="556" spans="2:26" ht="126">
      <c r="B556" s="77"/>
      <c r="C556" s="892"/>
      <c r="D556" s="892"/>
      <c r="E556" s="892"/>
      <c r="F556" s="892"/>
      <c r="G556" s="892"/>
      <c r="H556" s="892"/>
      <c r="I556" s="892"/>
      <c r="J556" s="892"/>
      <c r="K556" s="892"/>
      <c r="L556" s="892"/>
      <c r="M556" s="892"/>
      <c r="N556" s="3" t="s">
        <v>1703</v>
      </c>
      <c r="O556" s="449" t="s">
        <v>701</v>
      </c>
      <c r="P556" s="456">
        <v>100</v>
      </c>
      <c r="Q556" s="456">
        <v>100</v>
      </c>
      <c r="R556" s="456">
        <v>100</v>
      </c>
      <c r="S556" s="456">
        <v>100</v>
      </c>
      <c r="T556" s="456">
        <v>100</v>
      </c>
      <c r="U556" s="456">
        <v>100</v>
      </c>
      <c r="V556" s="456">
        <v>100</v>
      </c>
      <c r="W556" s="456">
        <v>100</v>
      </c>
      <c r="X556" s="3" t="s">
        <v>1699</v>
      </c>
      <c r="Y556" s="3" t="s">
        <v>1704</v>
      </c>
      <c r="Z556" s="3"/>
    </row>
    <row r="557" spans="2:26" ht="141.75">
      <c r="B557" s="37" t="s">
        <v>24</v>
      </c>
      <c r="C557" s="890">
        <v>8</v>
      </c>
      <c r="D557" s="890" t="s">
        <v>1705</v>
      </c>
      <c r="E557" s="890">
        <v>10</v>
      </c>
      <c r="F557" s="890" t="s">
        <v>1706</v>
      </c>
      <c r="G557" s="890" t="s">
        <v>1707</v>
      </c>
      <c r="H557" s="890" t="s">
        <v>1708</v>
      </c>
      <c r="I557" s="890" t="s">
        <v>4996</v>
      </c>
      <c r="J557" s="3"/>
      <c r="K557" s="3"/>
      <c r="L557" s="3"/>
      <c r="M557" s="3"/>
      <c r="N557" s="3"/>
      <c r="O557" s="449"/>
      <c r="P557" s="449"/>
      <c r="Q557" s="449"/>
      <c r="R557" s="449"/>
      <c r="S557" s="449"/>
      <c r="T557" s="449"/>
      <c r="U557" s="449"/>
      <c r="V557" s="449"/>
      <c r="W557" s="449"/>
      <c r="X557" s="3"/>
      <c r="Y557" s="3"/>
      <c r="Z557" s="3"/>
    </row>
    <row r="558" spans="2:26" ht="94.5">
      <c r="B558" s="69"/>
      <c r="C558" s="891"/>
      <c r="D558" s="891"/>
      <c r="E558" s="891"/>
      <c r="F558" s="891"/>
      <c r="G558" s="891"/>
      <c r="H558" s="891"/>
      <c r="I558" s="891"/>
      <c r="J558" s="890">
        <v>1.1599999999999999</v>
      </c>
      <c r="K558" s="890" t="s">
        <v>773</v>
      </c>
      <c r="L558" s="890">
        <v>15</v>
      </c>
      <c r="M558" s="81" t="s">
        <v>1728</v>
      </c>
      <c r="N558" s="3" t="s">
        <v>1709</v>
      </c>
      <c r="O558" s="449" t="s">
        <v>701</v>
      </c>
      <c r="P558" s="449">
        <v>0</v>
      </c>
      <c r="Q558" s="449">
        <f>8/32*100</f>
        <v>25</v>
      </c>
      <c r="R558" s="449">
        <v>75</v>
      </c>
      <c r="S558" s="449">
        <v>100</v>
      </c>
      <c r="T558" s="449">
        <v>100</v>
      </c>
      <c r="U558" s="449">
        <v>100</v>
      </c>
      <c r="V558" s="449">
        <v>100</v>
      </c>
      <c r="W558" s="449">
        <v>100</v>
      </c>
      <c r="X558" s="3" t="s">
        <v>1710</v>
      </c>
      <c r="Y558" s="3" t="s">
        <v>1711</v>
      </c>
      <c r="Z558" s="3"/>
    </row>
    <row r="559" spans="2:26" ht="78.75">
      <c r="B559" s="69"/>
      <c r="C559" s="891"/>
      <c r="D559" s="891"/>
      <c r="E559" s="891"/>
      <c r="F559" s="891"/>
      <c r="G559" s="891"/>
      <c r="H559" s="891"/>
      <c r="I559" s="891"/>
      <c r="J559" s="891"/>
      <c r="K559" s="891"/>
      <c r="L559" s="891"/>
      <c r="M559" s="82"/>
      <c r="N559" s="3" t="s">
        <v>1712</v>
      </c>
      <c r="O559" s="449" t="s">
        <v>701</v>
      </c>
      <c r="P559" s="449">
        <v>95</v>
      </c>
      <c r="Q559" s="449">
        <v>95</v>
      </c>
      <c r="R559" s="449">
        <v>95</v>
      </c>
      <c r="S559" s="449">
        <v>95</v>
      </c>
      <c r="T559" s="449">
        <v>95</v>
      </c>
      <c r="U559" s="449">
        <v>95</v>
      </c>
      <c r="V559" s="449">
        <v>95</v>
      </c>
      <c r="W559" s="449">
        <v>95</v>
      </c>
      <c r="X559" s="3" t="s">
        <v>1710</v>
      </c>
      <c r="Y559" s="3" t="s">
        <v>1713</v>
      </c>
      <c r="Z559" s="3"/>
    </row>
    <row r="560" spans="2:26" ht="110.25">
      <c r="B560" s="69"/>
      <c r="C560" s="891"/>
      <c r="D560" s="891"/>
      <c r="E560" s="891"/>
      <c r="F560" s="891"/>
      <c r="G560" s="891"/>
      <c r="H560" s="891"/>
      <c r="I560" s="891"/>
      <c r="J560" s="891"/>
      <c r="K560" s="891"/>
      <c r="L560" s="891"/>
      <c r="M560" s="82"/>
      <c r="N560" s="3" t="s">
        <v>1703</v>
      </c>
      <c r="O560" s="449" t="s">
        <v>701</v>
      </c>
      <c r="P560" s="449">
        <v>100</v>
      </c>
      <c r="Q560" s="449">
        <v>100</v>
      </c>
      <c r="R560" s="449">
        <v>100</v>
      </c>
      <c r="S560" s="449">
        <v>100</v>
      </c>
      <c r="T560" s="449">
        <v>100</v>
      </c>
      <c r="U560" s="449">
        <v>100</v>
      </c>
      <c r="V560" s="449">
        <v>100</v>
      </c>
      <c r="W560" s="449">
        <v>100</v>
      </c>
      <c r="X560" s="3" t="s">
        <v>1710</v>
      </c>
      <c r="Y560" s="3" t="s">
        <v>1714</v>
      </c>
      <c r="Z560" s="3"/>
    </row>
    <row r="561" spans="2:26" ht="78.75">
      <c r="B561" s="69"/>
      <c r="C561" s="891"/>
      <c r="D561" s="891"/>
      <c r="E561" s="891"/>
      <c r="F561" s="891"/>
      <c r="G561" s="891"/>
      <c r="H561" s="891"/>
      <c r="I561" s="891"/>
      <c r="J561" s="891"/>
      <c r="K561" s="891"/>
      <c r="L561" s="891"/>
      <c r="M561" s="82"/>
      <c r="N561" s="3" t="s">
        <v>1715</v>
      </c>
      <c r="O561" s="449" t="s">
        <v>1716</v>
      </c>
      <c r="P561" s="449">
        <v>12</v>
      </c>
      <c r="Q561" s="449">
        <v>11</v>
      </c>
      <c r="R561" s="449">
        <v>10</v>
      </c>
      <c r="S561" s="449">
        <v>9</v>
      </c>
      <c r="T561" s="449">
        <v>8</v>
      </c>
      <c r="U561" s="449">
        <v>7</v>
      </c>
      <c r="V561" s="449">
        <v>6</v>
      </c>
      <c r="W561" s="449">
        <v>6</v>
      </c>
      <c r="X561" s="3" t="s">
        <v>1710</v>
      </c>
      <c r="Y561" s="3" t="s">
        <v>1717</v>
      </c>
      <c r="Z561" s="3"/>
    </row>
    <row r="562" spans="2:26" ht="110.25">
      <c r="B562" s="69"/>
      <c r="C562" s="891"/>
      <c r="D562" s="891"/>
      <c r="E562" s="890">
        <v>11</v>
      </c>
      <c r="F562" s="890" t="s">
        <v>1718</v>
      </c>
      <c r="G562" s="890" t="s">
        <v>1719</v>
      </c>
      <c r="H562" s="890"/>
      <c r="I562" s="890" t="s">
        <v>4997</v>
      </c>
      <c r="J562" s="3"/>
      <c r="K562" s="3"/>
      <c r="L562" s="3"/>
      <c r="M562" s="3"/>
      <c r="N562" s="3"/>
      <c r="O562" s="449"/>
      <c r="P562" s="449"/>
      <c r="Q562" s="449"/>
      <c r="R562" s="449"/>
      <c r="S562" s="449"/>
      <c r="T562" s="449"/>
      <c r="U562" s="449"/>
      <c r="V562" s="449"/>
      <c r="W562" s="449"/>
      <c r="X562" s="3"/>
      <c r="Y562" s="3"/>
      <c r="Z562" s="3"/>
    </row>
    <row r="563" spans="2:26" ht="47.25">
      <c r="B563" s="69"/>
      <c r="C563" s="891"/>
      <c r="D563" s="891"/>
      <c r="E563" s="891"/>
      <c r="F563" s="891"/>
      <c r="G563" s="891"/>
      <c r="H563" s="891"/>
      <c r="I563" s="891"/>
      <c r="J563" s="3">
        <v>1.1599999999999999</v>
      </c>
      <c r="K563" s="3" t="s">
        <v>773</v>
      </c>
      <c r="L563" s="3">
        <v>16</v>
      </c>
      <c r="M563" s="19" t="s">
        <v>397</v>
      </c>
      <c r="N563" s="136" t="s">
        <v>1720</v>
      </c>
      <c r="O563" s="1213" t="s">
        <v>701</v>
      </c>
      <c r="P563" s="1225" t="s">
        <v>4616</v>
      </c>
      <c r="Q563" s="1225" t="s">
        <v>4617</v>
      </c>
      <c r="R563" s="1225" t="s">
        <v>4618</v>
      </c>
      <c r="S563" s="1225" t="s">
        <v>4619</v>
      </c>
      <c r="T563" s="1225" t="s">
        <v>4620</v>
      </c>
      <c r="U563" s="1225" t="s">
        <v>4620</v>
      </c>
      <c r="V563" s="1225" t="s">
        <v>4620</v>
      </c>
      <c r="W563" s="1225" t="s">
        <v>4620</v>
      </c>
      <c r="X563" s="1154" t="s">
        <v>1710</v>
      </c>
      <c r="Y563" s="1154" t="s">
        <v>1721</v>
      </c>
      <c r="Z563" s="1221"/>
    </row>
    <row r="564" spans="2:26" ht="68.25" customHeight="1">
      <c r="B564" s="69"/>
      <c r="C564" s="891"/>
      <c r="D564" s="891"/>
      <c r="E564" s="891"/>
      <c r="F564" s="891"/>
      <c r="G564" s="891"/>
      <c r="H564" s="891"/>
      <c r="I564" s="891"/>
      <c r="J564" s="3"/>
      <c r="K564" s="3"/>
      <c r="L564" s="3"/>
      <c r="M564" s="19"/>
      <c r="N564" s="538"/>
      <c r="O564" s="1214"/>
      <c r="P564" s="1226"/>
      <c r="Q564" s="1226"/>
      <c r="R564" s="1226"/>
      <c r="S564" s="1226"/>
      <c r="T564" s="1226"/>
      <c r="U564" s="1226"/>
      <c r="V564" s="1226"/>
      <c r="W564" s="1226"/>
      <c r="X564" s="1156"/>
      <c r="Y564" s="1156"/>
      <c r="Z564" s="1223"/>
    </row>
    <row r="565" spans="2:26" ht="47.25">
      <c r="B565" s="69"/>
      <c r="C565" s="891"/>
      <c r="D565" s="891"/>
      <c r="E565" s="891"/>
      <c r="F565" s="891"/>
      <c r="G565" s="891"/>
      <c r="H565" s="891"/>
      <c r="I565" s="891"/>
      <c r="J565" s="3">
        <v>1.1599999999999999</v>
      </c>
      <c r="K565" s="3" t="s">
        <v>773</v>
      </c>
      <c r="L565" s="3">
        <v>15</v>
      </c>
      <c r="M565" s="19" t="s">
        <v>153</v>
      </c>
      <c r="N565" s="136" t="s">
        <v>1722</v>
      </c>
      <c r="O565" s="1213" t="s">
        <v>1723</v>
      </c>
      <c r="P565" s="1225" t="s">
        <v>2106</v>
      </c>
      <c r="Q565" s="1213" t="s">
        <v>2111</v>
      </c>
      <c r="R565" s="1213" t="s">
        <v>2108</v>
      </c>
      <c r="S565" s="1213" t="s">
        <v>2109</v>
      </c>
      <c r="T565" s="1213" t="s">
        <v>2107</v>
      </c>
      <c r="U565" s="1213" t="s">
        <v>2107</v>
      </c>
      <c r="V565" s="1213" t="s">
        <v>2107</v>
      </c>
      <c r="W565" s="1213" t="s">
        <v>2107</v>
      </c>
      <c r="X565" s="1154" t="s">
        <v>1710</v>
      </c>
      <c r="Y565" s="1154" t="s">
        <v>1724</v>
      </c>
      <c r="Z565" s="1221" t="s">
        <v>1725</v>
      </c>
    </row>
    <row r="566" spans="2:26" ht="47.25">
      <c r="B566" s="69"/>
      <c r="C566" s="891"/>
      <c r="D566" s="891"/>
      <c r="E566" s="891"/>
      <c r="F566" s="891"/>
      <c r="G566" s="891"/>
      <c r="H566" s="891"/>
      <c r="I566" s="891"/>
      <c r="J566" s="3">
        <v>1.1599999999999999</v>
      </c>
      <c r="K566" s="3" t="s">
        <v>773</v>
      </c>
      <c r="L566" s="3">
        <v>16</v>
      </c>
      <c r="M566" s="19" t="s">
        <v>397</v>
      </c>
      <c r="N566" s="538"/>
      <c r="O566" s="1214"/>
      <c r="P566" s="1214"/>
      <c r="Q566" s="1214"/>
      <c r="R566" s="1214"/>
      <c r="S566" s="1214"/>
      <c r="T566" s="1214"/>
      <c r="U566" s="1214"/>
      <c r="V566" s="1214"/>
      <c r="W566" s="1214"/>
      <c r="X566" s="1156"/>
      <c r="Y566" s="1156"/>
      <c r="Z566" s="1223"/>
    </row>
    <row r="567" spans="2:26" ht="47.25">
      <c r="B567" s="69"/>
      <c r="C567" s="891"/>
      <c r="D567" s="891"/>
      <c r="E567" s="891"/>
      <c r="F567" s="891"/>
      <c r="G567" s="891"/>
      <c r="H567" s="891"/>
      <c r="I567" s="891"/>
      <c r="J567" s="3">
        <v>1.1599999999999999</v>
      </c>
      <c r="K567" s="3" t="s">
        <v>773</v>
      </c>
      <c r="L567" s="3">
        <v>15</v>
      </c>
      <c r="M567" s="19" t="s">
        <v>153</v>
      </c>
      <c r="N567" s="136" t="s">
        <v>4621</v>
      </c>
      <c r="O567" s="1213" t="s">
        <v>4598</v>
      </c>
      <c r="P567" s="903">
        <v>503</v>
      </c>
      <c r="Q567" s="903">
        <f>181+P567</f>
        <v>684</v>
      </c>
      <c r="R567" s="903">
        <f>190+Q567</f>
        <v>874</v>
      </c>
      <c r="S567" s="903">
        <f>200+R567</f>
        <v>1074</v>
      </c>
      <c r="T567" s="903">
        <f>210+S567</f>
        <v>1284</v>
      </c>
      <c r="U567" s="903">
        <f>220+T567</f>
        <v>1504</v>
      </c>
      <c r="V567" s="903">
        <f>230+U567</f>
        <v>1734</v>
      </c>
      <c r="W567" s="1213">
        <f>V567</f>
        <v>1734</v>
      </c>
      <c r="X567" s="1154" t="s">
        <v>1710</v>
      </c>
      <c r="Y567" s="1154" t="s">
        <v>1726</v>
      </c>
      <c r="Z567" s="1221" t="s">
        <v>1727</v>
      </c>
    </row>
    <row r="568" spans="2:26" ht="47.25">
      <c r="B568" s="69"/>
      <c r="C568" s="891"/>
      <c r="D568" s="891"/>
      <c r="E568" s="891"/>
      <c r="F568" s="891"/>
      <c r="G568" s="891"/>
      <c r="H568" s="891"/>
      <c r="I568" s="891"/>
      <c r="J568" s="3">
        <v>1.1599999999999999</v>
      </c>
      <c r="K568" s="3" t="s">
        <v>773</v>
      </c>
      <c r="L568" s="3">
        <v>16</v>
      </c>
      <c r="M568" s="19" t="s">
        <v>397</v>
      </c>
      <c r="N568" s="538"/>
      <c r="O568" s="1214"/>
      <c r="P568" s="904"/>
      <c r="Q568" s="904"/>
      <c r="R568" s="904"/>
      <c r="S568" s="904"/>
      <c r="T568" s="904"/>
      <c r="U568" s="904"/>
      <c r="V568" s="904"/>
      <c r="W568" s="1214"/>
      <c r="X568" s="1156"/>
      <c r="Y568" s="1156"/>
      <c r="Z568" s="1223"/>
    </row>
    <row r="569" spans="2:26" ht="63">
      <c r="B569" s="69"/>
      <c r="C569" s="891"/>
      <c r="D569" s="891"/>
      <c r="E569" s="891"/>
      <c r="F569" s="891"/>
      <c r="G569" s="891"/>
      <c r="H569" s="891"/>
      <c r="I569" s="891"/>
      <c r="J569" s="890">
        <v>1.1599999999999999</v>
      </c>
      <c r="K569" s="890" t="s">
        <v>773</v>
      </c>
      <c r="L569" s="890">
        <v>15</v>
      </c>
      <c r="M569" s="901" t="s">
        <v>153</v>
      </c>
      <c r="N569" s="136" t="s">
        <v>2112</v>
      </c>
      <c r="O569" s="903" t="s">
        <v>4604</v>
      </c>
      <c r="P569" s="903">
        <v>3</v>
      </c>
      <c r="Q569" s="903">
        <v>2</v>
      </c>
      <c r="R569" s="903">
        <v>5</v>
      </c>
      <c r="S569" s="903">
        <v>5</v>
      </c>
      <c r="T569" s="903">
        <v>7</v>
      </c>
      <c r="U569" s="903">
        <v>7</v>
      </c>
      <c r="V569" s="903">
        <v>7</v>
      </c>
      <c r="W569" s="903">
        <v>33</v>
      </c>
      <c r="X569" s="890" t="s">
        <v>1710</v>
      </c>
      <c r="Y569" s="890" t="s">
        <v>4623</v>
      </c>
      <c r="Z569" s="136" t="s">
        <v>4622</v>
      </c>
    </row>
    <row r="570" spans="2:26" ht="94.5" customHeight="1">
      <c r="B570" s="69"/>
      <c r="C570" s="891"/>
      <c r="D570" s="891"/>
      <c r="E570" s="891"/>
      <c r="F570" s="891"/>
      <c r="G570" s="891"/>
      <c r="H570" s="891"/>
      <c r="I570" s="891"/>
      <c r="J570" s="3"/>
      <c r="K570" s="3"/>
      <c r="L570" s="3"/>
      <c r="M570" s="19"/>
      <c r="N570" s="3" t="s">
        <v>2110</v>
      </c>
      <c r="O570" s="449" t="s">
        <v>742</v>
      </c>
      <c r="P570" s="449">
        <v>17</v>
      </c>
      <c r="Q570" s="449">
        <v>32</v>
      </c>
      <c r="R570" s="449">
        <v>32</v>
      </c>
      <c r="S570" s="449">
        <v>32</v>
      </c>
      <c r="T570" s="449">
        <v>32</v>
      </c>
      <c r="U570" s="449">
        <v>32</v>
      </c>
      <c r="V570" s="449">
        <v>32</v>
      </c>
      <c r="W570" s="449">
        <v>32</v>
      </c>
      <c r="X570" s="3" t="s">
        <v>1710</v>
      </c>
      <c r="Y570" s="3" t="s">
        <v>1729</v>
      </c>
      <c r="Z570" s="3" t="s">
        <v>1730</v>
      </c>
    </row>
    <row r="571" spans="2:26" ht="78.75">
      <c r="B571" s="69"/>
      <c r="C571" s="891"/>
      <c r="D571" s="891"/>
      <c r="E571" s="891"/>
      <c r="F571" s="891"/>
      <c r="G571" s="891"/>
      <c r="H571" s="891"/>
      <c r="I571" s="891"/>
      <c r="J571" s="3">
        <v>1.1599999999999999</v>
      </c>
      <c r="K571" s="3" t="s">
        <v>773</v>
      </c>
      <c r="L571" s="3">
        <v>16</v>
      </c>
      <c r="M571" s="19" t="s">
        <v>397</v>
      </c>
      <c r="N571" s="136" t="s">
        <v>2105</v>
      </c>
      <c r="O571" s="1213" t="s">
        <v>701</v>
      </c>
      <c r="P571" s="1213">
        <v>0</v>
      </c>
      <c r="Q571" s="1213">
        <v>0</v>
      </c>
      <c r="R571" s="1213">
        <v>100</v>
      </c>
      <c r="S571" s="1213">
        <v>100</v>
      </c>
      <c r="T571" s="1213">
        <v>100</v>
      </c>
      <c r="U571" s="1213">
        <v>100</v>
      </c>
      <c r="V571" s="1213">
        <v>100</v>
      </c>
      <c r="W571" s="1213">
        <v>100</v>
      </c>
      <c r="X571" s="1154" t="s">
        <v>1710</v>
      </c>
      <c r="Y571" s="1154" t="s">
        <v>1731</v>
      </c>
      <c r="Z571" s="1221" t="s">
        <v>1732</v>
      </c>
    </row>
    <row r="572" spans="2:26" ht="31.5">
      <c r="B572" s="69"/>
      <c r="C572" s="891"/>
      <c r="D572" s="891"/>
      <c r="E572" s="891"/>
      <c r="F572" s="891"/>
      <c r="G572" s="891"/>
      <c r="H572" s="891"/>
      <c r="I572" s="891"/>
      <c r="J572" s="3">
        <v>1.1599999999999999</v>
      </c>
      <c r="K572" s="3" t="s">
        <v>773</v>
      </c>
      <c r="L572" s="3">
        <v>15</v>
      </c>
      <c r="M572" s="19" t="s">
        <v>1728</v>
      </c>
      <c r="N572" s="538"/>
      <c r="O572" s="1214"/>
      <c r="P572" s="1214"/>
      <c r="Q572" s="1214"/>
      <c r="R572" s="1214"/>
      <c r="S572" s="1214"/>
      <c r="T572" s="1214"/>
      <c r="U572" s="1214"/>
      <c r="V572" s="1214"/>
      <c r="W572" s="1214"/>
      <c r="X572" s="1156"/>
      <c r="Y572" s="1156"/>
      <c r="Z572" s="1223"/>
    </row>
    <row r="573" spans="2:26" ht="141.75">
      <c r="B573" s="37" t="s">
        <v>1733</v>
      </c>
      <c r="C573" s="890">
        <v>9</v>
      </c>
      <c r="D573" s="890" t="s">
        <v>1734</v>
      </c>
      <c r="E573" s="890">
        <v>12</v>
      </c>
      <c r="F573" s="890" t="s">
        <v>1735</v>
      </c>
      <c r="G573" s="890" t="s">
        <v>1736</v>
      </c>
      <c r="H573" s="890" t="s">
        <v>1735</v>
      </c>
      <c r="I573" s="890" t="s">
        <v>4998</v>
      </c>
      <c r="J573" s="3"/>
      <c r="K573" s="3"/>
      <c r="L573" s="3"/>
      <c r="M573" s="3"/>
      <c r="N573" s="3"/>
      <c r="O573" s="449"/>
      <c r="P573" s="449"/>
      <c r="Q573" s="449"/>
      <c r="R573" s="449"/>
      <c r="S573" s="449"/>
      <c r="T573" s="449"/>
      <c r="U573" s="449"/>
      <c r="V573" s="449"/>
      <c r="W573" s="449"/>
      <c r="X573" s="3"/>
      <c r="Y573" s="3"/>
      <c r="Z573" s="3"/>
    </row>
    <row r="574" spans="2:26" ht="157.5">
      <c r="B574" s="69"/>
      <c r="C574" s="891"/>
      <c r="D574" s="891"/>
      <c r="E574" s="891"/>
      <c r="F574" s="891"/>
      <c r="G574" s="891"/>
      <c r="H574" s="891"/>
      <c r="I574" s="891"/>
      <c r="J574" s="898" t="s">
        <v>4637</v>
      </c>
      <c r="K574" s="890" t="s">
        <v>773</v>
      </c>
      <c r="L574" s="890">
        <v>21</v>
      </c>
      <c r="M574" s="890" t="s">
        <v>172</v>
      </c>
      <c r="N574" s="3" t="s">
        <v>1737</v>
      </c>
      <c r="O574" s="449" t="s">
        <v>921</v>
      </c>
      <c r="P574" s="449">
        <v>55</v>
      </c>
      <c r="Q574" s="449">
        <v>60</v>
      </c>
      <c r="R574" s="449">
        <v>64</v>
      </c>
      <c r="S574" s="449">
        <v>72</v>
      </c>
      <c r="T574" s="449">
        <v>76</v>
      </c>
      <c r="U574" s="449">
        <v>80</v>
      </c>
      <c r="V574" s="449">
        <v>82</v>
      </c>
      <c r="W574" s="449">
        <v>84</v>
      </c>
      <c r="X574" s="3" t="s">
        <v>1689</v>
      </c>
      <c r="Y574" s="3" t="s">
        <v>1738</v>
      </c>
      <c r="Z574" s="3" t="s">
        <v>1739</v>
      </c>
    </row>
    <row r="575" spans="2:26" ht="157.5">
      <c r="B575" s="69"/>
      <c r="C575" s="891"/>
      <c r="D575" s="891"/>
      <c r="E575" s="891"/>
      <c r="F575" s="891"/>
      <c r="G575" s="891"/>
      <c r="H575" s="891"/>
      <c r="I575" s="891"/>
      <c r="J575" s="891"/>
      <c r="K575" s="891"/>
      <c r="L575" s="891"/>
      <c r="M575" s="891"/>
      <c r="N575" s="3" t="s">
        <v>1740</v>
      </c>
      <c r="O575" s="449" t="s">
        <v>701</v>
      </c>
      <c r="P575" s="449">
        <v>35</v>
      </c>
      <c r="Q575" s="449">
        <v>65</v>
      </c>
      <c r="R575" s="449">
        <v>70</v>
      </c>
      <c r="S575" s="449">
        <v>73</v>
      </c>
      <c r="T575" s="449">
        <v>79</v>
      </c>
      <c r="U575" s="449">
        <v>83</v>
      </c>
      <c r="V575" s="449">
        <v>87</v>
      </c>
      <c r="W575" s="449">
        <v>90</v>
      </c>
      <c r="X575" s="3" t="s">
        <v>1689</v>
      </c>
      <c r="Y575" s="3" t="s">
        <v>1741</v>
      </c>
      <c r="Z575" s="3" t="s">
        <v>1739</v>
      </c>
    </row>
    <row r="576" spans="2:26">
      <c r="B576" s="77"/>
      <c r="C576" s="892"/>
      <c r="D576" s="892"/>
      <c r="E576" s="892"/>
      <c r="F576" s="892"/>
      <c r="G576" s="892"/>
      <c r="H576" s="892"/>
      <c r="I576" s="892"/>
      <c r="J576" s="892"/>
      <c r="K576" s="892"/>
      <c r="L576" s="892"/>
      <c r="M576" s="892"/>
      <c r="N576" s="3"/>
      <c r="O576" s="449"/>
      <c r="P576" s="449"/>
      <c r="Q576" s="449"/>
      <c r="R576" s="449"/>
      <c r="S576" s="449"/>
      <c r="T576" s="449"/>
      <c r="U576" s="449"/>
      <c r="V576" s="449"/>
      <c r="W576" s="449"/>
      <c r="X576" s="3"/>
      <c r="Y576" s="3"/>
      <c r="Z576" s="3"/>
    </row>
    <row r="577" spans="2:26" ht="126">
      <c r="B577" s="37" t="s">
        <v>25</v>
      </c>
      <c r="C577" s="890">
        <v>10</v>
      </c>
      <c r="D577" s="890" t="s">
        <v>1742</v>
      </c>
      <c r="E577" s="890">
        <v>13</v>
      </c>
      <c r="F577" s="890" t="s">
        <v>1743</v>
      </c>
      <c r="G577" s="890" t="s">
        <v>1744</v>
      </c>
      <c r="H577" s="890" t="s">
        <v>1745</v>
      </c>
      <c r="I577" s="890" t="s">
        <v>4999</v>
      </c>
      <c r="J577" s="3"/>
      <c r="K577" s="3"/>
      <c r="L577" s="3"/>
      <c r="M577" s="3"/>
      <c r="N577" s="3"/>
      <c r="O577" s="449"/>
      <c r="P577" s="449"/>
      <c r="Q577" s="449"/>
      <c r="R577" s="449"/>
      <c r="S577" s="449"/>
      <c r="T577" s="449"/>
      <c r="U577" s="449"/>
      <c r="V577" s="449"/>
      <c r="W577" s="449"/>
      <c r="X577" s="3"/>
      <c r="Y577" s="3"/>
      <c r="Z577" s="3"/>
    </row>
    <row r="578" spans="2:26" ht="63">
      <c r="B578" s="69"/>
      <c r="C578" s="891"/>
      <c r="D578" s="891"/>
      <c r="E578" s="891"/>
      <c r="F578" s="891"/>
      <c r="G578" s="891"/>
      <c r="H578" s="891"/>
      <c r="I578" s="891"/>
      <c r="J578" s="3">
        <v>1.23</v>
      </c>
      <c r="K578" s="3" t="s">
        <v>773</v>
      </c>
      <c r="L578" s="3">
        <v>15</v>
      </c>
      <c r="M578" s="3" t="s">
        <v>1746</v>
      </c>
      <c r="N578" s="890" t="s">
        <v>1813</v>
      </c>
      <c r="O578" s="903" t="s">
        <v>1542</v>
      </c>
      <c r="P578" s="903">
        <v>9</v>
      </c>
      <c r="Q578" s="903">
        <v>9</v>
      </c>
      <c r="R578" s="903">
        <v>8</v>
      </c>
      <c r="S578" s="903">
        <v>8</v>
      </c>
      <c r="T578" s="903">
        <v>8</v>
      </c>
      <c r="U578" s="903">
        <v>9</v>
      </c>
      <c r="V578" s="903">
        <v>9</v>
      </c>
      <c r="W578" s="903">
        <v>9</v>
      </c>
      <c r="X578" s="890" t="s">
        <v>1549</v>
      </c>
      <c r="Y578" s="890" t="s">
        <v>1814</v>
      </c>
      <c r="Z578" s="890" t="s">
        <v>1815</v>
      </c>
    </row>
    <row r="579" spans="2:26" ht="126">
      <c r="B579" s="37" t="s">
        <v>27</v>
      </c>
      <c r="C579" s="890">
        <v>11</v>
      </c>
      <c r="D579" s="890" t="s">
        <v>1747</v>
      </c>
      <c r="E579" s="890">
        <v>14</v>
      </c>
      <c r="F579" s="890" t="s">
        <v>1748</v>
      </c>
      <c r="G579" s="890" t="s">
        <v>1749</v>
      </c>
      <c r="H579" s="890" t="s">
        <v>1745</v>
      </c>
      <c r="I579" s="890" t="s">
        <v>5000</v>
      </c>
      <c r="J579" s="3"/>
      <c r="K579" s="3"/>
      <c r="L579" s="3"/>
      <c r="M579" s="3"/>
      <c r="N579" s="3"/>
      <c r="O579" s="449"/>
      <c r="P579" s="449"/>
      <c r="Q579" s="449"/>
      <c r="R579" s="449"/>
      <c r="S579" s="449"/>
      <c r="T579" s="449"/>
      <c r="U579" s="449"/>
      <c r="V579" s="449"/>
      <c r="W579" s="449"/>
      <c r="X579" s="3"/>
      <c r="Y579" s="3"/>
      <c r="Z579" s="3"/>
    </row>
    <row r="580" spans="2:26" ht="63">
      <c r="B580" s="69"/>
      <c r="C580" s="891"/>
      <c r="D580" s="891"/>
      <c r="E580" s="891"/>
      <c r="F580" s="891"/>
      <c r="G580" s="891"/>
      <c r="H580" s="891"/>
      <c r="I580" s="891"/>
      <c r="J580" s="3">
        <v>1.25</v>
      </c>
      <c r="K580" s="3" t="s">
        <v>773</v>
      </c>
      <c r="L580" s="3">
        <v>20</v>
      </c>
      <c r="M580" s="3" t="s">
        <v>1750</v>
      </c>
      <c r="N580" s="3" t="s">
        <v>1751</v>
      </c>
      <c r="O580" s="449" t="s">
        <v>1752</v>
      </c>
      <c r="P580" s="449">
        <v>5</v>
      </c>
      <c r="Q580" s="449">
        <v>9</v>
      </c>
      <c r="R580" s="449">
        <v>15</v>
      </c>
      <c r="S580" s="449">
        <v>35</v>
      </c>
      <c r="T580" s="449">
        <v>55</v>
      </c>
      <c r="U580" s="449">
        <v>75</v>
      </c>
      <c r="V580" s="449">
        <v>100</v>
      </c>
      <c r="W580" s="449">
        <v>100</v>
      </c>
      <c r="X580" s="3" t="s">
        <v>1088</v>
      </c>
      <c r="Y580" s="3" t="s">
        <v>1754</v>
      </c>
      <c r="Z580" s="3"/>
    </row>
    <row r="581" spans="2:26" ht="94.5">
      <c r="B581" s="69"/>
      <c r="C581" s="891"/>
      <c r="D581" s="891"/>
      <c r="E581" s="891"/>
      <c r="F581" s="891"/>
      <c r="G581" s="891"/>
      <c r="H581" s="891"/>
      <c r="I581" s="891"/>
      <c r="J581" s="3">
        <v>1.25</v>
      </c>
      <c r="K581" s="3" t="s">
        <v>773</v>
      </c>
      <c r="L581" s="3">
        <v>15</v>
      </c>
      <c r="M581" s="3" t="s">
        <v>1755</v>
      </c>
      <c r="N581" s="3" t="s">
        <v>1756</v>
      </c>
      <c r="O581" s="449" t="s">
        <v>741</v>
      </c>
      <c r="P581" s="449">
        <v>1</v>
      </c>
      <c r="Q581" s="449">
        <v>2</v>
      </c>
      <c r="R581" s="449">
        <v>2</v>
      </c>
      <c r="S581" s="449">
        <v>3</v>
      </c>
      <c r="T581" s="449">
        <v>4</v>
      </c>
      <c r="U581" s="449">
        <v>5</v>
      </c>
      <c r="V581" s="449">
        <v>6</v>
      </c>
      <c r="W581" s="449">
        <v>6</v>
      </c>
      <c r="X581" s="3" t="s">
        <v>1088</v>
      </c>
      <c r="Y581" s="3" t="s">
        <v>1757</v>
      </c>
      <c r="Z581" s="3" t="s">
        <v>1758</v>
      </c>
    </row>
    <row r="582" spans="2:26" ht="94.5">
      <c r="B582" s="69"/>
      <c r="C582" s="891"/>
      <c r="D582" s="891"/>
      <c r="E582" s="891"/>
      <c r="F582" s="891"/>
      <c r="G582" s="891"/>
      <c r="H582" s="891"/>
      <c r="I582" s="891"/>
      <c r="J582" s="3"/>
      <c r="K582" s="3"/>
      <c r="L582" s="3"/>
      <c r="M582" s="3"/>
      <c r="N582" s="3" t="s">
        <v>1759</v>
      </c>
      <c r="O582" s="449" t="s">
        <v>741</v>
      </c>
      <c r="P582" s="449">
        <v>1</v>
      </c>
      <c r="Q582" s="449">
        <v>1</v>
      </c>
      <c r="R582" s="449">
        <v>2</v>
      </c>
      <c r="S582" s="449">
        <v>4</v>
      </c>
      <c r="T582" s="449">
        <v>6</v>
      </c>
      <c r="U582" s="449">
        <v>8</v>
      </c>
      <c r="V582" s="449">
        <v>10</v>
      </c>
      <c r="W582" s="449">
        <v>10</v>
      </c>
      <c r="X582" s="3" t="s">
        <v>1088</v>
      </c>
      <c r="Y582" s="3" t="s">
        <v>1760</v>
      </c>
      <c r="Z582" s="3" t="s">
        <v>1761</v>
      </c>
    </row>
    <row r="583" spans="2:26" ht="94.5">
      <c r="B583" s="69"/>
      <c r="C583" s="891"/>
      <c r="D583" s="891"/>
      <c r="E583" s="891"/>
      <c r="F583" s="891"/>
      <c r="G583" s="891"/>
      <c r="H583" s="891"/>
      <c r="I583" s="891"/>
      <c r="J583" s="3"/>
      <c r="K583" s="3"/>
      <c r="L583" s="3"/>
      <c r="M583" s="3"/>
      <c r="N583" s="3" t="s">
        <v>1762</v>
      </c>
      <c r="O583" s="449" t="s">
        <v>741</v>
      </c>
      <c r="P583" s="449">
        <v>1</v>
      </c>
      <c r="Q583" s="449">
        <v>1</v>
      </c>
      <c r="R583" s="449">
        <v>2</v>
      </c>
      <c r="S583" s="449">
        <v>4</v>
      </c>
      <c r="T583" s="449">
        <v>6</v>
      </c>
      <c r="U583" s="449">
        <v>8</v>
      </c>
      <c r="V583" s="449">
        <v>10</v>
      </c>
      <c r="W583" s="449">
        <v>10</v>
      </c>
      <c r="X583" s="3" t="s">
        <v>1763</v>
      </c>
      <c r="Y583" s="3" t="s">
        <v>1764</v>
      </c>
      <c r="Z583" s="3" t="s">
        <v>1765</v>
      </c>
    </row>
    <row r="584" spans="2:26" ht="94.5">
      <c r="B584" s="69"/>
      <c r="C584" s="891"/>
      <c r="D584" s="891"/>
      <c r="E584" s="891"/>
      <c r="F584" s="891"/>
      <c r="G584" s="891"/>
      <c r="H584" s="891"/>
      <c r="I584" s="891"/>
      <c r="J584" s="3"/>
      <c r="K584" s="3"/>
      <c r="L584" s="3"/>
      <c r="M584" s="3"/>
      <c r="N584" s="3" t="s">
        <v>1766</v>
      </c>
      <c r="O584" s="449" t="s">
        <v>741</v>
      </c>
      <c r="P584" s="449">
        <v>1</v>
      </c>
      <c r="Q584" s="449">
        <v>1</v>
      </c>
      <c r="R584" s="449">
        <v>2</v>
      </c>
      <c r="S584" s="449">
        <v>4</v>
      </c>
      <c r="T584" s="449">
        <v>6</v>
      </c>
      <c r="U584" s="449">
        <v>8</v>
      </c>
      <c r="V584" s="449">
        <v>10</v>
      </c>
      <c r="W584" s="449">
        <v>10</v>
      </c>
      <c r="X584" s="3" t="s">
        <v>1763</v>
      </c>
      <c r="Y584" s="3" t="s">
        <v>1767</v>
      </c>
      <c r="Z584" s="3" t="s">
        <v>1768</v>
      </c>
    </row>
    <row r="585" spans="2:26" ht="94.5">
      <c r="B585" s="69"/>
      <c r="C585" s="891"/>
      <c r="D585" s="891"/>
      <c r="E585" s="891"/>
      <c r="F585" s="891"/>
      <c r="G585" s="891"/>
      <c r="H585" s="891"/>
      <c r="I585" s="891"/>
      <c r="J585" s="3"/>
      <c r="K585" s="3"/>
      <c r="L585" s="3"/>
      <c r="M585" s="3"/>
      <c r="N585" s="3" t="s">
        <v>1769</v>
      </c>
      <c r="O585" s="449" t="s">
        <v>1770</v>
      </c>
      <c r="P585" s="449">
        <v>1</v>
      </c>
      <c r="Q585" s="449">
        <v>1</v>
      </c>
      <c r="R585" s="449">
        <v>2</v>
      </c>
      <c r="S585" s="449">
        <v>4</v>
      </c>
      <c r="T585" s="449">
        <v>6</v>
      </c>
      <c r="U585" s="449">
        <v>8</v>
      </c>
      <c r="V585" s="449">
        <v>10</v>
      </c>
      <c r="W585" s="449">
        <v>10</v>
      </c>
      <c r="X585" s="3" t="s">
        <v>1771</v>
      </c>
      <c r="Y585" s="3" t="s">
        <v>1772</v>
      </c>
      <c r="Z585" s="3" t="s">
        <v>1773</v>
      </c>
    </row>
    <row r="586" spans="2:26" ht="204.75">
      <c r="B586" s="69"/>
      <c r="C586" s="891"/>
      <c r="D586" s="891"/>
      <c r="E586" s="891"/>
      <c r="F586" s="891"/>
      <c r="G586" s="891"/>
      <c r="H586" s="891"/>
      <c r="I586" s="891"/>
      <c r="J586" s="3">
        <v>1.25</v>
      </c>
      <c r="K586" s="3" t="s">
        <v>773</v>
      </c>
      <c r="L586" s="3">
        <v>20</v>
      </c>
      <c r="M586" s="3" t="s">
        <v>1750</v>
      </c>
      <c r="N586" s="3" t="s">
        <v>1774</v>
      </c>
      <c r="O586" s="449" t="s">
        <v>701</v>
      </c>
      <c r="P586" s="449">
        <v>5</v>
      </c>
      <c r="Q586" s="449">
        <v>10</v>
      </c>
      <c r="R586" s="449">
        <v>15</v>
      </c>
      <c r="S586" s="449">
        <v>25</v>
      </c>
      <c r="T586" s="449">
        <v>35</v>
      </c>
      <c r="U586" s="449">
        <v>45</v>
      </c>
      <c r="V586" s="449">
        <v>55</v>
      </c>
      <c r="W586" s="449">
        <v>55</v>
      </c>
      <c r="X586" s="3" t="s">
        <v>1088</v>
      </c>
      <c r="Y586" s="3" t="s">
        <v>1775</v>
      </c>
      <c r="Z586" s="3" t="s">
        <v>1776</v>
      </c>
    </row>
    <row r="587" spans="2:26" ht="110.25">
      <c r="B587" s="69"/>
      <c r="C587" s="891"/>
      <c r="D587" s="891"/>
      <c r="E587" s="891"/>
      <c r="F587" s="891"/>
      <c r="G587" s="891"/>
      <c r="H587" s="891"/>
      <c r="I587" s="891"/>
      <c r="J587" s="3">
        <v>1.25</v>
      </c>
      <c r="K587" s="3" t="s">
        <v>773</v>
      </c>
      <c r="L587" s="3">
        <v>20</v>
      </c>
      <c r="M587" s="3" t="s">
        <v>1750</v>
      </c>
      <c r="N587" s="3" t="s">
        <v>1777</v>
      </c>
      <c r="O587" s="449" t="s">
        <v>701</v>
      </c>
      <c r="P587" s="449">
        <v>100</v>
      </c>
      <c r="Q587" s="449">
        <v>100</v>
      </c>
      <c r="R587" s="449">
        <v>100</v>
      </c>
      <c r="S587" s="449">
        <v>100</v>
      </c>
      <c r="T587" s="449">
        <v>100</v>
      </c>
      <c r="U587" s="449">
        <v>100</v>
      </c>
      <c r="V587" s="449">
        <v>100</v>
      </c>
      <c r="W587" s="449">
        <v>100</v>
      </c>
      <c r="X587" s="3" t="s">
        <v>1778</v>
      </c>
      <c r="Y587" s="3" t="s">
        <v>1779</v>
      </c>
      <c r="Z587" s="3" t="s">
        <v>1780</v>
      </c>
    </row>
    <row r="588" spans="2:26" ht="126">
      <c r="B588" s="69"/>
      <c r="C588" s="891"/>
      <c r="D588" s="891"/>
      <c r="E588" s="891"/>
      <c r="F588" s="891"/>
      <c r="G588" s="891"/>
      <c r="H588" s="891"/>
      <c r="I588" s="891"/>
      <c r="J588" s="3">
        <v>1.25</v>
      </c>
      <c r="K588" s="3" t="s">
        <v>773</v>
      </c>
      <c r="L588" s="3">
        <v>20</v>
      </c>
      <c r="M588" s="3" t="s">
        <v>1750</v>
      </c>
      <c r="N588" s="3" t="s">
        <v>1781</v>
      </c>
      <c r="O588" s="449" t="s">
        <v>701</v>
      </c>
      <c r="P588" s="449" t="s">
        <v>1041</v>
      </c>
      <c r="Q588" s="449" t="s">
        <v>1041</v>
      </c>
      <c r="R588" s="449" t="s">
        <v>1041</v>
      </c>
      <c r="S588" s="449" t="s">
        <v>1041</v>
      </c>
      <c r="T588" s="449">
        <v>100</v>
      </c>
      <c r="U588" s="449" t="s">
        <v>1041</v>
      </c>
      <c r="V588" s="449" t="s">
        <v>1041</v>
      </c>
      <c r="W588" s="449" t="s">
        <v>1041</v>
      </c>
      <c r="X588" s="3" t="s">
        <v>1549</v>
      </c>
      <c r="Y588" s="3" t="s">
        <v>1782</v>
      </c>
      <c r="Z588" s="3" t="s">
        <v>1783</v>
      </c>
    </row>
    <row r="589" spans="2:26" ht="126">
      <c r="B589" s="69"/>
      <c r="C589" s="891"/>
      <c r="D589" s="891"/>
      <c r="E589" s="891"/>
      <c r="F589" s="891"/>
      <c r="G589" s="891"/>
      <c r="H589" s="891"/>
      <c r="I589" s="891"/>
      <c r="J589" s="3">
        <v>1.25</v>
      </c>
      <c r="K589" s="3" t="s">
        <v>773</v>
      </c>
      <c r="L589" s="3">
        <v>20</v>
      </c>
      <c r="M589" s="3" t="s">
        <v>1750</v>
      </c>
      <c r="N589" s="3" t="s">
        <v>1784</v>
      </c>
      <c r="O589" s="449" t="s">
        <v>701</v>
      </c>
      <c r="P589" s="449" t="s">
        <v>1041</v>
      </c>
      <c r="Q589" s="449" t="s">
        <v>1041</v>
      </c>
      <c r="R589" s="449" t="s">
        <v>1041</v>
      </c>
      <c r="S589" s="449">
        <v>100</v>
      </c>
      <c r="T589" s="449" t="s">
        <v>1041</v>
      </c>
      <c r="U589" s="449" t="s">
        <v>1041</v>
      </c>
      <c r="V589" s="449" t="s">
        <v>1041</v>
      </c>
      <c r="W589" s="449" t="s">
        <v>1041</v>
      </c>
      <c r="X589" s="3" t="s">
        <v>1549</v>
      </c>
      <c r="Y589" s="3" t="s">
        <v>1785</v>
      </c>
      <c r="Z589" s="3" t="s">
        <v>1786</v>
      </c>
    </row>
    <row r="590" spans="2:26" ht="78.75">
      <c r="B590" s="69"/>
      <c r="C590" s="890">
        <v>12</v>
      </c>
      <c r="D590" s="890" t="s">
        <v>1787</v>
      </c>
      <c r="E590" s="890">
        <v>15</v>
      </c>
      <c r="F590" s="890" t="s">
        <v>1788</v>
      </c>
      <c r="G590" s="890" t="s">
        <v>1789</v>
      </c>
      <c r="H590" s="890" t="s">
        <v>1745</v>
      </c>
      <c r="I590" s="890" t="s">
        <v>5001</v>
      </c>
      <c r="J590" s="3"/>
      <c r="K590" s="3"/>
      <c r="L590" s="3"/>
      <c r="M590" s="3"/>
      <c r="N590" s="3"/>
      <c r="O590" s="449"/>
      <c r="P590" s="449"/>
      <c r="Q590" s="449"/>
      <c r="R590" s="449"/>
      <c r="S590" s="449"/>
      <c r="T590" s="449"/>
      <c r="U590" s="449"/>
      <c r="V590" s="449"/>
      <c r="W590" s="449"/>
      <c r="X590" s="3"/>
      <c r="Y590" s="3"/>
      <c r="Z590" s="3"/>
    </row>
    <row r="591" spans="2:26" ht="94.5">
      <c r="B591" s="69"/>
      <c r="C591" s="891"/>
      <c r="D591" s="891"/>
      <c r="E591" s="891"/>
      <c r="F591" s="891"/>
      <c r="G591" s="891"/>
      <c r="H591" s="891"/>
      <c r="I591" s="891"/>
      <c r="J591" s="3">
        <v>1.25</v>
      </c>
      <c r="K591" s="3" t="s">
        <v>773</v>
      </c>
      <c r="L591" s="3">
        <v>15</v>
      </c>
      <c r="M591" s="3" t="s">
        <v>1755</v>
      </c>
      <c r="N591" s="1221" t="s">
        <v>1790</v>
      </c>
      <c r="O591" s="1213" t="s">
        <v>701</v>
      </c>
      <c r="P591" s="903">
        <v>5</v>
      </c>
      <c r="Q591" s="449">
        <v>9</v>
      </c>
      <c r="R591" s="449">
        <v>15</v>
      </c>
      <c r="S591" s="449">
        <v>35</v>
      </c>
      <c r="T591" s="449">
        <v>55</v>
      </c>
      <c r="U591" s="449">
        <v>75</v>
      </c>
      <c r="V591" s="449">
        <v>100</v>
      </c>
      <c r="W591" s="449">
        <v>100</v>
      </c>
      <c r="X591" s="890" t="s">
        <v>1791</v>
      </c>
      <c r="Y591" s="890" t="s">
        <v>1792</v>
      </c>
      <c r="Z591" s="3" t="s">
        <v>4584</v>
      </c>
    </row>
    <row r="592" spans="2:26" ht="63">
      <c r="B592" s="69"/>
      <c r="C592" s="891"/>
      <c r="D592" s="891"/>
      <c r="E592" s="891"/>
      <c r="F592" s="891"/>
      <c r="G592" s="891"/>
      <c r="H592" s="891"/>
      <c r="I592" s="891"/>
      <c r="J592" s="3">
        <v>1.25</v>
      </c>
      <c r="K592" s="3" t="s">
        <v>773</v>
      </c>
      <c r="L592" s="3">
        <v>20</v>
      </c>
      <c r="M592" s="3" t="s">
        <v>1750</v>
      </c>
      <c r="N592" s="1222"/>
      <c r="O592" s="1224"/>
      <c r="P592" s="908"/>
      <c r="Q592" s="908"/>
      <c r="R592" s="908"/>
      <c r="S592" s="908"/>
      <c r="T592" s="908"/>
      <c r="U592" s="908"/>
      <c r="V592" s="908"/>
      <c r="W592" s="908"/>
      <c r="X592" s="891"/>
      <c r="Y592" s="891"/>
      <c r="Z592" s="891"/>
    </row>
    <row r="593" spans="2:26" ht="63">
      <c r="B593" s="69"/>
      <c r="C593" s="891"/>
      <c r="D593" s="891"/>
      <c r="E593" s="891"/>
      <c r="F593" s="891"/>
      <c r="G593" s="891"/>
      <c r="H593" s="891"/>
      <c r="I593" s="891"/>
      <c r="J593" s="3">
        <v>1.25</v>
      </c>
      <c r="K593" s="3" t="s">
        <v>773</v>
      </c>
      <c r="L593" s="3">
        <v>17</v>
      </c>
      <c r="M593" s="3" t="s">
        <v>4685</v>
      </c>
      <c r="N593" s="1223"/>
      <c r="O593" s="1214"/>
      <c r="P593" s="904"/>
      <c r="Q593" s="904"/>
      <c r="R593" s="904"/>
      <c r="S593" s="904"/>
      <c r="T593" s="904"/>
      <c r="U593" s="904"/>
      <c r="V593" s="904"/>
      <c r="W593" s="904"/>
      <c r="X593" s="892"/>
      <c r="Y593" s="892"/>
      <c r="Z593" s="892"/>
    </row>
    <row r="594" spans="2:26" ht="110.25">
      <c r="B594" s="77"/>
      <c r="C594" s="892"/>
      <c r="D594" s="892"/>
      <c r="E594" s="892"/>
      <c r="F594" s="892"/>
      <c r="G594" s="892"/>
      <c r="H594" s="892"/>
      <c r="I594" s="892"/>
      <c r="J594" s="3">
        <v>1.25</v>
      </c>
      <c r="K594" s="3" t="s">
        <v>773</v>
      </c>
      <c r="L594" s="3">
        <v>16</v>
      </c>
      <c r="M594" s="3" t="s">
        <v>1793</v>
      </c>
      <c r="N594" s="3" t="s">
        <v>4585</v>
      </c>
      <c r="O594" s="449" t="s">
        <v>701</v>
      </c>
      <c r="P594" s="449">
        <v>5</v>
      </c>
      <c r="Q594" s="449">
        <v>9</v>
      </c>
      <c r="R594" s="449">
        <v>15</v>
      </c>
      <c r="S594" s="449">
        <v>35</v>
      </c>
      <c r="T594" s="449">
        <v>55</v>
      </c>
      <c r="U594" s="449">
        <v>75</v>
      </c>
      <c r="V594" s="449">
        <v>100</v>
      </c>
      <c r="W594" s="449">
        <v>100</v>
      </c>
      <c r="X594" s="3" t="s">
        <v>1753</v>
      </c>
      <c r="Y594" s="3" t="s">
        <v>1794</v>
      </c>
      <c r="Z594" s="3" t="s">
        <v>4584</v>
      </c>
    </row>
  </sheetData>
  <sheetProtection formatCells="0" formatColumns="0" formatRows="0" insertColumns="0" insertRows="0" deleteColumns="0" deleteRows="0"/>
  <mergeCells count="119">
    <mergeCell ref="B3:B4"/>
    <mergeCell ref="C3:D4"/>
    <mergeCell ref="E3:F4"/>
    <mergeCell ref="G3:G4"/>
    <mergeCell ref="H3:H4"/>
    <mergeCell ref="I3:I4"/>
    <mergeCell ref="C5:D5"/>
    <mergeCell ref="E5:F5"/>
    <mergeCell ref="J5:M5"/>
    <mergeCell ref="J3:M3"/>
    <mergeCell ref="Y3:Y4"/>
    <mergeCell ref="Z3:Z4"/>
    <mergeCell ref="J4:M4"/>
    <mergeCell ref="J192:J198"/>
    <mergeCell ref="K192:K198"/>
    <mergeCell ref="L192:L198"/>
    <mergeCell ref="M192:M198"/>
    <mergeCell ref="N3:N4"/>
    <mergeCell ref="O3:O4"/>
    <mergeCell ref="P3:Q3"/>
    <mergeCell ref="R3:V3"/>
    <mergeCell ref="X3:X4"/>
    <mergeCell ref="Y15:Y17"/>
    <mergeCell ref="Z15:Z17"/>
    <mergeCell ref="M159:M167"/>
    <mergeCell ref="M168:M174"/>
    <mergeCell ref="J200:J202"/>
    <mergeCell ref="K200:K202"/>
    <mergeCell ref="L200:L202"/>
    <mergeCell ref="M200:M202"/>
    <mergeCell ref="X15:X17"/>
    <mergeCell ref="T510:T511"/>
    <mergeCell ref="U510:U511"/>
    <mergeCell ref="V510:V511"/>
    <mergeCell ref="W510:W511"/>
    <mergeCell ref="X510:X511"/>
    <mergeCell ref="J189:J190"/>
    <mergeCell ref="K189:K190"/>
    <mergeCell ref="L189:L190"/>
    <mergeCell ref="M189:M190"/>
    <mergeCell ref="Z510:Z511"/>
    <mergeCell ref="J210:J213"/>
    <mergeCell ref="K210:K213"/>
    <mergeCell ref="L210:L213"/>
    <mergeCell ref="M210:M213"/>
    <mergeCell ref="Z433:Z434"/>
    <mergeCell ref="O510:O511"/>
    <mergeCell ref="P510:P511"/>
    <mergeCell ref="Q510:Q511"/>
    <mergeCell ref="R510:R511"/>
    <mergeCell ref="S510:S511"/>
    <mergeCell ref="Y563:Y564"/>
    <mergeCell ref="Z563:Z564"/>
    <mergeCell ref="N548:N550"/>
    <mergeCell ref="O548:O550"/>
    <mergeCell ref="P548:P550"/>
    <mergeCell ref="Q548:Q550"/>
    <mergeCell ref="R548:R550"/>
    <mergeCell ref="S548:S550"/>
    <mergeCell ref="U515:U519"/>
    <mergeCell ref="V515:V519"/>
    <mergeCell ref="W515:W519"/>
    <mergeCell ref="X515:X519"/>
    <mergeCell ref="Y515:Y519"/>
    <mergeCell ref="Z515:Z519"/>
    <mergeCell ref="O515:O519"/>
    <mergeCell ref="P515:P519"/>
    <mergeCell ref="Q515:Q519"/>
    <mergeCell ref="R515:R519"/>
    <mergeCell ref="S515:S519"/>
    <mergeCell ref="T515:T519"/>
    <mergeCell ref="Q565:Q566"/>
    <mergeCell ref="R565:R566"/>
    <mergeCell ref="S565:S566"/>
    <mergeCell ref="T565:T566"/>
    <mergeCell ref="U565:U566"/>
    <mergeCell ref="V565:V566"/>
    <mergeCell ref="W565:W566"/>
    <mergeCell ref="Z548:Z550"/>
    <mergeCell ref="O563:O564"/>
    <mergeCell ref="P563:P564"/>
    <mergeCell ref="Q563:Q564"/>
    <mergeCell ref="R563:R564"/>
    <mergeCell ref="S563:S564"/>
    <mergeCell ref="T563:T564"/>
    <mergeCell ref="U563:U564"/>
    <mergeCell ref="V563:V564"/>
    <mergeCell ref="W563:W564"/>
    <mergeCell ref="T548:T550"/>
    <mergeCell ref="U548:U550"/>
    <mergeCell ref="V548:V550"/>
    <mergeCell ref="W548:W550"/>
    <mergeCell ref="X548:X550"/>
    <mergeCell ref="Y548:Y550"/>
    <mergeCell ref="X563:X564"/>
    <mergeCell ref="X565:X566"/>
    <mergeCell ref="Y565:Y566"/>
    <mergeCell ref="Z565:Z566"/>
    <mergeCell ref="O567:O568"/>
    <mergeCell ref="W567:W568"/>
    <mergeCell ref="X567:X568"/>
    <mergeCell ref="Y567:Y568"/>
    <mergeCell ref="Z567:Z568"/>
    <mergeCell ref="N591:N593"/>
    <mergeCell ref="O591:O593"/>
    <mergeCell ref="U571:U572"/>
    <mergeCell ref="V571:V572"/>
    <mergeCell ref="W571:W572"/>
    <mergeCell ref="X571:X572"/>
    <mergeCell ref="Y571:Y572"/>
    <mergeCell ref="Z571:Z572"/>
    <mergeCell ref="O571:O572"/>
    <mergeCell ref="P571:P572"/>
    <mergeCell ref="Q571:Q572"/>
    <mergeCell ref="R571:R572"/>
    <mergeCell ref="S571:S572"/>
    <mergeCell ref="T571:T572"/>
    <mergeCell ref="O565:O566"/>
    <mergeCell ref="P565:P566"/>
  </mergeCells>
  <pageMargins left="0.15" right="0.15" top="1" bottom="0.25" header="0.3" footer="0.3"/>
  <pageSetup paperSize="9" scale="65" orientation="landscape" horizontalDpi="4294967293" verticalDpi="4294967293" r:id="rId1"/>
  <headerFooter>
    <oddFooter>&amp;A&amp;RPage &amp;P</oddFooter>
  </headerFooter>
  <legacyDrawing r:id="rId2"/>
</worksheet>
</file>

<file path=xl/worksheets/sheet13.xml><?xml version="1.0" encoding="utf-8"?>
<worksheet xmlns="http://schemas.openxmlformats.org/spreadsheetml/2006/main" xmlns:r="http://schemas.openxmlformats.org/officeDocument/2006/relationships">
  <sheetPr>
    <tabColor rgb="FFFFFF00"/>
  </sheetPr>
  <dimension ref="B3:U472"/>
  <sheetViews>
    <sheetView showGridLines="0" topLeftCell="I1" workbookViewId="0">
      <pane ySplit="4" topLeftCell="A5" activePane="bottomLeft" state="frozen"/>
      <selection pane="bottomLeft" activeCell="B3" sqref="B3:R4"/>
    </sheetView>
  </sheetViews>
  <sheetFormatPr defaultRowHeight="15.75"/>
  <cols>
    <col min="1" max="1" width="9.140625" style="40"/>
    <col min="2" max="2" width="30.7109375" style="911" customWidth="1"/>
    <col min="3" max="3" width="5.7109375" style="40" customWidth="1"/>
    <col min="4" max="4" width="30.7109375" style="40" customWidth="1"/>
    <col min="5" max="5" width="5.7109375" style="40" customWidth="1"/>
    <col min="6" max="6" width="30.7109375" style="40" customWidth="1"/>
    <col min="7" max="7" width="5.7109375" style="40" customWidth="1"/>
    <col min="8" max="9" width="30.7109375" style="40" customWidth="1"/>
    <col min="10" max="10" width="10.7109375" style="912" customWidth="1"/>
    <col min="11" max="18" width="15.7109375" style="912" customWidth="1"/>
    <col min="19" max="16384" width="9.140625" style="40"/>
  </cols>
  <sheetData>
    <row r="3" spans="2:21" s="799" customFormat="1" ht="31.5">
      <c r="B3" s="1227" t="s">
        <v>1795</v>
      </c>
      <c r="C3" s="1227" t="s">
        <v>1796</v>
      </c>
      <c r="D3" s="1227"/>
      <c r="E3" s="1227" t="str">
        <f>'[5]matrik 1_ok'!C3:C4</f>
        <v>TUJUAN</v>
      </c>
      <c r="F3" s="1227"/>
      <c r="G3" s="1227" t="str">
        <f>'[5]matrik 1_ok'!E3:E4</f>
        <v>SASARAN</v>
      </c>
      <c r="H3" s="1227"/>
      <c r="I3" s="1227" t="s">
        <v>5007</v>
      </c>
      <c r="J3" s="1227" t="s">
        <v>132</v>
      </c>
      <c r="K3" s="1227" t="s">
        <v>133</v>
      </c>
      <c r="L3" s="1227"/>
      <c r="M3" s="1227" t="s">
        <v>5008</v>
      </c>
      <c r="N3" s="1227"/>
      <c r="O3" s="1227"/>
      <c r="P3" s="1227"/>
      <c r="Q3" s="1227"/>
      <c r="R3" s="910" t="s">
        <v>136</v>
      </c>
    </row>
    <row r="4" spans="2:21" s="41" customFormat="1">
      <c r="B4" s="1227"/>
      <c r="C4" s="1227"/>
      <c r="D4" s="1227"/>
      <c r="E4" s="1227"/>
      <c r="F4" s="1227"/>
      <c r="G4" s="1227"/>
      <c r="H4" s="1227"/>
      <c r="I4" s="1227"/>
      <c r="J4" s="1227"/>
      <c r="K4" s="886">
        <v>2012</v>
      </c>
      <c r="L4" s="886">
        <v>2013</v>
      </c>
      <c r="M4" s="886">
        <v>2014</v>
      </c>
      <c r="N4" s="886">
        <v>2015</v>
      </c>
      <c r="O4" s="886">
        <v>2016</v>
      </c>
      <c r="P4" s="886">
        <v>2017</v>
      </c>
      <c r="Q4" s="886">
        <v>2018</v>
      </c>
      <c r="R4" s="886">
        <v>2018</v>
      </c>
    </row>
    <row r="5" spans="2:21" s="921" customFormat="1" ht="12.75">
      <c r="B5" s="922">
        <v>1</v>
      </c>
      <c r="C5" s="1228">
        <v>2</v>
      </c>
      <c r="D5" s="1229"/>
      <c r="E5" s="1228">
        <v>3</v>
      </c>
      <c r="F5" s="1229"/>
      <c r="G5" s="1228">
        <v>4</v>
      </c>
      <c r="H5" s="1229"/>
      <c r="I5" s="920">
        <v>5</v>
      </c>
      <c r="J5" s="920">
        <v>6</v>
      </c>
      <c r="K5" s="920">
        <v>7</v>
      </c>
      <c r="L5" s="920">
        <v>8</v>
      </c>
      <c r="M5" s="920">
        <v>9</v>
      </c>
      <c r="N5" s="920">
        <v>10</v>
      </c>
      <c r="O5" s="920">
        <v>11</v>
      </c>
      <c r="P5" s="920">
        <v>12</v>
      </c>
      <c r="Q5" s="920">
        <v>13</v>
      </c>
      <c r="R5" s="920">
        <v>14</v>
      </c>
    </row>
    <row r="6" spans="2:21" ht="110.25">
      <c r="B6" s="919" t="s">
        <v>694</v>
      </c>
      <c r="C6" s="916">
        <v>1</v>
      </c>
      <c r="D6" s="916" t="str">
        <f>'visi misi'!A5</f>
        <v>Mewujudkan Peningkatan Pertanian Moderen yang Berwawasan Lingkungan</v>
      </c>
      <c r="E6" s="916">
        <f>'matrik MISI 1'!C6</f>
        <v>1</v>
      </c>
      <c r="F6" s="916" t="str">
        <f>'matrik MISI 1'!D6</f>
        <v>Meningkatkan penerapan teknologi, dan inovasi Pertanian</v>
      </c>
      <c r="G6" s="916">
        <f>'matrik MISI 1'!E6</f>
        <v>1</v>
      </c>
      <c r="H6" s="916" t="str">
        <f>'matrik MISI 1'!F6</f>
        <v>Meningkatnya penerapan teknologi, dan inovasi  Pertanian</v>
      </c>
      <c r="I6" s="2" t="str">
        <f>'matrik MISI 1'!N7</f>
        <v xml:space="preserve">Besaran Kelompok Tani yang menerapkan teknologi dan informasi pertanian dan perkebunan melalui sekolah lapang </v>
      </c>
      <c r="J6" s="913" t="str">
        <f>'matrik MISI 1'!O7</f>
        <v>Kelompok</v>
      </c>
      <c r="K6" s="913">
        <f>'matrik MISI 1'!P7</f>
        <v>500</v>
      </c>
      <c r="L6" s="913">
        <f>'matrik MISI 1'!Q7</f>
        <v>600</v>
      </c>
      <c r="M6" s="913">
        <f>'matrik MISI 1'!R7</f>
        <v>720</v>
      </c>
      <c r="N6" s="913">
        <f>'matrik MISI 1'!S7</f>
        <v>850</v>
      </c>
      <c r="O6" s="913">
        <f>'matrik MISI 1'!T7</f>
        <v>990</v>
      </c>
      <c r="P6" s="913">
        <f>'matrik MISI 1'!U7</f>
        <v>1140</v>
      </c>
      <c r="Q6" s="913">
        <f>'matrik MISI 1'!V7</f>
        <v>1300</v>
      </c>
      <c r="R6" s="913">
        <f>'matrik MISI 1'!W7</f>
        <v>1300</v>
      </c>
      <c r="T6" s="40">
        <v>11</v>
      </c>
      <c r="U6" s="40">
        <v>23</v>
      </c>
    </row>
    <row r="7" spans="2:21" ht="47.25">
      <c r="B7" s="914"/>
      <c r="C7" s="70"/>
      <c r="D7" s="70"/>
      <c r="E7" s="70"/>
      <c r="F7" s="70"/>
      <c r="G7" s="70"/>
      <c r="H7" s="70"/>
      <c r="I7" s="2" t="str">
        <f>'matrik MISI 1'!N8</f>
        <v>Besaran Penerapan Pertanian dan Perkebunan Mengarah Organik untuk Komoditas Utama</v>
      </c>
      <c r="J7" s="913" t="str">
        <f>'matrik MISI 1'!O8</f>
        <v>Ha</v>
      </c>
      <c r="K7" s="913">
        <f>'matrik MISI 1'!P8</f>
        <v>200</v>
      </c>
      <c r="L7" s="913">
        <f>'matrik MISI 1'!Q8</f>
        <v>300</v>
      </c>
      <c r="M7" s="913">
        <f>'matrik MISI 1'!R8</f>
        <v>400</v>
      </c>
      <c r="N7" s="913">
        <f>'matrik MISI 1'!S8</f>
        <v>550</v>
      </c>
      <c r="O7" s="913">
        <f>'matrik MISI 1'!T8</f>
        <v>750</v>
      </c>
      <c r="P7" s="913">
        <f>'matrik MISI 1'!U8</f>
        <v>1000</v>
      </c>
      <c r="Q7" s="913">
        <f>'matrik MISI 1'!V8</f>
        <v>1300</v>
      </c>
      <c r="R7" s="913">
        <f>'matrik MISI 1'!W8</f>
        <v>1300</v>
      </c>
      <c r="T7" s="40">
        <v>13</v>
      </c>
      <c r="U7" s="40">
        <v>21</v>
      </c>
    </row>
    <row r="8" spans="2:21" ht="31.5">
      <c r="B8" s="914"/>
      <c r="C8" s="70"/>
      <c r="D8" s="70"/>
      <c r="E8" s="70"/>
      <c r="F8" s="70"/>
      <c r="G8" s="70"/>
      <c r="H8" s="70"/>
      <c r="I8" s="2" t="str">
        <f>'matrik MISI 1'!N9</f>
        <v>Besaran Peningkatan Jumlah Alat Mesin Pertanian dan Perkebunan</v>
      </c>
      <c r="J8" s="913" t="str">
        <f>'matrik MISI 1'!O9</f>
        <v>Unit</v>
      </c>
      <c r="K8" s="913">
        <f>'matrik MISI 1'!P9</f>
        <v>882</v>
      </c>
      <c r="L8" s="913">
        <f>'matrik MISI 1'!Q9</f>
        <v>1022</v>
      </c>
      <c r="M8" s="913">
        <f>'matrik MISI 1'!R9</f>
        <v>1072</v>
      </c>
      <c r="N8" s="913">
        <f>'matrik MISI 1'!S9</f>
        <v>1122</v>
      </c>
      <c r="O8" s="913">
        <f>'matrik MISI 1'!T9</f>
        <v>1172</v>
      </c>
      <c r="P8" s="913">
        <f>'matrik MISI 1'!U9</f>
        <v>1222</v>
      </c>
      <c r="Q8" s="913">
        <f>'matrik MISI 1'!V9</f>
        <v>1272</v>
      </c>
      <c r="R8" s="913">
        <f>'matrik MISI 1'!W9</f>
        <v>1272</v>
      </c>
      <c r="T8" s="40">
        <v>9</v>
      </c>
      <c r="U8" s="40">
        <v>10</v>
      </c>
    </row>
    <row r="9" spans="2:21" ht="47.25">
      <c r="B9" s="914"/>
      <c r="C9" s="70"/>
      <c r="D9" s="70"/>
      <c r="E9" s="70"/>
      <c r="F9" s="70"/>
      <c r="G9" s="916">
        <f>'matrik MISI 1'!E10</f>
        <v>2</v>
      </c>
      <c r="H9" s="916" t="str">
        <f>'matrik MISI 1'!F10</f>
        <v>Meningkatnya penerapan teknologi, inovasi peternakan</v>
      </c>
      <c r="I9" s="2" t="str">
        <f>'matrik MISI 1'!N10</f>
        <v>Angka Kelahiran anak sapi (pedet)  melalui Inseminasi Buatan</v>
      </c>
      <c r="J9" s="913" t="str">
        <f>'matrik MISI 1'!O10</f>
        <v>%</v>
      </c>
      <c r="K9" s="913" t="str">
        <f>'matrik MISI 1'!P10</f>
        <v>59,76</v>
      </c>
      <c r="L9" s="913">
        <f>'matrik MISI 1'!Q10</f>
        <v>60</v>
      </c>
      <c r="M9" s="913">
        <f>'matrik MISI 1'!R10</f>
        <v>62</v>
      </c>
      <c r="N9" s="913">
        <f>'matrik MISI 1'!S10</f>
        <v>64</v>
      </c>
      <c r="O9" s="913">
        <f>'matrik MISI 1'!T10</f>
        <v>66</v>
      </c>
      <c r="P9" s="913">
        <f>'matrik MISI 1'!U10</f>
        <v>68</v>
      </c>
      <c r="Q9" s="913">
        <f>'matrik MISI 1'!V10</f>
        <v>70</v>
      </c>
      <c r="R9" s="913">
        <f>'matrik MISI 1'!W10</f>
        <v>70</v>
      </c>
      <c r="T9" s="40">
        <v>5</v>
      </c>
      <c r="U9" s="40">
        <v>17</v>
      </c>
    </row>
    <row r="10" spans="2:21" ht="47.25">
      <c r="B10" s="914"/>
      <c r="C10" s="70"/>
      <c r="D10" s="70"/>
      <c r="E10" s="70"/>
      <c r="F10" s="70"/>
      <c r="G10" s="1087">
        <f>'matrik MISI 1'!E12</f>
        <v>3</v>
      </c>
      <c r="H10" s="1087" t="str">
        <f>'matrik MISI 1'!F12</f>
        <v>Meningkatnya nilai tambah hasil produksi pertanian</v>
      </c>
      <c r="I10" s="2" t="str">
        <f>'matrik MISI 1'!N11</f>
        <v>Persentase Peningkatan Penggunaan Bibit dan benih unggul</v>
      </c>
      <c r="J10" s="913" t="str">
        <f>'matrik MISI 1'!O11</f>
        <v>%</v>
      </c>
      <c r="K10" s="913">
        <f>'matrik MISI 1'!P11</f>
        <v>55</v>
      </c>
      <c r="L10" s="913">
        <f>'matrik MISI 1'!Q11</f>
        <v>60</v>
      </c>
      <c r="M10" s="913">
        <f>'matrik MISI 1'!R11</f>
        <v>60</v>
      </c>
      <c r="N10" s="913">
        <f>'matrik MISI 1'!S11</f>
        <v>65</v>
      </c>
      <c r="O10" s="913">
        <f>'matrik MISI 1'!T11</f>
        <v>65</v>
      </c>
      <c r="P10" s="913">
        <f>'matrik MISI 1'!U11</f>
        <v>70</v>
      </c>
      <c r="Q10" s="913">
        <f>'matrik MISI 1'!V11</f>
        <v>70</v>
      </c>
      <c r="R10" s="913">
        <f>'matrik MISI 1'!W11</f>
        <v>70</v>
      </c>
      <c r="T10" s="40">
        <v>7</v>
      </c>
      <c r="U10" s="40">
        <v>8</v>
      </c>
    </row>
    <row r="11" spans="2:21" ht="31.5">
      <c r="B11" s="914"/>
      <c r="C11" s="70"/>
      <c r="D11" s="70"/>
      <c r="E11" s="70"/>
      <c r="F11" s="70"/>
      <c r="G11" s="70"/>
      <c r="H11" s="70"/>
      <c r="I11" s="2" t="str">
        <f>'matrik MISI 1'!N12</f>
        <v>Besaran Peningkatan Pemasaran Hasil Pertanian</v>
      </c>
      <c r="J11" s="913" t="str">
        <f>'matrik MISI 1'!O12</f>
        <v>Kelompok</v>
      </c>
      <c r="K11" s="913">
        <f>'matrik MISI 1'!P12</f>
        <v>1</v>
      </c>
      <c r="L11" s="913">
        <f>'matrik MISI 1'!Q12</f>
        <v>2</v>
      </c>
      <c r="M11" s="913">
        <f>'matrik MISI 1'!R12</f>
        <v>4</v>
      </c>
      <c r="N11" s="913">
        <f>'matrik MISI 1'!S12</f>
        <v>6</v>
      </c>
      <c r="O11" s="913">
        <f>'matrik MISI 1'!T12</f>
        <v>8</v>
      </c>
      <c r="P11" s="913">
        <f>'matrik MISI 1'!U12</f>
        <v>10</v>
      </c>
      <c r="Q11" s="913">
        <f>'matrik MISI 1'!V12</f>
        <v>12</v>
      </c>
      <c r="R11" s="913">
        <f>'matrik MISI 1'!W12</f>
        <v>12</v>
      </c>
      <c r="T11" s="40">
        <v>12</v>
      </c>
      <c r="U11" s="40">
        <v>15</v>
      </c>
    </row>
    <row r="12" spans="2:21" ht="31.5">
      <c r="B12" s="914"/>
      <c r="C12" s="70"/>
      <c r="D12" s="70"/>
      <c r="E12" s="70"/>
      <c r="F12" s="70"/>
      <c r="G12" s="1088"/>
      <c r="H12" s="1088"/>
      <c r="I12" s="2" t="str">
        <f>'matrik MISI 1'!N13</f>
        <v>Persentase Penanganan Serangan Hama Penyakit</v>
      </c>
      <c r="J12" s="913" t="str">
        <f>'matrik MISI 1'!O13</f>
        <v>%</v>
      </c>
      <c r="K12" s="913">
        <f>'matrik MISI 1'!P13</f>
        <v>60</v>
      </c>
      <c r="L12" s="913">
        <f>'matrik MISI 1'!Q13</f>
        <v>60</v>
      </c>
      <c r="M12" s="913">
        <f>'matrik MISI 1'!R13</f>
        <v>75</v>
      </c>
      <c r="N12" s="913">
        <f>'matrik MISI 1'!S13</f>
        <v>75</v>
      </c>
      <c r="O12" s="913">
        <f>'matrik MISI 1'!T13</f>
        <v>80</v>
      </c>
      <c r="P12" s="913">
        <f>'matrik MISI 1'!U13</f>
        <v>80</v>
      </c>
      <c r="Q12" s="913">
        <f>'matrik MISI 1'!V13</f>
        <v>85</v>
      </c>
      <c r="R12" s="913">
        <f>'matrik MISI 1'!W13</f>
        <v>85</v>
      </c>
      <c r="T12" s="40">
        <f>SUM(T6:T11)</f>
        <v>57</v>
      </c>
      <c r="U12" s="40">
        <f>SUM(U6:U11)</f>
        <v>94</v>
      </c>
    </row>
    <row r="13" spans="2:21" ht="47.25">
      <c r="B13" s="914"/>
      <c r="C13" s="70"/>
      <c r="D13" s="70"/>
      <c r="E13" s="70"/>
      <c r="F13" s="70"/>
      <c r="G13" s="916">
        <f>'matrik MISI 1'!E13</f>
        <v>4</v>
      </c>
      <c r="H13" s="916" t="str">
        <f>'matrik MISI 1'!F13</f>
        <v>Meningkatnya kualitas hasil produksi pertanian, perkebiunan dan peternakan</v>
      </c>
      <c r="I13" s="2" t="str">
        <f>'matrik MISI 1'!N14</f>
        <v>Angka Kematian Ternak unggas</v>
      </c>
      <c r="J13" s="913" t="str">
        <f>'matrik MISI 1'!O14</f>
        <v>%</v>
      </c>
      <c r="K13" s="913">
        <f>'matrik MISI 1'!P14</f>
        <v>2</v>
      </c>
      <c r="L13" s="913">
        <f>'matrik MISI 1'!Q14</f>
        <v>2</v>
      </c>
      <c r="M13" s="913">
        <f>'matrik MISI 1'!R14</f>
        <v>2</v>
      </c>
      <c r="N13" s="913">
        <f>'matrik MISI 1'!S14</f>
        <v>2</v>
      </c>
      <c r="O13" s="913">
        <f>'matrik MISI 1'!T14</f>
        <v>2</v>
      </c>
      <c r="P13" s="913">
        <f>'matrik MISI 1'!U14</f>
        <v>2</v>
      </c>
      <c r="Q13" s="913">
        <f>'matrik MISI 1'!V14</f>
        <v>2</v>
      </c>
      <c r="R13" s="913">
        <f>'matrik MISI 1'!W14</f>
        <v>2</v>
      </c>
    </row>
    <row r="14" spans="2:21">
      <c r="B14" s="914"/>
      <c r="C14" s="70"/>
      <c r="D14" s="70"/>
      <c r="E14" s="70"/>
      <c r="F14" s="70"/>
      <c r="G14" s="70"/>
      <c r="H14" s="70"/>
      <c r="I14" s="2" t="str">
        <f>'matrik MISI 1'!N15</f>
        <v>Angka Kematian Ternak kecil</v>
      </c>
      <c r="J14" s="913" t="str">
        <f>'matrik MISI 1'!O15</f>
        <v>%</v>
      </c>
      <c r="K14" s="913">
        <f>'matrik MISI 1'!P15</f>
        <v>0.1</v>
      </c>
      <c r="L14" s="913">
        <f>'matrik MISI 1'!Q15</f>
        <v>0.1</v>
      </c>
      <c r="M14" s="913">
        <f>'matrik MISI 1'!R15</f>
        <v>0.1</v>
      </c>
      <c r="N14" s="913">
        <f>'matrik MISI 1'!S15</f>
        <v>0.1</v>
      </c>
      <c r="O14" s="913">
        <f>'matrik MISI 1'!T15</f>
        <v>0.1</v>
      </c>
      <c r="P14" s="913">
        <f>'matrik MISI 1'!U15</f>
        <v>0.1</v>
      </c>
      <c r="Q14" s="913">
        <f>'matrik MISI 1'!V15</f>
        <v>0.1</v>
      </c>
      <c r="R14" s="913">
        <f>'matrik MISI 1'!W15</f>
        <v>0.1</v>
      </c>
    </row>
    <row r="15" spans="2:21">
      <c r="B15" s="914"/>
      <c r="C15" s="70"/>
      <c r="D15" s="70"/>
      <c r="E15" s="917"/>
      <c r="F15" s="917"/>
      <c r="G15" s="917"/>
      <c r="H15" s="917"/>
      <c r="I15" s="2" t="str">
        <f>'matrik MISI 1'!N16</f>
        <v>Angka Kematian Ternak besar</v>
      </c>
      <c r="J15" s="913" t="str">
        <f>'matrik MISI 1'!O16</f>
        <v>%</v>
      </c>
      <c r="K15" s="913">
        <f>'matrik MISI 1'!P16</f>
        <v>0.1</v>
      </c>
      <c r="L15" s="913">
        <f>'matrik MISI 1'!Q16</f>
        <v>0.1</v>
      </c>
      <c r="M15" s="913">
        <f>'matrik MISI 1'!R16</f>
        <v>0.1</v>
      </c>
      <c r="N15" s="913">
        <f>'matrik MISI 1'!S16</f>
        <v>0.1</v>
      </c>
      <c r="O15" s="913">
        <f>'matrik MISI 1'!T16</f>
        <v>0.1</v>
      </c>
      <c r="P15" s="913">
        <f>'matrik MISI 1'!U16</f>
        <v>0.1</v>
      </c>
      <c r="Q15" s="913">
        <f>'matrik MISI 1'!V16</f>
        <v>0.1</v>
      </c>
      <c r="R15" s="913">
        <f>'matrik MISI 1'!W16</f>
        <v>0.1</v>
      </c>
    </row>
    <row r="16" spans="2:21" ht="63">
      <c r="B16" s="914"/>
      <c r="C16" s="70"/>
      <c r="D16" s="70"/>
      <c r="E16" s="916">
        <f>'matrik MISI 1'!C17</f>
        <v>2</v>
      </c>
      <c r="F16" s="916" t="str">
        <f>'matrik MISI 1'!D17</f>
        <v>Meningkatkan kualitas, kuantitas, kontinuitas dan Diversifikasi Produk Pertanian, Perkebunan dan Peternakan</v>
      </c>
      <c r="G16" s="916">
        <f>'matrik MISI 1'!E17</f>
        <v>5</v>
      </c>
      <c r="H16" s="916" t="str">
        <f>'matrik MISI 1'!F17</f>
        <v>Meningkatnya produksi, produktivitas dan diversifikasi tanaman pertanian dan perkebunan</v>
      </c>
      <c r="I16" s="2" t="str">
        <f>'matrik MISI 1'!N18</f>
        <v xml:space="preserve">Peningkatan produktifitas Padi </v>
      </c>
      <c r="J16" s="913" t="str">
        <f>'matrik MISI 1'!O18</f>
        <v>Ton/Ha</v>
      </c>
      <c r="K16" s="913" t="str">
        <f>'matrik MISI 1'!P18</f>
        <v>6,15</v>
      </c>
      <c r="L16" s="913">
        <f>'matrik MISI 1'!Q18</f>
        <v>5.67</v>
      </c>
      <c r="M16" s="913" t="str">
        <f>'matrik MISI 1'!R18</f>
        <v>6,19</v>
      </c>
      <c r="N16" s="913" t="str">
        <f>'matrik MISI 1'!S18</f>
        <v>6,38</v>
      </c>
      <c r="O16" s="913" t="str">
        <f>'matrik MISI 1'!T18</f>
        <v>6,58</v>
      </c>
      <c r="P16" s="913" t="str">
        <f>'matrik MISI 1'!U18</f>
        <v>6,78</v>
      </c>
      <c r="Q16" s="913" t="str">
        <f>'matrik MISI 1'!V18</f>
        <v>6,99</v>
      </c>
      <c r="R16" s="913" t="str">
        <f>'matrik MISI 1'!W18</f>
        <v>6,99</v>
      </c>
    </row>
    <row r="17" spans="2:18">
      <c r="B17" s="914"/>
      <c r="C17" s="70"/>
      <c r="D17" s="70"/>
      <c r="E17" s="70"/>
      <c r="F17" s="70"/>
      <c r="G17" s="70"/>
      <c r="H17" s="70"/>
      <c r="I17" s="2" t="str">
        <f>'matrik MISI 1'!N19</f>
        <v>Peningkatan produktifitas Jagung</v>
      </c>
      <c r="J17" s="913" t="str">
        <f>'matrik MISI 1'!O19</f>
        <v>Ton/Ha</v>
      </c>
      <c r="K17" s="913" t="str">
        <f>'matrik MISI 1'!P19</f>
        <v>5,6</v>
      </c>
      <c r="L17" s="913" t="str">
        <f>'matrik MISI 1'!Q19</f>
        <v>5,6</v>
      </c>
      <c r="M17" s="913" t="str">
        <f>'matrik MISI 1'!R19</f>
        <v>5,77</v>
      </c>
      <c r="N17" s="913" t="str">
        <f>'matrik MISI 1'!S19</f>
        <v>6,03</v>
      </c>
      <c r="O17" s="913" t="str">
        <f>'matrik MISI 1'!T19</f>
        <v>6,30</v>
      </c>
      <c r="P17" s="913" t="str">
        <f>'matrik MISI 1'!U19</f>
        <v>6,58</v>
      </c>
      <c r="Q17" s="913" t="str">
        <f>'matrik MISI 1'!V19</f>
        <v>6,88</v>
      </c>
      <c r="R17" s="913" t="str">
        <f>'matrik MISI 1'!W19</f>
        <v>6,88</v>
      </c>
    </row>
    <row r="18" spans="2:18" ht="31.5">
      <c r="B18" s="914"/>
      <c r="C18" s="70"/>
      <c r="D18" s="70"/>
      <c r="E18" s="70"/>
      <c r="F18" s="70"/>
      <c r="G18" s="70"/>
      <c r="H18" s="70"/>
      <c r="I18" s="2" t="str">
        <f>'matrik MISI 1'!N20</f>
        <v>Peningkatan produktifitas Ubi kayu</v>
      </c>
      <c r="J18" s="913" t="str">
        <f>'matrik MISI 1'!O20</f>
        <v>Ton/Ha</v>
      </c>
      <c r="K18" s="913" t="str">
        <f>'matrik MISI 1'!P20</f>
        <v>24,48</v>
      </c>
      <c r="L18" s="913" t="str">
        <f>'matrik MISI 1'!Q20</f>
        <v>25,01</v>
      </c>
      <c r="M18" s="913" t="str">
        <f>'matrik MISI 1'!R20</f>
        <v>25,51</v>
      </c>
      <c r="N18" s="913" t="str">
        <f>'matrik MISI 1'!S20</f>
        <v>26,02</v>
      </c>
      <c r="O18" s="913" t="str">
        <f>'matrik MISI 1'!T20</f>
        <v>26,54</v>
      </c>
      <c r="P18" s="913" t="str">
        <f>'matrik MISI 1'!U20</f>
        <v>27,07</v>
      </c>
      <c r="Q18" s="913" t="str">
        <f>'matrik MISI 1'!V20</f>
        <v>27,61</v>
      </c>
      <c r="R18" s="913" t="str">
        <f>'matrik MISI 1'!W20</f>
        <v>27,61</v>
      </c>
    </row>
    <row r="19" spans="2:18">
      <c r="B19" s="914"/>
      <c r="C19" s="70"/>
      <c r="D19" s="70"/>
      <c r="E19" s="70"/>
      <c r="F19" s="70"/>
      <c r="G19" s="70"/>
      <c r="H19" s="70"/>
      <c r="I19" s="2" t="str">
        <f>'matrik MISI 1'!N21</f>
        <v>Peningkatan produktifitas Cabai</v>
      </c>
      <c r="J19" s="913" t="str">
        <f>'matrik MISI 1'!O21</f>
        <v>Ton/Ha</v>
      </c>
      <c r="K19" s="913" t="str">
        <f>'matrik MISI 1'!P21</f>
        <v>4,02</v>
      </c>
      <c r="L19" s="913">
        <f>'matrik MISI 1'!Q21</f>
        <v>6.15</v>
      </c>
      <c r="M19" s="913">
        <f>'matrik MISI 1'!R21</f>
        <v>6.16</v>
      </c>
      <c r="N19" s="913">
        <f>'matrik MISI 1'!S21</f>
        <v>6.2</v>
      </c>
      <c r="O19" s="913" t="str">
        <f>'matrik MISI 1'!T21</f>
        <v>6,30</v>
      </c>
      <c r="P19" s="913" t="str">
        <f>'matrik MISI 1'!U21</f>
        <v>6,50</v>
      </c>
      <c r="Q19" s="913" t="str">
        <f>'matrik MISI 1'!V21</f>
        <v>6,70</v>
      </c>
      <c r="R19" s="913" t="str">
        <f>'matrik MISI 1'!W21</f>
        <v>6,70</v>
      </c>
    </row>
    <row r="20" spans="2:18">
      <c r="B20" s="914"/>
      <c r="C20" s="70"/>
      <c r="D20" s="70"/>
      <c r="E20" s="70"/>
      <c r="F20" s="70"/>
      <c r="G20" s="70"/>
      <c r="H20" s="70"/>
      <c r="I20" s="2" t="str">
        <f>'matrik MISI 1'!N22</f>
        <v>Peningkatan produktifitas Kobis</v>
      </c>
      <c r="J20" s="913" t="str">
        <f>'matrik MISI 1'!O22</f>
        <v>Ton/Ha</v>
      </c>
      <c r="K20" s="913" t="str">
        <f>'matrik MISI 1'!P22</f>
        <v>23,90</v>
      </c>
      <c r="L20" s="913" t="str">
        <f>'matrik MISI 1'!Q22</f>
        <v>24,50</v>
      </c>
      <c r="M20" s="913" t="str">
        <f>'matrik MISI 1'!R22</f>
        <v>24,99</v>
      </c>
      <c r="N20" s="913" t="str">
        <f>'matrik MISI 1'!S22</f>
        <v>25,49</v>
      </c>
      <c r="O20" s="913" t="str">
        <f>'matrik MISI 1'!T22</f>
        <v>26,00</v>
      </c>
      <c r="P20" s="913" t="str">
        <f>'matrik MISI 1'!U22</f>
        <v>26,52</v>
      </c>
      <c r="Q20" s="913" t="str">
        <f>'matrik MISI 1'!V22</f>
        <v>27,05</v>
      </c>
      <c r="R20" s="913" t="str">
        <f>'matrik MISI 1'!W22</f>
        <v>27,05</v>
      </c>
    </row>
    <row r="21" spans="2:18" ht="31.5">
      <c r="B21" s="914"/>
      <c r="C21" s="70"/>
      <c r="D21" s="70"/>
      <c r="E21" s="70"/>
      <c r="F21" s="70"/>
      <c r="G21" s="70"/>
      <c r="H21" s="70"/>
      <c r="I21" s="2" t="str">
        <f>'matrik MISI 1'!N23</f>
        <v>Peningkatan produktifitas Tembakau</v>
      </c>
      <c r="J21" s="913" t="str">
        <f>'matrik MISI 1'!O23</f>
        <v>Ton/Ha</v>
      </c>
      <c r="K21" s="913" t="str">
        <f>'matrik MISI 1'!P23</f>
        <v>0,64</v>
      </c>
      <c r="L21" s="913" t="str">
        <f>'matrik MISI 1'!Q23</f>
        <v>0,64</v>
      </c>
      <c r="M21" s="913" t="str">
        <f>'matrik MISI 1'!R23</f>
        <v>0,66</v>
      </c>
      <c r="N21" s="913" t="str">
        <f>'matrik MISI 1'!S23</f>
        <v>0,69</v>
      </c>
      <c r="O21" s="913" t="str">
        <f>'matrik MISI 1'!T23</f>
        <v>0,72</v>
      </c>
      <c r="P21" s="913" t="str">
        <f>'matrik MISI 1'!U23</f>
        <v>0,75</v>
      </c>
      <c r="Q21" s="913" t="str">
        <f>'matrik MISI 1'!V23</f>
        <v>0,79</v>
      </c>
      <c r="R21" s="913" t="str">
        <f>'matrik MISI 1'!W23</f>
        <v>0,79</v>
      </c>
    </row>
    <row r="22" spans="2:18" ht="31.5">
      <c r="B22" s="914"/>
      <c r="C22" s="70"/>
      <c r="D22" s="70"/>
      <c r="E22" s="70"/>
      <c r="F22" s="70"/>
      <c r="G22" s="70"/>
      <c r="H22" s="70"/>
      <c r="I22" s="2" t="str">
        <f>'matrik MISI 1'!N24</f>
        <v>Peningkatan produktifitas Kopi Robusta</v>
      </c>
      <c r="J22" s="913" t="str">
        <f>'matrik MISI 1'!O24</f>
        <v>Ton/Ha</v>
      </c>
      <c r="K22" s="913" t="str">
        <f>'matrik MISI 1'!P24</f>
        <v>1,1</v>
      </c>
      <c r="L22" s="913" t="str">
        <f>'matrik MISI 1'!Q24</f>
        <v>0,91</v>
      </c>
      <c r="M22" s="913" t="str">
        <f>'matrik MISI 1'!R24</f>
        <v>0,95</v>
      </c>
      <c r="N22" s="913" t="str">
        <f>'matrik MISI 1'!S24</f>
        <v>0,97</v>
      </c>
      <c r="O22" s="913" t="str">
        <f>'matrik MISI 1'!T24</f>
        <v>0,99</v>
      </c>
      <c r="P22" s="913" t="str">
        <f>'matrik MISI 1'!U24</f>
        <v>1,00</v>
      </c>
      <c r="Q22" s="913" t="str">
        <f>'matrik MISI 1'!V24</f>
        <v>1,10</v>
      </c>
      <c r="R22" s="913" t="str">
        <f>'matrik MISI 1'!W24</f>
        <v>1,10</v>
      </c>
    </row>
    <row r="23" spans="2:18" ht="31.5">
      <c r="B23" s="914"/>
      <c r="C23" s="70"/>
      <c r="D23" s="70"/>
      <c r="E23" s="70"/>
      <c r="F23" s="70"/>
      <c r="G23" s="70"/>
      <c r="H23" s="70"/>
      <c r="I23" s="2" t="str">
        <f>'matrik MISI 1'!N25</f>
        <v>Peningkatan produktifitas Kopi Arabika</v>
      </c>
      <c r="J23" s="913" t="str">
        <f>'matrik MISI 1'!O25</f>
        <v>Ton/Ha</v>
      </c>
      <c r="K23" s="913" t="str">
        <f>'matrik MISI 1'!P25</f>
        <v>0,95</v>
      </c>
      <c r="L23" s="913" t="str">
        <f>'matrik MISI 1'!Q25</f>
        <v>0,75</v>
      </c>
      <c r="M23" s="913" t="str">
        <f>'matrik MISI 1'!R25</f>
        <v>0,80</v>
      </c>
      <c r="N23" s="913" t="str">
        <f>'matrik MISI 1'!S25</f>
        <v>0,82</v>
      </c>
      <c r="O23" s="913" t="str">
        <f>'matrik MISI 1'!T25</f>
        <v>0,85</v>
      </c>
      <c r="P23" s="913" t="str">
        <f>'matrik MISI 1'!U25</f>
        <v>0,87</v>
      </c>
      <c r="Q23" s="913" t="str">
        <f>'matrik MISI 1'!V25</f>
        <v>0,90</v>
      </c>
      <c r="R23" s="913" t="str">
        <f>'matrik MISI 1'!W25</f>
        <v>0,90</v>
      </c>
    </row>
    <row r="24" spans="2:18" ht="31.5">
      <c r="B24" s="914"/>
      <c r="C24" s="70"/>
      <c r="D24" s="70"/>
      <c r="E24" s="70"/>
      <c r="F24" s="70"/>
      <c r="G24" s="916">
        <f>'matrik MISI 1'!E26</f>
        <v>6</v>
      </c>
      <c r="H24" s="916" t="str">
        <f>'matrik MISI 1'!F26</f>
        <v>Meningkatnya produktivitas ternak</v>
      </c>
      <c r="I24" s="2" t="str">
        <f>'matrik MISI 1'!N26</f>
        <v>Peningkatan Produktivitas daging Sapi</v>
      </c>
      <c r="J24" s="913" t="str">
        <f>'matrik MISI 1'!O26</f>
        <v>Kg/Ekor</v>
      </c>
      <c r="K24" s="913">
        <f>'matrik MISI 1'!P26</f>
        <v>159</v>
      </c>
      <c r="L24" s="913">
        <f>'matrik MISI 1'!Q26</f>
        <v>160</v>
      </c>
      <c r="M24" s="913" t="str">
        <f>'matrik MISI 1'!R26</f>
        <v xml:space="preserve">163,20 </v>
      </c>
      <c r="N24" s="913" t="str">
        <f>'matrik MISI 1'!S26</f>
        <v>166,46</v>
      </c>
      <c r="O24" s="913" t="str">
        <f>'matrik MISI 1'!T26</f>
        <v>169,79</v>
      </c>
      <c r="P24" s="913" t="str">
        <f>'matrik MISI 1'!U26</f>
        <v>173,19</v>
      </c>
      <c r="Q24" s="913" t="str">
        <f>'matrik MISI 1'!V26</f>
        <v>176,65</v>
      </c>
      <c r="R24" s="913">
        <f>'matrik MISI 1'!W26</f>
        <v>176.65</v>
      </c>
    </row>
    <row r="25" spans="2:18" ht="31.5">
      <c r="B25" s="914"/>
      <c r="C25" s="70"/>
      <c r="D25" s="70"/>
      <c r="E25" s="70"/>
      <c r="F25" s="70"/>
      <c r="G25" s="70"/>
      <c r="I25" s="2" t="str">
        <f>'matrik MISI 1'!N27</f>
        <v>Peningkatan Produktivitas daging Kambing</v>
      </c>
      <c r="J25" s="913" t="str">
        <f>'matrik MISI 1'!O27</f>
        <v>Kg/Ekor</v>
      </c>
      <c r="K25" s="913">
        <f>'matrik MISI 1'!P27</f>
        <v>12.5</v>
      </c>
      <c r="L25" s="913">
        <f>'matrik MISI 1'!Q27</f>
        <v>13</v>
      </c>
      <c r="M25" s="913" t="str">
        <f>'matrik MISI 1'!R27</f>
        <v>13,13</v>
      </c>
      <c r="N25" s="913" t="str">
        <f>'matrik MISI 1'!S27</f>
        <v>13,26</v>
      </c>
      <c r="O25" s="913" t="str">
        <f>'matrik MISI 1'!T27</f>
        <v>13,39</v>
      </c>
      <c r="P25" s="913" t="str">
        <f>'matrik MISI 1'!U27</f>
        <v>13,53</v>
      </c>
      <c r="Q25" s="913" t="str">
        <f>'matrik MISI 1'!V27</f>
        <v>13,66</v>
      </c>
      <c r="R25" s="913" t="str">
        <f>'matrik MISI 1'!W27</f>
        <v>13,66</v>
      </c>
    </row>
    <row r="26" spans="2:18" ht="31.5">
      <c r="B26" s="914"/>
      <c r="C26" s="70"/>
      <c r="D26" s="70"/>
      <c r="E26" s="70"/>
      <c r="F26" s="70"/>
      <c r="G26" s="70"/>
      <c r="H26" s="70"/>
      <c r="I26" s="2" t="str">
        <f>'matrik MISI 1'!N28</f>
        <v>Peningkatan Produktivitas daging Domba</v>
      </c>
      <c r="J26" s="913" t="str">
        <f>'matrik MISI 1'!O28</f>
        <v>Kg/Ekor</v>
      </c>
      <c r="K26" s="913">
        <f>'matrik MISI 1'!P28</f>
        <v>12.5</v>
      </c>
      <c r="L26" s="913">
        <f>'matrik MISI 1'!Q28</f>
        <v>13</v>
      </c>
      <c r="M26" s="913" t="str">
        <f>'matrik MISI 1'!R28</f>
        <v>13,13</v>
      </c>
      <c r="N26" s="913" t="str">
        <f>'matrik MISI 1'!S28</f>
        <v>13,26</v>
      </c>
      <c r="O26" s="913" t="str">
        <f>'matrik MISI 1'!T28</f>
        <v>13,39</v>
      </c>
      <c r="P26" s="913" t="str">
        <f>'matrik MISI 1'!U28</f>
        <v>13,53</v>
      </c>
      <c r="Q26" s="913" t="str">
        <f>'matrik MISI 1'!V28</f>
        <v>13,66</v>
      </c>
      <c r="R26" s="913" t="str">
        <f>'matrik MISI 1'!W28</f>
        <v>13,66</v>
      </c>
    </row>
    <row r="27" spans="2:18" ht="31.5">
      <c r="B27" s="914"/>
      <c r="C27" s="70"/>
      <c r="D27" s="70"/>
      <c r="E27" s="70"/>
      <c r="F27" s="70"/>
      <c r="G27" s="70"/>
      <c r="H27" s="70"/>
      <c r="I27" s="2" t="str">
        <f>'matrik MISI 1'!N29</f>
        <v>Peningkatan produksi telur ayam ras petelur</v>
      </c>
      <c r="J27" s="913" t="str">
        <f>'matrik MISI 1'!O29</f>
        <v>Butir</v>
      </c>
      <c r="K27" s="913" t="str">
        <f>'matrik MISI 1'!P29</f>
        <v xml:space="preserve">75.335.043 </v>
      </c>
      <c r="L27" s="913" t="str">
        <f>'matrik MISI 1'!Q29</f>
        <v>75.408.960</v>
      </c>
      <c r="M27" s="913" t="str">
        <f>'matrik MISI 1'!R29</f>
        <v>76.163.949</v>
      </c>
      <c r="N27" s="913" t="str">
        <f>'matrik MISI 1'!S29</f>
        <v>76.924.680</v>
      </c>
      <c r="O27" s="913" t="str">
        <f>'matrik MISI 1'!T29</f>
        <v>77.693.926</v>
      </c>
      <c r="P27" s="913" t="str">
        <f>'matrik MISI 1'!U29</f>
        <v>78.470.866</v>
      </c>
      <c r="Q27" s="913" t="str">
        <f>'matrik MISI 1'!V29</f>
        <v>79.255.574</v>
      </c>
      <c r="R27" s="913" t="str">
        <f>'matrik MISI 1'!W29</f>
        <v>79.255.574</v>
      </c>
    </row>
    <row r="28" spans="2:18">
      <c r="B28" s="914"/>
      <c r="C28" s="70"/>
      <c r="D28" s="70"/>
      <c r="E28" s="70"/>
      <c r="F28" s="70"/>
      <c r="G28" s="70"/>
      <c r="H28" s="70"/>
      <c r="I28" s="2" t="str">
        <f>'matrik MISI 1'!N30</f>
        <v>Peningkatan populasi sapi</v>
      </c>
      <c r="J28" s="913" t="str">
        <f>'matrik MISI 1'!O30</f>
        <v>Ekor</v>
      </c>
      <c r="K28" s="913">
        <f>'matrik MISI 1'!P30</f>
        <v>43515</v>
      </c>
      <c r="L28" s="913">
        <f>'matrik MISI 1'!Q30</f>
        <v>26946</v>
      </c>
      <c r="M28" s="913">
        <f>'matrik MISI 1'!R30</f>
        <v>27484</v>
      </c>
      <c r="N28" s="913">
        <f>'matrik MISI 1'!S30</f>
        <v>28034</v>
      </c>
      <c r="O28" s="913">
        <f>'matrik MISI 1'!T30</f>
        <v>28595</v>
      </c>
      <c r="P28" s="913">
        <f>'matrik MISI 1'!U30</f>
        <v>29167</v>
      </c>
      <c r="Q28" s="913">
        <f>'matrik MISI 1'!V30</f>
        <v>29750</v>
      </c>
      <c r="R28" s="913">
        <f>'matrik MISI 1'!W30</f>
        <v>29750</v>
      </c>
    </row>
    <row r="29" spans="2:18">
      <c r="B29" s="914"/>
      <c r="C29" s="70"/>
      <c r="D29" s="70"/>
      <c r="E29" s="70"/>
      <c r="F29" s="70"/>
      <c r="G29" s="70"/>
      <c r="H29" s="70"/>
      <c r="I29" s="2" t="str">
        <f>'matrik MISI 1'!N31</f>
        <v>Peningkatan populasi domba</v>
      </c>
      <c r="J29" s="913" t="str">
        <f>'matrik MISI 1'!O31</f>
        <v>Ekor</v>
      </c>
      <c r="K29" s="913">
        <f>'matrik MISI 1'!P31</f>
        <v>270497</v>
      </c>
      <c r="L29" s="913">
        <f>'matrik MISI 1'!Q31</f>
        <v>275055</v>
      </c>
      <c r="M29" s="913">
        <f>'matrik MISI 1'!R31</f>
        <v>286057</v>
      </c>
      <c r="N29" s="913">
        <f>'matrik MISI 1'!S31</f>
        <v>297499</v>
      </c>
      <c r="O29" s="913">
        <f>'matrik MISI 1'!T31</f>
        <v>309399</v>
      </c>
      <c r="P29" s="913">
        <f>'matrik MISI 1'!U31</f>
        <v>321775</v>
      </c>
      <c r="Q29" s="913">
        <f>'matrik MISI 1'!V31</f>
        <v>334646</v>
      </c>
      <c r="R29" s="913">
        <f>'matrik MISI 1'!W31</f>
        <v>334646</v>
      </c>
    </row>
    <row r="30" spans="2:18">
      <c r="B30" s="914"/>
      <c r="C30" s="70"/>
      <c r="D30" s="70"/>
      <c r="E30" s="70"/>
      <c r="F30" s="70"/>
      <c r="G30" s="70"/>
      <c r="H30" s="70"/>
      <c r="I30" s="2" t="str">
        <f>'matrik MISI 1'!N32</f>
        <v>Peningkatan populasi kambing</v>
      </c>
      <c r="J30" s="913" t="str">
        <f>'matrik MISI 1'!O32</f>
        <v>Ekor</v>
      </c>
      <c r="K30" s="913">
        <f>'matrik MISI 1'!P32</f>
        <v>58732</v>
      </c>
      <c r="L30" s="913">
        <f>'matrik MISI 1'!Q32</f>
        <v>59769</v>
      </c>
      <c r="M30" s="913">
        <f>'matrik MISI 1'!R32</f>
        <v>60665</v>
      </c>
      <c r="N30" s="913">
        <f>'matrik MISI 1'!S32</f>
        <v>61575</v>
      </c>
      <c r="O30" s="913">
        <f>'matrik MISI 1'!T32</f>
        <v>62499</v>
      </c>
      <c r="P30" s="913">
        <f>'matrik MISI 1'!U32</f>
        <v>63436</v>
      </c>
      <c r="Q30" s="913">
        <f>'matrik MISI 1'!V32</f>
        <v>64388</v>
      </c>
      <c r="R30" s="913">
        <f>'matrik MISI 1'!W32</f>
        <v>64388</v>
      </c>
    </row>
    <row r="31" spans="2:18">
      <c r="B31" s="914"/>
      <c r="C31" s="70"/>
      <c r="D31" s="70"/>
      <c r="E31" s="70"/>
      <c r="F31" s="70"/>
      <c r="G31" s="917"/>
      <c r="H31" s="917"/>
      <c r="I31" s="2" t="str">
        <f>'matrik MISI 1'!N33</f>
        <v>Peningkatan populasi ayam buras</v>
      </c>
      <c r="J31" s="913" t="str">
        <f>'matrik MISI 1'!O33</f>
        <v>Ekor</v>
      </c>
      <c r="K31" s="913">
        <f>'matrik MISI 1'!P33</f>
        <v>1658993</v>
      </c>
      <c r="L31" s="913">
        <f>'matrik MISI 1'!Q33</f>
        <v>1659079</v>
      </c>
      <c r="M31" s="913">
        <f>'matrik MISI 1'!R33</f>
        <v>1662397</v>
      </c>
      <c r="N31" s="913">
        <f>'matrik MISI 1'!S33</f>
        <v>1665721</v>
      </c>
      <c r="O31" s="913">
        <f>'matrik MISI 1'!T33</f>
        <v>1669053</v>
      </c>
      <c r="P31" s="913">
        <f>'matrik MISI 1'!U33</f>
        <v>1672391</v>
      </c>
      <c r="Q31" s="913">
        <f>'matrik MISI 1'!V33</f>
        <v>1675736</v>
      </c>
      <c r="R31" s="913">
        <f>'matrik MISI 1'!W33</f>
        <v>1675736</v>
      </c>
    </row>
    <row r="32" spans="2:18" ht="47.25">
      <c r="B32" s="914"/>
      <c r="C32" s="70"/>
      <c r="D32" s="70"/>
      <c r="E32" s="70"/>
      <c r="F32" s="70"/>
      <c r="G32" s="916">
        <f>'matrik MISI 1'!E34</f>
        <v>7</v>
      </c>
      <c r="H32" s="916" t="str">
        <f>'matrik MISI 1'!F34</f>
        <v xml:space="preserve">Meningkatnya Peran kelembagaan dan Penyuluhan pertanian </v>
      </c>
      <c r="I32" s="2" t="str">
        <f>'matrik MISI 1'!N35</f>
        <v>Jumlah materi penyuluhan yang dipublikasikasi</v>
      </c>
      <c r="J32" s="913" t="str">
        <f>'matrik MISI 1'!O35</f>
        <v>kali/tahun</v>
      </c>
      <c r="K32" s="913">
        <f>'matrik MISI 1'!P35</f>
        <v>0</v>
      </c>
      <c r="L32" s="913">
        <f>'matrik MISI 1'!Q35</f>
        <v>0</v>
      </c>
      <c r="M32" s="913">
        <f>'matrik MISI 1'!R35</f>
        <v>5</v>
      </c>
      <c r="N32" s="913">
        <f>'matrik MISI 1'!S35</f>
        <v>5</v>
      </c>
      <c r="O32" s="913">
        <f>'matrik MISI 1'!T35</f>
        <v>7</v>
      </c>
      <c r="P32" s="913">
        <f>'matrik MISI 1'!U35</f>
        <v>10</v>
      </c>
      <c r="Q32" s="913">
        <f>'matrik MISI 1'!V35</f>
        <v>10</v>
      </c>
      <c r="R32" s="913">
        <f>'matrik MISI 1'!W35</f>
        <v>10</v>
      </c>
    </row>
    <row r="33" spans="2:18" ht="31.5">
      <c r="B33" s="914"/>
      <c r="C33" s="70"/>
      <c r="D33" s="70"/>
      <c r="E33" s="70"/>
      <c r="F33" s="70"/>
      <c r="G33" s="70"/>
      <c r="H33" s="70"/>
      <c r="I33" s="2" t="str">
        <f>'matrik MISI 1'!N36</f>
        <v>Jumlah peningkatan kapasitas SDM Penyuluh</v>
      </c>
      <c r="J33" s="913" t="str">
        <f>'matrik MISI 1'!O36</f>
        <v>orang/thn</v>
      </c>
      <c r="K33" s="913">
        <f>'matrik MISI 1'!P36</f>
        <v>4</v>
      </c>
      <c r="L33" s="913">
        <f>'matrik MISI 1'!Q36</f>
        <v>2</v>
      </c>
      <c r="M33" s="913">
        <f>'matrik MISI 1'!R36</f>
        <v>3</v>
      </c>
      <c r="N33" s="913">
        <f>'matrik MISI 1'!S36</f>
        <v>3</v>
      </c>
      <c r="O33" s="913">
        <f>'matrik MISI 1'!T36</f>
        <v>3</v>
      </c>
      <c r="P33" s="913">
        <f>'matrik MISI 1'!U36</f>
        <v>3</v>
      </c>
      <c r="Q33" s="913">
        <f>'matrik MISI 1'!V36</f>
        <v>3</v>
      </c>
      <c r="R33" s="913">
        <f>'matrik MISI 1'!W36</f>
        <v>3</v>
      </c>
    </row>
    <row r="34" spans="2:18">
      <c r="B34" s="914"/>
      <c r="C34" s="70"/>
      <c r="D34" s="70"/>
      <c r="E34" s="70"/>
      <c r="F34" s="70"/>
      <c r="G34" s="70"/>
      <c r="H34" s="70"/>
      <c r="I34" s="2" t="str">
        <f>'matrik MISI 1'!N37</f>
        <v xml:space="preserve">Rasio jumlah kelompok tani maju </v>
      </c>
      <c r="J34" s="913" t="str">
        <f>'matrik MISI 1'!O37</f>
        <v>%</v>
      </c>
      <c r="K34" s="913">
        <f>'matrik MISI 1'!P37</f>
        <v>7.1428571428571423</v>
      </c>
      <c r="L34" s="913">
        <f>'matrik MISI 1'!Q37</f>
        <v>7.1428571428571423</v>
      </c>
      <c r="M34" s="913">
        <f>'matrik MISI 1'!R37</f>
        <v>8.0519480519480524</v>
      </c>
      <c r="N34" s="913">
        <f>'matrik MISI 1'!S37</f>
        <v>8.0519480519480524</v>
      </c>
      <c r="O34" s="913">
        <f>'matrik MISI 1'!T37</f>
        <v>8.0519480519480524</v>
      </c>
      <c r="P34" s="913">
        <f>'matrik MISI 1'!U37</f>
        <v>8.0519480519480524</v>
      </c>
      <c r="Q34" s="913">
        <f>'matrik MISI 1'!V37</f>
        <v>8.0519480519480524</v>
      </c>
      <c r="R34" s="913">
        <f>'matrik MISI 1'!W37</f>
        <v>8.0519480519480524</v>
      </c>
    </row>
    <row r="35" spans="2:18" ht="31.5">
      <c r="B35" s="914"/>
      <c r="C35" s="70"/>
      <c r="D35" s="70"/>
      <c r="E35" s="70"/>
      <c r="F35" s="70"/>
      <c r="G35" s="70"/>
      <c r="H35" s="70"/>
      <c r="I35" s="2" t="str">
        <f>'matrik MISI 1'!N38</f>
        <v>Jumlah peningkatan kapasitas SDM Petani</v>
      </c>
      <c r="J35" s="913" t="str">
        <f>'matrik MISI 1'!O38</f>
        <v>orang/thn</v>
      </c>
      <c r="K35" s="913">
        <f>'matrik MISI 1'!P38</f>
        <v>0</v>
      </c>
      <c r="L35" s="913">
        <f>'matrik MISI 1'!Q38</f>
        <v>0</v>
      </c>
      <c r="M35" s="913">
        <f>'matrik MISI 1'!R38</f>
        <v>2480</v>
      </c>
      <c r="N35" s="913">
        <f>'matrik MISI 1'!S38</f>
        <v>4960</v>
      </c>
      <c r="O35" s="913">
        <f>'matrik MISI 1'!T38</f>
        <v>7440</v>
      </c>
      <c r="P35" s="913">
        <f>'matrik MISI 1'!U38</f>
        <v>9920</v>
      </c>
      <c r="Q35" s="913">
        <f>'matrik MISI 1'!V38</f>
        <v>12400</v>
      </c>
      <c r="R35" s="913">
        <f>'matrik MISI 1'!W38</f>
        <v>12400</v>
      </c>
    </row>
    <row r="36" spans="2:18" ht="47.25">
      <c r="B36" s="914"/>
      <c r="C36" s="70"/>
      <c r="D36" s="70"/>
      <c r="E36" s="70"/>
      <c r="F36" s="70"/>
      <c r="G36" s="70"/>
      <c r="H36" s="70"/>
      <c r="I36" s="2" t="str">
        <f>'matrik MISI 1'!N39</f>
        <v>Cakupan Pertumbuhan dan peningkatan kapasitas Pos Penyuluhan Desa (Posluhdes)</v>
      </c>
      <c r="J36" s="913" t="str">
        <f>'matrik MISI 1'!O39</f>
        <v>%</v>
      </c>
      <c r="K36" s="913">
        <f>'matrik MISI 1'!P39</f>
        <v>16.260000000000002</v>
      </c>
      <c r="L36" s="913">
        <f>'matrik MISI 1'!Q39</f>
        <v>27.34</v>
      </c>
      <c r="M36" s="913">
        <f>'matrik MISI 1'!R39</f>
        <v>35.99</v>
      </c>
      <c r="N36" s="913">
        <f>'matrik MISI 1'!S39</f>
        <v>46.37</v>
      </c>
      <c r="O36" s="913">
        <f>'matrik MISI 1'!T39</f>
        <v>58.46</v>
      </c>
      <c r="P36" s="913">
        <f>'matrik MISI 1'!U39</f>
        <v>72.319999999999993</v>
      </c>
      <c r="Q36" s="913">
        <f>'matrik MISI 1'!V39</f>
        <v>87.89</v>
      </c>
      <c r="R36" s="913">
        <f>'matrik MISI 1'!W39</f>
        <v>87.89</v>
      </c>
    </row>
    <row r="37" spans="2:18" ht="47.25">
      <c r="B37" s="914"/>
      <c r="C37" s="70"/>
      <c r="D37" s="70"/>
      <c r="E37" s="917"/>
      <c r="F37" s="917"/>
      <c r="G37" s="917"/>
      <c r="H37" s="917"/>
      <c r="I37" s="2" t="str">
        <f>'matrik MISI 1'!N40</f>
        <v xml:space="preserve">Besaran pertumbuhan dan peningkatan Kapasitas Lembaga Ekonomi Petani </v>
      </c>
      <c r="J37" s="913" t="str">
        <f>'matrik MISI 1'!O40</f>
        <v>unit/thn</v>
      </c>
      <c r="K37" s="913">
        <f>'matrik MISI 1'!P40</f>
        <v>3</v>
      </c>
      <c r="L37" s="913">
        <f>'matrik MISI 1'!Q40</f>
        <v>1</v>
      </c>
      <c r="M37" s="913">
        <f>'matrik MISI 1'!R40</f>
        <v>10</v>
      </c>
      <c r="N37" s="913">
        <f>'matrik MISI 1'!S40</f>
        <v>25</v>
      </c>
      <c r="O37" s="913">
        <f>'matrik MISI 1'!T40</f>
        <v>40</v>
      </c>
      <c r="P37" s="913">
        <f>'matrik MISI 1'!U40</f>
        <v>55</v>
      </c>
      <c r="Q37" s="913">
        <f>'matrik MISI 1'!V40</f>
        <v>70</v>
      </c>
      <c r="R37" s="913">
        <f>'matrik MISI 1'!W40</f>
        <v>70</v>
      </c>
    </row>
    <row r="38" spans="2:18" ht="63">
      <c r="B38" s="914"/>
      <c r="C38" s="70"/>
      <c r="D38" s="70"/>
      <c r="E38" s="916">
        <f>'matrik MISI 1'!C41</f>
        <v>3</v>
      </c>
      <c r="F38" s="916" t="str">
        <f>'matrik MISI 1'!D41</f>
        <v>Meningkatkan Penyediaan Sarana dan Prasarana dan Insfrastruktur Pertanian, Perkebunan, dan Peternakan.</v>
      </c>
      <c r="G38" s="916">
        <f>'matrik MISI 1'!E41</f>
        <v>8</v>
      </c>
      <c r="H38" s="916" t="str">
        <f>'matrik MISI 1'!F41</f>
        <v>Meningkatnya Penyediaan Sarana dan Prasarana dan Insfrastruktur Pertanian, Perkebunan, dan Peternakan</v>
      </c>
      <c r="I38" s="2" t="str">
        <f>'matrik MISI 1'!N42</f>
        <v>Persentase meningkatnya pengelolaan kawasan embung</v>
      </c>
      <c r="J38" s="913" t="str">
        <f>'matrik MISI 1'!O42</f>
        <v>%</v>
      </c>
      <c r="K38" s="913">
        <f>'matrik MISI 1'!P42</f>
        <v>17</v>
      </c>
      <c r="L38" s="913">
        <f>'matrik MISI 1'!Q42</f>
        <v>33</v>
      </c>
      <c r="M38" s="913">
        <f>'matrik MISI 1'!R42</f>
        <v>50</v>
      </c>
      <c r="N38" s="913">
        <f>'matrik MISI 1'!S42</f>
        <v>67</v>
      </c>
      <c r="O38" s="913">
        <f>'matrik MISI 1'!T42</f>
        <v>83</v>
      </c>
      <c r="P38" s="913">
        <f>'matrik MISI 1'!U42</f>
        <v>100</v>
      </c>
      <c r="Q38" s="913">
        <f>'matrik MISI 1'!V42</f>
        <v>100</v>
      </c>
      <c r="R38" s="913">
        <f>'matrik MISI 1'!W42</f>
        <v>100</v>
      </c>
    </row>
    <row r="39" spans="2:18" ht="31.5">
      <c r="B39" s="914"/>
      <c r="C39" s="70"/>
      <c r="D39" s="70"/>
      <c r="E39" s="70"/>
      <c r="F39" s="70"/>
      <c r="G39" s="70"/>
      <c r="H39" s="70"/>
      <c r="I39" s="2" t="str">
        <f>'matrik MISI 1'!N43</f>
        <v>Besaran jumlah jaringan irigasi usaha tani terbangun</v>
      </c>
      <c r="J39" s="913" t="str">
        <f>'matrik MISI 1'!O43</f>
        <v>unit</v>
      </c>
      <c r="K39" s="913">
        <f>'matrik MISI 1'!P43</f>
        <v>119</v>
      </c>
      <c r="L39" s="913">
        <f>'matrik MISI 1'!Q43</f>
        <v>219</v>
      </c>
      <c r="M39" s="913">
        <f>'matrik MISI 1'!R43</f>
        <v>269</v>
      </c>
      <c r="N39" s="913">
        <f>'matrik MISI 1'!S43</f>
        <v>319</v>
      </c>
      <c r="O39" s="913">
        <f>'matrik MISI 1'!T43</f>
        <v>369</v>
      </c>
      <c r="P39" s="913">
        <f>'matrik MISI 1'!U43</f>
        <v>419</v>
      </c>
      <c r="Q39" s="913">
        <f>'matrik MISI 1'!V43</f>
        <v>469</v>
      </c>
      <c r="R39" s="913">
        <f>'matrik MISI 1'!W43</f>
        <v>469</v>
      </c>
    </row>
    <row r="40" spans="2:18">
      <c r="B40" s="914"/>
      <c r="C40" s="70"/>
      <c r="D40" s="70"/>
      <c r="E40" s="917"/>
      <c r="F40" s="917"/>
      <c r="G40" s="917"/>
      <c r="H40" s="917"/>
      <c r="I40" s="2" t="str">
        <f>'matrik MISI 1'!N44</f>
        <v>Besaran jumlah jalan usaha tani</v>
      </c>
      <c r="J40" s="913" t="str">
        <f>'matrik MISI 1'!O44</f>
        <v>unit</v>
      </c>
      <c r="K40" s="913">
        <f>'matrik MISI 1'!P44</f>
        <v>100</v>
      </c>
      <c r="L40" s="913">
        <f>'matrik MISI 1'!Q44</f>
        <v>160</v>
      </c>
      <c r="M40" s="913">
        <f>'matrik MISI 1'!R44</f>
        <v>210</v>
      </c>
      <c r="N40" s="913">
        <f>'matrik MISI 1'!S44</f>
        <v>260</v>
      </c>
      <c r="O40" s="913">
        <f>'matrik MISI 1'!T44</f>
        <v>310</v>
      </c>
      <c r="P40" s="913">
        <f>'matrik MISI 1'!U44</f>
        <v>360</v>
      </c>
      <c r="Q40" s="913">
        <f>'matrik MISI 1'!V44</f>
        <v>410</v>
      </c>
      <c r="R40" s="913">
        <f>'matrik MISI 1'!W44</f>
        <v>410</v>
      </c>
    </row>
    <row r="41" spans="2:18" ht="47.25">
      <c r="B41" s="914"/>
      <c r="C41" s="70"/>
      <c r="D41" s="70"/>
      <c r="E41" s="2">
        <f>'matrik MISI 1'!C45</f>
        <v>4</v>
      </c>
      <c r="F41" s="2" t="str">
        <f>'matrik MISI 1'!D45</f>
        <v>Meningkatkan Pengembangan Agribisnis Berbasis Komoditas Unggulan Daerah</v>
      </c>
      <c r="G41" s="2">
        <f>'matrik MISI 1'!E45</f>
        <v>9</v>
      </c>
      <c r="H41" s="2" t="str">
        <f>'matrik MISI 1'!F45</f>
        <v>Meningkatnya Pengembangan Kawasan Agropolitan</v>
      </c>
      <c r="I41" s="2" t="str">
        <f>'matrik MISI 1'!N46</f>
        <v>Persentase Perkembangan Kawasan Agropolitan</v>
      </c>
      <c r="J41" s="913" t="str">
        <f>'matrik MISI 1'!O46</f>
        <v>%</v>
      </c>
      <c r="K41" s="913">
        <f>'matrik MISI 1'!P46</f>
        <v>50</v>
      </c>
      <c r="L41" s="913">
        <f>'matrik MISI 1'!Q46</f>
        <v>75</v>
      </c>
      <c r="M41" s="913">
        <f>'matrik MISI 1'!R46</f>
        <v>100</v>
      </c>
      <c r="N41" s="913">
        <f>'matrik MISI 1'!S46</f>
        <v>100</v>
      </c>
      <c r="O41" s="913">
        <f>'matrik MISI 1'!T46</f>
        <v>100</v>
      </c>
      <c r="P41" s="913">
        <f>'matrik MISI 1'!U46</f>
        <v>100</v>
      </c>
      <c r="Q41" s="913">
        <f>'matrik MISI 1'!V46</f>
        <v>100</v>
      </c>
      <c r="R41" s="913">
        <f>'matrik MISI 1'!W46</f>
        <v>100</v>
      </c>
    </row>
    <row r="42" spans="2:18" ht="31.5">
      <c r="B42" s="914"/>
      <c r="C42" s="70"/>
      <c r="D42" s="70"/>
      <c r="E42" s="916">
        <f>'matrik MISI 1'!C47</f>
        <v>5</v>
      </c>
      <c r="F42" s="916" t="str">
        <f>'matrik MISI 1'!D47</f>
        <v>Meningkatkan Pemanfaatan Teknologi dan Inovasi Perikanan</v>
      </c>
      <c r="G42" s="916">
        <f>'matrik MISI 1'!E47</f>
        <v>10</v>
      </c>
      <c r="H42" s="916" t="str">
        <f>'matrik MISI 1'!F47</f>
        <v>Meningkatnya Penerapan Teknologi Perikanan</v>
      </c>
      <c r="I42" s="2" t="str">
        <f>'matrik MISI 1'!N48</f>
        <v xml:space="preserve">Penggunaan induk ikan unggul  </v>
      </c>
      <c r="J42" s="913" t="str">
        <f>'matrik MISI 1'!O48</f>
        <v>%</v>
      </c>
      <c r="K42" s="913">
        <f>'matrik MISI 1'!P48</f>
        <v>10</v>
      </c>
      <c r="L42" s="913">
        <f>'matrik MISI 1'!Q48</f>
        <v>20</v>
      </c>
      <c r="M42" s="913">
        <f>'matrik MISI 1'!R48</f>
        <v>25</v>
      </c>
      <c r="N42" s="913">
        <f>'matrik MISI 1'!S48</f>
        <v>30</v>
      </c>
      <c r="O42" s="913">
        <f>'matrik MISI 1'!T48</f>
        <v>40</v>
      </c>
      <c r="P42" s="913">
        <f>'matrik MISI 1'!U48</f>
        <v>50</v>
      </c>
      <c r="Q42" s="913">
        <f>'matrik MISI 1'!V48</f>
        <v>60</v>
      </c>
      <c r="R42" s="913">
        <f>'matrik MISI 1'!W48</f>
        <v>60</v>
      </c>
    </row>
    <row r="43" spans="2:18">
      <c r="B43" s="914"/>
      <c r="C43" s="70"/>
      <c r="D43" s="70"/>
      <c r="E43" s="70"/>
      <c r="F43" s="70"/>
      <c r="G43" s="917"/>
      <c r="H43" s="917"/>
      <c r="I43" s="2" t="str">
        <f>'matrik MISI 1'!N49</f>
        <v>Peningkatan produksi benih ikan</v>
      </c>
      <c r="J43" s="913" t="str">
        <f>'matrik MISI 1'!O49</f>
        <v>Ekor</v>
      </c>
      <c r="K43" s="913">
        <f>'matrik MISI 1'!P49</f>
        <v>53088000</v>
      </c>
      <c r="L43" s="913">
        <f>'matrik MISI 1'!Q49</f>
        <v>69200000</v>
      </c>
      <c r="M43" s="913">
        <f>'matrik MISI 1'!R49</f>
        <v>76120000</v>
      </c>
      <c r="N43" s="913">
        <f>'matrik MISI 1'!S49</f>
        <v>83732000</v>
      </c>
      <c r="O43" s="913">
        <f>'matrik MISI 1'!T49</f>
        <v>92105200</v>
      </c>
      <c r="P43" s="913">
        <f>'matrik MISI 1'!U49</f>
        <v>102236750</v>
      </c>
      <c r="Q43" s="913">
        <f>'matrik MISI 1'!V49</f>
        <v>113482800</v>
      </c>
      <c r="R43" s="913">
        <f>'matrik MISI 1'!W49</f>
        <v>113482800</v>
      </c>
    </row>
    <row r="44" spans="2:18" ht="47.25">
      <c r="B44" s="914"/>
      <c r="C44" s="70"/>
      <c r="D44" s="70"/>
      <c r="E44" s="70"/>
      <c r="F44" s="70"/>
      <c r="G44" s="916">
        <f>'matrik MISI 1'!E49</f>
        <v>11</v>
      </c>
      <c r="H44" s="916" t="str">
        <f>'matrik MISI 1'!F49</f>
        <v>Meningkatnya Kualitas, Kuantitas, Kontinuitas, dan Diversifikasi Produk Perikanan</v>
      </c>
      <c r="I44" s="2" t="str">
        <f>'matrik MISI 1'!N50</f>
        <v>Peningkatan produksi ikan konsumsi (kolam)</v>
      </c>
      <c r="J44" s="913" t="str">
        <f>'matrik MISI 1'!O50</f>
        <v>Ekor</v>
      </c>
      <c r="K44" s="913" t="str">
        <f>'matrik MISI 1'!P50</f>
        <v xml:space="preserve">1.864,08 </v>
      </c>
      <c r="L44" s="913" t="str">
        <f>'matrik MISI 1'!Q50</f>
        <v xml:space="preserve">2.302,14 </v>
      </c>
      <c r="M44" s="913">
        <f>'matrik MISI 1'!R50</f>
        <v>2854.65</v>
      </c>
      <c r="N44" s="913">
        <f>'matrik MISI 1'!S50</f>
        <v>3539.77</v>
      </c>
      <c r="O44" s="913">
        <f>'matrik MISI 1'!T50</f>
        <v>4389.32</v>
      </c>
      <c r="P44" s="913">
        <f>'matrik MISI 1'!U50</f>
        <v>5442.75</v>
      </c>
      <c r="Q44" s="913">
        <f>'matrik MISI 1'!V50</f>
        <v>6749.01</v>
      </c>
      <c r="R44" s="913">
        <f>'matrik MISI 1'!W50</f>
        <v>6749.01</v>
      </c>
    </row>
    <row r="45" spans="2:18">
      <c r="B45" s="914"/>
      <c r="C45" s="70"/>
      <c r="D45" s="70"/>
      <c r="E45" s="70"/>
      <c r="F45" s="70"/>
      <c r="G45" s="70"/>
      <c r="H45" s="70"/>
      <c r="I45" s="2" t="str">
        <f>'matrik MISI 1'!N51</f>
        <v>Peningkatan produksi mina padi</v>
      </c>
      <c r="J45" s="913" t="str">
        <f>'matrik MISI 1'!O51</f>
        <v>Ekor</v>
      </c>
      <c r="K45" s="913">
        <f>'matrik MISI 1'!P51</f>
        <v>1152.26</v>
      </c>
      <c r="L45" s="913">
        <f>'matrik MISI 1'!Q51</f>
        <v>1423.99</v>
      </c>
      <c r="M45" s="913">
        <f>'matrik MISI 1'!R51</f>
        <v>1765.75</v>
      </c>
      <c r="N45" s="913">
        <f>'matrik MISI 1'!S51</f>
        <v>2189.5300000000002</v>
      </c>
      <c r="O45" s="913">
        <f>'matrik MISI 1'!T51</f>
        <v>2715.01</v>
      </c>
      <c r="P45" s="913">
        <f>'matrik MISI 1'!U51</f>
        <v>3366.62</v>
      </c>
      <c r="Q45" s="913">
        <f>'matrik MISI 1'!V51</f>
        <v>4174.6000000000004</v>
      </c>
      <c r="R45" s="913">
        <f>'matrik MISI 1'!W51</f>
        <v>4174.6000000000004</v>
      </c>
    </row>
    <row r="46" spans="2:18">
      <c r="B46" s="914"/>
      <c r="C46" s="70"/>
      <c r="D46" s="70"/>
      <c r="E46" s="70"/>
      <c r="F46" s="70"/>
      <c r="G46" s="70"/>
      <c r="H46" s="70"/>
      <c r="I46" s="2" t="str">
        <f>'matrik MISI 1'!N52</f>
        <v>Produktivitas benih ikan</v>
      </c>
      <c r="J46" s="913" t="str">
        <f>'matrik MISI 1'!O52</f>
        <v>ekor/m2</v>
      </c>
      <c r="K46" s="913">
        <f>'matrik MISI 1'!P52</f>
        <v>70</v>
      </c>
      <c r="L46" s="913">
        <f>'matrik MISI 1'!Q52</f>
        <v>80</v>
      </c>
      <c r="M46" s="913">
        <f>'matrik MISI 1'!R52</f>
        <v>90</v>
      </c>
      <c r="N46" s="913">
        <f>'matrik MISI 1'!S52</f>
        <v>100</v>
      </c>
      <c r="O46" s="913">
        <f>'matrik MISI 1'!T52</f>
        <v>110</v>
      </c>
      <c r="P46" s="913">
        <f>'matrik MISI 1'!U52</f>
        <v>120</v>
      </c>
      <c r="Q46" s="913">
        <f>'matrik MISI 1'!V52</f>
        <v>130</v>
      </c>
      <c r="R46" s="913">
        <f>'matrik MISI 1'!W52</f>
        <v>130</v>
      </c>
    </row>
    <row r="47" spans="2:18">
      <c r="B47" s="914"/>
      <c r="C47" s="70"/>
      <c r="D47" s="70"/>
      <c r="E47" s="70"/>
      <c r="F47" s="70"/>
      <c r="G47" s="70"/>
      <c r="H47" s="70"/>
      <c r="I47" s="2" t="str">
        <f>'matrik MISI 1'!N53</f>
        <v>Produktivitas ikan konsumsi</v>
      </c>
      <c r="J47" s="913" t="str">
        <f>'matrik MISI 1'!O53</f>
        <v>kg/m2</v>
      </c>
      <c r="K47" s="913" t="str">
        <f>'matrik MISI 1'!P53</f>
        <v xml:space="preserve">1,58 </v>
      </c>
      <c r="L47" s="913" t="str">
        <f>'matrik MISI 1'!Q53</f>
        <v xml:space="preserve">1,93 </v>
      </c>
      <c r="M47" s="913">
        <f>'matrik MISI 1'!R53</f>
        <v>2.36</v>
      </c>
      <c r="N47" s="913">
        <f>'matrik MISI 1'!S53</f>
        <v>2.89</v>
      </c>
      <c r="O47" s="913">
        <f>'matrik MISI 1'!T53</f>
        <v>3.54</v>
      </c>
      <c r="P47" s="913">
        <f>'matrik MISI 1'!U53</f>
        <v>4.33</v>
      </c>
      <c r="Q47" s="913">
        <f>'matrik MISI 1'!V53</f>
        <v>5.29</v>
      </c>
      <c r="R47" s="913" t="str">
        <f>'matrik MISI 1'!W53</f>
        <v xml:space="preserve">5,29 </v>
      </c>
    </row>
    <row r="48" spans="2:18" ht="31.5">
      <c r="B48" s="914"/>
      <c r="C48" s="70"/>
      <c r="D48" s="70"/>
      <c r="E48" s="70"/>
      <c r="F48" s="70"/>
      <c r="G48" s="70"/>
      <c r="H48" s="70"/>
      <c r="I48" s="2" t="str">
        <f>'matrik MISI 1'!N54</f>
        <v>Produktivitas mina padi</v>
      </c>
      <c r="J48" s="913" t="str">
        <f>'matrik MISI 1'!O54</f>
        <v>kg/Ha/tahun</v>
      </c>
      <c r="K48" s="913" t="str">
        <f>'matrik MISI 1'!P54</f>
        <v xml:space="preserve">375,76 </v>
      </c>
      <c r="L48" s="913" t="str">
        <f>'matrik MISI 1'!Q54</f>
        <v xml:space="preserve">455,26 </v>
      </c>
      <c r="M48" s="913">
        <f>'matrik MISI 1'!R54</f>
        <v>551.58000000000004</v>
      </c>
      <c r="N48" s="913">
        <f>'matrik MISI 1'!S54</f>
        <v>668.28</v>
      </c>
      <c r="O48" s="913">
        <f>'matrik MISI 1'!T54</f>
        <v>809.67</v>
      </c>
      <c r="P48" s="913">
        <f>'matrik MISI 1'!U54</f>
        <v>980.97</v>
      </c>
      <c r="Q48" s="913">
        <f>'matrik MISI 1'!V54</f>
        <v>1188.51</v>
      </c>
      <c r="R48" s="913" t="str">
        <f>'matrik MISI 1'!W54</f>
        <v xml:space="preserve">1188,51 </v>
      </c>
    </row>
    <row r="49" spans="2:18" ht="31.5">
      <c r="B49" s="914"/>
      <c r="C49" s="70"/>
      <c r="D49" s="70"/>
      <c r="E49" s="70"/>
      <c r="F49" s="70"/>
      <c r="G49" s="70"/>
      <c r="H49" s="70"/>
      <c r="I49" s="2" t="str">
        <f>'matrik MISI 1'!N55</f>
        <v>Peningkatan produksi pengolahan hasil perikanan</v>
      </c>
      <c r="J49" s="913" t="str">
        <f>'matrik MISI 1'!O55</f>
        <v>Kg</v>
      </c>
      <c r="K49" s="913">
        <f>'matrik MISI 1'!P55</f>
        <v>183</v>
      </c>
      <c r="L49" s="913">
        <f>'matrik MISI 1'!Q55</f>
        <v>196</v>
      </c>
      <c r="M49" s="913">
        <f>'matrik MISI 1'!R55</f>
        <v>210</v>
      </c>
      <c r="N49" s="913">
        <f>'matrik MISI 1'!S55</f>
        <v>224</v>
      </c>
      <c r="O49" s="913">
        <f>'matrik MISI 1'!T55</f>
        <v>240</v>
      </c>
      <c r="P49" s="913">
        <f>'matrik MISI 1'!U55</f>
        <v>258</v>
      </c>
      <c r="Q49" s="913">
        <f>'matrik MISI 1'!V55</f>
        <v>277</v>
      </c>
      <c r="R49" s="913">
        <f>'matrik MISI 1'!W55</f>
        <v>277</v>
      </c>
    </row>
    <row r="50" spans="2:18" ht="31.5">
      <c r="B50" s="914"/>
      <c r="C50" s="70"/>
      <c r="D50" s="70"/>
      <c r="E50" s="70"/>
      <c r="F50" s="70"/>
      <c r="G50" s="70"/>
      <c r="H50" s="70"/>
      <c r="I50" s="2" t="str">
        <f>'matrik MISI 1'!N56</f>
        <v xml:space="preserve">Tingkat Konsumsi Ikan </v>
      </c>
      <c r="J50" s="913" t="str">
        <f>'matrik MISI 1'!O56</f>
        <v>kg/kapita/tahun</v>
      </c>
      <c r="K50" s="913">
        <f>'matrik MISI 1'!P56</f>
        <v>14.96</v>
      </c>
      <c r="L50" s="913">
        <f>'matrik MISI 1'!Q56</f>
        <v>15.25</v>
      </c>
      <c r="M50" s="913">
        <f>'matrik MISI 1'!R56</f>
        <v>15.56</v>
      </c>
      <c r="N50" s="913">
        <f>'matrik MISI 1'!S56</f>
        <v>15.87</v>
      </c>
      <c r="O50" s="913">
        <f>'matrik MISI 1'!T56</f>
        <v>16.190000000000001</v>
      </c>
      <c r="P50" s="913">
        <f>'matrik MISI 1'!U56</f>
        <v>16.53</v>
      </c>
      <c r="Q50" s="913">
        <f>'matrik MISI 1'!V56</f>
        <v>16.87</v>
      </c>
      <c r="R50" s="913" t="str">
        <f>'matrik MISI 1'!W56</f>
        <v xml:space="preserve">16,87 </v>
      </c>
    </row>
    <row r="51" spans="2:18" ht="31.5">
      <c r="B51" s="914"/>
      <c r="C51" s="70"/>
      <c r="D51" s="70"/>
      <c r="E51" s="70"/>
      <c r="F51" s="70"/>
      <c r="G51" s="70"/>
      <c r="H51" s="70"/>
      <c r="I51" s="2" t="str">
        <f>'matrik MISI 1'!N57</f>
        <v>Peningkatan luas lahan budidaya ikan</v>
      </c>
      <c r="J51" s="913" t="str">
        <f>'matrik MISI 1'!O57</f>
        <v>Ha</v>
      </c>
      <c r="K51" s="913" t="str">
        <f>'matrik MISI 1'!P57</f>
        <v xml:space="preserve">117,88 </v>
      </c>
      <c r="L51" s="913" t="str">
        <f>'matrik MISI 1'!Q57</f>
        <v xml:space="preserve">119,17 </v>
      </c>
      <c r="M51" s="913" t="str">
        <f>'matrik MISI 1'!R57</f>
        <v>120,19</v>
      </c>
      <c r="N51" s="913" t="str">
        <f>'matrik MISI 1'!S57</f>
        <v>121,39</v>
      </c>
      <c r="O51" s="913" t="str">
        <f>'matrik MISI 1'!T57</f>
        <v>122,61</v>
      </c>
      <c r="P51" s="913" t="str">
        <f>'matrik MISI 1'!U57</f>
        <v>123,83</v>
      </c>
      <c r="Q51" s="913" t="str">
        <f>'matrik MISI 1'!V57</f>
        <v>125,07</v>
      </c>
      <c r="R51" s="913" t="str">
        <f>'matrik MISI 1'!W57</f>
        <v>125,07</v>
      </c>
    </row>
    <row r="52" spans="2:18" ht="31.5">
      <c r="B52" s="914"/>
      <c r="C52" s="70"/>
      <c r="D52" s="70"/>
      <c r="E52" s="917"/>
      <c r="F52" s="917"/>
      <c r="G52" s="917"/>
      <c r="H52" s="917"/>
      <c r="I52" s="2" t="str">
        <f>'matrik MISI 1'!N58</f>
        <v>Peningkatan produksi perikanan tangkap di perairan umum</v>
      </c>
      <c r="J52" s="913" t="str">
        <f>'matrik MISI 1'!O58</f>
        <v>Ton</v>
      </c>
      <c r="K52" s="913">
        <f>'matrik MISI 1'!P58</f>
        <v>121.28</v>
      </c>
      <c r="L52" s="913" t="str">
        <f>'matrik MISI 1'!Q58</f>
        <v xml:space="preserve">166,16 </v>
      </c>
      <c r="M52" s="913">
        <f>'matrik MISI 1'!R58</f>
        <v>227.64</v>
      </c>
      <c r="N52" s="913">
        <f>'matrik MISI 1'!S58</f>
        <v>311.87</v>
      </c>
      <c r="O52" s="913">
        <f>'matrik MISI 1'!T58</f>
        <v>427.26</v>
      </c>
      <c r="P52" s="913">
        <f>'matrik MISI 1'!U58</f>
        <v>585.34</v>
      </c>
      <c r="Q52" s="913">
        <f>'matrik MISI 1'!V58</f>
        <v>801.92</v>
      </c>
      <c r="R52" s="913">
        <f>'matrik MISI 1'!W58</f>
        <v>801.92</v>
      </c>
    </row>
    <row r="53" spans="2:18" ht="31.5">
      <c r="B53" s="914"/>
      <c r="C53" s="70"/>
      <c r="D53" s="70"/>
      <c r="E53" s="916">
        <f>'matrik MISI 1'!C59</f>
        <v>6</v>
      </c>
      <c r="F53" s="916" t="str">
        <f>'matrik MISI 1'!D59</f>
        <v>Meningkatkan Ketahanan Pangan Daerah</v>
      </c>
      <c r="G53" s="916">
        <f>'matrik MISI 1'!E59</f>
        <v>12</v>
      </c>
      <c r="H53" s="916" t="str">
        <f>'matrik MISI 1'!F59</f>
        <v>Meningkatnya ketahanan pangan</v>
      </c>
      <c r="I53" s="2" t="str">
        <f>'matrik MISI 1'!N60</f>
        <v>Cakupan Ketersediaan Energi per Kapita</v>
      </c>
      <c r="J53" s="913" t="str">
        <f>'matrik MISI 1'!O60</f>
        <v>kkal/kap/hr</v>
      </c>
      <c r="K53" s="913">
        <f>'matrik MISI 1'!P60</f>
        <v>2846.55</v>
      </c>
      <c r="L53" s="913">
        <f>'matrik MISI 1'!Q60</f>
        <v>2794.62</v>
      </c>
      <c r="M53" s="913">
        <f>'matrik MISI 1'!R60</f>
        <v>2800</v>
      </c>
      <c r="N53" s="913">
        <f>'matrik MISI 1'!S60</f>
        <v>2850</v>
      </c>
      <c r="O53" s="913">
        <f>'matrik MISI 1'!T60</f>
        <v>2900</v>
      </c>
      <c r="P53" s="913">
        <f>'matrik MISI 1'!U60</f>
        <v>2940</v>
      </c>
      <c r="Q53" s="913">
        <f>'matrik MISI 1'!V60</f>
        <v>2980</v>
      </c>
      <c r="R53" s="913">
        <f>'matrik MISI 1'!W60</f>
        <v>2980</v>
      </c>
    </row>
    <row r="54" spans="2:18" ht="31.5">
      <c r="B54" s="914"/>
      <c r="C54" s="70"/>
      <c r="D54" s="70"/>
      <c r="E54" s="70"/>
      <c r="F54" s="70"/>
      <c r="G54" s="70"/>
      <c r="H54" s="70"/>
      <c r="I54" s="2" t="str">
        <f>'matrik MISI 1'!N61</f>
        <v>Cakupan Ketersediaan protein per Kapita</v>
      </c>
      <c r="J54" s="913" t="str">
        <f>'matrik MISI 1'!O61</f>
        <v>gr/kap/hr</v>
      </c>
      <c r="K54" s="913">
        <f>'matrik MISI 1'!P61</f>
        <v>74.989999999999995</v>
      </c>
      <c r="L54" s="913">
        <f>'matrik MISI 1'!Q61</f>
        <v>70.88</v>
      </c>
      <c r="M54" s="913">
        <f>'matrik MISI 1'!R61</f>
        <v>73.540000000000006</v>
      </c>
      <c r="N54" s="913">
        <f>'matrik MISI 1'!S61</f>
        <v>74</v>
      </c>
      <c r="O54" s="913">
        <f>'matrik MISI 1'!T61</f>
        <v>74.75</v>
      </c>
      <c r="P54" s="913">
        <f>'matrik MISI 1'!U61</f>
        <v>75.5</v>
      </c>
      <c r="Q54" s="913" t="str">
        <f>'matrik MISI 1'!V61</f>
        <v>75,99</v>
      </c>
      <c r="R54" s="913" t="str">
        <f>'matrik MISI 1'!W61</f>
        <v>75,99</v>
      </c>
    </row>
    <row r="55" spans="2:18" ht="31.5">
      <c r="B55" s="914"/>
      <c r="C55" s="70"/>
      <c r="D55" s="70"/>
      <c r="E55" s="70"/>
      <c r="F55" s="70"/>
      <c r="G55" s="70"/>
      <c r="H55" s="70"/>
      <c r="I55" s="2" t="str">
        <f>'matrik MISI 1'!N62</f>
        <v>Peningkatan cadangan pangan masyarakat</v>
      </c>
      <c r="J55" s="913" t="str">
        <f>'matrik MISI 1'!O62</f>
        <v>unit</v>
      </c>
      <c r="K55" s="913">
        <f>'matrik MISI 1'!P62</f>
        <v>29</v>
      </c>
      <c r="L55" s="913">
        <f>'matrik MISI 1'!Q62</f>
        <v>35</v>
      </c>
      <c r="M55" s="913">
        <f>'matrik MISI 1'!R62</f>
        <v>43</v>
      </c>
      <c r="N55" s="913">
        <f>'matrik MISI 1'!S62</f>
        <v>51</v>
      </c>
      <c r="O55" s="913">
        <f>'matrik MISI 1'!T62</f>
        <v>59</v>
      </c>
      <c r="P55" s="913">
        <f>'matrik MISI 1'!U62</f>
        <v>67</v>
      </c>
      <c r="Q55" s="913">
        <f>'matrik MISI 1'!V62</f>
        <v>75</v>
      </c>
      <c r="R55" s="913">
        <f>'matrik MISI 1'!W62</f>
        <v>75</v>
      </c>
    </row>
    <row r="56" spans="2:18" ht="31.5">
      <c r="B56" s="914"/>
      <c r="C56" s="70"/>
      <c r="D56" s="70"/>
      <c r="E56" s="70"/>
      <c r="F56" s="70"/>
      <c r="G56" s="70"/>
      <c r="H56" s="70"/>
      <c r="I56" s="2" t="str">
        <f>'matrik MISI 1'!N63</f>
        <v>Persentase penguatan cadangan pangan pemerintah</v>
      </c>
      <c r="J56" s="913" t="str">
        <f>'matrik MISI 1'!O63</f>
        <v>%</v>
      </c>
      <c r="K56" s="913">
        <f>'matrik MISI 1'!P63</f>
        <v>2.6</v>
      </c>
      <c r="L56" s="913" t="str">
        <f>'matrik MISI 1'!Q63</f>
        <v>8,8</v>
      </c>
      <c r="M56" s="913">
        <f>'matrik MISI 1'!R63</f>
        <v>10</v>
      </c>
      <c r="N56" s="913">
        <f>'matrik MISI 1'!S63</f>
        <v>10</v>
      </c>
      <c r="O56" s="913">
        <f>'matrik MISI 1'!T63</f>
        <v>10</v>
      </c>
      <c r="P56" s="913">
        <f>'matrik MISI 1'!U63</f>
        <v>10</v>
      </c>
      <c r="Q56" s="913">
        <f>'matrik MISI 1'!V63</f>
        <v>10</v>
      </c>
      <c r="R56" s="913">
        <f>'matrik MISI 1'!W63</f>
        <v>10</v>
      </c>
    </row>
    <row r="57" spans="2:18" ht="31.5">
      <c r="B57" s="914"/>
      <c r="C57" s="70"/>
      <c r="D57" s="70"/>
      <c r="E57" s="70"/>
      <c r="F57" s="70"/>
      <c r="G57" s="70"/>
      <c r="H57" s="70"/>
      <c r="I57" s="2" t="str">
        <f>'matrik MISI 1'!N64</f>
        <v>Cakupan Penanganan Kerawanan Pangan</v>
      </c>
      <c r="J57" s="913" t="str">
        <f>'matrik MISI 1'!O64</f>
        <v>%</v>
      </c>
      <c r="K57" s="913">
        <f>'matrik MISI 1'!P64</f>
        <v>50</v>
      </c>
      <c r="L57" s="913">
        <f>'matrik MISI 1'!Q64</f>
        <v>50</v>
      </c>
      <c r="M57" s="913">
        <f>'matrik MISI 1'!R64</f>
        <v>60</v>
      </c>
      <c r="N57" s="913">
        <f>'matrik MISI 1'!S64</f>
        <v>60</v>
      </c>
      <c r="O57" s="913">
        <f>'matrik MISI 1'!T64</f>
        <v>75</v>
      </c>
      <c r="P57" s="913">
        <f>'matrik MISI 1'!U64</f>
        <v>75</v>
      </c>
      <c r="Q57" s="913">
        <f>'matrik MISI 1'!V64</f>
        <v>85</v>
      </c>
      <c r="R57" s="913">
        <f>'matrik MISI 1'!W64</f>
        <v>85</v>
      </c>
    </row>
    <row r="58" spans="2:18" ht="31.5">
      <c r="B58" s="914"/>
      <c r="C58" s="70"/>
      <c r="D58" s="70"/>
      <c r="E58" s="70"/>
      <c r="F58" s="70"/>
      <c r="G58" s="70"/>
      <c r="H58" s="70"/>
      <c r="I58" s="2" t="str">
        <f>'matrik MISI 1'!N65</f>
        <v>Persentase Meningkatnya Skor Pola Pangan Harapan</v>
      </c>
      <c r="J58" s="913" t="str">
        <f>'matrik MISI 1'!O65</f>
        <v>%</v>
      </c>
      <c r="K58" s="913">
        <f>'matrik MISI 1'!P65</f>
        <v>88</v>
      </c>
      <c r="L58" s="913">
        <f>'matrik MISI 1'!Q65</f>
        <v>88.5</v>
      </c>
      <c r="M58" s="913">
        <f>'matrik MISI 1'!R65</f>
        <v>89</v>
      </c>
      <c r="N58" s="913">
        <f>'matrik MISI 1'!S65</f>
        <v>90</v>
      </c>
      <c r="O58" s="913">
        <f>'matrik MISI 1'!T65</f>
        <v>90.45</v>
      </c>
      <c r="P58" s="913">
        <f>'matrik MISI 1'!U65</f>
        <v>90.85</v>
      </c>
      <c r="Q58" s="913">
        <f>'matrik MISI 1'!V65</f>
        <v>91</v>
      </c>
      <c r="R58" s="913">
        <f>'matrik MISI 1'!W65</f>
        <v>91</v>
      </c>
    </row>
    <row r="59" spans="2:18" ht="31.5">
      <c r="B59" s="914"/>
      <c r="C59" s="70"/>
      <c r="D59" s="70"/>
      <c r="E59" s="70"/>
      <c r="F59" s="70"/>
      <c r="G59" s="70"/>
      <c r="H59" s="70"/>
      <c r="I59" s="2" t="str">
        <f>'matrik MISI 1'!N66</f>
        <v>Cakupan Pengawasan dan Pembinaan Keamanan Pangan</v>
      </c>
      <c r="J59" s="913" t="str">
        <f>'matrik MISI 1'!O66</f>
        <v>%</v>
      </c>
      <c r="K59" s="913" t="str">
        <f>'matrik MISI 1'!P66</f>
        <v>-</v>
      </c>
      <c r="L59" s="913" t="str">
        <f>'matrik MISI 1'!Q66</f>
        <v>-</v>
      </c>
      <c r="M59" s="913">
        <f>'matrik MISI 1'!R66</f>
        <v>60</v>
      </c>
      <c r="N59" s="913">
        <f>'matrik MISI 1'!S66</f>
        <v>80</v>
      </c>
      <c r="O59" s="913">
        <f>'matrik MISI 1'!T66</f>
        <v>80</v>
      </c>
      <c r="P59" s="913">
        <f>'matrik MISI 1'!U66</f>
        <v>85</v>
      </c>
      <c r="Q59" s="913">
        <f>'matrik MISI 1'!V66</f>
        <v>90</v>
      </c>
      <c r="R59" s="913">
        <f>'matrik MISI 1'!W66</f>
        <v>90</v>
      </c>
    </row>
    <row r="60" spans="2:18">
      <c r="B60" s="914"/>
      <c r="C60" s="70"/>
      <c r="D60" s="70"/>
      <c r="E60" s="70"/>
      <c r="F60" s="70"/>
      <c r="G60" s="70"/>
      <c r="H60" s="70"/>
      <c r="I60" s="2" t="str">
        <f>'matrik MISI 1'!N67</f>
        <v>Besaran Desa Mandiri Pangan</v>
      </c>
      <c r="J60" s="913" t="str">
        <f>'matrik MISI 1'!O67</f>
        <v>Desa</v>
      </c>
      <c r="K60" s="913">
        <f>'matrik MISI 1'!P67</f>
        <v>6</v>
      </c>
      <c r="L60" s="913">
        <f>'matrik MISI 1'!Q67</f>
        <v>8</v>
      </c>
      <c r="M60" s="913">
        <f>'matrik MISI 1'!R67</f>
        <v>8</v>
      </c>
      <c r="N60" s="913">
        <f>'matrik MISI 1'!S67</f>
        <v>9</v>
      </c>
      <c r="O60" s="913">
        <f>'matrik MISI 1'!T67</f>
        <v>9</v>
      </c>
      <c r="P60" s="913">
        <f>'matrik MISI 1'!U67</f>
        <v>10</v>
      </c>
      <c r="Q60" s="913">
        <f>'matrik MISI 1'!V67</f>
        <v>10</v>
      </c>
      <c r="R60" s="913">
        <f>'matrik MISI 1'!W67</f>
        <v>10</v>
      </c>
    </row>
    <row r="61" spans="2:18" ht="47.25">
      <c r="B61" s="914"/>
      <c r="C61" s="70"/>
      <c r="D61" s="70"/>
      <c r="E61" s="70"/>
      <c r="F61" s="70"/>
      <c r="G61" s="70"/>
      <c r="H61" s="70"/>
      <c r="I61" s="2" t="str">
        <f>'matrik MISI 1'!N68</f>
        <v>Besaran percepatan penganekaragaman konsumsi pangan</v>
      </c>
      <c r="J61" s="913" t="str">
        <f>'matrik MISI 1'!O68</f>
        <v>lokasi</v>
      </c>
      <c r="K61" s="913" t="str">
        <f>'matrik MISI 1'!P68</f>
        <v>-</v>
      </c>
      <c r="L61" s="913">
        <f>'matrik MISI 1'!Q68</f>
        <v>2</v>
      </c>
      <c r="M61" s="913">
        <f>'matrik MISI 1'!R68</f>
        <v>3</v>
      </c>
      <c r="N61" s="913">
        <f>'matrik MISI 1'!S68</f>
        <v>4</v>
      </c>
      <c r="O61" s="913">
        <f>'matrik MISI 1'!T68</f>
        <v>4</v>
      </c>
      <c r="P61" s="913">
        <f>'matrik MISI 1'!U68</f>
        <v>5</v>
      </c>
      <c r="Q61" s="913">
        <f>'matrik MISI 1'!V68</f>
        <v>5</v>
      </c>
      <c r="R61" s="913">
        <f>'matrik MISI 1'!W68</f>
        <v>5</v>
      </c>
    </row>
    <row r="62" spans="2:18" ht="47.25">
      <c r="B62" s="914"/>
      <c r="C62" s="70"/>
      <c r="D62" s="70"/>
      <c r="E62" s="917"/>
      <c r="F62" s="917"/>
      <c r="G62" s="917"/>
      <c r="H62" s="917"/>
      <c r="I62" s="2" t="str">
        <f>'matrik MISI 1'!N69</f>
        <v>Persentase Ketersediaan Informasi Pasokan,  Harga, dan Akses Pangan</v>
      </c>
      <c r="J62" s="913" t="str">
        <f>'matrik MISI 1'!O69</f>
        <v>%</v>
      </c>
      <c r="K62" s="913">
        <f>'matrik MISI 1'!P69</f>
        <v>66.67</v>
      </c>
      <c r="L62" s="913">
        <f>'matrik MISI 1'!Q69</f>
        <v>66.67</v>
      </c>
      <c r="M62" s="913">
        <f>'matrik MISI 1'!R69</f>
        <v>70</v>
      </c>
      <c r="N62" s="913">
        <f>'matrik MISI 1'!S69</f>
        <v>90</v>
      </c>
      <c r="O62" s="913">
        <f>'matrik MISI 1'!T69</f>
        <v>95</v>
      </c>
      <c r="P62" s="913">
        <f>'matrik MISI 1'!U69</f>
        <v>100</v>
      </c>
      <c r="Q62" s="913">
        <f>'matrik MISI 1'!V69</f>
        <v>100</v>
      </c>
      <c r="R62" s="913">
        <f>'matrik MISI 1'!W69</f>
        <v>100</v>
      </c>
    </row>
    <row r="63" spans="2:18" ht="63">
      <c r="B63" s="914"/>
      <c r="C63" s="70"/>
      <c r="D63" s="70"/>
      <c r="E63" s="916">
        <f>'matrik MISI 1'!C77</f>
        <v>8</v>
      </c>
      <c r="F63" s="916" t="str">
        <f>'matrik MISI 1'!D77</f>
        <v>Meningkatkan Pengembangan Agroindustri Berbasis Sumber Daya Lokal</v>
      </c>
      <c r="G63" s="2">
        <f>'matrik MISI 1'!E77</f>
        <v>14</v>
      </c>
      <c r="H63" s="2" t="str">
        <f>'matrik MISI 1'!F77</f>
        <v>Meningkatnya Agroindustri yang Berbasis pada Komoditas Unggulan Daerah</v>
      </c>
      <c r="I63" s="2" t="str">
        <f>'matrik MISI 1'!N78</f>
        <v>Cakupan Meningkatnya prosentase Agroindustri yang Berbasis pada Komoditas Unggulan Daerah</v>
      </c>
      <c r="J63" s="913" t="str">
        <f>'matrik MISI 1'!O78</f>
        <v>%</v>
      </c>
      <c r="K63" s="913">
        <f>'matrik MISI 1'!P78</f>
        <v>54.837478531900011</v>
      </c>
      <c r="L63" s="913">
        <f>'matrik MISI 1'!Q78</f>
        <v>54.837478531900011</v>
      </c>
      <c r="M63" s="913">
        <f>'matrik MISI 1'!R78</f>
        <v>54.87341772151899</v>
      </c>
      <c r="N63" s="913">
        <f>'matrik MISI 1'!S78</f>
        <v>55.242902208201897</v>
      </c>
      <c r="O63" s="913">
        <f>'matrik MISI 1'!T78</f>
        <v>55.283018867924525</v>
      </c>
      <c r="P63" s="913">
        <f>'matrik MISI 1'!U78</f>
        <v>55.510971786833849</v>
      </c>
      <c r="Q63" s="913">
        <f>'matrik MISI 1'!V78</f>
        <v>55.600000000000009</v>
      </c>
      <c r="R63" s="913">
        <f>'matrik MISI 1'!W78</f>
        <v>55.600000000000009</v>
      </c>
    </row>
    <row r="64" spans="2:18" ht="47.25">
      <c r="B64" s="914"/>
      <c r="C64" s="70"/>
      <c r="D64" s="70"/>
      <c r="E64" s="917"/>
      <c r="F64" s="917"/>
      <c r="G64" s="2">
        <f>'matrik MISI 1'!E79</f>
        <v>15</v>
      </c>
      <c r="H64" s="2" t="str">
        <f>'matrik MISI 1'!F79</f>
        <v>Meningkatnya Struktur Industri Berbahan Baku Lokal yang Tangguh</v>
      </c>
      <c r="I64" s="2" t="str">
        <f>'matrik MISI 1'!N80</f>
        <v>Persentase Meningkatnya Struktur Industri Berbahan Baku Lokal yang Tangguh</v>
      </c>
      <c r="J64" s="913" t="str">
        <f>'matrik MISI 1'!O80</f>
        <v>%</v>
      </c>
      <c r="K64" s="913">
        <f>'matrik MISI 1'!P80</f>
        <v>99.484765600152656</v>
      </c>
      <c r="L64" s="913">
        <f>'matrik MISI 1'!Q80</f>
        <v>99.548374785318998</v>
      </c>
      <c r="M64" s="913">
        <f>'matrik MISI 1'!R80</f>
        <v>99.620253164556956</v>
      </c>
      <c r="N64" s="913">
        <f>'matrik MISI 1'!S80</f>
        <v>99.684542586750794</v>
      </c>
      <c r="O64" s="913">
        <f>'matrik MISI 1'!T80</f>
        <v>99.685534591194966</v>
      </c>
      <c r="P64" s="913">
        <f>'matrik MISI 1'!U80</f>
        <v>99.717868338557992</v>
      </c>
      <c r="Q64" s="913">
        <f>'matrik MISI 1'!V80</f>
        <v>99.75</v>
      </c>
      <c r="R64" s="913">
        <f>'matrik MISI 1'!W80</f>
        <v>99.75</v>
      </c>
    </row>
    <row r="65" spans="2:18" ht="47.25">
      <c r="B65" s="914"/>
      <c r="C65" s="70"/>
      <c r="D65" s="70"/>
      <c r="E65" s="916">
        <f>'matrik MISI 1'!C81</f>
        <v>9</v>
      </c>
      <c r="F65" s="916" t="str">
        <f>'matrik MISI 1'!D81</f>
        <v>Meningkatkan Pengembangan Agribisnis Berbasis Komoditas Unggulan Daerah</v>
      </c>
      <c r="G65" s="916">
        <f>'matrik MISI 1'!E81</f>
        <v>16</v>
      </c>
      <c r="H65" s="916" t="str">
        <f>'matrik MISI 1'!F81</f>
        <v>Meningkatnya Pengelolaan Sarana dan Prasarana Perdagangan</v>
      </c>
      <c r="I65" s="2" t="str">
        <f>'matrik MISI 1'!N82</f>
        <v>Besaran meningkatnya  Sarana dan Prasarana Perdagangan</v>
      </c>
      <c r="J65" s="913" t="str">
        <f>'matrik MISI 1'!O82</f>
        <v>unit</v>
      </c>
      <c r="K65" s="913">
        <f>'matrik MISI 1'!P82</f>
        <v>2</v>
      </c>
      <c r="L65" s="913">
        <f>'matrik MISI 1'!Q82</f>
        <v>2</v>
      </c>
      <c r="M65" s="913">
        <f>'matrik MISI 1'!R82</f>
        <v>1</v>
      </c>
      <c r="N65" s="913">
        <f>'matrik MISI 1'!S82</f>
        <v>1</v>
      </c>
      <c r="O65" s="913">
        <f>'matrik MISI 1'!T82</f>
        <v>1</v>
      </c>
      <c r="P65" s="913">
        <f>'matrik MISI 1'!U82</f>
        <v>1</v>
      </c>
      <c r="Q65" s="913">
        <f>'matrik MISI 1'!V82</f>
        <v>1</v>
      </c>
      <c r="R65" s="913">
        <f>'matrik MISI 1'!W82</f>
        <v>5</v>
      </c>
    </row>
    <row r="66" spans="2:18" ht="31.5">
      <c r="B66" s="914"/>
      <c r="C66" s="70"/>
      <c r="D66" s="70"/>
      <c r="E66" s="70"/>
      <c r="F66" s="70"/>
      <c r="G66" s="70"/>
      <c r="H66" s="70"/>
      <c r="I66" s="2" t="str">
        <f>'matrik MISI 1'!N83</f>
        <v>Cakupan pengelolaan sarana dan prasarana pasar</v>
      </c>
      <c r="J66" s="913" t="str">
        <f>'matrik MISI 1'!O83</f>
        <v>%</v>
      </c>
      <c r="K66" s="913">
        <f>'matrik MISI 1'!P83</f>
        <v>100</v>
      </c>
      <c r="L66" s="913">
        <f>'matrik MISI 1'!Q83</f>
        <v>100</v>
      </c>
      <c r="M66" s="913">
        <f>'matrik MISI 1'!R83</f>
        <v>100</v>
      </c>
      <c r="N66" s="913">
        <f>'matrik MISI 1'!S83</f>
        <v>100</v>
      </c>
      <c r="O66" s="913">
        <f>'matrik MISI 1'!T83</f>
        <v>100</v>
      </c>
      <c r="P66" s="913">
        <f>'matrik MISI 1'!U83</f>
        <v>100</v>
      </c>
      <c r="Q66" s="913">
        <f>'matrik MISI 1'!V83</f>
        <v>100</v>
      </c>
      <c r="R66" s="913">
        <f>'matrik MISI 1'!W83</f>
        <v>100</v>
      </c>
    </row>
    <row r="67" spans="2:18" ht="31.5">
      <c r="B67" s="914"/>
      <c r="C67" s="70"/>
      <c r="D67" s="70"/>
      <c r="E67" s="70"/>
      <c r="F67" s="70"/>
      <c r="G67" s="916">
        <f>'matrik MISI 1'!E84</f>
        <v>17</v>
      </c>
      <c r="H67" s="916" t="str">
        <f>'matrik MISI 1'!F84</f>
        <v>Meningkatnya Daya Saing Produk</v>
      </c>
      <c r="I67" s="2" t="str">
        <f>'matrik MISI 1'!N85</f>
        <v>Cakupan  Nilai Ekspor produk daerah</v>
      </c>
      <c r="J67" s="913" t="str">
        <f>'matrik MISI 1'!O85</f>
        <v>($)</v>
      </c>
      <c r="K67" s="913">
        <f>'matrik MISI 1'!P85</f>
        <v>108406133.59999999</v>
      </c>
      <c r="L67" s="913">
        <f>'matrik MISI 1'!Q85</f>
        <v>150927864.90000001</v>
      </c>
      <c r="M67" s="913">
        <f>'matrik MISI 1'!R85</f>
        <v>155000000</v>
      </c>
      <c r="N67" s="913">
        <f>'matrik MISI 1'!S85</f>
        <v>160000000</v>
      </c>
      <c r="O67" s="913">
        <f>'matrik MISI 1'!T85</f>
        <v>165000000</v>
      </c>
      <c r="P67" s="913">
        <f>'matrik MISI 1'!U85</f>
        <v>170000000</v>
      </c>
      <c r="Q67" s="913">
        <f>'matrik MISI 1'!V85</f>
        <v>175000000</v>
      </c>
      <c r="R67" s="913">
        <f>'matrik MISI 1'!W85</f>
        <v>175000000</v>
      </c>
    </row>
    <row r="68" spans="2:18" ht="31.5">
      <c r="B68" s="914"/>
      <c r="C68" s="70"/>
      <c r="D68" s="70"/>
      <c r="E68" s="70"/>
      <c r="F68" s="70"/>
      <c r="G68" s="70"/>
      <c r="H68" s="70"/>
      <c r="I68" s="2" t="str">
        <f>'matrik MISI 1'!N86</f>
        <v>Cakupan promosi produk unggulan daerah</v>
      </c>
      <c r="J68" s="913" t="str">
        <f>'matrik MISI 1'!O86</f>
        <v>kali</v>
      </c>
      <c r="K68" s="913">
        <f>'matrik MISI 1'!P86</f>
        <v>5</v>
      </c>
      <c r="L68" s="913">
        <f>'matrik MISI 1'!Q86</f>
        <v>3</v>
      </c>
      <c r="M68" s="913">
        <f>'matrik MISI 1'!R86</f>
        <v>3</v>
      </c>
      <c r="N68" s="913">
        <f>'matrik MISI 1'!S86</f>
        <v>3</v>
      </c>
      <c r="O68" s="913">
        <f>'matrik MISI 1'!T86</f>
        <v>3</v>
      </c>
      <c r="P68" s="913">
        <f>'matrik MISI 1'!U86</f>
        <v>3</v>
      </c>
      <c r="Q68" s="913">
        <f>'matrik MISI 1'!V86</f>
        <v>3</v>
      </c>
      <c r="R68" s="913">
        <f>'matrik MISI 1'!W86</f>
        <v>3</v>
      </c>
    </row>
    <row r="69" spans="2:18" ht="31.5">
      <c r="B69" s="914"/>
      <c r="C69" s="70"/>
      <c r="D69" s="70"/>
      <c r="E69" s="70"/>
      <c r="F69" s="70"/>
      <c r="G69" s="917"/>
      <c r="H69" s="917"/>
      <c r="I69" s="2" t="str">
        <f>'matrik MISI 1'!N87</f>
        <v>Cakupan Bina Kelompok Pedagang/ Usaha Informal</v>
      </c>
      <c r="J69" s="913" t="str">
        <f>'matrik MISI 1'!O87</f>
        <v>org</v>
      </c>
      <c r="K69" s="913">
        <f>'matrik MISI 1'!P87</f>
        <v>120</v>
      </c>
      <c r="L69" s="913">
        <f>'matrik MISI 1'!Q87</f>
        <v>120</v>
      </c>
      <c r="M69" s="913">
        <f>'matrik MISI 1'!R87</f>
        <v>120</v>
      </c>
      <c r="N69" s="913">
        <f>'matrik MISI 1'!S87</f>
        <v>240</v>
      </c>
      <c r="O69" s="913">
        <f>'matrik MISI 1'!T87</f>
        <v>360</v>
      </c>
      <c r="P69" s="913">
        <f>'matrik MISI 1'!U87</f>
        <v>480</v>
      </c>
      <c r="Q69" s="913">
        <f>'matrik MISI 1'!V87</f>
        <v>600</v>
      </c>
      <c r="R69" s="913">
        <f>'matrik MISI 1'!W87</f>
        <v>600</v>
      </c>
    </row>
    <row r="70" spans="2:18" ht="63">
      <c r="B70" s="914"/>
      <c r="C70" s="70"/>
      <c r="D70" s="70"/>
      <c r="E70" s="70"/>
      <c r="F70" s="70"/>
      <c r="G70" s="916">
        <f>'matrik MISI 1'!E88</f>
        <v>18</v>
      </c>
      <c r="H70" s="916" t="str">
        <f>'matrik MISI 1'!F88</f>
        <v>Meningkatnya Ketersediaan dan Jaminan Keamanan Produk yang Beredar (Perlindungan Konsumen)</v>
      </c>
      <c r="I70" s="2" t="str">
        <f>'matrik MISI 1'!N89</f>
        <v>Cakupan Meningkatnya Ketersediaan informasi harga bahan pokok dan bahan lainnya</v>
      </c>
      <c r="J70" s="913" t="str">
        <f>'matrik MISI 1'!O89</f>
        <v>laporan</v>
      </c>
      <c r="K70" s="913">
        <f>'matrik MISI 1'!P89</f>
        <v>96</v>
      </c>
      <c r="L70" s="913">
        <f>'matrik MISI 1'!Q89</f>
        <v>96</v>
      </c>
      <c r="M70" s="913">
        <f>'matrik MISI 1'!R89</f>
        <v>96</v>
      </c>
      <c r="N70" s="913">
        <f>'matrik MISI 1'!S89</f>
        <v>96</v>
      </c>
      <c r="O70" s="913">
        <f>'matrik MISI 1'!T89</f>
        <v>96</v>
      </c>
      <c r="P70" s="913">
        <f>'matrik MISI 1'!U89</f>
        <v>96</v>
      </c>
      <c r="Q70" s="913">
        <f>'matrik MISI 1'!V89</f>
        <v>96</v>
      </c>
      <c r="R70" s="913">
        <f>'matrik MISI 1'!W89</f>
        <v>96</v>
      </c>
    </row>
    <row r="71" spans="2:18" ht="31.5">
      <c r="B71" s="914"/>
      <c r="C71" s="70"/>
      <c r="D71" s="70"/>
      <c r="E71" s="70"/>
      <c r="F71" s="70"/>
      <c r="G71" s="70"/>
      <c r="H71" s="70"/>
      <c r="I71" s="2" t="str">
        <f>'matrik MISI 1'!N90</f>
        <v>Cakupan Meningkatnya Jaminan Keamanan Produk yang Beredar</v>
      </c>
      <c r="J71" s="913" t="str">
        <f>'matrik MISI 1'!O90</f>
        <v>produk</v>
      </c>
      <c r="K71" s="913">
        <f>'matrik MISI 1'!P90</f>
        <v>14</v>
      </c>
      <c r="L71" s="913">
        <f>'matrik MISI 1'!Q90</f>
        <v>10</v>
      </c>
      <c r="M71" s="913">
        <f>'matrik MISI 1'!R90</f>
        <v>8</v>
      </c>
      <c r="N71" s="913">
        <f>'matrik MISI 1'!S90</f>
        <v>6</v>
      </c>
      <c r="O71" s="913">
        <f>'matrik MISI 1'!T90</f>
        <v>4</v>
      </c>
      <c r="P71" s="913">
        <f>'matrik MISI 1'!U90</f>
        <v>2</v>
      </c>
      <c r="Q71" s="913">
        <f>'matrik MISI 1'!V90</f>
        <v>2</v>
      </c>
      <c r="R71" s="913">
        <f>'matrik MISI 1'!W90</f>
        <v>2</v>
      </c>
    </row>
    <row r="72" spans="2:18" ht="63">
      <c r="B72" s="914"/>
      <c r="C72" s="70"/>
      <c r="D72" s="70"/>
      <c r="E72" s="70"/>
      <c r="F72" s="70"/>
      <c r="G72" s="70"/>
      <c r="H72" s="70"/>
      <c r="I72" s="2" t="str">
        <f>'matrik MISI 1'!N91</f>
        <v xml:space="preserve">Cakupan meningkatnya alat Ukur Takar Timbang dan Perlengkapannya yang ditera ulang </v>
      </c>
      <c r="J72" s="913" t="str">
        <f>'matrik MISI 1'!O91</f>
        <v>unit</v>
      </c>
      <c r="K72" s="913">
        <f>'matrik MISI 1'!P91</f>
        <v>16601</v>
      </c>
      <c r="L72" s="913">
        <f>'matrik MISI 1'!Q91</f>
        <v>16.77</v>
      </c>
      <c r="M72" s="913">
        <f>'matrik MISI 1'!R91</f>
        <v>18823</v>
      </c>
      <c r="N72" s="913">
        <f>'matrik MISI 1'!S91</f>
        <v>18879</v>
      </c>
      <c r="O72" s="913">
        <f>'matrik MISI 1'!T91</f>
        <v>18936</v>
      </c>
      <c r="P72" s="913">
        <f>'matrik MISI 1'!U91</f>
        <v>18993</v>
      </c>
      <c r="Q72" s="913">
        <f>'matrik MISI 1'!V91</f>
        <v>19050</v>
      </c>
      <c r="R72" s="913">
        <f>'matrik MISI 1'!W91</f>
        <v>19050</v>
      </c>
    </row>
    <row r="73" spans="2:18" ht="31.5">
      <c r="B73" s="914"/>
      <c r="C73" s="70"/>
      <c r="D73" s="70"/>
      <c r="E73" s="917"/>
      <c r="F73" s="917"/>
      <c r="G73" s="917"/>
      <c r="H73" s="917"/>
      <c r="I73" s="2" t="str">
        <f>'matrik MISI 1'!N92</f>
        <v>Persentase penyelesaian sengketa konsumen</v>
      </c>
      <c r="J73" s="913" t="str">
        <f>'matrik MISI 1'!O92</f>
        <v>%</v>
      </c>
      <c r="K73" s="913" t="str">
        <f>'matrik MISI 1'!P92</f>
        <v>-</v>
      </c>
      <c r="L73" s="913" t="str">
        <f>'matrik MISI 1'!Q92</f>
        <v>-</v>
      </c>
      <c r="M73" s="913">
        <f>'matrik MISI 1'!R92</f>
        <v>50</v>
      </c>
      <c r="N73" s="913">
        <f>'matrik MISI 1'!S92</f>
        <v>60</v>
      </c>
      <c r="O73" s="913">
        <f>'matrik MISI 1'!T92</f>
        <v>75</v>
      </c>
      <c r="P73" s="913">
        <f>'matrik MISI 1'!U92</f>
        <v>80</v>
      </c>
      <c r="Q73" s="913">
        <f>'matrik MISI 1'!V92</f>
        <v>85</v>
      </c>
      <c r="R73" s="913">
        <f>'matrik MISI 1'!W92</f>
        <v>85</v>
      </c>
    </row>
    <row r="74" spans="2:18" ht="63">
      <c r="B74" s="914"/>
      <c r="C74" s="70"/>
      <c r="D74" s="70"/>
      <c r="E74" s="916">
        <f>'matrik MISI 1'!C93</f>
        <v>10</v>
      </c>
      <c r="F74" s="916" t="str">
        <f>'matrik MISI 1'!D93</f>
        <v>Meningkatkan Peran Sektor Pendukung Pengembangan Agribisnis, Agroindustri, dan Agrowisata</v>
      </c>
      <c r="G74" s="916">
        <f>'matrik MISI 1'!E94</f>
        <v>20</v>
      </c>
      <c r="H74" s="916" t="str">
        <f>'matrik MISI 1'!F94</f>
        <v>Meningkatnya Peran Sektor Jasa, Kelembagaan Koperasi dan UMKM</v>
      </c>
      <c r="I74" s="2" t="str">
        <f>'matrik MISI 1'!N95</f>
        <v>prosentase jumlah koperasi aktif</v>
      </c>
      <c r="J74" s="913" t="str">
        <f>'matrik MISI 1'!O95</f>
        <v>%</v>
      </c>
      <c r="K74" s="913">
        <f>'matrik MISI 1'!P95</f>
        <v>79.132231404958674</v>
      </c>
      <c r="L74" s="913">
        <f>'matrik MISI 1'!Q95</f>
        <v>83.471074380165291</v>
      </c>
      <c r="M74" s="913">
        <f>'matrik MISI 1'!R95</f>
        <v>86.570247933884289</v>
      </c>
      <c r="N74" s="913">
        <f>'matrik MISI 1'!S95</f>
        <v>87.603305785123965</v>
      </c>
      <c r="O74" s="913">
        <f>'matrik MISI 1'!T95</f>
        <v>88.63636363636364</v>
      </c>
      <c r="P74" s="913">
        <f>'matrik MISI 1'!U95</f>
        <v>89.669421487603302</v>
      </c>
      <c r="Q74" s="913">
        <f>'matrik MISI 1'!V95</f>
        <v>90.702479338842977</v>
      </c>
      <c r="R74" s="913">
        <f>'matrik MISI 1'!W95</f>
        <v>90.702479338842977</v>
      </c>
    </row>
    <row r="75" spans="2:18">
      <c r="B75" s="914"/>
      <c r="C75" s="70"/>
      <c r="D75" s="70"/>
      <c r="E75" s="70"/>
      <c r="F75" s="70"/>
      <c r="G75" s="70"/>
      <c r="H75" s="70"/>
      <c r="I75" s="2" t="str">
        <f>'matrik MISI 1'!N96</f>
        <v>Besaran jumlah anggota koperasi</v>
      </c>
      <c r="J75" s="913" t="str">
        <f>'matrik MISI 1'!O96</f>
        <v>org</v>
      </c>
      <c r="K75" s="913">
        <f>'matrik MISI 1'!P96</f>
        <v>149906</v>
      </c>
      <c r="L75" s="913">
        <f>'matrik MISI 1'!Q96</f>
        <v>154700</v>
      </c>
      <c r="M75" s="913">
        <f>'matrik MISI 1'!R96</f>
        <v>159670</v>
      </c>
      <c r="N75" s="913">
        <f>'matrik MISI 1'!S96</f>
        <v>165500</v>
      </c>
      <c r="O75" s="913">
        <f>'matrik MISI 1'!T96</f>
        <v>170800</v>
      </c>
      <c r="P75" s="913">
        <f>'matrik MISI 1'!U96</f>
        <v>174500</v>
      </c>
      <c r="Q75" s="913">
        <f>'matrik MISI 1'!V96</f>
        <v>179500</v>
      </c>
      <c r="R75" s="913">
        <f>'matrik MISI 1'!W96</f>
        <v>179500</v>
      </c>
    </row>
    <row r="76" spans="2:18" ht="31.5">
      <c r="B76" s="914"/>
      <c r="C76" s="70"/>
      <c r="D76" s="70"/>
      <c r="E76" s="70"/>
      <c r="F76" s="70"/>
      <c r="G76" s="917"/>
      <c r="H76" s="917"/>
      <c r="I76" s="2" t="str">
        <f>'matrik MISI 1'!N97</f>
        <v>persentase jumlah pembinaan pengelolaan koperasi</v>
      </c>
      <c r="J76" s="913" t="str">
        <f>'matrik MISI 1'!O97</f>
        <v>%</v>
      </c>
      <c r="K76" s="913">
        <f>'matrik MISI 1'!P97</f>
        <v>36.776859504132233</v>
      </c>
      <c r="L76" s="913">
        <f>'matrik MISI 1'!Q97</f>
        <v>38.223140495867767</v>
      </c>
      <c r="M76" s="913">
        <f>'matrik MISI 1'!R97</f>
        <v>40.289256198347104</v>
      </c>
      <c r="N76" s="913">
        <f>'matrik MISI 1'!S97</f>
        <v>43.388429752066116</v>
      </c>
      <c r="O76" s="913">
        <f>'matrik MISI 1'!T97</f>
        <v>46.487603305785122</v>
      </c>
      <c r="P76" s="913">
        <f>'matrik MISI 1'!U97</f>
        <v>48.553719008264466</v>
      </c>
      <c r="Q76" s="913">
        <f>'matrik MISI 1'!V97</f>
        <v>53.719008264462808</v>
      </c>
      <c r="R76" s="913">
        <f>'matrik MISI 1'!W97</f>
        <v>53.719008264462808</v>
      </c>
    </row>
    <row r="77" spans="2:18" ht="47.25">
      <c r="B77" s="914"/>
      <c r="C77" s="70"/>
      <c r="D77" s="70"/>
      <c r="E77" s="70"/>
      <c r="F77" s="70"/>
      <c r="G77" s="916">
        <f>'matrik MISI 1'!E98</f>
        <v>21</v>
      </c>
      <c r="H77" s="916" t="str">
        <f>'matrik MISI 1'!F98</f>
        <v>Menguatnya Kapasitas dan Kapabilitas Pelaku UMKM</v>
      </c>
      <c r="I77" s="2" t="str">
        <f>'matrik MISI 1'!N99</f>
        <v>Cakupan meningkatnya tertatanya LKM sesuai dengan ketentuan perundang-undangan</v>
      </c>
      <c r="J77" s="913" t="str">
        <f>'matrik MISI 1'!O99</f>
        <v>%</v>
      </c>
      <c r="K77" s="913" t="str">
        <f>'matrik MISI 1'!P99</f>
        <v xml:space="preserve"> - </v>
      </c>
      <c r="L77" s="913" t="str">
        <f>'matrik MISI 1'!Q99</f>
        <v xml:space="preserve"> - </v>
      </c>
      <c r="M77" s="913" t="str">
        <f>'matrik MISI 1'!R99</f>
        <v xml:space="preserve"> - </v>
      </c>
      <c r="N77" s="913">
        <f>'matrik MISI 1'!S99</f>
        <v>25</v>
      </c>
      <c r="O77" s="913">
        <f>'matrik MISI 1'!T99</f>
        <v>50</v>
      </c>
      <c r="P77" s="913" t="str">
        <f>'matrik MISI 1'!U99</f>
        <v xml:space="preserve"> - </v>
      </c>
      <c r="Q77" s="913" t="str">
        <f>'matrik MISI 1'!V99</f>
        <v xml:space="preserve"> - </v>
      </c>
      <c r="R77" s="913">
        <f>'matrik MISI 1'!W99</f>
        <v>50</v>
      </c>
    </row>
    <row r="78" spans="2:18">
      <c r="B78" s="914"/>
      <c r="C78" s="70"/>
      <c r="D78" s="70"/>
      <c r="E78" s="70"/>
      <c r="F78" s="70"/>
      <c r="G78" s="70"/>
      <c r="H78" s="70"/>
      <c r="I78" s="2" t="str">
        <f>'matrik MISI 1'!N100</f>
        <v>Besaran jumlah  UKM yang dibina</v>
      </c>
      <c r="J78" s="913" t="str">
        <f>'matrik MISI 1'!O100</f>
        <v>Kelompok</v>
      </c>
      <c r="K78" s="913">
        <f>'matrik MISI 1'!P100</f>
        <v>0</v>
      </c>
      <c r="L78" s="913">
        <f>'matrik MISI 1'!Q100</f>
        <v>63</v>
      </c>
      <c r="M78" s="913">
        <f>'matrik MISI 1'!R100</f>
        <v>132</v>
      </c>
      <c r="N78" s="913">
        <f>'matrik MISI 1'!S100</f>
        <v>204</v>
      </c>
      <c r="O78" s="913">
        <f>'matrik MISI 1'!T100</f>
        <v>281</v>
      </c>
      <c r="P78" s="913">
        <f>'matrik MISI 1'!U100</f>
        <v>364</v>
      </c>
      <c r="Q78" s="913">
        <f>'matrik MISI 1'!V100</f>
        <v>451</v>
      </c>
      <c r="R78" s="913">
        <f>'matrik MISI 1'!W100</f>
        <v>451</v>
      </c>
    </row>
    <row r="79" spans="2:18" ht="31.5">
      <c r="B79" s="914"/>
      <c r="C79" s="70"/>
      <c r="D79" s="70"/>
      <c r="E79" s="917"/>
      <c r="F79" s="917"/>
      <c r="G79" s="917"/>
      <c r="H79" s="917"/>
      <c r="I79" s="2" t="str">
        <f>'matrik MISI 1'!N101</f>
        <v>Besaran jumlah akses permodalan bagi UKM</v>
      </c>
      <c r="J79" s="913" t="str">
        <f>'matrik MISI 1'!O101</f>
        <v>Kelompok</v>
      </c>
      <c r="K79" s="913">
        <f>'matrik MISI 1'!P101</f>
        <v>0</v>
      </c>
      <c r="L79" s="913">
        <f>'matrik MISI 1'!Q101</f>
        <v>132</v>
      </c>
      <c r="M79" s="913">
        <f>'matrik MISI 1'!R101</f>
        <v>152</v>
      </c>
      <c r="N79" s="913">
        <f>'matrik MISI 1'!S101</f>
        <v>172</v>
      </c>
      <c r="O79" s="913">
        <f>'matrik MISI 1'!T101</f>
        <v>192</v>
      </c>
      <c r="P79" s="913">
        <f>'matrik MISI 1'!U101</f>
        <v>212</v>
      </c>
      <c r="Q79" s="913">
        <f>'matrik MISI 1'!V101</f>
        <v>232</v>
      </c>
      <c r="R79" s="913">
        <f>'matrik MISI 1'!W101</f>
        <v>232</v>
      </c>
    </row>
    <row r="80" spans="2:18" ht="31.5">
      <c r="B80" s="914"/>
      <c r="C80" s="70"/>
      <c r="D80" s="70"/>
      <c r="E80" s="916">
        <f>'matrik MISI 1'!C102</f>
        <v>11</v>
      </c>
      <c r="F80" s="916" t="str">
        <f>'matrik MISI 1'!D102</f>
        <v>Meningkatkan Rehabilitasi Lahan dan Konservasi Tanah</v>
      </c>
      <c r="G80" s="2">
        <f>'matrik MISI 1'!E102</f>
        <v>22</v>
      </c>
      <c r="H80" s="2" t="str">
        <f>'matrik MISI 1'!F102</f>
        <v>Meningkatnya Rehabilitasi Lahan dan Konservasi Tanah</v>
      </c>
      <c r="I80" s="2" t="str">
        <f>'matrik MISI 1'!N103</f>
        <v xml:space="preserve">Besaran Penanganan Lahan kritis </v>
      </c>
      <c r="J80" s="913" t="str">
        <f>'matrik MISI 1'!O103</f>
        <v>Ha</v>
      </c>
      <c r="K80" s="913">
        <f>'matrik MISI 1'!P103</f>
        <v>18619</v>
      </c>
      <c r="L80" s="913">
        <f>'matrik MISI 1'!Q103</f>
        <v>26581</v>
      </c>
      <c r="M80" s="913">
        <f>'matrik MISI 1'!R103</f>
        <v>23581</v>
      </c>
      <c r="N80" s="913">
        <f>'matrik MISI 1'!S103</f>
        <v>20581</v>
      </c>
      <c r="O80" s="913">
        <f>'matrik MISI 1'!T103</f>
        <v>17581</v>
      </c>
      <c r="P80" s="913">
        <f>'matrik MISI 1'!U103</f>
        <v>14581</v>
      </c>
      <c r="Q80" s="913">
        <f>'matrik MISI 1'!V103</f>
        <v>11581</v>
      </c>
      <c r="R80" s="913">
        <f>'matrik MISI 1'!W103</f>
        <v>11581</v>
      </c>
    </row>
    <row r="81" spans="2:18" ht="63">
      <c r="B81" s="914"/>
      <c r="C81" s="70"/>
      <c r="D81" s="70"/>
      <c r="E81" s="70"/>
      <c r="F81" s="70"/>
      <c r="G81" s="916">
        <f>'matrik MISI 1'!E104</f>
        <v>23</v>
      </c>
      <c r="H81" s="916" t="str">
        <f>'matrik MISI 1'!F104</f>
        <v>Meningkatnya Peran Serta Masyarakat Dalam Rehabilitasi Lahan Kritis dan Konservasi Lahan</v>
      </c>
      <c r="I81" s="2" t="str">
        <f>'matrik MISI 1'!N105</f>
        <v>Persentase Peningkatan Kesadaran Masyarakat dalam Pelestarian Lingkungan Hidup</v>
      </c>
      <c r="J81" s="913" t="str">
        <f>'matrik MISI 1'!O105</f>
        <v>%</v>
      </c>
      <c r="K81" s="913">
        <f>'matrik MISI 1'!P105</f>
        <v>0</v>
      </c>
      <c r="L81" s="913">
        <f>'matrik MISI 1'!Q105</f>
        <v>0</v>
      </c>
      <c r="M81" s="913">
        <f>'matrik MISI 1'!R105</f>
        <v>25</v>
      </c>
      <c r="N81" s="913">
        <f>'matrik MISI 1'!S105</f>
        <v>50</v>
      </c>
      <c r="O81" s="913">
        <f>'matrik MISI 1'!T105</f>
        <v>75</v>
      </c>
      <c r="P81" s="913">
        <f>'matrik MISI 1'!U105</f>
        <v>100</v>
      </c>
      <c r="Q81" s="913">
        <f>'matrik MISI 1'!V105</f>
        <v>100</v>
      </c>
      <c r="R81" s="913">
        <f>'matrik MISI 1'!W105</f>
        <v>100</v>
      </c>
    </row>
    <row r="82" spans="2:18" ht="31.5">
      <c r="B82" s="914"/>
      <c r="C82" s="70"/>
      <c r="D82" s="70"/>
      <c r="E82" s="70"/>
      <c r="F82" s="70"/>
      <c r="G82" s="70"/>
      <c r="H82" s="70"/>
      <c r="I82" s="2" t="str">
        <f>'matrik MISI 1'!N106</f>
        <v>Besaran Peningkatan Kemitraan dalam Pengelolaan Hasil Hutan</v>
      </c>
      <c r="J82" s="913" t="str">
        <f>'matrik MISI 1'!O106</f>
        <v>Kelompok</v>
      </c>
      <c r="K82" s="913">
        <f>'matrik MISI 1'!P106</f>
        <v>0</v>
      </c>
      <c r="L82" s="913">
        <f>'matrik MISI 1'!Q106</f>
        <v>2</v>
      </c>
      <c r="M82" s="913">
        <f>'matrik MISI 1'!R106</f>
        <v>4</v>
      </c>
      <c r="N82" s="913">
        <f>'matrik MISI 1'!S106</f>
        <v>6</v>
      </c>
      <c r="O82" s="913">
        <f>'matrik MISI 1'!T106</f>
        <v>8</v>
      </c>
      <c r="P82" s="913">
        <f>'matrik MISI 1'!U106</f>
        <v>10</v>
      </c>
      <c r="Q82" s="913">
        <f>'matrik MISI 1'!V106</f>
        <v>12</v>
      </c>
      <c r="R82" s="913">
        <f>'matrik MISI 1'!W106</f>
        <v>12</v>
      </c>
    </row>
    <row r="83" spans="2:18" ht="31.5">
      <c r="B83" s="914"/>
      <c r="C83" s="70"/>
      <c r="D83" s="70"/>
      <c r="E83" s="70"/>
      <c r="F83" s="70"/>
      <c r="G83" s="917"/>
      <c r="H83" s="917"/>
      <c r="I83" s="2" t="str">
        <f>'matrik MISI 1'!N107</f>
        <v>Besaran Meningkatnya konservasi hutan dan lahan</v>
      </c>
      <c r="J83" s="913" t="str">
        <f>'matrik MISI 1'!O107</f>
        <v>unit</v>
      </c>
      <c r="K83" s="913">
        <f>'matrik MISI 1'!P107</f>
        <v>80</v>
      </c>
      <c r="L83" s="913">
        <f>'matrik MISI 1'!Q107</f>
        <v>120</v>
      </c>
      <c r="M83" s="913">
        <f>'matrik MISI 1'!R107</f>
        <v>170</v>
      </c>
      <c r="N83" s="1090">
        <f>'matrik MISI 1'!S107</f>
        <v>220</v>
      </c>
      <c r="O83" s="1090">
        <f>'matrik MISI 1'!T107</f>
        <v>270</v>
      </c>
      <c r="P83" s="1090">
        <f>'matrik MISI 1'!U107</f>
        <v>320</v>
      </c>
      <c r="Q83" s="1090">
        <f>'matrik MISI 1'!V107</f>
        <v>370</v>
      </c>
      <c r="R83" s="1090">
        <f>'matrik MISI 1'!W107</f>
        <v>370</v>
      </c>
    </row>
    <row r="84" spans="2:18" ht="110.25">
      <c r="B84" s="919" t="s">
        <v>694</v>
      </c>
      <c r="C84" s="916">
        <v>2</v>
      </c>
      <c r="D84" s="916" t="str">
        <f>'visi misi'!A7</f>
        <v>Mewujudkan Peningkatan Kehidupan Masyarakat Perdesaan dan Perkotaan yang Agamis, Berbudaya, dan Sejahtera</v>
      </c>
      <c r="E84" s="916">
        <f>'matrik MISI 2'!C6</f>
        <v>1</v>
      </c>
      <c r="F84" s="916" t="str">
        <f>'matrik MISI 2'!D6</f>
        <v>Meningkatkan Penanganan Permasalahan Sosial Kemasyarakatan</v>
      </c>
      <c r="G84" s="916">
        <f>'matrik MISI 2'!E6</f>
        <v>1</v>
      </c>
      <c r="H84" s="916" t="str">
        <f>'matrik MISI 2'!F6</f>
        <v>Meningkatnya Penanganan Penyandang Masalah Kesejahteraan Sosial ( PMKS )</v>
      </c>
      <c r="I84" s="2" t="str">
        <f>'matrik MISI 2'!N7</f>
        <v>Persentase PMKS yang Memperoleh Bantuan Sosial untuk Pemenuhan Kebutuhan Dasar</v>
      </c>
      <c r="J84" s="913" t="str">
        <f>'matrik MISI 2'!O7</f>
        <v>%</v>
      </c>
      <c r="K84" s="913">
        <f>'matrik MISI 2'!P7</f>
        <v>18</v>
      </c>
      <c r="L84" s="913">
        <f>'matrik MISI 2'!Q7</f>
        <v>18</v>
      </c>
      <c r="M84" s="913">
        <f>'matrik MISI 2'!R7</f>
        <v>18</v>
      </c>
      <c r="N84" s="913">
        <f>'matrik MISI 2'!S7</f>
        <v>18</v>
      </c>
      <c r="O84" s="913">
        <f>'matrik MISI 2'!T7</f>
        <v>18</v>
      </c>
      <c r="P84" s="913">
        <f>'matrik MISI 2'!U7</f>
        <v>18</v>
      </c>
      <c r="Q84" s="913">
        <f>'matrik MISI 2'!V7</f>
        <v>18</v>
      </c>
      <c r="R84" s="913">
        <f>'matrik MISI 2'!W7</f>
        <v>18</v>
      </c>
    </row>
    <row r="85" spans="2:18" ht="31.5">
      <c r="B85" s="914"/>
      <c r="C85" s="70"/>
      <c r="D85" s="70"/>
      <c r="E85" s="70"/>
      <c r="F85" s="70"/>
      <c r="G85" s="70"/>
      <c r="H85" s="70"/>
      <c r="I85" s="2" t="str">
        <f>'matrik MISI 2'!N8</f>
        <v>Persentase anak terlantar yang tertangani</v>
      </c>
      <c r="J85" s="913" t="str">
        <f>'matrik MISI 2'!O8</f>
        <v>%</v>
      </c>
      <c r="K85" s="913">
        <f>'matrik MISI 2'!P8</f>
        <v>0.76</v>
      </c>
      <c r="L85" s="913">
        <f>'matrik MISI 2'!Q8</f>
        <v>0.93</v>
      </c>
      <c r="M85" s="913">
        <f>'matrik MISI 2'!R8</f>
        <v>0.93</v>
      </c>
      <c r="N85" s="913">
        <f>'matrik MISI 2'!S8</f>
        <v>1.28</v>
      </c>
      <c r="O85" s="913">
        <f>'matrik MISI 2'!T8</f>
        <v>1.28</v>
      </c>
      <c r="P85" s="913">
        <f>'matrik MISI 2'!U8</f>
        <v>1.28</v>
      </c>
      <c r="Q85" s="913">
        <f>'matrik MISI 2'!V8</f>
        <v>1.28</v>
      </c>
      <c r="R85" s="913">
        <f>'matrik MISI 2'!W8</f>
        <v>1.28</v>
      </c>
    </row>
    <row r="86" spans="2:18" ht="31.5">
      <c r="B86" s="914"/>
      <c r="C86" s="70"/>
      <c r="D86" s="70"/>
      <c r="E86" s="70"/>
      <c r="F86" s="70"/>
      <c r="G86" s="70"/>
      <c r="H86" s="70"/>
      <c r="I86" s="2" t="str">
        <f>'matrik MISI 2'!N9</f>
        <v>Cakupan PMKS yang Memperoleh Rehabilitasi Sosial</v>
      </c>
      <c r="J86" s="913" t="str">
        <f>'matrik MISI 2'!O9</f>
        <v>%</v>
      </c>
      <c r="K86" s="913">
        <f>'matrik MISI 2'!P9</f>
        <v>2.7</v>
      </c>
      <c r="L86" s="913">
        <f>'matrik MISI 2'!Q9</f>
        <v>2.7</v>
      </c>
      <c r="M86" s="913">
        <f>'matrik MISI 2'!R9</f>
        <v>2.88</v>
      </c>
      <c r="N86" s="913">
        <f>'matrik MISI 2'!S9</f>
        <v>3.08</v>
      </c>
      <c r="O86" s="913">
        <f>'matrik MISI 2'!T9</f>
        <v>3.18</v>
      </c>
      <c r="P86" s="913">
        <f>'matrik MISI 2'!U9</f>
        <v>3.18</v>
      </c>
      <c r="Q86" s="913">
        <f>'matrik MISI 2'!V9</f>
        <v>3.18</v>
      </c>
      <c r="R86" s="913">
        <f>'matrik MISI 2'!W9</f>
        <v>3.18</v>
      </c>
    </row>
    <row r="87" spans="2:18" ht="63">
      <c r="B87" s="914"/>
      <c r="C87" s="70"/>
      <c r="D87" s="70"/>
      <c r="E87" s="70"/>
      <c r="F87" s="70"/>
      <c r="G87" s="70"/>
      <c r="H87" s="70"/>
      <c r="I87" s="2" t="str">
        <f>'matrik MISI 2'!N10</f>
        <v>Persentase Penyandang Cacat Fisik dan Mental Serta Lanjut Usia Tidak Potensial yang Telah Menerima Jaminan Sosial</v>
      </c>
      <c r="J87" s="913" t="str">
        <f>'matrik MISI 2'!O10</f>
        <v>%</v>
      </c>
      <c r="K87" s="913">
        <f>'matrik MISI 2'!P10</f>
        <v>0.94</v>
      </c>
      <c r="L87" s="913">
        <f>'matrik MISI 2'!Q10</f>
        <v>0.94</v>
      </c>
      <c r="M87" s="913">
        <f>'matrik MISI 2'!R10</f>
        <v>2.71</v>
      </c>
      <c r="N87" s="913">
        <f>'matrik MISI 2'!S10</f>
        <v>2.71</v>
      </c>
      <c r="O87" s="913">
        <f>'matrik MISI 2'!T10</f>
        <v>4.5999999999999996</v>
      </c>
      <c r="P87" s="913">
        <f>'matrik MISI 2'!U10</f>
        <v>4.78</v>
      </c>
      <c r="Q87" s="913">
        <f>'matrik MISI 2'!V10</f>
        <v>5.0599999999999996</v>
      </c>
      <c r="R87" s="913">
        <f>'matrik MISI 2'!W10</f>
        <v>5.0599999999999996</v>
      </c>
    </row>
    <row r="88" spans="2:18" ht="78.75">
      <c r="B88" s="914"/>
      <c r="C88" s="70"/>
      <c r="D88" s="70"/>
      <c r="E88" s="70"/>
      <c r="F88" s="70"/>
      <c r="G88" s="70"/>
      <c r="H88" s="70"/>
      <c r="I88" s="2" t="str">
        <f>'matrik MISI 2'!N12</f>
        <v>Cakupan PMKS yang Memperoleh Pemberdayaan Sosial melalui KUBE atau kelompok Sosial Ekonomi sejenis</v>
      </c>
      <c r="J88" s="913" t="str">
        <f>'matrik MISI 2'!O12</f>
        <v>%</v>
      </c>
      <c r="K88" s="913">
        <f>'matrik MISI 2'!P12</f>
        <v>0.33</v>
      </c>
      <c r="L88" s="913">
        <f>'matrik MISI 2'!Q12</f>
        <v>0.28999999999999998</v>
      </c>
      <c r="M88" s="913">
        <f>'matrik MISI 2'!R12</f>
        <v>0.34</v>
      </c>
      <c r="N88" s="913">
        <f>'matrik MISI 2'!S12</f>
        <v>1</v>
      </c>
      <c r="O88" s="913">
        <f>'matrik MISI 2'!T12</f>
        <v>1.5</v>
      </c>
      <c r="P88" s="913">
        <f>'matrik MISI 2'!U12</f>
        <v>2.25</v>
      </c>
      <c r="Q88" s="913">
        <f>'matrik MISI 2'!V12</f>
        <v>3</v>
      </c>
      <c r="R88" s="913">
        <f>'matrik MISI 2'!W12</f>
        <v>3</v>
      </c>
    </row>
    <row r="89" spans="2:18" ht="31.5">
      <c r="B89" s="914"/>
      <c r="C89" s="70"/>
      <c r="D89" s="70"/>
      <c r="E89" s="70"/>
      <c r="F89" s="70"/>
      <c r="G89" s="70"/>
      <c r="H89" s="70"/>
      <c r="I89" s="2" t="str">
        <f>'matrik MISI 2'!N13</f>
        <v>Cakupan PMKS yang Memperoleh Perlindungan Sosial</v>
      </c>
      <c r="J89" s="913" t="str">
        <f>'matrik MISI 2'!O13</f>
        <v>%</v>
      </c>
      <c r="K89" s="913">
        <f>'matrik MISI 2'!P13</f>
        <v>100</v>
      </c>
      <c r="L89" s="913">
        <f>'matrik MISI 2'!Q13</f>
        <v>100</v>
      </c>
      <c r="M89" s="913">
        <f>'matrik MISI 2'!R13</f>
        <v>100</v>
      </c>
      <c r="N89" s="913">
        <f>'matrik MISI 2'!S13</f>
        <v>100</v>
      </c>
      <c r="O89" s="913">
        <f>'matrik MISI 2'!T13</f>
        <v>100</v>
      </c>
      <c r="P89" s="913">
        <f>'matrik MISI 2'!U13</f>
        <v>100</v>
      </c>
      <c r="Q89" s="913">
        <f>'matrik MISI 2'!V13</f>
        <v>100</v>
      </c>
      <c r="R89" s="913">
        <f>'matrik MISI 2'!W13</f>
        <v>100</v>
      </c>
    </row>
    <row r="90" spans="2:18" ht="31.5">
      <c r="B90" s="914"/>
      <c r="C90" s="70"/>
      <c r="D90" s="70"/>
      <c r="E90" s="70"/>
      <c r="F90" s="70"/>
      <c r="G90" s="70"/>
      <c r="H90" s="70"/>
      <c r="I90" s="2" t="str">
        <f>'matrik MISI 2'!N14</f>
        <v xml:space="preserve">Cakupan Bantuan Rumah Tidak Layak Huni </v>
      </c>
      <c r="J90" s="913" t="str">
        <f>'matrik MISI 2'!O14</f>
        <v>%</v>
      </c>
      <c r="K90" s="913" t="str">
        <f>'matrik MISI 2'!P14</f>
        <v>4,32</v>
      </c>
      <c r="L90" s="913" t="str">
        <f>'matrik MISI 2'!Q14</f>
        <v>4,34</v>
      </c>
      <c r="M90" s="913" t="str">
        <f>'matrik MISI 2'!R14</f>
        <v>8,34</v>
      </c>
      <c r="N90" s="913" t="str">
        <f>'matrik MISI 2'!S14</f>
        <v>12,34</v>
      </c>
      <c r="O90" s="913" t="str">
        <f>'matrik MISI 2'!T14</f>
        <v>16,34</v>
      </c>
      <c r="P90" s="913" t="str">
        <f>'matrik MISI 2'!U14</f>
        <v>20,34</v>
      </c>
      <c r="Q90" s="913" t="str">
        <f>'matrik MISI 2'!V14</f>
        <v>24,34</v>
      </c>
      <c r="R90" s="913" t="str">
        <f>'matrik MISI 2'!W14</f>
        <v>24,34</v>
      </c>
    </row>
    <row r="91" spans="2:18">
      <c r="B91" s="914"/>
      <c r="C91" s="70"/>
      <c r="D91" s="70"/>
      <c r="E91" s="70"/>
      <c r="F91" s="70"/>
      <c r="G91" s="917"/>
      <c r="H91" s="917"/>
      <c r="I91" s="2">
        <f>'matrik MISI 2'!N15</f>
        <v>0</v>
      </c>
      <c r="J91" s="913">
        <f>'matrik MISI 2'!O15</f>
        <v>0</v>
      </c>
      <c r="K91" s="913">
        <f>'matrik MISI 2'!P15</f>
        <v>0</v>
      </c>
      <c r="L91" s="913">
        <f>'matrik MISI 2'!Q15</f>
        <v>0</v>
      </c>
      <c r="M91" s="913">
        <f>'matrik MISI 2'!R15</f>
        <v>0</v>
      </c>
      <c r="N91" s="913">
        <f>'matrik MISI 2'!S15</f>
        <v>0</v>
      </c>
      <c r="O91" s="913">
        <f>'matrik MISI 2'!T15</f>
        <v>0</v>
      </c>
      <c r="P91" s="913">
        <f>'matrik MISI 2'!U15</f>
        <v>0</v>
      </c>
      <c r="Q91" s="913">
        <f>'matrik MISI 2'!V15</f>
        <v>0</v>
      </c>
      <c r="R91" s="913">
        <f>'matrik MISI 2'!W15</f>
        <v>0</v>
      </c>
    </row>
    <row r="92" spans="2:18" ht="78.75">
      <c r="B92" s="914"/>
      <c r="C92" s="70"/>
      <c r="D92" s="70"/>
      <c r="E92" s="70"/>
      <c r="F92" s="70"/>
      <c r="G92" s="916">
        <f>'matrik MISI 2'!E15</f>
        <v>2</v>
      </c>
      <c r="H92" s="916" t="str">
        <f>'matrik MISI 2'!F15</f>
        <v>Meningkatkan Potensi Sumber Kesejahteraan Sosial</v>
      </c>
      <c r="I92" s="2" t="str">
        <f>'matrik MISI 2'!N16</f>
        <v>Cakupan Lembaga Kesejahteraan sosial/panti sosial yang menyediakan sarana dan prasarana pelayanan kesejahteraan sosial</v>
      </c>
      <c r="J92" s="913">
        <f>'matrik MISI 2'!O16</f>
        <v>0</v>
      </c>
      <c r="K92" s="913">
        <f>'matrik MISI 2'!P16</f>
        <v>100</v>
      </c>
      <c r="L92" s="913">
        <f>'matrik MISI 2'!Q16</f>
        <v>100</v>
      </c>
      <c r="M92" s="913">
        <f>'matrik MISI 2'!R16</f>
        <v>100</v>
      </c>
      <c r="N92" s="913">
        <f>'matrik MISI 2'!S16</f>
        <v>100</v>
      </c>
      <c r="O92" s="913">
        <f>'matrik MISI 2'!T16</f>
        <v>100</v>
      </c>
      <c r="P92" s="913">
        <f>'matrik MISI 2'!U16</f>
        <v>100</v>
      </c>
      <c r="Q92" s="913">
        <f>'matrik MISI 2'!V16</f>
        <v>100</v>
      </c>
      <c r="R92" s="913">
        <f>'matrik MISI 2'!W16</f>
        <v>100</v>
      </c>
    </row>
    <row r="93" spans="2:18" ht="47.25">
      <c r="B93" s="914"/>
      <c r="C93" s="70"/>
      <c r="D93" s="70"/>
      <c r="E93" s="70"/>
      <c r="F93" s="70"/>
      <c r="G93" s="70"/>
      <c r="H93" s="70"/>
      <c r="I93" s="2" t="str">
        <f>'matrik MISI 2'!N17</f>
        <v>Cakupan Dunia Usaha yang mengalokasikan CSR dalam Penanganan PMKS</v>
      </c>
      <c r="J93" s="913" t="str">
        <f>'matrik MISI 2'!O17</f>
        <v>%</v>
      </c>
      <c r="K93" s="913">
        <f>'matrik MISI 2'!P17</f>
        <v>100</v>
      </c>
      <c r="L93" s="913">
        <f>'matrik MISI 2'!Q17</f>
        <v>100</v>
      </c>
      <c r="M93" s="913">
        <f>'matrik MISI 2'!R17</f>
        <v>100</v>
      </c>
      <c r="N93" s="913">
        <f>'matrik MISI 2'!S17</f>
        <v>100</v>
      </c>
      <c r="O93" s="913">
        <f>'matrik MISI 2'!T17</f>
        <v>100</v>
      </c>
      <c r="P93" s="913">
        <f>'matrik MISI 2'!U17</f>
        <v>100</v>
      </c>
      <c r="Q93" s="913">
        <f>'matrik MISI 2'!V17</f>
        <v>100</v>
      </c>
      <c r="R93" s="913">
        <f>'matrik MISI 2'!W17</f>
        <v>100</v>
      </c>
    </row>
    <row r="94" spans="2:18" ht="47.25">
      <c r="B94" s="914"/>
      <c r="C94" s="70"/>
      <c r="D94" s="70"/>
      <c r="E94" s="70"/>
      <c r="F94" s="70"/>
      <c r="G94" s="70"/>
      <c r="H94" s="70"/>
      <c r="I94" s="2" t="str">
        <f>'matrik MISI 2'!N18</f>
        <v>Cakupan Karang Taruna, PSM, dan Organisasi Sosial lainnya dalam Penanganan PMKS</v>
      </c>
      <c r="J94" s="913" t="str">
        <f>'matrik MISI 2'!O18</f>
        <v>%</v>
      </c>
      <c r="K94" s="913">
        <f>'matrik MISI 2'!P18</f>
        <v>100</v>
      </c>
      <c r="L94" s="913">
        <f>'matrik MISI 2'!Q18</f>
        <v>100</v>
      </c>
      <c r="M94" s="913">
        <f>'matrik MISI 2'!R18</f>
        <v>100</v>
      </c>
      <c r="N94" s="913">
        <f>'matrik MISI 2'!S18</f>
        <v>100</v>
      </c>
      <c r="O94" s="913">
        <f>'matrik MISI 2'!T18</f>
        <v>100</v>
      </c>
      <c r="P94" s="913">
        <f>'matrik MISI 2'!U18</f>
        <v>100</v>
      </c>
      <c r="Q94" s="913">
        <f>'matrik MISI 2'!V18</f>
        <v>100</v>
      </c>
      <c r="R94" s="913">
        <f>'matrik MISI 2'!W18</f>
        <v>100</v>
      </c>
    </row>
    <row r="95" spans="2:18" ht="78.75">
      <c r="B95" s="914"/>
      <c r="C95" s="70"/>
      <c r="D95" s="70"/>
      <c r="E95" s="917"/>
      <c r="F95" s="917"/>
      <c r="G95" s="917"/>
      <c r="H95" s="917"/>
      <c r="I95" s="2" t="str">
        <f>'matrik MISI 2'!N19</f>
        <v>Cakupan Wahana Kesejahteraan Sosial Berbasis Masyarakat (WKSBM) yang Menyediakan Sarana dan Prasarana Pelayanan Kesejahteraan Sosial</v>
      </c>
      <c r="J95" s="913" t="str">
        <f>'matrik MISI 2'!O19</f>
        <v>%</v>
      </c>
      <c r="K95" s="913">
        <f>'matrik MISI 2'!P19</f>
        <v>0</v>
      </c>
      <c r="L95" s="913">
        <f>'matrik MISI 2'!Q19</f>
        <v>0</v>
      </c>
      <c r="M95" s="913">
        <f>'matrik MISI 2'!R19</f>
        <v>0</v>
      </c>
      <c r="N95" s="913">
        <f>'matrik MISI 2'!S19</f>
        <v>24.22</v>
      </c>
      <c r="O95" s="913">
        <f>'matrik MISI 2'!T19</f>
        <v>24.22</v>
      </c>
      <c r="P95" s="913">
        <f>'matrik MISI 2'!U19</f>
        <v>25.61</v>
      </c>
      <c r="Q95" s="913">
        <f>'matrik MISI 2'!V19</f>
        <v>25.95</v>
      </c>
      <c r="R95" s="913">
        <f>'matrik MISI 2'!W19</f>
        <v>25.95</v>
      </c>
    </row>
    <row r="96" spans="2:18" ht="31.5">
      <c r="B96" s="914"/>
      <c r="C96" s="70"/>
      <c r="D96" s="70"/>
      <c r="E96" s="2">
        <f>'matrik MISI 2'!C20</f>
        <v>2</v>
      </c>
      <c r="F96" s="2" t="str">
        <f>'matrik MISI 2'!D20</f>
        <v>Meningkatkan Kesejahteraan Rumah Tangga Sasaran</v>
      </c>
      <c r="G96" s="2">
        <f>'matrik MISI 2'!E20</f>
        <v>3</v>
      </c>
      <c r="H96" s="2" t="str">
        <f>'matrik MISI 2'!F20</f>
        <v>Meningkatnya Kesejahteraan Rumah Tangga Sasaran</v>
      </c>
      <c r="I96" s="2" t="str">
        <f>'matrik MISI 2'!N21</f>
        <v>Persentase Perlindungan Sosial  terhadap Rumah Tangga Sasaran</v>
      </c>
      <c r="J96" s="913" t="str">
        <f>'matrik MISI 2'!O21</f>
        <v>%</v>
      </c>
      <c r="K96" s="913">
        <f>'matrik MISI 2'!P21</f>
        <v>100</v>
      </c>
      <c r="L96" s="913">
        <f>'matrik MISI 2'!Q21</f>
        <v>100</v>
      </c>
      <c r="M96" s="913">
        <f>'matrik MISI 2'!R21</f>
        <v>100</v>
      </c>
      <c r="N96" s="913">
        <f>'matrik MISI 2'!S21</f>
        <v>100</v>
      </c>
      <c r="O96" s="913">
        <f>'matrik MISI 2'!T21</f>
        <v>100</v>
      </c>
      <c r="P96" s="913">
        <f>'matrik MISI 2'!U21</f>
        <v>100</v>
      </c>
      <c r="Q96" s="913">
        <f>'matrik MISI 2'!V21</f>
        <v>100</v>
      </c>
      <c r="R96" s="913">
        <f>'matrik MISI 2'!W21</f>
        <v>100</v>
      </c>
    </row>
    <row r="97" spans="2:18" ht="47.25">
      <c r="B97" s="914"/>
      <c r="C97" s="70"/>
      <c r="D97" s="70"/>
      <c r="E97" s="916">
        <f>'matrik MISI 2'!C23</f>
        <v>3</v>
      </c>
      <c r="F97" s="916" t="str">
        <f>'matrik MISI 2'!D23</f>
        <v>Meningkatkan Pencegahan,  Penanggulangan, dan Penanganan Bencana</v>
      </c>
      <c r="G97" s="916">
        <f>'matrik MISI 2'!E23</f>
        <v>4</v>
      </c>
      <c r="H97" s="916" t="str">
        <f>'matrik MISI 2'!F23</f>
        <v>Meningkatnya Pencegahan, Penanggulangan, dan Penanganan Bencana</v>
      </c>
      <c r="I97" s="2"/>
      <c r="J97" s="913"/>
      <c r="K97" s="913"/>
      <c r="L97" s="913"/>
      <c r="M97" s="913"/>
      <c r="N97" s="913"/>
      <c r="O97" s="913"/>
      <c r="P97" s="913"/>
      <c r="Q97" s="913"/>
      <c r="R97" s="913"/>
    </row>
    <row r="98" spans="2:18" ht="78.75">
      <c r="B98" s="914"/>
      <c r="C98" s="70"/>
      <c r="D98" s="70"/>
      <c r="E98" s="70"/>
      <c r="F98" s="70"/>
      <c r="G98" s="70"/>
      <c r="H98" s="70"/>
      <c r="I98" s="2" t="str">
        <f>'matrik MISI 2'!N25</f>
        <v>Persentase Tertanganinya Kerusakan Fisik Akibat Bencana Melalui Rehabilitasi dan Rekonstruksi Pasca Bencana dalam Waktu 1(satu) Tahun</v>
      </c>
      <c r="J98" s="913" t="str">
        <f>'matrik MISI 2'!O25</f>
        <v>%</v>
      </c>
      <c r="K98" s="913">
        <f>'matrik MISI 2'!P25</f>
        <v>100</v>
      </c>
      <c r="L98" s="913">
        <f>'matrik MISI 2'!Q25</f>
        <v>100</v>
      </c>
      <c r="M98" s="913">
        <f>'matrik MISI 2'!R25</f>
        <v>100</v>
      </c>
      <c r="N98" s="913">
        <f>'matrik MISI 2'!S25</f>
        <v>100</v>
      </c>
      <c r="O98" s="913">
        <f>'matrik MISI 2'!T25</f>
        <v>100</v>
      </c>
      <c r="P98" s="913">
        <f>'matrik MISI 2'!U25</f>
        <v>100</v>
      </c>
      <c r="Q98" s="913">
        <f>'matrik MISI 2'!V25</f>
        <v>100</v>
      </c>
      <c r="R98" s="913">
        <f>'matrik MISI 2'!W25</f>
        <v>100</v>
      </c>
    </row>
    <row r="99" spans="2:18" ht="78.75">
      <c r="B99" s="914"/>
      <c r="C99" s="70"/>
      <c r="D99" s="70"/>
      <c r="E99" s="70"/>
      <c r="F99" s="70"/>
      <c r="G99" s="70"/>
      <c r="H99" s="70"/>
      <c r="I99" s="2" t="str">
        <f>'matrik MISI 2'!N26</f>
        <v xml:space="preserve">Persentase Tertanganinya Kerusakan Fisik Akibat Bencana Melalui Rehabilitasi dan Rekonstruksi sementara tanggap darurat Pasca Bencana </v>
      </c>
      <c r="J99" s="913" t="str">
        <f>'matrik MISI 2'!O26</f>
        <v>%</v>
      </c>
      <c r="K99" s="913">
        <f>'matrik MISI 2'!P26</f>
        <v>100</v>
      </c>
      <c r="L99" s="913">
        <f>'matrik MISI 2'!Q26</f>
        <v>100</v>
      </c>
      <c r="M99" s="913">
        <f>'matrik MISI 2'!R26</f>
        <v>100</v>
      </c>
      <c r="N99" s="913">
        <f>'matrik MISI 2'!S26</f>
        <v>100</v>
      </c>
      <c r="O99" s="913">
        <f>'matrik MISI 2'!T26</f>
        <v>100</v>
      </c>
      <c r="P99" s="913">
        <f>'matrik MISI 2'!U26</f>
        <v>100</v>
      </c>
      <c r="Q99" s="913">
        <f>'matrik MISI 2'!V26</f>
        <v>100</v>
      </c>
      <c r="R99" s="913">
        <f>'matrik MISI 2'!W26</f>
        <v>100</v>
      </c>
    </row>
    <row r="100" spans="2:18" ht="63">
      <c r="B100" s="914"/>
      <c r="C100" s="70"/>
      <c r="D100" s="70"/>
      <c r="E100" s="70"/>
      <c r="F100" s="70"/>
      <c r="G100" s="70"/>
      <c r="H100" s="70"/>
      <c r="I100" s="2" t="str">
        <f>'matrik MISI 2'!N27</f>
        <v>Persentase Korban Bencana Skala Kabupaten yang Menerima Bantuan Sosial Selama Masa Tanggap Darurat</v>
      </c>
      <c r="J100" s="913" t="str">
        <f>'matrik MISI 2'!O27</f>
        <v>%</v>
      </c>
      <c r="K100" s="913">
        <f>'matrik MISI 2'!P27</f>
        <v>100</v>
      </c>
      <c r="L100" s="913">
        <f>'matrik MISI 2'!Q27</f>
        <v>100</v>
      </c>
      <c r="M100" s="913">
        <f>'matrik MISI 2'!R27</f>
        <v>100</v>
      </c>
      <c r="N100" s="913">
        <f>'matrik MISI 2'!S27</f>
        <v>100</v>
      </c>
      <c r="O100" s="913">
        <f>'matrik MISI 2'!T27</f>
        <v>100</v>
      </c>
      <c r="P100" s="913">
        <f>'matrik MISI 2'!U27</f>
        <v>100</v>
      </c>
      <c r="Q100" s="913">
        <f>'matrik MISI 2'!V27</f>
        <v>100</v>
      </c>
      <c r="R100" s="913">
        <f>'matrik MISI 2'!W27</f>
        <v>100</v>
      </c>
    </row>
    <row r="101" spans="2:18" ht="78.75">
      <c r="B101" s="914"/>
      <c r="C101" s="70"/>
      <c r="D101" s="70"/>
      <c r="E101" s="917"/>
      <c r="F101" s="917"/>
      <c r="G101" s="917"/>
      <c r="H101" s="917"/>
      <c r="I101" s="2" t="str">
        <f>'matrik MISI 2'!N28</f>
        <v>Persentase Korban Bencana Skala Kabupaten yang di Evakuasi Menggunakan Sarana dan Prasarana Tanggap Darurat Lengkap</v>
      </c>
      <c r="J101" s="913" t="str">
        <f>'matrik MISI 2'!O28</f>
        <v>%</v>
      </c>
      <c r="K101" s="913">
        <f>'matrik MISI 2'!P28</f>
        <v>100</v>
      </c>
      <c r="L101" s="913">
        <f>'matrik MISI 2'!Q28</f>
        <v>100</v>
      </c>
      <c r="M101" s="913">
        <f>'matrik MISI 2'!R28</f>
        <v>100</v>
      </c>
      <c r="N101" s="913">
        <f>'matrik MISI 2'!S28</f>
        <v>100</v>
      </c>
      <c r="O101" s="913">
        <f>'matrik MISI 2'!T28</f>
        <v>100</v>
      </c>
      <c r="P101" s="913">
        <f>'matrik MISI 2'!U28</f>
        <v>100</v>
      </c>
      <c r="Q101" s="913">
        <f>'matrik MISI 2'!V28</f>
        <v>100</v>
      </c>
      <c r="R101" s="913">
        <f>'matrik MISI 2'!W28</f>
        <v>100</v>
      </c>
    </row>
    <row r="102" spans="2:18" ht="47.25">
      <c r="B102" s="914"/>
      <c r="C102" s="70"/>
      <c r="D102" s="70"/>
      <c r="E102" s="916">
        <f>'matrik MISI 2'!C29</f>
        <v>4</v>
      </c>
      <c r="F102" s="916" t="str">
        <f>'matrik MISI 2'!D29</f>
        <v>Meningkatkan Perluasan Kesempatan Kerja</v>
      </c>
      <c r="G102" s="2">
        <f>'matrik MISI 2'!E29</f>
        <v>5</v>
      </c>
      <c r="H102" s="2" t="str">
        <f>'matrik MISI 2'!F29</f>
        <v>Meningkatnya Kualitas dan Produktifitas Tenaga Kerja</v>
      </c>
      <c r="I102" s="2" t="str">
        <f>'matrik MISI 2'!N30</f>
        <v>Persentase Tenaga Kerja yang Mendapatkan Pelatihan Berbasis Kompetensi</v>
      </c>
      <c r="J102" s="913" t="str">
        <f>'matrik MISI 2'!O30</f>
        <v>%</v>
      </c>
      <c r="K102" s="913">
        <f>'matrik MISI 2'!P30</f>
        <v>80</v>
      </c>
      <c r="L102" s="913">
        <f>'matrik MISI 2'!Q30</f>
        <v>80</v>
      </c>
      <c r="M102" s="913">
        <f>'matrik MISI 2'!R30</f>
        <v>80</v>
      </c>
      <c r="N102" s="913">
        <f>'matrik MISI 2'!S30</f>
        <v>80</v>
      </c>
      <c r="O102" s="913">
        <f>'matrik MISI 2'!T30</f>
        <v>80</v>
      </c>
      <c r="P102" s="913">
        <f>'matrik MISI 2'!U30</f>
        <v>80</v>
      </c>
      <c r="Q102" s="913">
        <f>'matrik MISI 2'!V30</f>
        <v>80</v>
      </c>
      <c r="R102" s="913">
        <f>'matrik MISI 2'!W30</f>
        <v>80</v>
      </c>
    </row>
    <row r="103" spans="2:18" ht="47.25">
      <c r="B103" s="914"/>
      <c r="C103" s="70"/>
      <c r="D103" s="70"/>
      <c r="E103" s="70"/>
      <c r="F103" s="70"/>
      <c r="G103" s="2"/>
      <c r="H103" s="2"/>
      <c r="I103" s="2" t="str">
        <f>'matrik MISI 2'!N31</f>
        <v>Persentase Tenaga Kerja yang Mendapatkan Pelatihan Berbasis Masyarakat</v>
      </c>
      <c r="J103" s="913" t="str">
        <f>'matrik MISI 2'!O31</f>
        <v>%</v>
      </c>
      <c r="K103" s="913" t="str">
        <f>'matrik MISI 2'!P31</f>
        <v xml:space="preserve"> - </v>
      </c>
      <c r="L103" s="913" t="str">
        <f>'matrik MISI 2'!Q31</f>
        <v xml:space="preserve"> - </v>
      </c>
      <c r="M103" s="913" t="str">
        <f>'matrik MISI 2'!R31</f>
        <v xml:space="preserve"> - </v>
      </c>
      <c r="N103" s="913">
        <f>'matrik MISI 2'!S31</f>
        <v>80</v>
      </c>
      <c r="O103" s="913">
        <f>'matrik MISI 2'!T31</f>
        <v>85</v>
      </c>
      <c r="P103" s="913">
        <f>'matrik MISI 2'!U31</f>
        <v>90</v>
      </c>
      <c r="Q103" s="913">
        <f>'matrik MISI 2'!V31</f>
        <v>95</v>
      </c>
      <c r="R103" s="913">
        <f>'matrik MISI 2'!W31</f>
        <v>95</v>
      </c>
    </row>
    <row r="104" spans="2:18" ht="47.25">
      <c r="B104" s="914"/>
      <c r="C104" s="70"/>
      <c r="D104" s="70"/>
      <c r="E104" s="70"/>
      <c r="F104" s="70"/>
      <c r="G104" s="2"/>
      <c r="H104" s="2"/>
      <c r="I104" s="2" t="str">
        <f>'matrik MISI 2'!N32</f>
        <v>Persentase Tenaga Kerja yang Mendapatkan Pelatihan Berbasis Kewirausahaan</v>
      </c>
      <c r="J104" s="913" t="str">
        <f>'matrik MISI 2'!O32</f>
        <v>%</v>
      </c>
      <c r="K104" s="913" t="str">
        <f>'matrik MISI 2'!P32</f>
        <v xml:space="preserve"> - </v>
      </c>
      <c r="L104" s="913">
        <f>'matrik MISI 2'!Q32</f>
        <v>80</v>
      </c>
      <c r="M104" s="913">
        <f>'matrik MISI 2'!R32</f>
        <v>80</v>
      </c>
      <c r="N104" s="913">
        <f>'matrik MISI 2'!S32</f>
        <v>80</v>
      </c>
      <c r="O104" s="913">
        <f>'matrik MISI 2'!T32</f>
        <v>80</v>
      </c>
      <c r="P104" s="913">
        <f>'matrik MISI 2'!U32</f>
        <v>80</v>
      </c>
      <c r="Q104" s="913">
        <f>'matrik MISI 2'!V32</f>
        <v>80</v>
      </c>
      <c r="R104" s="913">
        <f>'matrik MISI 2'!W32</f>
        <v>80</v>
      </c>
    </row>
    <row r="105" spans="2:18" ht="47.25">
      <c r="B105" s="914"/>
      <c r="C105" s="70"/>
      <c r="D105" s="70"/>
      <c r="E105" s="70"/>
      <c r="F105" s="70"/>
      <c r="G105" s="916">
        <f>'matrik MISI 2'!E33</f>
        <v>6</v>
      </c>
      <c r="H105" s="916" t="str">
        <f>'matrik MISI 2'!F33</f>
        <v>Meningkatknya Kesempatan Kerja dan Menurunkan Tingkat Pengangguran</v>
      </c>
      <c r="I105" s="2" t="str">
        <f>'matrik MISI 2'!N34</f>
        <v>Persentase Pencari Kerja Terdaftar yang ditempatkan Kerja</v>
      </c>
      <c r="J105" s="913" t="str">
        <f>'matrik MISI 2'!O34</f>
        <v>%</v>
      </c>
      <c r="K105" s="913">
        <f>'matrik MISI 2'!P34</f>
        <v>63</v>
      </c>
      <c r="L105" s="913">
        <f>'matrik MISI 2'!Q34</f>
        <v>21</v>
      </c>
      <c r="M105" s="913">
        <f>'matrik MISI 2'!R34</f>
        <v>65</v>
      </c>
      <c r="N105" s="913">
        <f>'matrik MISI 2'!S34</f>
        <v>67</v>
      </c>
      <c r="O105" s="913">
        <f>'matrik MISI 2'!T34</f>
        <v>70</v>
      </c>
      <c r="P105" s="913">
        <f>'matrik MISI 2'!U34</f>
        <v>72</v>
      </c>
      <c r="Q105" s="913">
        <f>'matrik MISI 2'!V34</f>
        <v>75</v>
      </c>
      <c r="R105" s="913">
        <f>'matrik MISI 2'!W34</f>
        <v>75</v>
      </c>
    </row>
    <row r="106" spans="2:18">
      <c r="B106" s="914"/>
      <c r="C106" s="70"/>
      <c r="D106" s="70"/>
      <c r="E106" s="70"/>
      <c r="F106" s="70"/>
      <c r="G106" s="70"/>
      <c r="H106" s="70"/>
      <c r="I106" s="2" t="str">
        <f>'matrik MISI 2'!N35</f>
        <v>Tingkat Kesempatan Kerja</v>
      </c>
      <c r="J106" s="913" t="str">
        <f>'matrik MISI 2'!O35</f>
        <v>%</v>
      </c>
      <c r="K106" s="913" t="str">
        <f>'matrik MISI 2'!P35</f>
        <v>96,60</v>
      </c>
      <c r="L106" s="913">
        <f>'matrik MISI 2'!Q35</f>
        <v>94.53</v>
      </c>
      <c r="M106" s="913">
        <f>'matrik MISI 2'!R35</f>
        <v>94.75</v>
      </c>
      <c r="N106" s="913">
        <f>'matrik MISI 2'!S35</f>
        <v>95</v>
      </c>
      <c r="O106" s="913">
        <f>'matrik MISI 2'!T35</f>
        <v>95.25</v>
      </c>
      <c r="P106" s="913">
        <f>'matrik MISI 2'!U35</f>
        <v>95.5</v>
      </c>
      <c r="Q106" s="913">
        <f>'matrik MISI 2'!V35</f>
        <v>95.75</v>
      </c>
      <c r="R106" s="913">
        <f>'matrik MISI 2'!W35</f>
        <v>95.75</v>
      </c>
    </row>
    <row r="107" spans="2:18">
      <c r="B107" s="914"/>
      <c r="C107" s="70"/>
      <c r="D107" s="70"/>
      <c r="E107" s="70"/>
      <c r="F107" s="70"/>
      <c r="G107" s="70"/>
      <c r="H107" s="70"/>
      <c r="I107" s="2" t="str">
        <f>'matrik MISI 2'!N36</f>
        <v>Tingkat Pengangguran Terbuka</v>
      </c>
      <c r="J107" s="913" t="str">
        <f>'matrik MISI 2'!O36</f>
        <v>%</v>
      </c>
      <c r="K107" s="913" t="str">
        <f>'matrik MISI 2'!P36</f>
        <v>3,40</v>
      </c>
      <c r="L107" s="913">
        <f>'matrik MISI 2'!Q36</f>
        <v>5.47</v>
      </c>
      <c r="M107" s="913">
        <f>'matrik MISI 2'!R36</f>
        <v>5.25</v>
      </c>
      <c r="N107" s="913">
        <f>'matrik MISI 2'!S36</f>
        <v>5</v>
      </c>
      <c r="O107" s="913">
        <f>'matrik MISI 2'!T36</f>
        <v>4.75</v>
      </c>
      <c r="P107" s="913">
        <f>'matrik MISI 2'!U36</f>
        <v>4.5</v>
      </c>
      <c r="Q107" s="913">
        <f>'matrik MISI 2'!V36</f>
        <v>4.25</v>
      </c>
      <c r="R107" s="913">
        <f>'matrik MISI 2'!W36</f>
        <v>4.25</v>
      </c>
    </row>
    <row r="108" spans="2:18">
      <c r="B108" s="914"/>
      <c r="C108" s="70"/>
      <c r="D108" s="70"/>
      <c r="E108" s="70"/>
      <c r="F108" s="70"/>
      <c r="G108" s="917"/>
      <c r="H108" s="917"/>
      <c r="I108" s="2" t="str">
        <f>'matrik MISI 2'!N37</f>
        <v>Tingkat Partisipasi Angkatan Kerja</v>
      </c>
      <c r="J108" s="913" t="str">
        <f>'matrik MISI 2'!O37</f>
        <v>%</v>
      </c>
      <c r="K108" s="913" t="str">
        <f>'matrik MISI 2'!P37</f>
        <v>77,41</v>
      </c>
      <c r="L108" s="913">
        <f>'matrik MISI 2'!Q37</f>
        <v>76.87</v>
      </c>
      <c r="M108" s="913">
        <f>'matrik MISI 2'!R37</f>
        <v>78</v>
      </c>
      <c r="N108" s="913">
        <f>'matrik MISI 2'!S37</f>
        <v>79</v>
      </c>
      <c r="O108" s="913">
        <f>'matrik MISI 2'!T37</f>
        <v>80</v>
      </c>
      <c r="P108" s="913">
        <f>'matrik MISI 2'!U37</f>
        <v>81</v>
      </c>
      <c r="Q108" s="913">
        <f>'matrik MISI 2'!V37</f>
        <v>82</v>
      </c>
      <c r="R108" s="913">
        <f>'matrik MISI 2'!W37</f>
        <v>82</v>
      </c>
    </row>
    <row r="109" spans="2:18" ht="47.25">
      <c r="B109" s="914"/>
      <c r="C109" s="70"/>
      <c r="D109" s="70"/>
      <c r="E109" s="70"/>
      <c r="F109" s="70"/>
      <c r="G109" s="916">
        <f>'matrik MISI 2'!E38</f>
        <v>7</v>
      </c>
      <c r="H109" s="916" t="str">
        <f>'matrik MISI 2'!F38</f>
        <v xml:space="preserve">Meningkatnya Perlindungan Tenaga Kerja dan Pengembangan Lembaga </v>
      </c>
      <c r="I109" s="2" t="str">
        <f>'matrik MISI 2'!N39</f>
        <v>Besaran Pemeriksaan Perusahaan</v>
      </c>
      <c r="J109" s="913" t="str">
        <f>'matrik MISI 2'!O39</f>
        <v>%</v>
      </c>
      <c r="K109" s="913">
        <f>'matrik MISI 2'!P39</f>
        <v>9.3000000000000007</v>
      </c>
      <c r="L109" s="913">
        <f>'matrik MISI 2'!Q39</f>
        <v>9.3000000000000007</v>
      </c>
      <c r="M109" s="913">
        <f>'matrik MISI 2'!R39</f>
        <v>13.3</v>
      </c>
      <c r="N109" s="913">
        <f>'matrik MISI 2'!S39</f>
        <v>14</v>
      </c>
      <c r="O109" s="913">
        <f>'matrik MISI 2'!T39</f>
        <v>16</v>
      </c>
      <c r="P109" s="913">
        <f>'matrik MISI 2'!U39</f>
        <v>18</v>
      </c>
      <c r="Q109" s="913">
        <f>'matrik MISI 2'!V39</f>
        <v>19.399999999999999</v>
      </c>
      <c r="R109" s="913">
        <f>'matrik MISI 2'!W39</f>
        <v>19.399999999999999</v>
      </c>
    </row>
    <row r="110" spans="2:18" ht="47.25">
      <c r="B110" s="914"/>
      <c r="C110" s="70"/>
      <c r="D110" s="70"/>
      <c r="E110" s="70"/>
      <c r="F110" s="70"/>
      <c r="G110" s="70"/>
      <c r="H110" s="70"/>
      <c r="I110" s="2" t="str">
        <f>'matrik MISI 2'!N40</f>
        <v>Cakupan Pekerja atau Buruh yang Menjadi peserta Program Jamsostek/Program Sejenis</v>
      </c>
      <c r="J110" s="913" t="str">
        <f>'matrik MISI 2'!O40</f>
        <v>%</v>
      </c>
      <c r="K110" s="913" t="str">
        <f>'matrik MISI 2'!P40</f>
        <v xml:space="preserve"> - </v>
      </c>
      <c r="L110" s="913">
        <f>'matrik MISI 2'!Q40</f>
        <v>62.4</v>
      </c>
      <c r="M110" s="913">
        <f>'matrik MISI 2'!R40</f>
        <v>65.5</v>
      </c>
      <c r="N110" s="913">
        <f>'matrik MISI 2'!S40</f>
        <v>65.5</v>
      </c>
      <c r="O110" s="913">
        <f>'matrik MISI 2'!T40</f>
        <v>80</v>
      </c>
      <c r="P110" s="913">
        <f>'matrik MISI 2'!U40</f>
        <v>90</v>
      </c>
      <c r="Q110" s="913">
        <f>'matrik MISI 2'!V40</f>
        <v>100</v>
      </c>
      <c r="R110" s="913">
        <f>'matrik MISI 2'!W40</f>
        <v>100</v>
      </c>
    </row>
    <row r="111" spans="2:18" ht="47.25">
      <c r="B111" s="914"/>
      <c r="C111" s="70"/>
      <c r="D111" s="70"/>
      <c r="E111" s="70"/>
      <c r="F111" s="70"/>
      <c r="G111" s="70"/>
      <c r="H111" s="70"/>
      <c r="I111" s="2" t="str">
        <f>'matrik MISI 2'!N41</f>
        <v>Persentase Kasus yang diselesaikan Dengan Perjanjian Bersama</v>
      </c>
      <c r="J111" s="913" t="str">
        <f>'matrik MISI 2'!O41</f>
        <v>%</v>
      </c>
      <c r="K111" s="913">
        <f>'matrik MISI 2'!P41</f>
        <v>100</v>
      </c>
      <c r="L111" s="913">
        <f>'matrik MISI 2'!Q41</f>
        <v>100</v>
      </c>
      <c r="M111" s="913">
        <f>'matrik MISI 2'!R41</f>
        <v>100</v>
      </c>
      <c r="N111" s="913">
        <f>'matrik MISI 2'!S41</f>
        <v>100</v>
      </c>
      <c r="O111" s="913">
        <f>'matrik MISI 2'!T41</f>
        <v>100</v>
      </c>
      <c r="P111" s="913">
        <f>'matrik MISI 2'!U41</f>
        <v>100</v>
      </c>
      <c r="Q111" s="913">
        <f>'matrik MISI 2'!V41</f>
        <v>100</v>
      </c>
      <c r="R111" s="913">
        <f>'matrik MISI 2'!W41</f>
        <v>100</v>
      </c>
    </row>
    <row r="112" spans="2:18" ht="31.5">
      <c r="B112" s="914"/>
      <c r="C112" s="70"/>
      <c r="D112" s="70"/>
      <c r="E112" s="917"/>
      <c r="F112" s="917"/>
      <c r="G112" s="917"/>
      <c r="H112" s="917"/>
      <c r="I112" s="2" t="str">
        <f>'matrik MISI 2'!N42</f>
        <v>Persentase Pengujian Peralatan diperusahaan</v>
      </c>
      <c r="J112" s="913" t="str">
        <f>'matrik MISI 2'!O42</f>
        <v>%</v>
      </c>
      <c r="K112" s="913" t="str">
        <f>'matrik MISI 2'!P42</f>
        <v xml:space="preserve"> - </v>
      </c>
      <c r="L112" s="913">
        <f>'matrik MISI 2'!Q42</f>
        <v>64</v>
      </c>
      <c r="M112" s="913">
        <f>'matrik MISI 2'!R42</f>
        <v>67.5</v>
      </c>
      <c r="N112" s="913">
        <f>'matrik MISI 2'!S42</f>
        <v>73</v>
      </c>
      <c r="O112" s="913">
        <f>'matrik MISI 2'!T42</f>
        <v>76</v>
      </c>
      <c r="P112" s="913">
        <f>'matrik MISI 2'!U42</f>
        <v>78</v>
      </c>
      <c r="Q112" s="913">
        <f>'matrik MISI 2'!V42</f>
        <v>82</v>
      </c>
      <c r="R112" s="913">
        <f>'matrik MISI 2'!W42</f>
        <v>82</v>
      </c>
    </row>
    <row r="113" spans="2:18" ht="47.25">
      <c r="B113" s="914"/>
      <c r="C113" s="70"/>
      <c r="D113" s="70"/>
      <c r="E113" s="916">
        <f>'matrik MISI 2'!C43</f>
        <v>5</v>
      </c>
      <c r="F113" s="916" t="str">
        <f>'matrik MISI 2'!D43</f>
        <v>Meningkatkan Pemberdayaan Masyarakat Perdesaan dan Perkotaan</v>
      </c>
      <c r="G113" s="916">
        <f>'matrik MISI 2'!E43</f>
        <v>8</v>
      </c>
      <c r="H113" s="916" t="str">
        <f>'matrik MISI 2'!F43</f>
        <v>Meningkatnya Keberdayaan Masyarakat Perdesaan dan Perkotaan</v>
      </c>
      <c r="I113" s="2" t="str">
        <f>'matrik MISI 2'!N44</f>
        <v xml:space="preserve">Cakupan peningkatan klasifikasi tipe desa </v>
      </c>
      <c r="J113" s="913" t="str">
        <f>'matrik MISI 2'!O44</f>
        <v>%</v>
      </c>
      <c r="K113" s="913" t="str">
        <f>'matrik MISI 2'!P44</f>
        <v>n.a</v>
      </c>
      <c r="L113" s="913" t="str">
        <f>'matrik MISI 2'!Q44</f>
        <v>n.a</v>
      </c>
      <c r="M113" s="913">
        <f>'matrik MISI 2'!R44</f>
        <v>10</v>
      </c>
      <c r="N113" s="913">
        <f>'matrik MISI 2'!S44</f>
        <v>15</v>
      </c>
      <c r="O113" s="913">
        <f>'matrik MISI 2'!T44</f>
        <v>20</v>
      </c>
      <c r="P113" s="913">
        <f>'matrik MISI 2'!U44</f>
        <v>25</v>
      </c>
      <c r="Q113" s="913">
        <f>'matrik MISI 2'!V44</f>
        <v>30</v>
      </c>
      <c r="R113" s="913">
        <f>'matrik MISI 2'!W44</f>
        <v>30</v>
      </c>
    </row>
    <row r="114" spans="2:18" ht="47.25">
      <c r="B114" s="914"/>
      <c r="C114" s="70"/>
      <c r="D114" s="70"/>
      <c r="E114" s="70"/>
      <c r="F114" s="70"/>
      <c r="G114" s="70"/>
      <c r="H114" s="70"/>
      <c r="I114" s="2" t="str">
        <f>'matrik MISI 2'!N45</f>
        <v xml:space="preserve">Cakupan Perencanaan Pembangunan Desa yang Partisipatif </v>
      </c>
      <c r="J114" s="913" t="str">
        <f>'matrik MISI 2'!O45</f>
        <v>%</v>
      </c>
      <c r="K114" s="913">
        <f>'matrik MISI 2'!P45</f>
        <v>100</v>
      </c>
      <c r="L114" s="913">
        <f>'matrik MISI 2'!Q45</f>
        <v>100</v>
      </c>
      <c r="M114" s="913">
        <f>'matrik MISI 2'!R45</f>
        <v>100</v>
      </c>
      <c r="N114" s="913">
        <f>'matrik MISI 2'!S45</f>
        <v>100</v>
      </c>
      <c r="O114" s="913">
        <f>'matrik MISI 2'!T45</f>
        <v>100</v>
      </c>
      <c r="P114" s="913">
        <f>'matrik MISI 2'!U45</f>
        <v>100</v>
      </c>
      <c r="Q114" s="913">
        <f>'matrik MISI 2'!V45</f>
        <v>100</v>
      </c>
      <c r="R114" s="913">
        <f>'matrik MISI 2'!W45</f>
        <v>100</v>
      </c>
    </row>
    <row r="115" spans="2:18" ht="63">
      <c r="B115" s="914"/>
      <c r="C115" s="70"/>
      <c r="D115" s="70"/>
      <c r="E115" s="70"/>
      <c r="F115" s="70"/>
      <c r="G115" s="70"/>
      <c r="H115" s="70"/>
      <c r="I115" s="2" t="str">
        <f>'matrik MISI 2'!N46</f>
        <v xml:space="preserve">Cakupan Lembaga Ekonomi Masyarakat Desa yang Aktif ( BUMDes, Pasar Desa , UED-SP, Lumbung Pangan ) </v>
      </c>
      <c r="J115" s="913" t="str">
        <f>'matrik MISI 2'!O46</f>
        <v>%</v>
      </c>
      <c r="K115" s="913">
        <f>'matrik MISI 2'!P46</f>
        <v>12</v>
      </c>
      <c r="L115" s="913">
        <f>'matrik MISI 2'!Q46</f>
        <v>12</v>
      </c>
      <c r="M115" s="913">
        <f>'matrik MISI 2'!R46</f>
        <v>28</v>
      </c>
      <c r="N115" s="913">
        <f>'matrik MISI 2'!S46</f>
        <v>34</v>
      </c>
      <c r="O115" s="913">
        <f>'matrik MISI 2'!T46</f>
        <v>50</v>
      </c>
      <c r="P115" s="913">
        <f>'matrik MISI 2'!U46</f>
        <v>65</v>
      </c>
      <c r="Q115" s="913">
        <f>'matrik MISI 2'!V46</f>
        <v>80</v>
      </c>
      <c r="R115" s="913">
        <f>'matrik MISI 2'!W46</f>
        <v>80</v>
      </c>
    </row>
    <row r="116" spans="2:18" ht="47.25">
      <c r="B116" s="914"/>
      <c r="C116" s="70"/>
      <c r="D116" s="70"/>
      <c r="E116" s="70"/>
      <c r="F116" s="70"/>
      <c r="G116" s="70"/>
      <c r="H116" s="70"/>
      <c r="I116" s="2" t="str">
        <f>'matrik MISI 2'!N47</f>
        <v>Persentase Menurunnya Rumah Tangga Sasaran (Angka Kemiskinan)</v>
      </c>
      <c r="J116" s="913" t="str">
        <f>'matrik MISI 2'!O47</f>
        <v>%</v>
      </c>
      <c r="K116" s="913">
        <f>'matrik MISI 2'!P47</f>
        <v>17.79</v>
      </c>
      <c r="L116" s="913" t="str">
        <f>'matrik MISI 2'!Q47</f>
        <v>17,27</v>
      </c>
      <c r="M116" s="913">
        <f>'matrik MISI 2'!R47</f>
        <v>15.6</v>
      </c>
      <c r="N116" s="913">
        <f>'matrik MISI 2'!S47</f>
        <v>14.4</v>
      </c>
      <c r="O116" s="913">
        <f>'matrik MISI 2'!T47</f>
        <v>13.3</v>
      </c>
      <c r="P116" s="913">
        <f>'matrik MISI 2'!U47</f>
        <v>12.2</v>
      </c>
      <c r="Q116" s="913">
        <f>'matrik MISI 2'!V47</f>
        <v>11</v>
      </c>
      <c r="R116" s="913">
        <f>'matrik MISI 2'!W47</f>
        <v>11</v>
      </c>
    </row>
    <row r="117" spans="2:18" ht="47.25">
      <c r="B117" s="914"/>
      <c r="C117" s="70"/>
      <c r="D117" s="70"/>
      <c r="E117" s="70"/>
      <c r="F117" s="70"/>
      <c r="G117" s="70"/>
      <c r="H117" s="70"/>
      <c r="I117" s="2" t="str">
        <f>'matrik MISI 2'!N48</f>
        <v>Cakupan Pemberdayaan masyarakat dalam Teknologi Tepat Guna</v>
      </c>
      <c r="J117" s="913" t="str">
        <f>'matrik MISI 2'!O48</f>
        <v>%</v>
      </c>
      <c r="K117" s="913">
        <f>'matrik MISI 2'!P48</f>
        <v>5</v>
      </c>
      <c r="L117" s="913">
        <f>'matrik MISI 2'!Q48</f>
        <v>9</v>
      </c>
      <c r="M117" s="913">
        <f>'matrik MISI 2'!R48</f>
        <v>14</v>
      </c>
      <c r="N117" s="913">
        <f>'matrik MISI 2'!S48</f>
        <v>19</v>
      </c>
      <c r="O117" s="913">
        <f>'matrik MISI 2'!T48</f>
        <v>23</v>
      </c>
      <c r="P117" s="913">
        <f>'matrik MISI 2'!U48</f>
        <v>28</v>
      </c>
      <c r="Q117" s="913">
        <f>'matrik MISI 2'!V48</f>
        <v>33</v>
      </c>
      <c r="R117" s="913">
        <f>'matrik MISI 2'!W48</f>
        <v>37</v>
      </c>
    </row>
    <row r="118" spans="2:18" ht="31.5">
      <c r="B118" s="914"/>
      <c r="C118" s="70"/>
      <c r="D118" s="70"/>
      <c r="E118" s="70"/>
      <c r="F118" s="70"/>
      <c r="G118" s="70"/>
      <c r="H118" s="70"/>
      <c r="I118" s="2" t="str">
        <f>'matrik MISI 2'!N49</f>
        <v xml:space="preserve">Cakupan bantuan Rumah Layak Huni bagi Rumah Tangga Sasaran </v>
      </c>
      <c r="J118" s="913" t="str">
        <f>'matrik MISI 2'!O49</f>
        <v>%</v>
      </c>
      <c r="K118" s="913">
        <f>'matrik MISI 2'!P49</f>
        <v>0.12</v>
      </c>
      <c r="L118" s="913">
        <f>'matrik MISI 2'!Q49</f>
        <v>0.24</v>
      </c>
      <c r="M118" s="913">
        <f>'matrik MISI 2'!R49</f>
        <v>0.26</v>
      </c>
      <c r="N118" s="913">
        <f>'matrik MISI 2'!S49</f>
        <v>0.26</v>
      </c>
      <c r="O118" s="913">
        <f>'matrik MISI 2'!T49</f>
        <v>0.26</v>
      </c>
      <c r="P118" s="913">
        <f>'matrik MISI 2'!U49</f>
        <v>0.26</v>
      </c>
      <c r="Q118" s="913">
        <f>'matrik MISI 2'!V49</f>
        <v>1.26</v>
      </c>
      <c r="R118" s="913">
        <f>'matrik MISI 2'!W49</f>
        <v>1.35</v>
      </c>
    </row>
    <row r="119" spans="2:18" ht="63">
      <c r="B119" s="914"/>
      <c r="C119" s="70"/>
      <c r="D119" s="70"/>
      <c r="E119" s="70"/>
      <c r="F119" s="70"/>
      <c r="G119" s="70"/>
      <c r="H119" s="70"/>
      <c r="I119" s="2" t="str">
        <f>'matrik MISI 2'!N50</f>
        <v>Persentase Partisipasi Rumah Tangga Sasaran dalam Musyawarah Perencanaan Pembangunan Desa</v>
      </c>
      <c r="J119" s="913" t="str">
        <f>'matrik MISI 2'!O50</f>
        <v>%</v>
      </c>
      <c r="K119" s="913">
        <f>'matrik MISI 2'!P50</f>
        <v>20</v>
      </c>
      <c r="L119" s="913">
        <f>'matrik MISI 2'!Q50</f>
        <v>20</v>
      </c>
      <c r="M119" s="913">
        <f>'matrik MISI 2'!R50</f>
        <v>20</v>
      </c>
      <c r="N119" s="913">
        <f>'matrik MISI 2'!S50</f>
        <v>20</v>
      </c>
      <c r="O119" s="913">
        <f>'matrik MISI 2'!T50</f>
        <v>20</v>
      </c>
      <c r="P119" s="913">
        <f>'matrik MISI 2'!U50</f>
        <v>20</v>
      </c>
      <c r="Q119" s="913">
        <f>'matrik MISI 2'!V50</f>
        <v>20</v>
      </c>
      <c r="R119" s="913">
        <f>'matrik MISI 2'!W50</f>
        <v>20</v>
      </c>
    </row>
    <row r="120" spans="2:18" ht="31.5">
      <c r="B120" s="914"/>
      <c r="C120" s="70"/>
      <c r="D120" s="70"/>
      <c r="E120" s="917"/>
      <c r="F120" s="917"/>
      <c r="G120" s="917"/>
      <c r="H120" s="917"/>
      <c r="I120" s="2" t="str">
        <f>'matrik MISI 2'!N51</f>
        <v>Cakupan Penyusunan Profil Desa/Kelurahan</v>
      </c>
      <c r="J120" s="913" t="str">
        <f>'matrik MISI 2'!O51</f>
        <v>%</v>
      </c>
      <c r="K120" s="913">
        <f>'matrik MISI 2'!P51</f>
        <v>0</v>
      </c>
      <c r="L120" s="913">
        <f>'matrik MISI 2'!Q51</f>
        <v>48</v>
      </c>
      <c r="M120" s="913">
        <f>'matrik MISI 2'!R51</f>
        <v>69</v>
      </c>
      <c r="N120" s="913">
        <f>'matrik MISI 2'!S51</f>
        <v>87</v>
      </c>
      <c r="O120" s="913">
        <f>'matrik MISI 2'!T51</f>
        <v>100</v>
      </c>
      <c r="P120" s="913">
        <f>'matrik MISI 2'!U51</f>
        <v>100</v>
      </c>
      <c r="Q120" s="913">
        <f>'matrik MISI 2'!V51</f>
        <v>100</v>
      </c>
      <c r="R120" s="913">
        <f>'matrik MISI 2'!W51</f>
        <v>100</v>
      </c>
    </row>
    <row r="121" spans="2:18" ht="31.5">
      <c r="B121" s="914"/>
      <c r="C121" s="70"/>
      <c r="D121" s="70"/>
      <c r="E121" s="2">
        <f>'matrik MISI 2'!C52</f>
        <v>6</v>
      </c>
      <c r="F121" s="2" t="str">
        <f>'matrik MISI 2'!D52</f>
        <v>Meningkatkan Kualitas Penyelenggaraan Transmigrasi</v>
      </c>
      <c r="G121" s="2">
        <f>'matrik MISI 2'!E52</f>
        <v>9</v>
      </c>
      <c r="H121" s="2" t="str">
        <f>'matrik MISI 2'!F52</f>
        <v>Meningkatnya Kualitas Penyelenggaraan Transmigrasi</v>
      </c>
      <c r="I121" s="2" t="str">
        <f>'matrik MISI 2'!N53</f>
        <v>Persentase Penempatan Transmigran</v>
      </c>
      <c r="J121" s="913" t="str">
        <f>'matrik MISI 2'!O53</f>
        <v>%</v>
      </c>
      <c r="K121" s="913">
        <f>'matrik MISI 2'!P53</f>
        <v>80</v>
      </c>
      <c r="L121" s="913">
        <f>'matrik MISI 2'!Q53</f>
        <v>80</v>
      </c>
      <c r="M121" s="913">
        <f>'matrik MISI 2'!R53</f>
        <v>80</v>
      </c>
      <c r="N121" s="913">
        <f>'matrik MISI 2'!S53</f>
        <v>80</v>
      </c>
      <c r="O121" s="913">
        <f>'matrik MISI 2'!T53</f>
        <v>80</v>
      </c>
      <c r="P121" s="913">
        <f>'matrik MISI 2'!U53</f>
        <v>80</v>
      </c>
      <c r="Q121" s="913">
        <f>'matrik MISI 2'!V53</f>
        <v>80</v>
      </c>
      <c r="R121" s="913">
        <f>'matrik MISI 2'!W53</f>
        <v>80</v>
      </c>
    </row>
    <row r="122" spans="2:18" ht="78.75">
      <c r="B122" s="914"/>
      <c r="C122" s="70"/>
      <c r="D122" s="70"/>
      <c r="E122" s="916">
        <f>'matrik MISI 2'!C54</f>
        <v>7</v>
      </c>
      <c r="F122" s="916" t="str">
        <f>'matrik MISI 2'!D54</f>
        <v>Meningkatkan Pemberdayaan Perempuan,  dan Perlindungan Anak</v>
      </c>
      <c r="G122" s="916">
        <f>'matrik MISI 2'!E54</f>
        <v>10</v>
      </c>
      <c r="H122" s="916" t="str">
        <f>'matrik MISI 2'!F54</f>
        <v>Meningkatnya Pemberdayaan Perempuan, Perlindungan Perempuan, dan Perlindungan Anak</v>
      </c>
      <c r="I122" s="2" t="str">
        <f>'matrik MISI 2'!N55</f>
        <v>Cakupan Perempuan dan Anak Korban Kekerasan yang Mendapatkan Penanganan Pengaduan Oleh Petugas Terlatih di Dalam Unit Pelayanan Terpadu</v>
      </c>
      <c r="J122" s="913" t="str">
        <f>'matrik MISI 2'!O55</f>
        <v>%</v>
      </c>
      <c r="K122" s="913">
        <f>'matrik MISI 2'!P55</f>
        <v>88</v>
      </c>
      <c r="L122" s="913">
        <f>'matrik MISI 2'!Q55</f>
        <v>90</v>
      </c>
      <c r="M122" s="913">
        <f>'matrik MISI 2'!R55</f>
        <v>100</v>
      </c>
      <c r="N122" s="913">
        <f>'matrik MISI 2'!S55</f>
        <v>100</v>
      </c>
      <c r="O122" s="913">
        <f>'matrik MISI 2'!T55</f>
        <v>100</v>
      </c>
      <c r="P122" s="913">
        <f>'matrik MISI 2'!U55</f>
        <v>100</v>
      </c>
      <c r="Q122" s="913">
        <f>'matrik MISI 2'!V55</f>
        <v>100</v>
      </c>
      <c r="R122" s="913">
        <f>'matrik MISI 2'!W55</f>
        <v>100</v>
      </c>
    </row>
    <row r="123" spans="2:18" ht="110.25">
      <c r="B123" s="914"/>
      <c r="C123" s="70"/>
      <c r="D123" s="70"/>
      <c r="E123" s="70"/>
      <c r="F123" s="70"/>
      <c r="G123" s="70"/>
      <c r="H123" s="70"/>
      <c r="I123" s="2" t="str">
        <f>'matrik MISI 2'!N56</f>
        <v>Cakupan Perempuan dan Anak Korban Kekerasan yang Mendapatkan Pelayanan Kesehatan oleh Tenaga Terlatih di Pukesmas Mampu Tata Laksana KTP/A dan PPT/PKT di Rumah Sakit</v>
      </c>
      <c r="J123" s="913" t="str">
        <f>'matrik MISI 2'!O56</f>
        <v>%</v>
      </c>
      <c r="K123" s="913">
        <f>'matrik MISI 2'!P56</f>
        <v>100</v>
      </c>
      <c r="L123" s="913">
        <f>'matrik MISI 2'!Q56</f>
        <v>100</v>
      </c>
      <c r="M123" s="913">
        <f>'matrik MISI 2'!R56</f>
        <v>100</v>
      </c>
      <c r="N123" s="913">
        <f>'matrik MISI 2'!S56</f>
        <v>100</v>
      </c>
      <c r="O123" s="913">
        <f>'matrik MISI 2'!T56</f>
        <v>100</v>
      </c>
      <c r="P123" s="913">
        <f>'matrik MISI 2'!U56</f>
        <v>100</v>
      </c>
      <c r="Q123" s="913">
        <f>'matrik MISI 2'!V56</f>
        <v>100</v>
      </c>
      <c r="R123" s="913">
        <f>'matrik MISI 2'!W56</f>
        <v>100</v>
      </c>
    </row>
    <row r="124" spans="2:18" ht="94.5">
      <c r="B124" s="914"/>
      <c r="C124" s="70"/>
      <c r="D124" s="70"/>
      <c r="E124" s="70"/>
      <c r="F124" s="70"/>
      <c r="G124" s="70"/>
      <c r="H124" s="70"/>
      <c r="I124" s="2" t="str">
        <f>'matrik MISI 2'!N57</f>
        <v>Cakupan Layanan Rehabilitasi Sosial yang diberikan Oleh Petugas Rehabilitasi Sosial Terlatih bagi Perempuan dan Anak Korban Kekerasan didalam Unit  Pelayanan Terpadu</v>
      </c>
      <c r="J124" s="913" t="str">
        <f>'matrik MISI 2'!O57</f>
        <v>%</v>
      </c>
      <c r="K124" s="913">
        <f>'matrik MISI 2'!P57</f>
        <v>75</v>
      </c>
      <c r="L124" s="913">
        <f>'matrik MISI 2'!Q57</f>
        <v>80</v>
      </c>
      <c r="M124" s="913">
        <f>'matrik MISI 2'!R57</f>
        <v>85</v>
      </c>
      <c r="N124" s="913">
        <f>'matrik MISI 2'!S57</f>
        <v>85</v>
      </c>
      <c r="O124" s="913">
        <f>'matrik MISI 2'!T57</f>
        <v>85</v>
      </c>
      <c r="P124" s="913">
        <f>'matrik MISI 2'!U57</f>
        <v>85</v>
      </c>
      <c r="Q124" s="913">
        <f>'matrik MISI 2'!V57</f>
        <v>90</v>
      </c>
      <c r="R124" s="913">
        <f>'matrik MISI 2'!W57</f>
        <v>90</v>
      </c>
    </row>
    <row r="125" spans="2:18" ht="94.5">
      <c r="B125" s="914"/>
      <c r="C125" s="70"/>
      <c r="D125" s="70"/>
      <c r="E125" s="70"/>
      <c r="F125" s="70"/>
      <c r="G125" s="70"/>
      <c r="H125" s="70"/>
      <c r="I125" s="2" t="str">
        <f>'matrik MISI 2'!N58</f>
        <v>Cakupan Layanan Bimbingan Rohani yang diberikan oleh Petugas Bimbingan Rohani Terlatih Bagi Perempuan dan Anak Korban Kekerasan di Dalam Unit Pelayanan Terpadu</v>
      </c>
      <c r="J125" s="913" t="str">
        <f>'matrik MISI 2'!O58</f>
        <v>%</v>
      </c>
      <c r="K125" s="913">
        <f>'matrik MISI 2'!P58</f>
        <v>60</v>
      </c>
      <c r="L125" s="913">
        <f>'matrik MISI 2'!Q58</f>
        <v>60</v>
      </c>
      <c r="M125" s="913">
        <f>'matrik MISI 2'!R58</f>
        <v>70</v>
      </c>
      <c r="N125" s="913">
        <f>'matrik MISI 2'!S58</f>
        <v>70</v>
      </c>
      <c r="O125" s="913">
        <f>'matrik MISI 2'!T58</f>
        <v>75</v>
      </c>
      <c r="P125" s="913">
        <f>'matrik MISI 2'!U58</f>
        <v>75</v>
      </c>
      <c r="Q125" s="913">
        <f>'matrik MISI 2'!V58</f>
        <v>80</v>
      </c>
      <c r="R125" s="913">
        <f>'matrik MISI 2'!W58</f>
        <v>80</v>
      </c>
    </row>
    <row r="126" spans="2:18" ht="63">
      <c r="B126" s="914"/>
      <c r="C126" s="70"/>
      <c r="D126" s="70"/>
      <c r="E126" s="70"/>
      <c r="F126" s="70"/>
      <c r="G126" s="70"/>
      <c r="H126" s="70"/>
      <c r="I126" s="2" t="str">
        <f>'matrik MISI 2'!N59</f>
        <v>Cakupan Penegakan Hukum dari Tingkat Penyidikan Sampai dengan Putusan Pengadilan atas Kasus-kasus Kekerasan</v>
      </c>
      <c r="J126" s="913" t="str">
        <f>'matrik MISI 2'!O59</f>
        <v>%</v>
      </c>
      <c r="K126" s="913">
        <f>'matrik MISI 2'!P59</f>
        <v>25</v>
      </c>
      <c r="L126" s="913">
        <f>'matrik MISI 2'!Q59</f>
        <v>25</v>
      </c>
      <c r="M126" s="913">
        <f>'matrik MISI 2'!R59</f>
        <v>25</v>
      </c>
      <c r="N126" s="913">
        <f>'matrik MISI 2'!S59</f>
        <v>25</v>
      </c>
      <c r="O126" s="913">
        <f>'matrik MISI 2'!T59</f>
        <v>25</v>
      </c>
      <c r="P126" s="913">
        <f>'matrik MISI 2'!U59</f>
        <v>25</v>
      </c>
      <c r="Q126" s="913">
        <f>'matrik MISI 2'!V59</f>
        <v>25</v>
      </c>
      <c r="R126" s="913">
        <f>'matrik MISI 2'!W59</f>
        <v>25</v>
      </c>
    </row>
    <row r="127" spans="2:18" ht="63">
      <c r="B127" s="914"/>
      <c r="C127" s="70"/>
      <c r="D127" s="70"/>
      <c r="E127" s="70"/>
      <c r="F127" s="70"/>
      <c r="G127" s="70"/>
      <c r="H127" s="70"/>
      <c r="I127" s="2" t="str">
        <f>'matrik MISI 2'!N60</f>
        <v>Cakupan Perempuan dan Anak Korban Kekerasan yang Mendapat Layanan Bantuan Hukum</v>
      </c>
      <c r="J127" s="913" t="str">
        <f>'matrik MISI 2'!O60</f>
        <v>%</v>
      </c>
      <c r="K127" s="913">
        <f>'matrik MISI 2'!P60</f>
        <v>90</v>
      </c>
      <c r="L127" s="913">
        <f>'matrik MISI 2'!Q60</f>
        <v>94</v>
      </c>
      <c r="M127" s="913">
        <f>'matrik MISI 2'!R60</f>
        <v>98</v>
      </c>
      <c r="N127" s="913">
        <f>'matrik MISI 2'!S60</f>
        <v>98</v>
      </c>
      <c r="O127" s="913">
        <f>'matrik MISI 2'!T60</f>
        <v>98</v>
      </c>
      <c r="P127" s="913">
        <f>'matrik MISI 2'!U60</f>
        <v>98</v>
      </c>
      <c r="Q127" s="913">
        <f>'matrik MISI 2'!V60</f>
        <v>98</v>
      </c>
      <c r="R127" s="913">
        <f>'matrik MISI 2'!W60</f>
        <v>98</v>
      </c>
    </row>
    <row r="128" spans="2:18" ht="47.25">
      <c r="B128" s="914"/>
      <c r="C128" s="70"/>
      <c r="D128" s="70"/>
      <c r="E128" s="70"/>
      <c r="F128" s="70"/>
      <c r="G128" s="70"/>
      <c r="H128" s="70"/>
      <c r="I128" s="2" t="str">
        <f>'matrik MISI 2'!N61</f>
        <v xml:space="preserve">Cakupan Layanan Pemulangan bagi Perempuan dan Anak Korban Kekerasan </v>
      </c>
      <c r="J128" s="913" t="str">
        <f>'matrik MISI 2'!O61</f>
        <v>%</v>
      </c>
      <c r="K128" s="913">
        <f>'matrik MISI 2'!P61</f>
        <v>80</v>
      </c>
      <c r="L128" s="913">
        <f>'matrik MISI 2'!Q61</f>
        <v>80</v>
      </c>
      <c r="M128" s="913">
        <f>'matrik MISI 2'!R61</f>
        <v>84</v>
      </c>
      <c r="N128" s="913">
        <f>'matrik MISI 2'!S61</f>
        <v>84</v>
      </c>
      <c r="O128" s="913">
        <f>'matrik MISI 2'!T61</f>
        <v>86</v>
      </c>
      <c r="P128" s="913">
        <f>'matrik MISI 2'!U61</f>
        <v>86</v>
      </c>
      <c r="Q128" s="913">
        <f>'matrik MISI 2'!V61</f>
        <v>86</v>
      </c>
      <c r="R128" s="913">
        <f>'matrik MISI 2'!W61</f>
        <v>86</v>
      </c>
    </row>
    <row r="129" spans="2:18" ht="47.25">
      <c r="B129" s="914"/>
      <c r="C129" s="70"/>
      <c r="D129" s="70"/>
      <c r="E129" s="70"/>
      <c r="F129" s="70"/>
      <c r="G129" s="70"/>
      <c r="H129" s="70"/>
      <c r="I129" s="2" t="str">
        <f>'matrik MISI 2'!N62</f>
        <v>Cakupan Layanan Reintegrasi Sosial bagi Perempuan dan Anak Korban Kekerasan</v>
      </c>
      <c r="J129" s="913" t="str">
        <f>'matrik MISI 2'!O62</f>
        <v>%</v>
      </c>
      <c r="K129" s="913">
        <f>'matrik MISI 2'!P62</f>
        <v>40</v>
      </c>
      <c r="L129" s="913">
        <f>'matrik MISI 2'!Q62</f>
        <v>40</v>
      </c>
      <c r="M129" s="913">
        <f>'matrik MISI 2'!R62</f>
        <v>50</v>
      </c>
      <c r="N129" s="913">
        <f>'matrik MISI 2'!S62</f>
        <v>50</v>
      </c>
      <c r="O129" s="913">
        <f>'matrik MISI 2'!T62</f>
        <v>50</v>
      </c>
      <c r="P129" s="913">
        <f>'matrik MISI 2'!U62</f>
        <v>50</v>
      </c>
      <c r="Q129" s="913">
        <f>'matrik MISI 2'!V62</f>
        <v>50</v>
      </c>
      <c r="R129" s="913">
        <f>'matrik MISI 2'!W62</f>
        <v>50</v>
      </c>
    </row>
    <row r="130" spans="2:18" ht="31.5">
      <c r="B130" s="914"/>
      <c r="C130" s="70"/>
      <c r="D130" s="70"/>
      <c r="E130" s="70"/>
      <c r="F130" s="70"/>
      <c r="G130" s="70"/>
      <c r="H130" s="70"/>
      <c r="I130" s="2" t="str">
        <f>'matrik MISI 2'!N63</f>
        <v>Rasio Kekerasan dalam rumah tangga</v>
      </c>
      <c r="J130" s="913" t="str">
        <f>'matrik MISI 2'!O63</f>
        <v>Rasio</v>
      </c>
      <c r="K130" s="913" t="str">
        <f>'matrik MISI 2'!P63</f>
        <v>1 : 2182</v>
      </c>
      <c r="L130" s="913" t="str">
        <f>'matrik MISI 2'!Q63</f>
        <v>1 : 2401</v>
      </c>
      <c r="M130" s="913" t="str">
        <f>'matrik MISI 2'!R63</f>
        <v>1 : 2401</v>
      </c>
      <c r="N130" s="913" t="str">
        <f>'matrik MISI 2'!S63</f>
        <v>1 : 2500</v>
      </c>
      <c r="O130" s="913" t="str">
        <f>'matrik MISI 2'!T63</f>
        <v>1 : 2500</v>
      </c>
      <c r="P130" s="913" t="str">
        <f>'matrik MISI 2'!U63</f>
        <v>1 : 2600</v>
      </c>
      <c r="Q130" s="913" t="str">
        <f>'matrik MISI 2'!V63</f>
        <v>1 : 2600</v>
      </c>
      <c r="R130" s="913" t="str">
        <f>'matrik MISI 2'!W63</f>
        <v>1 : 2600</v>
      </c>
    </row>
    <row r="131" spans="2:18" ht="31.5">
      <c r="B131" s="914"/>
      <c r="C131" s="70"/>
      <c r="D131" s="70"/>
      <c r="E131" s="917"/>
      <c r="F131" s="917"/>
      <c r="G131" s="917"/>
      <c r="H131" s="917"/>
      <c r="I131" s="2" t="str">
        <f>'matrik MISI 2'!N64</f>
        <v>Meningkatnya Implementasi Anggaran Responsif Gender</v>
      </c>
      <c r="J131" s="913" t="str">
        <f>'matrik MISI 2'!O64</f>
        <v>%</v>
      </c>
      <c r="K131" s="913" t="str">
        <f>'matrik MISI 2'!P64</f>
        <v>4,2</v>
      </c>
      <c r="L131" s="913" t="str">
        <f>'matrik MISI 2'!Q64</f>
        <v>29,2</v>
      </c>
      <c r="M131" s="913">
        <f>'matrik MISI 2'!R64</f>
        <v>30</v>
      </c>
      <c r="N131" s="913">
        <f>'matrik MISI 2'!S64</f>
        <v>40</v>
      </c>
      <c r="O131" s="913">
        <f>'matrik MISI 2'!T64</f>
        <v>50</v>
      </c>
      <c r="P131" s="913">
        <f>'matrik MISI 2'!U64</f>
        <v>60</v>
      </c>
      <c r="Q131" s="913">
        <f>'matrik MISI 2'!V64</f>
        <v>70</v>
      </c>
      <c r="R131" s="913">
        <f>'matrik MISI 2'!W64</f>
        <v>70</v>
      </c>
    </row>
    <row r="132" spans="2:18" ht="31.5">
      <c r="B132" s="914"/>
      <c r="C132" s="70"/>
      <c r="D132" s="70"/>
      <c r="E132" s="916">
        <f>'matrik MISI 2'!C64</f>
        <v>8</v>
      </c>
      <c r="F132" s="916" t="str">
        <f>'matrik MISI 2'!D64</f>
        <v>Meningkatkan kesetaraan gender</v>
      </c>
      <c r="G132" s="2">
        <f>'matrik MISI 2'!E64</f>
        <v>11</v>
      </c>
      <c r="H132" s="2" t="str">
        <f>'matrik MISI 2'!F64</f>
        <v>Meningkatknya kesetaraan gender</v>
      </c>
      <c r="I132" s="1232" t="str">
        <f>'matrik MISI 2'!N66</f>
        <v>Cakupan Pencapaian Indikator Klaster Hak Sipil dan Kebebasan</v>
      </c>
      <c r="J132" s="1230" t="str">
        <f>'matrik MISI 2'!O66</f>
        <v>%</v>
      </c>
      <c r="K132" s="1230">
        <f>'matrik MISI 2'!P66</f>
        <v>60</v>
      </c>
      <c r="L132" s="1230">
        <f>'matrik MISI 2'!Q66</f>
        <v>66</v>
      </c>
      <c r="M132" s="1230">
        <f>'matrik MISI 2'!R66</f>
        <v>70</v>
      </c>
      <c r="N132" s="1230">
        <f>'matrik MISI 2'!S66</f>
        <v>75</v>
      </c>
      <c r="O132" s="1230">
        <f>'matrik MISI 2'!T66</f>
        <v>80</v>
      </c>
      <c r="P132" s="1230">
        <f>'matrik MISI 2'!U66</f>
        <v>85</v>
      </c>
      <c r="Q132" s="1230">
        <f>'matrik MISI 2'!V66</f>
        <v>90</v>
      </c>
      <c r="R132" s="1230">
        <f>'matrik MISI 2'!W66</f>
        <v>95</v>
      </c>
    </row>
    <row r="133" spans="2:18" ht="31.5">
      <c r="B133" s="914"/>
      <c r="C133" s="70"/>
      <c r="D133" s="70"/>
      <c r="E133" s="70"/>
      <c r="F133" s="70"/>
      <c r="G133" s="916">
        <f>'matrik MISI 2'!E65</f>
        <v>12</v>
      </c>
      <c r="H133" s="916" t="str">
        <f>'matrik MISI 2'!F65</f>
        <v>Meningkatnya Kualitas Kabupaten Layak Anak</v>
      </c>
      <c r="I133" s="1233"/>
      <c r="J133" s="1231"/>
      <c r="K133" s="1231"/>
      <c r="L133" s="1231"/>
      <c r="M133" s="1231"/>
      <c r="N133" s="1231"/>
      <c r="O133" s="1231"/>
      <c r="P133" s="1231"/>
      <c r="Q133" s="1231"/>
      <c r="R133" s="1231"/>
    </row>
    <row r="134" spans="2:18" ht="47.25">
      <c r="B134" s="914"/>
      <c r="C134" s="70"/>
      <c r="D134" s="70"/>
      <c r="E134" s="70"/>
      <c r="F134" s="70"/>
      <c r="G134" s="70"/>
      <c r="H134" s="70"/>
      <c r="I134" s="2" t="str">
        <f>'matrik MISI 2'!N67</f>
        <v>Cakupan Pencapaian Indikator Klaster Lingkungan Keluarga dan Pengasuhan Alternatif</v>
      </c>
      <c r="J134" s="913" t="str">
        <f>'matrik MISI 2'!O67</f>
        <v>%</v>
      </c>
      <c r="K134" s="913">
        <f>'matrik MISI 2'!P67</f>
        <v>60</v>
      </c>
      <c r="L134" s="913">
        <f>'matrik MISI 2'!Q67</f>
        <v>60</v>
      </c>
      <c r="M134" s="913">
        <f>'matrik MISI 2'!R67</f>
        <v>70</v>
      </c>
      <c r="N134" s="913">
        <f>'matrik MISI 2'!S67</f>
        <v>70</v>
      </c>
      <c r="O134" s="913">
        <f>'matrik MISI 2'!T67</f>
        <v>75</v>
      </c>
      <c r="P134" s="913">
        <f>'matrik MISI 2'!U67</f>
        <v>75</v>
      </c>
      <c r="Q134" s="913">
        <f>'matrik MISI 2'!V67</f>
        <v>80</v>
      </c>
      <c r="R134" s="913">
        <f>'matrik MISI 2'!W67</f>
        <v>80</v>
      </c>
    </row>
    <row r="135" spans="2:18" ht="31.5">
      <c r="B135" s="914"/>
      <c r="C135" s="70"/>
      <c r="D135" s="70"/>
      <c r="E135" s="70"/>
      <c r="F135" s="70"/>
      <c r="G135" s="70"/>
      <c r="H135" s="70"/>
      <c r="I135" s="2" t="str">
        <f>'matrik MISI 2'!N68</f>
        <v>Cakupan Pencapaian Indikator Klaster Kesehatan Dasar</v>
      </c>
      <c r="J135" s="913" t="str">
        <f>'matrik MISI 2'!O68</f>
        <v>%</v>
      </c>
      <c r="K135" s="913">
        <f>'matrik MISI 2'!P68</f>
        <v>60</v>
      </c>
      <c r="L135" s="913">
        <f>'matrik MISI 2'!Q68</f>
        <v>60</v>
      </c>
      <c r="M135" s="913">
        <f>'matrik MISI 2'!R68</f>
        <v>70</v>
      </c>
      <c r="N135" s="913">
        <f>'matrik MISI 2'!S68</f>
        <v>70</v>
      </c>
      <c r="O135" s="913">
        <f>'matrik MISI 2'!T68</f>
        <v>75</v>
      </c>
      <c r="P135" s="913">
        <f>'matrik MISI 2'!U68</f>
        <v>75</v>
      </c>
      <c r="Q135" s="913">
        <f>'matrik MISI 2'!V68</f>
        <v>80</v>
      </c>
      <c r="R135" s="913">
        <f>'matrik MISI 2'!W68</f>
        <v>80</v>
      </c>
    </row>
    <row r="136" spans="2:18" ht="63">
      <c r="B136" s="914"/>
      <c r="C136" s="70"/>
      <c r="D136" s="70"/>
      <c r="E136" s="70"/>
      <c r="F136" s="70"/>
      <c r="G136" s="70"/>
      <c r="H136" s="70"/>
      <c r="I136" s="2" t="str">
        <f>'matrik MISI 2'!N69</f>
        <v>Cakupan Pencapaian Indikator Klaster Pendidikan, Pemanfaatan Waktu Luang dan Kegiatan Budaya</v>
      </c>
      <c r="J136" s="913" t="str">
        <f>'matrik MISI 2'!O69</f>
        <v>%</v>
      </c>
      <c r="K136" s="913">
        <f>'matrik MISI 2'!P69</f>
        <v>70</v>
      </c>
      <c r="L136" s="913">
        <f>'matrik MISI 2'!Q69</f>
        <v>70</v>
      </c>
      <c r="M136" s="913">
        <f>'matrik MISI 2'!R69</f>
        <v>75</v>
      </c>
      <c r="N136" s="913">
        <f>'matrik MISI 2'!S69</f>
        <v>75</v>
      </c>
      <c r="O136" s="913">
        <f>'matrik MISI 2'!T69</f>
        <v>80</v>
      </c>
      <c r="P136" s="913">
        <f>'matrik MISI 2'!U69</f>
        <v>80</v>
      </c>
      <c r="Q136" s="913">
        <f>'matrik MISI 2'!V69</f>
        <v>85</v>
      </c>
      <c r="R136" s="913">
        <f>'matrik MISI 2'!W69</f>
        <v>85</v>
      </c>
    </row>
    <row r="137" spans="2:18" ht="31.5">
      <c r="B137" s="914"/>
      <c r="C137" s="70"/>
      <c r="D137" s="70"/>
      <c r="E137" s="917"/>
      <c r="F137" s="917"/>
      <c r="G137" s="917"/>
      <c r="H137" s="917"/>
      <c r="I137" s="2" t="str">
        <f>'matrik MISI 2'!N70</f>
        <v>Cakupan Pencapaian Indikator Kluster Perlindungan Khusus</v>
      </c>
      <c r="J137" s="913" t="str">
        <f>'matrik MISI 2'!O70</f>
        <v>%</v>
      </c>
      <c r="K137" s="913">
        <f>'matrik MISI 2'!P70</f>
        <v>55</v>
      </c>
      <c r="L137" s="913">
        <f>'matrik MISI 2'!Q70</f>
        <v>55</v>
      </c>
      <c r="M137" s="913">
        <f>'matrik MISI 2'!R70</f>
        <v>60</v>
      </c>
      <c r="N137" s="913">
        <f>'matrik MISI 2'!S70</f>
        <v>60</v>
      </c>
      <c r="O137" s="913">
        <f>'matrik MISI 2'!T70</f>
        <v>65</v>
      </c>
      <c r="P137" s="913">
        <f>'matrik MISI 2'!U70</f>
        <v>65</v>
      </c>
      <c r="Q137" s="913">
        <f>'matrik MISI 2'!V70</f>
        <v>70</v>
      </c>
      <c r="R137" s="913">
        <f>'matrik MISI 2'!W70</f>
        <v>70</v>
      </c>
    </row>
    <row r="138" spans="2:18" ht="47.25">
      <c r="B138" s="914"/>
      <c r="C138" s="70"/>
      <c r="D138" s="70"/>
      <c r="E138" s="916">
        <f>'matrik MISI 2'!C71</f>
        <v>9</v>
      </c>
      <c r="F138" s="916" t="str">
        <f>'matrik MISI 2'!D71</f>
        <v>Meningkatkan Pemberdayaan Pemuda dan Pengembangan Olagraga</v>
      </c>
      <c r="G138" s="2">
        <f>'matrik MISI 2'!E71</f>
        <v>13</v>
      </c>
      <c r="H138" s="2" t="str">
        <f>'matrik MISI 2'!F71</f>
        <v>Meningkatnya Pembinaan Kepemudaan dan Olahraga</v>
      </c>
      <c r="I138" s="2" t="str">
        <f>'matrik MISI 2'!N72</f>
        <v>Besaran kegiatan kepemudaan</v>
      </c>
      <c r="J138" s="913" t="str">
        <f>'matrik MISI 2'!O72</f>
        <v>Kegiatan</v>
      </c>
      <c r="K138" s="913">
        <f>'matrik MISI 2'!P72</f>
        <v>9</v>
      </c>
      <c r="L138" s="913">
        <f>'matrik MISI 2'!Q72</f>
        <v>9</v>
      </c>
      <c r="M138" s="913">
        <f>'matrik MISI 2'!R72</f>
        <v>9</v>
      </c>
      <c r="N138" s="913">
        <f>'matrik MISI 2'!S72</f>
        <v>10</v>
      </c>
      <c r="O138" s="913">
        <f>'matrik MISI 2'!T72</f>
        <v>11</v>
      </c>
      <c r="P138" s="913">
        <f>'matrik MISI 2'!U72</f>
        <v>12</v>
      </c>
      <c r="Q138" s="913">
        <f>'matrik MISI 2'!V72</f>
        <v>13</v>
      </c>
      <c r="R138" s="913">
        <f>'matrik MISI 2'!W72</f>
        <v>13</v>
      </c>
    </row>
    <row r="139" spans="2:18" ht="47.25">
      <c r="B139" s="914"/>
      <c r="C139" s="70"/>
      <c r="D139" s="70"/>
      <c r="E139" s="70"/>
      <c r="F139" s="70"/>
      <c r="G139" s="2">
        <f>'matrik MISI 2'!E73</f>
        <v>14</v>
      </c>
      <c r="H139" s="2" t="str">
        <f>'matrik MISI 2'!F73</f>
        <v>Meningkatnya Sarana dan Prasarana Kepemudaan dan Olahraga</v>
      </c>
      <c r="I139" s="2" t="str">
        <f>'matrik MISI 2'!N74</f>
        <v>Cakupan Bantuan Prasarana Olah Raga Bagi Klub Olah Raga</v>
      </c>
      <c r="J139" s="913" t="str">
        <f>'matrik MISI 2'!O74</f>
        <v>%</v>
      </c>
      <c r="K139" s="913">
        <f>'matrik MISI 2'!P74</f>
        <v>3.992015968063872</v>
      </c>
      <c r="L139" s="913">
        <f>'matrik MISI 2'!Q74</f>
        <v>5.4890219560878242</v>
      </c>
      <c r="M139" s="913">
        <f>'matrik MISI 2'!R74</f>
        <v>7.4850299401197598</v>
      </c>
      <c r="N139" s="913">
        <f>'matrik MISI 2'!S74</f>
        <v>9.9800399201596814</v>
      </c>
      <c r="O139" s="913">
        <f>'matrik MISI 2'!T74</f>
        <v>12.974051896207584</v>
      </c>
      <c r="P139" s="913">
        <f>'matrik MISI 2'!U74</f>
        <v>16.467065868263472</v>
      </c>
      <c r="Q139" s="913">
        <f>'matrik MISI 2'!V74</f>
        <v>20.459081836327346</v>
      </c>
      <c r="R139" s="913">
        <f>'matrik MISI 2'!W74</f>
        <v>20.459081836327346</v>
      </c>
    </row>
    <row r="140" spans="2:18" ht="31.5">
      <c r="B140" s="914"/>
      <c r="C140" s="70"/>
      <c r="D140" s="70"/>
      <c r="E140" s="70"/>
      <c r="F140" s="70"/>
      <c r="G140" s="916">
        <f>'matrik MISI 2'!E75</f>
        <v>15</v>
      </c>
      <c r="H140" s="916" t="str">
        <f>'matrik MISI 2'!F75</f>
        <v>Meningkatnya Prestasi Pemuda dan Atlit Olahraga</v>
      </c>
      <c r="I140" s="2" t="str">
        <f>'matrik MISI 2'!N76</f>
        <v>Kegiatan olah raga</v>
      </c>
      <c r="J140" s="913" t="str">
        <f>'matrik MISI 2'!O76</f>
        <v>Kali</v>
      </c>
      <c r="K140" s="913">
        <f>'matrik MISI 2'!P76</f>
        <v>70</v>
      </c>
      <c r="L140" s="913">
        <f>'matrik MISI 2'!Q76</f>
        <v>80</v>
      </c>
      <c r="M140" s="913">
        <f>'matrik MISI 2'!R76</f>
        <v>80</v>
      </c>
      <c r="N140" s="913">
        <f>'matrik MISI 2'!S76</f>
        <v>81</v>
      </c>
      <c r="O140" s="913">
        <f>'matrik MISI 2'!T76</f>
        <v>80</v>
      </c>
      <c r="P140" s="913">
        <f>'matrik MISI 2'!U76</f>
        <v>82</v>
      </c>
      <c r="Q140" s="913">
        <f>'matrik MISI 2'!V76</f>
        <v>85</v>
      </c>
      <c r="R140" s="913">
        <f>'matrik MISI 2'!W76</f>
        <v>85</v>
      </c>
    </row>
    <row r="141" spans="2:18" ht="31.5">
      <c r="B141" s="914"/>
      <c r="C141" s="70"/>
      <c r="D141" s="70"/>
      <c r="E141" s="70"/>
      <c r="F141" s="70"/>
      <c r="G141" s="70"/>
      <c r="H141" s="70"/>
      <c r="I141" s="2" t="str">
        <f>'matrik MISI 2'!N77</f>
        <v>Besaran Prestasi Olahraga</v>
      </c>
      <c r="J141" s="913" t="str">
        <f>'matrik MISI 2'!O77</f>
        <v>Jumlah Medali</v>
      </c>
      <c r="K141" s="913">
        <f>'matrik MISI 2'!P77</f>
        <v>71</v>
      </c>
      <c r="L141" s="913">
        <f>'matrik MISI 2'!Q77</f>
        <v>65</v>
      </c>
      <c r="M141" s="913">
        <f>'matrik MISI 2'!R77</f>
        <v>70</v>
      </c>
      <c r="N141" s="913">
        <f>'matrik MISI 2'!S77</f>
        <v>75</v>
      </c>
      <c r="O141" s="913">
        <f>'matrik MISI 2'!T77</f>
        <v>80</v>
      </c>
      <c r="P141" s="913">
        <f>'matrik MISI 2'!U77</f>
        <v>85</v>
      </c>
      <c r="Q141" s="913">
        <f>'matrik MISI 2'!V77</f>
        <v>90</v>
      </c>
      <c r="R141" s="913">
        <f>'matrik MISI 2'!W77</f>
        <v>90</v>
      </c>
    </row>
    <row r="142" spans="2:18" ht="31.5">
      <c r="B142" s="914"/>
      <c r="C142" s="70"/>
      <c r="D142" s="70"/>
      <c r="E142" s="917"/>
      <c r="F142" s="917"/>
      <c r="G142" s="917"/>
      <c r="H142" s="917"/>
      <c r="I142" s="2" t="str">
        <f>'matrik MISI 2'!N78</f>
        <v>Besaran Prestasi Kegiatan Kepemudaan</v>
      </c>
      <c r="J142" s="913" t="str">
        <f>'matrik MISI 2'!O78</f>
        <v>Jumlah Prestasi</v>
      </c>
      <c r="K142" s="913">
        <f>'matrik MISI 2'!P78</f>
        <v>4</v>
      </c>
      <c r="L142" s="913">
        <f>'matrik MISI 2'!Q78</f>
        <v>5</v>
      </c>
      <c r="M142" s="913">
        <f>'matrik MISI 2'!R78</f>
        <v>5</v>
      </c>
      <c r="N142" s="913">
        <f>'matrik MISI 2'!S78</f>
        <v>6</v>
      </c>
      <c r="O142" s="913">
        <f>'matrik MISI 2'!T78</f>
        <v>6</v>
      </c>
      <c r="P142" s="913">
        <f>'matrik MISI 2'!U78</f>
        <v>7</v>
      </c>
      <c r="Q142" s="913">
        <f>'matrik MISI 2'!V78</f>
        <v>7</v>
      </c>
      <c r="R142" s="913">
        <f>'matrik MISI 2'!W78</f>
        <v>8</v>
      </c>
    </row>
    <row r="143" spans="2:18" ht="31.5">
      <c r="B143" s="914"/>
      <c r="C143" s="70"/>
      <c r="D143" s="70"/>
      <c r="E143" s="916">
        <v>10</v>
      </c>
      <c r="F143" s="916" t="str">
        <f>'matrik MISI 2'!D79</f>
        <v>Meningkatkan Kualitas Sarana dan Prasarana Keagamaan</v>
      </c>
      <c r="G143" s="916">
        <v>16</v>
      </c>
      <c r="H143" s="916" t="str">
        <f>'matrik MISI 2'!F79</f>
        <v>Meningkatnya Kualitas Sarana dan Prasarana Keagamaan</v>
      </c>
      <c r="I143" s="2" t="str">
        <f>'matrik MISI 2'!N80</f>
        <v>Cakupan Pemberian Bantuan Tempat Ibadah</v>
      </c>
      <c r="J143" s="913" t="str">
        <f>'matrik MISI 2'!O80</f>
        <v>%</v>
      </c>
      <c r="K143" s="913">
        <f>'matrik MISI 2'!P80</f>
        <v>100</v>
      </c>
      <c r="L143" s="913">
        <f>'matrik MISI 2'!Q80</f>
        <v>100</v>
      </c>
      <c r="M143" s="913">
        <f>'matrik MISI 2'!R80</f>
        <v>100</v>
      </c>
      <c r="N143" s="913">
        <f>'matrik MISI 2'!S80</f>
        <v>100</v>
      </c>
      <c r="O143" s="913">
        <f>'matrik MISI 2'!T80</f>
        <v>100</v>
      </c>
      <c r="P143" s="913">
        <f>'matrik MISI 2'!U80</f>
        <v>100</v>
      </c>
      <c r="Q143" s="913">
        <f>'matrik MISI 2'!V80</f>
        <v>100</v>
      </c>
      <c r="R143" s="913">
        <f>'matrik MISI 2'!W80</f>
        <v>100</v>
      </c>
    </row>
    <row r="144" spans="2:18" ht="31.5">
      <c r="B144" s="914"/>
      <c r="C144" s="70"/>
      <c r="D144" s="70"/>
      <c r="E144" s="70"/>
      <c r="F144" s="70"/>
      <c r="G144" s="70"/>
      <c r="H144" s="70"/>
      <c r="I144" s="2" t="str">
        <f>'matrik MISI 2'!N81</f>
        <v>Cakupan Pemberian Bantuan Kepada Pondok Pesantren</v>
      </c>
      <c r="J144" s="913" t="str">
        <f>'matrik MISI 2'!O81</f>
        <v>%</v>
      </c>
      <c r="K144" s="913">
        <f>'matrik MISI 2'!P81</f>
        <v>100</v>
      </c>
      <c r="L144" s="913">
        <f>'matrik MISI 2'!Q81</f>
        <v>100</v>
      </c>
      <c r="M144" s="913">
        <f>'matrik MISI 2'!R81</f>
        <v>100</v>
      </c>
      <c r="N144" s="913">
        <f>'matrik MISI 2'!S81</f>
        <v>100</v>
      </c>
      <c r="O144" s="913">
        <f>'matrik MISI 2'!T81</f>
        <v>100</v>
      </c>
      <c r="P144" s="913">
        <f>'matrik MISI 2'!U81</f>
        <v>100</v>
      </c>
      <c r="Q144" s="913">
        <f>'matrik MISI 2'!V81</f>
        <v>100</v>
      </c>
      <c r="R144" s="913">
        <f>'matrik MISI 2'!W81</f>
        <v>100</v>
      </c>
    </row>
    <row r="145" spans="2:18" ht="31.5">
      <c r="B145" s="914"/>
      <c r="C145" s="70"/>
      <c r="D145" s="70"/>
      <c r="E145" s="70"/>
      <c r="F145" s="70"/>
      <c r="G145" s="70"/>
      <c r="H145" s="70"/>
      <c r="I145" s="2" t="str">
        <f>'matrik MISI 2'!N82</f>
        <v>Cakupan Pemberian Bantuan Kepada TPQ</v>
      </c>
      <c r="J145" s="913" t="str">
        <f>'matrik MISI 2'!O82</f>
        <v>%</v>
      </c>
      <c r="K145" s="913">
        <f>'matrik MISI 2'!P82</f>
        <v>100</v>
      </c>
      <c r="L145" s="913">
        <f>'matrik MISI 2'!Q82</f>
        <v>100</v>
      </c>
      <c r="M145" s="913">
        <f>'matrik MISI 2'!R82</f>
        <v>100</v>
      </c>
      <c r="N145" s="913">
        <f>'matrik MISI 2'!S82</f>
        <v>100</v>
      </c>
      <c r="O145" s="913">
        <f>'matrik MISI 2'!T82</f>
        <v>100</v>
      </c>
      <c r="P145" s="913">
        <f>'matrik MISI 2'!U82</f>
        <v>100</v>
      </c>
      <c r="Q145" s="913">
        <f>'matrik MISI 2'!V82</f>
        <v>100</v>
      </c>
      <c r="R145" s="913">
        <f>'matrik MISI 2'!W82</f>
        <v>100</v>
      </c>
    </row>
    <row r="146" spans="2:18" ht="31.5">
      <c r="B146" s="914"/>
      <c r="C146" s="70"/>
      <c r="D146" s="70"/>
      <c r="E146" s="917"/>
      <c r="F146" s="917"/>
      <c r="G146" s="917"/>
      <c r="H146" s="917"/>
      <c r="I146" s="2" t="str">
        <f>'matrik MISI 2'!N83</f>
        <v>Cakupan Pemberian Bantuan Kepada Madrasah Diniyah</v>
      </c>
      <c r="J146" s="913" t="str">
        <f>'matrik MISI 2'!O83</f>
        <v>%</v>
      </c>
      <c r="K146" s="913">
        <f>'matrik MISI 2'!P83</f>
        <v>100</v>
      </c>
      <c r="L146" s="913">
        <f>'matrik MISI 2'!Q83</f>
        <v>100</v>
      </c>
      <c r="M146" s="913">
        <f>'matrik MISI 2'!R83</f>
        <v>100</v>
      </c>
      <c r="N146" s="913">
        <f>'matrik MISI 2'!S83</f>
        <v>100</v>
      </c>
      <c r="O146" s="913">
        <f>'matrik MISI 2'!T83</f>
        <v>100</v>
      </c>
      <c r="P146" s="913">
        <f>'matrik MISI 2'!U83</f>
        <v>100</v>
      </c>
      <c r="Q146" s="913">
        <f>'matrik MISI 2'!V83</f>
        <v>100</v>
      </c>
      <c r="R146" s="913">
        <f>'matrik MISI 2'!W83</f>
        <v>100</v>
      </c>
    </row>
    <row r="147" spans="2:18" ht="47.25">
      <c r="B147" s="914"/>
      <c r="C147" s="70"/>
      <c r="D147" s="70"/>
      <c r="E147" s="916">
        <v>11</v>
      </c>
      <c r="F147" s="916" t="str">
        <f>'matrik MISI 2'!D84</f>
        <v>Mengembangkan dan Melestarikan Kebudayaan Daerah</v>
      </c>
      <c r="G147" s="916">
        <v>17</v>
      </c>
      <c r="H147" s="916" t="str">
        <f>'matrik MISI 2'!F84</f>
        <v>Meningkatnya Pengembangan dan Pelestarian Kebudayaan Daerah</v>
      </c>
      <c r="I147" s="2" t="str">
        <f>'matrik MISI 2'!N85</f>
        <v>Cakupan Pemeliharaan Nilai Tradisi Budaya</v>
      </c>
      <c r="J147" s="913" t="str">
        <f>'matrik MISI 2'!O85</f>
        <v>%</v>
      </c>
      <c r="K147" s="913">
        <f>'matrik MISI 2'!P85</f>
        <v>0.05</v>
      </c>
      <c r="L147" s="913">
        <f>'matrik MISI 2'!Q85</f>
        <v>0.1</v>
      </c>
      <c r="M147" s="913">
        <f>'matrik MISI 2'!R85</f>
        <v>0.15</v>
      </c>
      <c r="N147" s="913">
        <f>'matrik MISI 2'!S85</f>
        <v>0.18</v>
      </c>
      <c r="O147" s="913">
        <f>'matrik MISI 2'!T85</f>
        <v>0.21</v>
      </c>
      <c r="P147" s="913">
        <f>'matrik MISI 2'!U85</f>
        <v>0.25</v>
      </c>
      <c r="Q147" s="913">
        <f>'matrik MISI 2'!V85</f>
        <v>0.28000000000000003</v>
      </c>
      <c r="R147" s="913">
        <f>'matrik MISI 2'!W85</f>
        <v>0.28000000000000003</v>
      </c>
    </row>
    <row r="148" spans="2:18" ht="31.5">
      <c r="B148" s="914"/>
      <c r="C148" s="70"/>
      <c r="D148" s="70"/>
      <c r="E148" s="70"/>
      <c r="F148" s="70"/>
      <c r="G148" s="917"/>
      <c r="H148" s="917"/>
      <c r="I148" s="2" t="str">
        <f>'matrik MISI 2'!N86</f>
        <v>Cakupan Pemeliharaan Benda-benda Bersejarah dan Arkeologi</v>
      </c>
      <c r="J148" s="913">
        <f>'matrik MISI 2'!O86</f>
        <v>0</v>
      </c>
      <c r="K148" s="913">
        <f>'matrik MISI 2'!P86</f>
        <v>6.38</v>
      </c>
      <c r="L148" s="913">
        <f>'matrik MISI 2'!Q86</f>
        <v>6.38</v>
      </c>
      <c r="M148" s="913">
        <f>'matrik MISI 2'!R86</f>
        <v>6.38</v>
      </c>
      <c r="N148" s="913">
        <f>'matrik MISI 2'!S86</f>
        <v>6.38</v>
      </c>
      <c r="O148" s="913">
        <f>'matrik MISI 2'!T86</f>
        <v>6.38</v>
      </c>
      <c r="P148" s="913">
        <f>'matrik MISI 2'!U86</f>
        <v>6.38</v>
      </c>
      <c r="Q148" s="913">
        <f>'matrik MISI 2'!V86</f>
        <v>6.38</v>
      </c>
      <c r="R148" s="913">
        <f>'matrik MISI 2'!W86</f>
        <v>6.38</v>
      </c>
    </row>
    <row r="149" spans="2:18" ht="31.5">
      <c r="B149" s="914"/>
      <c r="C149" s="70"/>
      <c r="D149" s="70"/>
      <c r="E149" s="70"/>
      <c r="F149" s="70"/>
      <c r="G149" s="916">
        <v>18</v>
      </c>
      <c r="H149" s="916" t="str">
        <f>'matrik MISI 2'!F87</f>
        <v>Meningkatnya Promosi Seni dan Cagar Budaya</v>
      </c>
      <c r="I149" s="2" t="str">
        <f>'matrik MISI 2'!N88</f>
        <v>Cakupan Kajian Seni</v>
      </c>
      <c r="J149" s="913" t="str">
        <f>'matrik MISI 2'!O88</f>
        <v>%</v>
      </c>
      <c r="K149" s="913">
        <f>'matrik MISI 2'!P88</f>
        <v>6.6</v>
      </c>
      <c r="L149" s="913">
        <f>'matrik MISI 2'!Q88</f>
        <v>13.3</v>
      </c>
      <c r="M149" s="913">
        <f>'matrik MISI 2'!R88</f>
        <v>20</v>
      </c>
      <c r="N149" s="913">
        <f>'matrik MISI 2'!S88</f>
        <v>26.6</v>
      </c>
      <c r="O149" s="913">
        <f>'matrik MISI 2'!T88</f>
        <v>26.6</v>
      </c>
      <c r="P149" s="913">
        <f>'matrik MISI 2'!U88</f>
        <v>33.299999999999997</v>
      </c>
      <c r="Q149" s="913">
        <f>'matrik MISI 2'!V88</f>
        <v>33.299999999999997</v>
      </c>
      <c r="R149" s="913">
        <f>'matrik MISI 2'!W88</f>
        <v>33.299999999999997</v>
      </c>
    </row>
    <row r="150" spans="2:18">
      <c r="B150" s="914"/>
      <c r="C150" s="70"/>
      <c r="D150" s="70"/>
      <c r="E150" s="70"/>
      <c r="F150" s="70"/>
      <c r="G150" s="70"/>
      <c r="H150" s="70"/>
      <c r="I150" s="2" t="str">
        <f>'matrik MISI 2'!N89</f>
        <v xml:space="preserve">Cakupan Fasilitas Seni </v>
      </c>
      <c r="J150" s="913" t="str">
        <f>'matrik MISI 2'!O89</f>
        <v>%</v>
      </c>
      <c r="K150" s="913">
        <f>'matrik MISI 2'!P89</f>
        <v>42.8</v>
      </c>
      <c r="L150" s="913">
        <f>'matrik MISI 2'!Q89</f>
        <v>42.8</v>
      </c>
      <c r="M150" s="913">
        <f>'matrik MISI 2'!R89</f>
        <v>57.1</v>
      </c>
      <c r="N150" s="913">
        <f>'matrik MISI 2'!S89</f>
        <v>57.1</v>
      </c>
      <c r="O150" s="913">
        <f>'matrik MISI 2'!T89</f>
        <v>71.400000000000006</v>
      </c>
      <c r="P150" s="913">
        <f>'matrik MISI 2'!U89</f>
        <v>71.400000000000006</v>
      </c>
      <c r="Q150" s="913">
        <f>'matrik MISI 2'!V89</f>
        <v>85.7</v>
      </c>
      <c r="R150" s="913">
        <f>'matrik MISI 2'!W89</f>
        <v>85.7</v>
      </c>
    </row>
    <row r="151" spans="2:18">
      <c r="B151" s="914"/>
      <c r="C151" s="70"/>
      <c r="D151" s="70"/>
      <c r="E151" s="70"/>
      <c r="F151" s="70"/>
      <c r="G151" s="70"/>
      <c r="H151" s="70"/>
      <c r="I151" s="2" t="str">
        <f>'matrik MISI 2'!N90</f>
        <v xml:space="preserve">Cakupan Gelar Seni </v>
      </c>
      <c r="J151" s="913" t="str">
        <f>'matrik MISI 2'!O90</f>
        <v>%</v>
      </c>
      <c r="K151" s="913">
        <f>'matrik MISI 2'!P90</f>
        <v>50</v>
      </c>
      <c r="L151" s="913">
        <f>'matrik MISI 2'!Q90</f>
        <v>50</v>
      </c>
      <c r="M151" s="913">
        <f>'matrik MISI 2'!R90</f>
        <v>50</v>
      </c>
      <c r="N151" s="913">
        <f>'matrik MISI 2'!S90</f>
        <v>75</v>
      </c>
      <c r="O151" s="913">
        <f>'matrik MISI 2'!T90</f>
        <v>75</v>
      </c>
      <c r="P151" s="913">
        <f>'matrik MISI 2'!U90</f>
        <v>100</v>
      </c>
      <c r="Q151" s="913">
        <f>'matrik MISI 2'!V90</f>
        <v>100</v>
      </c>
      <c r="R151" s="913">
        <f>'matrik MISI 2'!W90</f>
        <v>100</v>
      </c>
    </row>
    <row r="152" spans="2:18">
      <c r="B152" s="914"/>
      <c r="C152" s="70"/>
      <c r="D152" s="70"/>
      <c r="E152" s="70"/>
      <c r="F152" s="70"/>
      <c r="G152" s="70"/>
      <c r="H152" s="70"/>
      <c r="I152" s="2" t="str">
        <f>'matrik MISI 2'!N91</f>
        <v xml:space="preserve">Cakupan Misi Kesenian </v>
      </c>
      <c r="J152" s="913" t="str">
        <f>'matrik MISI 2'!O91</f>
        <v>%</v>
      </c>
      <c r="K152" s="913">
        <f>'matrik MISI 2'!P91</f>
        <v>60</v>
      </c>
      <c r="L152" s="913">
        <f>'matrik MISI 2'!Q91</f>
        <v>65</v>
      </c>
      <c r="M152" s="913">
        <f>'matrik MISI 2'!R91</f>
        <v>75</v>
      </c>
      <c r="N152" s="913">
        <f>'matrik MISI 2'!S91</f>
        <v>80</v>
      </c>
      <c r="O152" s="913">
        <f>'matrik MISI 2'!T91</f>
        <v>85</v>
      </c>
      <c r="P152" s="913">
        <f>'matrik MISI 2'!U91</f>
        <v>90</v>
      </c>
      <c r="Q152" s="913">
        <f>'matrik MISI 2'!V91</f>
        <v>95</v>
      </c>
      <c r="R152" s="913">
        <f>'matrik MISI 2'!W91</f>
        <v>95</v>
      </c>
    </row>
    <row r="153" spans="2:18" ht="31.5">
      <c r="B153" s="914"/>
      <c r="C153" s="70"/>
      <c r="D153" s="70"/>
      <c r="E153" s="70"/>
      <c r="F153" s="70"/>
      <c r="G153" s="70"/>
      <c r="H153" s="70"/>
      <c r="I153" s="2" t="str">
        <f>'matrik MISI 2'!N92</f>
        <v>Cakupan Sumber Daya Manusia Kesenian</v>
      </c>
      <c r="J153" s="913" t="str">
        <f>'matrik MISI 2'!O92</f>
        <v>%</v>
      </c>
      <c r="K153" s="913">
        <f>'matrik MISI 2'!P92</f>
        <v>50</v>
      </c>
      <c r="L153" s="913">
        <f>'matrik MISI 2'!Q92</f>
        <v>50</v>
      </c>
      <c r="M153" s="913">
        <f>'matrik MISI 2'!R92</f>
        <v>50</v>
      </c>
      <c r="N153" s="913">
        <f>'matrik MISI 2'!S92</f>
        <v>62.5</v>
      </c>
      <c r="O153" s="913">
        <f>'matrik MISI 2'!T92</f>
        <v>75</v>
      </c>
      <c r="P153" s="913">
        <f>'matrik MISI 2'!U92</f>
        <v>75</v>
      </c>
      <c r="Q153" s="913">
        <f>'matrik MISI 2'!V92</f>
        <v>87.5</v>
      </c>
      <c r="R153" s="913">
        <f>'matrik MISI 2'!W92</f>
        <v>87.5</v>
      </c>
    </row>
    <row r="154" spans="2:18">
      <c r="B154" s="914"/>
      <c r="C154" s="70"/>
      <c r="D154" s="70"/>
      <c r="E154" s="70"/>
      <c r="F154" s="70"/>
      <c r="G154" s="70"/>
      <c r="H154" s="70"/>
      <c r="I154" s="2" t="str">
        <f>'matrik MISI 2'!N93</f>
        <v>Cakupan Tempat Kesenian</v>
      </c>
      <c r="J154" s="913" t="str">
        <f>'matrik MISI 2'!O93</f>
        <v>%</v>
      </c>
      <c r="K154" s="913">
        <f>'matrik MISI 2'!P93</f>
        <v>50</v>
      </c>
      <c r="L154" s="913">
        <f>'matrik MISI 2'!Q93</f>
        <v>50</v>
      </c>
      <c r="M154" s="913">
        <f>'matrik MISI 2'!R93</f>
        <v>50</v>
      </c>
      <c r="N154" s="913">
        <f>'matrik MISI 2'!S93</f>
        <v>50</v>
      </c>
      <c r="O154" s="913">
        <f>'matrik MISI 2'!T93</f>
        <v>50</v>
      </c>
      <c r="P154" s="913">
        <f>'matrik MISI 2'!U93</f>
        <v>50</v>
      </c>
      <c r="Q154" s="913">
        <f>'matrik MISI 2'!V93</f>
        <v>50</v>
      </c>
      <c r="R154" s="913">
        <f>'matrik MISI 2'!W93</f>
        <v>50</v>
      </c>
    </row>
    <row r="155" spans="2:18">
      <c r="B155" s="914"/>
      <c r="C155" s="70"/>
      <c r="D155" s="70"/>
      <c r="E155" s="917"/>
      <c r="F155" s="917"/>
      <c r="G155" s="917"/>
      <c r="H155" s="917"/>
      <c r="I155" s="2" t="str">
        <f>'matrik MISI 2'!N94</f>
        <v>Cakupan Organisasi Kesenian</v>
      </c>
      <c r="J155" s="913" t="str">
        <f>'matrik MISI 2'!O94</f>
        <v>%</v>
      </c>
      <c r="K155" s="913">
        <f>'matrik MISI 2'!P94</f>
        <v>100</v>
      </c>
      <c r="L155" s="913">
        <f>'matrik MISI 2'!Q94</f>
        <v>100</v>
      </c>
      <c r="M155" s="913">
        <f>'matrik MISI 2'!R94</f>
        <v>100</v>
      </c>
      <c r="N155" s="913">
        <f>'matrik MISI 2'!S94</f>
        <v>100</v>
      </c>
      <c r="O155" s="913">
        <f>'matrik MISI 2'!T94</f>
        <v>100</v>
      </c>
      <c r="P155" s="913">
        <f>'matrik MISI 2'!U94</f>
        <v>100</v>
      </c>
      <c r="Q155" s="913">
        <f>'matrik MISI 2'!V94</f>
        <v>100</v>
      </c>
      <c r="R155" s="913">
        <f>'matrik MISI 2'!W94</f>
        <v>100</v>
      </c>
    </row>
    <row r="156" spans="2:18" ht="31.5">
      <c r="B156" s="914"/>
      <c r="C156" s="70"/>
      <c r="D156" s="70"/>
      <c r="E156" s="916">
        <v>12</v>
      </c>
      <c r="F156" s="916" t="str">
        <f>'matrik MISI 2'!D95</f>
        <v>Meningkatkan Sarana Budaya dan Kebudayaan</v>
      </c>
      <c r="G156" s="916">
        <v>19</v>
      </c>
      <c r="H156" s="916" t="str">
        <f>'matrik MISI 2'!F95</f>
        <v>Meningkatnya Sarana Budaya dan Kebudayaan</v>
      </c>
      <c r="I156" s="2" t="str">
        <f>'matrik MISI 2'!N96</f>
        <v>Cakupan Fasilitas Cagar Budaya</v>
      </c>
      <c r="J156" s="913" t="str">
        <f>'matrik MISI 2'!O96</f>
        <v>%</v>
      </c>
      <c r="K156" s="913">
        <f>'matrik MISI 2'!P96</f>
        <v>2.12</v>
      </c>
      <c r="L156" s="913">
        <f>'matrik MISI 2'!Q96</f>
        <v>2.12</v>
      </c>
      <c r="M156" s="913">
        <f>'matrik MISI 2'!R96</f>
        <v>2.12</v>
      </c>
      <c r="N156" s="913">
        <f>'matrik MISI 2'!S96</f>
        <v>2.12</v>
      </c>
      <c r="O156" s="913">
        <f>'matrik MISI 2'!T96</f>
        <v>2.12</v>
      </c>
      <c r="P156" s="913">
        <f>'matrik MISI 2'!U96</f>
        <v>2.12</v>
      </c>
      <c r="Q156" s="913">
        <f>'matrik MISI 2'!V96</f>
        <v>2.12</v>
      </c>
      <c r="R156" s="913">
        <f>'matrik MISI 2'!W96</f>
        <v>2.12</v>
      </c>
    </row>
    <row r="157" spans="2:18">
      <c r="B157" s="914"/>
      <c r="C157" s="70"/>
      <c r="D157" s="70"/>
      <c r="E157" s="70"/>
      <c r="F157" s="70"/>
      <c r="G157" s="70"/>
      <c r="H157" s="70"/>
      <c r="I157" s="2" t="str">
        <f>'matrik MISI 2'!N97</f>
        <v>Cakupan Promosi Cagar Budaya</v>
      </c>
      <c r="J157" s="913" t="str">
        <f>'matrik MISI 2'!O97</f>
        <v>%</v>
      </c>
      <c r="K157" s="913">
        <f>'matrik MISI 2'!P97</f>
        <v>0.02</v>
      </c>
      <c r="L157" s="913">
        <f>'matrik MISI 2'!Q97</f>
        <v>0.02</v>
      </c>
      <c r="M157" s="913">
        <f>'matrik MISI 2'!R97</f>
        <v>0.02</v>
      </c>
      <c r="N157" s="913">
        <f>'matrik MISI 2'!S97</f>
        <v>0.31</v>
      </c>
      <c r="O157" s="913">
        <f>'matrik MISI 2'!T97</f>
        <v>0.42</v>
      </c>
      <c r="P157" s="913">
        <f>'matrik MISI 2'!U97</f>
        <v>0.53</v>
      </c>
      <c r="Q157" s="913">
        <f>'matrik MISI 2'!V97</f>
        <v>0.63</v>
      </c>
      <c r="R157" s="913">
        <f>'matrik MISI 2'!W97</f>
        <v>0.65</v>
      </c>
    </row>
    <row r="158" spans="2:18" ht="47.25">
      <c r="B158" s="914"/>
      <c r="C158" s="70"/>
      <c r="D158" s="70"/>
      <c r="E158" s="917"/>
      <c r="F158" s="917"/>
      <c r="G158" s="917"/>
      <c r="H158" s="917"/>
      <c r="I158" s="2" t="str">
        <f>'matrik MISI 2'!N98</f>
        <v>Cakupan Pengembangan Sarana dan Prasarana Budaya dan Kebudayaan</v>
      </c>
      <c r="J158" s="913" t="str">
        <f>'matrik MISI 2'!O98</f>
        <v>%</v>
      </c>
      <c r="K158" s="913">
        <f>'matrik MISI 2'!P98</f>
        <v>100</v>
      </c>
      <c r="L158" s="913">
        <f>'matrik MISI 2'!Q98</f>
        <v>100</v>
      </c>
      <c r="M158" s="913">
        <f>'matrik MISI 2'!R98</f>
        <v>100</v>
      </c>
      <c r="N158" s="913">
        <f>'matrik MISI 2'!S98</f>
        <v>100</v>
      </c>
      <c r="O158" s="913">
        <f>'matrik MISI 2'!T98</f>
        <v>100</v>
      </c>
      <c r="P158" s="913">
        <f>'matrik MISI 2'!U98</f>
        <v>100</v>
      </c>
      <c r="Q158" s="913">
        <f>'matrik MISI 2'!V98</f>
        <v>100</v>
      </c>
      <c r="R158" s="913">
        <f>'matrik MISI 2'!W98</f>
        <v>100</v>
      </c>
    </row>
    <row r="159" spans="2:18" ht="47.25">
      <c r="B159" s="914"/>
      <c r="C159" s="70"/>
      <c r="D159" s="70"/>
      <c r="E159" s="916">
        <v>13</v>
      </c>
      <c r="F159" s="916" t="str">
        <f>'matrik MISI 2'!D99</f>
        <v>Meningkatkan Kualitas Kehidupan Politik, Wawasan Kebangsaan, Keamanan, dan Ketertiban</v>
      </c>
      <c r="G159" s="916">
        <v>20</v>
      </c>
      <c r="H159" s="916" t="str">
        <f>'matrik MISI 2'!F99</f>
        <v xml:space="preserve">Meningkatnya Kualitas Kehidupan Politik dan Wawasan Kebangsaan </v>
      </c>
      <c r="I159" s="2" t="str">
        <f>'matrik MISI 2'!N100</f>
        <v>Persentase Peserta Kegiatan Politik Masyarakat</v>
      </c>
      <c r="J159" s="913" t="str">
        <f>'matrik MISI 2'!O100</f>
        <v>%</v>
      </c>
      <c r="K159" s="913">
        <f>'matrik MISI 2'!P100</f>
        <v>100</v>
      </c>
      <c r="L159" s="913">
        <f>'matrik MISI 2'!Q100</f>
        <v>100</v>
      </c>
      <c r="M159" s="913">
        <f>'matrik MISI 2'!R100</f>
        <v>100</v>
      </c>
      <c r="N159" s="913">
        <f>'matrik MISI 2'!S100</f>
        <v>100</v>
      </c>
      <c r="O159" s="913">
        <f>'matrik MISI 2'!T100</f>
        <v>100</v>
      </c>
      <c r="P159" s="913">
        <f>'matrik MISI 2'!U100</f>
        <v>100</v>
      </c>
      <c r="Q159" s="913">
        <f>'matrik MISI 2'!V100</f>
        <v>100</v>
      </c>
      <c r="R159" s="913">
        <f>'matrik MISI 2'!W100</f>
        <v>100</v>
      </c>
    </row>
    <row r="160" spans="2:18" ht="31.5">
      <c r="B160" s="914"/>
      <c r="C160" s="70"/>
      <c r="D160" s="70"/>
      <c r="E160" s="70"/>
      <c r="F160" s="70"/>
      <c r="G160" s="70"/>
      <c r="H160" s="70"/>
      <c r="I160" s="2" t="str">
        <f>'matrik MISI 2'!N101</f>
        <v>Persentase Kasus Pekat yang Tertangani</v>
      </c>
      <c r="J160" s="913" t="str">
        <f>'matrik MISI 2'!O101</f>
        <v>%</v>
      </c>
      <c r="K160" s="913">
        <f>'matrik MISI 2'!P101</f>
        <v>100</v>
      </c>
      <c r="L160" s="913">
        <f>'matrik MISI 2'!Q101</f>
        <v>100</v>
      </c>
      <c r="M160" s="913">
        <f>'matrik MISI 2'!R101</f>
        <v>100</v>
      </c>
      <c r="N160" s="913">
        <f>'matrik MISI 2'!S101</f>
        <v>100</v>
      </c>
      <c r="O160" s="913">
        <f>'matrik MISI 2'!T101</f>
        <v>100</v>
      </c>
      <c r="P160" s="913">
        <f>'matrik MISI 2'!U101</f>
        <v>100</v>
      </c>
      <c r="Q160" s="913">
        <f>'matrik MISI 2'!V101</f>
        <v>100</v>
      </c>
      <c r="R160" s="913">
        <f>'matrik MISI 2'!W101</f>
        <v>100</v>
      </c>
    </row>
    <row r="161" spans="2:18">
      <c r="B161" s="914"/>
      <c r="C161" s="70"/>
      <c r="D161" s="70"/>
      <c r="E161" s="70"/>
      <c r="F161" s="70"/>
      <c r="G161" s="70"/>
      <c r="H161" s="70"/>
      <c r="I161" s="2" t="str">
        <f>'matrik MISI 2'!N102</f>
        <v xml:space="preserve">Persentase Partisipasi Pemilih </v>
      </c>
      <c r="J161" s="913" t="str">
        <f>'matrik MISI 2'!O102</f>
        <v>%</v>
      </c>
      <c r="K161" s="913" t="str">
        <f>'matrik MISI 2'!P102</f>
        <v xml:space="preserve"> - </v>
      </c>
      <c r="L161" s="913">
        <f>'matrik MISI 2'!Q102</f>
        <v>86</v>
      </c>
      <c r="M161" s="913" t="str">
        <f>'matrik MISI 2'!R102</f>
        <v xml:space="preserve"> - </v>
      </c>
      <c r="N161" s="913" t="str">
        <f>'matrik MISI 2'!S102</f>
        <v xml:space="preserve"> - </v>
      </c>
      <c r="O161" s="913" t="str">
        <f>'matrik MISI 2'!T102</f>
        <v xml:space="preserve"> - </v>
      </c>
      <c r="P161" s="913" t="str">
        <f>'matrik MISI 2'!U102</f>
        <v xml:space="preserve"> - </v>
      </c>
      <c r="Q161" s="913">
        <f>'matrik MISI 2'!V102</f>
        <v>100</v>
      </c>
      <c r="R161" s="913">
        <f>'matrik MISI 2'!W102</f>
        <v>100</v>
      </c>
    </row>
    <row r="162" spans="2:18">
      <c r="B162" s="914"/>
      <c r="C162" s="70"/>
      <c r="D162" s="70"/>
      <c r="E162" s="70"/>
      <c r="F162" s="70"/>
      <c r="G162" s="70"/>
      <c r="H162" s="70"/>
      <c r="I162" s="2" t="str">
        <f>'matrik MISI 2'!N103</f>
        <v>Penurunan Kasus SARA</v>
      </c>
      <c r="J162" s="913" t="str">
        <f>'matrik MISI 2'!O103</f>
        <v>%</v>
      </c>
      <c r="K162" s="913">
        <f>'matrik MISI 2'!P103</f>
        <v>0</v>
      </c>
      <c r="L162" s="913">
        <f>'matrik MISI 2'!Q103</f>
        <v>100</v>
      </c>
      <c r="M162" s="913">
        <f>'matrik MISI 2'!R103</f>
        <v>100</v>
      </c>
      <c r="N162" s="913">
        <f>'matrik MISI 2'!S103</f>
        <v>100</v>
      </c>
      <c r="O162" s="913">
        <f>'matrik MISI 2'!T103</f>
        <v>100</v>
      </c>
      <c r="P162" s="913">
        <f>'matrik MISI 2'!U103</f>
        <v>100</v>
      </c>
      <c r="Q162" s="913">
        <f>'matrik MISI 2'!V103</f>
        <v>100</v>
      </c>
      <c r="R162" s="913">
        <f>'matrik MISI 2'!W103</f>
        <v>100</v>
      </c>
    </row>
    <row r="163" spans="2:18" ht="31.5">
      <c r="B163" s="914"/>
      <c r="C163" s="70"/>
      <c r="D163" s="70"/>
      <c r="E163" s="70"/>
      <c r="F163" s="70"/>
      <c r="G163" s="917"/>
      <c r="H163" s="917"/>
      <c r="I163" s="2" t="str">
        <f>'matrik MISI 2'!N104</f>
        <v>Persentase Penanganan Tindak Penyalahgunaan Narkotika</v>
      </c>
      <c r="J163" s="913" t="str">
        <f>'matrik MISI 2'!O104</f>
        <v>%</v>
      </c>
      <c r="K163" s="913">
        <f>'matrik MISI 2'!P104</f>
        <v>100</v>
      </c>
      <c r="L163" s="913">
        <f>'matrik MISI 2'!Q104</f>
        <v>100</v>
      </c>
      <c r="M163" s="913">
        <f>'matrik MISI 2'!R104</f>
        <v>100</v>
      </c>
      <c r="N163" s="913">
        <f>'matrik MISI 2'!S104</f>
        <v>100</v>
      </c>
      <c r="O163" s="913">
        <f>'matrik MISI 2'!T104</f>
        <v>100</v>
      </c>
      <c r="P163" s="913">
        <f>'matrik MISI 2'!U104</f>
        <v>100</v>
      </c>
      <c r="Q163" s="913">
        <f>'matrik MISI 2'!V104</f>
        <v>100</v>
      </c>
      <c r="R163" s="913">
        <f>'matrik MISI 2'!W104</f>
        <v>100</v>
      </c>
    </row>
    <row r="164" spans="2:18" ht="31.5">
      <c r="B164" s="914"/>
      <c r="C164" s="70"/>
      <c r="D164" s="70"/>
      <c r="E164" s="70"/>
      <c r="F164" s="70"/>
      <c r="G164" s="916">
        <v>21</v>
      </c>
      <c r="H164" s="916" t="str">
        <f>'matrik MISI 2'!F105</f>
        <v>Meningkatnya Ketertiban dan Keamanan</v>
      </c>
      <c r="I164" s="2" t="str">
        <f>'matrik MISI 2'!N106</f>
        <v>Cakupan Penegakan Perda dan Peraturan Kepala Daerah</v>
      </c>
      <c r="J164" s="913" t="str">
        <f>'matrik MISI 2'!O106</f>
        <v>%</v>
      </c>
      <c r="K164" s="913">
        <f>'matrik MISI 2'!P106</f>
        <v>50</v>
      </c>
      <c r="L164" s="913">
        <f>'matrik MISI 2'!Q106</f>
        <v>50</v>
      </c>
      <c r="M164" s="913">
        <f>'matrik MISI 2'!R106</f>
        <v>100</v>
      </c>
      <c r="N164" s="913">
        <f>'matrik MISI 2'!S106</f>
        <v>100</v>
      </c>
      <c r="O164" s="913">
        <f>'matrik MISI 2'!T106</f>
        <v>100</v>
      </c>
      <c r="P164" s="913">
        <f>'matrik MISI 2'!U106</f>
        <v>100</v>
      </c>
      <c r="Q164" s="913">
        <f>'matrik MISI 2'!V106</f>
        <v>100</v>
      </c>
      <c r="R164" s="913">
        <f>'matrik MISI 2'!W106</f>
        <v>100</v>
      </c>
    </row>
    <row r="165" spans="2:18">
      <c r="B165" s="914"/>
      <c r="C165" s="70"/>
      <c r="D165" s="70"/>
      <c r="E165" s="70"/>
      <c r="F165" s="70"/>
      <c r="G165" s="70"/>
      <c r="H165" s="70"/>
      <c r="I165" s="2" t="str">
        <f>'matrik MISI 2'!N107</f>
        <v>Angka Kriminalitas</v>
      </c>
      <c r="J165" s="913" t="str">
        <f>'matrik MISI 2'!O107</f>
        <v>angka</v>
      </c>
      <c r="K165" s="913" t="str">
        <f>'matrik MISI 2'!P107</f>
        <v>0,46</v>
      </c>
      <c r="L165" s="913" t="str">
        <f>'matrik MISI 2'!Q107</f>
        <v>0,40</v>
      </c>
      <c r="M165" s="913" t="str">
        <f>'matrik MISI 2'!R107</f>
        <v>0,5</v>
      </c>
      <c r="N165" s="913" t="str">
        <f>'matrik MISI 2'!S107</f>
        <v>0,48</v>
      </c>
      <c r="O165" s="913" t="str">
        <f>'matrik MISI 2'!T107</f>
        <v>0,47</v>
      </c>
      <c r="P165" s="913" t="str">
        <f>'matrik MISI 2'!U107</f>
        <v>0,47</v>
      </c>
      <c r="Q165" s="913" t="str">
        <f>'matrik MISI 2'!V107</f>
        <v>0,46</v>
      </c>
      <c r="R165" s="913" t="str">
        <f>'matrik MISI 2'!W107</f>
        <v>0,46</v>
      </c>
    </row>
    <row r="166" spans="2:18" ht="31.5">
      <c r="B166" s="914"/>
      <c r="C166" s="70"/>
      <c r="D166" s="70"/>
      <c r="E166" s="70"/>
      <c r="F166" s="70"/>
      <c r="G166" s="70"/>
      <c r="H166" s="70"/>
      <c r="I166" s="2" t="str">
        <f>'matrik MISI 2'!N108</f>
        <v>Cakupan Penanganan demonstrasi</v>
      </c>
      <c r="J166" s="913" t="str">
        <f>'matrik MISI 2'!O108</f>
        <v>%</v>
      </c>
      <c r="K166" s="913">
        <f>'matrik MISI 2'!P108</f>
        <v>100</v>
      </c>
      <c r="L166" s="913">
        <f>'matrik MISI 2'!Q108</f>
        <v>100</v>
      </c>
      <c r="M166" s="913">
        <f>'matrik MISI 2'!R108</f>
        <v>100</v>
      </c>
      <c r="N166" s="913">
        <f>'matrik MISI 2'!S108</f>
        <v>100</v>
      </c>
      <c r="O166" s="913">
        <f>'matrik MISI 2'!T108</f>
        <v>100</v>
      </c>
      <c r="P166" s="913">
        <f>'matrik MISI 2'!U108</f>
        <v>100</v>
      </c>
      <c r="Q166" s="913">
        <f>'matrik MISI 2'!V108</f>
        <v>100</v>
      </c>
      <c r="R166" s="913">
        <f>'matrik MISI 2'!W108</f>
        <v>100</v>
      </c>
    </row>
    <row r="167" spans="2:18" ht="47.25">
      <c r="B167" s="914"/>
      <c r="C167" s="70"/>
      <c r="D167" s="70"/>
      <c r="E167" s="70"/>
      <c r="F167" s="70"/>
      <c r="G167" s="70"/>
      <c r="H167" s="70"/>
      <c r="I167" s="2" t="str">
        <f>'matrik MISI 2'!N109</f>
        <v>Cakupan Patroli Siaga Ketertiban Umum dan Ketentraman Masyarakat</v>
      </c>
      <c r="J167" s="913" t="str">
        <f>'matrik MISI 2'!O109</f>
        <v>kali</v>
      </c>
      <c r="K167" s="913">
        <f>'matrik MISI 2'!P109</f>
        <v>1</v>
      </c>
      <c r="L167" s="913">
        <f>'matrik MISI 2'!Q109</f>
        <v>1</v>
      </c>
      <c r="M167" s="913">
        <f>'matrik MISI 2'!R109</f>
        <v>1</v>
      </c>
      <c r="N167" s="913">
        <f>'matrik MISI 2'!S109</f>
        <v>1</v>
      </c>
      <c r="O167" s="913">
        <f>'matrik MISI 2'!T109</f>
        <v>1</v>
      </c>
      <c r="P167" s="913">
        <f>'matrik MISI 2'!U109</f>
        <v>2</v>
      </c>
      <c r="Q167" s="913">
        <f>'matrik MISI 2'!V109</f>
        <v>3</v>
      </c>
      <c r="R167" s="913">
        <f>'matrik MISI 2'!W109</f>
        <v>3</v>
      </c>
    </row>
    <row r="168" spans="2:18" ht="31.5">
      <c r="B168" s="914"/>
      <c r="C168" s="70"/>
      <c r="D168" s="70"/>
      <c r="E168" s="70"/>
      <c r="F168" s="70"/>
      <c r="G168" s="70"/>
      <c r="H168" s="70"/>
      <c r="I168" s="2" t="str">
        <f>'matrik MISI 2'!N110</f>
        <v>Rasio Petugas Perlindungan Masyarakat (linmas)</v>
      </c>
      <c r="J168" s="913" t="str">
        <f>'matrik MISI 2'!O110</f>
        <v>Rasio</v>
      </c>
      <c r="K168" s="913" t="str">
        <f>'matrik MISI 2'!P110</f>
        <v>1,64</v>
      </c>
      <c r="L168" s="913" t="str">
        <f>'matrik MISI 2'!Q110</f>
        <v>1,59</v>
      </c>
      <c r="M168" s="913" t="str">
        <f>'matrik MISI 2'!R110</f>
        <v>1,59</v>
      </c>
      <c r="N168" s="913" t="str">
        <f>'matrik MISI 2'!S110</f>
        <v>1,60</v>
      </c>
      <c r="O168" s="913" t="str">
        <f>'matrik MISI 2'!T110</f>
        <v>1,60</v>
      </c>
      <c r="P168" s="913" t="str">
        <f>'matrik MISI 2'!U110</f>
        <v>1,62</v>
      </c>
      <c r="Q168" s="913" t="str">
        <f>'matrik MISI 2'!V110</f>
        <v>1,62</v>
      </c>
      <c r="R168" s="913" t="str">
        <f>'matrik MISI 2'!W110</f>
        <v>1,62</v>
      </c>
    </row>
    <row r="169" spans="2:18" ht="110.25">
      <c r="B169" s="919" t="s">
        <v>694</v>
      </c>
      <c r="C169" s="916">
        <v>3</v>
      </c>
      <c r="D169" s="916" t="str">
        <f>'visi misi'!A9</f>
        <v>Mewujudkan Peningkatan Infrastruktur Permukiman Perdesaan dan Perkotaan yang Layak dan Berwawasan Lingkungan</v>
      </c>
      <c r="E169" s="2">
        <f>'matrik MISI 3'!C6</f>
        <v>1</v>
      </c>
      <c r="F169" s="2" t="str">
        <f>'matrik MISI 3'!D6</f>
        <v>Meningkatkan Infrastruktur Jalan dan Jembatan sebagai penunjang perekonomian</v>
      </c>
      <c r="G169" s="2">
        <f>'matrik MISI 3'!E6</f>
        <v>1</v>
      </c>
      <c r="H169" s="2" t="str">
        <f>'matrik MISI 3'!F6</f>
        <v>Meningkatnya sarana Infrastruktur Jalan dan Jembatan yang Memadai</v>
      </c>
      <c r="I169" s="2" t="str">
        <f>'matrik MISI 3'!N7</f>
        <v xml:space="preserve">Persentase Jalan yang Menjamin Pengguna Jalan Berkendara dengan Selamat </v>
      </c>
      <c r="J169" s="913" t="str">
        <f>'matrik MISI 3'!O7</f>
        <v>%</v>
      </c>
      <c r="K169" s="913">
        <f>'matrik MISI 3'!P7</f>
        <v>74.7</v>
      </c>
      <c r="L169" s="913">
        <f>'matrik MISI 3'!Q7</f>
        <v>69.7</v>
      </c>
      <c r="M169" s="913">
        <f>'matrik MISI 3'!R7</f>
        <v>70</v>
      </c>
      <c r="N169" s="913">
        <f>'matrik MISI 3'!S7</f>
        <v>73</v>
      </c>
      <c r="O169" s="913">
        <f>'matrik MISI 3'!T7</f>
        <v>76</v>
      </c>
      <c r="P169" s="913">
        <f>'matrik MISI 3'!U7</f>
        <v>79</v>
      </c>
      <c r="Q169" s="913">
        <f>'matrik MISI 3'!V7</f>
        <v>82</v>
      </c>
      <c r="R169" s="913">
        <f>'matrik MISI 3'!W7</f>
        <v>82</v>
      </c>
    </row>
    <row r="170" spans="2:18" ht="63">
      <c r="B170" s="914"/>
      <c r="C170" s="70"/>
      <c r="D170" s="70"/>
      <c r="E170" s="916">
        <f>'matrik MISI 3'!C14</f>
        <v>2</v>
      </c>
      <c r="F170" s="916" t="str">
        <f>'matrik MISI 3'!D14</f>
        <v>Meningkatkan Insfrastruktur Sumber Daya Air untuk peningkatan produkivitas perekonomian</v>
      </c>
      <c r="G170" s="916">
        <f>'matrik MISI 3'!E14</f>
        <v>2</v>
      </c>
      <c r="H170" s="916" t="str">
        <f>'matrik MISI 3'!F14</f>
        <v>Meningkatnya sarana dan prasarana Insfrastruktur Sumber Daya Air</v>
      </c>
      <c r="I170" s="2" t="str">
        <f>'matrik MISI 3'!N15</f>
        <v>Persentase Pembangunan Jaringan Irigasi Partisipatif</v>
      </c>
      <c r="J170" s="913" t="str">
        <f>'matrik MISI 3'!O15</f>
        <v>%</v>
      </c>
      <c r="K170" s="913">
        <f>'matrik MISI 3'!P15</f>
        <v>3.4920634920634921</v>
      </c>
      <c r="L170" s="913">
        <f>'matrik MISI 3'!Q15</f>
        <v>4.6031746031746037</v>
      </c>
      <c r="M170" s="913">
        <f>'matrik MISI 3'!R15</f>
        <v>4.9206349206349209</v>
      </c>
      <c r="N170" s="913">
        <f>'matrik MISI 3'!S15</f>
        <v>5.2380952380952381</v>
      </c>
      <c r="O170" s="913">
        <f>'matrik MISI 3'!T15</f>
        <v>5.5555555555555554</v>
      </c>
      <c r="P170" s="913">
        <f>'matrik MISI 3'!U15</f>
        <v>5.8730158730158726</v>
      </c>
      <c r="Q170" s="913">
        <f>'matrik MISI 3'!V15</f>
        <v>6.1904761904761907</v>
      </c>
      <c r="R170" s="913">
        <f>'matrik MISI 3'!W15</f>
        <v>6.1904761904761907</v>
      </c>
    </row>
    <row r="171" spans="2:18" ht="47.25">
      <c r="B171" s="914"/>
      <c r="C171" s="70"/>
      <c r="D171" s="70"/>
      <c r="E171" s="70"/>
      <c r="F171" s="70"/>
      <c r="G171" s="70"/>
      <c r="H171" s="70"/>
      <c r="I171" s="2" t="str">
        <f>'matrik MISI 3'!N16</f>
        <v>Tersedianya sistem jaringan drainase skala kawasan/kota sehingga tidak terjadi genangan</v>
      </c>
      <c r="J171" s="913" t="str">
        <f>'matrik MISI 3'!O16</f>
        <v>%</v>
      </c>
      <c r="K171" s="913">
        <f>'matrik MISI 3'!P16</f>
        <v>30.54</v>
      </c>
      <c r="L171" s="913">
        <f>'matrik MISI 3'!Q16</f>
        <v>30.71</v>
      </c>
      <c r="M171" s="913">
        <f>'matrik MISI 3'!R16</f>
        <v>30.9</v>
      </c>
      <c r="N171" s="913">
        <f>'matrik MISI 3'!S16</f>
        <v>40.1</v>
      </c>
      <c r="O171" s="913">
        <f>'matrik MISI 3'!T16</f>
        <v>40.299999999999997</v>
      </c>
      <c r="P171" s="913">
        <f>'matrik MISI 3'!U16</f>
        <v>40.5</v>
      </c>
      <c r="Q171" s="913">
        <f>'matrik MISI 3'!V16</f>
        <v>40.700000000000003</v>
      </c>
      <c r="R171" s="913">
        <f>'matrik MISI 3'!W16</f>
        <v>40.700000000000003</v>
      </c>
    </row>
    <row r="172" spans="2:18" ht="31.5">
      <c r="B172" s="914"/>
      <c r="C172" s="70"/>
      <c r="D172" s="70"/>
      <c r="E172" s="917"/>
      <c r="F172" s="917"/>
      <c r="G172" s="917"/>
      <c r="H172" s="917"/>
      <c r="I172" s="2" t="str">
        <f>'matrik MISI 3'!N17</f>
        <v>Tersedianya bangunan gedung kantor kecamatan yang memadai</v>
      </c>
      <c r="J172" s="913" t="str">
        <f>'matrik MISI 3'!O17</f>
        <v>Unit</v>
      </c>
      <c r="K172" s="913">
        <f>'matrik MISI 3'!P17</f>
        <v>2</v>
      </c>
      <c r="L172" s="913" t="str">
        <f>'matrik MISI 3'!Q17</f>
        <v>-</v>
      </c>
      <c r="M172" s="913">
        <f>'matrik MISI 3'!R17</f>
        <v>1</v>
      </c>
      <c r="N172" s="913" t="str">
        <f>'matrik MISI 3'!S17</f>
        <v>-</v>
      </c>
      <c r="O172" s="913">
        <f>'matrik MISI 3'!T17</f>
        <v>1</v>
      </c>
      <c r="P172" s="913">
        <f>'matrik MISI 3'!U17</f>
        <v>1</v>
      </c>
      <c r="Q172" s="913">
        <f>'matrik MISI 3'!V17</f>
        <v>1</v>
      </c>
      <c r="R172" s="913">
        <f>'matrik MISI 3'!W17</f>
        <v>4</v>
      </c>
    </row>
    <row r="173" spans="2:18" ht="63">
      <c r="B173" s="914"/>
      <c r="C173" s="70"/>
      <c r="D173" s="70"/>
      <c r="E173" s="2">
        <f>'matrik MISI 3'!C17</f>
        <v>3</v>
      </c>
      <c r="F173" s="2" t="str">
        <f>'matrik MISI 3'!D17</f>
        <v>Meningkatkan pelayanan pemerintahan</v>
      </c>
      <c r="G173" s="2">
        <v>3</v>
      </c>
      <c r="H173" s="2" t="str">
        <f>'matrik MISI 3'!F17</f>
        <v>Meningkatkan pelayanan pemerintahan melalui ketersediaan banguanan instansi pemerintah</v>
      </c>
      <c r="I173" s="2" t="str">
        <f>'matrik MISI 3'!N18</f>
        <v>Cakupan Ketersediaan Rumah Layak Huni</v>
      </c>
      <c r="J173" s="913" t="str">
        <f>'matrik MISI 3'!O18</f>
        <v>%</v>
      </c>
      <c r="K173" s="913" t="str">
        <f>'matrik MISI 3'!P18</f>
        <v>94.3</v>
      </c>
      <c r="L173" s="913" t="str">
        <f>'matrik MISI 3'!Q18</f>
        <v>94.6</v>
      </c>
      <c r="M173" s="913">
        <f>'matrik MISI 3'!R18</f>
        <v>94.92</v>
      </c>
      <c r="N173" s="913">
        <f>'matrik MISI 3'!S18</f>
        <v>95.24</v>
      </c>
      <c r="O173" s="913">
        <f>'matrik MISI 3'!T18</f>
        <v>95.559999999999988</v>
      </c>
      <c r="P173" s="913">
        <f>'matrik MISI 3'!U18</f>
        <v>95.879999999999981</v>
      </c>
      <c r="Q173" s="913">
        <f>'matrik MISI 3'!V18</f>
        <v>96.199999999999974</v>
      </c>
      <c r="R173" s="913">
        <f>'matrik MISI 3'!W18</f>
        <v>96.199999999999974</v>
      </c>
    </row>
    <row r="174" spans="2:18" ht="63">
      <c r="B174" s="914"/>
      <c r="C174" s="70"/>
      <c r="D174" s="70"/>
      <c r="E174" s="916">
        <v>4</v>
      </c>
      <c r="F174" s="916" t="str">
        <f>'matrik MISI 3'!D18</f>
        <v xml:space="preserve">Meningkatkan Sarana dan Prasarana Dasar Permukiman untuk mewujudkan rumah yang layak dan terjangkau </v>
      </c>
      <c r="G174" s="916">
        <f>'matrik MISI 3'!E18</f>
        <v>4</v>
      </c>
      <c r="H174" s="916" t="str">
        <f>'matrik MISI 3'!F18</f>
        <v>Meningkatnya Rumah Sehat dan Layak Huni</v>
      </c>
      <c r="I174" s="2" t="str">
        <f>'matrik MISI 3'!N19</f>
        <v>berkurangnya Luasan Permukiman Kumuh di kawasan perkotaan</v>
      </c>
      <c r="J174" s="913" t="str">
        <f>'matrik MISI 3'!O19</f>
        <v>Hektar (Ha)</v>
      </c>
      <c r="K174" s="913">
        <f>'matrik MISI 3'!P19</f>
        <v>35.56</v>
      </c>
      <c r="L174" s="913">
        <f>'matrik MISI 3'!Q19</f>
        <v>35.56</v>
      </c>
      <c r="M174" s="913">
        <f>'matrik MISI 3'!R19</f>
        <v>32.36</v>
      </c>
      <c r="N174" s="913">
        <f>'matrik MISI 3'!S19</f>
        <v>28.81</v>
      </c>
      <c r="O174" s="913">
        <f>'matrik MISI 3'!T19</f>
        <v>25.42</v>
      </c>
      <c r="P174" s="913">
        <f>'matrik MISI 3'!U19</f>
        <v>22.3</v>
      </c>
      <c r="Q174" s="913">
        <f>'matrik MISI 3'!V19</f>
        <v>19.91</v>
      </c>
      <c r="R174" s="913">
        <f>'matrik MISI 3'!W19</f>
        <v>19.91</v>
      </c>
    </row>
    <row r="175" spans="2:18" ht="31.5">
      <c r="B175" s="914"/>
      <c r="C175" s="70"/>
      <c r="D175" s="70"/>
      <c r="E175" s="70"/>
      <c r="F175" s="70"/>
      <c r="G175" s="70"/>
      <c r="H175" s="70"/>
      <c r="I175" s="2" t="str">
        <f>'matrik MISI 3'!N20</f>
        <v xml:space="preserve">Cakupan Layanan Air Minum yang layak </v>
      </c>
      <c r="J175" s="913" t="str">
        <f>'matrik MISI 3'!O20</f>
        <v>%</v>
      </c>
      <c r="K175" s="913">
        <f>'matrik MISI 3'!P20</f>
        <v>74.48</v>
      </c>
      <c r="L175" s="913">
        <f>'matrik MISI 3'!Q20</f>
        <v>82.48</v>
      </c>
      <c r="M175" s="913">
        <f>'matrik MISI 3'!R20</f>
        <v>84.5</v>
      </c>
      <c r="N175" s="913">
        <f>'matrik MISI 3'!S20</f>
        <v>86.6</v>
      </c>
      <c r="O175" s="913">
        <f>'matrik MISI 3'!T20</f>
        <v>88.1</v>
      </c>
      <c r="P175" s="913">
        <f>'matrik MISI 3'!U20</f>
        <v>90.2</v>
      </c>
      <c r="Q175" s="913">
        <f>'matrik MISI 3'!V20</f>
        <v>91.3</v>
      </c>
      <c r="R175" s="913">
        <f>'matrik MISI 3'!W20</f>
        <v>91.3</v>
      </c>
    </row>
    <row r="176" spans="2:18" ht="31.5">
      <c r="B176" s="914"/>
      <c r="C176" s="70"/>
      <c r="D176" s="70"/>
      <c r="E176" s="70"/>
      <c r="F176" s="70"/>
      <c r="G176" s="70"/>
      <c r="H176" s="70"/>
      <c r="I176" s="2" t="str">
        <f>'matrik MISI 3'!N21</f>
        <v>Cakupan sanitasi pemukiman yang layak</v>
      </c>
      <c r="J176" s="913" t="str">
        <f>'matrik MISI 3'!O21</f>
        <v>%</v>
      </c>
      <c r="K176" s="913">
        <f>'matrik MISI 3'!P21</f>
        <v>70.709999999999994</v>
      </c>
      <c r="L176" s="913">
        <f>'matrik MISI 3'!Q21</f>
        <v>74.28</v>
      </c>
      <c r="M176" s="913">
        <f>'matrik MISI 3'!R21</f>
        <v>74.900000000000006</v>
      </c>
      <c r="N176" s="913">
        <f>'matrik MISI 3'!S21</f>
        <v>75.510000000000005</v>
      </c>
      <c r="O176" s="913">
        <f>'matrik MISI 3'!T21</f>
        <v>76.099999999999994</v>
      </c>
      <c r="P176" s="913">
        <f>'matrik MISI 3'!U21</f>
        <v>77.400000000000006</v>
      </c>
      <c r="Q176" s="913">
        <f>'matrik MISI 3'!V21</f>
        <v>78.900000000000006</v>
      </c>
      <c r="R176" s="913">
        <f>'matrik MISI 3'!W21</f>
        <v>78.900000000000006</v>
      </c>
    </row>
    <row r="177" spans="2:18" ht="31.5">
      <c r="B177" s="914"/>
      <c r="C177" s="70"/>
      <c r="D177" s="70"/>
      <c r="E177" s="70"/>
      <c r="F177" s="70"/>
      <c r="G177" s="70"/>
      <c r="H177" s="70"/>
      <c r="I177" s="2" t="str">
        <f>'matrik MISI 3'!N22</f>
        <v>Cakupan Sistem Air limbah Skala Komunitas/ Kawasan/ Kota</v>
      </c>
      <c r="J177" s="913" t="str">
        <f>'matrik MISI 3'!O22</f>
        <v>%</v>
      </c>
      <c r="K177" s="913">
        <f>'matrik MISI 3'!P22</f>
        <v>3.8</v>
      </c>
      <c r="L177" s="913">
        <f>'matrik MISI 3'!Q22</f>
        <v>5.8</v>
      </c>
      <c r="M177" s="913">
        <f>'matrik MISI 3'!R22</f>
        <v>6</v>
      </c>
      <c r="N177" s="913">
        <f>'matrik MISI 3'!S22</f>
        <v>7</v>
      </c>
      <c r="O177" s="913">
        <f>'matrik MISI 3'!T22</f>
        <v>7.5</v>
      </c>
      <c r="P177" s="913">
        <f>'matrik MISI 3'!U22</f>
        <v>8</v>
      </c>
      <c r="Q177" s="913">
        <f>'matrik MISI 3'!V22</f>
        <v>8.1999999999999993</v>
      </c>
      <c r="R177" s="913">
        <f>'matrik MISI 3'!W22</f>
        <v>8.1999999999999993</v>
      </c>
    </row>
    <row r="178" spans="2:18" ht="47.25">
      <c r="B178" s="914"/>
      <c r="C178" s="70"/>
      <c r="D178" s="70"/>
      <c r="E178" s="70"/>
      <c r="F178" s="70"/>
      <c r="G178" s="70"/>
      <c r="H178" s="70"/>
      <c r="I178" s="2" t="str">
        <f>'matrik MISI 3'!N23</f>
        <v>Cakupan Lingkungan yang Sehat dan Aman yang Didukung dengan Prasarana dan Sarana Umum</v>
      </c>
      <c r="J178" s="913" t="str">
        <f>'matrik MISI 3'!O23</f>
        <v>%</v>
      </c>
      <c r="K178" s="913" t="str">
        <f>'matrik MISI 3'!P23</f>
        <v>3,46</v>
      </c>
      <c r="L178" s="913" t="str">
        <f>'matrik MISI 3'!Q23</f>
        <v>16,26</v>
      </c>
      <c r="M178" s="913">
        <f>'matrik MISI 3'!R23</f>
        <v>28</v>
      </c>
      <c r="N178" s="913">
        <f>'matrik MISI 3'!S23</f>
        <v>40</v>
      </c>
      <c r="O178" s="913">
        <f>'matrik MISI 3'!T23</f>
        <v>52</v>
      </c>
      <c r="P178" s="913">
        <f>'matrik MISI 3'!U23</f>
        <v>64</v>
      </c>
      <c r="Q178" s="913">
        <f>'matrik MISI 3'!V23</f>
        <v>76</v>
      </c>
      <c r="R178" s="913">
        <f>'matrik MISI 3'!W23</f>
        <v>76</v>
      </c>
    </row>
    <row r="179" spans="2:18" ht="31.5">
      <c r="B179" s="914"/>
      <c r="C179" s="70"/>
      <c r="D179" s="70"/>
      <c r="E179" s="917"/>
      <c r="F179" s="917"/>
      <c r="G179" s="917"/>
      <c r="H179" s="917"/>
      <c r="I179" s="2" t="str">
        <f>'matrik MISI 3'!N24</f>
        <v>Cakupan pelayanan bencana kebakaran kabupaten</v>
      </c>
      <c r="J179" s="913" t="str">
        <f>'matrik MISI 3'!O24</f>
        <v>%</v>
      </c>
      <c r="K179" s="913">
        <f>'matrik MISI 3'!P24</f>
        <v>20</v>
      </c>
      <c r="L179" s="913">
        <f>'matrik MISI 3'!Q24</f>
        <v>20</v>
      </c>
      <c r="M179" s="913">
        <f>'matrik MISI 3'!R24</f>
        <v>20</v>
      </c>
      <c r="N179" s="913">
        <f>'matrik MISI 3'!S24</f>
        <v>40</v>
      </c>
      <c r="O179" s="913">
        <f>'matrik MISI 3'!T24</f>
        <v>60</v>
      </c>
      <c r="P179" s="913">
        <f>'matrik MISI 3'!U24</f>
        <v>80</v>
      </c>
      <c r="Q179" s="913">
        <f>'matrik MISI 3'!V24</f>
        <v>80</v>
      </c>
      <c r="R179" s="913">
        <f>'matrik MISI 3'!W24</f>
        <v>80</v>
      </c>
    </row>
    <row r="180" spans="2:18" ht="47.25">
      <c r="B180" s="914"/>
      <c r="C180" s="70"/>
      <c r="D180" s="70"/>
      <c r="E180" s="916">
        <v>5</v>
      </c>
      <c r="F180" s="916" t="str">
        <f>'matrik MISI 3'!D24</f>
        <v>Meningkatkan Pencegahan,  Penanggulangan, dan Penanganan Bencana</v>
      </c>
      <c r="G180" s="916">
        <f>'matrik MISI 3'!E24</f>
        <v>5</v>
      </c>
      <c r="H180" s="916" t="str">
        <f>'matrik MISI 3'!F24</f>
        <v>Meningkatnya Pencegahan, Penanggulangan, dan Penanganan Bencana</v>
      </c>
      <c r="I180" s="2" t="str">
        <f>'matrik MISI 3'!N25</f>
        <v>Tingkat Waktu Tanggap (response time rate)</v>
      </c>
      <c r="J180" s="913" t="str">
        <f>'matrik MISI 3'!O25</f>
        <v>%</v>
      </c>
      <c r="K180" s="913">
        <f>'matrik MISI 3'!P25</f>
        <v>39</v>
      </c>
      <c r="L180" s="913">
        <f>'matrik MISI 3'!Q25</f>
        <v>68</v>
      </c>
      <c r="M180" s="913">
        <f>'matrik MISI 3'!R25</f>
        <v>70</v>
      </c>
      <c r="N180" s="913">
        <f>'matrik MISI 3'!S25</f>
        <v>73</v>
      </c>
      <c r="O180" s="913">
        <f>'matrik MISI 3'!T25</f>
        <v>80</v>
      </c>
      <c r="P180" s="913">
        <f>'matrik MISI 3'!U25</f>
        <v>80</v>
      </c>
      <c r="Q180" s="913">
        <f>'matrik MISI 3'!V25</f>
        <v>80</v>
      </c>
      <c r="R180" s="913">
        <f>'matrik MISI 3'!W25</f>
        <v>80</v>
      </c>
    </row>
    <row r="181" spans="2:18" ht="47.25">
      <c r="B181" s="914"/>
      <c r="C181" s="70"/>
      <c r="D181" s="70"/>
      <c r="E181" s="70"/>
      <c r="F181" s="70"/>
      <c r="G181" s="70"/>
      <c r="H181" s="70"/>
      <c r="I181" s="2" t="str">
        <f>'matrik MISI 3'!N26</f>
        <v>Persentase Aparatur Pemadam Kebakaran yang Memenuhi Standar Kualifikasi</v>
      </c>
      <c r="J181" s="913" t="str">
        <f>'matrik MISI 3'!O26</f>
        <v>%</v>
      </c>
      <c r="K181" s="913">
        <f>'matrik MISI 3'!P26</f>
        <v>71</v>
      </c>
      <c r="L181" s="913">
        <f>'matrik MISI 3'!Q26</f>
        <v>83</v>
      </c>
      <c r="M181" s="913">
        <f>'matrik MISI 3'!R26</f>
        <v>85</v>
      </c>
      <c r="N181" s="913">
        <f>'matrik MISI 3'!S26</f>
        <v>87</v>
      </c>
      <c r="O181" s="913">
        <f>'matrik MISI 3'!T26</f>
        <v>90</v>
      </c>
      <c r="P181" s="913">
        <f>'matrik MISI 3'!U26</f>
        <v>93</v>
      </c>
      <c r="Q181" s="913">
        <f>'matrik MISI 3'!V26</f>
        <v>95</v>
      </c>
      <c r="R181" s="913">
        <f>'matrik MISI 3'!W26</f>
        <v>95</v>
      </c>
    </row>
    <row r="182" spans="2:18" ht="63">
      <c r="B182" s="914"/>
      <c r="C182" s="70"/>
      <c r="D182" s="70"/>
      <c r="E182" s="917"/>
      <c r="F182" s="917"/>
      <c r="G182" s="917"/>
      <c r="H182" s="917"/>
      <c r="I182" s="2" t="str">
        <f>'matrik MISI 3'!N27</f>
        <v>Rasio Mobil Pemadam Kebakaran di Atas 3.000 - 5.000 Liter pada Wilayah Manajemen Kebakaran (WMK)</v>
      </c>
      <c r="J182" s="913" t="str">
        <f>'matrik MISI 3'!O27</f>
        <v>%</v>
      </c>
      <c r="K182" s="913" t="str">
        <f>'matrik MISI 3'!P27</f>
        <v>70.6</v>
      </c>
      <c r="L182" s="913">
        <f>'matrik MISI 3'!Q27</f>
        <v>82</v>
      </c>
      <c r="M182" s="913">
        <f>'matrik MISI 3'!R27</f>
        <v>85</v>
      </c>
      <c r="N182" s="913">
        <f>'matrik MISI 3'!S27</f>
        <v>87</v>
      </c>
      <c r="O182" s="913">
        <f>'matrik MISI 3'!T27</f>
        <v>90</v>
      </c>
      <c r="P182" s="913">
        <f>'matrik MISI 3'!U27</f>
        <v>93</v>
      </c>
      <c r="Q182" s="913">
        <f>'matrik MISI 3'!V27</f>
        <v>95</v>
      </c>
      <c r="R182" s="913">
        <f>'matrik MISI 3'!W27</f>
        <v>95</v>
      </c>
    </row>
    <row r="183" spans="2:18" ht="63">
      <c r="B183" s="914"/>
      <c r="C183" s="70"/>
      <c r="D183" s="70"/>
      <c r="E183" s="916">
        <v>6</v>
      </c>
      <c r="F183" s="916" t="str">
        <f>'matrik MISI 3'!D28</f>
        <v>Mewujudkan Penataan Ruang yang Memperhatikan Keberlanjutan Sumber Daya Wilayah</v>
      </c>
      <c r="G183" s="916">
        <f>'matrik MISI 3'!E28</f>
        <v>6</v>
      </c>
      <c r="H183" s="916" t="str">
        <f>'matrik MISI 3'!F28</f>
        <v xml:space="preserve">Meningkatnya Perencanaan, Pemanfaatan dan Pengendalian Ruang sesuai Peruntukkannya </v>
      </c>
      <c r="I183" s="2" t="str">
        <f>'matrik MISI 3'!N29</f>
        <v>tersedianya informasi mengenai rencana tata ruang (RTR) beserta rencana rincinya</v>
      </c>
      <c r="J183" s="913" t="str">
        <f>'matrik MISI 3'!O29</f>
        <v>PERDA</v>
      </c>
      <c r="K183" s="913">
        <f>'matrik MISI 3'!P29</f>
        <v>1</v>
      </c>
      <c r="L183" s="913">
        <f>'matrik MISI 3'!Q29</f>
        <v>1</v>
      </c>
      <c r="M183" s="913">
        <f>'matrik MISI 3'!R29</f>
        <v>2</v>
      </c>
      <c r="N183" s="913">
        <f>'matrik MISI 3'!S29</f>
        <v>2</v>
      </c>
      <c r="O183" s="913">
        <f>'matrik MISI 3'!T29</f>
        <v>3</v>
      </c>
      <c r="P183" s="913">
        <f>'matrik MISI 3'!U29</f>
        <v>3</v>
      </c>
      <c r="Q183" s="913">
        <f>'matrik MISI 3'!V29</f>
        <v>3</v>
      </c>
      <c r="R183" s="913">
        <f>'matrik MISI 3'!W29</f>
        <v>3</v>
      </c>
    </row>
    <row r="184" spans="2:18" ht="63">
      <c r="B184" s="914"/>
      <c r="C184" s="70"/>
      <c r="D184" s="70"/>
      <c r="E184" s="70"/>
      <c r="F184" s="70"/>
      <c r="G184" s="70"/>
      <c r="H184" s="70"/>
      <c r="I184" s="2" t="str">
        <f>'matrik MISI 3'!N30</f>
        <v>terlaksananya penjaringan aspirasi masyarakat dalam proses penyusunan RTRW beserta rencana rinci</v>
      </c>
      <c r="J184" s="913" t="str">
        <f>'matrik MISI 3'!O30</f>
        <v>%</v>
      </c>
      <c r="K184" s="913">
        <f>'matrik MISI 3'!P30</f>
        <v>100</v>
      </c>
      <c r="L184" s="913">
        <f>'matrik MISI 3'!Q30</f>
        <v>100</v>
      </c>
      <c r="M184" s="913">
        <f>'matrik MISI 3'!R30</f>
        <v>100</v>
      </c>
      <c r="N184" s="913">
        <f>'matrik MISI 3'!S30</f>
        <v>100</v>
      </c>
      <c r="O184" s="913">
        <f>'matrik MISI 3'!T30</f>
        <v>100</v>
      </c>
      <c r="P184" s="913">
        <f>'matrik MISI 3'!U30</f>
        <v>100</v>
      </c>
      <c r="Q184" s="913">
        <f>'matrik MISI 3'!V30</f>
        <v>100</v>
      </c>
      <c r="R184" s="913">
        <f>'matrik MISI 3'!W30</f>
        <v>100</v>
      </c>
    </row>
    <row r="185" spans="2:18" ht="47.25">
      <c r="B185" s="914"/>
      <c r="C185" s="70"/>
      <c r="D185" s="70"/>
      <c r="E185" s="70"/>
      <c r="F185" s="70"/>
      <c r="G185" s="70"/>
      <c r="H185" s="70"/>
      <c r="I185" s="2" t="str">
        <f>'matrik MISI 3'!N31</f>
        <v>terlayaninya masyarakat dalam pengurusan ijin pemanfaatan ruang</v>
      </c>
      <c r="J185" s="913" t="str">
        <f>'matrik MISI 3'!O31</f>
        <v>%</v>
      </c>
      <c r="K185" s="913">
        <f>'matrik MISI 3'!P31</f>
        <v>100</v>
      </c>
      <c r="L185" s="913">
        <f>'matrik MISI 3'!Q31</f>
        <v>100</v>
      </c>
      <c r="M185" s="913">
        <f>'matrik MISI 3'!R31</f>
        <v>100</v>
      </c>
      <c r="N185" s="913">
        <f>'matrik MISI 3'!S31</f>
        <v>100</v>
      </c>
      <c r="O185" s="913">
        <f>'matrik MISI 3'!T31</f>
        <v>100</v>
      </c>
      <c r="P185" s="913">
        <f>'matrik MISI 3'!U31</f>
        <v>100</v>
      </c>
      <c r="Q185" s="913">
        <f>'matrik MISI 3'!V31</f>
        <v>100</v>
      </c>
      <c r="R185" s="913">
        <f>'matrik MISI 3'!W31</f>
        <v>100</v>
      </c>
    </row>
    <row r="186" spans="2:18" ht="31.5">
      <c r="B186" s="914"/>
      <c r="C186" s="70"/>
      <c r="D186" s="70"/>
      <c r="E186" s="70"/>
      <c r="F186" s="70"/>
      <c r="G186" s="70"/>
      <c r="H186" s="70"/>
      <c r="I186" s="2" t="str">
        <f>'matrik MISI 3'!N32</f>
        <v>Cakupan Pemanfaatan Ruang sesuai Peruntukannya</v>
      </c>
      <c r="J186" s="913" t="str">
        <f>'matrik MISI 3'!O32</f>
        <v>%</v>
      </c>
      <c r="K186" s="913">
        <f>'matrik MISI 3'!P32</f>
        <v>100</v>
      </c>
      <c r="L186" s="913">
        <f>'matrik MISI 3'!Q32</f>
        <v>87.5</v>
      </c>
      <c r="M186" s="913">
        <f>'matrik MISI 3'!R32</f>
        <v>100</v>
      </c>
      <c r="N186" s="913">
        <f>'matrik MISI 3'!S32</f>
        <v>100</v>
      </c>
      <c r="O186" s="913">
        <f>'matrik MISI 3'!T32</f>
        <v>100</v>
      </c>
      <c r="P186" s="913">
        <f>'matrik MISI 3'!U32</f>
        <v>100</v>
      </c>
      <c r="Q186" s="913">
        <f>'matrik MISI 3'!V32</f>
        <v>100</v>
      </c>
      <c r="R186" s="913">
        <f>'matrik MISI 3'!W32</f>
        <v>100</v>
      </c>
    </row>
    <row r="187" spans="2:18" ht="63">
      <c r="B187" s="914"/>
      <c r="C187" s="70"/>
      <c r="D187" s="70"/>
      <c r="E187" s="70"/>
      <c r="F187" s="70"/>
      <c r="G187" s="70"/>
      <c r="H187" s="70"/>
      <c r="I187" s="2" t="str">
        <f>'matrik MISI 3'!N33</f>
        <v xml:space="preserve">Cakupan tindakan awal terhadap pengaduan Masyarakat tentang Pelanggaran di Bidang Penataan Ruang </v>
      </c>
      <c r="J187" s="913" t="str">
        <f>'matrik MISI 3'!O33</f>
        <v>%</v>
      </c>
      <c r="K187" s="913">
        <f>'matrik MISI 3'!P33</f>
        <v>85</v>
      </c>
      <c r="L187" s="913">
        <f>'matrik MISI 3'!Q33</f>
        <v>90</v>
      </c>
      <c r="M187" s="913">
        <f>'matrik MISI 3'!R33</f>
        <v>95</v>
      </c>
      <c r="N187" s="913">
        <f>'matrik MISI 3'!S33</f>
        <v>100</v>
      </c>
      <c r="O187" s="913">
        <f>'matrik MISI 3'!T33</f>
        <v>100</v>
      </c>
      <c r="P187" s="913">
        <f>'matrik MISI 3'!U33</f>
        <v>100</v>
      </c>
      <c r="Q187" s="913">
        <f>'matrik MISI 3'!V33</f>
        <v>100</v>
      </c>
      <c r="R187" s="913">
        <f>'matrik MISI 3'!W33</f>
        <v>100</v>
      </c>
    </row>
    <row r="188" spans="2:18" ht="47.25">
      <c r="B188" s="914"/>
      <c r="C188" s="70"/>
      <c r="D188" s="70"/>
      <c r="E188" s="70"/>
      <c r="F188" s="70"/>
      <c r="G188" s="70"/>
      <c r="H188" s="70"/>
      <c r="I188" s="2" t="str">
        <f>'matrik MISI 3'!N34</f>
        <v>Tersedianya luasan ruang terbuka hijau publik pada skala kawasan/kota</v>
      </c>
      <c r="J188" s="913" t="str">
        <f>'matrik MISI 3'!O34</f>
        <v>%</v>
      </c>
      <c r="K188" s="913">
        <f>'matrik MISI 3'!P34</f>
        <v>29.15</v>
      </c>
      <c r="L188" s="913">
        <f>'matrik MISI 3'!Q34</f>
        <v>29.15</v>
      </c>
      <c r="M188" s="913">
        <f>'matrik MISI 3'!R34</f>
        <v>29.15</v>
      </c>
      <c r="N188" s="913">
        <f>'matrik MISI 3'!S34</f>
        <v>30</v>
      </c>
      <c r="O188" s="913">
        <f>'matrik MISI 3'!T34</f>
        <v>30.25</v>
      </c>
      <c r="P188" s="913">
        <f>'matrik MISI 3'!U34</f>
        <v>30.5</v>
      </c>
      <c r="Q188" s="913">
        <f>'matrik MISI 3'!V34</f>
        <v>31.25</v>
      </c>
      <c r="R188" s="913">
        <f>'matrik MISI 3'!W34</f>
        <v>31.25</v>
      </c>
    </row>
    <row r="189" spans="2:18" ht="31.5">
      <c r="B189" s="914"/>
      <c r="C189" s="70"/>
      <c r="D189" s="70"/>
      <c r="E189" s="70"/>
      <c r="F189" s="70"/>
      <c r="G189" s="70"/>
      <c r="H189" s="70"/>
      <c r="I189" s="2" t="str">
        <f>'matrik MISI 3'!N35</f>
        <v>Cakupan Tersedianya Jalur Pedestrian</v>
      </c>
      <c r="J189" s="913" t="str">
        <f>'matrik MISI 3'!O35</f>
        <v>%</v>
      </c>
      <c r="K189" s="913">
        <f>'matrik MISI 3'!P35</f>
        <v>15.8</v>
      </c>
      <c r="L189" s="913">
        <f>'matrik MISI 3'!Q35</f>
        <v>16.100000000000001</v>
      </c>
      <c r="M189" s="913">
        <f>'matrik MISI 3'!R35</f>
        <v>16.399999999999999</v>
      </c>
      <c r="N189" s="913">
        <f>'matrik MISI 3'!S35</f>
        <v>16.7</v>
      </c>
      <c r="O189" s="913">
        <f>'matrik MISI 3'!T35</f>
        <v>17</v>
      </c>
      <c r="P189" s="913">
        <f>'matrik MISI 3'!U35</f>
        <v>17.3</v>
      </c>
      <c r="Q189" s="913">
        <f>'matrik MISI 3'!V35</f>
        <v>17.600000000000001</v>
      </c>
      <c r="R189" s="913">
        <f>'matrik MISI 3'!W35</f>
        <v>17.600000000000001</v>
      </c>
    </row>
    <row r="190" spans="2:18" ht="31.5">
      <c r="B190" s="914"/>
      <c r="C190" s="70"/>
      <c r="D190" s="70"/>
      <c r="E190" s="917"/>
      <c r="F190" s="917"/>
      <c r="G190" s="917"/>
      <c r="H190" s="917"/>
      <c r="I190" s="2" t="str">
        <f>'matrik MISI 3'!N36</f>
        <v>Cakupan Fasilitas Pengurangan Sampah di Perkotaan (TPST 3R)</v>
      </c>
      <c r="J190" s="913" t="str">
        <f>'matrik MISI 3'!O36</f>
        <v>%</v>
      </c>
      <c r="K190" s="913">
        <f>'matrik MISI 3'!P36</f>
        <v>2.21</v>
      </c>
      <c r="L190" s="913">
        <f>'matrik MISI 3'!Q36</f>
        <v>2.9</v>
      </c>
      <c r="M190" s="913">
        <f>'matrik MISI 3'!R36</f>
        <v>4.9000000000000004</v>
      </c>
      <c r="N190" s="913">
        <f>'matrik MISI 3'!S36</f>
        <v>7.5</v>
      </c>
      <c r="O190" s="913">
        <f>'matrik MISI 3'!T36</f>
        <v>9.8000000000000007</v>
      </c>
      <c r="P190" s="913">
        <f>'matrik MISI 3'!U36</f>
        <v>11.2</v>
      </c>
      <c r="Q190" s="913">
        <f>'matrik MISI 3'!V36</f>
        <v>14.5</v>
      </c>
      <c r="R190" s="913">
        <f>'matrik MISI 3'!W36</f>
        <v>14.5</v>
      </c>
    </row>
    <row r="191" spans="2:18" ht="78.75">
      <c r="B191" s="914"/>
      <c r="C191" s="70"/>
      <c r="D191" s="70"/>
      <c r="E191" s="916">
        <f>'matrik MISI 3'!C36</f>
        <v>7</v>
      </c>
      <c r="F191" s="916" t="str">
        <f>'matrik MISI 3'!D36</f>
        <v>Meningkatkan Pengelolaan Lingkungan Hidup berdasarkan Prinsip Pembengunan Berkelanjutan dan Berwawasan Lingkungan</v>
      </c>
      <c r="G191" s="916">
        <f>'matrik MISI 3'!E36</f>
        <v>7</v>
      </c>
      <c r="H191" s="916" t="str">
        <f>'matrik MISI 3'!F36</f>
        <v>Meningkatnya Pengelolaan Persampahan</v>
      </c>
      <c r="I191" s="2" t="str">
        <f>'matrik MISI 3'!N37</f>
        <v>Proporsi Sampah Terangkut terhadap Produksi Sampah se-Kab. Temanggung</v>
      </c>
      <c r="J191" s="913" t="str">
        <f>'matrik MISI 3'!O37</f>
        <v>%</v>
      </c>
      <c r="K191" s="913">
        <f>'matrik MISI 3'!P37</f>
        <v>10.38</v>
      </c>
      <c r="L191" s="913">
        <f>'matrik MISI 3'!Q37</f>
        <v>10.35</v>
      </c>
      <c r="M191" s="913" t="str">
        <f>'matrik MISI 3'!R37</f>
        <v>12,50</v>
      </c>
      <c r="N191" s="913">
        <f>'matrik MISI 3'!S37</f>
        <v>13</v>
      </c>
      <c r="O191" s="913" t="str">
        <f>'matrik MISI 3'!T37</f>
        <v>13,50</v>
      </c>
      <c r="P191" s="913">
        <f>'matrik MISI 3'!U37</f>
        <v>14</v>
      </c>
      <c r="Q191" s="913" t="str">
        <f>'matrik MISI 3'!V37</f>
        <v>14,50</v>
      </c>
      <c r="R191" s="913">
        <f>'matrik MISI 3'!W37</f>
        <v>15</v>
      </c>
    </row>
    <row r="192" spans="2:18" ht="63">
      <c r="B192" s="914"/>
      <c r="C192" s="70"/>
      <c r="D192" s="70"/>
      <c r="E192" s="70"/>
      <c r="F192" s="70"/>
      <c r="G192" s="70"/>
      <c r="H192" s="70"/>
      <c r="I192" s="2" t="str">
        <f>'matrik MISI 3'!N38</f>
        <v>Proporsi Sampah Terangkut terhadap Produksi Sampah Ibukota Kabupaten          (Kecamatan Temanggung)</v>
      </c>
      <c r="J192" s="913" t="str">
        <f>'matrik MISI 3'!O38</f>
        <v>%</v>
      </c>
      <c r="K192" s="913">
        <f>'matrik MISI 3'!P38</f>
        <v>76</v>
      </c>
      <c r="L192" s="913">
        <f>'matrik MISI 3'!Q38</f>
        <v>80</v>
      </c>
      <c r="M192" s="913">
        <f>'matrik MISI 3'!R38</f>
        <v>80</v>
      </c>
      <c r="N192" s="913">
        <f>'matrik MISI 3'!S38</f>
        <v>83</v>
      </c>
      <c r="O192" s="913">
        <f>'matrik MISI 3'!T38</f>
        <v>85</v>
      </c>
      <c r="P192" s="913">
        <f>'matrik MISI 3'!U38</f>
        <v>86</v>
      </c>
      <c r="Q192" s="913">
        <f>'matrik MISI 3'!V38</f>
        <v>87</v>
      </c>
      <c r="R192" s="913">
        <f>'matrik MISI 3'!W38</f>
        <v>87</v>
      </c>
    </row>
    <row r="193" spans="2:18" ht="63">
      <c r="B193" s="914"/>
      <c r="C193" s="70"/>
      <c r="D193" s="70"/>
      <c r="E193" s="70"/>
      <c r="F193" s="70"/>
      <c r="G193" s="70"/>
      <c r="H193" s="70"/>
      <c r="I193" s="2" t="str">
        <f>'matrik MISI 3'!N39</f>
        <v>Proporsi Sampah Terangkut /tertangani terhadap Produksi Sampah perkotaan (Ibukota kecamatan se-Kab. Temanggung)</v>
      </c>
      <c r="J193" s="913" t="str">
        <f>'matrik MISI 3'!O39</f>
        <v>%</v>
      </c>
      <c r="K193" s="913">
        <f>'matrik MISI 3'!P39</f>
        <v>45</v>
      </c>
      <c r="L193" s="913">
        <f>'matrik MISI 3'!Q39</f>
        <v>50</v>
      </c>
      <c r="M193" s="913">
        <f>'matrik MISI 3'!R39</f>
        <v>55</v>
      </c>
      <c r="N193" s="913">
        <f>'matrik MISI 3'!S39</f>
        <v>55</v>
      </c>
      <c r="O193" s="913">
        <f>'matrik MISI 3'!T39</f>
        <v>60</v>
      </c>
      <c r="P193" s="913">
        <f>'matrik MISI 3'!U39</f>
        <v>60</v>
      </c>
      <c r="Q193" s="913">
        <f>'matrik MISI 3'!V39</f>
        <v>65</v>
      </c>
      <c r="R193" s="913">
        <f>'matrik MISI 3'!W39</f>
        <v>65</v>
      </c>
    </row>
    <row r="194" spans="2:18" ht="31.5">
      <c r="B194" s="914"/>
      <c r="C194" s="70"/>
      <c r="D194" s="70"/>
      <c r="E194" s="70"/>
      <c r="F194" s="70"/>
      <c r="G194" s="70"/>
      <c r="H194" s="70"/>
      <c r="I194" s="2" t="str">
        <f>'matrik MISI 3'!N40</f>
        <v>Terwujudnya TPA Temanggung wilayah Utara</v>
      </c>
      <c r="J194" s="913" t="str">
        <f>'matrik MISI 3'!O40</f>
        <v>unit</v>
      </c>
      <c r="K194" s="913" t="str">
        <f>'matrik MISI 3'!P40</f>
        <v>-</v>
      </c>
      <c r="L194" s="913" t="str">
        <f>'matrik MISI 3'!Q40</f>
        <v>-</v>
      </c>
      <c r="M194" s="913" t="str">
        <f>'matrik MISI 3'!R40</f>
        <v>-</v>
      </c>
      <c r="N194" s="913">
        <f>'matrik MISI 3'!S40</f>
        <v>0</v>
      </c>
      <c r="O194" s="913">
        <f>'matrik MISI 3'!T40</f>
        <v>0</v>
      </c>
      <c r="P194" s="913">
        <f>'matrik MISI 3'!U40</f>
        <v>1</v>
      </c>
      <c r="Q194" s="913">
        <f>'matrik MISI 3'!V40</f>
        <v>1</v>
      </c>
      <c r="R194" s="913">
        <f>'matrik MISI 3'!W40</f>
        <v>1</v>
      </c>
    </row>
    <row r="195" spans="2:18" ht="78.75">
      <c r="B195" s="914"/>
      <c r="C195" s="70"/>
      <c r="D195" s="70"/>
      <c r="E195" s="70"/>
      <c r="F195" s="70"/>
      <c r="G195" s="917"/>
      <c r="H195" s="917"/>
      <c r="I195" s="2" t="str">
        <f>'matrik MISI 3'!N41</f>
        <v>Persentase Usaha dan atau Kegiatan yang Mentaati Persyaratan Administrasi dan Teknis Pencegahan Pencemaran Air</v>
      </c>
      <c r="J195" s="913" t="str">
        <f>'matrik MISI 3'!O41</f>
        <v>%</v>
      </c>
      <c r="K195" s="913">
        <f>'matrik MISI 3'!P41</f>
        <v>100</v>
      </c>
      <c r="L195" s="913">
        <f>'matrik MISI 3'!Q41</f>
        <v>100</v>
      </c>
      <c r="M195" s="913">
        <f>'matrik MISI 3'!R41</f>
        <v>100</v>
      </c>
      <c r="N195" s="913">
        <f>'matrik MISI 3'!S41</f>
        <v>100</v>
      </c>
      <c r="O195" s="913">
        <f>'matrik MISI 3'!T41</f>
        <v>100</v>
      </c>
      <c r="P195" s="913">
        <f>'matrik MISI 3'!U41</f>
        <v>100</v>
      </c>
      <c r="Q195" s="913">
        <f>'matrik MISI 3'!V41</f>
        <v>100</v>
      </c>
      <c r="R195" s="913">
        <f>'matrik MISI 3'!W41</f>
        <v>100</v>
      </c>
    </row>
    <row r="196" spans="2:18" ht="94.5">
      <c r="B196" s="914"/>
      <c r="C196" s="70"/>
      <c r="D196" s="70"/>
      <c r="E196" s="70"/>
      <c r="F196" s="70"/>
      <c r="G196" s="916">
        <f>'matrik MISI 3'!E41</f>
        <v>8</v>
      </c>
      <c r="H196" s="916" t="str">
        <f>'matrik MISI 3'!F41</f>
        <v>Meningkatnya Kelestarian Lingkungan Hidup</v>
      </c>
      <c r="I196" s="2" t="str">
        <f>'matrik MISI 3'!N42</f>
        <v>Persentase Usaha dan atau Kegiatan sumber yang Tidak Bergerak yang Memenuhi Persyaratan Administrasi dan Teknis Pencegahan Pencemaran Udara</v>
      </c>
      <c r="J196" s="913" t="str">
        <f>'matrik MISI 3'!O42</f>
        <v>%</v>
      </c>
      <c r="K196" s="913" t="str">
        <f>'matrik MISI 3'!P42</f>
        <v>87,50</v>
      </c>
      <c r="L196" s="913">
        <f>'matrik MISI 3'!Q42</f>
        <v>100</v>
      </c>
      <c r="M196" s="913">
        <f>'matrik MISI 3'!R42</f>
        <v>100</v>
      </c>
      <c r="N196" s="913">
        <f>'matrik MISI 3'!S42</f>
        <v>100</v>
      </c>
      <c r="O196" s="913">
        <f>'matrik MISI 3'!T42</f>
        <v>100</v>
      </c>
      <c r="P196" s="913">
        <f>'matrik MISI 3'!U42</f>
        <v>100</v>
      </c>
      <c r="Q196" s="913">
        <f>'matrik MISI 3'!V42</f>
        <v>100</v>
      </c>
      <c r="R196" s="913">
        <f>'matrik MISI 3'!W42</f>
        <v>100</v>
      </c>
    </row>
    <row r="197" spans="2:18" ht="78.75">
      <c r="B197" s="914"/>
      <c r="C197" s="70"/>
      <c r="D197" s="70"/>
      <c r="E197" s="70"/>
      <c r="F197" s="70"/>
      <c r="G197" s="70"/>
      <c r="H197" s="70"/>
      <c r="I197" s="2" t="str">
        <f>'matrik MISI 3'!N43</f>
        <v>Persentase Luas Lahan yang ditetapkan dan diinformasikan status kerusakan lahan atau tanah untuk Produksi Biomassa Kerusakannya</v>
      </c>
      <c r="J197" s="913" t="str">
        <f>'matrik MISI 3'!O43</f>
        <v>%</v>
      </c>
      <c r="K197" s="913" t="str">
        <f>'matrik MISI 3'!P43</f>
        <v>-</v>
      </c>
      <c r="L197" s="913" t="str">
        <f>'matrik MISI 3'!Q43</f>
        <v>-</v>
      </c>
      <c r="M197" s="913">
        <f>'matrik MISI 3'!R43</f>
        <v>20</v>
      </c>
      <c r="N197" s="913">
        <f>'matrik MISI 3'!S43</f>
        <v>40</v>
      </c>
      <c r="O197" s="913">
        <f>'matrik MISI 3'!T43</f>
        <v>60</v>
      </c>
      <c r="P197" s="913">
        <f>'matrik MISI 3'!U43</f>
        <v>80</v>
      </c>
      <c r="Q197" s="913">
        <f>'matrik MISI 3'!V43</f>
        <v>100</v>
      </c>
      <c r="R197" s="913">
        <f>'matrik MISI 3'!W43</f>
        <v>100</v>
      </c>
    </row>
    <row r="198" spans="2:18" ht="78.75">
      <c r="B198" s="914"/>
      <c r="C198" s="70"/>
      <c r="D198" s="70"/>
      <c r="E198" s="70"/>
      <c r="F198" s="70"/>
      <c r="G198" s="70"/>
      <c r="H198" s="70"/>
      <c r="I198" s="2" t="str">
        <f>'matrik MISI 3'!N44</f>
        <v>Persentase Pengaduan Masyarakat Akibat Adanya Dugaan Pencemaran dan atau Perusakan Lingkungan Hidup yang Ditindaklanjuti</v>
      </c>
      <c r="J198" s="913" t="str">
        <f>'matrik MISI 3'!O44</f>
        <v>%</v>
      </c>
      <c r="K198" s="913">
        <f>'matrik MISI 3'!P44</f>
        <v>100</v>
      </c>
      <c r="L198" s="913">
        <f>'matrik MISI 3'!Q44</f>
        <v>100</v>
      </c>
      <c r="M198" s="913">
        <f>'matrik MISI 3'!R44</f>
        <v>100</v>
      </c>
      <c r="N198" s="913">
        <f>'matrik MISI 3'!S44</f>
        <v>100</v>
      </c>
      <c r="O198" s="913">
        <f>'matrik MISI 3'!T44</f>
        <v>100</v>
      </c>
      <c r="P198" s="913">
        <f>'matrik MISI 3'!U44</f>
        <v>100</v>
      </c>
      <c r="Q198" s="913">
        <f>'matrik MISI 3'!V44</f>
        <v>100</v>
      </c>
      <c r="R198" s="913">
        <f>'matrik MISI 3'!W44</f>
        <v>100</v>
      </c>
    </row>
    <row r="199" spans="2:18" ht="47.25">
      <c r="B199" s="914"/>
      <c r="C199" s="70"/>
      <c r="D199" s="70"/>
      <c r="E199" s="70"/>
      <c r="F199" s="70"/>
      <c r="G199" s="70"/>
      <c r="H199" s="70"/>
      <c r="I199" s="2" t="str">
        <f>'matrik MISI 3'!N45</f>
        <v>Persentase Perusahaan yang Memiliki Dokumen UKL, UPL, dan AMDAL</v>
      </c>
      <c r="J199" s="913" t="str">
        <f>'matrik MISI 3'!O45</f>
        <v>%</v>
      </c>
      <c r="K199" s="913">
        <f>'matrik MISI 3'!P45</f>
        <v>100</v>
      </c>
      <c r="L199" s="913">
        <f>'matrik MISI 3'!Q45</f>
        <v>100</v>
      </c>
      <c r="M199" s="913">
        <f>'matrik MISI 3'!R45</f>
        <v>100</v>
      </c>
      <c r="N199" s="913">
        <f>'matrik MISI 3'!S45</f>
        <v>100</v>
      </c>
      <c r="O199" s="913">
        <f>'matrik MISI 3'!T45</f>
        <v>100</v>
      </c>
      <c r="P199" s="913">
        <f>'matrik MISI 3'!U45</f>
        <v>100</v>
      </c>
      <c r="Q199" s="913">
        <f>'matrik MISI 3'!V45</f>
        <v>100</v>
      </c>
      <c r="R199" s="913">
        <f>'matrik MISI 3'!W45</f>
        <v>100</v>
      </c>
    </row>
    <row r="200" spans="2:18" ht="31.5">
      <c r="B200" s="914"/>
      <c r="C200" s="70"/>
      <c r="D200" s="70"/>
      <c r="E200" s="917"/>
      <c r="F200" s="917"/>
      <c r="G200" s="917"/>
      <c r="H200" s="917"/>
      <c r="I200" s="2" t="str">
        <f>'matrik MISI 3'!N46</f>
        <v>terbangunnya sumber energi alternatif terbarukan</v>
      </c>
      <c r="J200" s="913" t="str">
        <f>'matrik MISI 3'!O46</f>
        <v>unit</v>
      </c>
      <c r="K200" s="913">
        <f>'matrik MISI 3'!P46</f>
        <v>5</v>
      </c>
      <c r="L200" s="913">
        <f>'matrik MISI 3'!Q46</f>
        <v>5</v>
      </c>
      <c r="M200" s="913">
        <f>'matrik MISI 3'!R46</f>
        <v>6</v>
      </c>
      <c r="N200" s="913">
        <f>'matrik MISI 3'!S46</f>
        <v>6</v>
      </c>
      <c r="O200" s="913">
        <f>'matrik MISI 3'!T46</f>
        <v>7</v>
      </c>
      <c r="P200" s="913">
        <f>'matrik MISI 3'!U46</f>
        <v>7</v>
      </c>
      <c r="Q200" s="913">
        <f>'matrik MISI 3'!V46</f>
        <v>8</v>
      </c>
      <c r="R200" s="913">
        <f>'matrik MISI 3'!W46</f>
        <v>8</v>
      </c>
    </row>
    <row r="201" spans="2:18" ht="78.75">
      <c r="B201" s="914"/>
      <c r="C201" s="70"/>
      <c r="D201" s="70"/>
      <c r="E201" s="2">
        <v>8</v>
      </c>
      <c r="F201" s="2" t="str">
        <f>'matrik MISI 3'!D46</f>
        <v>Meningkatkan Pembinaan dan Pengawasan Pemanfaatan Energi dan Pertambangan Mineral Secara Berkelanjutan dan Berwawasan Lingkungan Hidup</v>
      </c>
      <c r="G201" s="2">
        <f>'matrik MISI 3'!E46</f>
        <v>9</v>
      </c>
      <c r="H201" s="2" t="str">
        <f>'matrik MISI 3'!F46</f>
        <v>Meningkatnya Pembinaan dan Pengawasan Pemanfaatan Energi dan Pertambangan Mineral</v>
      </c>
      <c r="I201" s="2" t="str">
        <f>'matrik MISI 3'!N47</f>
        <v>Persentase Kendaraan yang Diuji</v>
      </c>
      <c r="J201" s="913" t="str">
        <f>'matrik MISI 3'!O47</f>
        <v>%</v>
      </c>
      <c r="K201" s="913">
        <f>'matrik MISI 3'!P47</f>
        <v>81.400000000000006</v>
      </c>
      <c r="L201" s="913">
        <f>'matrik MISI 3'!Q47</f>
        <v>90.2</v>
      </c>
      <c r="M201" s="913">
        <f>'matrik MISI 3'!R47</f>
        <v>91.4</v>
      </c>
      <c r="N201" s="913">
        <f>'matrik MISI 3'!S47</f>
        <v>92.3</v>
      </c>
      <c r="O201" s="913">
        <f>'matrik MISI 3'!T47</f>
        <v>93.7</v>
      </c>
      <c r="P201" s="913">
        <f>'matrik MISI 3'!U47</f>
        <v>94.3</v>
      </c>
      <c r="Q201" s="913">
        <f>'matrik MISI 3'!V47</f>
        <v>95</v>
      </c>
      <c r="R201" s="913">
        <f>'matrik MISI 3'!W47</f>
        <v>95</v>
      </c>
    </row>
    <row r="202" spans="2:18" ht="78.75">
      <c r="B202" s="914"/>
      <c r="C202" s="70"/>
      <c r="D202" s="70"/>
      <c r="E202" s="916">
        <v>9</v>
      </c>
      <c r="F202" s="916" t="str">
        <f>'matrik MISI 3'!D47</f>
        <v>Meningkatkan Ketersediaan Pelayanan Transportasi dalam Mendukung Pembangunan Ekonomi dan Pengembangan Wilayah</v>
      </c>
      <c r="G202" s="916">
        <f>'matrik MISI 3'!E47</f>
        <v>10</v>
      </c>
      <c r="H202" s="916" t="str">
        <f>'matrik MISI 3'!F47</f>
        <v>Meningkatnya Transportasi Masyarakat yang Memadai</v>
      </c>
      <c r="I202" s="2" t="str">
        <f>'matrik MISI 3'!N48</f>
        <v>Persentase keselamatan angkutan umum</v>
      </c>
      <c r="J202" s="913" t="str">
        <f>'matrik MISI 3'!O48</f>
        <v>%</v>
      </c>
      <c r="K202" s="913">
        <f>'matrik MISI 3'!P48</f>
        <v>81.400000000000006</v>
      </c>
      <c r="L202" s="913">
        <f>'matrik MISI 3'!Q48</f>
        <v>90.2</v>
      </c>
      <c r="M202" s="913">
        <f>'matrik MISI 3'!R48</f>
        <v>91.4</v>
      </c>
      <c r="N202" s="913">
        <f>'matrik MISI 3'!S48</f>
        <v>92.3</v>
      </c>
      <c r="O202" s="913">
        <f>'matrik MISI 3'!T48</f>
        <v>93.7</v>
      </c>
      <c r="P202" s="913">
        <f>'matrik MISI 3'!U48</f>
        <v>94.3</v>
      </c>
      <c r="Q202" s="913">
        <f>'matrik MISI 3'!V48</f>
        <v>95</v>
      </c>
      <c r="R202" s="913">
        <f>'matrik MISI 3'!W48</f>
        <v>95</v>
      </c>
    </row>
    <row r="203" spans="2:18" ht="31.5">
      <c r="B203" s="914"/>
      <c r="C203" s="70"/>
      <c r="D203" s="70"/>
      <c r="E203" s="70"/>
      <c r="F203" s="70"/>
      <c r="G203" s="70"/>
      <c r="H203" s="70"/>
      <c r="I203" s="2" t="str">
        <f>'matrik MISI 3'!N49</f>
        <v>Tersedianya Fasilitas  Terminal (tipe b)</v>
      </c>
      <c r="J203" s="913" t="str">
        <f>'matrik MISI 3'!O49</f>
        <v>Unit</v>
      </c>
      <c r="K203" s="913">
        <f>'matrik MISI 3'!P49</f>
        <v>1</v>
      </c>
      <c r="L203" s="913">
        <f>'matrik MISI 3'!Q49</f>
        <v>1</v>
      </c>
      <c r="M203" s="913">
        <f>'matrik MISI 3'!R49</f>
        <v>1</v>
      </c>
      <c r="N203" s="913">
        <f>'matrik MISI 3'!S49</f>
        <v>1</v>
      </c>
      <c r="O203" s="913">
        <f>'matrik MISI 3'!T49</f>
        <v>1</v>
      </c>
      <c r="P203" s="913">
        <f>'matrik MISI 3'!U49</f>
        <v>1</v>
      </c>
      <c r="Q203" s="913">
        <f>'matrik MISI 3'!V49</f>
        <v>1</v>
      </c>
      <c r="R203" s="913">
        <f>'matrik MISI 3'!W49</f>
        <v>1</v>
      </c>
    </row>
    <row r="204" spans="2:18">
      <c r="B204" s="914"/>
      <c r="C204" s="70"/>
      <c r="D204" s="70"/>
      <c r="E204" s="70"/>
      <c r="F204" s="70"/>
      <c r="G204" s="70"/>
      <c r="H204" s="70"/>
      <c r="I204" s="2" t="str">
        <f>'matrik MISI 3'!N50</f>
        <v>Tersedianya sub terminal (tipe c)</v>
      </c>
      <c r="J204" s="913" t="str">
        <f>'matrik MISI 3'!O50</f>
        <v>Unit</v>
      </c>
      <c r="K204" s="913">
        <f>'matrik MISI 3'!P50</f>
        <v>12</v>
      </c>
      <c r="L204" s="913">
        <f>'matrik MISI 3'!Q50</f>
        <v>12</v>
      </c>
      <c r="M204" s="913">
        <f>'matrik MISI 3'!R50</f>
        <v>12</v>
      </c>
      <c r="N204" s="913">
        <f>'matrik MISI 3'!S50</f>
        <v>12</v>
      </c>
      <c r="O204" s="913">
        <f>'matrik MISI 3'!T50</f>
        <v>12</v>
      </c>
      <c r="P204" s="913">
        <f>'matrik MISI 3'!U50</f>
        <v>12</v>
      </c>
      <c r="Q204" s="913">
        <f>'matrik MISI 3'!V50</f>
        <v>12</v>
      </c>
      <c r="R204" s="913">
        <f>'matrik MISI 3'!W50</f>
        <v>12</v>
      </c>
    </row>
    <row r="205" spans="2:18" ht="31.5">
      <c r="B205" s="914"/>
      <c r="C205" s="70"/>
      <c r="D205" s="70"/>
      <c r="E205" s="70"/>
      <c r="F205" s="70"/>
      <c r="G205" s="70"/>
      <c r="H205" s="70"/>
      <c r="I205" s="2" t="str">
        <f>'matrik MISI 3'!N51</f>
        <v xml:space="preserve">Tersedianya Fasilitas Kelengkapan Jalan </v>
      </c>
      <c r="J205" s="913" t="str">
        <f>'matrik MISI 3'!O51</f>
        <v>%</v>
      </c>
      <c r="K205" s="913">
        <f>'matrik MISI 3'!P51</f>
        <v>50</v>
      </c>
      <c r="L205" s="913">
        <f>'matrik MISI 3'!Q51</f>
        <v>60</v>
      </c>
      <c r="M205" s="913">
        <f>'matrik MISI 3'!R51</f>
        <v>61</v>
      </c>
      <c r="N205" s="913">
        <f>'matrik MISI 3'!S51</f>
        <v>63</v>
      </c>
      <c r="O205" s="913">
        <f>'matrik MISI 3'!T51</f>
        <v>65</v>
      </c>
      <c r="P205" s="913">
        <f>'matrik MISI 3'!U51</f>
        <v>67</v>
      </c>
      <c r="Q205" s="913">
        <f>'matrik MISI 3'!V51</f>
        <v>69</v>
      </c>
      <c r="R205" s="913">
        <f>'matrik MISI 3'!W51</f>
        <v>69</v>
      </c>
    </row>
    <row r="206" spans="2:18" ht="47.25">
      <c r="B206" s="914"/>
      <c r="C206" s="70"/>
      <c r="D206" s="70"/>
      <c r="E206" s="70"/>
      <c r="F206" s="70"/>
      <c r="G206" s="70"/>
      <c r="H206" s="70"/>
      <c r="I206" s="2" t="str">
        <f>'matrik MISI 3'!N52</f>
        <v>Persentase Angkutan Umum yang Melayani Wilayah yang Tersedia Jaringan Jalan</v>
      </c>
      <c r="J206" s="913" t="str">
        <f>'matrik MISI 3'!O52</f>
        <v>%</v>
      </c>
      <c r="K206" s="913">
        <f>'matrik MISI 3'!P52</f>
        <v>70</v>
      </c>
      <c r="L206" s="913">
        <f>'matrik MISI 3'!Q52</f>
        <v>70</v>
      </c>
      <c r="M206" s="913">
        <f>'matrik MISI 3'!R52</f>
        <v>80</v>
      </c>
      <c r="N206" s="913">
        <f>'matrik MISI 3'!S52</f>
        <v>80</v>
      </c>
      <c r="O206" s="913">
        <f>'matrik MISI 3'!T52</f>
        <v>80</v>
      </c>
      <c r="P206" s="913">
        <f>'matrik MISI 3'!U52</f>
        <v>80</v>
      </c>
      <c r="Q206" s="913">
        <f>'matrik MISI 3'!V52</f>
        <v>90</v>
      </c>
      <c r="R206" s="913">
        <f>'matrik MISI 3'!W52</f>
        <v>90</v>
      </c>
    </row>
    <row r="207" spans="2:18" ht="31.5">
      <c r="B207" s="914"/>
      <c r="C207" s="70"/>
      <c r="D207" s="70"/>
      <c r="E207" s="70"/>
      <c r="F207" s="70"/>
      <c r="G207" s="70"/>
      <c r="H207" s="70"/>
      <c r="I207" s="2" t="str">
        <f>'matrik MISI 3'!N53</f>
        <v xml:space="preserve">Persentase Tersedianya Fasilitas Kelengkapan Jalan </v>
      </c>
      <c r="J207" s="913" t="str">
        <f>'matrik MISI 3'!O53</f>
        <v>%</v>
      </c>
      <c r="K207" s="913">
        <f>'matrik MISI 3'!P53</f>
        <v>50</v>
      </c>
      <c r="L207" s="913">
        <f>'matrik MISI 3'!Q53</f>
        <v>60</v>
      </c>
      <c r="M207" s="913">
        <f>'matrik MISI 3'!R53</f>
        <v>61</v>
      </c>
      <c r="N207" s="913">
        <f>'matrik MISI 3'!S53</f>
        <v>63</v>
      </c>
      <c r="O207" s="913">
        <f>'matrik MISI 3'!T53</f>
        <v>65</v>
      </c>
      <c r="P207" s="913">
        <f>'matrik MISI 3'!U53</f>
        <v>67</v>
      </c>
      <c r="Q207" s="913">
        <f>'matrik MISI 3'!V53</f>
        <v>69</v>
      </c>
      <c r="R207" s="913">
        <f>'matrik MISI 3'!W53</f>
        <v>69</v>
      </c>
    </row>
    <row r="208" spans="2:18" ht="47.25">
      <c r="B208" s="915"/>
      <c r="C208" s="917"/>
      <c r="D208" s="917"/>
      <c r="E208" s="917"/>
      <c r="F208" s="917"/>
      <c r="G208" s="917"/>
      <c r="H208" s="917"/>
      <c r="I208" s="2" t="str">
        <f>'matrik MISI 3'!N54</f>
        <v>Cakupan  perusahan  Angkutan Umum yang Mempunyai Izin Usaha dan Trayek</v>
      </c>
      <c r="J208" s="913" t="str">
        <f>'matrik MISI 3'!O54</f>
        <v>%</v>
      </c>
      <c r="K208" s="913">
        <f>'matrik MISI 3'!P54</f>
        <v>100</v>
      </c>
      <c r="L208" s="913">
        <f>'matrik MISI 3'!Q54</f>
        <v>100</v>
      </c>
      <c r="M208" s="913">
        <f>'matrik MISI 3'!R54</f>
        <v>100</v>
      </c>
      <c r="N208" s="913">
        <f>'matrik MISI 3'!S54</f>
        <v>100</v>
      </c>
      <c r="O208" s="913">
        <f>'matrik MISI 3'!T54</f>
        <v>100</v>
      </c>
      <c r="P208" s="913">
        <f>'matrik MISI 3'!U54</f>
        <v>100</v>
      </c>
      <c r="Q208" s="913">
        <f>'matrik MISI 3'!V54</f>
        <v>100</v>
      </c>
      <c r="R208" s="913">
        <f>'matrik MISI 3'!W54</f>
        <v>100</v>
      </c>
    </row>
    <row r="209" spans="2:18" ht="110.25">
      <c r="B209" s="919" t="s">
        <v>694</v>
      </c>
      <c r="C209" s="916">
        <v>4</v>
      </c>
      <c r="D209" s="916" t="str">
        <f>'visi misi'!A11</f>
        <v>Mewujudkan Peningkatan  Pendidikan yang Berkualitas tanpa Meninggalkan Kearifan Lokal</v>
      </c>
      <c r="E209" s="916">
        <f>'matrik MISI 4'!C8</f>
        <v>1</v>
      </c>
      <c r="F209" s="916" t="str">
        <f>'matrik MISI 4'!D8</f>
        <v>Meningkatkan Budi Pekerti, Tata Krama Nilai Budaya dan Keteladanan</v>
      </c>
      <c r="G209" s="916">
        <f>'matrik MISI 4'!E8</f>
        <v>1</v>
      </c>
      <c r="H209" s="916" t="str">
        <f>'matrik MISI 4'!F8</f>
        <v>Meningkatnya Budi Pekerti, Tata Krama  dan Tata Nilai Budaya Jawa serta Keteladanan</v>
      </c>
      <c r="I209" s="2" t="str">
        <f>'matrik MISI 4'!N9</f>
        <v>Tersusun dan terlaksananya kurikulum muatan lokal Budi Pekerti dan Budaya Jawa</v>
      </c>
      <c r="J209" s="913" t="str">
        <f>'matrik MISI 4'!O9</f>
        <v>%</v>
      </c>
      <c r="K209" s="913" t="str">
        <f>'matrik MISI 4'!P9</f>
        <v xml:space="preserve"> - </v>
      </c>
      <c r="L209" s="913" t="str">
        <f>'matrik MISI 4'!Q9</f>
        <v xml:space="preserve"> - </v>
      </c>
      <c r="M209" s="913" t="str">
        <f>'matrik MISI 4'!R9</f>
        <v xml:space="preserve"> - </v>
      </c>
      <c r="N209" s="913">
        <f>'matrik MISI 4'!S9</f>
        <v>32.729999999999997</v>
      </c>
      <c r="O209" s="913">
        <f>'matrik MISI 4'!T9</f>
        <v>61.78</v>
      </c>
      <c r="P209" s="913">
        <f>'matrik MISI 4'!U9</f>
        <v>86.33</v>
      </c>
      <c r="Q209" s="913">
        <f>'matrik MISI 4'!V9</f>
        <v>100</v>
      </c>
      <c r="R209" s="913">
        <f>'matrik MISI 4'!W9</f>
        <v>100</v>
      </c>
    </row>
    <row r="210" spans="2:18" ht="94.5">
      <c r="B210" s="914"/>
      <c r="C210" s="70"/>
      <c r="D210" s="70"/>
      <c r="E210" s="70"/>
      <c r="F210" s="70"/>
      <c r="G210" s="70"/>
      <c r="H210" s="70"/>
      <c r="I210" s="2" t="str">
        <f>'matrik MISI 4'!N10</f>
        <v>Persentase siswa yang memiliki Buku Teks atau Buku Penunjang atau Buku Pengayaan yang Memuat Budi Pekerti  atau Tata Krama atau  Nilai Budaya Daerah atau Keteladanan</v>
      </c>
      <c r="J210" s="913" t="str">
        <f>'matrik MISI 4'!O10</f>
        <v>%</v>
      </c>
      <c r="K210" s="913" t="str">
        <f>'matrik MISI 4'!P10</f>
        <v xml:space="preserve"> - </v>
      </c>
      <c r="L210" s="913" t="str">
        <f>'matrik MISI 4'!Q10</f>
        <v xml:space="preserve"> - </v>
      </c>
      <c r="M210" s="913" t="str">
        <f>'matrik MISI 4'!R10</f>
        <v xml:space="preserve"> - </v>
      </c>
      <c r="N210" s="913">
        <f>'matrik MISI 4'!S10</f>
        <v>20</v>
      </c>
      <c r="O210" s="913">
        <f>'matrik MISI 4'!T10</f>
        <v>30</v>
      </c>
      <c r="P210" s="913">
        <f>'matrik MISI 4'!U10</f>
        <v>40</v>
      </c>
      <c r="Q210" s="913">
        <f>'matrik MISI 4'!V10</f>
        <v>50</v>
      </c>
      <c r="R210" s="913">
        <f>'matrik MISI 4'!W10</f>
        <v>50</v>
      </c>
    </row>
    <row r="211" spans="2:18">
      <c r="B211" s="914"/>
      <c r="C211" s="70"/>
      <c r="D211" s="70"/>
      <c r="E211" s="70"/>
      <c r="F211" s="70"/>
      <c r="G211" s="70"/>
      <c r="H211" s="70"/>
      <c r="I211" s="2" t="str">
        <f>'matrik MISI 4'!N11</f>
        <v>Persentase pendidik yang disiplin</v>
      </c>
      <c r="J211" s="913" t="str">
        <f>'matrik MISI 4'!O11</f>
        <v>%</v>
      </c>
      <c r="K211" s="913" t="str">
        <f>'matrik MISI 4'!P11</f>
        <v xml:space="preserve"> - </v>
      </c>
      <c r="L211" s="913" t="str">
        <f>'matrik MISI 4'!Q11</f>
        <v xml:space="preserve"> - </v>
      </c>
      <c r="M211" s="913">
        <f>'matrik MISI 4'!R11</f>
        <v>100</v>
      </c>
      <c r="N211" s="913">
        <f>'matrik MISI 4'!S11</f>
        <v>100</v>
      </c>
      <c r="O211" s="913">
        <f>'matrik MISI 4'!T11</f>
        <v>100</v>
      </c>
      <c r="P211" s="913">
        <f>'matrik MISI 4'!U11</f>
        <v>100</v>
      </c>
      <c r="Q211" s="913">
        <f>'matrik MISI 4'!V11</f>
        <v>100</v>
      </c>
      <c r="R211" s="913">
        <f>'matrik MISI 4'!W11</f>
        <v>100</v>
      </c>
    </row>
    <row r="212" spans="2:18" ht="31.5">
      <c r="B212" s="914"/>
      <c r="C212" s="70"/>
      <c r="D212" s="70"/>
      <c r="E212" s="917"/>
      <c r="F212" s="917"/>
      <c r="G212" s="917"/>
      <c r="H212" s="917"/>
      <c r="I212" s="2" t="str">
        <f>'matrik MISI 4'!N12</f>
        <v>Persentase angka kenakalan siswa</v>
      </c>
      <c r="J212" s="913" t="str">
        <f>'matrik MISI 4'!O12</f>
        <v>%</v>
      </c>
      <c r="K212" s="913" t="str">
        <f>'matrik MISI 4'!P12</f>
        <v xml:space="preserve"> - </v>
      </c>
      <c r="L212" s="913" t="str">
        <f>'matrik MISI 4'!Q12</f>
        <v xml:space="preserve"> - </v>
      </c>
      <c r="M212" s="913">
        <f>'matrik MISI 4'!R12</f>
        <v>0</v>
      </c>
      <c r="N212" s="913">
        <f>'matrik MISI 4'!S12</f>
        <v>0</v>
      </c>
      <c r="O212" s="913">
        <f>'matrik MISI 4'!T12</f>
        <v>0</v>
      </c>
      <c r="P212" s="913">
        <f>'matrik MISI 4'!U12</f>
        <v>0</v>
      </c>
      <c r="Q212" s="913">
        <f>'matrik MISI 4'!V12</f>
        <v>0</v>
      </c>
      <c r="R212" s="913">
        <f>'matrik MISI 4'!W12</f>
        <v>0</v>
      </c>
    </row>
    <row r="213" spans="2:18" ht="47.25">
      <c r="B213" s="914"/>
      <c r="C213" s="70"/>
      <c r="D213" s="70"/>
      <c r="E213" s="916">
        <f>'matrik MISI 4'!C13</f>
        <v>2</v>
      </c>
      <c r="F213" s="916" t="str">
        <f>'matrik MISI 4'!D13</f>
        <v>Meningkatkan Aksesibilitas Masyarakat atas Pelayanan Pendidikan</v>
      </c>
      <c r="G213" s="916">
        <f>'matrik MISI 4'!E13</f>
        <v>2</v>
      </c>
      <c r="H213" s="916" t="str">
        <f>'matrik MISI 4'!F13</f>
        <v>Meningkatnya Aksebilitas Pendidikan Anak Usia Dini</v>
      </c>
      <c r="I213" s="2" t="str">
        <f>'matrik MISI 4'!N14</f>
        <v>Persentase APK Pendidikan Anak Usia Dini (Usia 4-6 Tahun)</v>
      </c>
      <c r="J213" s="913" t="str">
        <f>'matrik MISI 4'!O14</f>
        <v>%</v>
      </c>
      <c r="K213" s="913">
        <f>'matrik MISI 4'!P14</f>
        <v>62.54</v>
      </c>
      <c r="L213" s="913">
        <f>'matrik MISI 4'!Q14</f>
        <v>66.13</v>
      </c>
      <c r="M213" s="913">
        <f>'matrik MISI 4'!R14</f>
        <v>67.13</v>
      </c>
      <c r="N213" s="913">
        <f>'matrik MISI 4'!S14</f>
        <v>67.63</v>
      </c>
      <c r="O213" s="913">
        <f>'matrik MISI 4'!T14</f>
        <v>68.13</v>
      </c>
      <c r="P213" s="913">
        <f>'matrik MISI 4'!U14</f>
        <v>68.63</v>
      </c>
      <c r="Q213" s="913">
        <f>'matrik MISI 4'!V14</f>
        <v>69.13</v>
      </c>
      <c r="R213" s="913">
        <f>'matrik MISI 4'!W14</f>
        <v>69.13</v>
      </c>
    </row>
    <row r="214" spans="2:18" ht="31.5">
      <c r="B214" s="914"/>
      <c r="C214" s="70"/>
      <c r="D214" s="70"/>
      <c r="E214" s="70"/>
      <c r="F214" s="70"/>
      <c r="G214" s="70"/>
      <c r="H214" s="70"/>
      <c r="I214" s="2" t="str">
        <f>'matrik MISI 4'!N15</f>
        <v>Persentase APK Pendidikan Anak Usia Dini (Usia 0-6 Tahun)</v>
      </c>
      <c r="J214" s="913" t="str">
        <f>'matrik MISI 4'!O15</f>
        <v>%</v>
      </c>
      <c r="K214" s="913">
        <f>'matrik MISI 4'!P15</f>
        <v>32.32</v>
      </c>
      <c r="L214" s="913">
        <f>'matrik MISI 4'!Q15</f>
        <v>32.36</v>
      </c>
      <c r="M214" s="913">
        <f>'matrik MISI 4'!R15</f>
        <v>32.4</v>
      </c>
      <c r="N214" s="913">
        <f>'matrik MISI 4'!S15</f>
        <v>32.44</v>
      </c>
      <c r="O214" s="913">
        <f>'matrik MISI 4'!T15</f>
        <v>32.479999999999997</v>
      </c>
      <c r="P214" s="913">
        <f>'matrik MISI 4'!U15</f>
        <v>32.520000000000003</v>
      </c>
      <c r="Q214" s="913">
        <f>'matrik MISI 4'!V15</f>
        <v>32.56</v>
      </c>
      <c r="R214" s="913">
        <f>'matrik MISI 4'!W15</f>
        <v>32.56</v>
      </c>
    </row>
    <row r="215" spans="2:18" ht="31.5">
      <c r="B215" s="914"/>
      <c r="C215" s="70"/>
      <c r="D215" s="70"/>
      <c r="E215" s="70"/>
      <c r="F215" s="70"/>
      <c r="G215" s="70"/>
      <c r="H215" s="70"/>
      <c r="I215" s="2" t="str">
        <f>'matrik MISI 4'!N16</f>
        <v>Persentase Angka Partisipasi Anak Perempuan (Usia 4-6 Tahun)</v>
      </c>
      <c r="J215" s="913" t="str">
        <f>'matrik MISI 4'!O16</f>
        <v>%</v>
      </c>
      <c r="K215" s="913">
        <f>'matrik MISI 4'!P16</f>
        <v>48.611937338885589</v>
      </c>
      <c r="L215" s="913">
        <f>'matrik MISI 4'!Q16</f>
        <v>48.61</v>
      </c>
      <c r="M215" s="913">
        <f>'matrik MISI 4'!R16</f>
        <v>48.64</v>
      </c>
      <c r="N215" s="913">
        <f>'matrik MISI 4'!S16</f>
        <v>48.67</v>
      </c>
      <c r="O215" s="913">
        <f>'matrik MISI 4'!T16</f>
        <v>48.7</v>
      </c>
      <c r="P215" s="913">
        <f>'matrik MISI 4'!U16</f>
        <v>48.73</v>
      </c>
      <c r="Q215" s="913">
        <f>'matrik MISI 4'!V16</f>
        <v>48.76</v>
      </c>
      <c r="R215" s="913">
        <f>'matrik MISI 4'!W16</f>
        <v>48.76</v>
      </c>
    </row>
    <row r="216" spans="2:18" ht="31.5">
      <c r="B216" s="914"/>
      <c r="C216" s="70"/>
      <c r="D216" s="70"/>
      <c r="E216" s="70"/>
      <c r="F216" s="70"/>
      <c r="G216" s="70"/>
      <c r="H216" s="70"/>
      <c r="I216" s="2" t="str">
        <f>'matrik MISI 4'!N17</f>
        <v>Persentase Angka Partisipasi Anak Perempuan (Usia 0-6 Tahun)</v>
      </c>
      <c r="J216" s="913" t="str">
        <f>'matrik MISI 4'!O17</f>
        <v>%</v>
      </c>
      <c r="K216" s="913">
        <f>'matrik MISI 4'!P17</f>
        <v>49.071503263260375</v>
      </c>
      <c r="L216" s="913">
        <f>'matrik MISI 4'!Q17</f>
        <v>49.07</v>
      </c>
      <c r="M216" s="913">
        <f>'matrik MISI 4'!R17</f>
        <v>49.09</v>
      </c>
      <c r="N216" s="913">
        <f>'matrik MISI 4'!S17</f>
        <v>49.110999999999997</v>
      </c>
      <c r="O216" s="913">
        <f>'matrik MISI 4'!T17</f>
        <v>49.13</v>
      </c>
      <c r="P216" s="913">
        <f>'matrik MISI 4'!U17</f>
        <v>49.15</v>
      </c>
      <c r="Q216" s="913">
        <f>'matrik MISI 4'!V17</f>
        <v>49.17</v>
      </c>
      <c r="R216" s="913">
        <f>'matrik MISI 4'!W17</f>
        <v>49.17</v>
      </c>
    </row>
    <row r="217" spans="2:18">
      <c r="B217" s="914"/>
      <c r="C217" s="70"/>
      <c r="D217" s="70"/>
      <c r="E217" s="70"/>
      <c r="F217" s="70"/>
      <c r="G217" s="917"/>
      <c r="H217" s="917"/>
      <c r="I217" s="2" t="str">
        <f>'matrik MISI 4'!N18</f>
        <v>Rasio siswa per kelas TK</v>
      </c>
      <c r="J217" s="913" t="str">
        <f>'matrik MISI 4'!O18</f>
        <v>Rasio</v>
      </c>
      <c r="K217" s="913">
        <f>'matrik MISI 4'!P18</f>
        <v>21</v>
      </c>
      <c r="L217" s="913">
        <f>'matrik MISI 4'!Q18</f>
        <v>21</v>
      </c>
      <c r="M217" s="913">
        <f>'matrik MISI 4'!R18</f>
        <v>21</v>
      </c>
      <c r="N217" s="913">
        <f>'matrik MISI 4'!S18</f>
        <v>21</v>
      </c>
      <c r="O217" s="913">
        <f>'matrik MISI 4'!T18</f>
        <v>21</v>
      </c>
      <c r="P217" s="913">
        <f>'matrik MISI 4'!U18</f>
        <v>21</v>
      </c>
      <c r="Q217" s="913">
        <f>'matrik MISI 4'!V18</f>
        <v>21</v>
      </c>
      <c r="R217" s="913">
        <f>'matrik MISI 4'!W18</f>
        <v>21</v>
      </c>
    </row>
    <row r="218" spans="2:18" ht="31.5">
      <c r="B218" s="914"/>
      <c r="C218" s="70"/>
      <c r="D218" s="70"/>
      <c r="E218" s="70"/>
      <c r="F218" s="70"/>
      <c r="G218" s="916">
        <f>'matrik MISI 4'!E19</f>
        <v>3</v>
      </c>
      <c r="H218" s="916" t="str">
        <f>'matrik MISI 4'!F19</f>
        <v>Meningkatnya Aksebilitas Pendidikan Dasar</v>
      </c>
      <c r="I218" s="2" t="str">
        <f>'matrik MISI 4'!N20</f>
        <v>Persentase APK SD Sederajat</v>
      </c>
      <c r="J218" s="913" t="str">
        <f>'matrik MISI 4'!O20</f>
        <v>%</v>
      </c>
      <c r="K218" s="913">
        <f>'matrik MISI 4'!P20</f>
        <v>103.5</v>
      </c>
      <c r="L218" s="913">
        <f>'matrik MISI 4'!Q20</f>
        <v>103.55</v>
      </c>
      <c r="M218" s="913">
        <f>'matrik MISI 4'!R20</f>
        <v>103.58</v>
      </c>
      <c r="N218" s="913">
        <f>'matrik MISI 4'!S20</f>
        <v>103.61</v>
      </c>
      <c r="O218" s="913">
        <f>'matrik MISI 4'!T20</f>
        <v>103.64</v>
      </c>
      <c r="P218" s="913">
        <f>'matrik MISI 4'!U20</f>
        <v>103.67</v>
      </c>
      <c r="Q218" s="913">
        <f>'matrik MISI 4'!V20</f>
        <v>103.7</v>
      </c>
      <c r="R218" s="913">
        <f>'matrik MISI 4'!W20</f>
        <v>103.7</v>
      </c>
    </row>
    <row r="219" spans="2:18">
      <c r="B219" s="914"/>
      <c r="C219" s="70"/>
      <c r="D219" s="70"/>
      <c r="E219" s="70"/>
      <c r="F219" s="70"/>
      <c r="G219" s="70"/>
      <c r="H219" s="70"/>
      <c r="I219" s="2" t="str">
        <f>'matrik MISI 4'!N21</f>
        <v>Persentase APM SD Sederajat</v>
      </c>
      <c r="J219" s="913" t="str">
        <f>'matrik MISI 4'!O21</f>
        <v>%</v>
      </c>
      <c r="K219" s="913">
        <f>'matrik MISI 4'!P21</f>
        <v>95.4</v>
      </c>
      <c r="L219" s="913">
        <f>'matrik MISI 4'!Q21</f>
        <v>95.42</v>
      </c>
      <c r="M219" s="913">
        <f>'matrik MISI 4'!R21</f>
        <v>95.45</v>
      </c>
      <c r="N219" s="913">
        <f>'matrik MISI 4'!S21</f>
        <v>95.48</v>
      </c>
      <c r="O219" s="913">
        <f>'matrik MISI 4'!T21</f>
        <v>95.51</v>
      </c>
      <c r="P219" s="913">
        <f>'matrik MISI 4'!U21</f>
        <v>95.54</v>
      </c>
      <c r="Q219" s="913">
        <f>'matrik MISI 4'!V21</f>
        <v>95.57</v>
      </c>
      <c r="R219" s="913">
        <f>'matrik MISI 4'!W21</f>
        <v>95.57</v>
      </c>
    </row>
    <row r="220" spans="2:18">
      <c r="B220" s="914"/>
      <c r="C220" s="70"/>
      <c r="D220" s="70"/>
      <c r="E220" s="70"/>
      <c r="F220" s="70"/>
      <c r="G220" s="70"/>
      <c r="H220" s="70"/>
      <c r="I220" s="2" t="str">
        <f>'matrik MISI 4'!N22</f>
        <v>Persentase APK SMP Sederajat</v>
      </c>
      <c r="J220" s="913" t="str">
        <f>'matrik MISI 4'!O22</f>
        <v>%</v>
      </c>
      <c r="K220" s="913">
        <f>'matrik MISI 4'!P22</f>
        <v>96</v>
      </c>
      <c r="L220" s="913">
        <f>'matrik MISI 4'!Q22</f>
        <v>96.03</v>
      </c>
      <c r="M220" s="913">
        <f>'matrik MISI 4'!R22</f>
        <v>96.06</v>
      </c>
      <c r="N220" s="913">
        <f>'matrik MISI 4'!S22</f>
        <v>96.09</v>
      </c>
      <c r="O220" s="913">
        <f>'matrik MISI 4'!T22</f>
        <v>96.12</v>
      </c>
      <c r="P220" s="913">
        <f>'matrik MISI 4'!U22</f>
        <v>96.15</v>
      </c>
      <c r="Q220" s="913">
        <f>'matrik MISI 4'!V22</f>
        <v>96.15</v>
      </c>
      <c r="R220" s="913">
        <f>'matrik MISI 4'!W22</f>
        <v>96.15</v>
      </c>
    </row>
    <row r="221" spans="2:18">
      <c r="B221" s="914"/>
      <c r="C221" s="70"/>
      <c r="D221" s="70"/>
      <c r="E221" s="70"/>
      <c r="F221" s="70"/>
      <c r="G221" s="70"/>
      <c r="H221" s="70"/>
      <c r="I221" s="2" t="str">
        <f>'matrik MISI 4'!N23</f>
        <v>Persentase APM SMP Sederajat</v>
      </c>
      <c r="J221" s="913" t="str">
        <f>'matrik MISI 4'!O23</f>
        <v>%</v>
      </c>
      <c r="K221" s="913">
        <f>'matrik MISI 4'!P23</f>
        <v>83.63</v>
      </c>
      <c r="L221" s="913">
        <f>'matrik MISI 4'!Q23</f>
        <v>83.66</v>
      </c>
      <c r="M221" s="913">
        <f>'matrik MISI 4'!R23</f>
        <v>83.69</v>
      </c>
      <c r="N221" s="913">
        <f>'matrik MISI 4'!S23</f>
        <v>83.72</v>
      </c>
      <c r="O221" s="913">
        <f>'matrik MISI 4'!T23</f>
        <v>83.75</v>
      </c>
      <c r="P221" s="913">
        <f>'matrik MISI 4'!U23</f>
        <v>83.78</v>
      </c>
      <c r="Q221" s="913">
        <f>'matrik MISI 4'!V23</f>
        <v>83.81</v>
      </c>
      <c r="R221" s="913">
        <f>'matrik MISI 4'!W23</f>
        <v>83.81</v>
      </c>
    </row>
    <row r="222" spans="2:18" ht="31.5">
      <c r="B222" s="914"/>
      <c r="C222" s="70"/>
      <c r="D222" s="70"/>
      <c r="E222" s="70"/>
      <c r="F222" s="70"/>
      <c r="G222" s="70"/>
      <c r="H222" s="70"/>
      <c r="I222" s="2" t="str">
        <f>'matrik MISI 4'!N24</f>
        <v>Persentase Angka  Melanjutkan ke SMP Sederajat</v>
      </c>
      <c r="J222" s="913" t="str">
        <f>'matrik MISI 4'!O24</f>
        <v>%</v>
      </c>
      <c r="K222" s="913">
        <f>'matrik MISI 4'!P24</f>
        <v>95.34094966083542</v>
      </c>
      <c r="L222" s="913">
        <f>'matrik MISI 4'!Q24</f>
        <v>95.37</v>
      </c>
      <c r="M222" s="913">
        <f>'matrik MISI 4'!R24</f>
        <v>100</v>
      </c>
      <c r="N222" s="913">
        <f>'matrik MISI 4'!S24</f>
        <v>100</v>
      </c>
      <c r="O222" s="913">
        <f>'matrik MISI 4'!T24</f>
        <v>100</v>
      </c>
      <c r="P222" s="913">
        <f>'matrik MISI 4'!U24</f>
        <v>100</v>
      </c>
      <c r="Q222" s="913">
        <f>'matrik MISI 4'!V24</f>
        <v>100</v>
      </c>
      <c r="R222" s="913">
        <f>'matrik MISI 4'!W24</f>
        <v>100</v>
      </c>
    </row>
    <row r="223" spans="2:18" ht="47.25">
      <c r="B223" s="914"/>
      <c r="C223" s="70"/>
      <c r="D223" s="70"/>
      <c r="E223" s="70"/>
      <c r="F223" s="70"/>
      <c r="G223" s="70"/>
      <c r="H223" s="70"/>
      <c r="I223" s="2" t="str">
        <f>'matrik MISI 4'!N25</f>
        <v>Persentase Partisipasi Anak Perempuan dalam Pendidikan Dasar</v>
      </c>
      <c r="J223" s="913" t="str">
        <f>'matrik MISI 4'!O25</f>
        <v>%</v>
      </c>
      <c r="K223" s="913">
        <f>'matrik MISI 4'!P25</f>
        <v>48.594462811443769</v>
      </c>
      <c r="L223" s="913">
        <f>'matrik MISI 4'!Q25</f>
        <v>48.59</v>
      </c>
      <c r="M223" s="913">
        <f>'matrik MISI 4'!R25</f>
        <v>48.61</v>
      </c>
      <c r="N223" s="913">
        <f>'matrik MISI 4'!S25</f>
        <v>48.63</v>
      </c>
      <c r="O223" s="913">
        <f>'matrik MISI 4'!T25</f>
        <v>48.65</v>
      </c>
      <c r="P223" s="913">
        <f>'matrik MISI 4'!U25</f>
        <v>48.67</v>
      </c>
      <c r="Q223" s="913">
        <f>'matrik MISI 4'!V25</f>
        <v>48.69</v>
      </c>
      <c r="R223" s="913">
        <f>'matrik MISI 4'!W25</f>
        <v>48.69</v>
      </c>
    </row>
    <row r="224" spans="2:18">
      <c r="B224" s="914"/>
      <c r="C224" s="70"/>
      <c r="D224" s="70"/>
      <c r="E224" s="70"/>
      <c r="F224" s="70"/>
      <c r="G224" s="70"/>
      <c r="H224" s="70"/>
      <c r="I224" s="2" t="str">
        <f>'matrik MISI 4'!N26</f>
        <v>Rasio Siswa per Kelas SD/MI</v>
      </c>
      <c r="J224" s="913" t="str">
        <f>'matrik MISI 4'!O26</f>
        <v>Angka</v>
      </c>
      <c r="K224" s="913">
        <f>'matrik MISI 4'!P26</f>
        <v>21.06</v>
      </c>
      <c r="L224" s="913">
        <f>'matrik MISI 4'!Q26</f>
        <v>21.06</v>
      </c>
      <c r="M224" s="913">
        <f>'matrik MISI 4'!R26</f>
        <v>21.8</v>
      </c>
      <c r="N224" s="913">
        <f>'matrik MISI 4'!S26</f>
        <v>21.1</v>
      </c>
      <c r="O224" s="913">
        <f>'matrik MISI 4'!T26</f>
        <v>21.12</v>
      </c>
      <c r="P224" s="913">
        <f>'matrik MISI 4'!U26</f>
        <v>21.14</v>
      </c>
      <c r="Q224" s="913">
        <f>'matrik MISI 4'!V26</f>
        <v>21.16</v>
      </c>
      <c r="R224" s="913">
        <f>'matrik MISI 4'!W26</f>
        <v>21.16</v>
      </c>
    </row>
    <row r="225" spans="2:18">
      <c r="B225" s="914"/>
      <c r="C225" s="70"/>
      <c r="D225" s="70"/>
      <c r="E225" s="70"/>
      <c r="F225" s="70"/>
      <c r="G225" s="70"/>
      <c r="H225" s="70"/>
      <c r="I225" s="2" t="str">
        <f>'matrik MISI 4'!N27</f>
        <v>Rasio Siswa per Kelas SMP/MTs</v>
      </c>
      <c r="J225" s="913" t="str">
        <f>'matrik MISI 4'!O27</f>
        <v>Angka</v>
      </c>
      <c r="K225" s="913">
        <f>'matrik MISI 4'!P27</f>
        <v>31.9</v>
      </c>
      <c r="L225" s="913">
        <f>'matrik MISI 4'!Q27</f>
        <v>31.9</v>
      </c>
      <c r="M225" s="913">
        <f>'matrik MISI 4'!R27</f>
        <v>31.92</v>
      </c>
      <c r="N225" s="913">
        <f>'matrik MISI 4'!S27</f>
        <v>31.94</v>
      </c>
      <c r="O225" s="913">
        <f>'matrik MISI 4'!T27</f>
        <v>31.96</v>
      </c>
      <c r="P225" s="913">
        <f>'matrik MISI 4'!U27</f>
        <v>31.98</v>
      </c>
      <c r="Q225" s="913">
        <f>'matrik MISI 4'!V27</f>
        <v>32</v>
      </c>
      <c r="R225" s="913">
        <f>'matrik MISI 4'!W27</f>
        <v>32</v>
      </c>
    </row>
    <row r="226" spans="2:18" ht="47.25">
      <c r="B226" s="914"/>
      <c r="C226" s="70"/>
      <c r="D226" s="70"/>
      <c r="E226" s="70"/>
      <c r="F226" s="70"/>
      <c r="G226" s="70"/>
      <c r="H226" s="70"/>
      <c r="I226" s="2" t="str">
        <f>'matrik MISI 4'!N28</f>
        <v>Persentase Siswa Miskin Penerima Beasiswa  untuk Menempuh Pendidikan Dasar</v>
      </c>
      <c r="J226" s="913" t="str">
        <f>'matrik MISI 4'!O28</f>
        <v>%</v>
      </c>
      <c r="K226" s="913" t="str">
        <f>'matrik MISI 4'!P28</f>
        <v>65,62</v>
      </c>
      <c r="L226" s="913" t="str">
        <f>'matrik MISI 4'!Q28</f>
        <v>68,13</v>
      </c>
      <c r="M226" s="913" t="str">
        <f>'matrik MISI 4'!R28</f>
        <v>70,65</v>
      </c>
      <c r="N226" s="913" t="str">
        <f>'matrik MISI 4'!S28</f>
        <v>71,90</v>
      </c>
      <c r="O226" s="913" t="str">
        <f>'matrik MISI 4'!T28</f>
        <v>73,16</v>
      </c>
      <c r="P226" s="913" t="str">
        <f>'matrik MISI 4'!U28</f>
        <v>74,42</v>
      </c>
      <c r="Q226" s="913" t="str">
        <f>'matrik MISI 4'!V28</f>
        <v>74,42</v>
      </c>
      <c r="R226" s="913" t="str">
        <f>'matrik MISI 4'!W28</f>
        <v>74,42</v>
      </c>
    </row>
    <row r="227" spans="2:18" ht="31.5">
      <c r="B227" s="914"/>
      <c r="C227" s="70"/>
      <c r="D227" s="70"/>
      <c r="E227" s="70"/>
      <c r="F227" s="70"/>
      <c r="G227" s="70"/>
      <c r="H227" s="70"/>
      <c r="I227" s="2" t="str">
        <f>'matrik MISI 4'!N29</f>
        <v>Angka Partisipasi Sekolah Usia 7-12 Tahun</v>
      </c>
      <c r="J227" s="913" t="str">
        <f>'matrik MISI 4'!O29</f>
        <v>%</v>
      </c>
      <c r="K227" s="913">
        <f>'matrik MISI 4'!P29</f>
        <v>99.37</v>
      </c>
      <c r="L227" s="913">
        <f>'matrik MISI 4'!Q29</f>
        <v>99.37</v>
      </c>
      <c r="M227" s="913">
        <f>'matrik MISI 4'!R29</f>
        <v>99.4</v>
      </c>
      <c r="N227" s="913">
        <f>'matrik MISI 4'!S29</f>
        <v>99.43</v>
      </c>
      <c r="O227" s="913">
        <f>'matrik MISI 4'!T29</f>
        <v>99.46</v>
      </c>
      <c r="P227" s="913">
        <f>'matrik MISI 4'!U29</f>
        <v>99.49</v>
      </c>
      <c r="Q227" s="913">
        <f>'matrik MISI 4'!V29</f>
        <v>99.52</v>
      </c>
      <c r="R227" s="913">
        <f>'matrik MISI 4'!W29</f>
        <v>99.52</v>
      </c>
    </row>
    <row r="228" spans="2:18" ht="31.5">
      <c r="B228" s="914"/>
      <c r="C228" s="70"/>
      <c r="D228" s="70"/>
      <c r="E228" s="70"/>
      <c r="F228" s="70"/>
      <c r="G228" s="917"/>
      <c r="H228" s="917"/>
      <c r="I228" s="2" t="str">
        <f>'matrik MISI 4'!N30</f>
        <v>Angka Partisipasi Sekolah Usia 13-15 Tahun</v>
      </c>
      <c r="J228" s="913" t="str">
        <f>'matrik MISI 4'!O30</f>
        <v>%</v>
      </c>
      <c r="K228" s="913">
        <f>'matrik MISI 4'!P30</f>
        <v>99.25</v>
      </c>
      <c r="L228" s="913">
        <f>'matrik MISI 4'!Q30</f>
        <v>99.25</v>
      </c>
      <c r="M228" s="913">
        <f>'matrik MISI 4'!R30</f>
        <v>99.28</v>
      </c>
      <c r="N228" s="913">
        <f>'matrik MISI 4'!S30</f>
        <v>99.31</v>
      </c>
      <c r="O228" s="913">
        <f>'matrik MISI 4'!T30</f>
        <v>99.34</v>
      </c>
      <c r="P228" s="913">
        <f>'matrik MISI 4'!U30</f>
        <v>99.37</v>
      </c>
      <c r="Q228" s="913">
        <f>'matrik MISI 4'!V30</f>
        <v>99.4</v>
      </c>
      <c r="R228" s="913">
        <f>'matrik MISI 4'!W30</f>
        <v>99.4</v>
      </c>
    </row>
    <row r="229" spans="2:18" ht="31.5">
      <c r="B229" s="914"/>
      <c r="C229" s="70"/>
      <c r="D229" s="70"/>
      <c r="E229" s="70"/>
      <c r="F229" s="70"/>
      <c r="G229" s="916">
        <f>'matrik MISI 4'!E31</f>
        <v>4</v>
      </c>
      <c r="H229" s="916" t="str">
        <f>'matrik MISI 4'!F31</f>
        <v>Meningkatnya Aksesibilitas Pendidikan Menengah</v>
      </c>
      <c r="I229" s="2" t="str">
        <f>'matrik MISI 4'!N32</f>
        <v>Persentase APK Pendidikan Menengah</v>
      </c>
      <c r="J229" s="913" t="str">
        <f>'matrik MISI 4'!O32</f>
        <v>%</v>
      </c>
      <c r="K229" s="913">
        <f>'matrik MISI 4'!P32</f>
        <v>56.56</v>
      </c>
      <c r="L229" s="913">
        <f>'matrik MISI 4'!Q32</f>
        <v>56.66</v>
      </c>
      <c r="M229" s="913">
        <f>'matrik MISI 4'!R32</f>
        <v>56.76</v>
      </c>
      <c r="N229" s="913">
        <f>'matrik MISI 4'!S32</f>
        <v>56.86</v>
      </c>
      <c r="O229" s="913">
        <f>'matrik MISI 4'!T32</f>
        <v>56.96</v>
      </c>
      <c r="P229" s="913">
        <f>'matrik MISI 4'!U32</f>
        <v>57.06</v>
      </c>
      <c r="Q229" s="913">
        <f>'matrik MISI 4'!V32</f>
        <v>57.16</v>
      </c>
      <c r="R229" s="913">
        <f>'matrik MISI 4'!W32</f>
        <v>57.16</v>
      </c>
    </row>
    <row r="230" spans="2:18" ht="31.5">
      <c r="B230" s="914"/>
      <c r="C230" s="70"/>
      <c r="D230" s="70"/>
      <c r="E230" s="70"/>
      <c r="F230" s="70"/>
      <c r="G230" s="70"/>
      <c r="H230" s="70"/>
      <c r="I230" s="2" t="str">
        <f>'matrik MISI 4'!N33</f>
        <v>Persentase APM Pendidikan Menengah</v>
      </c>
      <c r="J230" s="913" t="str">
        <f>'matrik MISI 4'!O33</f>
        <v>%</v>
      </c>
      <c r="K230" s="913">
        <f>'matrik MISI 4'!P33</f>
        <v>39.549999999999997</v>
      </c>
      <c r="L230" s="913">
        <f>'matrik MISI 4'!Q33</f>
        <v>39.65</v>
      </c>
      <c r="M230" s="913">
        <f>'matrik MISI 4'!R33</f>
        <v>39.75</v>
      </c>
      <c r="N230" s="913">
        <f>'matrik MISI 4'!S33</f>
        <v>39.85</v>
      </c>
      <c r="O230" s="913" t="str">
        <f>'matrik MISI 4'!T33</f>
        <v>39..95</v>
      </c>
      <c r="P230" s="913">
        <f>'matrik MISI 4'!U33</f>
        <v>40.049999999999997</v>
      </c>
      <c r="Q230" s="913">
        <f>'matrik MISI 4'!V33</f>
        <v>40.15</v>
      </c>
      <c r="R230" s="913">
        <f>'matrik MISI 4'!W33</f>
        <v>40.15</v>
      </c>
    </row>
    <row r="231" spans="2:18" ht="31.5">
      <c r="B231" s="914"/>
      <c r="C231" s="70"/>
      <c r="D231" s="70"/>
      <c r="E231" s="70"/>
      <c r="F231" s="70"/>
      <c r="G231" s="70"/>
      <c r="H231" s="70"/>
      <c r="I231" s="2" t="str">
        <f>'matrik MISI 4'!N34</f>
        <v>Angka Melanjutkan ke Jenjang Pendidikan Menengah</v>
      </c>
      <c r="J231" s="913" t="str">
        <f>'matrik MISI 4'!O34</f>
        <v>%</v>
      </c>
      <c r="K231" s="913">
        <f>'matrik MISI 4'!P34</f>
        <v>65.479140850888058</v>
      </c>
      <c r="L231" s="913">
        <f>'matrik MISI 4'!Q34</f>
        <v>65.569999999999993</v>
      </c>
      <c r="M231" s="913">
        <f>'matrik MISI 4'!R34</f>
        <v>65.66</v>
      </c>
      <c r="N231" s="913">
        <f>'matrik MISI 4'!S34</f>
        <v>65.75</v>
      </c>
      <c r="O231" s="913">
        <f>'matrik MISI 4'!T34</f>
        <v>65.84</v>
      </c>
      <c r="P231" s="913">
        <f>'matrik MISI 4'!U34</f>
        <v>65.930000000000007</v>
      </c>
      <c r="Q231" s="913">
        <f>'matrik MISI 4'!V34</f>
        <v>66.02</v>
      </c>
      <c r="R231" s="913">
        <f>'matrik MISI 4'!W34</f>
        <v>66.02</v>
      </c>
    </row>
    <row r="232" spans="2:18" ht="47.25">
      <c r="B232" s="914"/>
      <c r="C232" s="70"/>
      <c r="D232" s="70"/>
      <c r="E232" s="70"/>
      <c r="F232" s="70"/>
      <c r="G232" s="70"/>
      <c r="H232" s="70"/>
      <c r="I232" s="2" t="str">
        <f>'matrik MISI 4'!N35</f>
        <v>Persentase Partisipasi Anak Perempuan dalam Pendidikan Menengah</v>
      </c>
      <c r="J232" s="913" t="str">
        <f>'matrik MISI 4'!O35</f>
        <v>%</v>
      </c>
      <c r="K232" s="913">
        <f>'matrik MISI 4'!P35</f>
        <v>51.247836525040483</v>
      </c>
      <c r="L232" s="913">
        <f>'matrik MISI 4'!Q35</f>
        <v>51.25</v>
      </c>
      <c r="M232" s="913">
        <f>'matrik MISI 4'!R35</f>
        <v>51.17</v>
      </c>
      <c r="N232" s="913">
        <f>'matrik MISI 4'!S35</f>
        <v>51.09</v>
      </c>
      <c r="O232" s="913">
        <f>'matrik MISI 4'!T35</f>
        <v>51.01</v>
      </c>
      <c r="P232" s="913">
        <f>'matrik MISI 4'!U35</f>
        <v>50.93</v>
      </c>
      <c r="Q232" s="913">
        <f>'matrik MISI 4'!V35</f>
        <v>50.85</v>
      </c>
      <c r="R232" s="913">
        <f>'matrik MISI 4'!W35</f>
        <v>50.85</v>
      </c>
    </row>
    <row r="233" spans="2:18">
      <c r="B233" s="914"/>
      <c r="C233" s="70"/>
      <c r="D233" s="70"/>
      <c r="E233" s="70"/>
      <c r="F233" s="70"/>
      <c r="G233" s="70"/>
      <c r="H233" s="70"/>
      <c r="I233" s="2" t="str">
        <f>'matrik MISI 4'!N36</f>
        <v>Rasio Siswa per Kelas SMA/MA</v>
      </c>
      <c r="J233" s="913" t="str">
        <f>'matrik MISI 4'!O36</f>
        <v>Rasio</v>
      </c>
      <c r="K233" s="913" t="str">
        <f>'matrik MISI 4'!P36</f>
        <v>1 : 28</v>
      </c>
      <c r="L233" s="913" t="str">
        <f>'matrik MISI 4'!Q36</f>
        <v>1 : 28</v>
      </c>
      <c r="M233" s="913" t="str">
        <f>'matrik MISI 4'!R36</f>
        <v>1:29</v>
      </c>
      <c r="N233" s="913" t="str">
        <f>'matrik MISI 4'!S36</f>
        <v>1:29</v>
      </c>
      <c r="O233" s="913" t="str">
        <f>'matrik MISI 4'!T36</f>
        <v>1:30</v>
      </c>
      <c r="P233" s="913" t="str">
        <f>'matrik MISI 4'!U36</f>
        <v>1:30</v>
      </c>
      <c r="Q233" s="913">
        <f>'matrik MISI 4'!V36</f>
        <v>0</v>
      </c>
      <c r="R233" s="913">
        <f>'matrik MISI 4'!W36</f>
        <v>0</v>
      </c>
    </row>
    <row r="234" spans="2:18">
      <c r="B234" s="914"/>
      <c r="C234" s="70"/>
      <c r="D234" s="70"/>
      <c r="E234" s="70"/>
      <c r="F234" s="70"/>
      <c r="G234" s="70"/>
      <c r="H234" s="70"/>
      <c r="I234" s="2" t="str">
        <f>'matrik MISI 4'!N37</f>
        <v>Rasio Siswa per Kelas SMK</v>
      </c>
      <c r="J234" s="913" t="str">
        <f>'matrik MISI 4'!O37</f>
        <v>Rasio</v>
      </c>
      <c r="K234" s="913" t="str">
        <f>'matrik MISI 4'!P37</f>
        <v>1 : 32</v>
      </c>
      <c r="L234" s="913" t="str">
        <f>'matrik MISI 4'!Q37</f>
        <v>1 : 32</v>
      </c>
      <c r="M234" s="913" t="str">
        <f>'matrik MISI 4'!R37</f>
        <v>1 : 32</v>
      </c>
      <c r="N234" s="913" t="str">
        <f>'matrik MISI 4'!S37</f>
        <v>1 : 32</v>
      </c>
      <c r="O234" s="913" t="str">
        <f>'matrik MISI 4'!T37</f>
        <v>1 : 32</v>
      </c>
      <c r="P234" s="913" t="str">
        <f>'matrik MISI 4'!U37</f>
        <v>1 : 32</v>
      </c>
      <c r="Q234" s="913" t="str">
        <f>'matrik MISI 4'!V37</f>
        <v>1 : 32</v>
      </c>
      <c r="R234" s="913" t="str">
        <f>'matrik MISI 4'!W37</f>
        <v>1 : 32</v>
      </c>
    </row>
    <row r="235" spans="2:18" ht="63">
      <c r="B235" s="914"/>
      <c r="C235" s="70"/>
      <c r="D235" s="70"/>
      <c r="E235" s="70"/>
      <c r="F235" s="70"/>
      <c r="G235" s="70"/>
      <c r="H235" s="70"/>
      <c r="I235" s="2" t="str">
        <f>'matrik MISI 4'!N38</f>
        <v>Persentase Siswa Miskin Penerima Beasiswa untuk Menempuh Pendidikan Menengah</v>
      </c>
      <c r="J235" s="913" t="str">
        <f>'matrik MISI 4'!O38</f>
        <v>%</v>
      </c>
      <c r="K235" s="913">
        <f>'matrik MISI 4'!P38</f>
        <v>0</v>
      </c>
      <c r="L235" s="913">
        <f>'matrik MISI 4'!Q38</f>
        <v>24</v>
      </c>
      <c r="M235" s="913" t="str">
        <f>'matrik MISI 4'!R38</f>
        <v>29,35</v>
      </c>
      <c r="N235" s="913" t="str">
        <f>'matrik MISI 4'!S38</f>
        <v>34,70</v>
      </c>
      <c r="O235" s="913" t="str">
        <f>'matrik MISI 4'!T38</f>
        <v>40,06</v>
      </c>
      <c r="P235" s="913" t="str">
        <f>'matrik MISI 4'!U38</f>
        <v>45,41</v>
      </c>
      <c r="Q235" s="913" t="str">
        <f>'matrik MISI 4'!V38</f>
        <v>50,76</v>
      </c>
      <c r="R235" s="913" t="str">
        <f>'matrik MISI 4'!W38</f>
        <v>50,76</v>
      </c>
    </row>
    <row r="236" spans="2:18" ht="31.5">
      <c r="B236" s="914"/>
      <c r="C236" s="70"/>
      <c r="D236" s="70"/>
      <c r="E236" s="70"/>
      <c r="F236" s="70"/>
      <c r="G236" s="70"/>
      <c r="H236" s="70"/>
      <c r="I236" s="2" t="str">
        <f>'matrik MISI 4'!N39</f>
        <v>Tersedianya layanan pendidikan menengah di setiap kecamatan</v>
      </c>
      <c r="J236" s="913" t="str">
        <f>'matrik MISI 4'!O39</f>
        <v>%</v>
      </c>
      <c r="K236" s="913">
        <f>'matrik MISI 4'!P39</f>
        <v>80</v>
      </c>
      <c r="L236" s="913">
        <f>'matrik MISI 4'!Q39</f>
        <v>75</v>
      </c>
      <c r="M236" s="913">
        <f>'matrik MISI 4'!R39</f>
        <v>75</v>
      </c>
      <c r="N236" s="913">
        <f>'matrik MISI 4'!S39</f>
        <v>75</v>
      </c>
      <c r="O236" s="913">
        <f>'matrik MISI 4'!T39</f>
        <v>80</v>
      </c>
      <c r="P236" s="913">
        <f>'matrik MISI 4'!U39</f>
        <v>80</v>
      </c>
      <c r="Q236" s="913">
        <f>'matrik MISI 4'!V39</f>
        <v>80</v>
      </c>
      <c r="R236" s="913">
        <f>'matrik MISI 4'!W39</f>
        <v>80</v>
      </c>
    </row>
    <row r="237" spans="2:18" ht="31.5">
      <c r="B237" s="914"/>
      <c r="C237" s="70"/>
      <c r="D237" s="70"/>
      <c r="E237" s="70"/>
      <c r="F237" s="70"/>
      <c r="G237" s="70"/>
      <c r="H237" s="70"/>
      <c r="I237" s="2" t="str">
        <f>'matrik MISI 4'!N40</f>
        <v>Angka Partisipasi Sekolah 16-18 Tahun</v>
      </c>
      <c r="J237" s="913" t="str">
        <f>'matrik MISI 4'!O40</f>
        <v>%</v>
      </c>
      <c r="K237" s="913">
        <f>'matrik MISI 4'!P40</f>
        <v>43.89</v>
      </c>
      <c r="L237" s="913">
        <f>'matrik MISI 4'!Q40</f>
        <v>43.89</v>
      </c>
      <c r="M237" s="913">
        <f>'matrik MISI 4'!R40</f>
        <v>43.97</v>
      </c>
      <c r="N237" s="913">
        <f>'matrik MISI 4'!S40</f>
        <v>44.05</v>
      </c>
      <c r="O237" s="913">
        <f>'matrik MISI 4'!T40</f>
        <v>44.13</v>
      </c>
      <c r="P237" s="913">
        <f>'matrik MISI 4'!U40</f>
        <v>44.21</v>
      </c>
      <c r="Q237" s="913">
        <f>'matrik MISI 4'!V40</f>
        <v>44.29</v>
      </c>
      <c r="R237" s="913">
        <f>'matrik MISI 4'!W40</f>
        <v>44.29</v>
      </c>
    </row>
    <row r="238" spans="2:18" ht="63">
      <c r="B238" s="914"/>
      <c r="C238" s="70"/>
      <c r="D238" s="70"/>
      <c r="E238" s="70"/>
      <c r="F238" s="70"/>
      <c r="G238" s="917"/>
      <c r="H238" s="917"/>
      <c r="I238" s="2" t="str">
        <f>'matrik MISI 4'!N41</f>
        <v>Rasio ketersediaan sekolah (SMA/MA/SMK) per Penduduk Usia 16-18 Tahun</v>
      </c>
      <c r="J238" s="913" t="str">
        <f>'matrik MISI 4'!O41</f>
        <v>Unit/10 000 penduduk usia sekolah</v>
      </c>
      <c r="K238" s="913" t="str">
        <f>'matrik MISI 4'!P41</f>
        <v>14,71</v>
      </c>
      <c r="L238" s="913" t="str">
        <f>'matrik MISI 4'!Q41</f>
        <v>14,28</v>
      </c>
      <c r="M238" s="913" t="str">
        <f>'matrik MISI 4'!R41</f>
        <v>14,12</v>
      </c>
      <c r="N238" s="913" t="str">
        <f>'matrik MISI 4'!S41</f>
        <v>13,96</v>
      </c>
      <c r="O238" s="913" t="str">
        <f>'matrik MISI 4'!T41</f>
        <v>13,91</v>
      </c>
      <c r="P238" s="913" t="str">
        <f>'matrik MISI 4'!U41</f>
        <v>13,75</v>
      </c>
      <c r="Q238" s="913" t="str">
        <f>'matrik MISI 4'!V41</f>
        <v>13,57</v>
      </c>
      <c r="R238" s="913" t="str">
        <f>'matrik MISI 4'!W41</f>
        <v>13,57</v>
      </c>
    </row>
    <row r="239" spans="2:18" ht="31.5">
      <c r="B239" s="914"/>
      <c r="C239" s="70"/>
      <c r="D239" s="70"/>
      <c r="E239" s="70"/>
      <c r="F239" s="70"/>
      <c r="G239" s="916">
        <f>'matrik MISI 4'!E42</f>
        <v>5</v>
      </c>
      <c r="H239" s="916" t="str">
        <f>'matrik MISI 4'!F42</f>
        <v>Meningkatnya Aksesibilitas Pendidikan Non Formal</v>
      </c>
      <c r="I239" s="2" t="str">
        <f>'matrik MISI 4'!N43</f>
        <v>Persentase Angka Melek Huruf Usia ≥ 15 tahun</v>
      </c>
      <c r="J239" s="913" t="str">
        <f>'matrik MISI 4'!O43</f>
        <v>%</v>
      </c>
      <c r="K239" s="913">
        <f>'matrik MISI 4'!P43</f>
        <v>97.82</v>
      </c>
      <c r="L239" s="913">
        <f>'matrik MISI 4'!Q43</f>
        <v>97.9</v>
      </c>
      <c r="M239" s="913">
        <f>'matrik MISI 4'!R43</f>
        <v>98.09</v>
      </c>
      <c r="N239" s="913">
        <f>'matrik MISI 4'!S43</f>
        <v>98.36</v>
      </c>
      <c r="O239" s="913">
        <f>'matrik MISI 4'!T43</f>
        <v>98.63</v>
      </c>
      <c r="P239" s="913">
        <f>'matrik MISI 4'!U43</f>
        <v>98.7</v>
      </c>
      <c r="Q239" s="913">
        <f>'matrik MISI 4'!V43</f>
        <v>99.17</v>
      </c>
      <c r="R239" s="913">
        <f>'matrik MISI 4'!W43</f>
        <v>99.17</v>
      </c>
    </row>
    <row r="240" spans="2:18">
      <c r="B240" s="914"/>
      <c r="C240" s="70"/>
      <c r="D240" s="70"/>
      <c r="E240" s="70"/>
      <c r="F240" s="70"/>
      <c r="G240" s="70"/>
      <c r="H240" s="70"/>
      <c r="I240" s="2" t="str">
        <f>'matrik MISI 4'!N44</f>
        <v>Rata-rata Lama Sekolah</v>
      </c>
      <c r="J240" s="913" t="str">
        <f>'matrik MISI 4'!O44</f>
        <v>Tahun</v>
      </c>
      <c r="K240" s="913">
        <f>'matrik MISI 4'!P44</f>
        <v>7.1</v>
      </c>
      <c r="L240" s="913">
        <f>'matrik MISI 4'!Q44</f>
        <v>7.1</v>
      </c>
      <c r="M240" s="913">
        <f>'matrik MISI 4'!R44</f>
        <v>7.11</v>
      </c>
      <c r="N240" s="913">
        <f>'matrik MISI 4'!S44</f>
        <v>7.13</v>
      </c>
      <c r="O240" s="913">
        <f>'matrik MISI 4'!T44</f>
        <v>7.15</v>
      </c>
      <c r="P240" s="913">
        <f>'matrik MISI 4'!U44</f>
        <v>7.17</v>
      </c>
      <c r="Q240" s="913">
        <f>'matrik MISI 4'!V44</f>
        <v>7.19</v>
      </c>
      <c r="R240" s="913">
        <f>'matrik MISI 4'!W44</f>
        <v>7.19</v>
      </c>
    </row>
    <row r="241" spans="2:18" ht="63">
      <c r="B241" s="914"/>
      <c r="C241" s="70"/>
      <c r="D241" s="70"/>
      <c r="E241" s="917"/>
      <c r="F241" s="917"/>
      <c r="G241" s="917"/>
      <c r="H241" s="917"/>
      <c r="I241" s="2" t="str">
        <f>'matrik MISI 4'!N45</f>
        <v>Persentase Layanan Pendidikan Kesetaraan dalam Rangka Menampung Siswa Putus Sekolah Pendidikan Dasar dan Menengah</v>
      </c>
      <c r="J241" s="913" t="str">
        <f>'matrik MISI 4'!O45</f>
        <v>%</v>
      </c>
      <c r="K241" s="913">
        <f>'matrik MISI 4'!P45</f>
        <v>20</v>
      </c>
      <c r="L241" s="913">
        <f>'matrik MISI 4'!Q45</f>
        <v>25</v>
      </c>
      <c r="M241" s="913">
        <f>'matrik MISI 4'!R45</f>
        <v>25</v>
      </c>
      <c r="N241" s="913">
        <f>'matrik MISI 4'!S45</f>
        <v>25</v>
      </c>
      <c r="O241" s="913">
        <f>'matrik MISI 4'!T45</f>
        <v>33</v>
      </c>
      <c r="P241" s="913">
        <f>'matrik MISI 4'!U45</f>
        <v>50</v>
      </c>
      <c r="Q241" s="913">
        <f>'matrik MISI 4'!V45</f>
        <v>100</v>
      </c>
      <c r="R241" s="913">
        <f>'matrik MISI 4'!W45</f>
        <v>100</v>
      </c>
    </row>
    <row r="242" spans="2:18" ht="31.5">
      <c r="B242" s="914"/>
      <c r="C242" s="70"/>
      <c r="D242" s="70"/>
      <c r="E242" s="916">
        <f>'matrik MISI 4'!C46</f>
        <v>3</v>
      </c>
      <c r="F242" s="916" t="str">
        <f>'matrik MISI 4'!D46</f>
        <v>Meningkatkan Kualitas Pendidikan</v>
      </c>
      <c r="G242" s="916">
        <f>'matrik MISI 4'!E46</f>
        <v>6</v>
      </c>
      <c r="H242" s="916" t="str">
        <f>'matrik MISI 4'!F46</f>
        <v>Meningkatnya Kualitas Pendidikan Anak Usia Dini</v>
      </c>
      <c r="I242" s="2" t="str">
        <f>'matrik MISI 4'!N47</f>
        <v>Persentase TK/RA Terakreditasi A</v>
      </c>
      <c r="J242" s="913" t="str">
        <f>'matrik MISI 4'!O47</f>
        <v>%</v>
      </c>
      <c r="K242" s="913">
        <f>'matrik MISI 4'!P47</f>
        <v>5.83</v>
      </c>
      <c r="L242" s="913">
        <f>'matrik MISI 4'!Q47</f>
        <v>5.83</v>
      </c>
      <c r="M242" s="913">
        <f>'matrik MISI 4'!R47</f>
        <v>5.83</v>
      </c>
      <c r="N242" s="913">
        <f>'matrik MISI 4'!S47</f>
        <v>5.83</v>
      </c>
      <c r="O242" s="913">
        <f>'matrik MISI 4'!T47</f>
        <v>5.83</v>
      </c>
      <c r="P242" s="913">
        <f>'matrik MISI 4'!U47</f>
        <v>5.83</v>
      </c>
      <c r="Q242" s="913">
        <f>'matrik MISI 4'!V47</f>
        <v>5.83</v>
      </c>
      <c r="R242" s="913">
        <f>'matrik MISI 4'!W47</f>
        <v>5.83</v>
      </c>
    </row>
    <row r="243" spans="2:18">
      <c r="B243" s="914"/>
      <c r="C243" s="70"/>
      <c r="D243" s="70"/>
      <c r="E243" s="70"/>
      <c r="F243" s="70"/>
      <c r="G243" s="70"/>
      <c r="H243" s="70"/>
      <c r="I243" s="2" t="str">
        <f>'matrik MISI 4'!N48</f>
        <v>Persentase TK/RA Terakreditasi B</v>
      </c>
      <c r="J243" s="913" t="str">
        <f>'matrik MISI 4'!O48</f>
        <v>%</v>
      </c>
      <c r="K243" s="913">
        <f>'matrik MISI 4'!P48</f>
        <v>42.71</v>
      </c>
      <c r="L243" s="913">
        <f>'matrik MISI 4'!Q48</f>
        <v>42.71</v>
      </c>
      <c r="M243" s="913">
        <f>'matrik MISI 4'!R48</f>
        <v>42.71</v>
      </c>
      <c r="N243" s="913">
        <f>'matrik MISI 4'!S48</f>
        <v>42.71</v>
      </c>
      <c r="O243" s="913">
        <f>'matrik MISI 4'!T48</f>
        <v>42.71</v>
      </c>
      <c r="P243" s="913">
        <f>'matrik MISI 4'!U48</f>
        <v>42.71</v>
      </c>
      <c r="Q243" s="913">
        <f>'matrik MISI 4'!V48</f>
        <v>42.71</v>
      </c>
      <c r="R243" s="913">
        <f>'matrik MISI 4'!W48</f>
        <v>42.71</v>
      </c>
    </row>
    <row r="244" spans="2:18">
      <c r="B244" s="914"/>
      <c r="C244" s="70"/>
      <c r="D244" s="70"/>
      <c r="E244" s="70"/>
      <c r="F244" s="70"/>
      <c r="G244" s="917"/>
      <c r="H244" s="917"/>
      <c r="I244" s="2" t="str">
        <f>'matrik MISI 4'!N49</f>
        <v>Persentase TK/RA Terakreditasi C</v>
      </c>
      <c r="J244" s="913" t="str">
        <f>'matrik MISI 4'!O49</f>
        <v>%</v>
      </c>
      <c r="K244" s="913">
        <f>'matrik MISI 4'!P49</f>
        <v>42.29</v>
      </c>
      <c r="L244" s="913">
        <f>'matrik MISI 4'!Q49</f>
        <v>42.29</v>
      </c>
      <c r="M244" s="913">
        <f>'matrik MISI 4'!R49</f>
        <v>42.29</v>
      </c>
      <c r="N244" s="913">
        <f>'matrik MISI 4'!S49</f>
        <v>42.29</v>
      </c>
      <c r="O244" s="913">
        <f>'matrik MISI 4'!T49</f>
        <v>42.29</v>
      </c>
      <c r="P244" s="913">
        <f>'matrik MISI 4'!U49</f>
        <v>42.29</v>
      </c>
      <c r="Q244" s="913">
        <f>'matrik MISI 4'!V49</f>
        <v>42.29</v>
      </c>
      <c r="R244" s="913">
        <f>'matrik MISI 4'!W49</f>
        <v>42.29</v>
      </c>
    </row>
    <row r="245" spans="2:18" ht="31.5">
      <c r="B245" s="914"/>
      <c r="C245" s="70"/>
      <c r="D245" s="70"/>
      <c r="E245" s="70"/>
      <c r="F245" s="70"/>
      <c r="G245" s="916">
        <f>'matrik MISI 4'!E50</f>
        <v>7</v>
      </c>
      <c r="H245" s="916" t="str">
        <f>'matrik MISI 4'!F50</f>
        <v>Meningkatnya Kualitas Pendidikan Dasar</v>
      </c>
      <c r="I245" s="2" t="str">
        <f>'matrik MISI 4'!N51</f>
        <v>Persentase SD/MI Terakreditasi A</v>
      </c>
      <c r="J245" s="913" t="str">
        <f>'matrik MISI 4'!O51</f>
        <v>%</v>
      </c>
      <c r="K245" s="913">
        <f>'matrik MISI 4'!P51</f>
        <v>2.97</v>
      </c>
      <c r="L245" s="913">
        <f>'matrik MISI 4'!Q51</f>
        <v>2.97</v>
      </c>
      <c r="M245" s="913">
        <f>'matrik MISI 4'!R51</f>
        <v>3.31</v>
      </c>
      <c r="N245" s="913">
        <f>'matrik MISI 4'!S51</f>
        <v>3.65</v>
      </c>
      <c r="O245" s="913">
        <f>'matrik MISI 4'!T51</f>
        <v>3.99</v>
      </c>
      <c r="P245" s="913">
        <f>'matrik MISI 4'!U51</f>
        <v>4.33</v>
      </c>
      <c r="Q245" s="913">
        <f>'matrik MISI 4'!V51</f>
        <v>4.67</v>
      </c>
      <c r="R245" s="913">
        <f>'matrik MISI 4'!W51</f>
        <v>4.67</v>
      </c>
    </row>
    <row r="246" spans="2:18">
      <c r="B246" s="914"/>
      <c r="C246" s="70"/>
      <c r="D246" s="70"/>
      <c r="E246" s="70"/>
      <c r="F246" s="70"/>
      <c r="G246" s="70"/>
      <c r="H246" s="70"/>
      <c r="I246" s="2" t="str">
        <f>'matrik MISI 4'!N52</f>
        <v>Persentase SD/MI Terakreditasi B</v>
      </c>
      <c r="J246" s="913" t="str">
        <f>'matrik MISI 4'!O52</f>
        <v>%</v>
      </c>
      <c r="K246" s="913">
        <f>'matrik MISI 4'!P52</f>
        <v>61.01</v>
      </c>
      <c r="L246" s="913">
        <f>'matrik MISI 4'!Q52</f>
        <v>61.1</v>
      </c>
      <c r="M246" s="913">
        <f>'matrik MISI 4'!R52</f>
        <v>61.011000000000003</v>
      </c>
      <c r="N246" s="913">
        <f>'matrik MISI 4'!S52</f>
        <v>61.01</v>
      </c>
      <c r="O246" s="913">
        <f>'matrik MISI 4'!T52</f>
        <v>61.01</v>
      </c>
      <c r="P246" s="913">
        <f>'matrik MISI 4'!U52</f>
        <v>61.01</v>
      </c>
      <c r="Q246" s="913">
        <f>'matrik MISI 4'!V52</f>
        <v>61.01</v>
      </c>
      <c r="R246" s="913">
        <f>'matrik MISI 4'!W52</f>
        <v>61.01</v>
      </c>
    </row>
    <row r="247" spans="2:18">
      <c r="B247" s="914"/>
      <c r="C247" s="70"/>
      <c r="D247" s="70"/>
      <c r="E247" s="70"/>
      <c r="F247" s="70"/>
      <c r="G247" s="70"/>
      <c r="H247" s="70"/>
      <c r="I247" s="2" t="str">
        <f>'matrik MISI 4'!N53</f>
        <v>Persentase SD/MI Terakreditasi C</v>
      </c>
      <c r="J247" s="913" t="str">
        <f>'matrik MISI 4'!O53</f>
        <v>%</v>
      </c>
      <c r="K247" s="913">
        <f>'matrik MISI 4'!P53</f>
        <v>33.22</v>
      </c>
      <c r="L247" s="913">
        <f>'matrik MISI 4'!Q53</f>
        <v>33.22</v>
      </c>
      <c r="M247" s="913">
        <f>'matrik MISI 4'!R53</f>
        <v>33.22</v>
      </c>
      <c r="N247" s="913">
        <f>'matrik MISI 4'!S53</f>
        <v>33.22</v>
      </c>
      <c r="O247" s="913">
        <f>'matrik MISI 4'!T53</f>
        <v>33.22</v>
      </c>
      <c r="P247" s="913">
        <f>'matrik MISI 4'!U53</f>
        <v>33.22</v>
      </c>
      <c r="Q247" s="913">
        <f>'matrik MISI 4'!V53</f>
        <v>33.22</v>
      </c>
      <c r="R247" s="913">
        <f>'matrik MISI 4'!W53</f>
        <v>33.22</v>
      </c>
    </row>
    <row r="248" spans="2:18" ht="31.5">
      <c r="B248" s="914"/>
      <c r="C248" s="70"/>
      <c r="D248" s="70"/>
      <c r="E248" s="70"/>
      <c r="F248" s="70"/>
      <c r="G248" s="70"/>
      <c r="H248" s="70"/>
      <c r="I248" s="2" t="str">
        <f>'matrik MISI 4'!N54</f>
        <v>Persentase SMP/MTs Terakreditasi A</v>
      </c>
      <c r="J248" s="913" t="str">
        <f>'matrik MISI 4'!O54</f>
        <v>%</v>
      </c>
      <c r="K248" s="913">
        <f>'matrik MISI 4'!P54</f>
        <v>21.9</v>
      </c>
      <c r="L248" s="913">
        <f>'matrik MISI 4'!Q54</f>
        <v>21.9</v>
      </c>
      <c r="M248" s="913">
        <f>'matrik MISI 4'!R54</f>
        <v>23.8</v>
      </c>
      <c r="N248" s="913">
        <f>'matrik MISI 4'!S54</f>
        <v>25.7</v>
      </c>
      <c r="O248" s="913">
        <f>'matrik MISI 4'!T54</f>
        <v>27.6</v>
      </c>
      <c r="P248" s="913">
        <f>'matrik MISI 4'!U54</f>
        <v>29.5</v>
      </c>
      <c r="Q248" s="913">
        <f>'matrik MISI 4'!V54</f>
        <v>31.4</v>
      </c>
      <c r="R248" s="913">
        <f>'matrik MISI 4'!W54</f>
        <v>31.4</v>
      </c>
    </row>
    <row r="249" spans="2:18" ht="31.5">
      <c r="B249" s="914"/>
      <c r="C249" s="70"/>
      <c r="D249" s="70"/>
      <c r="E249" s="70"/>
      <c r="F249" s="70"/>
      <c r="G249" s="70"/>
      <c r="H249" s="70"/>
      <c r="I249" s="2" t="str">
        <f>'matrik MISI 4'!N55</f>
        <v>Persentase SMP/MTs Terakreditasi B</v>
      </c>
      <c r="J249" s="913" t="str">
        <f>'matrik MISI 4'!O55</f>
        <v>%</v>
      </c>
      <c r="K249" s="913">
        <f>'matrik MISI 4'!P55</f>
        <v>40</v>
      </c>
      <c r="L249" s="913">
        <f>'matrik MISI 4'!Q55</f>
        <v>40</v>
      </c>
      <c r="M249" s="913">
        <f>'matrik MISI 4'!R55</f>
        <v>40</v>
      </c>
      <c r="N249" s="913">
        <f>'matrik MISI 4'!S55</f>
        <v>40</v>
      </c>
      <c r="O249" s="913">
        <f>'matrik MISI 4'!T55</f>
        <v>40</v>
      </c>
      <c r="P249" s="913">
        <f>'matrik MISI 4'!U55</f>
        <v>40</v>
      </c>
      <c r="Q249" s="913">
        <f>'matrik MISI 4'!V55</f>
        <v>40</v>
      </c>
      <c r="R249" s="913">
        <f>'matrik MISI 4'!W55</f>
        <v>40</v>
      </c>
    </row>
    <row r="250" spans="2:18" ht="31.5">
      <c r="B250" s="914"/>
      <c r="C250" s="70"/>
      <c r="D250" s="70"/>
      <c r="E250" s="70"/>
      <c r="F250" s="70"/>
      <c r="G250" s="70"/>
      <c r="H250" s="70"/>
      <c r="I250" s="2" t="str">
        <f>'matrik MISI 4'!N56</f>
        <v>Persentase SMP/MTs Terakreditasi C</v>
      </c>
      <c r="J250" s="913" t="str">
        <f>'matrik MISI 4'!O56</f>
        <v>%</v>
      </c>
      <c r="K250" s="913">
        <f>'matrik MISI 4'!P56</f>
        <v>27.62</v>
      </c>
      <c r="L250" s="913">
        <f>'matrik MISI 4'!Q56</f>
        <v>27.62</v>
      </c>
      <c r="M250" s="913">
        <f>'matrik MISI 4'!R56</f>
        <v>27.62</v>
      </c>
      <c r="N250" s="913">
        <f>'matrik MISI 4'!S56</f>
        <v>27.62</v>
      </c>
      <c r="O250" s="913">
        <f>'matrik MISI 4'!T56</f>
        <v>27.62</v>
      </c>
      <c r="P250" s="913">
        <f>'matrik MISI 4'!U56</f>
        <v>27.62</v>
      </c>
      <c r="Q250" s="913">
        <f>'matrik MISI 4'!V56</f>
        <v>27.62</v>
      </c>
      <c r="R250" s="913">
        <f>'matrik MISI 4'!W56</f>
        <v>27.62</v>
      </c>
    </row>
    <row r="251" spans="2:18">
      <c r="B251" s="914"/>
      <c r="C251" s="70"/>
      <c r="D251" s="70"/>
      <c r="E251" s="70"/>
      <c r="F251" s="70"/>
      <c r="G251" s="70"/>
      <c r="H251" s="70"/>
      <c r="I251" s="2" t="str">
        <f>'matrik MISI 4'!N57</f>
        <v>Persentase Angka Lulusan SD/MI</v>
      </c>
      <c r="J251" s="913" t="str">
        <f>'matrik MISI 4'!O57</f>
        <v>%</v>
      </c>
      <c r="K251" s="913">
        <f>'matrik MISI 4'!P57</f>
        <v>99.99</v>
      </c>
      <c r="L251" s="913">
        <f>'matrik MISI 4'!Q57</f>
        <v>100</v>
      </c>
      <c r="M251" s="913">
        <f>'matrik MISI 4'!R57</f>
        <v>99.9</v>
      </c>
      <c r="N251" s="913">
        <f>'matrik MISI 4'!S57</f>
        <v>99.93</v>
      </c>
      <c r="O251" s="913">
        <f>'matrik MISI 4'!T57</f>
        <v>99.95</v>
      </c>
      <c r="P251" s="913">
        <f>'matrik MISI 4'!U57</f>
        <v>99.97</v>
      </c>
      <c r="Q251" s="913">
        <f>'matrik MISI 4'!V57</f>
        <v>100</v>
      </c>
      <c r="R251" s="913">
        <f>'matrik MISI 4'!W57</f>
        <v>100</v>
      </c>
    </row>
    <row r="252" spans="2:18" ht="31.5">
      <c r="B252" s="914"/>
      <c r="C252" s="70"/>
      <c r="D252" s="70"/>
      <c r="E252" s="70"/>
      <c r="F252" s="70"/>
      <c r="G252" s="70"/>
      <c r="H252" s="70"/>
      <c r="I252" s="2" t="str">
        <f>'matrik MISI 4'!N58</f>
        <v>Persentase Angka Lulusan SMP/MTs</v>
      </c>
      <c r="J252" s="913" t="str">
        <f>'matrik MISI 4'!O58</f>
        <v>%</v>
      </c>
      <c r="K252" s="913">
        <f>'matrik MISI 4'!P58</f>
        <v>98.13</v>
      </c>
      <c r="L252" s="913">
        <f>'matrik MISI 4'!Q58</f>
        <v>99.17</v>
      </c>
      <c r="M252" s="913">
        <f>'matrik MISI 4'!R58</f>
        <v>100</v>
      </c>
      <c r="N252" s="913">
        <f>'matrik MISI 4'!S58</f>
        <v>100</v>
      </c>
      <c r="O252" s="913">
        <f>'matrik MISI 4'!T58</f>
        <v>100</v>
      </c>
      <c r="P252" s="913">
        <f>'matrik MISI 4'!U58</f>
        <v>100</v>
      </c>
      <c r="Q252" s="913">
        <f>'matrik MISI 4'!V58</f>
        <v>100</v>
      </c>
      <c r="R252" s="913">
        <f>'matrik MISI 4'!W58</f>
        <v>100</v>
      </c>
    </row>
    <row r="253" spans="2:18" ht="47.25">
      <c r="B253" s="914"/>
      <c r="C253" s="70"/>
      <c r="D253" s="70"/>
      <c r="E253" s="70"/>
      <c r="F253" s="70"/>
      <c r="G253" s="70"/>
      <c r="H253" s="70"/>
      <c r="I253" s="2" t="str">
        <f>'matrik MISI 4'!N59</f>
        <v>Persentase Siswa SD/MI yang Memperoleh Rerata Nilai Ujian Nasional ≥ 7,00</v>
      </c>
      <c r="J253" s="913" t="str">
        <f>'matrik MISI 4'!O59</f>
        <v>%</v>
      </c>
      <c r="K253" s="913">
        <f>'matrik MISI 4'!P59</f>
        <v>73.150000000000006</v>
      </c>
      <c r="L253" s="913">
        <f>'matrik MISI 4'!Q59</f>
        <v>73.192643444359689</v>
      </c>
      <c r="M253" s="913">
        <f>'matrik MISI 4'!R59</f>
        <v>73.23</v>
      </c>
      <c r="N253" s="913">
        <f>'matrik MISI 4'!S59</f>
        <v>73.27</v>
      </c>
      <c r="O253" s="913">
        <f>'matrik MISI 4'!T59</f>
        <v>73.31</v>
      </c>
      <c r="P253" s="913">
        <f>'matrik MISI 4'!U59</f>
        <v>73.349999999999994</v>
      </c>
      <c r="Q253" s="913">
        <f>'matrik MISI 4'!V59</f>
        <v>73.39</v>
      </c>
      <c r="R253" s="913">
        <f>'matrik MISI 4'!W59</f>
        <v>73.39</v>
      </c>
    </row>
    <row r="254" spans="2:18" ht="47.25">
      <c r="B254" s="914"/>
      <c r="C254" s="70"/>
      <c r="D254" s="70"/>
      <c r="E254" s="70"/>
      <c r="F254" s="70"/>
      <c r="G254" s="70"/>
      <c r="H254" s="70"/>
      <c r="I254" s="2" t="str">
        <f>'matrik MISI 4'!N60</f>
        <v>Persentase Siswa SMP/MTs yang Memperoleh Rerata Nilai Ujian Nasional ≥ 7,00</v>
      </c>
      <c r="J254" s="913" t="str">
        <f>'matrik MISI 4'!O60</f>
        <v>%</v>
      </c>
      <c r="K254" s="913">
        <f>'matrik MISI 4'!P60</f>
        <v>27.633419948031179</v>
      </c>
      <c r="L254" s="913">
        <f>'matrik MISI 4'!Q60</f>
        <v>21.029365329965266</v>
      </c>
      <c r="M254" s="913">
        <f>'matrik MISI 4'!R60</f>
        <v>21.08</v>
      </c>
      <c r="N254" s="913">
        <f>'matrik MISI 4'!S60</f>
        <v>21.13</v>
      </c>
      <c r="O254" s="913">
        <f>'matrik MISI 4'!T60</f>
        <v>21.18</v>
      </c>
      <c r="P254" s="913">
        <f>'matrik MISI 4'!U60</f>
        <v>21.23</v>
      </c>
      <c r="Q254" s="913">
        <f>'matrik MISI 4'!V60</f>
        <v>21.28</v>
      </c>
      <c r="R254" s="913">
        <f>'matrik MISI 4'!W60</f>
        <v>21.28</v>
      </c>
    </row>
    <row r="255" spans="2:18" ht="31.5">
      <c r="B255" s="914"/>
      <c r="C255" s="70"/>
      <c r="D255" s="70"/>
      <c r="E255" s="70"/>
      <c r="F255" s="70"/>
      <c r="G255" s="70"/>
      <c r="H255" s="70"/>
      <c r="I255" s="2" t="str">
        <f>'matrik MISI 4'!N61</f>
        <v>Persentase Siswa Baru SD/MI yang berasal dari TK/RA</v>
      </c>
      <c r="J255" s="913" t="str">
        <f>'matrik MISI 4'!O61</f>
        <v>%</v>
      </c>
      <c r="K255" s="913">
        <f>'matrik MISI 4'!P61</f>
        <v>94.809186374114205</v>
      </c>
      <c r="L255" s="913">
        <f>'matrik MISI 4'!Q61</f>
        <v>94.82</v>
      </c>
      <c r="M255" s="913">
        <f>'matrik MISI 4'!R61</f>
        <v>94.83</v>
      </c>
      <c r="N255" s="913">
        <f>'matrik MISI 4'!S61</f>
        <v>94.84</v>
      </c>
      <c r="O255" s="913">
        <f>'matrik MISI 4'!T61</f>
        <v>94.85</v>
      </c>
      <c r="P255" s="913">
        <f>'matrik MISI 4'!U61</f>
        <v>94.86</v>
      </c>
      <c r="Q255" s="913">
        <f>'matrik MISI 4'!V61</f>
        <v>94.87</v>
      </c>
      <c r="R255" s="913">
        <f>'matrik MISI 4'!W61</f>
        <v>94.87</v>
      </c>
    </row>
    <row r="256" spans="2:18">
      <c r="B256" s="914"/>
      <c r="C256" s="70"/>
      <c r="D256" s="70"/>
      <c r="E256" s="70"/>
      <c r="F256" s="70"/>
      <c r="G256" s="70"/>
      <c r="H256" s="70"/>
      <c r="I256" s="2" t="str">
        <f>'matrik MISI 4'!N62</f>
        <v>Angka Putus Sekolah SD/MI</v>
      </c>
      <c r="J256" s="913" t="str">
        <f>'matrik MISI 4'!O62</f>
        <v>%</v>
      </c>
      <c r="K256" s="913">
        <f>'matrik MISI 4'!P62</f>
        <v>0.2</v>
      </c>
      <c r="L256" s="913">
        <f>'matrik MISI 4'!Q62</f>
        <v>0.18</v>
      </c>
      <c r="M256" s="913">
        <f>'matrik MISI 4'!R62</f>
        <v>0.17</v>
      </c>
      <c r="N256" s="913">
        <f>'matrik MISI 4'!S62</f>
        <v>0.16</v>
      </c>
      <c r="O256" s="913">
        <f>'matrik MISI 4'!T62</f>
        <v>0.15</v>
      </c>
      <c r="P256" s="913">
        <f>'matrik MISI 4'!U62</f>
        <v>0.14000000000000001</v>
      </c>
      <c r="Q256" s="913">
        <f>'matrik MISI 4'!V62</f>
        <v>0.13</v>
      </c>
      <c r="R256" s="913">
        <f>'matrik MISI 4'!W62</f>
        <v>0.13</v>
      </c>
    </row>
    <row r="257" spans="2:18">
      <c r="B257" s="914"/>
      <c r="C257" s="70"/>
      <c r="D257" s="70"/>
      <c r="E257" s="70"/>
      <c r="F257" s="70"/>
      <c r="G257" s="70"/>
      <c r="H257" s="70"/>
      <c r="I257" s="2" t="str">
        <f>'matrik MISI 4'!N63</f>
        <v>Angka Putus Sekolah SMP/MTs</v>
      </c>
      <c r="J257" s="913" t="str">
        <f>'matrik MISI 4'!O63</f>
        <v>%</v>
      </c>
      <c r="K257" s="913">
        <f>'matrik MISI 4'!P63</f>
        <v>0.44489263257800449</v>
      </c>
      <c r="L257" s="913">
        <f>'matrik MISI 4'!Q63</f>
        <v>0.43</v>
      </c>
      <c r="M257" s="913">
        <f>'matrik MISI 4'!R63</f>
        <v>0.42</v>
      </c>
      <c r="N257" s="913">
        <f>'matrik MISI 4'!S63</f>
        <v>0.41</v>
      </c>
      <c r="O257" s="913">
        <f>'matrik MISI 4'!T63</f>
        <v>0.4</v>
      </c>
      <c r="P257" s="913">
        <f>'matrik MISI 4'!U63</f>
        <v>0.39</v>
      </c>
      <c r="Q257" s="913">
        <f>'matrik MISI 4'!V63</f>
        <v>0.33800000000000002</v>
      </c>
      <c r="R257" s="913">
        <f>'matrik MISI 4'!W63</f>
        <v>0.33800000000000002</v>
      </c>
    </row>
    <row r="258" spans="2:18" ht="47.25">
      <c r="B258" s="914"/>
      <c r="C258" s="70"/>
      <c r="D258" s="70"/>
      <c r="E258" s="70"/>
      <c r="F258" s="70"/>
      <c r="G258" s="70"/>
      <c r="H258" s="70"/>
      <c r="I258" s="2" t="str">
        <f>'matrik MISI 4'!N64</f>
        <v>Cakupan ketersediaan rencana pengembangan kurikulum dan proses pembelajaran yang efektif</v>
      </c>
      <c r="J258" s="913" t="str">
        <f>'matrik MISI 4'!O64</f>
        <v>%</v>
      </c>
      <c r="K258" s="913">
        <f>'matrik MISI 4'!P64</f>
        <v>100</v>
      </c>
      <c r="L258" s="913">
        <f>'matrik MISI 4'!Q64</f>
        <v>100</v>
      </c>
      <c r="M258" s="913">
        <f>'matrik MISI 4'!R64</f>
        <v>100</v>
      </c>
      <c r="N258" s="913">
        <f>'matrik MISI 4'!S64</f>
        <v>100</v>
      </c>
      <c r="O258" s="913">
        <f>'matrik MISI 4'!T64</f>
        <v>100</v>
      </c>
      <c r="P258" s="913">
        <f>'matrik MISI 4'!U64</f>
        <v>100</v>
      </c>
      <c r="Q258" s="913">
        <f>'matrik MISI 4'!V64</f>
        <v>100</v>
      </c>
      <c r="R258" s="913">
        <f>'matrik MISI 4'!W64</f>
        <v>100</v>
      </c>
    </row>
    <row r="259" spans="2:18" ht="31.5">
      <c r="B259" s="914"/>
      <c r="C259" s="70"/>
      <c r="D259" s="70"/>
      <c r="E259" s="70"/>
      <c r="F259" s="70"/>
      <c r="G259" s="917"/>
      <c r="H259" s="917"/>
      <c r="I259" s="2" t="str">
        <f>'matrik MISI 4'!N65</f>
        <v>Cakupan Kunjungan pengawas  Sekolah ke satuan pendidikan.</v>
      </c>
      <c r="J259" s="913" t="str">
        <f>'matrik MISI 4'!O65</f>
        <v>%</v>
      </c>
      <c r="K259" s="913">
        <f>'matrik MISI 4'!P65</f>
        <v>66.180000000000007</v>
      </c>
      <c r="L259" s="913">
        <f>'matrik MISI 4'!Q65</f>
        <v>74</v>
      </c>
      <c r="M259" s="913">
        <f>'matrik MISI 4'!R65</f>
        <v>74.260000000000005</v>
      </c>
      <c r="N259" s="913">
        <f>'matrik MISI 4'!S65</f>
        <v>74.52</v>
      </c>
      <c r="O259" s="913">
        <f>'matrik MISI 4'!T65</f>
        <v>74.78</v>
      </c>
      <c r="P259" s="913">
        <f>'matrik MISI 4'!U65</f>
        <v>75.040000000000006</v>
      </c>
      <c r="Q259" s="913">
        <f>'matrik MISI 4'!V65</f>
        <v>75.3</v>
      </c>
      <c r="R259" s="913">
        <f>'matrik MISI 4'!W65</f>
        <v>75.3</v>
      </c>
    </row>
    <row r="260" spans="2:18" ht="31.5">
      <c r="B260" s="914"/>
      <c r="C260" s="70"/>
      <c r="D260" s="70"/>
      <c r="E260" s="70"/>
      <c r="F260" s="70"/>
      <c r="G260" s="916">
        <f>'matrik MISI 4'!E66</f>
        <v>8</v>
      </c>
      <c r="H260" s="916" t="str">
        <f>'matrik MISI 4'!F66</f>
        <v>Meningkatnya Kualitas Pendidikan Menengah</v>
      </c>
      <c r="I260" s="2" t="str">
        <f>'matrik MISI 4'!N67</f>
        <v>Persentase SMA/MA Terakreditasi A</v>
      </c>
      <c r="J260" s="913" t="str">
        <f>'matrik MISI 4'!O67</f>
        <v>%</v>
      </c>
      <c r="K260" s="913">
        <f>'matrik MISI 4'!P67</f>
        <v>29.63</v>
      </c>
      <c r="L260" s="913">
        <f>'matrik MISI 4'!Q67</f>
        <v>29.63</v>
      </c>
      <c r="M260" s="913">
        <f>'matrik MISI 4'!R67</f>
        <v>33.33</v>
      </c>
      <c r="N260" s="913">
        <f>'matrik MISI 4'!S67</f>
        <v>37.03</v>
      </c>
      <c r="O260" s="913">
        <f>'matrik MISI 4'!T67</f>
        <v>40.729999999999997</v>
      </c>
      <c r="P260" s="913">
        <f>'matrik MISI 4'!U67</f>
        <v>44.43</v>
      </c>
      <c r="Q260" s="913">
        <f>'matrik MISI 4'!V67</f>
        <v>48.13</v>
      </c>
      <c r="R260" s="913">
        <f>'matrik MISI 4'!W67</f>
        <v>48.13</v>
      </c>
    </row>
    <row r="261" spans="2:18" ht="31.5">
      <c r="B261" s="914"/>
      <c r="C261" s="70"/>
      <c r="D261" s="70"/>
      <c r="E261" s="70"/>
      <c r="F261" s="70"/>
      <c r="G261" s="70"/>
      <c r="H261" s="70"/>
      <c r="I261" s="2" t="str">
        <f>'matrik MISI 4'!N68</f>
        <v>Persentase SMA/MA Terakreditasi B</v>
      </c>
      <c r="J261" s="913" t="str">
        <f>'matrik MISI 4'!O68</f>
        <v>%</v>
      </c>
      <c r="K261" s="913">
        <f>'matrik MISI 4'!P68</f>
        <v>25.93</v>
      </c>
      <c r="L261" s="913">
        <f>'matrik MISI 4'!Q68</f>
        <v>25.93</v>
      </c>
      <c r="M261" s="913">
        <f>'matrik MISI 4'!R68</f>
        <v>25.93</v>
      </c>
      <c r="N261" s="913">
        <f>'matrik MISI 4'!S68</f>
        <v>25.93</v>
      </c>
      <c r="O261" s="913">
        <f>'matrik MISI 4'!T68</f>
        <v>25.93</v>
      </c>
      <c r="P261" s="913">
        <f>'matrik MISI 4'!U68</f>
        <v>25.93</v>
      </c>
      <c r="Q261" s="913">
        <f>'matrik MISI 4'!V68</f>
        <v>25.93</v>
      </c>
      <c r="R261" s="913">
        <f>'matrik MISI 4'!W68</f>
        <v>25.93</v>
      </c>
    </row>
    <row r="262" spans="2:18" ht="31.5">
      <c r="B262" s="914"/>
      <c r="C262" s="70"/>
      <c r="D262" s="70"/>
      <c r="E262" s="70"/>
      <c r="F262" s="70"/>
      <c r="G262" s="70"/>
      <c r="H262" s="70"/>
      <c r="I262" s="2" t="str">
        <f>'matrik MISI 4'!N69</f>
        <v>Persentase SMA/MA Terakreditasi C</v>
      </c>
      <c r="J262" s="913" t="str">
        <f>'matrik MISI 4'!O69</f>
        <v>%</v>
      </c>
      <c r="K262" s="913">
        <f>'matrik MISI 4'!P69</f>
        <v>22.22</v>
      </c>
      <c r="L262" s="913">
        <f>'matrik MISI 4'!Q69</f>
        <v>22.22</v>
      </c>
      <c r="M262" s="913">
        <f>'matrik MISI 4'!R69</f>
        <v>22.22</v>
      </c>
      <c r="N262" s="913">
        <f>'matrik MISI 4'!S69</f>
        <v>22.22</v>
      </c>
      <c r="O262" s="913">
        <f>'matrik MISI 4'!T69</f>
        <v>22.22</v>
      </c>
      <c r="P262" s="913">
        <f>'matrik MISI 4'!U69</f>
        <v>22.22</v>
      </c>
      <c r="Q262" s="913">
        <f>'matrik MISI 4'!V69</f>
        <v>22.22</v>
      </c>
      <c r="R262" s="913">
        <f>'matrik MISI 4'!W69</f>
        <v>22.22</v>
      </c>
    </row>
    <row r="263" spans="2:18" ht="31.5">
      <c r="B263" s="914"/>
      <c r="C263" s="70"/>
      <c r="D263" s="70"/>
      <c r="E263" s="70"/>
      <c r="F263" s="70"/>
      <c r="G263" s="70"/>
      <c r="H263" s="70"/>
      <c r="I263" s="2" t="str">
        <f>'matrik MISI 4'!N70</f>
        <v>Persentase Program Keahlian SMK Terakreditasi A</v>
      </c>
      <c r="J263" s="913" t="str">
        <f>'matrik MISI 4'!O70</f>
        <v>%</v>
      </c>
      <c r="K263" s="913">
        <f>'matrik MISI 4'!P70</f>
        <v>15.87</v>
      </c>
      <c r="L263" s="913">
        <f>'matrik MISI 4'!Q70</f>
        <v>15.87</v>
      </c>
      <c r="M263" s="913">
        <f>'matrik MISI 4'!R70</f>
        <v>19.05</v>
      </c>
      <c r="N263" s="913">
        <f>'matrik MISI 4'!S70</f>
        <v>22.23</v>
      </c>
      <c r="O263" s="913">
        <f>'matrik MISI 4'!T70</f>
        <v>25.41</v>
      </c>
      <c r="P263" s="913">
        <f>'matrik MISI 4'!U70</f>
        <v>28.59</v>
      </c>
      <c r="Q263" s="913">
        <f>'matrik MISI 4'!V70</f>
        <v>31.77</v>
      </c>
      <c r="R263" s="913">
        <f>'matrik MISI 4'!W70</f>
        <v>31.77</v>
      </c>
    </row>
    <row r="264" spans="2:18" ht="31.5">
      <c r="B264" s="914"/>
      <c r="C264" s="70"/>
      <c r="D264" s="70"/>
      <c r="E264" s="70"/>
      <c r="F264" s="70"/>
      <c r="G264" s="70"/>
      <c r="H264" s="70"/>
      <c r="I264" s="2" t="str">
        <f>'matrik MISI 4'!N71</f>
        <v>Persentase Program Keahlian SMK Terakreditasi B</v>
      </c>
      <c r="J264" s="913" t="str">
        <f>'matrik MISI 4'!O71</f>
        <v>%</v>
      </c>
      <c r="K264" s="913">
        <f>'matrik MISI 4'!P71</f>
        <v>47.62</v>
      </c>
      <c r="L264" s="913">
        <f>'matrik MISI 4'!Q71</f>
        <v>47.62</v>
      </c>
      <c r="M264" s="913">
        <f>'matrik MISI 4'!R71</f>
        <v>47.62</v>
      </c>
      <c r="N264" s="913">
        <f>'matrik MISI 4'!S71</f>
        <v>47.62</v>
      </c>
      <c r="O264" s="913">
        <f>'matrik MISI 4'!T71</f>
        <v>47.62</v>
      </c>
      <c r="P264" s="913">
        <f>'matrik MISI 4'!U71</f>
        <v>47.62</v>
      </c>
      <c r="Q264" s="913">
        <f>'matrik MISI 4'!V71</f>
        <v>47.62</v>
      </c>
      <c r="R264" s="913">
        <f>'matrik MISI 4'!W71</f>
        <v>47.62</v>
      </c>
    </row>
    <row r="265" spans="2:18" ht="31.5">
      <c r="B265" s="914"/>
      <c r="C265" s="70"/>
      <c r="D265" s="70"/>
      <c r="E265" s="70"/>
      <c r="F265" s="70"/>
      <c r="G265" s="70"/>
      <c r="H265" s="70"/>
      <c r="I265" s="2" t="str">
        <f>'matrik MISI 4'!N72</f>
        <v>Persentase Program Keahlian SMK Terakreditasi C</v>
      </c>
      <c r="J265" s="913" t="str">
        <f>'matrik MISI 4'!O72</f>
        <v>%</v>
      </c>
      <c r="K265" s="913">
        <f>'matrik MISI 4'!P72</f>
        <v>19.05</v>
      </c>
      <c r="L265" s="913">
        <f>'matrik MISI 4'!Q72</f>
        <v>19.05</v>
      </c>
      <c r="M265" s="913">
        <f>'matrik MISI 4'!R72</f>
        <v>19.05</v>
      </c>
      <c r="N265" s="913">
        <f>'matrik MISI 4'!S72</f>
        <v>19.05</v>
      </c>
      <c r="O265" s="913">
        <f>'matrik MISI 4'!T72</f>
        <v>19.05</v>
      </c>
      <c r="P265" s="913">
        <f>'matrik MISI 4'!U72</f>
        <v>19.05</v>
      </c>
      <c r="Q265" s="913">
        <f>'matrik MISI 4'!V72</f>
        <v>19.05</v>
      </c>
      <c r="R265" s="913">
        <f>'matrik MISI 4'!W72</f>
        <v>19.05</v>
      </c>
    </row>
    <row r="266" spans="2:18" ht="31.5">
      <c r="B266" s="914"/>
      <c r="C266" s="70"/>
      <c r="D266" s="70"/>
      <c r="E266" s="70"/>
      <c r="F266" s="70"/>
      <c r="G266" s="70"/>
      <c r="H266" s="70"/>
      <c r="I266" s="2" t="str">
        <f>'matrik MISI 4'!N73</f>
        <v>Persentase Angka Lulusan SMA/MA/SMK</v>
      </c>
      <c r="J266" s="913" t="str">
        <f>'matrik MISI 4'!O73</f>
        <v>%</v>
      </c>
      <c r="K266" s="913">
        <f>'matrik MISI 4'!P73</f>
        <v>99.320568252007419</v>
      </c>
      <c r="L266" s="913">
        <f>'matrik MISI 4'!Q73</f>
        <v>99.864786555920418</v>
      </c>
      <c r="M266" s="913">
        <f>'matrik MISI 4'!R73</f>
        <v>100</v>
      </c>
      <c r="N266" s="913">
        <f>'matrik MISI 4'!S73</f>
        <v>100</v>
      </c>
      <c r="O266" s="913">
        <f>'matrik MISI 4'!T73</f>
        <v>100</v>
      </c>
      <c r="P266" s="913">
        <f>'matrik MISI 4'!U73</f>
        <v>100</v>
      </c>
      <c r="Q266" s="913">
        <f>'matrik MISI 4'!V73</f>
        <v>100</v>
      </c>
      <c r="R266" s="913">
        <f>'matrik MISI 4'!W73</f>
        <v>100</v>
      </c>
    </row>
    <row r="267" spans="2:18" ht="47.25">
      <c r="B267" s="914"/>
      <c r="C267" s="70"/>
      <c r="D267" s="70"/>
      <c r="E267" s="70"/>
      <c r="F267" s="70"/>
      <c r="G267" s="70"/>
      <c r="H267" s="70"/>
      <c r="I267" s="2" t="str">
        <f>'matrik MISI 4'!N74</f>
        <v>Persentase Siswa SMA/MA/SMK yang Memperoleh Rerata Nilai Ujian Nasional ≥ 7,00</v>
      </c>
      <c r="J267" s="913" t="str">
        <f>'matrik MISI 4'!O74</f>
        <v>%</v>
      </c>
      <c r="K267" s="913">
        <f>'matrik MISI 4'!P74</f>
        <v>72.122709491455623</v>
      </c>
      <c r="L267" s="913">
        <f>'matrik MISI 4'!Q74</f>
        <v>57.331009103234557</v>
      </c>
      <c r="M267" s="913">
        <f>'matrik MISI 4'!R74</f>
        <v>57.43</v>
      </c>
      <c r="N267" s="913">
        <f>'matrik MISI 4'!S74</f>
        <v>57.63</v>
      </c>
      <c r="O267" s="913">
        <f>'matrik MISI 4'!T74</f>
        <v>57.78</v>
      </c>
      <c r="P267" s="913">
        <f>'matrik MISI 4'!U74</f>
        <v>57.93</v>
      </c>
      <c r="Q267" s="913">
        <f>'matrik MISI 4'!V74</f>
        <v>58.08</v>
      </c>
      <c r="R267" s="913">
        <f>'matrik MISI 4'!W74</f>
        <v>58.08</v>
      </c>
    </row>
    <row r="268" spans="2:18" ht="31.5">
      <c r="B268" s="914"/>
      <c r="C268" s="70"/>
      <c r="D268" s="70"/>
      <c r="E268" s="70"/>
      <c r="F268" s="70"/>
      <c r="G268" s="917"/>
      <c r="H268" s="917"/>
      <c r="I268" s="2" t="str">
        <f>'matrik MISI 4'!N75</f>
        <v>Angka Putus Sekolah SMA/MA/SMK</v>
      </c>
      <c r="J268" s="913" t="str">
        <f>'matrik MISI 4'!O75</f>
        <v>%</v>
      </c>
      <c r="K268" s="913">
        <f>'matrik MISI 4'!P75</f>
        <v>1.1807668898356665</v>
      </c>
      <c r="L268" s="913">
        <f>'matrik MISI 4'!Q75</f>
        <v>1.64</v>
      </c>
      <c r="M268" s="913">
        <f>'matrik MISI 4'!R75</f>
        <v>1.62</v>
      </c>
      <c r="N268" s="913">
        <f>'matrik MISI 4'!S75</f>
        <v>1.6</v>
      </c>
      <c r="O268" s="913">
        <f>'matrik MISI 4'!T75</f>
        <v>1.58</v>
      </c>
      <c r="P268" s="913">
        <f>'matrik MISI 4'!U75</f>
        <v>1.56</v>
      </c>
      <c r="Q268" s="913">
        <f>'matrik MISI 4'!V75</f>
        <v>1.54</v>
      </c>
      <c r="R268" s="913">
        <f>'matrik MISI 4'!W75</f>
        <v>1.54</v>
      </c>
    </row>
    <row r="269" spans="2:18" ht="31.5">
      <c r="B269" s="914"/>
      <c r="C269" s="70"/>
      <c r="D269" s="70"/>
      <c r="E269" s="917"/>
      <c r="F269" s="917"/>
      <c r="G269" s="2">
        <f>'matrik MISI 4'!E76</f>
        <v>9</v>
      </c>
      <c r="H269" s="2" t="str">
        <f>'matrik MISI 4'!F76</f>
        <v>Meningkatnya Kualitas Pendidikan Non Formal</v>
      </c>
      <c r="I269" s="2" t="str">
        <f>'matrik MISI 4'!N77</f>
        <v>Persentase Angka Lulusan Pendidikan Kesetaraan</v>
      </c>
      <c r="J269" s="913" t="str">
        <f>'matrik MISI 4'!O77</f>
        <v>%</v>
      </c>
      <c r="K269" s="913">
        <f>'matrik MISI 4'!P77</f>
        <v>90.39</v>
      </c>
      <c r="L269" s="913">
        <f>'matrik MISI 4'!Q77</f>
        <v>81.56</v>
      </c>
      <c r="M269" s="913">
        <f>'matrik MISI 4'!R77</f>
        <v>87.06</v>
      </c>
      <c r="N269" s="913">
        <f>'matrik MISI 4'!S77</f>
        <v>92.56</v>
      </c>
      <c r="O269" s="913">
        <f>'matrik MISI 4'!T77</f>
        <v>92.56</v>
      </c>
      <c r="P269" s="913">
        <f>'matrik MISI 4'!U77</f>
        <v>92.56</v>
      </c>
      <c r="Q269" s="913">
        <f>'matrik MISI 4'!V77</f>
        <v>92.56</v>
      </c>
      <c r="R269" s="913">
        <f>'matrik MISI 4'!W77</f>
        <v>92.56</v>
      </c>
    </row>
    <row r="270" spans="2:18" ht="31.5">
      <c r="B270" s="914"/>
      <c r="C270" s="70"/>
      <c r="D270" s="70"/>
      <c r="E270" s="916">
        <f>'matrik MISI 4'!C78</f>
        <v>4</v>
      </c>
      <c r="F270" s="916" t="str">
        <f>'matrik MISI 4'!D78</f>
        <v xml:space="preserve">Meningkatkan Kualitas Pendidik dan Tenaga Kependidikan </v>
      </c>
      <c r="G270" s="916">
        <f>'matrik MISI 4'!E78</f>
        <v>10</v>
      </c>
      <c r="H270" s="916" t="str">
        <f>'matrik MISI 4'!F78</f>
        <v>Terpenuhinya Kebutuhan Pendidik</v>
      </c>
      <c r="I270" s="2" t="str">
        <f>'matrik MISI 4'!N79</f>
        <v>Rasio Siswa per Pendidik TK/RA</v>
      </c>
      <c r="J270" s="913" t="str">
        <f>'matrik MISI 4'!O79</f>
        <v>Rasio</v>
      </c>
      <c r="K270" s="913" t="str">
        <f>'matrik MISI 4'!P79</f>
        <v>1 : 14</v>
      </c>
      <c r="L270" s="913" t="str">
        <f>'matrik MISI 4'!Q79</f>
        <v>1 : 14</v>
      </c>
      <c r="M270" s="913" t="str">
        <f>'matrik MISI 4'!R79</f>
        <v>1 : 14</v>
      </c>
      <c r="N270" s="913" t="str">
        <f>'matrik MISI 4'!S79</f>
        <v>1 : 14</v>
      </c>
      <c r="O270" s="913" t="str">
        <f>'matrik MISI 4'!T79</f>
        <v>1 : 14</v>
      </c>
      <c r="P270" s="913" t="str">
        <f>'matrik MISI 4'!U79</f>
        <v>1 : 14</v>
      </c>
      <c r="Q270" s="913" t="str">
        <f>'matrik MISI 4'!V79</f>
        <v>1 : 14</v>
      </c>
      <c r="R270" s="913" t="str">
        <f>'matrik MISI 4'!W79</f>
        <v>1 : 14</v>
      </c>
    </row>
    <row r="271" spans="2:18">
      <c r="B271" s="914"/>
      <c r="C271" s="70"/>
      <c r="D271" s="70"/>
      <c r="E271" s="70"/>
      <c r="F271" s="70"/>
      <c r="G271" s="70"/>
      <c r="H271" s="70"/>
      <c r="I271" s="2" t="str">
        <f>'matrik MISI 4'!N80</f>
        <v>Rasio Siswa per Pendidik SD/MI</v>
      </c>
      <c r="J271" s="913" t="str">
        <f>'matrik MISI 4'!O80</f>
        <v>Rasio</v>
      </c>
      <c r="K271" s="913" t="str">
        <f>'matrik MISI 4'!P80</f>
        <v>1 : 14</v>
      </c>
      <c r="L271" s="913" t="str">
        <f>'matrik MISI 4'!Q80</f>
        <v>1 : 14</v>
      </c>
      <c r="M271" s="913" t="str">
        <f>'matrik MISI 4'!R80</f>
        <v>1 : 14</v>
      </c>
      <c r="N271" s="913" t="str">
        <f>'matrik MISI 4'!S80</f>
        <v>1 : 14</v>
      </c>
      <c r="O271" s="913" t="str">
        <f>'matrik MISI 4'!T80</f>
        <v>1 : 14</v>
      </c>
      <c r="P271" s="913" t="str">
        <f>'matrik MISI 4'!U80</f>
        <v>1 : 14</v>
      </c>
      <c r="Q271" s="913" t="str">
        <f>'matrik MISI 4'!V80</f>
        <v>1 : 14</v>
      </c>
      <c r="R271" s="913" t="str">
        <f>'matrik MISI 4'!W80</f>
        <v>1 : 14</v>
      </c>
    </row>
    <row r="272" spans="2:18" ht="31.5">
      <c r="B272" s="914"/>
      <c r="C272" s="70"/>
      <c r="D272" s="70"/>
      <c r="E272" s="70"/>
      <c r="F272" s="70"/>
      <c r="G272" s="70"/>
      <c r="H272" s="70"/>
      <c r="I272" s="2" t="str">
        <f>'matrik MISI 4'!N81</f>
        <v>Rasio Siswa per Pendidik SMP/MTs</v>
      </c>
      <c r="J272" s="913" t="str">
        <f>'matrik MISI 4'!O81</f>
        <v>Rasio</v>
      </c>
      <c r="K272" s="913" t="str">
        <f>'matrik MISI 4'!P81</f>
        <v>1 : 16</v>
      </c>
      <c r="L272" s="913" t="str">
        <f>'matrik MISI 4'!Q81</f>
        <v>1 : 16</v>
      </c>
      <c r="M272" s="913" t="str">
        <f>'matrik MISI 4'!R81</f>
        <v>1 : 16</v>
      </c>
      <c r="N272" s="913" t="str">
        <f>'matrik MISI 4'!S81</f>
        <v>1:15</v>
      </c>
      <c r="O272" s="913" t="str">
        <f>'matrik MISI 4'!T81</f>
        <v>1:15</v>
      </c>
      <c r="P272" s="913" t="str">
        <f>'matrik MISI 4'!U81</f>
        <v>1:15</v>
      </c>
      <c r="Q272" s="913" t="str">
        <f>'matrik MISI 4'!V81</f>
        <v>1:15</v>
      </c>
      <c r="R272" s="913" t="str">
        <f>'matrik MISI 4'!W81</f>
        <v>1:15</v>
      </c>
    </row>
    <row r="273" spans="2:18" ht="31.5">
      <c r="B273" s="914"/>
      <c r="C273" s="70"/>
      <c r="D273" s="70"/>
      <c r="E273" s="70"/>
      <c r="F273" s="70"/>
      <c r="G273" s="70"/>
      <c r="H273" s="70"/>
      <c r="I273" s="2" t="str">
        <f>'matrik MISI 4'!N82</f>
        <v>Rasio Siswa per Pendidik SMA/MA</v>
      </c>
      <c r="J273" s="913" t="str">
        <f>'matrik MISI 4'!O82</f>
        <v>Rasio</v>
      </c>
      <c r="K273" s="913" t="str">
        <f>'matrik MISI 4'!P82</f>
        <v>1 : 11</v>
      </c>
      <c r="L273" s="913" t="str">
        <f>'matrik MISI 4'!Q82</f>
        <v>1 : 11</v>
      </c>
      <c r="M273" s="913" t="str">
        <f>'matrik MISI 4'!R82</f>
        <v>1 : 11</v>
      </c>
      <c r="N273" s="913" t="str">
        <f>'matrik MISI 4'!S82</f>
        <v>1 : 11</v>
      </c>
      <c r="O273" s="913" t="str">
        <f>'matrik MISI 4'!T82</f>
        <v>1 : 11</v>
      </c>
      <c r="P273" s="913" t="str">
        <f>'matrik MISI 4'!U82</f>
        <v>1 : 11</v>
      </c>
      <c r="Q273" s="913" t="str">
        <f>'matrik MISI 4'!V82</f>
        <v>1 : 11</v>
      </c>
      <c r="R273" s="913" t="str">
        <f>'matrik MISI 4'!W82</f>
        <v>1 : 11</v>
      </c>
    </row>
    <row r="274" spans="2:18">
      <c r="B274" s="914"/>
      <c r="C274" s="70"/>
      <c r="D274" s="70"/>
      <c r="E274" s="70"/>
      <c r="F274" s="70"/>
      <c r="G274" s="917"/>
      <c r="H274" s="917"/>
      <c r="I274" s="2" t="str">
        <f>'matrik MISI 4'!N83</f>
        <v>Rasio Siswa per Pendidik SMK</v>
      </c>
      <c r="J274" s="913" t="str">
        <f>'matrik MISI 4'!O83</f>
        <v>Rasio</v>
      </c>
      <c r="K274" s="913" t="str">
        <f>'matrik MISI 4'!P83</f>
        <v>1 : 15</v>
      </c>
      <c r="L274" s="913" t="str">
        <f>'matrik MISI 4'!Q83</f>
        <v>1 : 15</v>
      </c>
      <c r="M274" s="913" t="str">
        <f>'matrik MISI 4'!R83</f>
        <v>1 : 15</v>
      </c>
      <c r="N274" s="913" t="str">
        <f>'matrik MISI 4'!S83</f>
        <v>1:14</v>
      </c>
      <c r="O274" s="913" t="str">
        <f>'matrik MISI 4'!T83</f>
        <v>1:14</v>
      </c>
      <c r="P274" s="913" t="str">
        <f>'matrik MISI 4'!U83</f>
        <v>1:14</v>
      </c>
      <c r="Q274" s="913" t="str">
        <f>'matrik MISI 4'!V83</f>
        <v>1:13</v>
      </c>
      <c r="R274" s="913" t="str">
        <f>'matrik MISI 4'!W83</f>
        <v>1:13</v>
      </c>
    </row>
    <row r="275" spans="2:18" ht="47.25">
      <c r="B275" s="914"/>
      <c r="C275" s="70"/>
      <c r="D275" s="70"/>
      <c r="E275" s="70"/>
      <c r="F275" s="70"/>
      <c r="G275" s="916">
        <f>'matrik MISI 4'!E84</f>
        <v>11</v>
      </c>
      <c r="H275" s="916" t="str">
        <f>'matrik MISI 4'!F84</f>
        <v>Meningkatnya Kualifikasi Akademik Pendidik</v>
      </c>
      <c r="I275" s="2" t="str">
        <f>'matrik MISI 4'!N85</f>
        <v>Persentase Pendidik TK/RA yang memenuhi standar kualifikasi akademik</v>
      </c>
      <c r="J275" s="913" t="str">
        <f>'matrik MISI 4'!O85</f>
        <v>%</v>
      </c>
      <c r="K275" s="913">
        <f>'matrik MISI 4'!P85</f>
        <v>35.14986376021799</v>
      </c>
      <c r="L275" s="913">
        <f>'matrik MISI 4'!Q85</f>
        <v>41.79</v>
      </c>
      <c r="M275" s="913">
        <f>'matrik MISI 4'!R85</f>
        <v>42.34</v>
      </c>
      <c r="N275" s="913">
        <f>'matrik MISI 4'!S85</f>
        <v>42.89</v>
      </c>
      <c r="O275" s="913">
        <f>'matrik MISI 4'!T85</f>
        <v>43.44</v>
      </c>
      <c r="P275" s="913">
        <f>'matrik MISI 4'!U85</f>
        <v>44.33</v>
      </c>
      <c r="Q275" s="913">
        <f>'matrik MISI 4'!V85</f>
        <v>45.22</v>
      </c>
      <c r="R275" s="913">
        <f>'matrik MISI 4'!W85</f>
        <v>45.22</v>
      </c>
    </row>
    <row r="276" spans="2:18" ht="47.25">
      <c r="B276" s="914"/>
      <c r="C276" s="70"/>
      <c r="D276" s="70"/>
      <c r="E276" s="70"/>
      <c r="F276" s="70"/>
      <c r="G276" s="70"/>
      <c r="H276" s="70"/>
      <c r="I276" s="2" t="str">
        <f>'matrik MISI 4'!N86</f>
        <v>Persentase Pendidik SD/MI yang memenuhi standar kualifikasi akademik</v>
      </c>
      <c r="J276" s="913" t="str">
        <f>'matrik MISI 4'!O86</f>
        <v>%</v>
      </c>
      <c r="K276" s="913">
        <f>'matrik MISI 4'!P86</f>
        <v>63.370350784417418</v>
      </c>
      <c r="L276" s="913">
        <f>'matrik MISI 4'!Q86</f>
        <v>70.510000000000005</v>
      </c>
      <c r="M276" s="913" t="str">
        <f>'matrik MISI 4'!R86</f>
        <v>70,56</v>
      </c>
      <c r="N276" s="913" t="str">
        <f>'matrik MISI 4'!S86</f>
        <v>70,61</v>
      </c>
      <c r="O276" s="913" t="str">
        <f>'matrik MISI 4'!T86</f>
        <v>70,66</v>
      </c>
      <c r="P276" s="913">
        <f>'matrik MISI 4'!U86</f>
        <v>71.16</v>
      </c>
      <c r="Q276" s="913">
        <f>'matrik MISI 4'!V86</f>
        <v>71.66</v>
      </c>
      <c r="R276" s="913">
        <f>'matrik MISI 4'!W86</f>
        <v>71.66</v>
      </c>
    </row>
    <row r="277" spans="2:18" ht="47.25">
      <c r="B277" s="914"/>
      <c r="C277" s="70"/>
      <c r="D277" s="70"/>
      <c r="E277" s="70"/>
      <c r="F277" s="70"/>
      <c r="G277" s="70"/>
      <c r="H277" s="70"/>
      <c r="I277" s="2" t="str">
        <f>'matrik MISI 4'!N87</f>
        <v>Persentase Pendidik SMP/MTs yang memenuhi standar kualifikasi akademik</v>
      </c>
      <c r="J277" s="913" t="str">
        <f>'matrik MISI 4'!O87</f>
        <v>%</v>
      </c>
      <c r="K277" s="913">
        <f>'matrik MISI 4'!P87</f>
        <v>83.286516853932582</v>
      </c>
      <c r="L277" s="913">
        <f>'matrik MISI 4'!Q87</f>
        <v>83.34</v>
      </c>
      <c r="M277" s="913">
        <f>'matrik MISI 4'!R87</f>
        <v>83.39</v>
      </c>
      <c r="N277" s="913">
        <f>'matrik MISI 4'!S87</f>
        <v>83.44</v>
      </c>
      <c r="O277" s="913">
        <f>'matrik MISI 4'!T87</f>
        <v>83.49</v>
      </c>
      <c r="P277" s="913">
        <f>'matrik MISI 4'!U87</f>
        <v>83.54</v>
      </c>
      <c r="Q277" s="913">
        <f>'matrik MISI 4'!V87</f>
        <v>83.59</v>
      </c>
      <c r="R277" s="913">
        <f>'matrik MISI 4'!W87</f>
        <v>83.59</v>
      </c>
    </row>
    <row r="278" spans="2:18" ht="47.25">
      <c r="B278" s="914"/>
      <c r="C278" s="70"/>
      <c r="D278" s="70"/>
      <c r="E278" s="70"/>
      <c r="F278" s="70"/>
      <c r="G278" s="70"/>
      <c r="H278" s="70"/>
      <c r="I278" s="2" t="str">
        <f>'matrik MISI 4'!N88</f>
        <v>Persentase Pendidik SMA/MA yang memenuhi standar kualifikasi akademik</v>
      </c>
      <c r="J278" s="913" t="str">
        <f>'matrik MISI 4'!O88</f>
        <v>%</v>
      </c>
      <c r="K278" s="913">
        <f>'matrik MISI 4'!P88</f>
        <v>91.448275862068968</v>
      </c>
      <c r="L278" s="913">
        <f>'matrik MISI 4'!Q88</f>
        <v>91.5</v>
      </c>
      <c r="M278" s="913">
        <f>'matrik MISI 4'!R88</f>
        <v>91.55</v>
      </c>
      <c r="N278" s="913">
        <f>'matrik MISI 4'!S88</f>
        <v>91.6</v>
      </c>
      <c r="O278" s="913">
        <f>'matrik MISI 4'!T88</f>
        <v>91.65</v>
      </c>
      <c r="P278" s="913">
        <f>'matrik MISI 4'!U88</f>
        <v>91.7</v>
      </c>
      <c r="Q278" s="913">
        <f>'matrik MISI 4'!V88</f>
        <v>91.75</v>
      </c>
      <c r="R278" s="913">
        <f>'matrik MISI 4'!W88</f>
        <v>91.75</v>
      </c>
    </row>
    <row r="279" spans="2:18" ht="47.25">
      <c r="B279" s="914"/>
      <c r="C279" s="70"/>
      <c r="D279" s="70"/>
      <c r="E279" s="70"/>
      <c r="F279" s="70"/>
      <c r="G279" s="70"/>
      <c r="H279" s="70"/>
      <c r="I279" s="2" t="str">
        <f>'matrik MISI 4'!N89</f>
        <v>Persentase Pendidik SMK  yang memenuhi standar kualifikasi akademik</v>
      </c>
      <c r="J279" s="913" t="str">
        <f>'matrik MISI 4'!O89</f>
        <v>%</v>
      </c>
      <c r="K279" s="913">
        <f>'matrik MISI 4'!P89</f>
        <v>90.209790209790214</v>
      </c>
      <c r="L279" s="913">
        <f>'matrik MISI 4'!Q89</f>
        <v>90.26</v>
      </c>
      <c r="M279" s="913">
        <f>'matrik MISI 4'!R89</f>
        <v>90.31</v>
      </c>
      <c r="N279" s="913">
        <f>'matrik MISI 4'!S89</f>
        <v>90.36</v>
      </c>
      <c r="O279" s="913">
        <f>'matrik MISI 4'!T89</f>
        <v>90.41</v>
      </c>
      <c r="P279" s="913">
        <f>'matrik MISI 4'!U89</f>
        <v>90.46</v>
      </c>
      <c r="Q279" s="913">
        <f>'matrik MISI 4'!V89</f>
        <v>90.51</v>
      </c>
      <c r="R279" s="913">
        <f>'matrik MISI 4'!W89</f>
        <v>90.51</v>
      </c>
    </row>
    <row r="280" spans="2:18" ht="31.5">
      <c r="B280" s="914"/>
      <c r="C280" s="70"/>
      <c r="D280" s="70"/>
      <c r="E280" s="70"/>
      <c r="F280" s="70"/>
      <c r="G280" s="70"/>
      <c r="H280" s="70"/>
      <c r="I280" s="2" t="str">
        <f>'matrik MISI 4'!N90</f>
        <v xml:space="preserve">Cakupan ketersediaan guru  SD/MI. </v>
      </c>
      <c r="J280" s="913" t="str">
        <f>'matrik MISI 4'!O90</f>
        <v>%</v>
      </c>
      <c r="K280" s="913">
        <f>'matrik MISI 4'!P90</f>
        <v>90.87</v>
      </c>
      <c r="L280" s="913">
        <f>'matrik MISI 4'!Q90</f>
        <v>92</v>
      </c>
      <c r="M280" s="913">
        <f>'matrik MISI 4'!R90</f>
        <v>92.6</v>
      </c>
      <c r="N280" s="913">
        <f>'matrik MISI 4'!S90</f>
        <v>93.2</v>
      </c>
      <c r="O280" s="913">
        <f>'matrik MISI 4'!T90</f>
        <v>93.8</v>
      </c>
      <c r="P280" s="913">
        <f>'matrik MISI 4'!U90</f>
        <v>94.4</v>
      </c>
      <c r="Q280" s="913">
        <f>'matrik MISI 4'!V90</f>
        <v>95</v>
      </c>
      <c r="R280" s="913">
        <f>'matrik MISI 4'!W90</f>
        <v>95</v>
      </c>
    </row>
    <row r="281" spans="2:18" ht="47.25">
      <c r="B281" s="914"/>
      <c r="C281" s="70"/>
      <c r="D281" s="70"/>
      <c r="E281" s="70"/>
      <c r="F281" s="70"/>
      <c r="G281" s="70"/>
      <c r="H281" s="70"/>
      <c r="I281" s="2" t="str">
        <f>'matrik MISI 4'!N91</f>
        <v xml:space="preserve">Cakupan ketersediaan guru  SMP/MTS per Satuan mata pelajaran. </v>
      </c>
      <c r="J281" s="913" t="str">
        <f>'matrik MISI 4'!O91</f>
        <v>%</v>
      </c>
      <c r="K281" s="913">
        <f>'matrik MISI 4'!P91</f>
        <v>78.099999999999994</v>
      </c>
      <c r="L281" s="913">
        <f>'matrik MISI 4'!Q91</f>
        <v>78.5</v>
      </c>
      <c r="M281" s="913">
        <f>'matrik MISI 4'!R91</f>
        <v>79.7</v>
      </c>
      <c r="N281" s="913">
        <f>'matrik MISI 4'!S91</f>
        <v>80.900000000000006</v>
      </c>
      <c r="O281" s="913">
        <f>'matrik MISI 4'!T91</f>
        <v>82.1</v>
      </c>
      <c r="P281" s="913">
        <f>'matrik MISI 4'!U91</f>
        <v>83.3</v>
      </c>
      <c r="Q281" s="913">
        <f>'matrik MISI 4'!V91</f>
        <v>84.5</v>
      </c>
      <c r="R281" s="913">
        <f>'matrik MISI 4'!W91</f>
        <v>84.5</v>
      </c>
    </row>
    <row r="282" spans="2:18" ht="63">
      <c r="B282" s="914"/>
      <c r="C282" s="70"/>
      <c r="D282" s="70"/>
      <c r="E282" s="70"/>
      <c r="F282" s="70"/>
      <c r="G282" s="70"/>
      <c r="H282" s="70"/>
      <c r="I282" s="2" t="str">
        <f>'matrik MISI 4'!N92</f>
        <v>Cakupan ketersediaan Guru SD/MI  yang memenuhi kualifikasi akademik S1 atau D-IV yang telah memiliki sertifikat pendidik</v>
      </c>
      <c r="J282" s="913" t="str">
        <f>'matrik MISI 4'!O92</f>
        <v>%</v>
      </c>
      <c r="K282" s="913">
        <f>'matrik MISI 4'!P92</f>
        <v>81.3</v>
      </c>
      <c r="L282" s="913">
        <f>'matrik MISI 4'!Q92</f>
        <v>81.5</v>
      </c>
      <c r="M282" s="913">
        <f>'matrik MISI 4'!R92</f>
        <v>83</v>
      </c>
      <c r="N282" s="913">
        <f>'matrik MISI 4'!S92</f>
        <v>84.5</v>
      </c>
      <c r="O282" s="913">
        <f>'matrik MISI 4'!T92</f>
        <v>86</v>
      </c>
      <c r="P282" s="913">
        <f>'matrik MISI 4'!U92</f>
        <v>87.5</v>
      </c>
      <c r="Q282" s="913">
        <f>'matrik MISI 4'!V92</f>
        <v>89</v>
      </c>
      <c r="R282" s="913">
        <f>'matrik MISI 4'!W92</f>
        <v>89</v>
      </c>
    </row>
    <row r="283" spans="2:18" ht="31.5">
      <c r="B283" s="914"/>
      <c r="C283" s="70"/>
      <c r="D283" s="70"/>
      <c r="E283" s="70"/>
      <c r="F283" s="70"/>
      <c r="G283" s="70"/>
      <c r="H283" s="70"/>
      <c r="I283" s="2" t="str">
        <f>'matrik MISI 4'!N93</f>
        <v>Cakupan kualifikasi guru SMP/MTs.</v>
      </c>
      <c r="J283" s="913" t="str">
        <f>'matrik MISI 4'!O93</f>
        <v>%</v>
      </c>
      <c r="K283" s="913">
        <f>'matrik MISI 4'!P93</f>
        <v>72.38</v>
      </c>
      <c r="L283" s="913">
        <f>'matrik MISI 4'!Q93</f>
        <v>72.5</v>
      </c>
      <c r="M283" s="913">
        <f>'matrik MISI 4'!R93</f>
        <v>74.5</v>
      </c>
      <c r="N283" s="913">
        <f>'matrik MISI 4'!S93</f>
        <v>76.5</v>
      </c>
      <c r="O283" s="913">
        <f>'matrik MISI 4'!T93</f>
        <v>78.5</v>
      </c>
      <c r="P283" s="913">
        <f>'matrik MISI 4'!U93</f>
        <v>80.5</v>
      </c>
      <c r="Q283" s="913">
        <f>'matrik MISI 4'!V93</f>
        <v>82.5</v>
      </c>
      <c r="R283" s="913">
        <f>'matrik MISI 4'!W93</f>
        <v>82.5</v>
      </c>
    </row>
    <row r="284" spans="2:18" ht="78.75">
      <c r="B284" s="914"/>
      <c r="C284" s="70"/>
      <c r="D284" s="70"/>
      <c r="E284" s="70"/>
      <c r="F284" s="70"/>
      <c r="G284" s="70"/>
      <c r="H284" s="70"/>
      <c r="I284" s="2" t="str">
        <f>'matrik MISI 4'!N94</f>
        <v>Cakupan ketersediaan guru SMP/MTs untuk mata pelajaran Matematika, IPA, Bahasa Indonesia, Bahasa Inggris dan PKn.</v>
      </c>
      <c r="J284" s="913" t="str">
        <f>'matrik MISI 4'!O94</f>
        <v>%</v>
      </c>
      <c r="K284" s="913">
        <f>'matrik MISI 4'!P94</f>
        <v>65.709999999999994</v>
      </c>
      <c r="L284" s="913">
        <f>'matrik MISI 4'!Q94</f>
        <v>66</v>
      </c>
      <c r="M284" s="913">
        <f>'matrik MISI 4'!R94</f>
        <v>67.7</v>
      </c>
      <c r="N284" s="913">
        <f>'matrik MISI 4'!S94</f>
        <v>69.400000000000006</v>
      </c>
      <c r="O284" s="913">
        <f>'matrik MISI 4'!T94</f>
        <v>71.099999999999994</v>
      </c>
      <c r="P284" s="913">
        <f>'matrik MISI 4'!U94</f>
        <v>72.8</v>
      </c>
      <c r="Q284" s="913">
        <f>'matrik MISI 4'!V94</f>
        <v>74.5</v>
      </c>
      <c r="R284" s="913">
        <f>'matrik MISI 4'!W94</f>
        <v>74.5</v>
      </c>
    </row>
    <row r="285" spans="2:18" ht="31.5">
      <c r="B285" s="914"/>
      <c r="C285" s="70"/>
      <c r="D285" s="70"/>
      <c r="E285" s="70"/>
      <c r="F285" s="70"/>
      <c r="G285" s="70"/>
      <c r="H285" s="70"/>
      <c r="I285" s="2" t="str">
        <f>'matrik MISI 4'!N95</f>
        <v xml:space="preserve">Cakupan kualifikasi akademik Kepala SD/MI. </v>
      </c>
      <c r="J285" s="913" t="str">
        <f>'matrik MISI 4'!O95</f>
        <v>%</v>
      </c>
      <c r="K285" s="913">
        <f>'matrik MISI 4'!P95</f>
        <v>82.96</v>
      </c>
      <c r="L285" s="913">
        <f>'matrik MISI 4'!Q95</f>
        <v>83</v>
      </c>
      <c r="M285" s="913">
        <f>'matrik MISI 4'!R95</f>
        <v>84.2</v>
      </c>
      <c r="N285" s="913">
        <f>'matrik MISI 4'!S95</f>
        <v>85.4</v>
      </c>
      <c r="O285" s="913">
        <f>'matrik MISI 4'!T95</f>
        <v>86.6</v>
      </c>
      <c r="P285" s="913">
        <f>'matrik MISI 4'!U95</f>
        <v>87.8</v>
      </c>
      <c r="Q285" s="913">
        <f>'matrik MISI 4'!V95</f>
        <v>89</v>
      </c>
      <c r="R285" s="913">
        <f>'matrik MISI 4'!W95</f>
        <v>89</v>
      </c>
    </row>
    <row r="286" spans="2:18" ht="31.5">
      <c r="B286" s="914"/>
      <c r="C286" s="70"/>
      <c r="D286" s="70"/>
      <c r="E286" s="70"/>
      <c r="F286" s="70"/>
      <c r="G286" s="70"/>
      <c r="H286" s="70"/>
      <c r="I286" s="2" t="str">
        <f>'matrik MISI 4'!N96</f>
        <v xml:space="preserve">Cakupan Kualifikasi Akademik Kepala SMP/MTs </v>
      </c>
      <c r="J286" s="913" t="str">
        <f>'matrik MISI 4'!O96</f>
        <v>%</v>
      </c>
      <c r="K286" s="913">
        <f>'matrik MISI 4'!P96</f>
        <v>90.48</v>
      </c>
      <c r="L286" s="913">
        <f>'matrik MISI 4'!Q96</f>
        <v>90.5</v>
      </c>
      <c r="M286" s="913">
        <f>'matrik MISI 4'!R96</f>
        <v>92</v>
      </c>
      <c r="N286" s="913">
        <f>'matrik MISI 4'!S96</f>
        <v>93.5</v>
      </c>
      <c r="O286" s="913">
        <f>'matrik MISI 4'!T96</f>
        <v>95</v>
      </c>
      <c r="P286" s="913">
        <f>'matrik MISI 4'!U96</f>
        <v>96.5</v>
      </c>
      <c r="Q286" s="913">
        <f>'matrik MISI 4'!V96</f>
        <v>98</v>
      </c>
      <c r="R286" s="913">
        <f>'matrik MISI 4'!W96</f>
        <v>98</v>
      </c>
    </row>
    <row r="287" spans="2:18" ht="31.5">
      <c r="B287" s="914"/>
      <c r="C287" s="70"/>
      <c r="D287" s="70"/>
      <c r="E287" s="70"/>
      <c r="F287" s="70"/>
      <c r="G287" s="917"/>
      <c r="H287" s="917"/>
      <c r="I287" s="2" t="str">
        <f>'matrik MISI 4'!N97</f>
        <v>Cakupan Kualifikasi Akademik  pengawas sekolah/Madrasah.</v>
      </c>
      <c r="J287" s="913" t="str">
        <f>'matrik MISI 4'!O97</f>
        <v>%</v>
      </c>
      <c r="K287" s="913">
        <f>'matrik MISI 4'!P97</f>
        <v>100</v>
      </c>
      <c r="L287" s="913">
        <f>'matrik MISI 4'!Q97</f>
        <v>95.92</v>
      </c>
      <c r="M287" s="913">
        <f>'matrik MISI 4'!R97</f>
        <v>95.92</v>
      </c>
      <c r="N287" s="913">
        <f>'matrik MISI 4'!S97</f>
        <v>95.92</v>
      </c>
      <c r="O287" s="913">
        <f>'matrik MISI 4'!T97</f>
        <v>95.92</v>
      </c>
      <c r="P287" s="913">
        <f>'matrik MISI 4'!U97</f>
        <v>95.92</v>
      </c>
      <c r="Q287" s="913">
        <f>'matrik MISI 4'!V97</f>
        <v>95.92</v>
      </c>
      <c r="R287" s="913">
        <f>'matrik MISI 4'!W97</f>
        <v>95.92</v>
      </c>
    </row>
    <row r="288" spans="2:18" ht="31.5">
      <c r="B288" s="914"/>
      <c r="C288" s="70"/>
      <c r="D288" s="70"/>
      <c r="E288" s="70"/>
      <c r="F288" s="70"/>
      <c r="G288" s="916">
        <f>'matrik MISI 4'!E98</f>
        <v>12</v>
      </c>
      <c r="H288" s="916" t="str">
        <f>'matrik MISI 4'!F98</f>
        <v>Meningkatnya Profesionalisme Pendidik</v>
      </c>
      <c r="I288" s="2" t="str">
        <f>'matrik MISI 4'!N99</f>
        <v xml:space="preserve">Persentase Pendidik TK/RA yang memiliki sertifikat pendidik </v>
      </c>
      <c r="J288" s="913" t="str">
        <f>'matrik MISI 4'!O99</f>
        <v>%</v>
      </c>
      <c r="K288" s="913">
        <f>'matrik MISI 4'!P99</f>
        <v>3.13</v>
      </c>
      <c r="L288" s="913">
        <f>'matrik MISI 4'!Q99</f>
        <v>3.23</v>
      </c>
      <c r="M288" s="913">
        <f>'matrik MISI 4'!R99</f>
        <v>3.33</v>
      </c>
      <c r="N288" s="913">
        <f>'matrik MISI 4'!S99</f>
        <v>3.43</v>
      </c>
      <c r="O288" s="913">
        <f>'matrik MISI 4'!T99</f>
        <v>3.53</v>
      </c>
      <c r="P288" s="913">
        <f>'matrik MISI 4'!U99</f>
        <v>3.63</v>
      </c>
      <c r="Q288" s="913">
        <f>'matrik MISI 4'!V99</f>
        <v>3.73</v>
      </c>
      <c r="R288" s="913">
        <f>'matrik MISI 4'!W99</f>
        <v>3.73</v>
      </c>
    </row>
    <row r="289" spans="2:18" ht="31.5">
      <c r="B289" s="914"/>
      <c r="C289" s="70"/>
      <c r="D289" s="70"/>
      <c r="E289" s="70"/>
      <c r="F289" s="70"/>
      <c r="G289" s="70"/>
      <c r="H289" s="70"/>
      <c r="I289" s="2" t="str">
        <f>'matrik MISI 4'!N100</f>
        <v xml:space="preserve">Persentase Pendidik SD/MI yang memiliki sertifikat pendidik </v>
      </c>
      <c r="J289" s="913" t="str">
        <f>'matrik MISI 4'!O100</f>
        <v>%</v>
      </c>
      <c r="K289" s="913">
        <f>'matrik MISI 4'!P100</f>
        <v>30.8</v>
      </c>
      <c r="L289" s="913">
        <f>'matrik MISI 4'!Q100</f>
        <v>30.9</v>
      </c>
      <c r="M289" s="913">
        <f>'matrik MISI 4'!R100</f>
        <v>31</v>
      </c>
      <c r="N289" s="913">
        <f>'matrik MISI 4'!S100</f>
        <v>31.1</v>
      </c>
      <c r="O289" s="913">
        <f>'matrik MISI 4'!T100</f>
        <v>31.2</v>
      </c>
      <c r="P289" s="913">
        <f>'matrik MISI 4'!U100</f>
        <v>31.3</v>
      </c>
      <c r="Q289" s="913">
        <f>'matrik MISI 4'!V100</f>
        <v>31.4</v>
      </c>
      <c r="R289" s="913">
        <f>'matrik MISI 4'!W100</f>
        <v>31.4</v>
      </c>
    </row>
    <row r="290" spans="2:18" ht="31.5">
      <c r="B290" s="914"/>
      <c r="C290" s="70"/>
      <c r="D290" s="70"/>
      <c r="E290" s="70"/>
      <c r="F290" s="70"/>
      <c r="G290" s="70"/>
      <c r="H290" s="70"/>
      <c r="I290" s="2" t="str">
        <f>'matrik MISI 4'!N101</f>
        <v xml:space="preserve">Persentase Pendidik SMP/MTs yang memiliki sertifikat pendidik </v>
      </c>
      <c r="J290" s="913" t="str">
        <f>'matrik MISI 4'!O101</f>
        <v>%</v>
      </c>
      <c r="K290" s="913">
        <f>'matrik MISI 4'!P101</f>
        <v>50.09</v>
      </c>
      <c r="L290" s="913">
        <f>'matrik MISI 4'!Q101</f>
        <v>5019</v>
      </c>
      <c r="M290" s="913">
        <f>'matrik MISI 4'!R101</f>
        <v>50.29</v>
      </c>
      <c r="N290" s="913">
        <f>'matrik MISI 4'!S101</f>
        <v>50.39</v>
      </c>
      <c r="O290" s="913">
        <f>'matrik MISI 4'!T101</f>
        <v>50.49</v>
      </c>
      <c r="P290" s="913" t="str">
        <f>'matrik MISI 4'!U101</f>
        <v>50..59</v>
      </c>
      <c r="Q290" s="913">
        <f>'matrik MISI 4'!V101</f>
        <v>50.69</v>
      </c>
      <c r="R290" s="913">
        <f>'matrik MISI 4'!W101</f>
        <v>50.69</v>
      </c>
    </row>
    <row r="291" spans="2:18" ht="31.5">
      <c r="B291" s="914"/>
      <c r="C291" s="70"/>
      <c r="D291" s="70"/>
      <c r="E291" s="70"/>
      <c r="F291" s="70"/>
      <c r="G291" s="70"/>
      <c r="H291" s="70"/>
      <c r="I291" s="2" t="str">
        <f>'matrik MISI 4'!N102</f>
        <v xml:space="preserve">Persentase Pendidik SMA/MA yang memiliki sertifikat pendidik </v>
      </c>
      <c r="J291" s="913" t="str">
        <f>'matrik MISI 4'!O102</f>
        <v>%</v>
      </c>
      <c r="K291" s="913">
        <f>'matrik MISI 4'!P102</f>
        <v>44.79</v>
      </c>
      <c r="L291" s="913">
        <f>'matrik MISI 4'!Q102</f>
        <v>44.89</v>
      </c>
      <c r="M291" s="913">
        <f>'matrik MISI 4'!R102</f>
        <v>44.99</v>
      </c>
      <c r="N291" s="913">
        <f>'matrik MISI 4'!S102</f>
        <v>45.09</v>
      </c>
      <c r="O291" s="913">
        <f>'matrik MISI 4'!T102</f>
        <v>45.19</v>
      </c>
      <c r="P291" s="913">
        <f>'matrik MISI 4'!U102</f>
        <v>45.29</v>
      </c>
      <c r="Q291" s="913">
        <f>'matrik MISI 4'!V102</f>
        <v>45.39</v>
      </c>
      <c r="R291" s="913">
        <f>'matrik MISI 4'!W102</f>
        <v>45.39</v>
      </c>
    </row>
    <row r="292" spans="2:18" ht="31.5">
      <c r="B292" s="914"/>
      <c r="C292" s="70"/>
      <c r="D292" s="70"/>
      <c r="E292" s="70"/>
      <c r="F292" s="70"/>
      <c r="G292" s="917"/>
      <c r="H292" s="917"/>
      <c r="I292" s="2" t="str">
        <f>'matrik MISI 4'!N103</f>
        <v xml:space="preserve">Persentase Pendidik SMK yang memiliki sertifikat pendidik </v>
      </c>
      <c r="J292" s="913" t="str">
        <f>'matrik MISI 4'!O103</f>
        <v>%</v>
      </c>
      <c r="K292" s="913">
        <f>'matrik MISI 4'!P103</f>
        <v>44.79</v>
      </c>
      <c r="L292" s="913">
        <f>'matrik MISI 4'!Q103</f>
        <v>44.89</v>
      </c>
      <c r="M292" s="913">
        <f>'matrik MISI 4'!R103</f>
        <v>44.99</v>
      </c>
      <c r="N292" s="913">
        <f>'matrik MISI 4'!S103</f>
        <v>45.09</v>
      </c>
      <c r="O292" s="913">
        <f>'matrik MISI 4'!T103</f>
        <v>45.19</v>
      </c>
      <c r="P292" s="913">
        <f>'matrik MISI 4'!U103</f>
        <v>45.29</v>
      </c>
      <c r="Q292" s="913">
        <f>'matrik MISI 4'!V103</f>
        <v>45.39</v>
      </c>
      <c r="R292" s="913">
        <f>'matrik MISI 4'!W103</f>
        <v>45.39</v>
      </c>
    </row>
    <row r="293" spans="2:18" ht="31.5">
      <c r="B293" s="914"/>
      <c r="C293" s="70"/>
      <c r="D293" s="70"/>
      <c r="E293" s="70"/>
      <c r="F293" s="70"/>
      <c r="G293" s="916">
        <f>'matrik MISI 4'!E104</f>
        <v>13</v>
      </c>
      <c r="H293" s="916" t="str">
        <f>'matrik MISI 4'!F104</f>
        <v>Terpenuhinya Kebutuhan Tenaga Kependidikan</v>
      </c>
      <c r="I293" s="2" t="str">
        <f>'matrik MISI 4'!N105</f>
        <v>Besaran Pegawai Administrasi Sekolah</v>
      </c>
      <c r="J293" s="913" t="str">
        <f>'matrik MISI 4'!O105</f>
        <v>Orang</v>
      </c>
      <c r="K293" s="913">
        <f>'matrik MISI 4'!P105</f>
        <v>181</v>
      </c>
      <c r="L293" s="913">
        <f>'matrik MISI 4'!Q105</f>
        <v>181</v>
      </c>
      <c r="M293" s="913">
        <f>'matrik MISI 4'!R105</f>
        <v>181</v>
      </c>
      <c r="N293" s="913">
        <f>'matrik MISI 4'!S105</f>
        <v>181</v>
      </c>
      <c r="O293" s="913">
        <f>'matrik MISI 4'!T105</f>
        <v>181</v>
      </c>
      <c r="P293" s="913">
        <f>'matrik MISI 4'!U105</f>
        <v>181</v>
      </c>
      <c r="Q293" s="913">
        <f>'matrik MISI 4'!V105</f>
        <v>181</v>
      </c>
      <c r="R293" s="913">
        <f>'matrik MISI 4'!W105</f>
        <v>181</v>
      </c>
    </row>
    <row r="294" spans="2:18" ht="31.5">
      <c r="B294" s="914"/>
      <c r="C294" s="70"/>
      <c r="D294" s="70"/>
      <c r="E294" s="70"/>
      <c r="F294" s="70"/>
      <c r="G294" s="70"/>
      <c r="H294" s="70"/>
      <c r="I294" s="2" t="str">
        <f>'matrik MISI 4'!N106</f>
        <v>Besaran Penilik Pendidikan Nonformal</v>
      </c>
      <c r="J294" s="913" t="str">
        <f>'matrik MISI 4'!O106</f>
        <v>Orang</v>
      </c>
      <c r="K294" s="913">
        <f>'matrik MISI 4'!P106</f>
        <v>18</v>
      </c>
      <c r="L294" s="913">
        <f>'matrik MISI 4'!Q106</f>
        <v>18</v>
      </c>
      <c r="M294" s="913">
        <f>'matrik MISI 4'!R106</f>
        <v>18</v>
      </c>
      <c r="N294" s="913">
        <f>'matrik MISI 4'!S106</f>
        <v>18</v>
      </c>
      <c r="O294" s="913">
        <f>'matrik MISI 4'!T106</f>
        <v>18</v>
      </c>
      <c r="P294" s="913">
        <f>'matrik MISI 4'!U106</f>
        <v>18</v>
      </c>
      <c r="Q294" s="913">
        <f>'matrik MISI 4'!V106</f>
        <v>20</v>
      </c>
      <c r="R294" s="913">
        <f>'matrik MISI 4'!W106</f>
        <v>20</v>
      </c>
    </row>
    <row r="295" spans="2:18">
      <c r="B295" s="914"/>
      <c r="C295" s="70"/>
      <c r="D295" s="70"/>
      <c r="E295" s="70"/>
      <c r="F295" s="70"/>
      <c r="G295" s="70"/>
      <c r="H295" s="70"/>
      <c r="I295" s="2" t="str">
        <f>'matrik MISI 4'!N107</f>
        <v>Rasio Pengawas Sekolah</v>
      </c>
      <c r="J295" s="913" t="str">
        <f>'matrik MISI 4'!O107</f>
        <v>Rasio</v>
      </c>
      <c r="K295" s="913" t="str">
        <f>'matrik MISI 4'!P107</f>
        <v>1 ; 17</v>
      </c>
      <c r="L295" s="913" t="str">
        <f>'matrik MISI 4'!Q107</f>
        <v>1 ; 17</v>
      </c>
      <c r="M295" s="913" t="str">
        <f>'matrik MISI 4'!R107</f>
        <v>1 ; 17</v>
      </c>
      <c r="N295" s="913" t="str">
        <f>'matrik MISI 4'!S107</f>
        <v>1 ; 17</v>
      </c>
      <c r="O295" s="913" t="str">
        <f>'matrik MISI 4'!T107</f>
        <v>1 ; 17</v>
      </c>
      <c r="P295" s="913" t="str">
        <f>'matrik MISI 4'!U107</f>
        <v>1 ; 17</v>
      </c>
      <c r="Q295" s="913" t="str">
        <f>'matrik MISI 4'!V107</f>
        <v>1 ; 17</v>
      </c>
      <c r="R295" s="913" t="str">
        <f>'matrik MISI 4'!W107</f>
        <v>1 ; 17</v>
      </c>
    </row>
    <row r="296" spans="2:18">
      <c r="B296" s="914"/>
      <c r="C296" s="70"/>
      <c r="D296" s="70"/>
      <c r="E296" s="917"/>
      <c r="F296" s="917"/>
      <c r="G296" s="917"/>
      <c r="H296" s="917"/>
      <c r="I296" s="2" t="str">
        <f>'matrik MISI 4'!N108</f>
        <v>Besaran Pamong Belajar</v>
      </c>
      <c r="J296" s="913" t="str">
        <f>'matrik MISI 4'!O108</f>
        <v>Orang</v>
      </c>
      <c r="K296" s="913">
        <f>'matrik MISI 4'!P108</f>
        <v>3</v>
      </c>
      <c r="L296" s="913">
        <f>'matrik MISI 4'!Q108</f>
        <v>3</v>
      </c>
      <c r="M296" s="913">
        <f>'matrik MISI 4'!R108</f>
        <v>3</v>
      </c>
      <c r="N296" s="913">
        <f>'matrik MISI 4'!S108</f>
        <v>4</v>
      </c>
      <c r="O296" s="913">
        <f>'matrik MISI 4'!T108</f>
        <v>4</v>
      </c>
      <c r="P296" s="913">
        <f>'matrik MISI 4'!U108</f>
        <v>5</v>
      </c>
      <c r="Q296" s="913">
        <f>'matrik MISI 4'!V108</f>
        <v>5</v>
      </c>
      <c r="R296" s="913">
        <f>'matrik MISI 4'!W108</f>
        <v>6</v>
      </c>
    </row>
    <row r="297" spans="2:18" ht="47.25">
      <c r="B297" s="914"/>
      <c r="C297" s="70"/>
      <c r="D297" s="70"/>
      <c r="E297" s="916">
        <f>'matrik MISI 4'!C109</f>
        <v>5</v>
      </c>
      <c r="F297" s="916" t="str">
        <f>'matrik MISI 4'!D109</f>
        <v>Meningkatkan Sarana dan Prasarana Pendidikan</v>
      </c>
      <c r="G297" s="916">
        <f>'matrik MISI 4'!E109</f>
        <v>14</v>
      </c>
      <c r="H297" s="916" t="str">
        <f>'matrik MISI 4'!F109</f>
        <v>Meningkatnya Sarana dan Prasarana Pendidikan Anak Usia Dini</v>
      </c>
      <c r="I297" s="2" t="str">
        <f>'matrik MISI 4'!N110</f>
        <v>Persentase ruang belajar beserta perlengkapannya TK/RA yang kondisinya baik</v>
      </c>
      <c r="J297" s="913" t="str">
        <f>'matrik MISI 4'!O110</f>
        <v>%</v>
      </c>
      <c r="K297" s="913">
        <f>'matrik MISI 4'!P110</f>
        <v>86.45</v>
      </c>
      <c r="L297" s="913">
        <f>'matrik MISI 4'!Q110</f>
        <v>86.84</v>
      </c>
      <c r="M297" s="913">
        <f>'matrik MISI 4'!R110</f>
        <v>87.23</v>
      </c>
      <c r="N297" s="913">
        <f>'matrik MISI 4'!S110</f>
        <v>87.62</v>
      </c>
      <c r="O297" s="913">
        <f>'matrik MISI 4'!T110</f>
        <v>88.01</v>
      </c>
      <c r="P297" s="913">
        <f>'matrik MISI 4'!U110</f>
        <v>88.4</v>
      </c>
      <c r="Q297" s="913">
        <f>'matrik MISI 4'!V110</f>
        <v>88.79</v>
      </c>
      <c r="R297" s="913">
        <f>'matrik MISI 4'!W110</f>
        <v>88.79</v>
      </c>
    </row>
    <row r="298" spans="2:18" ht="31.5">
      <c r="B298" s="914"/>
      <c r="C298" s="70"/>
      <c r="D298" s="70"/>
      <c r="E298" s="70"/>
      <c r="F298" s="70"/>
      <c r="G298" s="70"/>
      <c r="H298" s="70"/>
      <c r="I298" s="2" t="str">
        <f>'matrik MISI 4'!N111</f>
        <v>Persentase TK/RA yang memiliki buku teks pembelajaran</v>
      </c>
      <c r="J298" s="913" t="str">
        <f>'matrik MISI 4'!O111</f>
        <v>%</v>
      </c>
      <c r="K298" s="913">
        <f>'matrik MISI 4'!P111</f>
        <v>85</v>
      </c>
      <c r="L298" s="913">
        <f>'matrik MISI 4'!Q111</f>
        <v>85.41</v>
      </c>
      <c r="M298" s="913">
        <f>'matrik MISI 4'!R111</f>
        <v>85.82</v>
      </c>
      <c r="N298" s="913">
        <f>'matrik MISI 4'!S111</f>
        <v>86.24</v>
      </c>
      <c r="O298" s="913">
        <f>'matrik MISI 4'!T111</f>
        <v>86.65</v>
      </c>
      <c r="P298" s="913">
        <f>'matrik MISI 4'!U111</f>
        <v>87.06</v>
      </c>
      <c r="Q298" s="913">
        <f>'matrik MISI 4'!V111</f>
        <v>87.47</v>
      </c>
      <c r="R298" s="913">
        <f>'matrik MISI 4'!W111</f>
        <v>87.47</v>
      </c>
    </row>
    <row r="299" spans="2:18" ht="47.25">
      <c r="B299" s="914"/>
      <c r="C299" s="70"/>
      <c r="D299" s="70"/>
      <c r="E299" s="70"/>
      <c r="F299" s="70"/>
      <c r="G299" s="70"/>
      <c r="H299" s="70"/>
      <c r="I299" s="2" t="str">
        <f>'matrik MISI 4'!N112</f>
        <v>Persentase TK/RA yang memiliki ruang kesehatan dan perlengkapannya</v>
      </c>
      <c r="J299" s="913" t="str">
        <f>'matrik MISI 4'!O112</f>
        <v>%</v>
      </c>
      <c r="K299" s="913">
        <f>'matrik MISI 4'!P112</f>
        <v>23.66</v>
      </c>
      <c r="L299" s="913">
        <f>'matrik MISI 4'!Q112</f>
        <v>24.08</v>
      </c>
      <c r="M299" s="913">
        <f>'matrik MISI 4'!R112</f>
        <v>25.11</v>
      </c>
      <c r="N299" s="913">
        <f>'matrik MISI 4'!S112</f>
        <v>26.14</v>
      </c>
      <c r="O299" s="913">
        <f>'matrik MISI 4'!T112</f>
        <v>27.17</v>
      </c>
      <c r="P299" s="913">
        <f>'matrik MISI 4'!U112</f>
        <v>28.19</v>
      </c>
      <c r="Q299" s="913">
        <f>'matrik MISI 4'!V112</f>
        <v>29.22</v>
      </c>
      <c r="R299" s="913">
        <f>'matrik MISI 4'!W112</f>
        <v>29.22</v>
      </c>
    </row>
    <row r="300" spans="2:18" ht="47.25">
      <c r="B300" s="914"/>
      <c r="C300" s="70"/>
      <c r="D300" s="70"/>
      <c r="E300" s="70"/>
      <c r="F300" s="70"/>
      <c r="G300" s="70"/>
      <c r="H300" s="70"/>
      <c r="I300" s="2" t="str">
        <f>'matrik MISI 4'!N113</f>
        <v>Persentase TK/RA yang memiliki alat permainan edukatif dalam ruang</v>
      </c>
      <c r="J300" s="913" t="str">
        <f>'matrik MISI 4'!O113</f>
        <v>%</v>
      </c>
      <c r="K300" s="913">
        <f>'matrik MISI 4'!P113</f>
        <v>85</v>
      </c>
      <c r="L300" s="913">
        <f>'matrik MISI 4'!Q113</f>
        <v>85.41</v>
      </c>
      <c r="M300" s="913">
        <f>'matrik MISI 4'!R113</f>
        <v>85.82</v>
      </c>
      <c r="N300" s="913">
        <f>'matrik MISI 4'!S113</f>
        <v>86.24</v>
      </c>
      <c r="O300" s="913">
        <f>'matrik MISI 4'!T113</f>
        <v>86.65</v>
      </c>
      <c r="P300" s="913">
        <f>'matrik MISI 4'!U113</f>
        <v>87.06</v>
      </c>
      <c r="Q300" s="913">
        <f>'matrik MISI 4'!V113</f>
        <v>88.747</v>
      </c>
      <c r="R300" s="913">
        <f>'matrik MISI 4'!W113</f>
        <v>88.75</v>
      </c>
    </row>
    <row r="301" spans="2:18" ht="31.5">
      <c r="B301" s="914"/>
      <c r="C301" s="70"/>
      <c r="D301" s="70"/>
      <c r="E301" s="70"/>
      <c r="F301" s="70"/>
      <c r="G301" s="917"/>
      <c r="H301" s="917"/>
      <c r="I301" s="2" t="str">
        <f>'matrik MISI 4'!N114</f>
        <v>Persentase TK/RA yang memiliki alat permainan edukatif luar ruang</v>
      </c>
      <c r="J301" s="913" t="str">
        <f>'matrik MISI 4'!O114</f>
        <v>%</v>
      </c>
      <c r="K301" s="913">
        <f>'matrik MISI 4'!P114</f>
        <v>85</v>
      </c>
      <c r="L301" s="913">
        <f>'matrik MISI 4'!Q114</f>
        <v>85.41</v>
      </c>
      <c r="M301" s="913">
        <f>'matrik MISI 4'!R114</f>
        <v>85.82</v>
      </c>
      <c r="N301" s="913">
        <f>'matrik MISI 4'!S114</f>
        <v>86.24</v>
      </c>
      <c r="O301" s="913">
        <f>'matrik MISI 4'!T114</f>
        <v>86.65</v>
      </c>
      <c r="P301" s="913">
        <f>'matrik MISI 4'!U114</f>
        <v>87.06</v>
      </c>
      <c r="Q301" s="913">
        <f>'matrik MISI 4'!V114</f>
        <v>87.47</v>
      </c>
      <c r="R301" s="913">
        <f>'matrik MISI 4'!W114</f>
        <v>87.47</v>
      </c>
    </row>
    <row r="302" spans="2:18" ht="31.5">
      <c r="B302" s="914"/>
      <c r="C302" s="70"/>
      <c r="D302" s="70"/>
      <c r="E302" s="70"/>
      <c r="F302" s="70"/>
      <c r="G302" s="916">
        <f>'matrik MISI 4'!E115</f>
        <v>15</v>
      </c>
      <c r="H302" s="916" t="str">
        <f>'matrik MISI 4'!F115</f>
        <v>Meningkatnya Sarana dan Prasarana Pendidikan Dasar</v>
      </c>
      <c r="I302" s="2" t="str">
        <f>'matrik MISI 4'!N116</f>
        <v>Persentase Ruang Kelas SD/MI yang Kondisinya Baik</v>
      </c>
      <c r="J302" s="913" t="str">
        <f>'matrik MISI 4'!O116</f>
        <v>%</v>
      </c>
      <c r="K302" s="913">
        <f>'matrik MISI 4'!P116</f>
        <v>85.008469791078483</v>
      </c>
      <c r="L302" s="913">
        <f>'matrik MISI 4'!Q116</f>
        <v>86.42</v>
      </c>
      <c r="M302" s="913">
        <f>'matrik MISI 4'!R116</f>
        <v>87.83</v>
      </c>
      <c r="N302" s="913">
        <f>'matrik MISI 4'!S116</f>
        <v>89.25</v>
      </c>
      <c r="O302" s="913">
        <f>'matrik MISI 4'!T116</f>
        <v>90.66</v>
      </c>
      <c r="P302" s="913">
        <f>'matrik MISI 4'!U116</f>
        <v>92.07</v>
      </c>
      <c r="Q302" s="913">
        <f>'matrik MISI 4'!V116</f>
        <v>93.48</v>
      </c>
      <c r="R302" s="913">
        <f>'matrik MISI 4'!W116</f>
        <v>93.48</v>
      </c>
    </row>
    <row r="303" spans="2:18" ht="31.5">
      <c r="B303" s="914"/>
      <c r="C303" s="70"/>
      <c r="D303" s="70"/>
      <c r="E303" s="70"/>
      <c r="F303" s="70"/>
      <c r="G303" s="70"/>
      <c r="H303" s="70"/>
      <c r="I303" s="2" t="str">
        <f>'matrik MISI 4'!N117</f>
        <v>Persentase Ruang Kelas SMP yang Kondisinya Baik</v>
      </c>
      <c r="J303" s="913" t="str">
        <f>'matrik MISI 4'!O117</f>
        <v>%</v>
      </c>
      <c r="K303" s="913">
        <f>'matrik MISI 4'!P117</f>
        <v>87.352941176470594</v>
      </c>
      <c r="L303" s="913">
        <f>'matrik MISI 4'!Q117</f>
        <v>88.33</v>
      </c>
      <c r="M303" s="913">
        <f>'matrik MISI 4'!R117</f>
        <v>89.31</v>
      </c>
      <c r="N303" s="913">
        <f>'matrik MISI 4'!S117</f>
        <v>90.29</v>
      </c>
      <c r="O303" s="913">
        <f>'matrik MISI 4'!T117</f>
        <v>91.27</v>
      </c>
      <c r="P303" s="913">
        <f>'matrik MISI 4'!U117</f>
        <v>92.25</v>
      </c>
      <c r="Q303" s="913">
        <f>'matrik MISI 4'!V117</f>
        <v>93.23</v>
      </c>
      <c r="R303" s="913">
        <f>'matrik MISI 4'!W117</f>
        <v>93.23</v>
      </c>
    </row>
    <row r="304" spans="2:18" ht="47.25">
      <c r="B304" s="914"/>
      <c r="C304" s="70"/>
      <c r="D304" s="70"/>
      <c r="E304" s="70"/>
      <c r="F304" s="70"/>
      <c r="G304" s="70"/>
      <c r="H304" s="70"/>
      <c r="I304" s="2" t="str">
        <f>'matrik MISI 4'!N118</f>
        <v>Persentase SD/MI yang Memiliki Sarana dan Prasarana sesuai dengan Standar Sarana Prasarana</v>
      </c>
      <c r="J304" s="913" t="str">
        <f>'matrik MISI 4'!O118</f>
        <v>%</v>
      </c>
      <c r="K304" s="913">
        <f>'matrik MISI 4'!P118</f>
        <v>60</v>
      </c>
      <c r="L304" s="913">
        <f>'matrik MISI 4'!Q118</f>
        <v>61.75</v>
      </c>
      <c r="M304" s="913">
        <f>'matrik MISI 4'!R118</f>
        <v>63.5</v>
      </c>
      <c r="N304" s="913">
        <f>'matrik MISI 4'!S118</f>
        <v>65.239999999999995</v>
      </c>
      <c r="O304" s="913">
        <f>'matrik MISI 4'!T118</f>
        <v>66.989999999999995</v>
      </c>
      <c r="P304" s="913">
        <f>'matrik MISI 4'!U118</f>
        <v>68.739999999999995</v>
      </c>
      <c r="Q304" s="913">
        <f>'matrik MISI 4'!V118</f>
        <v>70.489999999999995</v>
      </c>
      <c r="R304" s="913">
        <f>'matrik MISI 4'!W118</f>
        <v>70.489999999999995</v>
      </c>
    </row>
    <row r="305" spans="2:18" ht="63">
      <c r="B305" s="914"/>
      <c r="C305" s="70"/>
      <c r="D305" s="70"/>
      <c r="E305" s="70"/>
      <c r="F305" s="70"/>
      <c r="G305" s="70"/>
      <c r="H305" s="70"/>
      <c r="I305" s="2" t="str">
        <f>'matrik MISI 4'!N119</f>
        <v>Persentase SMP/MTs yang Memiliki Sarana dan Prasarana sesuai dengan Standar Sarana Prasarana</v>
      </c>
      <c r="J305" s="913" t="str">
        <f>'matrik MISI 4'!O119</f>
        <v>%</v>
      </c>
      <c r="K305" s="913">
        <f>'matrik MISI 4'!P119</f>
        <v>75.239999999999995</v>
      </c>
      <c r="L305" s="913">
        <f>'matrik MISI 4'!Q119</f>
        <v>76.19</v>
      </c>
      <c r="M305" s="913">
        <f>'matrik MISI 4'!R119</f>
        <v>77.14</v>
      </c>
      <c r="N305" s="913">
        <f>'matrik MISI 4'!S119</f>
        <v>78.09</v>
      </c>
      <c r="O305" s="913">
        <f>'matrik MISI 4'!T119</f>
        <v>79.040000000000006</v>
      </c>
      <c r="P305" s="913">
        <f>'matrik MISI 4'!U119</f>
        <v>79.989999999999995</v>
      </c>
      <c r="Q305" s="913" t="str">
        <f>'matrik MISI 4'!V119</f>
        <v>80..94</v>
      </c>
      <c r="R305" s="913" t="str">
        <f>'matrik MISI 4'!W119</f>
        <v>80..94</v>
      </c>
    </row>
    <row r="306" spans="2:18" ht="78.75">
      <c r="B306" s="914"/>
      <c r="C306" s="70"/>
      <c r="D306" s="70"/>
      <c r="E306" s="70"/>
      <c r="F306" s="70"/>
      <c r="G306" s="70"/>
      <c r="H306" s="70"/>
      <c r="I306" s="2" t="str">
        <f>'matrik MISI 4'!N120</f>
        <v>Cakupan keterjangkauan  satuan pendidikan SD/MI dan6 km untuk SMP/MTs dari kelompok permukiman permanen di daerah terpencil</v>
      </c>
      <c r="J306" s="913" t="str">
        <f>'matrik MISI 4'!O120</f>
        <v>%</v>
      </c>
      <c r="K306" s="913">
        <f>'matrik MISI 4'!P120</f>
        <v>100</v>
      </c>
      <c r="L306" s="913">
        <f>'matrik MISI 4'!Q120</f>
        <v>100</v>
      </c>
      <c r="M306" s="913">
        <f>'matrik MISI 4'!R120</f>
        <v>100</v>
      </c>
      <c r="N306" s="913">
        <f>'matrik MISI 4'!S120</f>
        <v>100</v>
      </c>
      <c r="O306" s="913">
        <f>'matrik MISI 4'!T120</f>
        <v>100</v>
      </c>
      <c r="P306" s="913">
        <f>'matrik MISI 4'!U120</f>
        <v>100</v>
      </c>
      <c r="Q306" s="913">
        <f>'matrik MISI 4'!V120</f>
        <v>100</v>
      </c>
      <c r="R306" s="913">
        <f>'matrik MISI 4'!W120</f>
        <v>100</v>
      </c>
    </row>
    <row r="307" spans="2:18" ht="47.25">
      <c r="B307" s="914"/>
      <c r="C307" s="70"/>
      <c r="D307" s="70"/>
      <c r="E307" s="70"/>
      <c r="F307" s="70"/>
      <c r="G307" s="70"/>
      <c r="H307" s="70"/>
      <c r="I307" s="2" t="str">
        <f>'matrik MISI 4'!N121</f>
        <v>Cakupan ketersediaan Sarana prasarana kelas (SD/MI dan SMP/MTs)</v>
      </c>
      <c r="J307" s="913" t="str">
        <f>'matrik MISI 4'!O121</f>
        <v>%</v>
      </c>
      <c r="K307" s="913">
        <f>'matrik MISI 4'!P121</f>
        <v>86.69</v>
      </c>
      <c r="L307" s="913">
        <f>'matrik MISI 4'!Q121</f>
        <v>86.98</v>
      </c>
      <c r="M307" s="913">
        <f>'matrik MISI 4'!R121</f>
        <v>87.28</v>
      </c>
      <c r="N307" s="913">
        <f>'matrik MISI 4'!S121</f>
        <v>87.57</v>
      </c>
      <c r="O307" s="913">
        <f>'matrik MISI 4'!T121</f>
        <v>87.87</v>
      </c>
      <c r="P307" s="913">
        <f>'matrik MISI 4'!U121</f>
        <v>88.16</v>
      </c>
      <c r="Q307" s="913">
        <f>'matrik MISI 4'!V121</f>
        <v>88.45</v>
      </c>
      <c r="R307" s="913">
        <f>'matrik MISI 4'!W121</f>
        <v>88.45</v>
      </c>
    </row>
    <row r="308" spans="2:18" ht="31.5">
      <c r="B308" s="914"/>
      <c r="C308" s="70"/>
      <c r="D308" s="70"/>
      <c r="E308" s="70"/>
      <c r="F308" s="70"/>
      <c r="G308" s="70"/>
      <c r="H308" s="70"/>
      <c r="I308" s="2" t="str">
        <f>'matrik MISI 4'!N122</f>
        <v xml:space="preserve">Cakupan ketersediaan laboratorium IPA SMP dan MTs </v>
      </c>
      <c r="J308" s="913" t="str">
        <f>'matrik MISI 4'!O122</f>
        <v>%</v>
      </c>
      <c r="K308" s="913">
        <f>'matrik MISI 4'!P122</f>
        <v>70</v>
      </c>
      <c r="L308" s="913">
        <f>'matrik MISI 4'!Q122</f>
        <v>71.900000000000006</v>
      </c>
      <c r="M308" s="913">
        <f>'matrik MISI 4'!R122</f>
        <v>73.81</v>
      </c>
      <c r="N308" s="913">
        <f>'matrik MISI 4'!S122</f>
        <v>75.709999999999994</v>
      </c>
      <c r="O308" s="913">
        <f>'matrik MISI 4'!T122</f>
        <v>77.62</v>
      </c>
      <c r="P308" s="913">
        <f>'matrik MISI 4'!U122</f>
        <v>79.52</v>
      </c>
      <c r="Q308" s="913">
        <f>'matrik MISI 4'!V122</f>
        <v>81.42</v>
      </c>
      <c r="R308" s="913">
        <f>'matrik MISI 4'!W122</f>
        <v>81.42</v>
      </c>
    </row>
    <row r="309" spans="2:18" ht="31.5">
      <c r="B309" s="914"/>
      <c r="C309" s="70"/>
      <c r="D309" s="70"/>
      <c r="E309" s="70"/>
      <c r="F309" s="70"/>
      <c r="G309" s="917"/>
      <c r="H309" s="917"/>
      <c r="I309" s="2" t="str">
        <f>'matrik MISI 4'!N123</f>
        <v xml:space="preserve">Cakupan Ketersediaan Ruang Guru </v>
      </c>
      <c r="J309" s="913" t="str">
        <f>'matrik MISI 4'!O123</f>
        <v>%</v>
      </c>
      <c r="K309" s="913">
        <f>'matrik MISI 4'!P123</f>
        <v>98.47</v>
      </c>
      <c r="L309" s="913">
        <f>'matrik MISI 4'!Q123</f>
        <v>98.67</v>
      </c>
      <c r="M309" s="913">
        <f>'matrik MISI 4'!R123</f>
        <v>98.97</v>
      </c>
      <c r="N309" s="913">
        <f>'matrik MISI 4'!S123</f>
        <v>99.26</v>
      </c>
      <c r="O309" s="913">
        <f>'matrik MISI 4'!T123</f>
        <v>99.56</v>
      </c>
      <c r="P309" s="913">
        <f>'matrik MISI 4'!U123</f>
        <v>99.85</v>
      </c>
      <c r="Q309" s="913">
        <f>'matrik MISI 4'!V123</f>
        <v>100</v>
      </c>
      <c r="R309" s="913">
        <f>'matrik MISI 4'!W123</f>
        <v>100</v>
      </c>
    </row>
    <row r="310" spans="2:18" ht="31.5">
      <c r="B310" s="914"/>
      <c r="C310" s="70"/>
      <c r="D310" s="70"/>
      <c r="E310" s="70"/>
      <c r="F310" s="70"/>
      <c r="G310" s="916">
        <f>'matrik MISI 4'!E124</f>
        <v>16</v>
      </c>
      <c r="H310" s="916" t="str">
        <f>'matrik MISI 4'!F124</f>
        <v>Meningkatnya Sarana dan Prasarana Pendidikan Menengah</v>
      </c>
      <c r="I310" s="2" t="str">
        <f>'matrik MISI 4'!N125</f>
        <v>Persentase ruang kelas SMA/MA yang kondisinya baik</v>
      </c>
      <c r="J310" s="913" t="str">
        <f>'matrik MISI 4'!O125</f>
        <v>%</v>
      </c>
      <c r="K310" s="913">
        <f>'matrik MISI 4'!P125</f>
        <v>95.3125</v>
      </c>
      <c r="L310" s="913">
        <f>'matrik MISI 4'!Q125</f>
        <v>96.59</v>
      </c>
      <c r="M310" s="913">
        <f>'matrik MISI 4'!R125</f>
        <v>97.37</v>
      </c>
      <c r="N310" s="913">
        <f>'matrik MISI 4'!S125</f>
        <v>98.15</v>
      </c>
      <c r="O310" s="913">
        <f>'matrik MISI 4'!T125</f>
        <v>98.93</v>
      </c>
      <c r="P310" s="913">
        <f>'matrik MISI 4'!U125</f>
        <v>99.71</v>
      </c>
      <c r="Q310" s="913">
        <f>'matrik MISI 4'!V125</f>
        <v>100</v>
      </c>
      <c r="R310" s="913">
        <f>'matrik MISI 4'!W125</f>
        <v>100</v>
      </c>
    </row>
    <row r="311" spans="2:18" ht="31.5">
      <c r="B311" s="914"/>
      <c r="C311" s="70"/>
      <c r="D311" s="70"/>
      <c r="E311" s="70"/>
      <c r="F311" s="70"/>
      <c r="G311" s="70"/>
      <c r="H311" s="70"/>
      <c r="I311" s="2" t="str">
        <f>'matrik MISI 4'!N126</f>
        <v>Persentase ruang kelas SMK yang kondisinya baik</v>
      </c>
      <c r="J311" s="913" t="str">
        <f>'matrik MISI 4'!O126</f>
        <v>%</v>
      </c>
      <c r="K311" s="913">
        <f>'matrik MISI 4'!P126</f>
        <v>98.107255520504737</v>
      </c>
      <c r="L311" s="913">
        <f>'matrik MISI 4'!Q126</f>
        <v>98.75</v>
      </c>
      <c r="M311" s="913">
        <f>'matrik MISI 4'!R126</f>
        <v>99.39</v>
      </c>
      <c r="N311" s="913">
        <f>'matrik MISI 4'!S126</f>
        <v>100</v>
      </c>
      <c r="O311" s="913">
        <f>'matrik MISI 4'!T126</f>
        <v>99.39</v>
      </c>
      <c r="P311" s="913">
        <f>'matrik MISI 4'!U126</f>
        <v>99.39</v>
      </c>
      <c r="Q311" s="913">
        <f>'matrik MISI 4'!V126</f>
        <v>99.39</v>
      </c>
      <c r="R311" s="913">
        <f>'matrik MISI 4'!W126</f>
        <v>99.39</v>
      </c>
    </row>
    <row r="312" spans="2:18" ht="63">
      <c r="B312" s="914"/>
      <c r="C312" s="70"/>
      <c r="D312" s="70"/>
      <c r="E312" s="70"/>
      <c r="F312" s="70"/>
      <c r="G312" s="70"/>
      <c r="H312" s="70"/>
      <c r="I312" s="2" t="str">
        <f>'matrik MISI 4'!N127</f>
        <v>Persentase SMA/MA yang memiliki sarana dan prasarana sesuai dengan standar sarana  prasarana</v>
      </c>
      <c r="J312" s="913" t="str">
        <f>'matrik MISI 4'!O127</f>
        <v>%</v>
      </c>
      <c r="K312" s="913">
        <f>'matrik MISI 4'!P127</f>
        <v>80</v>
      </c>
      <c r="L312" s="913">
        <f>'matrik MISI 4'!Q127</f>
        <v>74.069999999999993</v>
      </c>
      <c r="M312" s="913">
        <f>'matrik MISI 4'!R127</f>
        <v>81.47</v>
      </c>
      <c r="N312" s="913">
        <f>'matrik MISI 4'!S127</f>
        <v>8.8699999999999992</v>
      </c>
      <c r="O312" s="913">
        <f>'matrik MISI 4'!T127</f>
        <v>96.27</v>
      </c>
      <c r="P312" s="913">
        <f>'matrik MISI 4'!U127</f>
        <v>96.27</v>
      </c>
      <c r="Q312" s="913">
        <f>'matrik MISI 4'!V127</f>
        <v>96.27</v>
      </c>
      <c r="R312" s="913">
        <f>'matrik MISI 4'!W127</f>
        <v>96.27</v>
      </c>
    </row>
    <row r="313" spans="2:18" ht="47.25">
      <c r="B313" s="914"/>
      <c r="C313" s="70"/>
      <c r="D313" s="70"/>
      <c r="E313" s="70"/>
      <c r="F313" s="70"/>
      <c r="G313" s="917"/>
      <c r="H313" s="917"/>
      <c r="I313" s="2" t="str">
        <f>'matrik MISI 4'!N128</f>
        <v>Persentase SMK yang memiliki sarana dan prasarana sesuai dengan standar sarana  prasarana</v>
      </c>
      <c r="J313" s="913" t="str">
        <f>'matrik MISI 4'!O128</f>
        <v>%</v>
      </c>
      <c r="K313" s="913">
        <f>'matrik MISI 4'!P128</f>
        <v>80</v>
      </c>
      <c r="L313" s="913">
        <f>'matrik MISI 4'!Q128</f>
        <v>81.819999999999993</v>
      </c>
      <c r="M313" s="913">
        <f>'matrik MISI 4'!R128</f>
        <v>86.37</v>
      </c>
      <c r="N313" s="913">
        <f>'matrik MISI 4'!S128</f>
        <v>90.92</v>
      </c>
      <c r="O313" s="913">
        <f>'matrik MISI 4'!T128</f>
        <v>95.47</v>
      </c>
      <c r="P313" s="913">
        <f>'matrik MISI 4'!U128</f>
        <v>95.47</v>
      </c>
      <c r="Q313" s="913">
        <f>'matrik MISI 4'!V128</f>
        <v>95.47</v>
      </c>
      <c r="R313" s="913">
        <f>'matrik MISI 4'!W128</f>
        <v>95.47</v>
      </c>
    </row>
    <row r="314" spans="2:18" ht="47.25">
      <c r="B314" s="914"/>
      <c r="C314" s="70"/>
      <c r="D314" s="70"/>
      <c r="E314" s="70"/>
      <c r="F314" s="70"/>
      <c r="G314" s="916">
        <f>'matrik MISI 4'!E129</f>
        <v>17</v>
      </c>
      <c r="H314" s="916" t="str">
        <f>'matrik MISI 4'!F129</f>
        <v>Meningkatnya Sarana dan Prasarana Pendidikan Non Formal</v>
      </c>
      <c r="I314" s="2" t="str">
        <f>'matrik MISI 4'!N130</f>
        <v>Persentase lembaga pendidikan nonformal yang memliki ruang belajar beserta perlengkapannya</v>
      </c>
      <c r="J314" s="913" t="str">
        <f>'matrik MISI 4'!O130</f>
        <v>%</v>
      </c>
      <c r="K314" s="913" t="str">
        <f>'matrik MISI 4'!P130</f>
        <v>68,07</v>
      </c>
      <c r="L314" s="913" t="str">
        <f>'matrik MISI 4'!Q130</f>
        <v>69,95</v>
      </c>
      <c r="M314" s="913" t="str">
        <f>'matrik MISI 4'!R130</f>
        <v>72,76</v>
      </c>
      <c r="N314" s="913" t="str">
        <f>'matrik MISI 4'!S130</f>
        <v>75,12</v>
      </c>
      <c r="O314" s="913" t="str">
        <f>'matrik MISI 4'!T130</f>
        <v>77,46</v>
      </c>
      <c r="P314" s="913" t="str">
        <f>'matrik MISI 4'!U130</f>
        <v>79,81</v>
      </c>
      <c r="Q314" s="913" t="str">
        <f>'matrik MISI 4'!V130</f>
        <v>82,6</v>
      </c>
      <c r="R314" s="913" t="str">
        <f>'matrik MISI 4'!W130</f>
        <v>82,6</v>
      </c>
    </row>
    <row r="315" spans="2:18" ht="47.25">
      <c r="B315" s="914"/>
      <c r="C315" s="70"/>
      <c r="D315" s="70"/>
      <c r="E315" s="70"/>
      <c r="F315" s="70"/>
      <c r="G315" s="70"/>
      <c r="H315" s="70"/>
      <c r="I315" s="2" t="str">
        <f>'matrik MISI 4'!N131</f>
        <v>Persentase lembaga pendidikan nonformal yang memiliki alat dan bahan belajar</v>
      </c>
      <c r="J315" s="913" t="str">
        <f>'matrik MISI 4'!O131</f>
        <v>%</v>
      </c>
      <c r="K315" s="913" t="str">
        <f>'matrik MISI 4'!P131</f>
        <v>71,36</v>
      </c>
      <c r="L315" s="913" t="str">
        <f>'matrik MISI 4'!Q131</f>
        <v>73,71</v>
      </c>
      <c r="M315" s="913" t="str">
        <f>'matrik MISI 4'!R131</f>
        <v>76,06</v>
      </c>
      <c r="N315" s="913" t="str">
        <f>'matrik MISI 4'!S131</f>
        <v>78,40</v>
      </c>
      <c r="O315" s="913" t="str">
        <f>'matrik MISI 4'!T131</f>
        <v>80,75</v>
      </c>
      <c r="P315" s="913" t="str">
        <f>'matrik MISI 4'!U131</f>
        <v>83,10</v>
      </c>
      <c r="Q315" s="913" t="str">
        <f>'matrik MISI 4'!V131</f>
        <v>85,45</v>
      </c>
      <c r="R315" s="913" t="str">
        <f>'matrik MISI 4'!W131</f>
        <v>85,45</v>
      </c>
    </row>
    <row r="316" spans="2:18" ht="110.25">
      <c r="B316" s="919" t="s">
        <v>694</v>
      </c>
      <c r="C316" s="916">
        <v>5</v>
      </c>
      <c r="D316" s="916" t="str">
        <f>'visi misi'!A13</f>
        <v>Mewujudkan Peningkatan  Budaya Sehat dan Aksesibilitas Kesehatan Masyarakat</v>
      </c>
      <c r="E316" s="916">
        <f>'matrik MISI 5'!C6</f>
        <v>1</v>
      </c>
      <c r="F316" s="916" t="str">
        <f>'matrik MISI 5'!D6</f>
        <v xml:space="preserve">Meningkatkan Jaringan, Mutu dan Akses Pelayanan Kesehatan </v>
      </c>
      <c r="G316" s="916">
        <f>'matrik MISI 5'!E6</f>
        <v>1</v>
      </c>
      <c r="H316" s="916" t="str">
        <f>'matrik MISI 5'!F6</f>
        <v>Meningkatnya Akses Masyarakat ke Fasilitas Kesehatan Yang Bermutu</v>
      </c>
      <c r="I316" s="2" t="str">
        <f>'matrik MISI 5'!N7</f>
        <v>Cakupan Kunjungan Ibu Hamil K4</v>
      </c>
      <c r="J316" s="913" t="str">
        <f>'matrik MISI 5'!O7</f>
        <v>%</v>
      </c>
      <c r="K316" s="913" t="str">
        <f>'matrik MISI 5'!P7</f>
        <v>92,24</v>
      </c>
      <c r="L316" s="913">
        <f>'matrik MISI 5'!Q7</f>
        <v>95</v>
      </c>
      <c r="M316" s="913">
        <f>'matrik MISI 5'!R7</f>
        <v>95</v>
      </c>
      <c r="N316" s="913">
        <f>'matrik MISI 5'!S7</f>
        <v>95</v>
      </c>
      <c r="O316" s="913">
        <f>'matrik MISI 5'!T7</f>
        <v>95</v>
      </c>
      <c r="P316" s="913">
        <f>'matrik MISI 5'!U7</f>
        <v>95</v>
      </c>
      <c r="Q316" s="913">
        <f>'matrik MISI 5'!V7</f>
        <v>95</v>
      </c>
      <c r="R316" s="913">
        <f>'matrik MISI 5'!W7</f>
        <v>95</v>
      </c>
    </row>
    <row r="317" spans="2:18" ht="63">
      <c r="B317" s="914"/>
      <c r="C317" s="70"/>
      <c r="D317" s="70"/>
      <c r="E317" s="70"/>
      <c r="F317" s="70"/>
      <c r="G317" s="70"/>
      <c r="H317" s="70"/>
      <c r="I317" s="2" t="str">
        <f>'matrik MISI 5'!N8</f>
        <v>Cakupan Pertolongan Persalinan oleh Bidan atau Tenaga Kesehatan yang Memiliki Kompetensi Kebidanan</v>
      </c>
      <c r="J317" s="913" t="str">
        <f>'matrik MISI 5'!O8</f>
        <v>%</v>
      </c>
      <c r="K317" s="913" t="str">
        <f>'matrik MISI 5'!P8</f>
        <v>99,65</v>
      </c>
      <c r="L317" s="913">
        <f>'matrik MISI 5'!Q8</f>
        <v>95</v>
      </c>
      <c r="M317" s="913">
        <f>'matrik MISI 5'!R8</f>
        <v>95</v>
      </c>
      <c r="N317" s="913">
        <f>'matrik MISI 5'!S8</f>
        <v>95</v>
      </c>
      <c r="O317" s="913">
        <f>'matrik MISI 5'!T8</f>
        <v>95</v>
      </c>
      <c r="P317" s="913">
        <f>'matrik MISI 5'!U8</f>
        <v>95</v>
      </c>
      <c r="Q317" s="913">
        <f>'matrik MISI 5'!V8</f>
        <v>95</v>
      </c>
      <c r="R317" s="913">
        <f>'matrik MISI 5'!W8</f>
        <v>95</v>
      </c>
    </row>
    <row r="318" spans="2:18" ht="31.5">
      <c r="B318" s="914"/>
      <c r="C318" s="70"/>
      <c r="D318" s="70"/>
      <c r="E318" s="70"/>
      <c r="F318" s="70"/>
      <c r="G318" s="70"/>
      <c r="H318" s="70"/>
      <c r="I318" s="2" t="str">
        <f>'matrik MISI 5'!N9</f>
        <v>Cakupan Komplikasi Kebidanan yang Ditangani</v>
      </c>
      <c r="J318" s="913" t="str">
        <f>'matrik MISI 5'!O9</f>
        <v>%</v>
      </c>
      <c r="K318" s="913" t="str">
        <f>'matrik MISI 5'!P9</f>
        <v>100</v>
      </c>
      <c r="L318" s="913">
        <f>'matrik MISI 5'!Q9</f>
        <v>96</v>
      </c>
      <c r="M318" s="913">
        <f>'matrik MISI 5'!R9</f>
        <v>87</v>
      </c>
      <c r="N318" s="913">
        <f>'matrik MISI 5'!S9</f>
        <v>87</v>
      </c>
      <c r="O318" s="913">
        <f>'matrik MISI 5'!T9</f>
        <v>90</v>
      </c>
      <c r="P318" s="913">
        <f>'matrik MISI 5'!U9</f>
        <v>90</v>
      </c>
      <c r="Q318" s="913">
        <f>'matrik MISI 5'!V9</f>
        <v>90</v>
      </c>
      <c r="R318" s="913">
        <f>'matrik MISI 5'!W9</f>
        <v>90</v>
      </c>
    </row>
    <row r="319" spans="2:18">
      <c r="B319" s="914"/>
      <c r="C319" s="70"/>
      <c r="D319" s="70"/>
      <c r="E319" s="70"/>
      <c r="F319" s="70"/>
      <c r="G319" s="70"/>
      <c r="H319" s="70"/>
      <c r="I319" s="2" t="str">
        <f>'matrik MISI 5'!N10</f>
        <v>Cakupan Pelayanan Nifas</v>
      </c>
      <c r="J319" s="913" t="str">
        <f>'matrik MISI 5'!O10</f>
        <v>%</v>
      </c>
      <c r="K319" s="913">
        <f>'matrik MISI 5'!P10</f>
        <v>94.56</v>
      </c>
      <c r="L319" s="913">
        <f>'matrik MISI 5'!Q10</f>
        <v>95</v>
      </c>
      <c r="M319" s="913">
        <f>'matrik MISI 5'!R10</f>
        <v>95</v>
      </c>
      <c r="N319" s="913">
        <f>'matrik MISI 5'!S10</f>
        <v>95</v>
      </c>
      <c r="O319" s="913">
        <f>'matrik MISI 5'!T10</f>
        <v>95</v>
      </c>
      <c r="P319" s="913">
        <f>'matrik MISI 5'!U10</f>
        <v>95</v>
      </c>
      <c r="Q319" s="913">
        <f>'matrik MISI 5'!V10</f>
        <v>95</v>
      </c>
      <c r="R319" s="913">
        <f>'matrik MISI 5'!W10</f>
        <v>95</v>
      </c>
    </row>
    <row r="320" spans="2:18" ht="31.5">
      <c r="B320" s="914"/>
      <c r="C320" s="70"/>
      <c r="D320" s="70"/>
      <c r="E320" s="70"/>
      <c r="F320" s="70"/>
      <c r="G320" s="70"/>
      <c r="H320" s="70"/>
      <c r="I320" s="2" t="str">
        <f>'matrik MISI 5'!N11</f>
        <v>Angka Kematian Ibu per 100.000 Kelahiran Hidup</v>
      </c>
      <c r="J320" s="913" t="str">
        <f>'matrik MISI 5'!O11</f>
        <v>perkilomil</v>
      </c>
      <c r="K320" s="913">
        <f>'matrik MISI 5'!P11</f>
        <v>88.92</v>
      </c>
      <c r="L320" s="913">
        <f>'matrik MISI 5'!Q11</f>
        <v>102</v>
      </c>
      <c r="M320" s="913">
        <f>'matrik MISI 5'!R11</f>
        <v>102</v>
      </c>
      <c r="N320" s="913">
        <f>'matrik MISI 5'!S11</f>
        <v>101</v>
      </c>
      <c r="O320" s="913">
        <f>'matrik MISI 5'!T11</f>
        <v>101</v>
      </c>
      <c r="P320" s="913">
        <f>'matrik MISI 5'!U11</f>
        <v>100</v>
      </c>
      <c r="Q320" s="913">
        <f>'matrik MISI 5'!V11</f>
        <v>100</v>
      </c>
      <c r="R320" s="913">
        <f>'matrik MISI 5'!W11</f>
        <v>100</v>
      </c>
    </row>
    <row r="321" spans="2:18">
      <c r="B321" s="914"/>
      <c r="C321" s="70"/>
      <c r="D321" s="70"/>
      <c r="E321" s="70"/>
      <c r="F321" s="70"/>
      <c r="G321" s="70"/>
      <c r="H321" s="70"/>
      <c r="I321" s="2" t="str">
        <f>'matrik MISI 5'!N12</f>
        <v>Cakupan Kunjungan Bayi</v>
      </c>
      <c r="J321" s="913" t="str">
        <f>'matrik MISI 5'!O12</f>
        <v>%</v>
      </c>
      <c r="K321" s="913" t="str">
        <f>'matrik MISI 5'!P12</f>
        <v>96,9</v>
      </c>
      <c r="L321" s="913">
        <f>'matrik MISI 5'!Q12</f>
        <v>90</v>
      </c>
      <c r="M321" s="913">
        <f>'matrik MISI 5'!R12</f>
        <v>92.5</v>
      </c>
      <c r="N321" s="913">
        <f>'matrik MISI 5'!S12</f>
        <v>95</v>
      </c>
      <c r="O321" s="913">
        <f>'matrik MISI 5'!T12</f>
        <v>97.5</v>
      </c>
      <c r="P321" s="913">
        <f>'matrik MISI 5'!U12</f>
        <v>98</v>
      </c>
      <c r="Q321" s="913">
        <f>'matrik MISI 5'!V12</f>
        <v>99</v>
      </c>
      <c r="R321" s="913">
        <f>'matrik MISI 5'!W12</f>
        <v>99</v>
      </c>
    </row>
    <row r="322" spans="2:18" ht="31.5">
      <c r="B322" s="914"/>
      <c r="C322" s="70"/>
      <c r="D322" s="70"/>
      <c r="E322" s="70"/>
      <c r="F322" s="70"/>
      <c r="G322" s="70"/>
      <c r="H322" s="70"/>
      <c r="I322" s="2" t="str">
        <f>'matrik MISI 5'!N13</f>
        <v>Cakupan Kunjungan Neonatus (KN1)</v>
      </c>
      <c r="J322" s="913" t="str">
        <f>'matrik MISI 5'!O13</f>
        <v>%</v>
      </c>
      <c r="K322" s="913" t="str">
        <f>'matrik MISI 5'!P13</f>
        <v>96,8</v>
      </c>
      <c r="L322" s="913">
        <f>'matrik MISI 5'!Q13</f>
        <v>96</v>
      </c>
      <c r="M322" s="913">
        <f>'matrik MISI 5'!R13</f>
        <v>99</v>
      </c>
      <c r="N322" s="913">
        <f>'matrik MISI 5'!S13</f>
        <v>99</v>
      </c>
      <c r="O322" s="913">
        <f>'matrik MISI 5'!T13</f>
        <v>99</v>
      </c>
      <c r="P322" s="913">
        <f>'matrik MISI 5'!U13</f>
        <v>99</v>
      </c>
      <c r="Q322" s="913">
        <f>'matrik MISI 5'!V13</f>
        <v>99</v>
      </c>
      <c r="R322" s="913">
        <f>'matrik MISI 5'!W13</f>
        <v>99</v>
      </c>
    </row>
    <row r="323" spans="2:18">
      <c r="B323" s="914"/>
      <c r="C323" s="70"/>
      <c r="D323" s="70"/>
      <c r="E323" s="70"/>
      <c r="F323" s="70"/>
      <c r="G323" s="70"/>
      <c r="H323" s="70"/>
      <c r="I323" s="2" t="str">
        <f>'matrik MISI 5'!N14</f>
        <v>Cakupan Pelayanan Anak Balita</v>
      </c>
      <c r="J323" s="913" t="str">
        <f>'matrik MISI 5'!O14</f>
        <v>%</v>
      </c>
      <c r="K323" s="913" t="str">
        <f>'matrik MISI 5'!P14</f>
        <v>89,84</v>
      </c>
      <c r="L323" s="913">
        <f>'matrik MISI 5'!Q14</f>
        <v>90</v>
      </c>
      <c r="M323" s="913">
        <f>'matrik MISI 5'!R14</f>
        <v>90</v>
      </c>
      <c r="N323" s="913">
        <f>'matrik MISI 5'!S14</f>
        <v>90</v>
      </c>
      <c r="O323" s="913">
        <f>'matrik MISI 5'!T14</f>
        <v>90</v>
      </c>
      <c r="P323" s="913">
        <f>'matrik MISI 5'!U14</f>
        <v>90</v>
      </c>
      <c r="Q323" s="913">
        <f>'matrik MISI 5'!V14</f>
        <v>90</v>
      </c>
      <c r="R323" s="913">
        <f>'matrik MISI 5'!W14</f>
        <v>90</v>
      </c>
    </row>
    <row r="324" spans="2:18" ht="31.5">
      <c r="B324" s="914"/>
      <c r="C324" s="70"/>
      <c r="D324" s="70"/>
      <c r="E324" s="70"/>
      <c r="F324" s="70"/>
      <c r="G324" s="70"/>
      <c r="H324" s="70"/>
      <c r="I324" s="2" t="str">
        <f>'matrik MISI 5'!N15</f>
        <v>Cakupan Neonatal dengan Komplikasi yang Ditangani</v>
      </c>
      <c r="J324" s="913" t="str">
        <f>'matrik MISI 5'!O15</f>
        <v>%</v>
      </c>
      <c r="K324" s="913" t="str">
        <f>'matrik MISI 5'!P15</f>
        <v>100</v>
      </c>
      <c r="L324" s="913">
        <f>'matrik MISI 5'!Q15</f>
        <v>100</v>
      </c>
      <c r="M324" s="913">
        <f>'matrik MISI 5'!R15</f>
        <v>65</v>
      </c>
      <c r="N324" s="913">
        <f>'matrik MISI 5'!S15</f>
        <v>65</v>
      </c>
      <c r="O324" s="913">
        <f>'matrik MISI 5'!T15</f>
        <v>65</v>
      </c>
      <c r="P324" s="913">
        <f>'matrik MISI 5'!U15</f>
        <v>65</v>
      </c>
      <c r="Q324" s="913">
        <f>'matrik MISI 5'!V15</f>
        <v>65</v>
      </c>
      <c r="R324" s="913">
        <f>'matrik MISI 5'!W15</f>
        <v>65</v>
      </c>
    </row>
    <row r="325" spans="2:18">
      <c r="B325" s="914"/>
      <c r="C325" s="70"/>
      <c r="D325" s="70"/>
      <c r="E325" s="70"/>
      <c r="F325" s="70"/>
      <c r="G325" s="70"/>
      <c r="H325" s="70"/>
      <c r="I325" s="2" t="str">
        <f>'matrik MISI 5'!N16</f>
        <v>Angka Kelangsungan Hidup Bayi</v>
      </c>
      <c r="J325" s="913" t="str">
        <f>'matrik MISI 5'!O16</f>
        <v>permil</v>
      </c>
      <c r="K325" s="913">
        <f>'matrik MISI 5'!P16</f>
        <v>0.98699999999999999</v>
      </c>
      <c r="L325" s="913">
        <f>'matrik MISI 5'!Q16</f>
        <v>0.98</v>
      </c>
      <c r="M325" s="913" t="str">
        <f>'matrik MISI 5'!R16</f>
        <v>0,980</v>
      </c>
      <c r="N325" s="913" t="str">
        <f>'matrik MISI 5'!S16</f>
        <v>0,983</v>
      </c>
      <c r="O325" s="913" t="str">
        <f>'matrik MISI 5'!T16</f>
        <v>0,986</v>
      </c>
      <c r="P325" s="913" t="str">
        <f>'matrik MISI 5'!U16</f>
        <v>0,989</v>
      </c>
      <c r="Q325" s="913" t="str">
        <f>'matrik MISI 5'!V16</f>
        <v>0,992</v>
      </c>
      <c r="R325" s="913" t="str">
        <f>'matrik MISI 5'!W16</f>
        <v>0,992</v>
      </c>
    </row>
    <row r="326" spans="2:18" ht="31.5">
      <c r="B326" s="914"/>
      <c r="C326" s="70"/>
      <c r="D326" s="70"/>
      <c r="E326" s="70"/>
      <c r="F326" s="70"/>
      <c r="G326" s="70"/>
      <c r="H326" s="70"/>
      <c r="I326" s="2" t="str">
        <f>'matrik MISI 5'!N17</f>
        <v>Angka Kematian Neonatal per 1.000 Kelahiran Hidup</v>
      </c>
      <c r="J326" s="913" t="str">
        <f>'matrik MISI 5'!O17</f>
        <v>permil</v>
      </c>
      <c r="K326" s="913">
        <f>'matrik MISI 5'!P17</f>
        <v>6</v>
      </c>
      <c r="L326" s="913">
        <f>'matrik MISI 5'!Q17</f>
        <v>9</v>
      </c>
      <c r="M326" s="913">
        <f>'matrik MISI 5'!R17</f>
        <v>8.5</v>
      </c>
      <c r="N326" s="913">
        <f>'matrik MISI 5'!S17</f>
        <v>8.5</v>
      </c>
      <c r="O326" s="913">
        <f>'matrik MISI 5'!T17</f>
        <v>7.3</v>
      </c>
      <c r="P326" s="913">
        <f>'matrik MISI 5'!U17</f>
        <v>7</v>
      </c>
      <c r="Q326" s="913">
        <f>'matrik MISI 5'!V17</f>
        <v>6.8</v>
      </c>
      <c r="R326" s="913">
        <f>'matrik MISI 5'!W17</f>
        <v>6.8</v>
      </c>
    </row>
    <row r="327" spans="2:18" ht="31.5">
      <c r="B327" s="914"/>
      <c r="C327" s="70"/>
      <c r="D327" s="70"/>
      <c r="E327" s="70"/>
      <c r="F327" s="70"/>
      <c r="G327" s="70"/>
      <c r="H327" s="70"/>
      <c r="I327" s="2" t="str">
        <f>'matrik MISI 5'!N18</f>
        <v>Angka Kematian Bayi per 1.000 Kelahiran Hidup</v>
      </c>
      <c r="J327" s="913" t="str">
        <f>'matrik MISI 5'!O18</f>
        <v>permil</v>
      </c>
      <c r="K327" s="913">
        <f>'matrik MISI 5'!P18</f>
        <v>12.21</v>
      </c>
      <c r="L327" s="913">
        <f>'matrik MISI 5'!Q18</f>
        <v>14.2</v>
      </c>
      <c r="M327" s="913">
        <f>'matrik MISI 5'!R18</f>
        <v>14.11</v>
      </c>
      <c r="N327" s="913">
        <f>'matrik MISI 5'!S18</f>
        <v>14</v>
      </c>
      <c r="O327" s="913">
        <f>'matrik MISI 5'!T18</f>
        <v>13</v>
      </c>
      <c r="P327" s="913">
        <f>'matrik MISI 5'!U18</f>
        <v>12</v>
      </c>
      <c r="Q327" s="913">
        <f>'matrik MISI 5'!V18</f>
        <v>11</v>
      </c>
      <c r="R327" s="913">
        <f>'matrik MISI 5'!W18</f>
        <v>11</v>
      </c>
    </row>
    <row r="328" spans="2:18" ht="31.5">
      <c r="B328" s="914"/>
      <c r="C328" s="70"/>
      <c r="D328" s="70"/>
      <c r="E328" s="70"/>
      <c r="F328" s="70"/>
      <c r="G328" s="70"/>
      <c r="H328" s="70"/>
      <c r="I328" s="2" t="str">
        <f>'matrik MISI 5'!N19</f>
        <v>Angka Kematian Balita per 1.000 Kelahiran Hidup</v>
      </c>
      <c r="J328" s="913" t="str">
        <f>'matrik MISI 5'!O19</f>
        <v>permil</v>
      </c>
      <c r="K328" s="913">
        <f>'matrik MISI 5'!P19</f>
        <v>13</v>
      </c>
      <c r="L328" s="913">
        <f>'matrik MISI 5'!Q19</f>
        <v>15.5</v>
      </c>
      <c r="M328" s="913">
        <f>'matrik MISI 5'!R19</f>
        <v>15.2</v>
      </c>
      <c r="N328" s="913">
        <f>'matrik MISI 5'!S19</f>
        <v>14.7</v>
      </c>
      <c r="O328" s="913">
        <f>'matrik MISI 5'!T19</f>
        <v>14.5</v>
      </c>
      <c r="P328" s="913">
        <f>'matrik MISI 5'!U19</f>
        <v>14</v>
      </c>
      <c r="Q328" s="913">
        <f>'matrik MISI 5'!V19</f>
        <v>13.8</v>
      </c>
      <c r="R328" s="913">
        <f>'matrik MISI 5'!W19</f>
        <v>13.8</v>
      </c>
    </row>
    <row r="329" spans="2:18" ht="31.5">
      <c r="B329" s="914"/>
      <c r="C329" s="70"/>
      <c r="D329" s="70"/>
      <c r="E329" s="70"/>
      <c r="F329" s="70"/>
      <c r="G329" s="70"/>
      <c r="H329" s="70"/>
      <c r="I329" s="2" t="str">
        <f>'matrik MISI 5'!N20</f>
        <v>Cakupan Layanan Kesehatan Peserta Aktif KB</v>
      </c>
      <c r="J329" s="913" t="str">
        <f>'matrik MISI 5'!O20</f>
        <v>%</v>
      </c>
      <c r="K329" s="913" t="str">
        <f>'matrik MISI 5'!P20</f>
        <v>85,98</v>
      </c>
      <c r="L329" s="913">
        <f>'matrik MISI 5'!Q20</f>
        <v>86</v>
      </c>
      <c r="M329" s="913">
        <f>'matrik MISI 5'!R20</f>
        <v>80</v>
      </c>
      <c r="N329" s="913">
        <f>'matrik MISI 5'!S20</f>
        <v>80</v>
      </c>
      <c r="O329" s="913">
        <f>'matrik MISI 5'!T20</f>
        <v>80</v>
      </c>
      <c r="P329" s="913">
        <f>'matrik MISI 5'!U20</f>
        <v>80</v>
      </c>
      <c r="Q329" s="913">
        <f>'matrik MISI 5'!V20</f>
        <v>80</v>
      </c>
      <c r="R329" s="913">
        <f>'matrik MISI 5'!W20</f>
        <v>80</v>
      </c>
    </row>
    <row r="330" spans="2:18" ht="31.5">
      <c r="B330" s="914"/>
      <c r="C330" s="70"/>
      <c r="D330" s="70"/>
      <c r="E330" s="70"/>
      <c r="F330" s="70"/>
      <c r="G330" s="70"/>
      <c r="H330" s="70"/>
      <c r="I330" s="2" t="str">
        <f>'matrik MISI 5'!N21</f>
        <v>Cakupan Pelayanan Kesehatan Dasar Masyarakat Miskin</v>
      </c>
      <c r="J330" s="913" t="str">
        <f>'matrik MISI 5'!O21</f>
        <v>%</v>
      </c>
      <c r="K330" s="913" t="str">
        <f>'matrik MISI 5'!P21</f>
        <v>67,23</v>
      </c>
      <c r="L330" s="913">
        <f>'matrik MISI 5'!Q21</f>
        <v>100</v>
      </c>
      <c r="M330" s="913">
        <f>'matrik MISI 5'!R21</f>
        <v>100</v>
      </c>
      <c r="N330" s="913">
        <f>'matrik MISI 5'!S21</f>
        <v>100</v>
      </c>
      <c r="O330" s="913">
        <f>'matrik MISI 5'!T21</f>
        <v>100</v>
      </c>
      <c r="P330" s="913">
        <f>'matrik MISI 5'!U21</f>
        <v>100</v>
      </c>
      <c r="Q330" s="913">
        <f>'matrik MISI 5'!V21</f>
        <v>100</v>
      </c>
      <c r="R330" s="913">
        <f>'matrik MISI 5'!W21</f>
        <v>100</v>
      </c>
    </row>
    <row r="331" spans="2:18" ht="31.5">
      <c r="B331" s="914"/>
      <c r="C331" s="70"/>
      <c r="D331" s="70"/>
      <c r="E331" s="70"/>
      <c r="F331" s="70"/>
      <c r="G331" s="70"/>
      <c r="H331" s="70"/>
      <c r="I331" s="2" t="str">
        <f>'matrik MISI 5'!N22</f>
        <v>Pelayanan kesehatan penduduk miskin di RSUD</v>
      </c>
      <c r="J331" s="913" t="str">
        <f>'matrik MISI 5'!O22</f>
        <v>%</v>
      </c>
      <c r="K331" s="913">
        <f>'matrik MISI 5'!P22</f>
        <v>130.63999999999999</v>
      </c>
      <c r="L331" s="913">
        <f>'matrik MISI 5'!Q22</f>
        <v>100</v>
      </c>
      <c r="M331" s="913">
        <f>'matrik MISI 5'!R22</f>
        <v>100</v>
      </c>
      <c r="N331" s="913">
        <f>'matrik MISI 5'!S22</f>
        <v>100</v>
      </c>
      <c r="O331" s="913">
        <f>'matrik MISI 5'!T22</f>
        <v>100</v>
      </c>
      <c r="P331" s="913">
        <f>'matrik MISI 5'!U22</f>
        <v>100</v>
      </c>
      <c r="Q331" s="913">
        <f>'matrik MISI 5'!V22</f>
        <v>100</v>
      </c>
      <c r="R331" s="913">
        <f>'matrik MISI 5'!W22</f>
        <v>100</v>
      </c>
    </row>
    <row r="332" spans="2:18" ht="47.25">
      <c r="B332" s="914"/>
      <c r="C332" s="70"/>
      <c r="D332" s="70"/>
      <c r="E332" s="70"/>
      <c r="F332" s="70"/>
      <c r="G332" s="70"/>
      <c r="H332" s="70"/>
      <c r="I332" s="2" t="str">
        <f>'matrik MISI 5'!N23</f>
        <v>Cakupan Pelayanan Kesehatan Rujukan Pasien Masyarakat Miskin</v>
      </c>
      <c r="J332" s="913" t="str">
        <f>'matrik MISI 5'!O23</f>
        <v>%</v>
      </c>
      <c r="K332" s="913" t="str">
        <f>'matrik MISI 5'!P23</f>
        <v>100</v>
      </c>
      <c r="L332" s="913">
        <f>'matrik MISI 5'!Q23</f>
        <v>100</v>
      </c>
      <c r="M332" s="913">
        <f>'matrik MISI 5'!R23</f>
        <v>100</v>
      </c>
      <c r="N332" s="913">
        <f>'matrik MISI 5'!S23</f>
        <v>100</v>
      </c>
      <c r="O332" s="913">
        <f>'matrik MISI 5'!T23</f>
        <v>100</v>
      </c>
      <c r="P332" s="913">
        <f>'matrik MISI 5'!U23</f>
        <v>100</v>
      </c>
      <c r="Q332" s="913">
        <f>'matrik MISI 5'!V23</f>
        <v>100</v>
      </c>
      <c r="R332" s="913">
        <f>'matrik MISI 5'!W23</f>
        <v>100</v>
      </c>
    </row>
    <row r="333" spans="2:18" ht="63">
      <c r="B333" s="914"/>
      <c r="C333" s="70"/>
      <c r="D333" s="70"/>
      <c r="E333" s="917"/>
      <c r="F333" s="917"/>
      <c r="G333" s="917"/>
      <c r="H333" s="917"/>
      <c r="I333" s="2" t="str">
        <f>'matrik MISI 5'!N24</f>
        <v>Cakupan Pelayanan Gawat Darurat Level 1 yang harus diberikan Sarana Kesehatan (RS) di Kabupaten</v>
      </c>
      <c r="J333" s="913" t="str">
        <f>'matrik MISI 5'!O24</f>
        <v>%</v>
      </c>
      <c r="K333" s="913">
        <f>'matrik MISI 5'!P24</f>
        <v>100</v>
      </c>
      <c r="L333" s="913">
        <f>'matrik MISI 5'!Q24</f>
        <v>100</v>
      </c>
      <c r="M333" s="913">
        <f>'matrik MISI 5'!R24</f>
        <v>100</v>
      </c>
      <c r="N333" s="913">
        <f>'matrik MISI 5'!S24</f>
        <v>100</v>
      </c>
      <c r="O333" s="913">
        <f>'matrik MISI 5'!T24</f>
        <v>100</v>
      </c>
      <c r="P333" s="913">
        <f>'matrik MISI 5'!U24</f>
        <v>100</v>
      </c>
      <c r="Q333" s="913">
        <f>'matrik MISI 5'!V24</f>
        <v>100</v>
      </c>
      <c r="R333" s="913">
        <f>'matrik MISI 5'!W24</f>
        <v>100</v>
      </c>
    </row>
    <row r="334" spans="2:18" ht="63">
      <c r="B334" s="914"/>
      <c r="C334" s="70"/>
      <c r="D334" s="70"/>
      <c r="E334" s="916">
        <f>'matrik MISI 5'!C25</f>
        <v>2</v>
      </c>
      <c r="F334" s="916" t="str">
        <f>'matrik MISI 5'!D25</f>
        <v>Meningkatkan Upaya Pencegahan dan Penanggulangan Penyakit Termasuk Potensi KLB ( Kejadian Luar Biasa ) dan Bencana</v>
      </c>
      <c r="G334" s="916">
        <f>'matrik MISI 5'!E25</f>
        <v>2</v>
      </c>
      <c r="H334" s="916" t="str">
        <f>'matrik MISI 5'!F25</f>
        <v>Meningkatnya Upaya Pencegahan dan Pengendalian Penyakit</v>
      </c>
      <c r="I334" s="2" t="str">
        <f>'matrik MISI 5'!N26</f>
        <v xml:space="preserve">Angka Kesembuhan Penderita TBC BTA Positif (CR/Cure Rate) </v>
      </c>
      <c r="J334" s="913" t="str">
        <f>'matrik MISI 5'!O26</f>
        <v>%</v>
      </c>
      <c r="K334" s="913" t="str">
        <f>'matrik MISI 5'!P26</f>
        <v>87,16</v>
      </c>
      <c r="L334" s="913">
        <f>'matrik MISI 5'!Q26</f>
        <v>87</v>
      </c>
      <c r="M334" s="913" t="str">
        <f>'matrik MISI 5'!R26</f>
        <v>&gt;87</v>
      </c>
      <c r="N334" s="913" t="str">
        <f>'matrik MISI 5'!S26</f>
        <v>&gt;87</v>
      </c>
      <c r="O334" s="913" t="str">
        <f>'matrik MISI 5'!T26</f>
        <v>&gt;87</v>
      </c>
      <c r="P334" s="913" t="str">
        <f>'matrik MISI 5'!U26</f>
        <v>&gt;87</v>
      </c>
      <c r="Q334" s="913" t="str">
        <f>'matrik MISI 5'!V26</f>
        <v>&gt;87</v>
      </c>
      <c r="R334" s="913" t="str">
        <f>'matrik MISI 5'!W26</f>
        <v>&gt;87</v>
      </c>
    </row>
    <row r="335" spans="2:18" ht="47.25">
      <c r="B335" s="914"/>
      <c r="C335" s="70"/>
      <c r="D335" s="70"/>
      <c r="E335" s="70"/>
      <c r="F335" s="70"/>
      <c r="G335" s="70"/>
      <c r="H335" s="70"/>
      <c r="I335" s="2" t="str">
        <f>'matrik MISI 5'!N27</f>
        <v>Angka Penemuan Kasus TBC BTA Positif (CDR/Case  Detection Rate)</v>
      </c>
      <c r="J335" s="913" t="str">
        <f>'matrik MISI 5'!O27</f>
        <v>%</v>
      </c>
      <c r="K335" s="913">
        <f>'matrik MISI 5'!P27</f>
        <v>38.700000000000003</v>
      </c>
      <c r="L335" s="913">
        <f>'matrik MISI 5'!Q27</f>
        <v>70</v>
      </c>
      <c r="M335" s="913">
        <f>'matrik MISI 5'!R27</f>
        <v>70</v>
      </c>
      <c r="N335" s="913">
        <f>'matrik MISI 5'!S27</f>
        <v>70</v>
      </c>
      <c r="O335" s="913">
        <f>'matrik MISI 5'!T27</f>
        <v>70</v>
      </c>
      <c r="P335" s="913">
        <f>'matrik MISI 5'!U27</f>
        <v>70</v>
      </c>
      <c r="Q335" s="913">
        <f>'matrik MISI 5'!V27</f>
        <v>70</v>
      </c>
      <c r="R335" s="913">
        <f>'matrik MISI 5'!W27</f>
        <v>70</v>
      </c>
    </row>
    <row r="336" spans="2:18" ht="31.5">
      <c r="B336" s="914"/>
      <c r="C336" s="70"/>
      <c r="D336" s="70"/>
      <c r="E336" s="70"/>
      <c r="F336" s="70"/>
      <c r="G336" s="70"/>
      <c r="H336" s="70"/>
      <c r="I336" s="2" t="str">
        <f>'matrik MISI 5'!N28</f>
        <v>Prevalensi HIV pada Penduduk Usia Dewasa</v>
      </c>
      <c r="J336" s="913" t="str">
        <f>'matrik MISI 5'!O28</f>
        <v>%</v>
      </c>
      <c r="K336" s="913">
        <f>'matrik MISI 5'!P28</f>
        <v>8.7999999999999995E-2</v>
      </c>
      <c r="L336" s="913">
        <f>'matrik MISI 5'!Q28</f>
        <v>3.8999999999999998E-3</v>
      </c>
      <c r="M336" s="913" t="str">
        <f>'matrik MISI 5'!R28</f>
        <v>&lt; 0,05</v>
      </c>
      <c r="N336" s="913" t="str">
        <f>'matrik MISI 5'!S28</f>
        <v>&lt;0,05</v>
      </c>
      <c r="O336" s="913" t="str">
        <f>'matrik MISI 5'!T28</f>
        <v>&lt; 0,05</v>
      </c>
      <c r="P336" s="913" t="str">
        <f>'matrik MISI 5'!U28</f>
        <v>&lt;0,05</v>
      </c>
      <c r="Q336" s="913" t="str">
        <f>'matrik MISI 5'!V28</f>
        <v>&lt; 0,05</v>
      </c>
      <c r="R336" s="913" t="str">
        <f>'matrik MISI 5'!W28</f>
        <v>&lt;0,05</v>
      </c>
    </row>
    <row r="337" spans="2:18" ht="47.25">
      <c r="B337" s="914"/>
      <c r="C337" s="70"/>
      <c r="D337" s="70"/>
      <c r="E337" s="70"/>
      <c r="F337" s="70"/>
      <c r="G337" s="70"/>
      <c r="H337" s="70"/>
      <c r="I337" s="2" t="str">
        <f>'matrik MISI 5'!N29</f>
        <v>Proporsi Penduduk Usia 15 - 24 Tahun yang Memiliki Pengetahuan Komprehensif tentang HIV/AIDS</v>
      </c>
      <c r="J337" s="913" t="str">
        <f>'matrik MISI 5'!O29</f>
        <v>%</v>
      </c>
      <c r="K337" s="913" t="str">
        <f>'matrik MISI 5'!P29</f>
        <v>tda</v>
      </c>
      <c r="L337" s="913">
        <f>'matrik MISI 5'!Q29</f>
        <v>60</v>
      </c>
      <c r="M337" s="913">
        <f>'matrik MISI 5'!R29</f>
        <v>60</v>
      </c>
      <c r="N337" s="913">
        <f>'matrik MISI 5'!S29</f>
        <v>62.5</v>
      </c>
      <c r="O337" s="913">
        <f>'matrik MISI 5'!T29</f>
        <v>65</v>
      </c>
      <c r="P337" s="913">
        <f>'matrik MISI 5'!U29</f>
        <v>67.5</v>
      </c>
      <c r="Q337" s="913">
        <f>'matrik MISI 5'!V29</f>
        <v>70</v>
      </c>
      <c r="R337" s="913">
        <f>'matrik MISI 5'!W29</f>
        <v>70</v>
      </c>
    </row>
    <row r="338" spans="2:18" ht="31.5">
      <c r="B338" s="914"/>
      <c r="C338" s="70"/>
      <c r="D338" s="70"/>
      <c r="E338" s="70"/>
      <c r="F338" s="70"/>
      <c r="G338" s="70"/>
      <c r="H338" s="70"/>
      <c r="I338" s="2" t="str">
        <f>'matrik MISI 5'!N30</f>
        <v>Cakupan Penemuan Penderita Pneumonia Balita</v>
      </c>
      <c r="J338" s="913" t="str">
        <f>'matrik MISI 5'!O30</f>
        <v>%</v>
      </c>
      <c r="K338" s="913">
        <f>'matrik MISI 5'!P30</f>
        <v>28.5</v>
      </c>
      <c r="L338" s="913">
        <f>'matrik MISI 5'!Q30</f>
        <v>60</v>
      </c>
      <c r="M338" s="913">
        <f>'matrik MISI 5'!R30</f>
        <v>60</v>
      </c>
      <c r="N338" s="913">
        <f>'matrik MISI 5'!S30</f>
        <v>65</v>
      </c>
      <c r="O338" s="913">
        <f>'matrik MISI 5'!T30</f>
        <v>65</v>
      </c>
      <c r="P338" s="913">
        <f>'matrik MISI 5'!U30</f>
        <v>70</v>
      </c>
      <c r="Q338" s="913">
        <f>'matrik MISI 5'!V30</f>
        <v>70</v>
      </c>
      <c r="R338" s="913">
        <f>'matrik MISI 5'!W30</f>
        <v>70</v>
      </c>
    </row>
    <row r="339" spans="2:18" ht="31.5">
      <c r="B339" s="914"/>
      <c r="C339" s="70"/>
      <c r="D339" s="70"/>
      <c r="E339" s="70"/>
      <c r="F339" s="70"/>
      <c r="G339" s="70"/>
      <c r="H339" s="70"/>
      <c r="I339" s="2" t="str">
        <f>'matrik MISI 5'!N31</f>
        <v>Cakupan Penemuan Penderita Diare</v>
      </c>
      <c r="J339" s="913" t="str">
        <f>'matrik MISI 5'!O31</f>
        <v>%</v>
      </c>
      <c r="K339" s="913">
        <f>'matrik MISI 5'!P31</f>
        <v>62.9</v>
      </c>
      <c r="L339" s="913">
        <f>'matrik MISI 5'!Q31</f>
        <v>90</v>
      </c>
      <c r="M339" s="913">
        <f>'matrik MISI 5'!R31</f>
        <v>90</v>
      </c>
      <c r="N339" s="913">
        <f>'matrik MISI 5'!S31</f>
        <v>90</v>
      </c>
      <c r="O339" s="913">
        <f>'matrik MISI 5'!T31</f>
        <v>90</v>
      </c>
      <c r="P339" s="913">
        <f>'matrik MISI 5'!U31</f>
        <v>90</v>
      </c>
      <c r="Q339" s="913">
        <f>'matrik MISI 5'!V31</f>
        <v>90</v>
      </c>
      <c r="R339" s="913">
        <f>'matrik MISI 5'!W31</f>
        <v>90</v>
      </c>
    </row>
    <row r="340" spans="2:18" ht="31.5">
      <c r="B340" s="914"/>
      <c r="C340" s="70"/>
      <c r="D340" s="70"/>
      <c r="E340" s="70"/>
      <c r="F340" s="70"/>
      <c r="G340" s="70"/>
      <c r="H340" s="70"/>
      <c r="I340" s="2" t="str">
        <f>'matrik MISI 5'!N32</f>
        <v>CFR (Angka Kematian Diare per 10.000 Penduduk)</v>
      </c>
      <c r="J340" s="913">
        <f>'matrik MISI 5'!O32</f>
        <v>0</v>
      </c>
      <c r="K340" s="913">
        <f>'matrik MISI 5'!P32</f>
        <v>0.79</v>
      </c>
      <c r="L340" s="913" t="str">
        <f>'matrik MISI 5'!Q32</f>
        <v>&lt;1</v>
      </c>
      <c r="M340" s="913" t="str">
        <f>'matrik MISI 5'!R32</f>
        <v>&lt; 1</v>
      </c>
      <c r="N340" s="913" t="str">
        <f>'matrik MISI 5'!S32</f>
        <v>&lt; 1</v>
      </c>
      <c r="O340" s="913" t="str">
        <f>'matrik MISI 5'!T32</f>
        <v>&lt; 1</v>
      </c>
      <c r="P340" s="913" t="str">
        <f>'matrik MISI 5'!U32</f>
        <v>&lt; 1</v>
      </c>
      <c r="Q340" s="913" t="str">
        <f>'matrik MISI 5'!V32</f>
        <v>&lt; 1</v>
      </c>
      <c r="R340" s="913" t="str">
        <f>'matrik MISI 5'!W32</f>
        <v>&lt; 1</v>
      </c>
    </row>
    <row r="341" spans="2:18" ht="31.5">
      <c r="B341" s="914"/>
      <c r="C341" s="70"/>
      <c r="D341" s="70"/>
      <c r="E341" s="70"/>
      <c r="F341" s="70"/>
      <c r="G341" s="70"/>
      <c r="H341" s="70"/>
      <c r="I341" s="2" t="str">
        <f>'matrik MISI 5'!N33</f>
        <v>Angka Penemuan Kasus Malaria per 1.000 Penduduk</v>
      </c>
      <c r="J341" s="913">
        <f>'matrik MISI 5'!O33</f>
        <v>0</v>
      </c>
      <c r="K341" s="913" t="str">
        <f>'matrik MISI 5'!P33</f>
        <v>&lt;1</v>
      </c>
      <c r="L341" s="913" t="str">
        <f>'matrik MISI 5'!Q33</f>
        <v>&lt;1</v>
      </c>
      <c r="M341" s="913" t="str">
        <f>'matrik MISI 5'!R33</f>
        <v>&lt;1</v>
      </c>
      <c r="N341" s="913" t="str">
        <f>'matrik MISI 5'!S33</f>
        <v>&lt;1</v>
      </c>
      <c r="O341" s="913" t="str">
        <f>'matrik MISI 5'!T33</f>
        <v>&lt;1</v>
      </c>
      <c r="P341" s="913" t="str">
        <f>'matrik MISI 5'!U33</f>
        <v>&lt;1</v>
      </c>
      <c r="Q341" s="913" t="str">
        <f>'matrik MISI 5'!V33</f>
        <v>&lt;1</v>
      </c>
      <c r="R341" s="913" t="str">
        <f>'matrik MISI 5'!W33</f>
        <v>&lt;1</v>
      </c>
    </row>
    <row r="342" spans="2:18" ht="47.25">
      <c r="B342" s="914"/>
      <c r="C342" s="70"/>
      <c r="D342" s="70"/>
      <c r="E342" s="70"/>
      <c r="F342" s="70"/>
      <c r="G342" s="70"/>
      <c r="H342" s="70"/>
      <c r="I342" s="2" t="str">
        <f>'matrik MISI 5'!N34</f>
        <v>Inciden Rate DBD (Demam Berdarah Dengue) per 10.000 Penduduk</v>
      </c>
      <c r="J342" s="913" t="str">
        <f>'matrik MISI 5'!O34</f>
        <v>%</v>
      </c>
      <c r="K342" s="913">
        <f>'matrik MISI 5'!P34</f>
        <v>0.56999999999999995</v>
      </c>
      <c r="L342" s="913" t="str">
        <f>'matrik MISI 5'!Q34</f>
        <v>&lt;20</v>
      </c>
      <c r="M342" s="913" t="str">
        <f>'matrik MISI 5'!R34</f>
        <v>&lt;20</v>
      </c>
      <c r="N342" s="913" t="str">
        <f>'matrik MISI 5'!S34</f>
        <v>&lt;20</v>
      </c>
      <c r="O342" s="913" t="str">
        <f>'matrik MISI 5'!T34</f>
        <v>&lt;20</v>
      </c>
      <c r="P342" s="913" t="str">
        <f>'matrik MISI 5'!U34</f>
        <v>&lt;20</v>
      </c>
      <c r="Q342" s="913" t="str">
        <f>'matrik MISI 5'!V34</f>
        <v>&lt;20</v>
      </c>
      <c r="R342" s="913" t="str">
        <f>'matrik MISI 5'!W34</f>
        <v>&lt;20</v>
      </c>
    </row>
    <row r="343" spans="2:18" ht="31.5">
      <c r="B343" s="914"/>
      <c r="C343" s="70"/>
      <c r="D343" s="70"/>
      <c r="E343" s="70"/>
      <c r="F343" s="70"/>
      <c r="G343" s="70"/>
      <c r="H343" s="70"/>
      <c r="I343" s="2" t="str">
        <f>'matrik MISI 5'!N35</f>
        <v>CFR atau Angka Kematian DBD (Demam Berdarah Dengue)</v>
      </c>
      <c r="J343" s="913" t="str">
        <f>'matrik MISI 5'!O35</f>
        <v>%</v>
      </c>
      <c r="K343" s="913">
        <f>'matrik MISI 5'!P35</f>
        <v>0</v>
      </c>
      <c r="L343" s="913" t="str">
        <f>'matrik MISI 5'!Q35</f>
        <v>&lt;2</v>
      </c>
      <c r="M343" s="913" t="str">
        <f>'matrik MISI 5'!R35</f>
        <v>&lt;1</v>
      </c>
      <c r="N343" s="913" t="str">
        <f>'matrik MISI 5'!S35</f>
        <v>&lt;1</v>
      </c>
      <c r="O343" s="913" t="str">
        <f>'matrik MISI 5'!T35</f>
        <v>&lt;1</v>
      </c>
      <c r="P343" s="913" t="str">
        <f>'matrik MISI 5'!U35</f>
        <v>&lt;1</v>
      </c>
      <c r="Q343" s="913" t="str">
        <f>'matrik MISI 5'!V35</f>
        <v>&lt;1</v>
      </c>
      <c r="R343" s="913" t="str">
        <f>'matrik MISI 5'!W35</f>
        <v>&lt;1</v>
      </c>
    </row>
    <row r="344" spans="2:18" ht="31.5">
      <c r="B344" s="914"/>
      <c r="C344" s="70"/>
      <c r="D344" s="70"/>
      <c r="E344" s="70"/>
      <c r="F344" s="70"/>
      <c r="G344" s="70"/>
      <c r="H344" s="70"/>
      <c r="I344" s="2" t="str">
        <f>'matrik MISI 5'!N36</f>
        <v>Penderita DBD (Demam Berdarah Dengue) yang Ditangani</v>
      </c>
      <c r="J344" s="913" t="str">
        <f>'matrik MISI 5'!O36</f>
        <v>%</v>
      </c>
      <c r="K344" s="913">
        <f>'matrik MISI 5'!P36</f>
        <v>100</v>
      </c>
      <c r="L344" s="913">
        <f>'matrik MISI 5'!Q36</f>
        <v>100</v>
      </c>
      <c r="M344" s="913">
        <f>'matrik MISI 5'!R36</f>
        <v>100</v>
      </c>
      <c r="N344" s="913">
        <f>'matrik MISI 5'!S36</f>
        <v>100</v>
      </c>
      <c r="O344" s="913">
        <f>'matrik MISI 5'!T36</f>
        <v>100</v>
      </c>
      <c r="P344" s="913">
        <f>'matrik MISI 5'!U36</f>
        <v>100</v>
      </c>
      <c r="Q344" s="913">
        <f>'matrik MISI 5'!V36</f>
        <v>100</v>
      </c>
      <c r="R344" s="913">
        <f>'matrik MISI 5'!W36</f>
        <v>100</v>
      </c>
    </row>
    <row r="345" spans="2:18" ht="31.5">
      <c r="B345" s="914"/>
      <c r="C345" s="70"/>
      <c r="D345" s="70"/>
      <c r="E345" s="70"/>
      <c r="F345" s="70"/>
      <c r="G345" s="70"/>
      <c r="H345" s="70"/>
      <c r="I345" s="2" t="str">
        <f>'matrik MISI 5'!N37</f>
        <v>Cakupan Desa atau Kelurahan Universal Child Immunisation (UCI)</v>
      </c>
      <c r="J345" s="913" t="str">
        <f>'matrik MISI 5'!O37</f>
        <v>%</v>
      </c>
      <c r="K345" s="913">
        <f>'matrik MISI 5'!P37</f>
        <v>99.65</v>
      </c>
      <c r="L345" s="913">
        <f>'matrik MISI 5'!Q37</f>
        <v>100</v>
      </c>
      <c r="M345" s="913">
        <f>'matrik MISI 5'!R37</f>
        <v>100</v>
      </c>
      <c r="N345" s="913">
        <f>'matrik MISI 5'!S37</f>
        <v>100</v>
      </c>
      <c r="O345" s="913">
        <f>'matrik MISI 5'!T37</f>
        <v>100</v>
      </c>
      <c r="P345" s="913">
        <f>'matrik MISI 5'!U37</f>
        <v>100</v>
      </c>
      <c r="Q345" s="913">
        <f>'matrik MISI 5'!V37</f>
        <v>100</v>
      </c>
      <c r="R345" s="913">
        <f>'matrik MISI 5'!W37</f>
        <v>100</v>
      </c>
    </row>
    <row r="346" spans="2:18" ht="31.5">
      <c r="B346" s="914"/>
      <c r="C346" s="70"/>
      <c r="D346" s="70"/>
      <c r="E346" s="70"/>
      <c r="F346" s="70"/>
      <c r="G346" s="70"/>
      <c r="H346" s="70"/>
      <c r="I346" s="2" t="str">
        <f>'matrik MISI 5'!N38</f>
        <v>Proporsi Anak Umur 1 Tahun diimunisasi Campak</v>
      </c>
      <c r="J346" s="913" t="str">
        <f>'matrik MISI 5'!O38</f>
        <v>%</v>
      </c>
      <c r="K346" s="913">
        <f>'matrik MISI 5'!P38</f>
        <v>95</v>
      </c>
      <c r="L346" s="913">
        <f>'matrik MISI 5'!Q38</f>
        <v>95</v>
      </c>
      <c r="M346" s="913">
        <f>'matrik MISI 5'!R38</f>
        <v>95</v>
      </c>
      <c r="N346" s="913">
        <f>'matrik MISI 5'!S38</f>
        <v>95</v>
      </c>
      <c r="O346" s="913">
        <f>'matrik MISI 5'!T38</f>
        <v>95</v>
      </c>
      <c r="P346" s="913">
        <f>'matrik MISI 5'!U38</f>
        <v>95</v>
      </c>
      <c r="Q346" s="913">
        <f>'matrik MISI 5'!V38</f>
        <v>95</v>
      </c>
      <c r="R346" s="913">
        <f>'matrik MISI 5'!W38</f>
        <v>95</v>
      </c>
    </row>
    <row r="347" spans="2:18" ht="47.25">
      <c r="B347" s="914"/>
      <c r="C347" s="70"/>
      <c r="D347" s="70"/>
      <c r="E347" s="70"/>
      <c r="F347" s="70"/>
      <c r="G347" s="70"/>
      <c r="H347" s="70"/>
      <c r="I347" s="2" t="str">
        <f>'matrik MISI 5'!N39</f>
        <v>Acut Flacid Paralysis (AFP) Rate per 100.000  Penduduk Usia &lt; 15 Tahun</v>
      </c>
      <c r="J347" s="913" t="str">
        <f>'matrik MISI 5'!O39</f>
        <v>kasus</v>
      </c>
      <c r="K347" s="913" t="str">
        <f>'matrik MISI 5'!P39</f>
        <v>5 kasus</v>
      </c>
      <c r="L347" s="913" t="str">
        <f>'matrik MISI 5'!Q39</f>
        <v>≥2 (4 kasus)</v>
      </c>
      <c r="M347" s="913" t="str">
        <f>'matrik MISI 5'!R39</f>
        <v>≥2 (4 kasus)</v>
      </c>
      <c r="N347" s="913" t="str">
        <f>'matrik MISI 5'!S39</f>
        <v>≥2 (4 kasus)</v>
      </c>
      <c r="O347" s="913" t="str">
        <f>'matrik MISI 5'!T39</f>
        <v>≥2 (4 kasus)</v>
      </c>
      <c r="P347" s="913" t="str">
        <f>'matrik MISI 5'!U39</f>
        <v>≥2 (4 kasus)</v>
      </c>
      <c r="Q347" s="913" t="str">
        <f>'matrik MISI 5'!V39</f>
        <v>≥2 (4 kasus)</v>
      </c>
      <c r="R347" s="913" t="str">
        <f>'matrik MISI 5'!W39</f>
        <v>≥2 (4 kasus)</v>
      </c>
    </row>
    <row r="348" spans="2:18" ht="78.75">
      <c r="B348" s="914"/>
      <c r="C348" s="70"/>
      <c r="D348" s="70"/>
      <c r="E348" s="70"/>
      <c r="F348" s="70"/>
      <c r="G348" s="70"/>
      <c r="H348" s="70"/>
      <c r="I348" s="2" t="str">
        <f>'matrik MISI 5'!N40</f>
        <v>Cakupan Desa atau Kelurahan Mengalami Kejadian Luar Biasa (KLB) yang dilakukan Penyelidikan Epidemiologi &lt; 24 jam</v>
      </c>
      <c r="J348" s="913" t="str">
        <f>'matrik MISI 5'!O40</f>
        <v>%</v>
      </c>
      <c r="K348" s="913">
        <f>'matrik MISI 5'!P40</f>
        <v>96.15</v>
      </c>
      <c r="L348" s="913">
        <f>'matrik MISI 5'!Q40</f>
        <v>100</v>
      </c>
      <c r="M348" s="913">
        <f>'matrik MISI 5'!R40</f>
        <v>100</v>
      </c>
      <c r="N348" s="913">
        <f>'matrik MISI 5'!S40</f>
        <v>100</v>
      </c>
      <c r="O348" s="913">
        <f>'matrik MISI 5'!T40</f>
        <v>100</v>
      </c>
      <c r="P348" s="913">
        <f>'matrik MISI 5'!U40</f>
        <v>100</v>
      </c>
      <c r="Q348" s="913">
        <f>'matrik MISI 5'!V40</f>
        <v>100</v>
      </c>
      <c r="R348" s="913">
        <f>'matrik MISI 5'!W40</f>
        <v>100</v>
      </c>
    </row>
    <row r="349" spans="2:18" ht="31.5">
      <c r="B349" s="914"/>
      <c r="C349" s="70"/>
      <c r="D349" s="70"/>
      <c r="E349" s="917"/>
      <c r="F349" s="917"/>
      <c r="G349" s="917"/>
      <c r="H349" s="917"/>
      <c r="I349" s="2" t="str">
        <f>'matrik MISI 5'!N41</f>
        <v>Cakupan Penderita diare Yang ditangani</v>
      </c>
      <c r="J349" s="913" t="str">
        <f>'matrik MISI 5'!O41</f>
        <v>%</v>
      </c>
      <c r="K349" s="913">
        <f>'matrik MISI 5'!P41</f>
        <v>100</v>
      </c>
      <c r="L349" s="913">
        <f>'matrik MISI 5'!Q41</f>
        <v>100</v>
      </c>
      <c r="M349" s="913">
        <f>'matrik MISI 5'!R41</f>
        <v>100</v>
      </c>
      <c r="N349" s="913">
        <f>'matrik MISI 5'!S41</f>
        <v>100</v>
      </c>
      <c r="O349" s="913">
        <f>'matrik MISI 5'!T41</f>
        <v>100</v>
      </c>
      <c r="P349" s="913">
        <f>'matrik MISI 5'!U41</f>
        <v>100</v>
      </c>
      <c r="Q349" s="913">
        <f>'matrik MISI 5'!V41</f>
        <v>100</v>
      </c>
      <c r="R349" s="913">
        <f>'matrik MISI 5'!W41</f>
        <v>100</v>
      </c>
    </row>
    <row r="350" spans="2:18" ht="31.5">
      <c r="B350" s="914"/>
      <c r="C350" s="70"/>
      <c r="D350" s="70"/>
      <c r="E350" s="916">
        <f>'matrik MISI 5'!C42</f>
        <v>3</v>
      </c>
      <c r="F350" s="916" t="str">
        <f>'matrik MISI 5'!D42</f>
        <v>Meningkatkan Upaya Perbaikan Gizi Masyarakat</v>
      </c>
      <c r="G350" s="916">
        <f>'matrik MISI 5'!E42</f>
        <v>3</v>
      </c>
      <c r="H350" s="916" t="str">
        <f>'matrik MISI 5'!F42</f>
        <v>Meningkatnya Gizi Masyarakat</v>
      </c>
      <c r="I350" s="2" t="str">
        <f>'matrik MISI 5'!N43</f>
        <v>Prevalensi Gizi Kurang pada Anak Balita (0-60 bulan)</v>
      </c>
      <c r="J350" s="913" t="str">
        <f>'matrik MISI 5'!O43</f>
        <v>%</v>
      </c>
      <c r="K350" s="913">
        <f>'matrik MISI 5'!P43</f>
        <v>11.2</v>
      </c>
      <c r="L350" s="913">
        <f>'matrik MISI 5'!Q43</f>
        <v>15.5</v>
      </c>
      <c r="M350" s="913">
        <f>'matrik MISI 5'!R43</f>
        <v>15.5</v>
      </c>
      <c r="N350" s="913">
        <f>'matrik MISI 5'!S43</f>
        <v>15.5</v>
      </c>
      <c r="O350" s="913">
        <f>'matrik MISI 5'!T43</f>
        <v>15.5</v>
      </c>
      <c r="P350" s="913">
        <f>'matrik MISI 5'!U43</f>
        <v>15.5</v>
      </c>
      <c r="Q350" s="913">
        <f>'matrik MISI 5'!V43</f>
        <v>15.5</v>
      </c>
      <c r="R350" s="913">
        <f>'matrik MISI 5'!W43</f>
        <v>15.5</v>
      </c>
    </row>
    <row r="351" spans="2:18" ht="31.5">
      <c r="B351" s="914"/>
      <c r="C351" s="70"/>
      <c r="D351" s="70"/>
      <c r="E351" s="70"/>
      <c r="F351" s="70"/>
      <c r="G351" s="70"/>
      <c r="H351" s="70"/>
      <c r="I351" s="2" t="str">
        <f>'matrik MISI 5'!N44</f>
        <v>Prevalensi Gizi Buruk pada Anak Balita (0-60 bulan)</v>
      </c>
      <c r="J351" s="913" t="str">
        <f>'matrik MISI 5'!O44</f>
        <v>%</v>
      </c>
      <c r="K351" s="913">
        <f>'matrik MISI 5'!P44</f>
        <v>0.04</v>
      </c>
      <c r="L351" s="913" t="str">
        <f>'matrik MISI 5'!Q44</f>
        <v>&lt;0,5</v>
      </c>
      <c r="M351" s="913" t="str">
        <f>'matrik MISI 5'!R44</f>
        <v>&lt;0,5</v>
      </c>
      <c r="N351" s="913" t="str">
        <f>'matrik MISI 5'!S44</f>
        <v>&lt;0,5</v>
      </c>
      <c r="O351" s="913" t="str">
        <f>'matrik MISI 5'!T44</f>
        <v>&lt;0,5</v>
      </c>
      <c r="P351" s="913" t="str">
        <f>'matrik MISI 5'!U44</f>
        <v>&lt;0,5</v>
      </c>
      <c r="Q351" s="913" t="str">
        <f>'matrik MISI 5'!V44</f>
        <v>&lt;0,5</v>
      </c>
      <c r="R351" s="913" t="str">
        <f>'matrik MISI 5'!W44</f>
        <v>&lt;0,5</v>
      </c>
    </row>
    <row r="352" spans="2:18" ht="47.25">
      <c r="B352" s="914"/>
      <c r="C352" s="70"/>
      <c r="D352" s="70"/>
      <c r="E352" s="70"/>
      <c r="F352" s="70"/>
      <c r="G352" s="70"/>
      <c r="H352" s="70"/>
      <c r="I352" s="2" t="str">
        <f>'matrik MISI 5'!N45</f>
        <v>Cakupan Pemberian Makanan Pendamping ASI pada Anak Usia &lt; 24 Bulan dari Keluarga Miskin</v>
      </c>
      <c r="J352" s="913" t="str">
        <f>'matrik MISI 5'!O45</f>
        <v>%</v>
      </c>
      <c r="K352" s="913">
        <f>'matrik MISI 5'!P45</f>
        <v>100</v>
      </c>
      <c r="L352" s="913">
        <f>'matrik MISI 5'!Q45</f>
        <v>100</v>
      </c>
      <c r="M352" s="913">
        <f>'matrik MISI 5'!R45</f>
        <v>100</v>
      </c>
      <c r="N352" s="913">
        <f>'matrik MISI 5'!S45</f>
        <v>100</v>
      </c>
      <c r="O352" s="913">
        <f>'matrik MISI 5'!T45</f>
        <v>100</v>
      </c>
      <c r="P352" s="913">
        <f>'matrik MISI 5'!U45</f>
        <v>100</v>
      </c>
      <c r="Q352" s="913">
        <f>'matrik MISI 5'!V45</f>
        <v>100</v>
      </c>
      <c r="R352" s="913">
        <f>'matrik MISI 5'!W45</f>
        <v>100</v>
      </c>
    </row>
    <row r="353" spans="2:18" ht="31.5">
      <c r="B353" s="914"/>
      <c r="C353" s="70"/>
      <c r="D353" s="70"/>
      <c r="E353" s="917"/>
      <c r="F353" s="917"/>
      <c r="G353" s="917"/>
      <c r="H353" s="917"/>
      <c r="I353" s="2" t="str">
        <f>'matrik MISI 5'!N46</f>
        <v>Cakupan Balita Gizi Buruk Mendapat Perawatan</v>
      </c>
      <c r="J353" s="913" t="str">
        <f>'matrik MISI 5'!O46</f>
        <v>%</v>
      </c>
      <c r="K353" s="913">
        <f>'matrik MISI 5'!P46</f>
        <v>100</v>
      </c>
      <c r="L353" s="913">
        <f>'matrik MISI 5'!Q46</f>
        <v>100</v>
      </c>
      <c r="M353" s="913">
        <f>'matrik MISI 5'!R46</f>
        <v>100</v>
      </c>
      <c r="N353" s="913">
        <f>'matrik MISI 5'!S46</f>
        <v>100</v>
      </c>
      <c r="O353" s="913">
        <f>'matrik MISI 5'!T46</f>
        <v>100</v>
      </c>
      <c r="P353" s="913">
        <f>'matrik MISI 5'!U46</f>
        <v>100</v>
      </c>
      <c r="Q353" s="913">
        <f>'matrik MISI 5'!V46</f>
        <v>100</v>
      </c>
      <c r="R353" s="913">
        <f>'matrik MISI 5'!W46</f>
        <v>100</v>
      </c>
    </row>
    <row r="354" spans="2:18" ht="47.25">
      <c r="B354" s="914"/>
      <c r="C354" s="70"/>
      <c r="D354" s="70"/>
      <c r="E354" s="2">
        <f>'matrik MISI 5'!C47</f>
        <v>4</v>
      </c>
      <c r="F354" s="2" t="str">
        <f>'matrik MISI 5'!D47</f>
        <v>Menjamin Ketersediaan Obat dan Perbekalan Kesehataan Untuk Pelayanan Kesehatan Dasar</v>
      </c>
      <c r="G354" s="2">
        <f>'matrik MISI 5'!E47</f>
        <v>4</v>
      </c>
      <c r="H354" s="2" t="str">
        <f>'matrik MISI 5'!F47</f>
        <v>Meningkatnya Ketersediaan Obat dan Perbekalan Kesehatan</v>
      </c>
      <c r="I354" s="2" t="str">
        <f>'matrik MISI 5'!N48</f>
        <v>Cakupan Ketersediaan Obat sesuai Kebutuhan</v>
      </c>
      <c r="J354" s="913" t="str">
        <f>'matrik MISI 5'!O48</f>
        <v>%</v>
      </c>
      <c r="K354" s="913">
        <f>'matrik MISI 5'!P48</f>
        <v>98.6</v>
      </c>
      <c r="L354" s="913">
        <f>'matrik MISI 5'!Q48</f>
        <v>100</v>
      </c>
      <c r="M354" s="913">
        <f>'matrik MISI 5'!R48</f>
        <v>90</v>
      </c>
      <c r="N354" s="913">
        <f>'matrik MISI 5'!S48</f>
        <v>90</v>
      </c>
      <c r="O354" s="913">
        <f>'matrik MISI 5'!T48</f>
        <v>90</v>
      </c>
      <c r="P354" s="913">
        <f>'matrik MISI 5'!U48</f>
        <v>90</v>
      </c>
      <c r="Q354" s="913">
        <f>'matrik MISI 5'!V48</f>
        <v>90</v>
      </c>
      <c r="R354" s="913">
        <f>'matrik MISI 5'!W48</f>
        <v>90</v>
      </c>
    </row>
    <row r="355" spans="2:18" ht="47.25">
      <c r="B355" s="914"/>
      <c r="C355" s="70"/>
      <c r="D355" s="70"/>
      <c r="E355" s="916">
        <f>'matrik MISI 5'!C50</f>
        <v>5</v>
      </c>
      <c r="F355" s="916" t="str">
        <f>'matrik MISI 5'!D50</f>
        <v>Menjamin Ketersediaan dan Mutu Sumber Daya Kesehatan Sesuai Standar Pelayanan Kesehatan</v>
      </c>
      <c r="G355" s="916">
        <f>'matrik MISI 5'!E50</f>
        <v>5</v>
      </c>
      <c r="H355" s="916" t="str">
        <f>'matrik MISI 5'!F50</f>
        <v>Meningkatnya Sumber Daya Kesehatan di semua Tingkatan Pelayanan Kesehatan</v>
      </c>
      <c r="I355" s="2" t="str">
        <f>'matrik MISI 5'!N51</f>
        <v>Cakupan Fasilitas Kesehatan dengan SDM sesuai Standar</v>
      </c>
      <c r="J355" s="913" t="str">
        <f>'matrik MISI 5'!O51</f>
        <v>%</v>
      </c>
      <c r="K355" s="913" t="str">
        <f>'matrik MISI 5'!P51</f>
        <v>tda</v>
      </c>
      <c r="L355" s="913" t="str">
        <f>'matrik MISI 5'!Q51</f>
        <v>tda</v>
      </c>
      <c r="M355" s="913">
        <f>'matrik MISI 5'!R51</f>
        <v>65</v>
      </c>
      <c r="N355" s="913">
        <f>'matrik MISI 5'!S51</f>
        <v>66.25</v>
      </c>
      <c r="O355" s="913">
        <f>'matrik MISI 5'!T51</f>
        <v>67</v>
      </c>
      <c r="P355" s="913">
        <f>'matrik MISI 5'!U51</f>
        <v>68.5</v>
      </c>
      <c r="Q355" s="913">
        <f>'matrik MISI 5'!V51</f>
        <v>70</v>
      </c>
      <c r="R355" s="913">
        <f>'matrik MISI 5'!W51</f>
        <v>70</v>
      </c>
    </row>
    <row r="356" spans="2:18" ht="31.5">
      <c r="B356" s="914"/>
      <c r="C356" s="70"/>
      <c r="D356" s="70"/>
      <c r="E356" s="70"/>
      <c r="F356" s="70"/>
      <c r="G356" s="70"/>
      <c r="H356" s="70"/>
      <c r="I356" s="2" t="str">
        <f>'matrik MISI 5'!N52</f>
        <v>Cakupan Tenaga Kesehatan yang Memenuhi Standar Kompetensi</v>
      </c>
      <c r="J356" s="913" t="str">
        <f>'matrik MISI 5'!O52</f>
        <v>%</v>
      </c>
      <c r="K356" s="913" t="str">
        <f>'matrik MISI 5'!P52</f>
        <v>tda</v>
      </c>
      <c r="L356" s="913" t="str">
        <f>'matrik MISI 5'!Q52</f>
        <v>tda</v>
      </c>
      <c r="M356" s="913">
        <f>'matrik MISI 5'!R52</f>
        <v>70</v>
      </c>
      <c r="N356" s="913">
        <f>'matrik MISI 5'!S52</f>
        <v>75</v>
      </c>
      <c r="O356" s="913">
        <f>'matrik MISI 5'!T52</f>
        <v>80</v>
      </c>
      <c r="P356" s="913">
        <f>'matrik MISI 5'!U52</f>
        <v>85</v>
      </c>
      <c r="Q356" s="913">
        <f>'matrik MISI 5'!V52</f>
        <v>90</v>
      </c>
      <c r="R356" s="913">
        <f>'matrik MISI 5'!W52</f>
        <v>90</v>
      </c>
    </row>
    <row r="357" spans="2:18" ht="31.5">
      <c r="B357" s="914"/>
      <c r="C357" s="70"/>
      <c r="D357" s="70"/>
      <c r="E357" s="70"/>
      <c r="F357" s="70"/>
      <c r="G357" s="70"/>
      <c r="H357" s="70"/>
      <c r="I357" s="2" t="str">
        <f>'matrik MISI 5'!N53</f>
        <v>Rasio ketersediaan sarana dan prasarana puskesmas</v>
      </c>
      <c r="J357" s="913" t="str">
        <f>'matrik MISI 5'!O53</f>
        <v>Rasio</v>
      </c>
      <c r="K357" s="913" t="str">
        <f>'matrik MISI 5'!P53</f>
        <v>1 : 32412</v>
      </c>
      <c r="L357" s="913" t="str">
        <f>'matrik MISI 5'!Q53</f>
        <v>1/30.000</v>
      </c>
      <c r="M357" s="913" t="str">
        <f>'matrik MISI 5'!R53</f>
        <v>1/33.000</v>
      </c>
      <c r="N357" s="913" t="str">
        <f>'matrik MISI 5'!S53</f>
        <v>1/33.000</v>
      </c>
      <c r="O357" s="913" t="str">
        <f>'matrik MISI 5'!T53</f>
        <v>1/32.000</v>
      </c>
      <c r="P357" s="913" t="str">
        <f>'matrik MISI 5'!U53</f>
        <v>1/31.000</v>
      </c>
      <c r="Q357" s="913" t="str">
        <f>'matrik MISI 5'!V53</f>
        <v>1/31.000</v>
      </c>
      <c r="R357" s="913" t="str">
        <f>'matrik MISI 5'!W53</f>
        <v>1/30.000</v>
      </c>
    </row>
    <row r="358" spans="2:18" ht="31.5">
      <c r="B358" s="914"/>
      <c r="C358" s="70"/>
      <c r="D358" s="70"/>
      <c r="E358" s="70"/>
      <c r="F358" s="70"/>
      <c r="G358" s="70"/>
      <c r="H358" s="70"/>
      <c r="I358" s="2" t="str">
        <f>'matrik MISI 5'!N54</f>
        <v>Penyediaan Sarana dan Prasarana Rumah Sakit</v>
      </c>
      <c r="J358" s="913" t="str">
        <f>'matrik MISI 5'!O54</f>
        <v>%</v>
      </c>
      <c r="K358" s="913">
        <f>'matrik MISI 5'!P54</f>
        <v>50.63</v>
      </c>
      <c r="L358" s="913">
        <f>'matrik MISI 5'!Q54</f>
        <v>80</v>
      </c>
      <c r="M358" s="913">
        <f>'matrik MISI 5'!R54</f>
        <v>85</v>
      </c>
      <c r="N358" s="913">
        <f>'matrik MISI 5'!S54</f>
        <v>90</v>
      </c>
      <c r="O358" s="913">
        <f>'matrik MISI 5'!T54</f>
        <v>95</v>
      </c>
      <c r="P358" s="913">
        <f>'matrik MISI 5'!U54</f>
        <v>100</v>
      </c>
      <c r="Q358" s="913">
        <f>'matrik MISI 5'!V54</f>
        <v>100</v>
      </c>
      <c r="R358" s="913">
        <f>'matrik MISI 5'!W54</f>
        <v>100</v>
      </c>
    </row>
    <row r="359" spans="2:18">
      <c r="B359" s="914"/>
      <c r="C359" s="70"/>
      <c r="D359" s="70"/>
      <c r="E359" s="70"/>
      <c r="F359" s="70"/>
      <c r="G359" s="70"/>
      <c r="H359" s="70"/>
      <c r="I359" s="2" t="str">
        <f>'matrik MISI 5'!N55</f>
        <v xml:space="preserve">Cakupan Pelayanan RSUD: </v>
      </c>
      <c r="J359" s="913">
        <f>'matrik MISI 5'!O55</f>
        <v>0</v>
      </c>
      <c r="K359" s="913">
        <f>'matrik MISI 5'!P55</f>
        <v>0</v>
      </c>
      <c r="L359" s="913">
        <f>'matrik MISI 5'!Q55</f>
        <v>0</v>
      </c>
      <c r="M359" s="913">
        <f>'matrik MISI 5'!R55</f>
        <v>0</v>
      </c>
      <c r="N359" s="913">
        <f>'matrik MISI 5'!S55</f>
        <v>0</v>
      </c>
      <c r="O359" s="913">
        <f>'matrik MISI 5'!T55</f>
        <v>0</v>
      </c>
      <c r="P359" s="913">
        <f>'matrik MISI 5'!U55</f>
        <v>0</v>
      </c>
      <c r="Q359" s="913">
        <f>'matrik MISI 5'!V55</f>
        <v>0</v>
      </c>
      <c r="R359" s="913">
        <f>'matrik MISI 5'!W55</f>
        <v>0</v>
      </c>
    </row>
    <row r="360" spans="2:18">
      <c r="B360" s="914"/>
      <c r="C360" s="70"/>
      <c r="D360" s="70"/>
      <c r="E360" s="70"/>
      <c r="F360" s="70"/>
      <c r="G360" s="70"/>
      <c r="H360" s="70"/>
      <c r="I360" s="2" t="str">
        <f>'matrik MISI 5'!N56</f>
        <v>BOR</v>
      </c>
      <c r="J360" s="913" t="str">
        <f>'matrik MISI 5'!O56</f>
        <v>%</v>
      </c>
      <c r="K360" s="913">
        <f>'matrik MISI 5'!P56</f>
        <v>73.73</v>
      </c>
      <c r="L360" s="913">
        <f>'matrik MISI 5'!Q56</f>
        <v>70</v>
      </c>
      <c r="M360" s="913">
        <f>'matrik MISI 5'!R56</f>
        <v>65</v>
      </c>
      <c r="N360" s="913">
        <f>'matrik MISI 5'!S56</f>
        <v>65</v>
      </c>
      <c r="O360" s="913">
        <f>'matrik MISI 5'!T56</f>
        <v>66</v>
      </c>
      <c r="P360" s="913">
        <f>'matrik MISI 5'!U56</f>
        <v>68</v>
      </c>
      <c r="Q360" s="913">
        <f>'matrik MISI 5'!V56</f>
        <v>70</v>
      </c>
      <c r="R360" s="913">
        <f>'matrik MISI 5'!W56</f>
        <v>70</v>
      </c>
    </row>
    <row r="361" spans="2:18">
      <c r="B361" s="914"/>
      <c r="C361" s="70"/>
      <c r="D361" s="70"/>
      <c r="E361" s="70"/>
      <c r="F361" s="70"/>
      <c r="G361" s="70"/>
      <c r="H361" s="70"/>
      <c r="I361" s="2" t="str">
        <f>'matrik MISI 5'!N57</f>
        <v>LOS</v>
      </c>
      <c r="J361" s="913" t="str">
        <f>'matrik MISI 5'!O57</f>
        <v>hari</v>
      </c>
      <c r="K361" s="913">
        <f>'matrik MISI 5'!P57</f>
        <v>4.24</v>
      </c>
      <c r="L361" s="913">
        <f>'matrik MISI 5'!Q57</f>
        <v>4</v>
      </c>
      <c r="M361" s="913">
        <f>'matrik MISI 5'!R57</f>
        <v>4</v>
      </c>
      <c r="N361" s="913">
        <f>'matrik MISI 5'!S57</f>
        <v>4</v>
      </c>
      <c r="O361" s="913">
        <f>'matrik MISI 5'!T57</f>
        <v>5</v>
      </c>
      <c r="P361" s="913">
        <f>'matrik MISI 5'!U57</f>
        <v>5</v>
      </c>
      <c r="Q361" s="913">
        <f>'matrik MISI 5'!V57</f>
        <v>6</v>
      </c>
      <c r="R361" s="913">
        <f>'matrik MISI 5'!W57</f>
        <v>6</v>
      </c>
    </row>
    <row r="362" spans="2:18">
      <c r="B362" s="914"/>
      <c r="C362" s="70"/>
      <c r="D362" s="70"/>
      <c r="E362" s="70"/>
      <c r="F362" s="70"/>
      <c r="G362" s="70"/>
      <c r="H362" s="70"/>
      <c r="I362" s="2" t="str">
        <f>'matrik MISI 5'!N58</f>
        <v>TOI</v>
      </c>
      <c r="J362" s="913" t="str">
        <f>'matrik MISI 5'!O58</f>
        <v>hari</v>
      </c>
      <c r="K362" s="913">
        <f>'matrik MISI 5'!P58</f>
        <v>1.1599999999999999</v>
      </c>
      <c r="L362" s="913">
        <f>'matrik MISI 5'!Q58</f>
        <v>1</v>
      </c>
      <c r="M362" s="913">
        <f>'matrik MISI 5'!R58</f>
        <v>2</v>
      </c>
      <c r="N362" s="913">
        <f>'matrik MISI 5'!S58</f>
        <v>2</v>
      </c>
      <c r="O362" s="913">
        <f>'matrik MISI 5'!T58</f>
        <v>2</v>
      </c>
      <c r="P362" s="913">
        <f>'matrik MISI 5'!U58</f>
        <v>2</v>
      </c>
      <c r="Q362" s="913">
        <f>'matrik MISI 5'!V58</f>
        <v>2</v>
      </c>
      <c r="R362" s="913">
        <f>'matrik MISI 5'!W58</f>
        <v>2</v>
      </c>
    </row>
    <row r="363" spans="2:18">
      <c r="B363" s="914"/>
      <c r="C363" s="70"/>
      <c r="D363" s="70"/>
      <c r="E363" s="70"/>
      <c r="F363" s="70"/>
      <c r="G363" s="70"/>
      <c r="H363" s="70"/>
      <c r="I363" s="2" t="str">
        <f>'matrik MISI 5'!N59</f>
        <v>GDR</v>
      </c>
      <c r="J363" s="913" t="str">
        <f>'matrik MISI 5'!O59</f>
        <v>‰</v>
      </c>
      <c r="K363" s="913">
        <f>'matrik MISI 5'!P59</f>
        <v>37.299999999999997</v>
      </c>
      <c r="L363" s="913">
        <f>'matrik MISI 5'!Q59</f>
        <v>37</v>
      </c>
      <c r="M363" s="913">
        <f>'matrik MISI 5'!R59</f>
        <v>37</v>
      </c>
      <c r="N363" s="913">
        <f>'matrik MISI 5'!S59</f>
        <v>37</v>
      </c>
      <c r="O363" s="913">
        <f>'matrik MISI 5'!T59</f>
        <v>36</v>
      </c>
      <c r="P363" s="913">
        <f>'matrik MISI 5'!U59</f>
        <v>36</v>
      </c>
      <c r="Q363" s="913">
        <f>'matrik MISI 5'!V59</f>
        <v>36</v>
      </c>
      <c r="R363" s="913">
        <f>'matrik MISI 5'!W59</f>
        <v>36</v>
      </c>
    </row>
    <row r="364" spans="2:18">
      <c r="B364" s="914"/>
      <c r="C364" s="70"/>
      <c r="D364" s="70"/>
      <c r="E364" s="70"/>
      <c r="F364" s="70"/>
      <c r="G364" s="70"/>
      <c r="H364" s="70"/>
      <c r="I364" s="2" t="str">
        <f>'matrik MISI 5'!N60</f>
        <v>NDR</v>
      </c>
      <c r="J364" s="913" t="str">
        <f>'matrik MISI 5'!O60</f>
        <v>‰</v>
      </c>
      <c r="K364" s="913">
        <f>'matrik MISI 5'!P60</f>
        <v>19.059999999999999</v>
      </c>
      <c r="L364" s="913">
        <f>'matrik MISI 5'!Q60</f>
        <v>17</v>
      </c>
      <c r="M364" s="913">
        <f>'matrik MISI 5'!R60</f>
        <v>19</v>
      </c>
      <c r="N364" s="913">
        <f>'matrik MISI 5'!S60</f>
        <v>19</v>
      </c>
      <c r="O364" s="913">
        <f>'matrik MISI 5'!T60</f>
        <v>18</v>
      </c>
      <c r="P364" s="913">
        <f>'matrik MISI 5'!U60</f>
        <v>18</v>
      </c>
      <c r="Q364" s="913">
        <f>'matrik MISI 5'!V60</f>
        <v>18</v>
      </c>
      <c r="R364" s="913">
        <f>'matrik MISI 5'!W60</f>
        <v>18</v>
      </c>
    </row>
    <row r="365" spans="2:18">
      <c r="B365" s="914"/>
      <c r="C365" s="70"/>
      <c r="D365" s="70"/>
      <c r="E365" s="70"/>
      <c r="F365" s="70"/>
      <c r="G365" s="70"/>
      <c r="H365" s="70"/>
      <c r="I365" s="2" t="str">
        <f>'matrik MISI 5'!N61</f>
        <v>Kinerja Pelayanan BLUD</v>
      </c>
      <c r="J365" s="913" t="str">
        <f>'matrik MISI 5'!O61</f>
        <v>Strata</v>
      </c>
      <c r="K365" s="913" t="str">
        <f>'matrik MISI 5'!P61</f>
        <v>-</v>
      </c>
      <c r="L365" s="913" t="str">
        <f>'matrik MISI 5'!Q61</f>
        <v>Sehat</v>
      </c>
      <c r="M365" s="913" t="str">
        <f>'matrik MISI 5'!R61</f>
        <v>Sehat</v>
      </c>
      <c r="N365" s="913" t="str">
        <f>'matrik MISI 5'!S61</f>
        <v>Sehat</v>
      </c>
      <c r="O365" s="913" t="str">
        <f>'matrik MISI 5'!T61</f>
        <v>Sehat</v>
      </c>
      <c r="P365" s="913" t="str">
        <f>'matrik MISI 5'!U61</f>
        <v>Sehat</v>
      </c>
      <c r="Q365" s="913" t="str">
        <f>'matrik MISI 5'!V61</f>
        <v>Sehat</v>
      </c>
      <c r="R365" s="913" t="str">
        <f>'matrik MISI 5'!W61</f>
        <v>Sehat</v>
      </c>
    </row>
    <row r="366" spans="2:18" ht="31.5">
      <c r="B366" s="914"/>
      <c r="C366" s="70"/>
      <c r="D366" s="70"/>
      <c r="E366" s="917"/>
      <c r="F366" s="917"/>
      <c r="G366" s="917"/>
      <c r="H366" s="917"/>
      <c r="I366" s="2" t="str">
        <f>'matrik MISI 5'!N62</f>
        <v>Standarisasi Pelayanan Kesehatan RSUD</v>
      </c>
      <c r="J366" s="913" t="str">
        <f>'matrik MISI 5'!O62</f>
        <v>-</v>
      </c>
      <c r="K366" s="913" t="str">
        <f>'matrik MISI 5'!P62</f>
        <v>Lulus</v>
      </c>
      <c r="L366" s="913" t="str">
        <f>'matrik MISI 5'!Q62</f>
        <v>Lulus</v>
      </c>
      <c r="M366" s="913" t="str">
        <f>'matrik MISI 5'!R62</f>
        <v>Lulus</v>
      </c>
      <c r="N366" s="913" t="str">
        <f>'matrik MISI 5'!S62</f>
        <v>Lulus</v>
      </c>
      <c r="O366" s="913" t="str">
        <f>'matrik MISI 5'!T62</f>
        <v>Lulus</v>
      </c>
      <c r="P366" s="913" t="str">
        <f>'matrik MISI 5'!U62</f>
        <v>Lulus</v>
      </c>
      <c r="Q366" s="913" t="str">
        <f>'matrik MISI 5'!V62</f>
        <v>Lulus</v>
      </c>
      <c r="R366" s="913" t="str">
        <f>'matrik MISI 5'!W62</f>
        <v>Lulus</v>
      </c>
    </row>
    <row r="367" spans="2:18" ht="47.25">
      <c r="B367" s="914"/>
      <c r="C367" s="70"/>
      <c r="D367" s="70"/>
      <c r="E367" s="916">
        <f>'matrik MISI 5'!C63</f>
        <v>6</v>
      </c>
      <c r="F367" s="916" t="str">
        <f>'matrik MISI 5'!D63</f>
        <v>Meningkatkan Penyehatan Lingkungan</v>
      </c>
      <c r="G367" s="916">
        <f>'matrik MISI 5'!E63</f>
        <v>6</v>
      </c>
      <c r="H367" s="916" t="str">
        <f>'matrik MISI 5'!F63</f>
        <v>Meningkatnya Lingkungan Sehat</v>
      </c>
      <c r="I367" s="2" t="str">
        <f>'matrik MISI 5'!N64</f>
        <v xml:space="preserve">Proporsi Rumah Tangga dengan Akses Berkelanjutan terhadap Sanitasi Dasar Perkotaan </v>
      </c>
      <c r="J367" s="913" t="str">
        <f>'matrik MISI 5'!O64</f>
        <v>%</v>
      </c>
      <c r="K367" s="913" t="str">
        <f>'matrik MISI 5'!P64</f>
        <v>tda</v>
      </c>
      <c r="L367" s="913" t="str">
        <f>'matrik MISI 5'!Q64</f>
        <v>tda</v>
      </c>
      <c r="M367" s="913">
        <f>'matrik MISI 5'!R64</f>
        <v>65</v>
      </c>
      <c r="N367" s="913">
        <f>'matrik MISI 5'!S64</f>
        <v>67.5</v>
      </c>
      <c r="O367" s="913">
        <f>'matrik MISI 5'!T64</f>
        <v>70</v>
      </c>
      <c r="P367" s="913">
        <f>'matrik MISI 5'!U64</f>
        <v>72.5</v>
      </c>
      <c r="Q367" s="913">
        <f>'matrik MISI 5'!V64</f>
        <v>75</v>
      </c>
      <c r="R367" s="913">
        <f>'matrik MISI 5'!W64</f>
        <v>75</v>
      </c>
    </row>
    <row r="368" spans="2:18" ht="47.25">
      <c r="B368" s="914"/>
      <c r="C368" s="70"/>
      <c r="D368" s="70"/>
      <c r="E368" s="70"/>
      <c r="F368" s="70"/>
      <c r="G368" s="70"/>
      <c r="H368" s="70"/>
      <c r="I368" s="2" t="str">
        <f>'matrik MISI 5'!N65</f>
        <v>Proporsi Rumah Tangga dengan Akses Berkelanjutan terhadap Sanitasi Dasar Pedesaan</v>
      </c>
      <c r="J368" s="913" t="str">
        <f>'matrik MISI 5'!O65</f>
        <v>%</v>
      </c>
      <c r="K368" s="913" t="str">
        <f>'matrik MISI 5'!P65</f>
        <v>tda</v>
      </c>
      <c r="L368" s="913">
        <f>'matrik MISI 5'!Q65</f>
        <v>62.5</v>
      </c>
      <c r="M368" s="913">
        <f>'matrik MISI 5'!R65</f>
        <v>65</v>
      </c>
      <c r="N368" s="913">
        <f>'matrik MISI 5'!S65</f>
        <v>67.5</v>
      </c>
      <c r="O368" s="913">
        <f>'matrik MISI 5'!T65</f>
        <v>70</v>
      </c>
      <c r="P368" s="913">
        <f>'matrik MISI 5'!U65</f>
        <v>72.5</v>
      </c>
      <c r="Q368" s="913">
        <f>'matrik MISI 5'!V65</f>
        <v>75</v>
      </c>
      <c r="R368" s="913">
        <f>'matrik MISI 5'!W65</f>
        <v>75</v>
      </c>
    </row>
    <row r="369" spans="2:18" ht="31.5">
      <c r="B369" s="914"/>
      <c r="C369" s="70"/>
      <c r="D369" s="70"/>
      <c r="E369" s="70"/>
      <c r="F369" s="70"/>
      <c r="G369" s="70"/>
      <c r="H369" s="70"/>
      <c r="I369" s="2" t="str">
        <f>'matrik MISI 5'!N66</f>
        <v>Cakupan Penduduk yang Memanfaatkan Jamban</v>
      </c>
      <c r="J369" s="913" t="str">
        <f>'matrik MISI 5'!O66</f>
        <v>%</v>
      </c>
      <c r="K369" s="913">
        <f>'matrik MISI 5'!P66</f>
        <v>63.2</v>
      </c>
      <c r="L369" s="913">
        <f>'matrik MISI 5'!Q66</f>
        <v>79.3</v>
      </c>
      <c r="M369" s="913">
        <f>'matrik MISI 5'!R66</f>
        <v>80</v>
      </c>
      <c r="N369" s="913">
        <f>'matrik MISI 5'!S66</f>
        <v>80</v>
      </c>
      <c r="O369" s="913">
        <f>'matrik MISI 5'!T66</f>
        <v>80</v>
      </c>
      <c r="P369" s="913">
        <f>'matrik MISI 5'!U66</f>
        <v>80</v>
      </c>
      <c r="Q369" s="913">
        <f>'matrik MISI 5'!V66</f>
        <v>80</v>
      </c>
      <c r="R369" s="913">
        <f>'matrik MISI 5'!W66</f>
        <v>80</v>
      </c>
    </row>
    <row r="370" spans="2:18" ht="47.25">
      <c r="B370" s="914"/>
      <c r="C370" s="70"/>
      <c r="D370" s="70"/>
      <c r="E370" s="70"/>
      <c r="F370" s="70"/>
      <c r="G370" s="70"/>
      <c r="H370" s="70"/>
      <c r="I370" s="2" t="str">
        <f>'matrik MISI 5'!N67</f>
        <v>Cakupan Rumah Tangga dengan Akses Terhadap Air Bersih yang Layak di Perkotaan</v>
      </c>
      <c r="J370" s="913" t="str">
        <f>'matrik MISI 5'!O67</f>
        <v>%</v>
      </c>
      <c r="K370" s="913" t="str">
        <f>'matrik MISI 5'!P67</f>
        <v>tda</v>
      </c>
      <c r="L370" s="913">
        <f>'matrik MISI 5'!Q67</f>
        <v>62.5</v>
      </c>
      <c r="M370" s="913">
        <f>'matrik MISI 5'!R67</f>
        <v>65</v>
      </c>
      <c r="N370" s="913">
        <f>'matrik MISI 5'!S67</f>
        <v>67.5</v>
      </c>
      <c r="O370" s="913">
        <f>'matrik MISI 5'!T67</f>
        <v>70</v>
      </c>
      <c r="P370" s="913">
        <f>'matrik MISI 5'!U67</f>
        <v>72.5</v>
      </c>
      <c r="Q370" s="913">
        <f>'matrik MISI 5'!V67</f>
        <v>75</v>
      </c>
      <c r="R370" s="913">
        <f>'matrik MISI 5'!W67</f>
        <v>75</v>
      </c>
    </row>
    <row r="371" spans="2:18" ht="47.25">
      <c r="B371" s="914"/>
      <c r="C371" s="70"/>
      <c r="D371" s="70"/>
      <c r="E371" s="70"/>
      <c r="F371" s="70"/>
      <c r="G371" s="70"/>
      <c r="H371" s="70"/>
      <c r="I371" s="2" t="str">
        <f>'matrik MISI 5'!N68</f>
        <v>Cakupan Rumah Tangga dengan Akses terhadap Air Bersih yang Layak di Pedesaan</v>
      </c>
      <c r="J371" s="913" t="str">
        <f>'matrik MISI 5'!O68</f>
        <v>%</v>
      </c>
      <c r="K371" s="913" t="str">
        <f>'matrik MISI 5'!P68</f>
        <v>tda</v>
      </c>
      <c r="L371" s="913">
        <f>'matrik MISI 5'!Q68</f>
        <v>50</v>
      </c>
      <c r="M371" s="913">
        <f>'matrik MISI 5'!R68</f>
        <v>50</v>
      </c>
      <c r="N371" s="913">
        <f>'matrik MISI 5'!S68</f>
        <v>53</v>
      </c>
      <c r="O371" s="913">
        <f>'matrik MISI 5'!T68</f>
        <v>55</v>
      </c>
      <c r="P371" s="913">
        <f>'matrik MISI 5'!U68</f>
        <v>58</v>
      </c>
      <c r="Q371" s="913">
        <f>'matrik MISI 5'!V68</f>
        <v>60</v>
      </c>
      <c r="R371" s="913">
        <f>'matrik MISI 5'!W68</f>
        <v>60</v>
      </c>
    </row>
    <row r="372" spans="2:18" ht="31.5">
      <c r="B372" s="914"/>
      <c r="C372" s="70"/>
      <c r="D372" s="70"/>
      <c r="E372" s="70"/>
      <c r="F372" s="70"/>
      <c r="G372" s="70"/>
      <c r="H372" s="70"/>
      <c r="I372" s="2" t="str">
        <f>'matrik MISI 5'!N69</f>
        <v>Cakupan Penjaringan Kesehatan Siswa  Tingkat Dasar</v>
      </c>
      <c r="J372" s="913" t="str">
        <f>'matrik MISI 5'!O69</f>
        <v>%</v>
      </c>
      <c r="K372" s="913">
        <f>'matrik MISI 5'!P69</f>
        <v>99.36</v>
      </c>
      <c r="L372" s="913">
        <f>'matrik MISI 5'!Q69</f>
        <v>100</v>
      </c>
      <c r="M372" s="913">
        <f>'matrik MISI 5'!R69</f>
        <v>100</v>
      </c>
      <c r="N372" s="913">
        <f>'matrik MISI 5'!S69</f>
        <v>100</v>
      </c>
      <c r="O372" s="913">
        <f>'matrik MISI 5'!T69</f>
        <v>100</v>
      </c>
      <c r="P372" s="913">
        <f>'matrik MISI 5'!U69</f>
        <v>100</v>
      </c>
      <c r="Q372" s="913">
        <f>'matrik MISI 5'!V69</f>
        <v>100</v>
      </c>
      <c r="R372" s="913">
        <f>'matrik MISI 5'!W69</f>
        <v>100</v>
      </c>
    </row>
    <row r="373" spans="2:18">
      <c r="B373" s="914"/>
      <c r="C373" s="70"/>
      <c r="D373" s="70"/>
      <c r="E373" s="70"/>
      <c r="F373" s="70"/>
      <c r="G373" s="70"/>
      <c r="H373" s="70"/>
      <c r="I373" s="2" t="str">
        <f>'matrik MISI 5'!N70</f>
        <v>Cakupan Desa Siaga Aktif</v>
      </c>
      <c r="J373" s="913" t="str">
        <f>'matrik MISI 5'!O70</f>
        <v>%</v>
      </c>
      <c r="K373" s="913">
        <f>'matrik MISI 5'!P70</f>
        <v>100</v>
      </c>
      <c r="L373" s="913">
        <f>'matrik MISI 5'!Q70</f>
        <v>100</v>
      </c>
      <c r="M373" s="913">
        <f>'matrik MISI 5'!R70</f>
        <v>100</v>
      </c>
      <c r="N373" s="913">
        <f>'matrik MISI 5'!S70</f>
        <v>100</v>
      </c>
      <c r="O373" s="913">
        <f>'matrik MISI 5'!T70</f>
        <v>100</v>
      </c>
      <c r="P373" s="913">
        <f>'matrik MISI 5'!U70</f>
        <v>100</v>
      </c>
      <c r="Q373" s="913">
        <f>'matrik MISI 5'!V70</f>
        <v>100</v>
      </c>
      <c r="R373" s="913">
        <f>'matrik MISI 5'!W70</f>
        <v>100</v>
      </c>
    </row>
    <row r="374" spans="2:18" ht="31.5">
      <c r="B374" s="914"/>
      <c r="C374" s="70"/>
      <c r="D374" s="70"/>
      <c r="E374" s="70"/>
      <c r="F374" s="70"/>
      <c r="G374" s="70"/>
      <c r="H374" s="70"/>
      <c r="I374" s="2" t="str">
        <f>'matrik MISI 5'!N71</f>
        <v>Cakupan Posyandu Purnama dan Mandiri</v>
      </c>
      <c r="J374" s="913" t="str">
        <f>'matrik MISI 5'!O71</f>
        <v>%</v>
      </c>
      <c r="K374" s="913">
        <f>'matrik MISI 5'!P71</f>
        <v>42.6</v>
      </c>
      <c r="L374" s="913">
        <f>'matrik MISI 5'!Q71</f>
        <v>40</v>
      </c>
      <c r="M374" s="913">
        <f>'matrik MISI 5'!R71</f>
        <v>42</v>
      </c>
      <c r="N374" s="913">
        <f>'matrik MISI 5'!S71</f>
        <v>44</v>
      </c>
      <c r="O374" s="913">
        <f>'matrik MISI 5'!T71</f>
        <v>46</v>
      </c>
      <c r="P374" s="913">
        <f>'matrik MISI 5'!U71</f>
        <v>48</v>
      </c>
      <c r="Q374" s="913">
        <f>'matrik MISI 5'!V71</f>
        <v>50</v>
      </c>
      <c r="R374" s="913">
        <f>'matrik MISI 5'!W71</f>
        <v>50</v>
      </c>
    </row>
    <row r="375" spans="2:18">
      <c r="B375" s="914"/>
      <c r="C375" s="70"/>
      <c r="D375" s="70"/>
      <c r="E375" s="917"/>
      <c r="F375" s="917"/>
      <c r="G375" s="917"/>
      <c r="H375" s="917"/>
      <c r="I375" s="2" t="str">
        <f>'matrik MISI 5'!N72</f>
        <v>Cakupan Rumah Tangga Sehat</v>
      </c>
      <c r="J375" s="913" t="str">
        <f>'matrik MISI 5'!O72</f>
        <v>%</v>
      </c>
      <c r="K375" s="913">
        <f>'matrik MISI 5'!P72</f>
        <v>74.099999999999994</v>
      </c>
      <c r="L375" s="913">
        <f>'matrik MISI 5'!Q72</f>
        <v>74.099999999999994</v>
      </c>
      <c r="M375" s="913">
        <f>'matrik MISI 5'!R72</f>
        <v>80</v>
      </c>
      <c r="N375" s="913">
        <f>'matrik MISI 5'!S72</f>
        <v>80</v>
      </c>
      <c r="O375" s="913">
        <f>'matrik MISI 5'!T72</f>
        <v>80</v>
      </c>
      <c r="P375" s="913">
        <f>'matrik MISI 5'!U72</f>
        <v>80</v>
      </c>
      <c r="Q375" s="913">
        <f>'matrik MISI 5'!V72</f>
        <v>80</v>
      </c>
      <c r="R375" s="913">
        <f>'matrik MISI 5'!W72</f>
        <v>80</v>
      </c>
    </row>
    <row r="376" spans="2:18" ht="47.25">
      <c r="B376" s="914"/>
      <c r="C376" s="70"/>
      <c r="D376" s="70"/>
      <c r="E376" s="916">
        <f>'matrik MISI 5'!C73</f>
        <v>7</v>
      </c>
      <c r="F376" s="916" t="str">
        <f>'matrik MISI 5'!D73</f>
        <v>Meningkatkan Ketahanan dan Kesejahteraan Keluarga Melalui Keluarga Berencana</v>
      </c>
      <c r="G376" s="916">
        <f>'matrik MISI 5'!E73</f>
        <v>7</v>
      </c>
      <c r="H376" s="916" t="str">
        <f>'matrik MISI 5'!F73</f>
        <v>Meningkatnya Derajat Kesejahteraan Keluarga</v>
      </c>
      <c r="I376" s="2" t="str">
        <f>'matrik MISI 5'!N74</f>
        <v>Meningkatnya kualias kesejahteraan keluarga</v>
      </c>
      <c r="J376" s="913">
        <f>'matrik MISI 5'!O74</f>
        <v>0</v>
      </c>
      <c r="K376" s="913">
        <f>'matrik MISI 5'!P74</f>
        <v>0</v>
      </c>
      <c r="L376" s="913">
        <f>'matrik MISI 5'!Q74</f>
        <v>0</v>
      </c>
      <c r="M376" s="913">
        <f>'matrik MISI 5'!R74</f>
        <v>0</v>
      </c>
      <c r="N376" s="913">
        <f>'matrik MISI 5'!S74</f>
        <v>0</v>
      </c>
      <c r="O376" s="913">
        <f>'matrik MISI 5'!T74</f>
        <v>0</v>
      </c>
      <c r="P376" s="913">
        <f>'matrik MISI 5'!U74</f>
        <v>0</v>
      </c>
      <c r="Q376" s="913">
        <f>'matrik MISI 5'!V74</f>
        <v>0</v>
      </c>
      <c r="R376" s="913">
        <f>'matrik MISI 5'!W74</f>
        <v>0</v>
      </c>
    </row>
    <row r="377" spans="2:18">
      <c r="B377" s="914"/>
      <c r="C377" s="70"/>
      <c r="D377" s="70"/>
      <c r="E377" s="70"/>
      <c r="F377" s="70"/>
      <c r="G377" s="70"/>
      <c r="H377" s="70"/>
      <c r="I377" s="2" t="str">
        <f>'matrik MISI 5'!N75</f>
        <v>a. Keluarga Pra Sejahtera</v>
      </c>
      <c r="J377" s="913" t="str">
        <f>'matrik MISI 5'!O75</f>
        <v>%</v>
      </c>
      <c r="K377" s="913" t="str">
        <f>'matrik MISI 5'!P75</f>
        <v>22,86</v>
      </c>
      <c r="L377" s="913" t="str">
        <f>'matrik MISI 5'!Q75</f>
        <v>21,32</v>
      </c>
      <c r="M377" s="913" t="str">
        <f>'matrik MISI 5'!R75</f>
        <v>21,32</v>
      </c>
      <c r="N377" s="913" t="str">
        <f>'matrik MISI 5'!S75</f>
        <v>20,58</v>
      </c>
      <c r="O377" s="913" t="str">
        <f>'matrik MISI 5'!T75</f>
        <v>20,48</v>
      </c>
      <c r="P377" s="913" t="str">
        <f>'matrik MISI 5'!U75</f>
        <v>20,26</v>
      </c>
      <c r="Q377" s="913" t="str">
        <f>'matrik MISI 5'!V75</f>
        <v>20,22</v>
      </c>
      <c r="R377" s="913" t="str">
        <f>'matrik MISI 5'!W75</f>
        <v>20,22</v>
      </c>
    </row>
    <row r="378" spans="2:18">
      <c r="B378" s="914"/>
      <c r="C378" s="70"/>
      <c r="D378" s="70"/>
      <c r="E378" s="70"/>
      <c r="F378" s="70"/>
      <c r="G378" s="70"/>
      <c r="H378" s="70"/>
      <c r="I378" s="2" t="str">
        <f>'matrik MISI 5'!N76</f>
        <v>b. Keluarga Sejahtera I</v>
      </c>
      <c r="J378" s="913" t="str">
        <f>'matrik MISI 5'!O76</f>
        <v>%</v>
      </c>
      <c r="K378" s="913" t="str">
        <f>'matrik MISI 5'!P76</f>
        <v>11,3</v>
      </c>
      <c r="L378" s="913" t="str">
        <f>'matrik MISI 5'!Q76</f>
        <v>8,05</v>
      </c>
      <c r="M378" s="913" t="str">
        <f>'matrik MISI 5'!R76</f>
        <v>8,05</v>
      </c>
      <c r="N378" s="913" t="str">
        <f>'matrik MISI 5'!S76</f>
        <v>7,87</v>
      </c>
      <c r="O378" s="913" t="str">
        <f>'matrik MISI 5'!T76</f>
        <v>7,15</v>
      </c>
      <c r="P378" s="913" t="str">
        <f>'matrik MISI 5'!U76</f>
        <v>7,24</v>
      </c>
      <c r="Q378" s="913" t="str">
        <f>'matrik MISI 5'!V76</f>
        <v>7,23</v>
      </c>
      <c r="R378" s="913" t="str">
        <f>'matrik MISI 5'!W76</f>
        <v>7,23</v>
      </c>
    </row>
    <row r="379" spans="2:18">
      <c r="B379" s="914"/>
      <c r="C379" s="70"/>
      <c r="D379" s="70"/>
      <c r="E379" s="70"/>
      <c r="F379" s="70"/>
      <c r="G379" s="70"/>
      <c r="H379" s="70"/>
      <c r="I379" s="2" t="str">
        <f>'matrik MISI 5'!N77</f>
        <v>c. Keluarga Sejahtera II</v>
      </c>
      <c r="J379" s="913" t="str">
        <f>'matrik MISI 5'!O77</f>
        <v>%</v>
      </c>
      <c r="K379" s="913" t="str">
        <f>'matrik MISI 5'!P77</f>
        <v>17,33</v>
      </c>
      <c r="L379" s="913" t="str">
        <f>'matrik MISI 5'!Q77</f>
        <v>21,81</v>
      </c>
      <c r="M379" s="913" t="str">
        <f>'matrik MISI 5'!R77</f>
        <v>21,81</v>
      </c>
      <c r="N379" s="913" t="str">
        <f>'matrik MISI 5'!S77</f>
        <v>22,01</v>
      </c>
      <c r="O379" s="913" t="str">
        <f>'matrik MISI 5'!T77</f>
        <v>23,16</v>
      </c>
      <c r="P379" s="913" t="str">
        <f>'matrik MISI 5'!U77</f>
        <v>23,17</v>
      </c>
      <c r="Q379" s="913" t="str">
        <f>'matrik MISI 5'!V77</f>
        <v>23,19</v>
      </c>
      <c r="R379" s="913" t="str">
        <f>'matrik MISI 5'!W77</f>
        <v>23,19</v>
      </c>
    </row>
    <row r="380" spans="2:18">
      <c r="B380" s="914"/>
      <c r="C380" s="70"/>
      <c r="D380" s="70"/>
      <c r="E380" s="70"/>
      <c r="F380" s="70"/>
      <c r="G380" s="70"/>
      <c r="H380" s="70"/>
      <c r="I380" s="2" t="str">
        <f>'matrik MISI 5'!N78</f>
        <v>d. Keluarga Sejahtera III</v>
      </c>
      <c r="J380" s="913" t="str">
        <f>'matrik MISI 5'!O78</f>
        <v>%</v>
      </c>
      <c r="K380" s="913" t="str">
        <f>'matrik MISI 5'!P78</f>
        <v>45,38</v>
      </c>
      <c r="L380" s="913" t="str">
        <f>'matrik MISI 5'!Q78</f>
        <v>45,57</v>
      </c>
      <c r="M380" s="913" t="str">
        <f>'matrik MISI 5'!R78</f>
        <v>45,57</v>
      </c>
      <c r="N380" s="913" t="str">
        <f>'matrik MISI 5'!S78</f>
        <v>44,93</v>
      </c>
      <c r="O380" s="913" t="str">
        <f>'matrik MISI 5'!T78</f>
        <v>45,23</v>
      </c>
      <c r="P380" s="913" t="str">
        <f>'matrik MISI 5'!U78</f>
        <v>45,21</v>
      </c>
      <c r="Q380" s="913" t="str">
        <f>'matrik MISI 5'!V78</f>
        <v>45,22</v>
      </c>
      <c r="R380" s="913" t="str">
        <f>'matrik MISI 5'!W78</f>
        <v>45,22</v>
      </c>
    </row>
    <row r="381" spans="2:18">
      <c r="B381" s="914"/>
      <c r="C381" s="70"/>
      <c r="D381" s="70"/>
      <c r="E381" s="70"/>
      <c r="F381" s="70"/>
      <c r="G381" s="70"/>
      <c r="H381" s="70"/>
      <c r="I381" s="2" t="str">
        <f>'matrik MISI 5'!N79</f>
        <v>e. Keluarga Sejahtera III plus</v>
      </c>
      <c r="J381" s="913" t="str">
        <f>'matrik MISI 5'!O79</f>
        <v>%</v>
      </c>
      <c r="K381" s="913" t="str">
        <f>'matrik MISI 5'!P79</f>
        <v>3,11</v>
      </c>
      <c r="L381" s="913" t="str">
        <f>'matrik MISI 5'!Q79</f>
        <v>3,23</v>
      </c>
      <c r="M381" s="913" t="str">
        <f>'matrik MISI 5'!R79</f>
        <v>3,23</v>
      </c>
      <c r="N381" s="913" t="str">
        <f>'matrik MISI 5'!S79</f>
        <v>3,61</v>
      </c>
      <c r="O381" s="913" t="str">
        <f>'matrik MISI 5'!T79</f>
        <v>3,98</v>
      </c>
      <c r="P381" s="913" t="str">
        <f>'matrik MISI 5'!U79</f>
        <v>4,12</v>
      </c>
      <c r="Q381" s="913" t="str">
        <f>'matrik MISI 5'!V79</f>
        <v>4,14</v>
      </c>
      <c r="R381" s="913" t="str">
        <f>'matrik MISI 5'!W79</f>
        <v>4,14</v>
      </c>
    </row>
    <row r="382" spans="2:18" ht="47.25">
      <c r="B382" s="914"/>
      <c r="C382" s="70"/>
      <c r="D382" s="70"/>
      <c r="E382" s="70"/>
      <c r="F382" s="70"/>
      <c r="G382" s="917"/>
      <c r="H382" s="917"/>
      <c r="I382" s="2" t="str">
        <f>'matrik MISI 5'!N80</f>
        <v>Cakupan penyediaan informasi data mikro keluarga di setiap desa/kelurahan setiap tahun</v>
      </c>
      <c r="J382" s="913" t="str">
        <f>'matrik MISI 5'!O80</f>
        <v>%</v>
      </c>
      <c r="K382" s="913">
        <f>'matrik MISI 5'!P80</f>
        <v>100</v>
      </c>
      <c r="L382" s="913">
        <f>'matrik MISI 5'!Q80</f>
        <v>100</v>
      </c>
      <c r="M382" s="913">
        <f>'matrik MISI 5'!R80</f>
        <v>100</v>
      </c>
      <c r="N382" s="913">
        <f>'matrik MISI 5'!S80</f>
        <v>100</v>
      </c>
      <c r="O382" s="913">
        <f>'matrik MISI 5'!T80</f>
        <v>100</v>
      </c>
      <c r="P382" s="913">
        <f>'matrik MISI 5'!U80</f>
        <v>100</v>
      </c>
      <c r="Q382" s="913">
        <f>'matrik MISI 5'!V80</f>
        <v>100</v>
      </c>
      <c r="R382" s="913">
        <f>'matrik MISI 5'!W80</f>
        <v>100</v>
      </c>
    </row>
    <row r="383" spans="2:18" ht="47.25">
      <c r="B383" s="914"/>
      <c r="C383" s="70"/>
      <c r="D383" s="70"/>
      <c r="E383" s="70"/>
      <c r="F383" s="70"/>
      <c r="G383" s="916">
        <f>'matrik MISI 5'!E81</f>
        <v>8</v>
      </c>
      <c r="H383" s="916" t="str">
        <f>'matrik MISI 5'!F81</f>
        <v>Meningkatnya Aksesibilitas Masyarakat Atas Pelayanan Keluarga Berencana</v>
      </c>
      <c r="I383" s="2" t="str">
        <f>'matrik MISI 5'!N82</f>
        <v>Cakupan Pasangan Usia Subur yang Istrinya dibawah Usia 20 tahun</v>
      </c>
      <c r="J383" s="913" t="str">
        <f>'matrik MISI 5'!O82</f>
        <v>%</v>
      </c>
      <c r="K383" s="913" t="str">
        <f>'matrik MISI 5'!P82</f>
        <v>4,00</v>
      </c>
      <c r="L383" s="913" t="str">
        <f>'matrik MISI 5'!Q82</f>
        <v>3,25</v>
      </c>
      <c r="M383" s="913" t="str">
        <f>'matrik MISI 5'!R82</f>
        <v>3,10</v>
      </c>
      <c r="N383" s="913">
        <f>'matrik MISI 5'!S82</f>
        <v>3</v>
      </c>
      <c r="O383" s="913" t="str">
        <f>'matrik MISI 5'!T82</f>
        <v>2,8</v>
      </c>
      <c r="P383" s="913" t="str">
        <f>'matrik MISI 5'!U82</f>
        <v>2,7</v>
      </c>
      <c r="Q383" s="913" t="str">
        <f>'matrik MISI 5'!V82</f>
        <v>2,6</v>
      </c>
      <c r="R383" s="913" t="str">
        <f>'matrik MISI 5'!W82</f>
        <v>2,6</v>
      </c>
    </row>
    <row r="384" spans="2:18" ht="31.5">
      <c r="B384" s="914"/>
      <c r="C384" s="70"/>
      <c r="D384" s="70"/>
      <c r="E384" s="70"/>
      <c r="F384" s="70"/>
      <c r="G384" s="70"/>
      <c r="H384" s="70"/>
      <c r="I384" s="2" t="str">
        <f>'matrik MISI 5'!N83</f>
        <v>Cakupan Sasaran Pasangan Usia Subur Menjadi Peserta KB Aktif</v>
      </c>
      <c r="J384" s="913" t="str">
        <f>'matrik MISI 5'!O83</f>
        <v>%</v>
      </c>
      <c r="K384" s="913" t="str">
        <f>'matrik MISI 5'!P83</f>
        <v>83,02</v>
      </c>
      <c r="L384" s="913" t="str">
        <f>'matrik MISI 5'!Q83</f>
        <v>83,00</v>
      </c>
      <c r="M384" s="913" t="str">
        <f>'matrik MISI 5'!R83</f>
        <v>83,2</v>
      </c>
      <c r="N384" s="913" t="str">
        <f>'matrik MISI 5'!S83</f>
        <v>83,4</v>
      </c>
      <c r="O384" s="913" t="str">
        <f>'matrik MISI 5'!T83</f>
        <v>83,6</v>
      </c>
      <c r="P384" s="913" t="str">
        <f>'matrik MISI 5'!U83</f>
        <v>83,8</v>
      </c>
      <c r="Q384" s="913">
        <f>'matrik MISI 5'!V83</f>
        <v>84</v>
      </c>
      <c r="R384" s="913">
        <f>'matrik MISI 5'!W83</f>
        <v>84</v>
      </c>
    </row>
    <row r="385" spans="2:18" ht="47.25">
      <c r="B385" s="914"/>
      <c r="C385" s="70"/>
      <c r="D385" s="70"/>
      <c r="E385" s="70"/>
      <c r="F385" s="70"/>
      <c r="G385" s="70"/>
      <c r="H385" s="70"/>
      <c r="I385" s="2" t="str">
        <f>'matrik MISI 5'!N84</f>
        <v>Cakupan Pasangan Usia Subur yang ingin Ber-KB tidak Terpenuhi (Unmet need)</v>
      </c>
      <c r="J385" s="913" t="str">
        <f>'matrik MISI 5'!O84</f>
        <v>%</v>
      </c>
      <c r="K385" s="913" t="str">
        <f>'matrik MISI 5'!P84</f>
        <v>7,55</v>
      </c>
      <c r="L385" s="913" t="str">
        <f>'matrik MISI 5'!Q84</f>
        <v>6,00</v>
      </c>
      <c r="M385" s="913" t="str">
        <f>'matrik MISI 5'!R84</f>
        <v>5,7</v>
      </c>
      <c r="N385" s="913" t="str">
        <f>'matrik MISI 5'!S84</f>
        <v>5,5</v>
      </c>
      <c r="O385" s="913" t="str">
        <f>'matrik MISI 5'!T84</f>
        <v>5,3</v>
      </c>
      <c r="P385" s="913" t="str">
        <f>'matrik MISI 5'!U84</f>
        <v>5,1</v>
      </c>
      <c r="Q385" s="913" t="str">
        <f>'matrik MISI 5'!V84</f>
        <v>5,05</v>
      </c>
      <c r="R385" s="913" t="str">
        <f>'matrik MISI 5'!W84</f>
        <v>5,05</v>
      </c>
    </row>
    <row r="386" spans="2:18" ht="31.5">
      <c r="B386" s="914"/>
      <c r="C386" s="70"/>
      <c r="D386" s="70"/>
      <c r="E386" s="70"/>
      <c r="F386" s="70"/>
      <c r="G386" s="70"/>
      <c r="H386" s="70"/>
      <c r="I386" s="2" t="str">
        <f>'matrik MISI 5'!N85</f>
        <v>Cakupan Anggota Bina Keluarga Balita Ber-KB</v>
      </c>
      <c r="J386" s="913" t="str">
        <f>'matrik MISI 5'!O85</f>
        <v>%</v>
      </c>
      <c r="K386" s="913" t="str">
        <f>'matrik MISI 5'!P85</f>
        <v>80,58</v>
      </c>
      <c r="L386" s="913" t="str">
        <f>'matrik MISI 5'!Q85</f>
        <v>81,00</v>
      </c>
      <c r="M386" s="913" t="str">
        <f>'matrik MISI 5'!R85</f>
        <v>81,05</v>
      </c>
      <c r="N386" s="913" t="str">
        <f>'matrik MISI 5'!S85</f>
        <v>81,1</v>
      </c>
      <c r="O386" s="913" t="str">
        <f>'matrik MISI 5'!T85</f>
        <v>81,16</v>
      </c>
      <c r="P386" s="913" t="str">
        <f>'matrik MISI 5'!U85</f>
        <v>81,19</v>
      </c>
      <c r="Q386" s="913" t="str">
        <f>'matrik MISI 5'!V85</f>
        <v>81,25</v>
      </c>
      <c r="R386" s="913" t="str">
        <f>'matrik MISI 5'!W85</f>
        <v>81,25</v>
      </c>
    </row>
    <row r="387" spans="2:18" ht="63">
      <c r="B387" s="914"/>
      <c r="C387" s="70"/>
      <c r="D387" s="70"/>
      <c r="E387" s="70"/>
      <c r="F387" s="70"/>
      <c r="G387" s="70"/>
      <c r="H387" s="70"/>
      <c r="I387" s="2" t="str">
        <f>'matrik MISI 5'!N86</f>
        <v>Cakupan PUS Peserta KB Anggota Usaha Peningkatan Pendapatan Keluarga Sejahtera ( UPPKS ) yang Ber-KB</v>
      </c>
      <c r="J387" s="913" t="str">
        <f>'matrik MISI 5'!O86</f>
        <v>%</v>
      </c>
      <c r="K387" s="913" t="str">
        <f>'matrik MISI 5'!P86</f>
        <v>84,52</v>
      </c>
      <c r="L387" s="913" t="str">
        <f>'matrik MISI 5'!Q86</f>
        <v>85,00</v>
      </c>
      <c r="M387" s="913" t="str">
        <f>'matrik MISI 5'!R86</f>
        <v>85,5</v>
      </c>
      <c r="N387" s="913" t="str">
        <f>'matrik MISI 5'!S86</f>
        <v>85,6</v>
      </c>
      <c r="O387" s="913" t="str">
        <f>'matrik MISI 5'!T86</f>
        <v>85,75</v>
      </c>
      <c r="P387" s="913" t="str">
        <f>'matrik MISI 5'!U86</f>
        <v>85,8</v>
      </c>
      <c r="Q387" s="913">
        <f>'matrik MISI 5'!V86</f>
        <v>86</v>
      </c>
      <c r="R387" s="913">
        <f>'matrik MISI 5'!W86</f>
        <v>86</v>
      </c>
    </row>
    <row r="388" spans="2:18" ht="63">
      <c r="B388" s="914"/>
      <c r="C388" s="70"/>
      <c r="D388" s="70"/>
      <c r="E388" s="70"/>
      <c r="F388" s="70"/>
      <c r="G388" s="70"/>
      <c r="H388" s="70"/>
      <c r="I388" s="2" t="str">
        <f>'matrik MISI 5'!N87</f>
        <v>Rasio Petugas Lapangan Keluarga Berencana atau Penyuluh KB Per  Desa atau Kelurahan</v>
      </c>
      <c r="J388" s="913" t="str">
        <f>'matrik MISI 5'!O87</f>
        <v>Rasio</v>
      </c>
      <c r="K388" s="913" t="str">
        <f>'matrik MISI 5'!P87</f>
        <v>1 : 6</v>
      </c>
      <c r="L388" s="913" t="str">
        <f>'matrik MISI 5'!Q87</f>
        <v>1 : 6</v>
      </c>
      <c r="M388" s="913" t="str">
        <f>'matrik MISI 5'!R87</f>
        <v>1 : 5</v>
      </c>
      <c r="N388" s="913" t="str">
        <f>'matrik MISI 5'!S87</f>
        <v>1 : 4</v>
      </c>
      <c r="O388" s="913" t="str">
        <f>'matrik MISI 5'!T87</f>
        <v>1 :4</v>
      </c>
      <c r="P388" s="913" t="str">
        <f>'matrik MISI 5'!U87</f>
        <v>1 :4</v>
      </c>
      <c r="Q388" s="913" t="str">
        <f>'matrik MISI 5'!V87</f>
        <v>1 : 2</v>
      </c>
      <c r="R388" s="913" t="str">
        <f>'matrik MISI 5'!W87</f>
        <v>1 : 2</v>
      </c>
    </row>
    <row r="389" spans="2:18" ht="47.25">
      <c r="B389" s="914"/>
      <c r="C389" s="70"/>
      <c r="D389" s="70"/>
      <c r="E389" s="70"/>
      <c r="F389" s="70"/>
      <c r="G389" s="70"/>
      <c r="H389" s="70"/>
      <c r="I389" s="2" t="str">
        <f>'matrik MISI 5'!N88</f>
        <v>Rasio Pembantu Pembina Keluarga Berencana per desa/Kelurahan</v>
      </c>
      <c r="J389" s="913" t="str">
        <f>'matrik MISI 5'!O88</f>
        <v>Rasio</v>
      </c>
      <c r="K389" s="913" t="str">
        <f>'matrik MISI 5'!P88</f>
        <v>1 : 1</v>
      </c>
      <c r="L389" s="913" t="str">
        <f>'matrik MISI 5'!Q88</f>
        <v>1 : 1</v>
      </c>
      <c r="M389" s="913" t="str">
        <f>'matrik MISI 5'!R88</f>
        <v>1 : 1</v>
      </c>
      <c r="N389" s="913" t="str">
        <f>'matrik MISI 5'!S88</f>
        <v>1 : 1</v>
      </c>
      <c r="O389" s="913" t="str">
        <f>'matrik MISI 5'!T88</f>
        <v>1 : 1</v>
      </c>
      <c r="P389" s="913" t="str">
        <f>'matrik MISI 5'!U88</f>
        <v>1 : 1</v>
      </c>
      <c r="Q389" s="913" t="str">
        <f>'matrik MISI 5'!V88</f>
        <v>1 : 1</v>
      </c>
      <c r="R389" s="913" t="str">
        <f>'matrik MISI 5'!W88</f>
        <v>1 : 1</v>
      </c>
    </row>
    <row r="390" spans="2:18" ht="31.5">
      <c r="B390" s="914"/>
      <c r="C390" s="70"/>
      <c r="D390" s="70"/>
      <c r="E390" s="70"/>
      <c r="F390" s="70"/>
      <c r="G390" s="70"/>
      <c r="H390" s="70"/>
      <c r="I390" s="2" t="str">
        <f>'matrik MISI 5'!N89</f>
        <v>Persentase Penggunaan Alat Kontrasepsi Pada Pria</v>
      </c>
      <c r="J390" s="913" t="str">
        <f>'matrik MISI 5'!O89</f>
        <v>%</v>
      </c>
      <c r="K390" s="913" t="str">
        <f>'matrik MISI 5'!P89</f>
        <v>2,89</v>
      </c>
      <c r="L390" s="913" t="str">
        <f>'matrik MISI 5'!Q89</f>
        <v>3,00</v>
      </c>
      <c r="M390" s="913" t="str">
        <f>'matrik MISI 5'!R89</f>
        <v>3,2</v>
      </c>
      <c r="N390" s="913" t="str">
        <f>'matrik MISI 5'!S89</f>
        <v>3,33</v>
      </c>
      <c r="O390" s="913" t="str">
        <f>'matrik MISI 5'!T89</f>
        <v>3,34</v>
      </c>
      <c r="P390" s="913" t="str">
        <f>'matrik MISI 5'!U89</f>
        <v>3,54</v>
      </c>
      <c r="Q390" s="913" t="str">
        <f>'matrik MISI 5'!V89</f>
        <v>3,55</v>
      </c>
      <c r="R390" s="913" t="str">
        <f>'matrik MISI 5'!W89</f>
        <v>3,55</v>
      </c>
    </row>
    <row r="391" spans="2:18" ht="31.5">
      <c r="B391" s="914"/>
      <c r="C391" s="70"/>
      <c r="D391" s="70"/>
      <c r="E391" s="70"/>
      <c r="F391" s="70"/>
      <c r="G391" s="70"/>
      <c r="H391" s="70"/>
      <c r="I391" s="2" t="str">
        <f>'matrik MISI 5'!N90</f>
        <v>Terkendalinya Pertumbuhan Jumlah Penduduk</v>
      </c>
      <c r="J391" s="913" t="str">
        <f>'matrik MISI 5'!O90</f>
        <v>%</v>
      </c>
      <c r="K391" s="913" t="str">
        <f>'matrik MISI 5'!P90</f>
        <v>0,67</v>
      </c>
      <c r="L391" s="913" t="str">
        <f>'matrik MISI 5'!Q90</f>
        <v>0,67</v>
      </c>
      <c r="M391" s="913" t="str">
        <f>'matrik MISI 5'!R90</f>
        <v>0,65</v>
      </c>
      <c r="N391" s="913" t="str">
        <f>'matrik MISI 5'!S90</f>
        <v>0,64</v>
      </c>
      <c r="O391" s="913" t="str">
        <f>'matrik MISI 5'!T90</f>
        <v>0,63</v>
      </c>
      <c r="P391" s="913" t="str">
        <f>'matrik MISI 5'!U90</f>
        <v>0,62</v>
      </c>
      <c r="Q391" s="913" t="str">
        <f>'matrik MISI 5'!V90</f>
        <v>0,6</v>
      </c>
      <c r="R391" s="913" t="str">
        <f>'matrik MISI 5'!W90</f>
        <v>0,6</v>
      </c>
    </row>
    <row r="392" spans="2:18" ht="31.5">
      <c r="B392" s="914"/>
      <c r="C392" s="70"/>
      <c r="D392" s="70"/>
      <c r="E392" s="70"/>
      <c r="F392" s="70"/>
      <c r="G392" s="70"/>
      <c r="H392" s="70"/>
      <c r="I392" s="2" t="str">
        <f>'matrik MISI 5'!N91</f>
        <v>Besaran Sasaran PUS Menjadi Peserta KB Baru</v>
      </c>
      <c r="J392" s="913">
        <f>'matrik MISI 5'!O91</f>
        <v>0</v>
      </c>
      <c r="K392" s="913">
        <f>'matrik MISI 5'!P91</f>
        <v>19.428000000000001</v>
      </c>
      <c r="L392" s="913">
        <f>'matrik MISI 5'!Q91</f>
        <v>17.274000000000001</v>
      </c>
      <c r="M392" s="913">
        <f>'matrik MISI 5'!R91</f>
        <v>14.073</v>
      </c>
      <c r="N392" s="913">
        <f>'matrik MISI 5'!S91</f>
        <v>14.065</v>
      </c>
      <c r="O392" s="913">
        <f>'matrik MISI 5'!T91</f>
        <v>14.058999999999999</v>
      </c>
      <c r="P392" s="913">
        <f>'matrik MISI 5'!U91</f>
        <v>14.057</v>
      </c>
      <c r="Q392" s="913">
        <f>'matrik MISI 5'!V91</f>
        <v>14.055</v>
      </c>
      <c r="R392" s="913">
        <f>'matrik MISI 5'!W91</f>
        <v>14.055</v>
      </c>
    </row>
    <row r="393" spans="2:18" ht="47.25">
      <c r="B393" s="914"/>
      <c r="C393" s="917"/>
      <c r="D393" s="917"/>
      <c r="E393" s="917"/>
      <c r="F393" s="917"/>
      <c r="G393" s="917"/>
      <c r="H393" s="917"/>
      <c r="I393" s="2" t="str">
        <f>'matrik MISI 5'!N92</f>
        <v>Cakupan penyediaan alat dan kontrasepsi untuk memenuhi permintaan masyarakat</v>
      </c>
      <c r="J393" s="913" t="str">
        <f>'matrik MISI 5'!O92</f>
        <v>%</v>
      </c>
      <c r="K393" s="913">
        <f>'matrik MISI 5'!P92</f>
        <v>4</v>
      </c>
      <c r="L393" s="913">
        <f>'matrik MISI 5'!Q92</f>
        <v>4</v>
      </c>
      <c r="M393" s="913">
        <f>'matrik MISI 5'!R92</f>
        <v>3</v>
      </c>
      <c r="N393" s="913">
        <f>'matrik MISI 5'!S92</f>
        <v>3</v>
      </c>
      <c r="O393" s="913">
        <f>'matrik MISI 5'!T92</f>
        <v>3</v>
      </c>
      <c r="P393" s="913">
        <f>'matrik MISI 5'!U92</f>
        <v>3</v>
      </c>
      <c r="Q393" s="913">
        <f>'matrik MISI 5'!V92</f>
        <v>3</v>
      </c>
      <c r="R393" s="913">
        <f>'matrik MISI 5'!W92</f>
        <v>3</v>
      </c>
    </row>
    <row r="394" spans="2:18" ht="110.25">
      <c r="B394" s="919" t="s">
        <v>694</v>
      </c>
      <c r="C394" s="916">
        <v>6</v>
      </c>
      <c r="D394" s="916" t="str">
        <f>'visi misi'!A15</f>
        <v>Mewujudkan Peningkatan Pelaksanaan Pemerintahan yang Bersih, Transparan, Tidak KKN, dan Berorientasi pada Pelayanan Publik</v>
      </c>
      <c r="E394" s="916">
        <f>'matrik MISI 6'!C6</f>
        <v>1</v>
      </c>
      <c r="F394" s="916" t="str">
        <f>'matrik MISI 6'!D6</f>
        <v>Meningkatkan Kualitas Perencanaan, Pengendalian, Evaluasi, dan Pengkajian  Pembangunan Daerah</v>
      </c>
      <c r="G394" s="916">
        <f>'matrik MISI 6'!E6</f>
        <v>1</v>
      </c>
      <c r="H394" s="916" t="str">
        <f>'matrik MISI 6'!F6</f>
        <v>Meningkatnya Kualitas Perencanaan, Pengendalian, Evaluasi, dan Pengkajian  Pembangunan Daerah</v>
      </c>
      <c r="I394" s="2" t="str">
        <f>'matrik MISI 6'!N7</f>
        <v xml:space="preserve">Besaran Penelitian dan Pengembangan </v>
      </c>
      <c r="J394" s="913" t="str">
        <f>'matrik MISI 6'!O7</f>
        <v>dokumen</v>
      </c>
      <c r="K394" s="913">
        <f>'matrik MISI 6'!P7</f>
        <v>0</v>
      </c>
      <c r="L394" s="913">
        <f>'matrik MISI 6'!Q7</f>
        <v>0</v>
      </c>
      <c r="M394" s="913">
        <f>'matrik MISI 6'!R7</f>
        <v>0</v>
      </c>
      <c r="N394" s="913">
        <f>'matrik MISI 6'!S7</f>
        <v>1</v>
      </c>
      <c r="O394" s="913">
        <f>'matrik MISI 6'!T7</f>
        <v>1</v>
      </c>
      <c r="P394" s="913">
        <f>'matrik MISI 6'!U7</f>
        <v>1</v>
      </c>
      <c r="Q394" s="913">
        <f>'matrik MISI 6'!V7</f>
        <v>1</v>
      </c>
      <c r="R394" s="913">
        <f>'matrik MISI 6'!W7</f>
        <v>4</v>
      </c>
    </row>
    <row r="395" spans="2:18" ht="47.25">
      <c r="B395" s="914"/>
      <c r="C395" s="70"/>
      <c r="D395" s="70"/>
      <c r="E395" s="70"/>
      <c r="F395" s="70"/>
      <c r="G395" s="70"/>
      <c r="H395" s="70"/>
      <c r="I395" s="2" t="str">
        <f>'matrik MISI 6'!N8</f>
        <v>Persentase Dokumen Perencanaan Pembangunan Daerah yang tepat waktu</v>
      </c>
      <c r="J395" s="913" t="str">
        <f>'matrik MISI 6'!O8</f>
        <v>%</v>
      </c>
      <c r="K395" s="913">
        <f>'matrik MISI 6'!P8</f>
        <v>100</v>
      </c>
      <c r="L395" s="913">
        <f>'matrik MISI 6'!Q8</f>
        <v>100</v>
      </c>
      <c r="M395" s="913">
        <f>'matrik MISI 6'!R8</f>
        <v>100</v>
      </c>
      <c r="N395" s="913">
        <f>'matrik MISI 6'!S8</f>
        <v>100</v>
      </c>
      <c r="O395" s="913">
        <f>'matrik MISI 6'!T8</f>
        <v>100</v>
      </c>
      <c r="P395" s="913">
        <f>'matrik MISI 6'!U8</f>
        <v>100</v>
      </c>
      <c r="Q395" s="913">
        <f>'matrik MISI 6'!V8</f>
        <v>100</v>
      </c>
      <c r="R395" s="913">
        <f>'matrik MISI 6'!W8</f>
        <v>100</v>
      </c>
    </row>
    <row r="396" spans="2:18" ht="47.25">
      <c r="B396" s="914"/>
      <c r="C396" s="70"/>
      <c r="D396" s="70"/>
      <c r="E396" s="70"/>
      <c r="F396" s="70"/>
      <c r="G396" s="70"/>
      <c r="H396" s="70"/>
      <c r="I396" s="2" t="str">
        <f>'matrik MISI 6'!N10</f>
        <v>Rasio Keterwakilan Perempuan dalam Proses Perencanaan Pembangunan Daerah</v>
      </c>
      <c r="J396" s="913" t="str">
        <f>'matrik MISI 6'!O10</f>
        <v>Rasio</v>
      </c>
      <c r="K396" s="913">
        <f>'matrik MISI 6'!P10</f>
        <v>0.16666666666666666</v>
      </c>
      <c r="L396" s="913">
        <f>'matrik MISI 6'!Q10</f>
        <v>0.16666666666666666</v>
      </c>
      <c r="M396" s="913" t="str">
        <f>'matrik MISI 6'!R10</f>
        <v>0,18</v>
      </c>
      <c r="N396" s="913" t="str">
        <f>'matrik MISI 6'!S10</f>
        <v>0,18</v>
      </c>
      <c r="O396" s="913" t="str">
        <f>'matrik MISI 6'!T10</f>
        <v>0,19</v>
      </c>
      <c r="P396" s="913" t="str">
        <f>'matrik MISI 6'!U10</f>
        <v>0,19</v>
      </c>
      <c r="Q396" s="913" t="str">
        <f>'matrik MISI 6'!V10</f>
        <v>0,2</v>
      </c>
      <c r="R396" s="913" t="str">
        <f>'matrik MISI 6'!W10</f>
        <v>0,2</v>
      </c>
    </row>
    <row r="397" spans="2:18" ht="47.25">
      <c r="B397" s="914"/>
      <c r="C397" s="70"/>
      <c r="D397" s="70"/>
      <c r="E397" s="70"/>
      <c r="F397" s="70"/>
      <c r="G397" s="70"/>
      <c r="H397" s="70"/>
      <c r="I397" s="2" t="str">
        <f>'matrik MISI 6'!N11</f>
        <v>Persentase Keterwakilan Anak dalam Proses Perencanaan Pembangunan Daerah</v>
      </c>
      <c r="J397" s="913" t="str">
        <f>'matrik MISI 6'!O11</f>
        <v>%</v>
      </c>
      <c r="K397" s="913">
        <f>'matrik MISI 6'!P11</f>
        <v>1.6666666666666666E-2</v>
      </c>
      <c r="L397" s="913">
        <f>'matrik MISI 6'!Q11</f>
        <v>1.6666666666666666E-2</v>
      </c>
      <c r="M397" s="913" t="str">
        <f>'matrik MISI 6'!R11</f>
        <v>0,0175</v>
      </c>
      <c r="N397" s="913" t="str">
        <f>'matrik MISI 6'!S11</f>
        <v>0,0175</v>
      </c>
      <c r="O397" s="913" t="str">
        <f>'matrik MISI 6'!T11</f>
        <v>0,018</v>
      </c>
      <c r="P397" s="913" t="str">
        <f>'matrik MISI 6'!U11</f>
        <v>0,018</v>
      </c>
      <c r="Q397" s="913" t="str">
        <f>'matrik MISI 6'!V11</f>
        <v>0,0185</v>
      </c>
      <c r="R397" s="913" t="str">
        <f>'matrik MISI 6'!W11</f>
        <v>0,0185</v>
      </c>
    </row>
    <row r="398" spans="2:18" ht="31.5">
      <c r="B398" s="914"/>
      <c r="C398" s="70"/>
      <c r="D398" s="70"/>
      <c r="E398" s="70"/>
      <c r="F398" s="70"/>
      <c r="G398" s="70"/>
      <c r="H398" s="70"/>
      <c r="I398" s="2" t="str">
        <f>'matrik MISI 6'!N12</f>
        <v xml:space="preserve">Besaran Dokumen Perencanaan Pembangunan Tematik </v>
      </c>
      <c r="J398" s="913" t="str">
        <f>'matrik MISI 6'!O12</f>
        <v>Dokumen</v>
      </c>
      <c r="K398" s="913">
        <f>'matrik MISI 6'!P12</f>
        <v>0</v>
      </c>
      <c r="L398" s="913">
        <f>'matrik MISI 6'!Q12</f>
        <v>0</v>
      </c>
      <c r="M398" s="913">
        <f>'matrik MISI 6'!R12</f>
        <v>0</v>
      </c>
      <c r="N398" s="913">
        <f>'matrik MISI 6'!S12</f>
        <v>5</v>
      </c>
      <c r="O398" s="913">
        <f>'matrik MISI 6'!T12</f>
        <v>2</v>
      </c>
      <c r="P398" s="913">
        <f>'matrik MISI 6'!U12</f>
        <v>5</v>
      </c>
      <c r="Q398" s="913">
        <f>'matrik MISI 6'!V12</f>
        <v>2</v>
      </c>
      <c r="R398" s="913">
        <f>'matrik MISI 6'!W12</f>
        <v>14</v>
      </c>
    </row>
    <row r="399" spans="2:18" ht="47.25">
      <c r="B399" s="914"/>
      <c r="C399" s="70"/>
      <c r="D399" s="70"/>
      <c r="E399" s="70"/>
      <c r="F399" s="70"/>
      <c r="G399" s="70"/>
      <c r="H399" s="70"/>
      <c r="I399" s="2" t="str">
        <f>'matrik MISI 6'!N13</f>
        <v xml:space="preserve">Persentase Tingkat Capaian Target RPJMD Hasil Pelaksanaan RKPD </v>
      </c>
      <c r="J399" s="913" t="str">
        <f>'matrik MISI 6'!O13</f>
        <v>%</v>
      </c>
      <c r="K399" s="913" t="str">
        <f>'matrik MISI 6'!P13</f>
        <v>n.a</v>
      </c>
      <c r="L399" s="913" t="str">
        <f>'matrik MISI 6'!Q13</f>
        <v>n.a</v>
      </c>
      <c r="M399" s="913">
        <f>'matrik MISI 6'!R13</f>
        <v>100</v>
      </c>
      <c r="N399" s="913">
        <f>'matrik MISI 6'!S13</f>
        <v>100</v>
      </c>
      <c r="O399" s="913">
        <f>'matrik MISI 6'!T13</f>
        <v>100</v>
      </c>
      <c r="P399" s="913">
        <f>'matrik MISI 6'!U13</f>
        <v>100</v>
      </c>
      <c r="Q399" s="913">
        <f>'matrik MISI 6'!V13</f>
        <v>100</v>
      </c>
      <c r="R399" s="913">
        <f>'matrik MISI 6'!W13</f>
        <v>100</v>
      </c>
    </row>
    <row r="400" spans="2:18" ht="47.25">
      <c r="B400" s="914"/>
      <c r="C400" s="70"/>
      <c r="D400" s="70"/>
      <c r="E400" s="70"/>
      <c r="F400" s="70"/>
      <c r="G400" s="70"/>
      <c r="H400" s="70"/>
      <c r="I400" s="2" t="str">
        <f>'matrik MISI 6'!N14</f>
        <v>Persentase Tingkat Capaian Kinerja dan Realisasi Anggaran RPJMD</v>
      </c>
      <c r="J400" s="913" t="str">
        <f>'matrik MISI 6'!O14</f>
        <v>%</v>
      </c>
      <c r="K400" s="913" t="str">
        <f>'matrik MISI 6'!P14</f>
        <v>n.a</v>
      </c>
      <c r="L400" s="913" t="str">
        <f>'matrik MISI 6'!Q14</f>
        <v>n.a</v>
      </c>
      <c r="M400" s="913">
        <f>'matrik MISI 6'!R14</f>
        <v>100</v>
      </c>
      <c r="N400" s="913">
        <f>'matrik MISI 6'!S14</f>
        <v>100</v>
      </c>
      <c r="O400" s="913">
        <f>'matrik MISI 6'!T14</f>
        <v>100</v>
      </c>
      <c r="P400" s="913">
        <f>'matrik MISI 6'!U14</f>
        <v>100</v>
      </c>
      <c r="Q400" s="913">
        <f>'matrik MISI 6'!V14</f>
        <v>100</v>
      </c>
      <c r="R400" s="913">
        <f>'matrik MISI 6'!W14</f>
        <v>100</v>
      </c>
    </row>
    <row r="401" spans="2:18" ht="47.25">
      <c r="B401" s="914"/>
      <c r="C401" s="70"/>
      <c r="D401" s="70"/>
      <c r="E401" s="70"/>
      <c r="F401" s="70"/>
      <c r="G401" s="70"/>
      <c r="H401" s="70"/>
      <c r="I401" s="2" t="str">
        <f>'matrik MISI 6'!N15</f>
        <v>Persentase Tingkat Capaian Kinerja dan Realisasi Anggaran Renstra SKPD</v>
      </c>
      <c r="J401" s="913" t="str">
        <f>'matrik MISI 6'!O15</f>
        <v>%</v>
      </c>
      <c r="K401" s="913">
        <f>'matrik MISI 6'!P15</f>
        <v>0</v>
      </c>
      <c r="L401" s="913">
        <f>'matrik MISI 6'!Q15</f>
        <v>0</v>
      </c>
      <c r="M401" s="913">
        <f>'matrik MISI 6'!R15</f>
        <v>100</v>
      </c>
      <c r="N401" s="913">
        <f>'matrik MISI 6'!S15</f>
        <v>100</v>
      </c>
      <c r="O401" s="913">
        <f>'matrik MISI 6'!T15</f>
        <v>100</v>
      </c>
      <c r="P401" s="913">
        <f>'matrik MISI 6'!U15</f>
        <v>100</v>
      </c>
      <c r="Q401" s="913">
        <f>'matrik MISI 6'!V15</f>
        <v>100</v>
      </c>
      <c r="R401" s="913">
        <f>'matrik MISI 6'!W15</f>
        <v>100</v>
      </c>
    </row>
    <row r="402" spans="2:18" ht="31.5">
      <c r="B402" s="914"/>
      <c r="C402" s="70"/>
      <c r="D402" s="70"/>
      <c r="E402" s="70"/>
      <c r="F402" s="70"/>
      <c r="G402" s="70"/>
      <c r="H402" s="70"/>
      <c r="I402" s="2" t="str">
        <f>'matrik MISI 6'!N16</f>
        <v>Persentase program SKPD di Luar RPJMD</v>
      </c>
      <c r="J402" s="913" t="str">
        <f>'matrik MISI 6'!O16</f>
        <v>%</v>
      </c>
      <c r="K402" s="913">
        <f>'matrik MISI 6'!P16</f>
        <v>0</v>
      </c>
      <c r="L402" s="913">
        <f>'matrik MISI 6'!Q16</f>
        <v>0</v>
      </c>
      <c r="M402" s="913">
        <f>'matrik MISI 6'!R16</f>
        <v>0</v>
      </c>
      <c r="N402" s="913">
        <f>'matrik MISI 6'!S16</f>
        <v>0</v>
      </c>
      <c r="O402" s="913">
        <f>'matrik MISI 6'!T16</f>
        <v>0</v>
      </c>
      <c r="P402" s="913">
        <f>'matrik MISI 6'!U16</f>
        <v>0</v>
      </c>
      <c r="Q402" s="913">
        <f>'matrik MISI 6'!V16</f>
        <v>0</v>
      </c>
      <c r="R402" s="913">
        <f>'matrik MISI 6'!W16</f>
        <v>0</v>
      </c>
    </row>
    <row r="403" spans="2:18" ht="31.5">
      <c r="B403" s="914"/>
      <c r="C403" s="70"/>
      <c r="D403" s="70"/>
      <c r="E403" s="917"/>
      <c r="F403" s="917"/>
      <c r="G403" s="917"/>
      <c r="H403" s="917"/>
      <c r="I403" s="2" t="str">
        <f>'matrik MISI 6'!N17</f>
        <v>Persentase  Kegiatan SKPD di Luar Renstra SKPD</v>
      </c>
      <c r="J403" s="913" t="str">
        <f>'matrik MISI 6'!O17</f>
        <v>%</v>
      </c>
      <c r="K403" s="913">
        <f>'matrik MISI 6'!P17</f>
        <v>0</v>
      </c>
      <c r="L403" s="913">
        <f>'matrik MISI 6'!Q17</f>
        <v>0</v>
      </c>
      <c r="M403" s="913">
        <f>'matrik MISI 6'!R17</f>
        <v>0</v>
      </c>
      <c r="N403" s="913">
        <f>'matrik MISI 6'!S17</f>
        <v>0</v>
      </c>
      <c r="O403" s="913">
        <f>'matrik MISI 6'!T17</f>
        <v>0</v>
      </c>
      <c r="P403" s="913">
        <f>'matrik MISI 6'!U17</f>
        <v>0</v>
      </c>
      <c r="Q403" s="913">
        <f>'matrik MISI 6'!V17</f>
        <v>0</v>
      </c>
      <c r="R403" s="913">
        <f>'matrik MISI 6'!W17</f>
        <v>0</v>
      </c>
    </row>
    <row r="404" spans="2:18" ht="31.5">
      <c r="B404" s="914"/>
      <c r="C404" s="70"/>
      <c r="D404" s="70"/>
      <c r="E404" s="916">
        <f>'matrik MISI 6'!C18</f>
        <v>2</v>
      </c>
      <c r="F404" s="916" t="str">
        <f>'matrik MISI 6'!D18</f>
        <v>Meningkatkan Tertib Administrasi Pertanahan</v>
      </c>
      <c r="G404" s="916">
        <f>'matrik MISI 6'!E18</f>
        <v>2</v>
      </c>
      <c r="H404" s="916" t="str">
        <f>'matrik MISI 6'!F18</f>
        <v>Meningkatnya Tertib Administrasi Pertanahan</v>
      </c>
      <c r="I404" s="2" t="str">
        <f>'matrik MISI 6'!N19</f>
        <v>Persentase Aset Tanah Pemerintah yang Bersertifikat</v>
      </c>
      <c r="J404" s="913" t="str">
        <f>'matrik MISI 6'!O19</f>
        <v>%</v>
      </c>
      <c r="K404" s="913" t="str">
        <f>'matrik MISI 6'!P19</f>
        <v>75,6</v>
      </c>
      <c r="L404" s="913" t="str">
        <f>'matrik MISI 6'!Q19</f>
        <v>80,7</v>
      </c>
      <c r="M404" s="913" t="str">
        <f>'matrik MISI 6'!R19</f>
        <v>84,5</v>
      </c>
      <c r="N404" s="913" t="str">
        <f>'matrik MISI 6'!S19</f>
        <v>88,4</v>
      </c>
      <c r="O404" s="913" t="str">
        <f>'matrik MISI 6'!T19</f>
        <v>92,3</v>
      </c>
      <c r="P404" s="913" t="str">
        <f>'matrik MISI 6'!U19</f>
        <v>96,13</v>
      </c>
      <c r="Q404" s="913">
        <f>'matrik MISI 6'!V19</f>
        <v>100</v>
      </c>
      <c r="R404" s="913">
        <f>'matrik MISI 6'!W19</f>
        <v>100</v>
      </c>
    </row>
    <row r="405" spans="2:18" ht="63">
      <c r="B405" s="914"/>
      <c r="C405" s="70"/>
      <c r="D405" s="70"/>
      <c r="E405" s="917"/>
      <c r="F405" s="917"/>
      <c r="G405" s="917"/>
      <c r="H405" s="917"/>
      <c r="I405" s="2" t="str">
        <f>'matrik MISI 6'!N20</f>
        <v>Persentase Penggantian Tanah Pemerintah Desa yang Digunakan untuk Kepentingan Pemerintah Kabupaten</v>
      </c>
      <c r="J405" s="913" t="str">
        <f>'matrik MISI 6'!O20</f>
        <v>%</v>
      </c>
      <c r="K405" s="913">
        <f>'matrik MISI 6'!P20</f>
        <v>5</v>
      </c>
      <c r="L405" s="913">
        <f>'matrik MISI 6'!Q20</f>
        <v>7.5</v>
      </c>
      <c r="M405" s="913">
        <f>'matrik MISI 6'!R20</f>
        <v>7.5</v>
      </c>
      <c r="N405" s="913">
        <f>'matrik MISI 6'!S20</f>
        <v>12.5</v>
      </c>
      <c r="O405" s="913">
        <f>'matrik MISI 6'!T20</f>
        <v>15</v>
      </c>
      <c r="P405" s="913">
        <f>'matrik MISI 6'!U20</f>
        <v>17.5</v>
      </c>
      <c r="Q405" s="913">
        <f>'matrik MISI 6'!V20</f>
        <v>20</v>
      </c>
      <c r="R405" s="913">
        <f>'matrik MISI 6'!W20</f>
        <v>20</v>
      </c>
    </row>
    <row r="406" spans="2:18" ht="47.25">
      <c r="B406" s="914"/>
      <c r="C406" s="70"/>
      <c r="D406" s="70"/>
      <c r="E406" s="916">
        <f>'matrik MISI 6'!C21</f>
        <v>3</v>
      </c>
      <c r="F406" s="916" t="str">
        <f>'matrik MISI 6'!D21</f>
        <v>Terwujudnya Pemerintahan yang Bersih dan Bebas Kolusi, Korupsi, dan Nepotisme</v>
      </c>
      <c r="G406" s="916">
        <f>'matrik MISI 6'!E21</f>
        <v>3</v>
      </c>
      <c r="H406" s="916" t="str">
        <f>'matrik MISI 6'!F21</f>
        <v>Meningkatnya Kemampuan, Profesionalisme, dan Kesejahteraan SDM Aparatur</v>
      </c>
      <c r="I406" s="2" t="str">
        <f>'matrik MISI 6'!N22</f>
        <v>Persentase PNS yang Mengikuti Diklat Teknis Fungsional</v>
      </c>
      <c r="J406" s="913" t="str">
        <f>'matrik MISI 6'!O22</f>
        <v>%</v>
      </c>
      <c r="K406" s="913">
        <f>'matrik MISI 6'!P22</f>
        <v>1.6</v>
      </c>
      <c r="L406" s="913">
        <f>'matrik MISI 6'!Q22</f>
        <v>1.3</v>
      </c>
      <c r="M406" s="913">
        <f>'matrik MISI 6'!R22</f>
        <v>1.4</v>
      </c>
      <c r="N406" s="913">
        <f>'matrik MISI 6'!S22</f>
        <v>1.5</v>
      </c>
      <c r="O406" s="913">
        <f>'matrik MISI 6'!T22</f>
        <v>1.6</v>
      </c>
      <c r="P406" s="913">
        <f>'matrik MISI 6'!U22</f>
        <v>1.8</v>
      </c>
      <c r="Q406" s="913">
        <f>'matrik MISI 6'!V22</f>
        <v>1.9</v>
      </c>
      <c r="R406" s="913">
        <f>'matrik MISI 6'!W22</f>
        <v>1.9</v>
      </c>
    </row>
    <row r="407" spans="2:18" ht="47.25">
      <c r="B407" s="914"/>
      <c r="C407" s="70"/>
      <c r="D407" s="70"/>
      <c r="E407" s="70"/>
      <c r="F407" s="70"/>
      <c r="G407" s="70"/>
      <c r="H407" s="70"/>
      <c r="I407" s="2" t="str">
        <f>'matrik MISI 6'!N23</f>
        <v>Persentase PNS yang Memiliki Sertifikat Pengadaan Barang atau Jasa</v>
      </c>
      <c r="J407" s="913" t="str">
        <f>'matrik MISI 6'!O23</f>
        <v>%</v>
      </c>
      <c r="K407" s="913">
        <f>'matrik MISI 6'!P23</f>
        <v>1.8587360594795539</v>
      </c>
      <c r="L407" s="913">
        <f>'matrik MISI 6'!Q23</f>
        <v>1.9040732706676309</v>
      </c>
      <c r="M407" s="913">
        <f>'matrik MISI 6'!R23</f>
        <v>2.1</v>
      </c>
      <c r="N407" s="913">
        <f>'matrik MISI 6'!S23</f>
        <v>2.4</v>
      </c>
      <c r="O407" s="913">
        <f>'matrik MISI 6'!T23</f>
        <v>2.6</v>
      </c>
      <c r="P407" s="913">
        <f>'matrik MISI 6'!U23</f>
        <v>2.8</v>
      </c>
      <c r="Q407" s="913">
        <f>'matrik MISI 6'!V23</f>
        <v>3</v>
      </c>
      <c r="R407" s="913">
        <f>'matrik MISI 6'!W23</f>
        <v>3</v>
      </c>
    </row>
    <row r="408" spans="2:18" ht="47.25">
      <c r="B408" s="914"/>
      <c r="C408" s="70"/>
      <c r="D408" s="70"/>
      <c r="E408" s="70"/>
      <c r="F408" s="70"/>
      <c r="G408" s="70"/>
      <c r="H408" s="70"/>
      <c r="I408" s="2" t="str">
        <f>'matrik MISI 6'!N24</f>
        <v>Persentase Pejabat Struktural yang Mengikuti Diklat Kepemimpinan</v>
      </c>
      <c r="J408" s="913" t="str">
        <f>'matrik MISI 6'!O24</f>
        <v>%</v>
      </c>
      <c r="K408" s="913">
        <f>'matrik MISI 6'!P24</f>
        <v>50</v>
      </c>
      <c r="L408" s="913">
        <f>'matrik MISI 6'!Q24</f>
        <v>39</v>
      </c>
      <c r="M408" s="913">
        <f>'matrik MISI 6'!R24</f>
        <v>37</v>
      </c>
      <c r="N408" s="913">
        <f>'matrik MISI 6'!S24</f>
        <v>37</v>
      </c>
      <c r="O408" s="913">
        <f>'matrik MISI 6'!T24</f>
        <v>36</v>
      </c>
      <c r="P408" s="913">
        <f>'matrik MISI 6'!U24</f>
        <v>35</v>
      </c>
      <c r="Q408" s="913">
        <f>'matrik MISI 6'!V24</f>
        <v>34</v>
      </c>
      <c r="R408" s="913">
        <f>'matrik MISI 6'!W24</f>
        <v>34</v>
      </c>
    </row>
    <row r="409" spans="2:18" ht="31.5">
      <c r="B409" s="914"/>
      <c r="C409" s="70"/>
      <c r="D409" s="70"/>
      <c r="E409" s="70"/>
      <c r="F409" s="70"/>
      <c r="G409" s="70"/>
      <c r="H409" s="70"/>
      <c r="I409" s="2" t="str">
        <f>'matrik MISI 6'!N25</f>
        <v>Persentase Penanganan Pelanggaran Disiplin PNS</v>
      </c>
      <c r="J409" s="913" t="str">
        <f>'matrik MISI 6'!O25</f>
        <v>%</v>
      </c>
      <c r="K409" s="913">
        <f>'matrik MISI 6'!P25</f>
        <v>79.411764705882348</v>
      </c>
      <c r="L409" s="913">
        <f>'matrik MISI 6'!Q25</f>
        <v>84.615384615384613</v>
      </c>
      <c r="M409" s="913">
        <f>'matrik MISI 6'!R25</f>
        <v>87</v>
      </c>
      <c r="N409" s="913">
        <f>'matrik MISI 6'!S25</f>
        <v>89</v>
      </c>
      <c r="O409" s="913">
        <f>'matrik MISI 6'!T25</f>
        <v>91</v>
      </c>
      <c r="P409" s="913">
        <f>'matrik MISI 6'!U25</f>
        <v>93</v>
      </c>
      <c r="Q409" s="913">
        <f>'matrik MISI 6'!V25</f>
        <v>95</v>
      </c>
      <c r="R409" s="913">
        <f>'matrik MISI 6'!W25</f>
        <v>95</v>
      </c>
    </row>
    <row r="410" spans="2:18" ht="31.5">
      <c r="B410" s="914"/>
      <c r="C410" s="70"/>
      <c r="D410" s="70"/>
      <c r="E410" s="70"/>
      <c r="F410" s="70"/>
      <c r="G410" s="70"/>
      <c r="H410" s="70"/>
      <c r="I410" s="2" t="str">
        <f>'matrik MISI 6'!N26</f>
        <v>Persentase Pengisian Jabatan Struktural PNS yang Kosong</v>
      </c>
      <c r="J410" s="913" t="str">
        <f>'matrik MISI 6'!O26</f>
        <v>%</v>
      </c>
      <c r="K410" s="913">
        <f>'matrik MISI 6'!P26</f>
        <v>81</v>
      </c>
      <c r="L410" s="913">
        <f>'matrik MISI 6'!Q26</f>
        <v>85</v>
      </c>
      <c r="M410" s="913">
        <f>'matrik MISI 6'!R26</f>
        <v>86</v>
      </c>
      <c r="N410" s="913">
        <f>'matrik MISI 6'!S26</f>
        <v>86</v>
      </c>
      <c r="O410" s="913">
        <f>'matrik MISI 6'!T26</f>
        <v>87</v>
      </c>
      <c r="P410" s="913">
        <f>'matrik MISI 6'!U26</f>
        <v>87</v>
      </c>
      <c r="Q410" s="913">
        <f>'matrik MISI 6'!V26</f>
        <v>90</v>
      </c>
      <c r="R410" s="913">
        <f>'matrik MISI 6'!W26</f>
        <v>90</v>
      </c>
    </row>
    <row r="411" spans="2:18">
      <c r="B411" s="914"/>
      <c r="C411" s="70"/>
      <c r="D411" s="70"/>
      <c r="E411" s="70"/>
      <c r="F411" s="70"/>
      <c r="G411" s="70"/>
      <c r="H411" s="70"/>
      <c r="I411" s="2" t="str">
        <f>'matrik MISI 6'!N27</f>
        <v>persentase PNS Lulusan S1</v>
      </c>
      <c r="J411" s="913" t="str">
        <f>'matrik MISI 6'!O27</f>
        <v>%</v>
      </c>
      <c r="K411" s="913">
        <f>'matrik MISI 6'!P27</f>
        <v>40</v>
      </c>
      <c r="L411" s="913">
        <f>'matrik MISI 6'!Q27</f>
        <v>42</v>
      </c>
      <c r="M411" s="913">
        <f>'matrik MISI 6'!R27</f>
        <v>46</v>
      </c>
      <c r="N411" s="913">
        <f>'matrik MISI 6'!S27</f>
        <v>49</v>
      </c>
      <c r="O411" s="913">
        <f>'matrik MISI 6'!T27</f>
        <v>52</v>
      </c>
      <c r="P411" s="913">
        <f>'matrik MISI 6'!U27</f>
        <v>55</v>
      </c>
      <c r="Q411" s="913">
        <f>'matrik MISI 6'!V27</f>
        <v>58</v>
      </c>
      <c r="R411" s="913">
        <f>'matrik MISI 6'!W27</f>
        <v>58</v>
      </c>
    </row>
    <row r="412" spans="2:18">
      <c r="B412" s="914"/>
      <c r="C412" s="70"/>
      <c r="D412" s="70"/>
      <c r="E412" s="70"/>
      <c r="F412" s="70"/>
      <c r="G412" s="70"/>
      <c r="H412" s="70"/>
      <c r="I412" s="2" t="str">
        <f>'matrik MISI 6'!N28</f>
        <v>Persentase PNS Lulusan S2/ S3</v>
      </c>
      <c r="J412" s="913" t="str">
        <f>'matrik MISI 6'!O28</f>
        <v>%</v>
      </c>
      <c r="K412" s="913">
        <f>'matrik MISI 6'!P28</f>
        <v>2.7</v>
      </c>
      <c r="L412" s="913">
        <f>'matrik MISI 6'!Q28</f>
        <v>3.4</v>
      </c>
      <c r="M412" s="913">
        <f>'matrik MISI 6'!R28</f>
        <v>3.7</v>
      </c>
      <c r="N412" s="913">
        <f>'matrik MISI 6'!S28</f>
        <v>4.0999999999999996</v>
      </c>
      <c r="O412" s="913">
        <f>'matrik MISI 6'!T28</f>
        <v>4.4000000000000004</v>
      </c>
      <c r="P412" s="913">
        <f>'matrik MISI 6'!U28</f>
        <v>4.8</v>
      </c>
      <c r="Q412" s="913">
        <f>'matrik MISI 6'!V28</f>
        <v>5.0999999999999996</v>
      </c>
      <c r="R412" s="913">
        <f>'matrik MISI 6'!W28</f>
        <v>5.0999999999999996</v>
      </c>
    </row>
    <row r="413" spans="2:18" ht="31.5">
      <c r="B413" s="914"/>
      <c r="C413" s="70"/>
      <c r="D413" s="70"/>
      <c r="E413" s="70"/>
      <c r="F413" s="70"/>
      <c r="G413" s="70"/>
      <c r="H413" s="70"/>
      <c r="I413" s="2" t="str">
        <f>'matrik MISI 6'!N29</f>
        <v>Persentase Penyelesaian Usulan Kenaikan Pangkat Tepat Waktu</v>
      </c>
      <c r="J413" s="913" t="str">
        <f>'matrik MISI 6'!O29</f>
        <v>%</v>
      </c>
      <c r="K413" s="913">
        <f>'matrik MISI 6'!P29</f>
        <v>50</v>
      </c>
      <c r="L413" s="913">
        <f>'matrik MISI 6'!Q29</f>
        <v>50</v>
      </c>
      <c r="M413" s="913">
        <f>'matrik MISI 6'!R29</f>
        <v>51</v>
      </c>
      <c r="N413" s="913">
        <f>'matrik MISI 6'!S29</f>
        <v>52</v>
      </c>
      <c r="O413" s="913">
        <f>'matrik MISI 6'!T29</f>
        <v>53</v>
      </c>
      <c r="P413" s="913">
        <f>'matrik MISI 6'!U29</f>
        <v>54</v>
      </c>
      <c r="Q413" s="913">
        <f>'matrik MISI 6'!V29</f>
        <v>55</v>
      </c>
      <c r="R413" s="913">
        <f>'matrik MISI 6'!W29</f>
        <v>55</v>
      </c>
    </row>
    <row r="414" spans="2:18" ht="31.5">
      <c r="B414" s="914"/>
      <c r="C414" s="70"/>
      <c r="D414" s="70"/>
      <c r="E414" s="70"/>
      <c r="F414" s="70"/>
      <c r="G414" s="70"/>
      <c r="H414" s="70"/>
      <c r="I414" s="2" t="str">
        <f>'matrik MISI 6'!N30</f>
        <v>Persentase Penyelesaian Usulan Pensiun PNS Tepat Waktu</v>
      </c>
      <c r="J414" s="913" t="str">
        <f>'matrik MISI 6'!O30</f>
        <v>%</v>
      </c>
      <c r="K414" s="913">
        <f>'matrik MISI 6'!P30</f>
        <v>100</v>
      </c>
      <c r="L414" s="913">
        <f>'matrik MISI 6'!Q30</f>
        <v>99</v>
      </c>
      <c r="M414" s="913">
        <f>'matrik MISI 6'!R30</f>
        <v>100</v>
      </c>
      <c r="N414" s="913">
        <f>'matrik MISI 6'!S30</f>
        <v>100</v>
      </c>
      <c r="O414" s="913">
        <f>'matrik MISI 6'!T30</f>
        <v>100</v>
      </c>
      <c r="P414" s="913">
        <f>'matrik MISI 6'!U30</f>
        <v>100</v>
      </c>
      <c r="Q414" s="913">
        <f>'matrik MISI 6'!V30</f>
        <v>100</v>
      </c>
      <c r="R414" s="913">
        <f>'matrik MISI 6'!W30</f>
        <v>100</v>
      </c>
    </row>
    <row r="415" spans="2:18" ht="47.25">
      <c r="B415" s="914"/>
      <c r="C415" s="70"/>
      <c r="D415" s="70"/>
      <c r="E415" s="70"/>
      <c r="F415" s="70"/>
      <c r="G415" s="70"/>
      <c r="H415" s="70"/>
      <c r="I415" s="2" t="str">
        <f>'matrik MISI 6'!N31</f>
        <v>Persentase Penanganan Kepala Desa dan Perangkat Desa yang Mengalami Kasus</v>
      </c>
      <c r="J415" s="913" t="str">
        <f>'matrik MISI 6'!O31</f>
        <v>%</v>
      </c>
      <c r="K415" s="913">
        <f>'matrik MISI 6'!P31</f>
        <v>100</v>
      </c>
      <c r="L415" s="913">
        <f>'matrik MISI 6'!Q31</f>
        <v>100</v>
      </c>
      <c r="M415" s="913">
        <f>'matrik MISI 6'!R31</f>
        <v>100</v>
      </c>
      <c r="N415" s="913">
        <f>'matrik MISI 6'!S31</f>
        <v>100</v>
      </c>
      <c r="O415" s="913">
        <f>'matrik MISI 6'!T31</f>
        <v>100</v>
      </c>
      <c r="P415" s="913">
        <f>'matrik MISI 6'!U31</f>
        <v>100</v>
      </c>
      <c r="Q415" s="913">
        <f>'matrik MISI 6'!V31</f>
        <v>100</v>
      </c>
      <c r="R415" s="913">
        <f>'matrik MISI 6'!W31</f>
        <v>100</v>
      </c>
    </row>
    <row r="416" spans="2:18" ht="31.5">
      <c r="B416" s="914"/>
      <c r="C416" s="70"/>
      <c r="D416" s="70"/>
      <c r="E416" s="70"/>
      <c r="F416" s="70"/>
      <c r="G416" s="70"/>
      <c r="H416" s="70"/>
      <c r="I416" s="2" t="str">
        <f>'matrik MISI 6'!N32</f>
        <v>Persentase Pengisian Jabatan Kepala Desa yang Kosong</v>
      </c>
      <c r="J416" s="913" t="str">
        <f>'matrik MISI 6'!O32</f>
        <v>%</v>
      </c>
      <c r="K416" s="913">
        <f>'matrik MISI 6'!P32</f>
        <v>100</v>
      </c>
      <c r="L416" s="913">
        <f>'matrik MISI 6'!Q32</f>
        <v>100</v>
      </c>
      <c r="M416" s="913">
        <f>'matrik MISI 6'!R32</f>
        <v>92.2</v>
      </c>
      <c r="N416" s="913">
        <f>'matrik MISI 6'!S32</f>
        <v>100</v>
      </c>
      <c r="O416" s="913">
        <f>'matrik MISI 6'!T32</f>
        <v>100</v>
      </c>
      <c r="P416" s="913">
        <f>'matrik MISI 6'!U32</f>
        <v>100</v>
      </c>
      <c r="Q416" s="913">
        <f>'matrik MISI 6'!V32</f>
        <v>100</v>
      </c>
      <c r="R416" s="913">
        <f>'matrik MISI 6'!W32</f>
        <v>100</v>
      </c>
    </row>
    <row r="417" spans="2:18" ht="31.5">
      <c r="B417" s="914"/>
      <c r="C417" s="70"/>
      <c r="D417" s="70"/>
      <c r="E417" s="917"/>
      <c r="F417" s="917"/>
      <c r="G417" s="917"/>
      <c r="H417" s="917"/>
      <c r="I417" s="2" t="str">
        <f>'matrik MISI 6'!N33</f>
        <v>Persentase Pengisian Jabatan Perangkat Desa yang Kosong</v>
      </c>
      <c r="J417" s="913" t="str">
        <f>'matrik MISI 6'!O33</f>
        <v>%</v>
      </c>
      <c r="K417" s="913">
        <f>'matrik MISI 6'!P33</f>
        <v>98.1</v>
      </c>
      <c r="L417" s="913">
        <f>'matrik MISI 6'!Q33</f>
        <v>97</v>
      </c>
      <c r="M417" s="913">
        <f>'matrik MISI 6'!R33</f>
        <v>97</v>
      </c>
      <c r="N417" s="913">
        <f>'matrik MISI 6'!S33</f>
        <v>97</v>
      </c>
      <c r="O417" s="913">
        <f>'matrik MISI 6'!T33</f>
        <v>97</v>
      </c>
      <c r="P417" s="913">
        <f>'matrik MISI 6'!U33</f>
        <v>97</v>
      </c>
      <c r="Q417" s="913">
        <f>'matrik MISI 6'!V33</f>
        <v>97</v>
      </c>
      <c r="R417" s="913">
        <f>'matrik MISI 6'!W33</f>
        <v>97</v>
      </c>
    </row>
    <row r="418" spans="2:18" ht="47.25">
      <c r="B418" s="914"/>
      <c r="C418" s="70"/>
      <c r="D418" s="70"/>
      <c r="E418" s="916">
        <f>'matrik MISI 6'!C34</f>
        <v>4</v>
      </c>
      <c r="F418" s="916" t="str">
        <f>'matrik MISI 6'!D34</f>
        <v>Meningkatnya Kapasitas dan Akuntabilitas Kinerja Birokrasi</v>
      </c>
      <c r="G418" s="916">
        <f>'matrik MISI 6'!E34</f>
        <v>4</v>
      </c>
      <c r="H418" s="916" t="str">
        <f>'matrik MISI 6'!F34</f>
        <v>Meningkatnya Kinerja Penyelenggaraan Pemerintahan Daerah</v>
      </c>
      <c r="I418" s="2" t="str">
        <f>'matrik MISI 6'!N35</f>
        <v>Persentase Jumlah Peraturan Daerah yang Ditetapkan Terhadap Jumlah Raperda</v>
      </c>
      <c r="J418" s="913" t="str">
        <f>'matrik MISI 6'!O35</f>
        <v>%</v>
      </c>
      <c r="K418" s="913">
        <f>'matrik MISI 6'!P35</f>
        <v>100</v>
      </c>
      <c r="L418" s="913">
        <f>'matrik MISI 6'!Q35</f>
        <v>100</v>
      </c>
      <c r="M418" s="913">
        <f>'matrik MISI 6'!R35</f>
        <v>100</v>
      </c>
      <c r="N418" s="913">
        <f>'matrik MISI 6'!S35</f>
        <v>100</v>
      </c>
      <c r="O418" s="913">
        <f>'matrik MISI 6'!T35</f>
        <v>100</v>
      </c>
      <c r="P418" s="913">
        <f>'matrik MISI 6'!U35</f>
        <v>100</v>
      </c>
      <c r="Q418" s="913">
        <f>'matrik MISI 6'!V35</f>
        <v>100</v>
      </c>
      <c r="R418" s="913">
        <f>'matrik MISI 6'!W35</f>
        <v>100</v>
      </c>
    </row>
    <row r="419" spans="2:18" ht="63">
      <c r="B419" s="914"/>
      <c r="C419" s="70"/>
      <c r="D419" s="70"/>
      <c r="E419" s="70"/>
      <c r="F419" s="70"/>
      <c r="G419" s="70"/>
      <c r="H419" s="70"/>
      <c r="I419" s="2" t="str">
        <f>'matrik MISI 6'!N36</f>
        <v>Persentase Jumlah Keputusan DPRD yang Ditindak Lanjuti Terhadap Keputusan DPRD yang Ditetapkan</v>
      </c>
      <c r="J419" s="913" t="str">
        <f>'matrik MISI 6'!O36</f>
        <v>%</v>
      </c>
      <c r="K419" s="913">
        <f>'matrik MISI 6'!P36</f>
        <v>100</v>
      </c>
      <c r="L419" s="913">
        <f>'matrik MISI 6'!Q36</f>
        <v>100</v>
      </c>
      <c r="M419" s="913">
        <f>'matrik MISI 6'!R36</f>
        <v>100</v>
      </c>
      <c r="N419" s="913">
        <f>'matrik MISI 6'!S36</f>
        <v>100</v>
      </c>
      <c r="O419" s="913">
        <f>'matrik MISI 6'!T36</f>
        <v>100</v>
      </c>
      <c r="P419" s="913">
        <f>'matrik MISI 6'!U36</f>
        <v>100</v>
      </c>
      <c r="Q419" s="913">
        <f>'matrik MISI 6'!V36</f>
        <v>100</v>
      </c>
      <c r="R419" s="913">
        <f>'matrik MISI 6'!W36</f>
        <v>100</v>
      </c>
    </row>
    <row r="420" spans="2:18" ht="31.5">
      <c r="B420" s="914"/>
      <c r="C420" s="70"/>
      <c r="D420" s="70"/>
      <c r="E420" s="70"/>
      <c r="F420" s="70"/>
      <c r="G420" s="70"/>
      <c r="H420" s="70"/>
      <c r="I420" s="2" t="str">
        <f>'matrik MISI 6'!N37</f>
        <v>Persentase Penanganan Hasil Temuan Pemeriksaan</v>
      </c>
      <c r="J420" s="913" t="str">
        <f>'matrik MISI 6'!O37</f>
        <v>%</v>
      </c>
      <c r="K420" s="913">
        <f>'matrik MISI 6'!P37</f>
        <v>0</v>
      </c>
      <c r="L420" s="913">
        <f>'matrik MISI 6'!Q37</f>
        <v>64</v>
      </c>
      <c r="M420" s="913">
        <f>'matrik MISI 6'!R37</f>
        <v>70</v>
      </c>
      <c r="N420" s="913">
        <f>'matrik MISI 6'!S37</f>
        <v>75</v>
      </c>
      <c r="O420" s="913">
        <f>'matrik MISI 6'!T37</f>
        <v>80</v>
      </c>
      <c r="P420" s="913">
        <f>'matrik MISI 6'!U37</f>
        <v>85</v>
      </c>
      <c r="Q420" s="913">
        <f>'matrik MISI 6'!V37</f>
        <v>90</v>
      </c>
      <c r="R420" s="913">
        <f>'matrik MISI 6'!W37</f>
        <v>90</v>
      </c>
    </row>
    <row r="421" spans="2:18" ht="63">
      <c r="B421" s="914"/>
      <c r="C421" s="70"/>
      <c r="D421" s="70"/>
      <c r="E421" s="70"/>
      <c r="F421" s="70"/>
      <c r="G421" s="70"/>
      <c r="H421" s="70"/>
      <c r="I421" s="2" t="str">
        <f>'matrik MISI 6'!N39</f>
        <v>Persentase SKPD, Unit Pelayanan, dan Satuan Pendidikan yang Menyusun Standar Pelayanan Publik</v>
      </c>
      <c r="J421" s="913" t="str">
        <f>'matrik MISI 6'!O39</f>
        <v>%</v>
      </c>
      <c r="K421" s="913">
        <f>'matrik MISI 6'!P39</f>
        <v>2.6785714285714284</v>
      </c>
      <c r="L421" s="913">
        <f>'matrik MISI 6'!Q39</f>
        <v>4.1071428571428568</v>
      </c>
      <c r="M421" s="913">
        <f>'matrik MISI 6'!R39</f>
        <v>7</v>
      </c>
      <c r="N421" s="913">
        <f>'matrik MISI 6'!S39</f>
        <v>15</v>
      </c>
      <c r="O421" s="913">
        <f>'matrik MISI 6'!T39</f>
        <v>45</v>
      </c>
      <c r="P421" s="913">
        <f>'matrik MISI 6'!U39</f>
        <v>70</v>
      </c>
      <c r="Q421" s="913">
        <f>'matrik MISI 6'!V39</f>
        <v>100</v>
      </c>
      <c r="R421" s="913">
        <f>'matrik MISI 6'!W39</f>
        <v>100</v>
      </c>
    </row>
    <row r="422" spans="2:18" ht="63">
      <c r="B422" s="914"/>
      <c r="C422" s="70"/>
      <c r="D422" s="70"/>
      <c r="E422" s="70"/>
      <c r="F422" s="70"/>
      <c r="G422" s="70"/>
      <c r="H422" s="70"/>
      <c r="I422" s="2" t="str">
        <f>'matrik MISI 6'!N40</f>
        <v>Persentase SKPD, Unit Pelayanan, dan Satuan Pendidikan yang telah Memiliki SOP</v>
      </c>
      <c r="J422" s="913" t="str">
        <f>'matrik MISI 6'!O40</f>
        <v>%</v>
      </c>
      <c r="K422" s="913">
        <f>'matrik MISI 6'!P40</f>
        <v>1.2403100775193798</v>
      </c>
      <c r="L422" s="913">
        <f>'matrik MISI 6'!Q40</f>
        <v>2.4806201550387597</v>
      </c>
      <c r="M422" s="913">
        <f>'matrik MISI 6'!R40</f>
        <v>8</v>
      </c>
      <c r="N422" s="913">
        <f>'matrik MISI 6'!S40</f>
        <v>25</v>
      </c>
      <c r="O422" s="913">
        <f>'matrik MISI 6'!T40</f>
        <v>50</v>
      </c>
      <c r="P422" s="913">
        <f>'matrik MISI 6'!U40</f>
        <v>75</v>
      </c>
      <c r="Q422" s="913">
        <f>'matrik MISI 6'!V40</f>
        <v>100</v>
      </c>
      <c r="R422" s="913">
        <f>'matrik MISI 6'!W40</f>
        <v>100</v>
      </c>
    </row>
    <row r="423" spans="2:18" ht="31.5">
      <c r="B423" s="914"/>
      <c r="C423" s="70"/>
      <c r="D423" s="70"/>
      <c r="E423" s="70"/>
      <c r="F423" s="70"/>
      <c r="G423" s="70"/>
      <c r="H423" s="70"/>
      <c r="I423" s="2" t="str">
        <f>'matrik MISI 6'!N41</f>
        <v>Meningkatnya Indeks Kepuasan Masyarakat</v>
      </c>
      <c r="J423" s="913" t="str">
        <f>'matrik MISI 6'!O41</f>
        <v>Kriteria</v>
      </c>
      <c r="K423" s="913" t="str">
        <f>'matrik MISI 6'!P41</f>
        <v>B</v>
      </c>
      <c r="L423" s="913" t="str">
        <f>'matrik MISI 6'!Q41</f>
        <v>B</v>
      </c>
      <c r="M423" s="913" t="str">
        <f>'matrik MISI 6'!R41</f>
        <v>B</v>
      </c>
      <c r="N423" s="913" t="str">
        <f>'matrik MISI 6'!S41</f>
        <v>B</v>
      </c>
      <c r="O423" s="913" t="str">
        <f>'matrik MISI 6'!T41</f>
        <v>B</v>
      </c>
      <c r="P423" s="913" t="str">
        <f>'matrik MISI 6'!U41</f>
        <v>B</v>
      </c>
      <c r="Q423" s="913" t="str">
        <f>'matrik MISI 6'!V41</f>
        <v>B</v>
      </c>
      <c r="R423" s="913" t="str">
        <f>'matrik MISI 6'!W41</f>
        <v>B</v>
      </c>
    </row>
    <row r="424" spans="2:18" ht="47.25">
      <c r="B424" s="914"/>
      <c r="C424" s="70"/>
      <c r="D424" s="70"/>
      <c r="E424" s="70"/>
      <c r="F424" s="70"/>
      <c r="G424" s="70"/>
      <c r="H424" s="70"/>
      <c r="I424" s="2" t="str">
        <f>'matrik MISI 6'!N42</f>
        <v>Peningkatan Nilai Sistem Akuntabilitas Kinerja Instansi Pemerintah (SAKIP)</v>
      </c>
      <c r="J424" s="913" t="str">
        <f>'matrik MISI 6'!O42</f>
        <v>Kriteria</v>
      </c>
      <c r="K424" s="913" t="str">
        <f>'matrik MISI 6'!P42</f>
        <v>C</v>
      </c>
      <c r="L424" s="913" t="str">
        <f>'matrik MISI 6'!Q42</f>
        <v>CC</v>
      </c>
      <c r="M424" s="913" t="str">
        <f>'matrik MISI 6'!R42</f>
        <v>CC</v>
      </c>
      <c r="N424" s="913" t="str">
        <f>'matrik MISI 6'!S42</f>
        <v>B</v>
      </c>
      <c r="O424" s="913" t="str">
        <f>'matrik MISI 6'!T42</f>
        <v>B</v>
      </c>
      <c r="P424" s="913" t="str">
        <f>'matrik MISI 6'!U42</f>
        <v>B</v>
      </c>
      <c r="Q424" s="913" t="str">
        <f>'matrik MISI 6'!V42</f>
        <v>B</v>
      </c>
      <c r="R424" s="913" t="str">
        <f>'matrik MISI 6'!W42</f>
        <v>B</v>
      </c>
    </row>
    <row r="425" spans="2:18" ht="63">
      <c r="B425" s="914"/>
      <c r="C425" s="70"/>
      <c r="D425" s="70"/>
      <c r="E425" s="70"/>
      <c r="F425" s="70"/>
      <c r="G425" s="70"/>
      <c r="H425" s="70"/>
      <c r="I425" s="2" t="str">
        <f>'matrik MISI 6'!N47</f>
        <v>Persentase Ketepatan Waktu SKPD dalam Penyampaian Laporan Kinerja (LAKIP dan TAPKIN)</v>
      </c>
      <c r="J425" s="913" t="str">
        <f>'matrik MISI 6'!O47</f>
        <v>%</v>
      </c>
      <c r="K425" s="913">
        <f>'matrik MISI 6'!P47</f>
        <v>50</v>
      </c>
      <c r="L425" s="913">
        <f>'matrik MISI 6'!Q47</f>
        <v>60</v>
      </c>
      <c r="M425" s="913">
        <f>'matrik MISI 6'!R47</f>
        <v>70</v>
      </c>
      <c r="N425" s="913">
        <f>'matrik MISI 6'!S47</f>
        <v>80</v>
      </c>
      <c r="O425" s="913">
        <f>'matrik MISI 6'!T47</f>
        <v>90</v>
      </c>
      <c r="P425" s="913">
        <f>'matrik MISI 6'!U47</f>
        <v>95</v>
      </c>
      <c r="Q425" s="913">
        <f>'matrik MISI 6'!V47</f>
        <v>95</v>
      </c>
      <c r="R425" s="913">
        <f>'matrik MISI 6'!W47</f>
        <v>95</v>
      </c>
    </row>
    <row r="426" spans="2:18" ht="47.25">
      <c r="B426" s="914"/>
      <c r="C426" s="70"/>
      <c r="D426" s="70"/>
      <c r="E426" s="70"/>
      <c r="F426" s="70"/>
      <c r="G426" s="70"/>
      <c r="H426" s="70"/>
      <c r="I426" s="2" t="str">
        <f>'matrik MISI 6'!N50</f>
        <v>Persentase Pelayanan kedinasan Kepala Daerah/Wakil Kepala Daerah yang tepat waktu</v>
      </c>
      <c r="J426" s="913">
        <f>'matrik MISI 6'!O50</f>
        <v>0</v>
      </c>
      <c r="K426" s="913">
        <f>'matrik MISI 6'!P50</f>
        <v>0</v>
      </c>
      <c r="L426" s="913">
        <f>'matrik MISI 6'!Q50</f>
        <v>0</v>
      </c>
      <c r="M426" s="913">
        <f>'matrik MISI 6'!R50</f>
        <v>0</v>
      </c>
      <c r="N426" s="913">
        <f>'matrik MISI 6'!S50</f>
        <v>0</v>
      </c>
      <c r="O426" s="913">
        <f>'matrik MISI 6'!T50</f>
        <v>0</v>
      </c>
      <c r="P426" s="913">
        <f>'matrik MISI 6'!U50</f>
        <v>0</v>
      </c>
      <c r="Q426" s="913">
        <f>'matrik MISI 6'!V50</f>
        <v>0</v>
      </c>
      <c r="R426" s="913">
        <f>'matrik MISI 6'!W50</f>
        <v>0</v>
      </c>
    </row>
    <row r="427" spans="2:18" ht="47.25">
      <c r="B427" s="914"/>
      <c r="C427" s="70"/>
      <c r="D427" s="70"/>
      <c r="E427" s="70"/>
      <c r="F427" s="70"/>
      <c r="G427" s="70"/>
      <c r="H427" s="70"/>
      <c r="I427" s="2" t="str">
        <f>'matrik MISI 6'!N51</f>
        <v>Persentase Jumlah SKPD yang Menyampaikan DURP dengan tepat waktu</v>
      </c>
      <c r="J427" s="913" t="str">
        <f>'matrik MISI 6'!O51</f>
        <v>%</v>
      </c>
      <c r="K427" s="913">
        <f>'matrik MISI 6'!P51</f>
        <v>0</v>
      </c>
      <c r="L427" s="913">
        <f>'matrik MISI 6'!Q51</f>
        <v>0</v>
      </c>
      <c r="M427" s="913">
        <f>'matrik MISI 6'!R51</f>
        <v>100</v>
      </c>
      <c r="N427" s="913">
        <f>'matrik MISI 6'!S51</f>
        <v>100</v>
      </c>
      <c r="O427" s="913">
        <f>'matrik MISI 6'!T51</f>
        <v>100</v>
      </c>
      <c r="P427" s="913">
        <f>'matrik MISI 6'!U51</f>
        <v>100</v>
      </c>
      <c r="Q427" s="913">
        <f>'matrik MISI 6'!V51</f>
        <v>100</v>
      </c>
      <c r="R427" s="913">
        <f>'matrik MISI 6'!W51</f>
        <v>100</v>
      </c>
    </row>
    <row r="428" spans="2:18" ht="31.5">
      <c r="B428" s="914"/>
      <c r="C428" s="70"/>
      <c r="D428" s="70"/>
      <c r="E428" s="70"/>
      <c r="F428" s="70"/>
      <c r="G428" s="70"/>
      <c r="H428" s="70"/>
      <c r="I428" s="2" t="str">
        <f>'matrik MISI 6'!N52</f>
        <v xml:space="preserve">Persentase Keberhasilan pengadaan barang/jasa  </v>
      </c>
      <c r="J428" s="913" t="str">
        <f>'matrik MISI 6'!O52</f>
        <v>%</v>
      </c>
      <c r="K428" s="913">
        <f>'matrik MISI 6'!P52</f>
        <v>0</v>
      </c>
      <c r="L428" s="913">
        <f>'matrik MISI 6'!Q52</f>
        <v>0</v>
      </c>
      <c r="M428" s="913">
        <f>'matrik MISI 6'!R52</f>
        <v>100</v>
      </c>
      <c r="N428" s="913">
        <f>'matrik MISI 6'!S52</f>
        <v>100</v>
      </c>
      <c r="O428" s="913">
        <f>'matrik MISI 6'!T52</f>
        <v>100</v>
      </c>
      <c r="P428" s="913">
        <f>'matrik MISI 6'!U52</f>
        <v>100</v>
      </c>
      <c r="Q428" s="913">
        <f>'matrik MISI 6'!V52</f>
        <v>100</v>
      </c>
      <c r="R428" s="913">
        <f>'matrik MISI 6'!W52</f>
        <v>100</v>
      </c>
    </row>
    <row r="429" spans="2:18" ht="31.5">
      <c r="B429" s="914"/>
      <c r="C429" s="70"/>
      <c r="D429" s="70"/>
      <c r="E429" s="70"/>
      <c r="F429" s="70"/>
      <c r="G429" s="70"/>
      <c r="H429" s="70"/>
      <c r="I429" s="2" t="str">
        <f>'matrik MISI 6'!N53</f>
        <v>Persentase Kegiatan yang dilaksanakan tepat waktu</v>
      </c>
      <c r="J429" s="913" t="str">
        <f>'matrik MISI 6'!O53</f>
        <v>%</v>
      </c>
      <c r="K429" s="913">
        <f>'matrik MISI 6'!P53</f>
        <v>0</v>
      </c>
      <c r="L429" s="913">
        <f>'matrik MISI 6'!Q53</f>
        <v>0</v>
      </c>
      <c r="M429" s="913">
        <f>'matrik MISI 6'!R53</f>
        <v>100</v>
      </c>
      <c r="N429" s="913">
        <f>'matrik MISI 6'!S53</f>
        <v>100</v>
      </c>
      <c r="O429" s="913">
        <f>'matrik MISI 6'!T53</f>
        <v>100</v>
      </c>
      <c r="P429" s="913">
        <f>'matrik MISI 6'!U53</f>
        <v>100</v>
      </c>
      <c r="Q429" s="913">
        <f>'matrik MISI 6'!V53</f>
        <v>100</v>
      </c>
      <c r="R429" s="913">
        <f>'matrik MISI 6'!W53</f>
        <v>100</v>
      </c>
    </row>
    <row r="430" spans="2:18" ht="63">
      <c r="B430" s="914"/>
      <c r="C430" s="70"/>
      <c r="D430" s="70"/>
      <c r="E430" s="70"/>
      <c r="F430" s="70"/>
      <c r="G430" s="70"/>
      <c r="H430" s="70"/>
      <c r="I430" s="2" t="str">
        <f>'matrik MISI 6'!N54</f>
        <v>Persentase Jumlah Peraturan Daerah yang Ditindaklanjuti Terhadap Jumlah Total Peraturan Daerah dalam 1 (Satu) Tahun</v>
      </c>
      <c r="J430" s="913" t="str">
        <f>'matrik MISI 6'!O54</f>
        <v>%</v>
      </c>
      <c r="K430" s="913" t="str">
        <f>'matrik MISI 6'!P54</f>
        <v>96,6</v>
      </c>
      <c r="L430" s="913">
        <f>'matrik MISI 6'!Q54</f>
        <v>100</v>
      </c>
      <c r="M430" s="913">
        <f>'matrik MISI 6'!R54</f>
        <v>100</v>
      </c>
      <c r="N430" s="913">
        <f>'matrik MISI 6'!S54</f>
        <v>100</v>
      </c>
      <c r="O430" s="913">
        <f>'matrik MISI 6'!T54</f>
        <v>100</v>
      </c>
      <c r="P430" s="913">
        <f>'matrik MISI 6'!U54</f>
        <v>100</v>
      </c>
      <c r="Q430" s="913">
        <f>'matrik MISI 6'!V54</f>
        <v>100</v>
      </c>
      <c r="R430" s="913">
        <f>'matrik MISI 6'!W54</f>
        <v>100</v>
      </c>
    </row>
    <row r="431" spans="2:18" ht="63">
      <c r="B431" s="914"/>
      <c r="C431" s="70"/>
      <c r="D431" s="70"/>
      <c r="E431" s="70"/>
      <c r="F431" s="70"/>
      <c r="G431" s="70"/>
      <c r="H431" s="70"/>
      <c r="I431" s="2" t="str">
        <f>'matrik MISI 6'!N55</f>
        <v>Persentase Anggaran Penata usahaan SKPD terhadap Total Belanja Langsung SKPD dalam 1 (satu) Tahun</v>
      </c>
      <c r="J431" s="913" t="str">
        <f>'matrik MISI 6'!O55</f>
        <v>%</v>
      </c>
      <c r="K431" s="913">
        <f>'matrik MISI 6'!P55</f>
        <v>26</v>
      </c>
      <c r="L431" s="913">
        <f>'matrik MISI 6'!Q55</f>
        <v>26</v>
      </c>
      <c r="M431" s="913">
        <f>'matrik MISI 6'!R55</f>
        <v>26</v>
      </c>
      <c r="N431" s="913">
        <f>'matrik MISI 6'!S55</f>
        <v>25</v>
      </c>
      <c r="O431" s="913">
        <f>'matrik MISI 6'!T55</f>
        <v>25</v>
      </c>
      <c r="P431" s="913">
        <f>'matrik MISI 6'!U55</f>
        <v>25</v>
      </c>
      <c r="Q431" s="913">
        <f>'matrik MISI 6'!V55</f>
        <v>25</v>
      </c>
      <c r="R431" s="913">
        <f>'matrik MISI 6'!W55</f>
        <v>25</v>
      </c>
    </row>
    <row r="432" spans="2:18" ht="63">
      <c r="B432" s="914"/>
      <c r="C432" s="70"/>
      <c r="D432" s="70"/>
      <c r="E432" s="70"/>
      <c r="F432" s="70"/>
      <c r="G432" s="70"/>
      <c r="H432" s="70"/>
      <c r="I432" s="2" t="str">
        <f>'matrik MISI 6'!N58</f>
        <v xml:space="preserve">Besaran Ketersediaan sarana dan prasarana kedinasan kepala Daerah/Wakil Kepala Daerah dan Organisasi Perangkat Daerah </v>
      </c>
      <c r="J432" s="913" t="str">
        <f>'matrik MISI 6'!O58</f>
        <v>%</v>
      </c>
      <c r="K432" s="913" t="str">
        <f>'matrik MISI 6'!P58</f>
        <v xml:space="preserve"> - </v>
      </c>
      <c r="L432" s="913" t="str">
        <f>'matrik MISI 6'!Q58</f>
        <v xml:space="preserve"> - </v>
      </c>
      <c r="M432" s="913">
        <f>'matrik MISI 6'!R58</f>
        <v>100</v>
      </c>
      <c r="N432" s="913">
        <f>'matrik MISI 6'!S58</f>
        <v>100</v>
      </c>
      <c r="O432" s="913">
        <f>'matrik MISI 6'!T58</f>
        <v>100</v>
      </c>
      <c r="P432" s="913">
        <f>'matrik MISI 6'!U58</f>
        <v>100</v>
      </c>
      <c r="Q432" s="913">
        <f>'matrik MISI 6'!V58</f>
        <v>100</v>
      </c>
      <c r="R432" s="913">
        <f>'matrik MISI 6'!W58</f>
        <v>100</v>
      </c>
    </row>
    <row r="433" spans="2:18">
      <c r="B433" s="914"/>
      <c r="C433" s="70"/>
      <c r="D433" s="70"/>
      <c r="E433" s="70"/>
      <c r="F433" s="70"/>
      <c r="G433" s="70"/>
      <c r="H433" s="70"/>
      <c r="I433" s="2" t="str">
        <f>'matrik MISI 6'!N59</f>
        <v>Besaran kerjasama daerah</v>
      </c>
      <c r="J433" s="913" t="str">
        <f>'matrik MISI 6'!O59</f>
        <v>Dokumen</v>
      </c>
      <c r="K433" s="913">
        <f>'matrik MISI 6'!P59</f>
        <v>1</v>
      </c>
      <c r="L433" s="913">
        <f>'matrik MISI 6'!Q59</f>
        <v>1</v>
      </c>
      <c r="M433" s="913">
        <f>'matrik MISI 6'!R59</f>
        <v>1</v>
      </c>
      <c r="N433" s="913">
        <f>'matrik MISI 6'!S59</f>
        <v>1</v>
      </c>
      <c r="O433" s="913">
        <f>'matrik MISI 6'!T59</f>
        <v>1</v>
      </c>
      <c r="P433" s="913">
        <f>'matrik MISI 6'!U59</f>
        <v>1</v>
      </c>
      <c r="Q433" s="913">
        <f>'matrik MISI 6'!V59</f>
        <v>1</v>
      </c>
      <c r="R433" s="913">
        <f>'matrik MISI 6'!W59</f>
        <v>1</v>
      </c>
    </row>
    <row r="434" spans="2:18">
      <c r="B434" s="914"/>
      <c r="C434" s="70"/>
      <c r="D434" s="70"/>
      <c r="E434" s="70"/>
      <c r="F434" s="70"/>
      <c r="G434" s="917"/>
      <c r="H434" s="917"/>
      <c r="I434" s="2" t="str">
        <f>'matrik MISI 6'!N60</f>
        <v xml:space="preserve">Cakupan Pelaksanaan SPM </v>
      </c>
      <c r="J434" s="913" t="str">
        <f>'matrik MISI 6'!O60</f>
        <v>%</v>
      </c>
      <c r="K434" s="913" t="str">
        <f>'matrik MISI 6'!P60</f>
        <v>5,8</v>
      </c>
      <c r="L434" s="913" t="str">
        <f>'matrik MISI 6'!Q60</f>
        <v>8,3</v>
      </c>
      <c r="M434" s="913" t="str">
        <f>'matrik MISI 6'!R60</f>
        <v>72,4</v>
      </c>
      <c r="N434" s="913" t="str">
        <f>'matrik MISI 6'!S60</f>
        <v>91,7</v>
      </c>
      <c r="O434" s="913" t="str">
        <f>'matrik MISI 6'!T60</f>
        <v>96,8</v>
      </c>
      <c r="P434" s="913" t="str">
        <f>'matrik MISI 6'!U60</f>
        <v>96,8</v>
      </c>
      <c r="Q434" s="913" t="str">
        <f>'matrik MISI 6'!V60</f>
        <v>96,8</v>
      </c>
      <c r="R434" s="913" t="str">
        <f>'matrik MISI 6'!W60</f>
        <v>96,8</v>
      </c>
    </row>
    <row r="435" spans="2:18" ht="47.25">
      <c r="B435" s="914"/>
      <c r="C435" s="70"/>
      <c r="D435" s="70"/>
      <c r="E435" s="70"/>
      <c r="F435" s="70"/>
      <c r="G435" s="916">
        <f>'matrik MISI 6'!E61</f>
        <v>5</v>
      </c>
      <c r="H435" s="916" t="str">
        <f>'matrik MISI 6'!F61</f>
        <v>Meningkatnya Tertib Administrasi Penyelenggaraan Pemerintahan Daerah</v>
      </c>
      <c r="I435" s="2" t="str">
        <f>'matrik MISI 6'!N62</f>
        <v xml:space="preserve">Persentase Tersusunnya dokumen pelaporan daerah </v>
      </c>
      <c r="J435" s="913" t="str">
        <f>'matrik MISI 6'!O62</f>
        <v>%</v>
      </c>
      <c r="K435" s="913">
        <f>'matrik MISI 6'!P62</f>
        <v>100</v>
      </c>
      <c r="L435" s="913">
        <f>'matrik MISI 6'!Q62</f>
        <v>100</v>
      </c>
      <c r="M435" s="913">
        <f>'matrik MISI 6'!R62</f>
        <v>100</v>
      </c>
      <c r="N435" s="913">
        <f>'matrik MISI 6'!S62</f>
        <v>100</v>
      </c>
      <c r="O435" s="913">
        <f>'matrik MISI 6'!T62</f>
        <v>100</v>
      </c>
      <c r="P435" s="913">
        <f>'matrik MISI 6'!U62</f>
        <v>100</v>
      </c>
      <c r="Q435" s="913">
        <f>'matrik MISI 6'!V62</f>
        <v>100</v>
      </c>
      <c r="R435" s="913">
        <f>'matrik MISI 6'!W62</f>
        <v>100</v>
      </c>
    </row>
    <row r="436" spans="2:18" ht="31.5">
      <c r="B436" s="914"/>
      <c r="C436" s="70"/>
      <c r="D436" s="70"/>
      <c r="E436" s="70"/>
      <c r="F436" s="70"/>
      <c r="G436" s="70"/>
      <c r="H436" s="70"/>
      <c r="I436" s="2" t="str">
        <f>'matrik MISI 6'!N63</f>
        <v>Persentase Tertib Administrasi di tingkat Kelurahan</v>
      </c>
      <c r="J436" s="913" t="str">
        <f>'matrik MISI 6'!O63</f>
        <v>%</v>
      </c>
      <c r="K436" s="913">
        <f>'matrik MISI 6'!P63</f>
        <v>10</v>
      </c>
      <c r="L436" s="913">
        <f>'matrik MISI 6'!Q63</f>
        <v>10</v>
      </c>
      <c r="M436" s="913">
        <f>'matrik MISI 6'!R63</f>
        <v>10</v>
      </c>
      <c r="N436" s="913">
        <f>'matrik MISI 6'!S63</f>
        <v>25</v>
      </c>
      <c r="O436" s="913">
        <f>'matrik MISI 6'!T63</f>
        <v>50</v>
      </c>
      <c r="P436" s="913">
        <f>'matrik MISI 6'!U63</f>
        <v>75</v>
      </c>
      <c r="Q436" s="913">
        <f>'matrik MISI 6'!V63</f>
        <v>100</v>
      </c>
      <c r="R436" s="913">
        <f>'matrik MISI 6'!W63</f>
        <v>100</v>
      </c>
    </row>
    <row r="437" spans="2:18" ht="31.5">
      <c r="B437" s="914"/>
      <c r="C437" s="70"/>
      <c r="D437" s="70"/>
      <c r="E437" s="917"/>
      <c r="F437" s="917"/>
      <c r="G437" s="917"/>
      <c r="H437" s="917"/>
      <c r="I437" s="2" t="str">
        <f>'matrik MISI 6'!N64</f>
        <v>Cakupan Pembinaan Administrasi Desa</v>
      </c>
      <c r="J437" s="913" t="str">
        <f>'matrik MISI 6'!O64</f>
        <v>%</v>
      </c>
      <c r="K437" s="913">
        <f>'matrik MISI 6'!P64</f>
        <v>100</v>
      </c>
      <c r="L437" s="913">
        <f>'matrik MISI 6'!Q64</f>
        <v>100</v>
      </c>
      <c r="M437" s="913">
        <f>'matrik MISI 6'!R64</f>
        <v>100</v>
      </c>
      <c r="N437" s="913">
        <f>'matrik MISI 6'!S64</f>
        <v>100</v>
      </c>
      <c r="O437" s="913">
        <f>'matrik MISI 6'!T64</f>
        <v>100</v>
      </c>
      <c r="P437" s="913">
        <f>'matrik MISI 6'!U64</f>
        <v>100</v>
      </c>
      <c r="Q437" s="913">
        <f>'matrik MISI 6'!V64</f>
        <v>100</v>
      </c>
      <c r="R437" s="913">
        <f>'matrik MISI 6'!W64</f>
        <v>100</v>
      </c>
    </row>
    <row r="438" spans="2:18" ht="47.25">
      <c r="B438" s="914"/>
      <c r="C438" s="70"/>
      <c r="D438" s="70"/>
      <c r="E438" s="916">
        <f>'matrik MISI 6'!C66</f>
        <v>5</v>
      </c>
      <c r="F438" s="916" t="str">
        <f>'matrik MISI 6'!D66</f>
        <v>Meningkatkan Kapasitas Kemampuan Keuangan Daerah dan Akuntabilitas Aset Daerah</v>
      </c>
      <c r="G438" s="916">
        <f>'matrik MISI 6'!E66</f>
        <v>6</v>
      </c>
      <c r="H438" s="916" t="str">
        <f>'matrik MISI 6'!F66</f>
        <v>Meningkatnya Kapasitas Kemampuan Keuangan dan Pengelolaan Keuangan Daerah</v>
      </c>
      <c r="I438" s="2" t="str">
        <f>'matrik MISI 6'!N67</f>
        <v>Rasio Realisasi Pendapatan Daerah Terhadap Potensi Pendapatan Daerah</v>
      </c>
      <c r="J438" s="913" t="str">
        <f>'matrik MISI 6'!O67</f>
        <v>%</v>
      </c>
      <c r="K438" s="913">
        <f>'matrik MISI 6'!P67</f>
        <v>0.87</v>
      </c>
      <c r="L438" s="913">
        <f>'matrik MISI 6'!Q67</f>
        <v>0.85</v>
      </c>
      <c r="M438" s="913">
        <f>'matrik MISI 6'!R67</f>
        <v>0.87</v>
      </c>
      <c r="N438" s="913">
        <f>'matrik MISI 6'!S67</f>
        <v>0.87</v>
      </c>
      <c r="O438" s="913">
        <f>'matrik MISI 6'!T67</f>
        <v>0.87</v>
      </c>
      <c r="P438" s="913">
        <f>'matrik MISI 6'!U67</f>
        <v>0.87</v>
      </c>
      <c r="Q438" s="913">
        <f>'matrik MISI 6'!V67</f>
        <v>0.87</v>
      </c>
      <c r="R438" s="913">
        <f>'matrik MISI 6'!W67</f>
        <v>0.87</v>
      </c>
    </row>
    <row r="439" spans="2:18" ht="31.5">
      <c r="B439" s="914"/>
      <c r="C439" s="70"/>
      <c r="D439" s="70"/>
      <c r="E439" s="70"/>
      <c r="F439" s="70"/>
      <c r="G439" s="70"/>
      <c r="H439" s="70"/>
      <c r="I439" s="2" t="str">
        <f>'matrik MISI 6'!N68</f>
        <v>Akuntabilitas Pengelolaan Keuangan Daerah</v>
      </c>
      <c r="J439" s="913" t="str">
        <f>'matrik MISI 6'!O68</f>
        <v>Kriteria</v>
      </c>
      <c r="K439" s="913" t="str">
        <f>'matrik MISI 6'!P68</f>
        <v>WTP</v>
      </c>
      <c r="L439" s="913" t="str">
        <f>'matrik MISI 6'!Q68</f>
        <v>WTP</v>
      </c>
      <c r="M439" s="913" t="str">
        <f>'matrik MISI 6'!R68</f>
        <v>WTP</v>
      </c>
      <c r="N439" s="913" t="str">
        <f>'matrik MISI 6'!S68</f>
        <v>WTP</v>
      </c>
      <c r="O439" s="913" t="str">
        <f>'matrik MISI 6'!T68</f>
        <v>WTP</v>
      </c>
      <c r="P439" s="913" t="str">
        <f>'matrik MISI 6'!U68</f>
        <v>WTP</v>
      </c>
      <c r="Q439" s="913" t="str">
        <f>'matrik MISI 6'!V68</f>
        <v>WTP</v>
      </c>
      <c r="R439" s="913" t="str">
        <f>'matrik MISI 6'!W68</f>
        <v>WTP</v>
      </c>
    </row>
    <row r="440" spans="2:18" ht="31.5">
      <c r="B440" s="914"/>
      <c r="C440" s="70"/>
      <c r="D440" s="70"/>
      <c r="E440" s="70"/>
      <c r="F440" s="70"/>
      <c r="G440" s="917"/>
      <c r="H440" s="917"/>
      <c r="I440" s="2" t="str">
        <f>'matrik MISI 6'!N69</f>
        <v>Rasio Pendapatan Asli Daerah Terhadap Pendapatan Daerah</v>
      </c>
      <c r="J440" s="913" t="str">
        <f>'matrik MISI 6'!O69</f>
        <v>%</v>
      </c>
      <c r="K440" s="913" t="str">
        <f>'matrik MISI 6'!P69</f>
        <v>8,75</v>
      </c>
      <c r="L440" s="913" t="str">
        <f>'matrik MISI 6'!Q69</f>
        <v>8,9</v>
      </c>
      <c r="M440" s="913">
        <f>'matrik MISI 6'!R69</f>
        <v>9</v>
      </c>
      <c r="N440" s="913">
        <f>'matrik MISI 6'!S69</f>
        <v>9</v>
      </c>
      <c r="O440" s="913">
        <f>'matrik MISI 6'!T69</f>
        <v>9</v>
      </c>
      <c r="P440" s="913">
        <f>'matrik MISI 6'!U69</f>
        <v>9</v>
      </c>
      <c r="Q440" s="913">
        <f>'matrik MISI 6'!V69</f>
        <v>9</v>
      </c>
      <c r="R440" s="913">
        <f>'matrik MISI 6'!W69</f>
        <v>9</v>
      </c>
    </row>
    <row r="441" spans="2:18" ht="31.5">
      <c r="B441" s="914"/>
      <c r="C441" s="70"/>
      <c r="D441" s="70"/>
      <c r="E441" s="917"/>
      <c r="F441" s="917"/>
      <c r="G441" s="2">
        <f>'matrik MISI 6'!E71</f>
        <v>7</v>
      </c>
      <c r="H441" s="2" t="str">
        <f>'matrik MISI 6'!F71</f>
        <v>Meningkatnya Tertib Administrasi Aset Pemerintah Daerah</v>
      </c>
      <c r="I441" s="2" t="str">
        <f>'matrik MISI 6'!N72</f>
        <v>Persentase Tertib Administrasi Aset Daerah di SKPD</v>
      </c>
      <c r="J441" s="913" t="str">
        <f>'matrik MISI 6'!O72</f>
        <v>%</v>
      </c>
      <c r="K441" s="913">
        <f>'matrik MISI 6'!P72</f>
        <v>70</v>
      </c>
      <c r="L441" s="913">
        <f>'matrik MISI 6'!Q72</f>
        <v>75</v>
      </c>
      <c r="M441" s="913">
        <f>'matrik MISI 6'!R72</f>
        <v>68</v>
      </c>
      <c r="N441" s="913">
        <f>'matrik MISI 6'!S72</f>
        <v>68</v>
      </c>
      <c r="O441" s="913">
        <f>'matrik MISI 6'!T72</f>
        <v>70</v>
      </c>
      <c r="P441" s="913">
        <f>'matrik MISI 6'!U72</f>
        <v>75</v>
      </c>
      <c r="Q441" s="913">
        <f>'matrik MISI 6'!V72</f>
        <v>80</v>
      </c>
      <c r="R441" s="913">
        <f>'matrik MISI 6'!W72</f>
        <v>80</v>
      </c>
    </row>
    <row r="442" spans="2:18" ht="31.5">
      <c r="B442" s="914"/>
      <c r="C442" s="70"/>
      <c r="D442" s="70"/>
      <c r="E442" s="2">
        <f>'matrik MISI 6'!C74</f>
        <v>6</v>
      </c>
      <c r="F442" s="2" t="str">
        <f>'matrik MISI 6'!D74</f>
        <v>Meningkatkan Tertib Pengelolaan Kearsipan</v>
      </c>
      <c r="G442" s="2">
        <f>'matrik MISI 6'!E74</f>
        <v>8</v>
      </c>
      <c r="H442" s="2" t="str">
        <f>'matrik MISI 6'!F74</f>
        <v>Meningkatnya Tertib Pengelolaan Kearsipan</v>
      </c>
      <c r="I442" s="2" t="str">
        <f>'matrik MISI 6'!N75</f>
        <v>Persentase Pengelolaan Arsip Secara Baku</v>
      </c>
      <c r="J442" s="913" t="str">
        <f>'matrik MISI 6'!O75</f>
        <v>%</v>
      </c>
      <c r="K442" s="913">
        <f>'matrik MISI 6'!P75</f>
        <v>63</v>
      </c>
      <c r="L442" s="913">
        <f>'matrik MISI 6'!Q75</f>
        <v>86</v>
      </c>
      <c r="M442" s="913">
        <f>'matrik MISI 6'!R75</f>
        <v>100</v>
      </c>
      <c r="N442" s="913">
        <f>'matrik MISI 6'!S75</f>
        <v>100</v>
      </c>
      <c r="O442" s="913">
        <f>'matrik MISI 6'!T75</f>
        <v>100</v>
      </c>
      <c r="P442" s="913">
        <f>'matrik MISI 6'!U75</f>
        <v>100</v>
      </c>
      <c r="Q442" s="913">
        <f>'matrik MISI 6'!V75</f>
        <v>100</v>
      </c>
      <c r="R442" s="913">
        <f>'matrik MISI 6'!W75</f>
        <v>100</v>
      </c>
    </row>
    <row r="443" spans="2:18" ht="47.25">
      <c r="B443" s="914"/>
      <c r="C443" s="70"/>
      <c r="D443" s="70"/>
      <c r="E443" s="916">
        <f>'matrik MISI 6'!C78</f>
        <v>7</v>
      </c>
      <c r="F443" s="916" t="str">
        <f>'matrik MISI 6'!D78</f>
        <v>Meningkatkan Kualitas Pelayanan Administrasi Kependudukan dan Pelayanan Lainnya</v>
      </c>
      <c r="G443" s="916">
        <f>'matrik MISI 6'!E78</f>
        <v>9</v>
      </c>
      <c r="H443" s="916" t="str">
        <f>'matrik MISI 6'!F78</f>
        <v>Meningkatnya Kualitas Pelayanan Administrasi Kependudukan dan Pelayanan Lainnya</v>
      </c>
      <c r="I443" s="2" t="str">
        <f>'matrik MISI 6'!N79</f>
        <v>Cakupan penerbitan Kartu Keluarga (KK)</v>
      </c>
      <c r="J443" s="913" t="str">
        <f>'matrik MISI 6'!O79</f>
        <v>%</v>
      </c>
      <c r="K443" s="913">
        <f>'matrik MISI 6'!P79</f>
        <v>21.61</v>
      </c>
      <c r="L443" s="913">
        <f>'matrik MISI 6'!Q79</f>
        <v>39.54</v>
      </c>
      <c r="M443" s="913">
        <f>'matrik MISI 6'!R79</f>
        <v>53.18</v>
      </c>
      <c r="N443" s="913">
        <f>'matrik MISI 6'!S79</f>
        <v>65.08</v>
      </c>
      <c r="O443" s="913">
        <f>'matrik MISI 6'!T79</f>
        <v>76.989999999999995</v>
      </c>
      <c r="P443" s="913">
        <f>'matrik MISI 6'!U79</f>
        <v>88.89</v>
      </c>
      <c r="Q443" s="913">
        <f>'matrik MISI 6'!V79</f>
        <v>100</v>
      </c>
      <c r="R443" s="913">
        <f>'matrik MISI 6'!W79</f>
        <v>100</v>
      </c>
    </row>
    <row r="444" spans="2:18" ht="31.5">
      <c r="B444" s="914"/>
      <c r="C444" s="70"/>
      <c r="D444" s="70"/>
      <c r="E444" s="70"/>
      <c r="F444" s="70"/>
      <c r="G444" s="70"/>
      <c r="H444" s="70"/>
      <c r="I444" s="2" t="str">
        <f>'matrik MISI 6'!N80</f>
        <v>Cakupan Penerbitan Kartu Tanda Penduduk (KTP)</v>
      </c>
      <c r="J444" s="913" t="str">
        <f>'matrik MISI 6'!O80</f>
        <v>%</v>
      </c>
      <c r="K444" s="913">
        <f>'matrik MISI 6'!P80</f>
        <v>86.56</v>
      </c>
      <c r="L444" s="913">
        <f>'matrik MISI 6'!Q80</f>
        <v>2.39</v>
      </c>
      <c r="M444" s="913">
        <f>'matrik MISI 6'!R80</f>
        <v>18.149999999999999</v>
      </c>
      <c r="N444" s="913">
        <f>'matrik MISI 6'!S80</f>
        <v>22.84</v>
      </c>
      <c r="O444" s="913">
        <f>'matrik MISI 6'!T80</f>
        <v>27.65</v>
      </c>
      <c r="P444" s="913">
        <f>'matrik MISI 6'!U80</f>
        <v>32.58</v>
      </c>
      <c r="Q444" s="913">
        <f>'matrik MISI 6'!V80</f>
        <v>37.629999999999995</v>
      </c>
      <c r="R444" s="913">
        <f>'matrik MISI 6'!W80</f>
        <v>37.630000000000003</v>
      </c>
    </row>
    <row r="445" spans="2:18" ht="31.5">
      <c r="B445" s="914"/>
      <c r="C445" s="70"/>
      <c r="D445" s="70"/>
      <c r="E445" s="70"/>
      <c r="F445" s="70"/>
      <c r="G445" s="70"/>
      <c r="H445" s="70"/>
      <c r="I445" s="2" t="str">
        <f>'matrik MISI 6'!N81</f>
        <v>Cakupan Penerbitan Kutipan Akta Kelahiran</v>
      </c>
      <c r="J445" s="913" t="str">
        <f>'matrik MISI 6'!O81</f>
        <v>%</v>
      </c>
      <c r="K445" s="913">
        <f>'matrik MISI 6'!P81</f>
        <v>40.43</v>
      </c>
      <c r="L445" s="913">
        <f>'matrik MISI 6'!Q81</f>
        <v>42.65</v>
      </c>
      <c r="M445" s="913">
        <f>'matrik MISI 6'!R81</f>
        <v>47.94</v>
      </c>
      <c r="N445" s="913">
        <f>'matrik MISI 6'!S81</f>
        <v>51.56</v>
      </c>
      <c r="O445" s="913">
        <f>'matrik MISI 6'!T81</f>
        <v>56.13</v>
      </c>
      <c r="P445" s="913">
        <f>'matrik MISI 6'!U81</f>
        <v>59.79</v>
      </c>
      <c r="Q445" s="913">
        <f>'matrik MISI 6'!V81</f>
        <v>63.46</v>
      </c>
      <c r="R445" s="913">
        <f>'matrik MISI 6'!W81</f>
        <v>67.010000000000005</v>
      </c>
    </row>
    <row r="446" spans="2:18" ht="31.5">
      <c r="B446" s="914"/>
      <c r="C446" s="70"/>
      <c r="D446" s="70"/>
      <c r="E446" s="70"/>
      <c r="F446" s="70"/>
      <c r="G446" s="70"/>
      <c r="H446" s="70"/>
      <c r="I446" s="2" t="str">
        <f>'matrik MISI 6'!N82</f>
        <v>Cakupan kepemilikan Kutipan Akta Kematian</v>
      </c>
      <c r="J446" s="913" t="str">
        <f>'matrik MISI 6'!O82</f>
        <v>%</v>
      </c>
      <c r="K446" s="913">
        <f>'matrik MISI 6'!P82</f>
        <v>1.83</v>
      </c>
      <c r="L446" s="913">
        <f>'matrik MISI 6'!Q82</f>
        <v>1.4</v>
      </c>
      <c r="M446" s="913">
        <f>'matrik MISI 6'!R82</f>
        <v>100</v>
      </c>
      <c r="N446" s="913">
        <f>'matrik MISI 6'!S82</f>
        <v>100</v>
      </c>
      <c r="O446" s="913">
        <f>'matrik MISI 6'!T82</f>
        <v>100</v>
      </c>
      <c r="P446" s="913">
        <f>'matrik MISI 6'!U82</f>
        <v>100</v>
      </c>
      <c r="Q446" s="913">
        <f>'matrik MISI 6'!V82</f>
        <v>100</v>
      </c>
      <c r="R446" s="913">
        <f>'matrik MISI 6'!W82</f>
        <v>100</v>
      </c>
    </row>
    <row r="447" spans="2:18" ht="31.5">
      <c r="B447" s="914"/>
      <c r="C447" s="70"/>
      <c r="D447" s="70"/>
      <c r="E447" s="917"/>
      <c r="F447" s="917"/>
      <c r="G447" s="917"/>
      <c r="H447" s="917"/>
      <c r="I447" s="2" t="str">
        <f>'matrik MISI 6'!N83</f>
        <v>Persentase Penanganan Pengaduan Masyarakat</v>
      </c>
      <c r="J447" s="913" t="str">
        <f>'matrik MISI 6'!O83</f>
        <v>%</v>
      </c>
      <c r="K447" s="913">
        <f>'matrik MISI 6'!P83</f>
        <v>100</v>
      </c>
      <c r="L447" s="913">
        <f>'matrik MISI 6'!Q83</f>
        <v>100</v>
      </c>
      <c r="M447" s="913">
        <f>'matrik MISI 6'!R83</f>
        <v>100</v>
      </c>
      <c r="N447" s="913">
        <f>'matrik MISI 6'!S83</f>
        <v>100</v>
      </c>
      <c r="O447" s="913">
        <f>'matrik MISI 6'!T83</f>
        <v>100</v>
      </c>
      <c r="P447" s="913">
        <f>'matrik MISI 6'!U83</f>
        <v>100</v>
      </c>
      <c r="Q447" s="913">
        <f>'matrik MISI 6'!V83</f>
        <v>100</v>
      </c>
      <c r="R447" s="913">
        <f>'matrik MISI 6'!W83</f>
        <v>100</v>
      </c>
    </row>
    <row r="448" spans="2:18" ht="63">
      <c r="B448" s="914"/>
      <c r="C448" s="70"/>
      <c r="D448" s="70"/>
      <c r="E448" s="916">
        <f>'matrik MISI 6'!C84</f>
        <v>8</v>
      </c>
      <c r="F448" s="916" t="str">
        <f>'matrik MISI 6'!D84</f>
        <v>Meningkatnya Kualitas Pelayanan Publik Kepada Masyarakat</v>
      </c>
      <c r="G448" s="916">
        <f>'matrik MISI 6'!E84</f>
        <v>10</v>
      </c>
      <c r="H448" s="916" t="str">
        <f>'matrik MISI 6'!F84</f>
        <v>Meningkatnya Kualitas dan Kuantitas Pelayanan Perizinan dan Non Perizinan</v>
      </c>
      <c r="I448" s="2" t="str">
        <f>'matrik MISI 6'!N85</f>
        <v>Cakupan Jenis Perizinan yang Memiliki Standar Pelayanan Publik atau Standar Operasional Prosedur</v>
      </c>
      <c r="J448" s="913" t="str">
        <f>'matrik MISI 6'!O85</f>
        <v>%</v>
      </c>
      <c r="K448" s="913">
        <f>'matrik MISI 6'!P85</f>
        <v>0</v>
      </c>
      <c r="L448" s="913">
        <f>'matrik MISI 6'!Q85</f>
        <v>25</v>
      </c>
      <c r="M448" s="913">
        <f>'matrik MISI 6'!R85</f>
        <v>75</v>
      </c>
      <c r="N448" s="913">
        <f>'matrik MISI 6'!S85</f>
        <v>100</v>
      </c>
      <c r="O448" s="913">
        <f>'matrik MISI 6'!T85</f>
        <v>100</v>
      </c>
      <c r="P448" s="913">
        <f>'matrik MISI 6'!U85</f>
        <v>100</v>
      </c>
      <c r="Q448" s="913">
        <f>'matrik MISI 6'!V85</f>
        <v>100</v>
      </c>
      <c r="R448" s="913">
        <f>'matrik MISI 6'!W85</f>
        <v>100</v>
      </c>
    </row>
    <row r="449" spans="2:18" ht="31.5">
      <c r="B449" s="914"/>
      <c r="C449" s="70"/>
      <c r="D449" s="70"/>
      <c r="E449" s="70"/>
      <c r="F449" s="70"/>
      <c r="G449" s="70"/>
      <c r="H449" s="70"/>
      <c r="I449" s="2" t="str">
        <f>'matrik MISI 6'!N86</f>
        <v>Persentase perizinan  yang diterbitkan Tepat Waktu</v>
      </c>
      <c r="J449" s="913" t="str">
        <f>'matrik MISI 6'!O86</f>
        <v>%</v>
      </c>
      <c r="K449" s="913">
        <f>'matrik MISI 6'!P86</f>
        <v>95</v>
      </c>
      <c r="L449" s="913">
        <f>'matrik MISI 6'!Q86</f>
        <v>95</v>
      </c>
      <c r="M449" s="913">
        <f>'matrik MISI 6'!R86</f>
        <v>95</v>
      </c>
      <c r="N449" s="913">
        <f>'matrik MISI 6'!S86</f>
        <v>95</v>
      </c>
      <c r="O449" s="913">
        <f>'matrik MISI 6'!T86</f>
        <v>95</v>
      </c>
      <c r="P449" s="913">
        <f>'matrik MISI 6'!U86</f>
        <v>95</v>
      </c>
      <c r="Q449" s="913">
        <f>'matrik MISI 6'!V86</f>
        <v>95</v>
      </c>
      <c r="R449" s="913">
        <f>'matrik MISI 6'!W86</f>
        <v>95</v>
      </c>
    </row>
    <row r="450" spans="2:18" ht="31.5">
      <c r="B450" s="914"/>
      <c r="C450" s="70"/>
      <c r="D450" s="70"/>
      <c r="E450" s="70"/>
      <c r="F450" s="70"/>
      <c r="G450" s="70"/>
      <c r="H450" s="70"/>
      <c r="I450" s="2" t="str">
        <f>'matrik MISI 6'!N87</f>
        <v>Persentase Penanganan Pengaduan Masyarakat</v>
      </c>
      <c r="J450" s="913" t="str">
        <f>'matrik MISI 6'!O87</f>
        <v>%</v>
      </c>
      <c r="K450" s="913">
        <f>'matrik MISI 6'!P87</f>
        <v>100</v>
      </c>
      <c r="L450" s="913">
        <f>'matrik MISI 6'!Q87</f>
        <v>100</v>
      </c>
      <c r="M450" s="913">
        <f>'matrik MISI 6'!R87</f>
        <v>100</v>
      </c>
      <c r="N450" s="913">
        <f>'matrik MISI 6'!S87</f>
        <v>100</v>
      </c>
      <c r="O450" s="913">
        <f>'matrik MISI 6'!T87</f>
        <v>100</v>
      </c>
      <c r="P450" s="913">
        <f>'matrik MISI 6'!U87</f>
        <v>100</v>
      </c>
      <c r="Q450" s="913">
        <f>'matrik MISI 6'!V87</f>
        <v>100</v>
      </c>
      <c r="R450" s="913">
        <f>'matrik MISI 6'!W87</f>
        <v>100</v>
      </c>
    </row>
    <row r="451" spans="2:18" ht="63">
      <c r="B451" s="914"/>
      <c r="C451" s="70"/>
      <c r="D451" s="70"/>
      <c r="E451" s="70"/>
      <c r="F451" s="70"/>
      <c r="G451" s="917"/>
      <c r="H451" s="917"/>
      <c r="I451" s="2" t="str">
        <f>'matrik MISI 6'!N88</f>
        <v>Penerbitan Izin Usaha Jasa Konstruksi dalam Waktu 6 (Enam) Hari Kerja setelah Persyaratan Lengkap</v>
      </c>
      <c r="J451" s="913" t="str">
        <f>'matrik MISI 6'!O88</f>
        <v>Hari</v>
      </c>
      <c r="K451" s="913">
        <f>'matrik MISI 6'!P88</f>
        <v>12</v>
      </c>
      <c r="L451" s="913">
        <f>'matrik MISI 6'!Q88</f>
        <v>11</v>
      </c>
      <c r="M451" s="913">
        <f>'matrik MISI 6'!R88</f>
        <v>10</v>
      </c>
      <c r="N451" s="913">
        <f>'matrik MISI 6'!S88</f>
        <v>9</v>
      </c>
      <c r="O451" s="913">
        <f>'matrik MISI 6'!T88</f>
        <v>8</v>
      </c>
      <c r="P451" s="913">
        <f>'matrik MISI 6'!U88</f>
        <v>7</v>
      </c>
      <c r="Q451" s="913">
        <f>'matrik MISI 6'!V88</f>
        <v>6</v>
      </c>
      <c r="R451" s="913">
        <f>'matrik MISI 6'!W88</f>
        <v>6</v>
      </c>
    </row>
    <row r="452" spans="2:18">
      <c r="B452" s="914"/>
      <c r="C452" s="70"/>
      <c r="D452" s="70"/>
      <c r="E452" s="70"/>
      <c r="F452" s="70"/>
      <c r="G452" s="916">
        <f>'matrik MISI 6'!E89</f>
        <v>11</v>
      </c>
      <c r="H452" s="916" t="str">
        <f>'matrik MISI 6'!F89</f>
        <v xml:space="preserve">Meningkatnya Investasi </v>
      </c>
      <c r="I452" s="2" t="str">
        <f>'matrik MISI 6'!N90</f>
        <v>Laju Investasi</v>
      </c>
      <c r="J452" s="913" t="str">
        <f>'matrik MISI 6'!O90</f>
        <v>%</v>
      </c>
      <c r="K452" s="913" t="str">
        <f>'matrik MISI 6'!P90</f>
        <v>19,17</v>
      </c>
      <c r="L452" s="913" t="str">
        <f>'matrik MISI 6'!Q90</f>
        <v>11,16</v>
      </c>
      <c r="M452" s="913" t="str">
        <f>'matrik MISI 6'!R90</f>
        <v>18,77</v>
      </c>
      <c r="N452" s="913" t="str">
        <f>'matrik MISI 6'!S90</f>
        <v>16,28</v>
      </c>
      <c r="O452" s="913" t="str">
        <f>'matrik MISI 6'!T90</f>
        <v>14,43</v>
      </c>
      <c r="P452" s="913" t="str">
        <f>'matrik MISI 6'!U90</f>
        <v>14,43</v>
      </c>
      <c r="Q452" s="913" t="str">
        <f>'matrik MISI 6'!V90</f>
        <v>14,43</v>
      </c>
      <c r="R452" s="913" t="str">
        <f>'matrik MISI 6'!W90</f>
        <v>14,43</v>
      </c>
    </row>
    <row r="453" spans="2:18">
      <c r="B453" s="914"/>
      <c r="C453" s="70"/>
      <c r="D453" s="70"/>
      <c r="E453" s="70"/>
      <c r="F453" s="70"/>
      <c r="G453" s="70"/>
      <c r="H453" s="70"/>
      <c r="I453" s="2" t="str">
        <f>'matrik MISI 6'!N92</f>
        <v>Nilai Investasi</v>
      </c>
      <c r="J453" s="913" t="str">
        <f>'matrik MISI 6'!O92</f>
        <v>Rupiah</v>
      </c>
      <c r="K453" s="913" t="str">
        <f>'matrik MISI 6'!P92</f>
        <v>123,457 M</v>
      </c>
      <c r="L453" s="913" t="str">
        <f>'matrik MISI 6'!Q92</f>
        <v>85,692 M</v>
      </c>
      <c r="M453" s="913" t="str">
        <f>'matrik MISI 6'!R92</f>
        <v>160 M</v>
      </c>
      <c r="N453" s="913" t="str">
        <f>'matrik MISI 6'!S92</f>
        <v>165 M</v>
      </c>
      <c r="O453" s="913" t="str">
        <f>'matrik MISI 6'!T92</f>
        <v>170 M</v>
      </c>
      <c r="P453" s="913" t="str">
        <f>'matrik MISI 6'!U92</f>
        <v>170 M</v>
      </c>
      <c r="Q453" s="913" t="str">
        <f>'matrik MISI 6'!V92</f>
        <v>170 M</v>
      </c>
      <c r="R453" s="913" t="str">
        <f>'matrik MISI 6'!W92</f>
        <v>170 M</v>
      </c>
    </row>
    <row r="454" spans="2:18">
      <c r="B454" s="914"/>
      <c r="C454" s="70"/>
      <c r="D454" s="70"/>
      <c r="E454" s="70"/>
      <c r="F454" s="70"/>
      <c r="G454" s="70"/>
      <c r="H454" s="70"/>
      <c r="I454" s="2" t="str">
        <f>'matrik MISI 6'!N94</f>
        <v>Besaran jumlah Investor</v>
      </c>
      <c r="J454" s="913" t="str">
        <f>'matrik MISI 6'!O94</f>
        <v>investor</v>
      </c>
      <c r="K454" s="913">
        <f>'matrik MISI 6'!P94</f>
        <v>503</v>
      </c>
      <c r="L454" s="913">
        <f>'matrik MISI 6'!Q94</f>
        <v>684</v>
      </c>
      <c r="M454" s="913">
        <f>'matrik MISI 6'!R94</f>
        <v>874</v>
      </c>
      <c r="N454" s="913">
        <f>'matrik MISI 6'!S94</f>
        <v>1074</v>
      </c>
      <c r="O454" s="913">
        <f>'matrik MISI 6'!T94</f>
        <v>1284</v>
      </c>
      <c r="P454" s="913">
        <f>'matrik MISI 6'!U94</f>
        <v>1504</v>
      </c>
      <c r="Q454" s="913">
        <f>'matrik MISI 6'!V94</f>
        <v>1734</v>
      </c>
      <c r="R454" s="913">
        <f>'matrik MISI 6'!W94</f>
        <v>1734</v>
      </c>
    </row>
    <row r="455" spans="2:18" ht="47.25">
      <c r="B455" s="914"/>
      <c r="C455" s="70"/>
      <c r="D455" s="70"/>
      <c r="E455" s="70"/>
      <c r="F455" s="70"/>
      <c r="G455" s="70"/>
      <c r="H455" s="70"/>
      <c r="I455" s="2" t="str">
        <f>'matrik MISI 6'!N96</f>
        <v xml:space="preserve">Besaran Promosi peluang investasi dan kemitraan dengan dunia usaha </v>
      </c>
      <c r="J455" s="913" t="str">
        <f>'matrik MISI 6'!O96</f>
        <v>Kali/tahun</v>
      </c>
      <c r="K455" s="913">
        <f>'matrik MISI 6'!P96</f>
        <v>3</v>
      </c>
      <c r="L455" s="913">
        <f>'matrik MISI 6'!Q96</f>
        <v>2</v>
      </c>
      <c r="M455" s="913">
        <f>'matrik MISI 6'!R96</f>
        <v>5</v>
      </c>
      <c r="N455" s="913">
        <f>'matrik MISI 6'!S96</f>
        <v>5</v>
      </c>
      <c r="O455" s="913">
        <f>'matrik MISI 6'!T96</f>
        <v>7</v>
      </c>
      <c r="P455" s="913">
        <f>'matrik MISI 6'!U96</f>
        <v>7</v>
      </c>
      <c r="Q455" s="913">
        <f>'matrik MISI 6'!V96</f>
        <v>7</v>
      </c>
      <c r="R455" s="913">
        <f>'matrik MISI 6'!W96</f>
        <v>33</v>
      </c>
    </row>
    <row r="456" spans="2:18" ht="78.75">
      <c r="B456" s="914"/>
      <c r="C456" s="70"/>
      <c r="D456" s="70"/>
      <c r="E456" s="70"/>
      <c r="F456" s="70"/>
      <c r="G456" s="70"/>
      <c r="H456" s="70"/>
      <c r="I456" s="2" t="str">
        <f>'matrik MISI 6'!N97</f>
        <v>Besaran pelayanan perizinan dan non perizinan bidang penanaman modal melalui pelayanan terpadu satu pintu di bidang penanaman modal</v>
      </c>
      <c r="J456" s="913" t="str">
        <f>'matrik MISI 6'!O97</f>
        <v>unit</v>
      </c>
      <c r="K456" s="913">
        <f>'matrik MISI 6'!P97</f>
        <v>17</v>
      </c>
      <c r="L456" s="913">
        <f>'matrik MISI 6'!Q97</f>
        <v>32</v>
      </c>
      <c r="M456" s="913">
        <f>'matrik MISI 6'!R97</f>
        <v>32</v>
      </c>
      <c r="N456" s="913">
        <f>'matrik MISI 6'!S97</f>
        <v>32</v>
      </c>
      <c r="O456" s="913">
        <f>'matrik MISI 6'!T97</f>
        <v>32</v>
      </c>
      <c r="P456" s="913">
        <f>'matrik MISI 6'!U97</f>
        <v>32</v>
      </c>
      <c r="Q456" s="913">
        <f>'matrik MISI 6'!V97</f>
        <v>32</v>
      </c>
      <c r="R456" s="913">
        <f>'matrik MISI 6'!W97</f>
        <v>32</v>
      </c>
    </row>
    <row r="457" spans="2:18" ht="63">
      <c r="B457" s="914"/>
      <c r="C457" s="70"/>
      <c r="D457" s="70"/>
      <c r="E457" s="917"/>
      <c r="F457" s="917"/>
      <c r="G457" s="917"/>
      <c r="H457" s="917"/>
      <c r="I457" s="2" t="str">
        <f>'matrik MISI 6'!N98</f>
        <v>Besaran implementasi Sistem Pelayanan Informasi dan Perizinan Informasi secara Elektronik</v>
      </c>
      <c r="J457" s="913" t="str">
        <f>'matrik MISI 6'!O98</f>
        <v>%</v>
      </c>
      <c r="K457" s="913">
        <f>'matrik MISI 6'!P98</f>
        <v>0</v>
      </c>
      <c r="L457" s="913">
        <f>'matrik MISI 6'!Q98</f>
        <v>0</v>
      </c>
      <c r="M457" s="913">
        <f>'matrik MISI 6'!R98</f>
        <v>100</v>
      </c>
      <c r="N457" s="913">
        <f>'matrik MISI 6'!S98</f>
        <v>100</v>
      </c>
      <c r="O457" s="913">
        <f>'matrik MISI 6'!T98</f>
        <v>100</v>
      </c>
      <c r="P457" s="913">
        <f>'matrik MISI 6'!U98</f>
        <v>100</v>
      </c>
      <c r="Q457" s="913">
        <f>'matrik MISI 6'!V98</f>
        <v>100</v>
      </c>
      <c r="R457" s="913">
        <f>'matrik MISI 6'!W98</f>
        <v>100</v>
      </c>
    </row>
    <row r="458" spans="2:18" ht="31.5">
      <c r="B458" s="914"/>
      <c r="C458" s="70"/>
      <c r="D458" s="70"/>
      <c r="E458" s="916">
        <f>'matrik MISI 6'!C100</f>
        <v>9</v>
      </c>
      <c r="F458" s="916" t="str">
        <f>'matrik MISI 6'!D100</f>
        <v xml:space="preserve">Meningkatkan Pelayanan Perpustakaan </v>
      </c>
      <c r="G458" s="916">
        <f>'matrik MISI 6'!E100</f>
        <v>12</v>
      </c>
      <c r="H458" s="916" t="str">
        <f>'matrik MISI 6'!F100</f>
        <v xml:space="preserve">Meningkatnya Pelayanan Perpustakaan </v>
      </c>
      <c r="I458" s="2" t="str">
        <f>'matrik MISI 6'!N101</f>
        <v>Rasio Pengunjung Perpustakaan Terhadap Jumlah Penduduk</v>
      </c>
      <c r="J458" s="913" t="str">
        <f>'matrik MISI 6'!O101</f>
        <v>Rasio</v>
      </c>
      <c r="K458" s="913">
        <f>'matrik MISI 6'!P101</f>
        <v>55</v>
      </c>
      <c r="L458" s="913">
        <f>'matrik MISI 6'!Q101</f>
        <v>60</v>
      </c>
      <c r="M458" s="913">
        <f>'matrik MISI 6'!R101</f>
        <v>64</v>
      </c>
      <c r="N458" s="913">
        <f>'matrik MISI 6'!S101</f>
        <v>72</v>
      </c>
      <c r="O458" s="913">
        <f>'matrik MISI 6'!T101</f>
        <v>76</v>
      </c>
      <c r="P458" s="913">
        <f>'matrik MISI 6'!U101</f>
        <v>80</v>
      </c>
      <c r="Q458" s="913">
        <f>'matrik MISI 6'!V101</f>
        <v>82</v>
      </c>
      <c r="R458" s="913">
        <f>'matrik MISI 6'!W101</f>
        <v>84</v>
      </c>
    </row>
    <row r="459" spans="2:18" ht="47.25">
      <c r="B459" s="914"/>
      <c r="C459" s="70"/>
      <c r="D459" s="70"/>
      <c r="E459" s="917"/>
      <c r="F459" s="917"/>
      <c r="G459" s="917"/>
      <c r="H459" s="917"/>
      <c r="I459" s="2" t="str">
        <f>'matrik MISI 6'!N102</f>
        <v>Persentase Peminjam Buku Perpustakaan Terhadap Jumlah Pengunjung</v>
      </c>
      <c r="J459" s="913" t="str">
        <f>'matrik MISI 6'!O102</f>
        <v>%</v>
      </c>
      <c r="K459" s="913">
        <f>'matrik MISI 6'!P102</f>
        <v>35</v>
      </c>
      <c r="L459" s="913">
        <f>'matrik MISI 6'!Q102</f>
        <v>65</v>
      </c>
      <c r="M459" s="913">
        <f>'matrik MISI 6'!R102</f>
        <v>70</v>
      </c>
      <c r="N459" s="913">
        <f>'matrik MISI 6'!S102</f>
        <v>73</v>
      </c>
      <c r="O459" s="913">
        <f>'matrik MISI 6'!T102</f>
        <v>79</v>
      </c>
      <c r="P459" s="913">
        <f>'matrik MISI 6'!U102</f>
        <v>83</v>
      </c>
      <c r="Q459" s="913">
        <f>'matrik MISI 6'!V102</f>
        <v>87</v>
      </c>
      <c r="R459" s="913">
        <f>'matrik MISI 6'!W102</f>
        <v>90</v>
      </c>
    </row>
    <row r="460" spans="2:18" ht="47.25">
      <c r="B460" s="914"/>
      <c r="C460" s="70"/>
      <c r="D460" s="70"/>
      <c r="E460" s="2">
        <f>'matrik MISI 6'!C104</f>
        <v>10</v>
      </c>
      <c r="F460" s="2" t="str">
        <f>'matrik MISI 6'!D104</f>
        <v>Meningkatkan  Kualitas Data Pembangunan  dan Data Statistik Daerah</v>
      </c>
      <c r="G460" s="2">
        <f>'matrik MISI 6'!E104</f>
        <v>13</v>
      </c>
      <c r="H460" s="2" t="str">
        <f>'matrik MISI 6'!F104</f>
        <v>Meningkatnya  Kualitas Data Pembangunan  dan Data Statistik Daerah</v>
      </c>
      <c r="I460" s="2" t="str">
        <f>'matrik MISI 6'!N105</f>
        <v xml:space="preserve">Besaran ketersediaan data statistik </v>
      </c>
      <c r="J460" s="913" t="str">
        <f>'matrik MISI 6'!O105</f>
        <v>dokumen</v>
      </c>
      <c r="K460" s="913">
        <f>'matrik MISI 6'!P105</f>
        <v>9</v>
      </c>
      <c r="L460" s="913">
        <f>'matrik MISI 6'!Q105</f>
        <v>9</v>
      </c>
      <c r="M460" s="913">
        <f>'matrik MISI 6'!R105</f>
        <v>8</v>
      </c>
      <c r="N460" s="913">
        <f>'matrik MISI 6'!S105</f>
        <v>8</v>
      </c>
      <c r="O460" s="913">
        <f>'matrik MISI 6'!T105</f>
        <v>8</v>
      </c>
      <c r="P460" s="913">
        <f>'matrik MISI 6'!U105</f>
        <v>9</v>
      </c>
      <c r="Q460" s="913">
        <f>'matrik MISI 6'!V105</f>
        <v>9</v>
      </c>
      <c r="R460" s="913">
        <f>'matrik MISI 6'!W105</f>
        <v>9</v>
      </c>
    </row>
    <row r="461" spans="2:18" ht="31.5">
      <c r="B461" s="914"/>
      <c r="C461" s="70"/>
      <c r="D461" s="70"/>
      <c r="E461" s="916">
        <f>'matrik MISI 6'!C106</f>
        <v>11</v>
      </c>
      <c r="F461" s="916" t="str">
        <f>'matrik MISI 6'!D106</f>
        <v>Meningkatkan Pelayanan Komunikasi dan Informasi</v>
      </c>
      <c r="G461" s="916">
        <f>'matrik MISI 6'!E106</f>
        <v>14</v>
      </c>
      <c r="H461" s="916" t="str">
        <f>'matrik MISI 6'!F106</f>
        <v>Meningkatnya Akses atas Komunikasi dan Informasi</v>
      </c>
      <c r="I461" s="2" t="str">
        <f>'matrik MISI 6'!N107</f>
        <v>Rasio Akses Internet di Ruang Publik</v>
      </c>
      <c r="J461" s="913" t="str">
        <f>'matrik MISI 6'!O107</f>
        <v>rasio</v>
      </c>
      <c r="K461" s="913">
        <f>'matrik MISI 6'!P107</f>
        <v>5</v>
      </c>
      <c r="L461" s="913">
        <f>'matrik MISI 6'!Q107</f>
        <v>9</v>
      </c>
      <c r="M461" s="913">
        <f>'matrik MISI 6'!R107</f>
        <v>15</v>
      </c>
      <c r="N461" s="913">
        <f>'matrik MISI 6'!S107</f>
        <v>35</v>
      </c>
      <c r="O461" s="913">
        <f>'matrik MISI 6'!T107</f>
        <v>55</v>
      </c>
      <c r="P461" s="913">
        <f>'matrik MISI 6'!U107</f>
        <v>75</v>
      </c>
      <c r="Q461" s="913">
        <f>'matrik MISI 6'!V107</f>
        <v>100</v>
      </c>
      <c r="R461" s="913">
        <f>'matrik MISI 6'!W107</f>
        <v>100</v>
      </c>
    </row>
    <row r="462" spans="2:18" ht="47.25">
      <c r="B462" s="914"/>
      <c r="C462" s="70"/>
      <c r="D462" s="70"/>
      <c r="E462" s="70"/>
      <c r="F462" s="70"/>
      <c r="G462" s="70"/>
      <c r="H462" s="70"/>
      <c r="I462" s="2" t="str">
        <f>'matrik MISI 6'!N108</f>
        <v>Pelaksanaan Diseminasi dan Pendistribusian Informasi melalui Media Tradisional</v>
      </c>
      <c r="J462" s="913" t="str">
        <f>'matrik MISI 6'!O108</f>
        <v>kali</v>
      </c>
      <c r="K462" s="913">
        <f>'matrik MISI 6'!P108</f>
        <v>1</v>
      </c>
      <c r="L462" s="913">
        <f>'matrik MISI 6'!Q108</f>
        <v>2</v>
      </c>
      <c r="M462" s="913">
        <f>'matrik MISI 6'!R108</f>
        <v>2</v>
      </c>
      <c r="N462" s="913">
        <f>'matrik MISI 6'!S108</f>
        <v>3</v>
      </c>
      <c r="O462" s="913">
        <f>'matrik MISI 6'!T108</f>
        <v>4</v>
      </c>
      <c r="P462" s="913">
        <f>'matrik MISI 6'!U108</f>
        <v>5</v>
      </c>
      <c r="Q462" s="913">
        <f>'matrik MISI 6'!V108</f>
        <v>6</v>
      </c>
      <c r="R462" s="913">
        <f>'matrik MISI 6'!W108</f>
        <v>6</v>
      </c>
    </row>
    <row r="463" spans="2:18" ht="47.25">
      <c r="B463" s="914"/>
      <c r="C463" s="70"/>
      <c r="D463" s="70"/>
      <c r="E463" s="70"/>
      <c r="F463" s="70"/>
      <c r="G463" s="70"/>
      <c r="H463" s="70"/>
      <c r="I463" s="2" t="str">
        <f>'matrik MISI 6'!N109</f>
        <v>Pelaksanaan Diseminasi dan Pendistribusian Informasi melalui Media Interpersonal</v>
      </c>
      <c r="J463" s="913" t="str">
        <f>'matrik MISI 6'!O109</f>
        <v>kali</v>
      </c>
      <c r="K463" s="913">
        <f>'matrik MISI 6'!P109</f>
        <v>1</v>
      </c>
      <c r="L463" s="913">
        <f>'matrik MISI 6'!Q109</f>
        <v>1</v>
      </c>
      <c r="M463" s="913">
        <f>'matrik MISI 6'!R109</f>
        <v>2</v>
      </c>
      <c r="N463" s="913">
        <f>'matrik MISI 6'!S109</f>
        <v>4</v>
      </c>
      <c r="O463" s="913">
        <f>'matrik MISI 6'!T109</f>
        <v>6</v>
      </c>
      <c r="P463" s="913">
        <f>'matrik MISI 6'!U109</f>
        <v>8</v>
      </c>
      <c r="Q463" s="913">
        <f>'matrik MISI 6'!V109</f>
        <v>10</v>
      </c>
      <c r="R463" s="913">
        <f>'matrik MISI 6'!W109</f>
        <v>10</v>
      </c>
    </row>
    <row r="464" spans="2:18" ht="47.25">
      <c r="B464" s="914"/>
      <c r="C464" s="70"/>
      <c r="D464" s="70"/>
      <c r="E464" s="70"/>
      <c r="F464" s="70"/>
      <c r="G464" s="70"/>
      <c r="H464" s="70"/>
      <c r="I464" s="2" t="str">
        <f>'matrik MISI 6'!N110</f>
        <v>Pelaksanaan Diseminasi dan Pendistribusian Informasi melalui Media Luar Ruang</v>
      </c>
      <c r="J464" s="913" t="str">
        <f>'matrik MISI 6'!O110</f>
        <v>kali</v>
      </c>
      <c r="K464" s="913">
        <f>'matrik MISI 6'!P110</f>
        <v>1</v>
      </c>
      <c r="L464" s="913">
        <f>'matrik MISI 6'!Q110</f>
        <v>1</v>
      </c>
      <c r="M464" s="913">
        <f>'matrik MISI 6'!R110</f>
        <v>2</v>
      </c>
      <c r="N464" s="913">
        <f>'matrik MISI 6'!S110</f>
        <v>4</v>
      </c>
      <c r="O464" s="913">
        <f>'matrik MISI 6'!T110</f>
        <v>6</v>
      </c>
      <c r="P464" s="913">
        <f>'matrik MISI 6'!U110</f>
        <v>8</v>
      </c>
      <c r="Q464" s="913">
        <f>'matrik MISI 6'!V110</f>
        <v>10</v>
      </c>
      <c r="R464" s="913">
        <f>'matrik MISI 6'!W110</f>
        <v>10</v>
      </c>
    </row>
    <row r="465" spans="2:18" ht="47.25">
      <c r="B465" s="914"/>
      <c r="C465" s="70"/>
      <c r="D465" s="70"/>
      <c r="E465" s="70"/>
      <c r="F465" s="70"/>
      <c r="G465" s="70"/>
      <c r="H465" s="70"/>
      <c r="I465" s="2" t="str">
        <f>'matrik MISI 6'!N111</f>
        <v>Pelaksanaan Diseminasi dan Pendistribusian Informasi melalui Media Masa</v>
      </c>
      <c r="J465" s="913" t="str">
        <f>'matrik MISI 6'!O111</f>
        <v>kali</v>
      </c>
      <c r="K465" s="913">
        <f>'matrik MISI 6'!P111</f>
        <v>1</v>
      </c>
      <c r="L465" s="913">
        <f>'matrik MISI 6'!Q111</f>
        <v>1</v>
      </c>
      <c r="M465" s="913">
        <f>'matrik MISI 6'!R111</f>
        <v>2</v>
      </c>
      <c r="N465" s="913">
        <f>'matrik MISI 6'!S111</f>
        <v>4</v>
      </c>
      <c r="O465" s="913">
        <f>'matrik MISI 6'!T111</f>
        <v>6</v>
      </c>
      <c r="P465" s="913">
        <f>'matrik MISI 6'!U111</f>
        <v>8</v>
      </c>
      <c r="Q465" s="913">
        <f>'matrik MISI 6'!V111</f>
        <v>10</v>
      </c>
      <c r="R465" s="913">
        <f>'matrik MISI 6'!W111</f>
        <v>10</v>
      </c>
    </row>
    <row r="466" spans="2:18" ht="47.25">
      <c r="B466" s="914"/>
      <c r="C466" s="70"/>
      <c r="D466" s="70"/>
      <c r="E466" s="70"/>
      <c r="F466" s="70"/>
      <c r="G466" s="70"/>
      <c r="H466" s="70"/>
      <c r="I466" s="2" t="str">
        <f>'matrik MISI 6'!N112</f>
        <v xml:space="preserve">Pelaksanaan Diseminasi dan Pendistribusian Informasi melalui media baru </v>
      </c>
      <c r="J466" s="913" t="str">
        <f>'matrik MISI 6'!O112</f>
        <v>hari</v>
      </c>
      <c r="K466" s="913">
        <f>'matrik MISI 6'!P112</f>
        <v>1</v>
      </c>
      <c r="L466" s="913">
        <f>'matrik MISI 6'!Q112</f>
        <v>1</v>
      </c>
      <c r="M466" s="913">
        <f>'matrik MISI 6'!R112</f>
        <v>2</v>
      </c>
      <c r="N466" s="913">
        <f>'matrik MISI 6'!S112</f>
        <v>4</v>
      </c>
      <c r="O466" s="913">
        <f>'matrik MISI 6'!T112</f>
        <v>6</v>
      </c>
      <c r="P466" s="913">
        <f>'matrik MISI 6'!U112</f>
        <v>8</v>
      </c>
      <c r="Q466" s="913">
        <f>'matrik MISI 6'!V112</f>
        <v>10</v>
      </c>
      <c r="R466" s="913">
        <f>'matrik MISI 6'!W112</f>
        <v>10</v>
      </c>
    </row>
    <row r="467" spans="2:18" ht="63">
      <c r="B467" s="914"/>
      <c r="C467" s="70"/>
      <c r="D467" s="70"/>
      <c r="E467" s="70"/>
      <c r="F467" s="70"/>
      <c r="G467" s="70"/>
      <c r="H467" s="70"/>
      <c r="I467" s="2" t="str">
        <f>'matrik MISI 6'!N113</f>
        <v>Cakupan Pengembangan dan Pemberdayaan Kelompok Informasi Masyarakat di Tingkat Kecamatan</v>
      </c>
      <c r="J467" s="913" t="str">
        <f>'matrik MISI 6'!O113</f>
        <v>%</v>
      </c>
      <c r="K467" s="913">
        <f>'matrik MISI 6'!P113</f>
        <v>5</v>
      </c>
      <c r="L467" s="913">
        <f>'matrik MISI 6'!Q113</f>
        <v>10</v>
      </c>
      <c r="M467" s="913">
        <f>'matrik MISI 6'!R113</f>
        <v>15</v>
      </c>
      <c r="N467" s="913">
        <f>'matrik MISI 6'!S113</f>
        <v>25</v>
      </c>
      <c r="O467" s="913">
        <f>'matrik MISI 6'!T113</f>
        <v>35</v>
      </c>
      <c r="P467" s="913">
        <f>'matrik MISI 6'!U113</f>
        <v>45</v>
      </c>
      <c r="Q467" s="913">
        <f>'matrik MISI 6'!V113</f>
        <v>55</v>
      </c>
      <c r="R467" s="913">
        <f>'matrik MISI 6'!W113</f>
        <v>55</v>
      </c>
    </row>
    <row r="468" spans="2:18" ht="31.5">
      <c r="B468" s="914"/>
      <c r="C468" s="70"/>
      <c r="D468" s="70"/>
      <c r="E468" s="70"/>
      <c r="F468" s="70"/>
      <c r="G468" s="70"/>
      <c r="H468" s="70"/>
      <c r="I468" s="2" t="str">
        <f>'matrik MISI 6'!N114</f>
        <v>Tersedianya Informasi Jasa Konstruksi setiap Tahun</v>
      </c>
      <c r="J468" s="913" t="str">
        <f>'matrik MISI 6'!O114</f>
        <v>%</v>
      </c>
      <c r="K468" s="913">
        <f>'matrik MISI 6'!P114</f>
        <v>100</v>
      </c>
      <c r="L468" s="913">
        <f>'matrik MISI 6'!Q114</f>
        <v>100</v>
      </c>
      <c r="M468" s="913">
        <f>'matrik MISI 6'!R114</f>
        <v>100</v>
      </c>
      <c r="N468" s="913">
        <f>'matrik MISI 6'!S114</f>
        <v>100</v>
      </c>
      <c r="O468" s="913">
        <f>'matrik MISI 6'!T114</f>
        <v>100</v>
      </c>
      <c r="P468" s="913">
        <f>'matrik MISI 6'!U114</f>
        <v>100</v>
      </c>
      <c r="Q468" s="913">
        <f>'matrik MISI 6'!V114</f>
        <v>100</v>
      </c>
      <c r="R468" s="913">
        <f>'matrik MISI 6'!W114</f>
        <v>100</v>
      </c>
    </row>
    <row r="469" spans="2:18" ht="78.75">
      <c r="B469" s="914"/>
      <c r="C469" s="70"/>
      <c r="D469" s="70"/>
      <c r="E469" s="70"/>
      <c r="F469" s="70"/>
      <c r="G469" s="70"/>
      <c r="H469" s="70"/>
      <c r="I469" s="2" t="str">
        <f>'matrik MISI 6'!N115</f>
        <v xml:space="preserve">Tersedianya Informasi Mengenai Rencana Tata Ruang (RTR) Wilayah Kabupaten Beserta Rencana Rincinya Melalui Peta Analog </v>
      </c>
      <c r="J469" s="913" t="str">
        <f>'matrik MISI 6'!O115</f>
        <v>%</v>
      </c>
      <c r="K469" s="913" t="str">
        <f>'matrik MISI 6'!P115</f>
        <v xml:space="preserve"> - </v>
      </c>
      <c r="L469" s="913" t="str">
        <f>'matrik MISI 6'!Q115</f>
        <v xml:space="preserve"> - </v>
      </c>
      <c r="M469" s="913" t="str">
        <f>'matrik MISI 6'!R115</f>
        <v xml:space="preserve"> - </v>
      </c>
      <c r="N469" s="913" t="str">
        <f>'matrik MISI 6'!S115</f>
        <v xml:space="preserve"> - </v>
      </c>
      <c r="O469" s="913">
        <f>'matrik MISI 6'!T115</f>
        <v>100</v>
      </c>
      <c r="P469" s="913" t="str">
        <f>'matrik MISI 6'!U115</f>
        <v xml:space="preserve"> - </v>
      </c>
      <c r="Q469" s="913" t="str">
        <f>'matrik MISI 6'!V115</f>
        <v xml:space="preserve"> - </v>
      </c>
      <c r="R469" s="913" t="str">
        <f>'matrik MISI 6'!W115</f>
        <v xml:space="preserve"> - </v>
      </c>
    </row>
    <row r="470" spans="2:18" ht="78.75">
      <c r="B470" s="914"/>
      <c r="C470" s="70"/>
      <c r="D470" s="70"/>
      <c r="E470" s="917"/>
      <c r="F470" s="917"/>
      <c r="G470" s="917"/>
      <c r="H470" s="917"/>
      <c r="I470" s="2" t="str">
        <f>'matrik MISI 6'!N116</f>
        <v>Tersedianya Informasi Mengenai Rencana Tata Ruang (RTR) Wilayah Kabupaten Beserta Rencana Rincinya Melalui Peta Digital</v>
      </c>
      <c r="J470" s="913" t="str">
        <f>'matrik MISI 6'!O116</f>
        <v>%</v>
      </c>
      <c r="K470" s="913" t="str">
        <f>'matrik MISI 6'!P116</f>
        <v xml:space="preserve"> - </v>
      </c>
      <c r="L470" s="913" t="str">
        <f>'matrik MISI 6'!Q116</f>
        <v xml:space="preserve"> - </v>
      </c>
      <c r="M470" s="913" t="str">
        <f>'matrik MISI 6'!R116</f>
        <v xml:space="preserve"> - </v>
      </c>
      <c r="N470" s="913">
        <f>'matrik MISI 6'!S116</f>
        <v>100</v>
      </c>
      <c r="O470" s="913" t="str">
        <f>'matrik MISI 6'!T116</f>
        <v xml:space="preserve"> - </v>
      </c>
      <c r="P470" s="913" t="str">
        <f>'matrik MISI 6'!U116</f>
        <v xml:space="preserve"> - </v>
      </c>
      <c r="Q470" s="913" t="str">
        <f>'matrik MISI 6'!V116</f>
        <v xml:space="preserve"> - </v>
      </c>
      <c r="R470" s="913" t="str">
        <f>'matrik MISI 6'!W116</f>
        <v xml:space="preserve"> - </v>
      </c>
    </row>
    <row r="471" spans="2:18" ht="31.5">
      <c r="B471" s="914"/>
      <c r="C471" s="70"/>
      <c r="D471" s="70"/>
      <c r="E471" s="916">
        <f>'matrik MISI 6'!C117</f>
        <v>12</v>
      </c>
      <c r="F471" s="916" t="str">
        <f>'matrik MISI 6'!D117</f>
        <v>Meningkatkan Kualitas Teknologi Informasi dan Komunikasi</v>
      </c>
      <c r="G471" s="916">
        <f>'matrik MISI 6'!E117</f>
        <v>15</v>
      </c>
      <c r="H471" s="916" t="str">
        <f>'matrik MISI 6'!F117</f>
        <v>Terwujudnya Pengelolaan e-Government</v>
      </c>
      <c r="I471" s="2" t="str">
        <f>'matrik MISI 6'!N118</f>
        <v>Cakupan Jaringan Sistem Informasi e-Government</v>
      </c>
      <c r="J471" s="913" t="str">
        <f>'matrik MISI 6'!O118</f>
        <v>%</v>
      </c>
      <c r="K471" s="913">
        <f>'matrik MISI 6'!P118</f>
        <v>5</v>
      </c>
      <c r="L471" s="913">
        <f>'matrik MISI 6'!Q118</f>
        <v>9</v>
      </c>
      <c r="M471" s="913">
        <f>'matrik MISI 6'!R118</f>
        <v>15</v>
      </c>
      <c r="N471" s="913">
        <f>'matrik MISI 6'!S118</f>
        <v>35</v>
      </c>
      <c r="O471" s="913">
        <f>'matrik MISI 6'!T118</f>
        <v>55</v>
      </c>
      <c r="P471" s="913">
        <f>'matrik MISI 6'!U118</f>
        <v>75</v>
      </c>
      <c r="Q471" s="913">
        <f>'matrik MISI 6'!V118</f>
        <v>100</v>
      </c>
      <c r="R471" s="913">
        <f>'matrik MISI 6'!W118</f>
        <v>100</v>
      </c>
    </row>
    <row r="472" spans="2:18" ht="47.25">
      <c r="B472" s="915"/>
      <c r="C472" s="917"/>
      <c r="D472" s="917"/>
      <c r="E472" s="917"/>
      <c r="F472" s="917"/>
      <c r="G472" s="917"/>
      <c r="H472" s="917"/>
      <c r="I472" s="2" t="str">
        <f>'matrik MISI 6'!N121</f>
        <v>Cakupan terbangunnya Integrasi Jaringan Informasi dan Komunikasi</v>
      </c>
      <c r="J472" s="913" t="str">
        <f>'matrik MISI 6'!O121</f>
        <v>%</v>
      </c>
      <c r="K472" s="913">
        <f>'matrik MISI 6'!P121</f>
        <v>5</v>
      </c>
      <c r="L472" s="913">
        <f>'matrik MISI 6'!Q121</f>
        <v>9</v>
      </c>
      <c r="M472" s="913">
        <f>'matrik MISI 6'!R121</f>
        <v>15</v>
      </c>
      <c r="N472" s="913">
        <f>'matrik MISI 6'!S121</f>
        <v>35</v>
      </c>
      <c r="O472" s="913">
        <f>'matrik MISI 6'!T121</f>
        <v>55</v>
      </c>
      <c r="P472" s="913">
        <f>'matrik MISI 6'!U121</f>
        <v>75</v>
      </c>
      <c r="Q472" s="913">
        <f>'matrik MISI 6'!V121</f>
        <v>100</v>
      </c>
      <c r="R472" s="913">
        <f>'matrik MISI 6'!W121</f>
        <v>100</v>
      </c>
    </row>
  </sheetData>
  <mergeCells count="21">
    <mergeCell ref="R132:R133"/>
    <mergeCell ref="I3:I4"/>
    <mergeCell ref="J3:J4"/>
    <mergeCell ref="K3:L3"/>
    <mergeCell ref="M3:Q3"/>
    <mergeCell ref="I132:I133"/>
    <mergeCell ref="J132:J133"/>
    <mergeCell ref="K132:K133"/>
    <mergeCell ref="L132:L133"/>
    <mergeCell ref="M132:M133"/>
    <mergeCell ref="N132:N133"/>
    <mergeCell ref="O132:O133"/>
    <mergeCell ref="P132:P133"/>
    <mergeCell ref="Q132:Q133"/>
    <mergeCell ref="B3:B4"/>
    <mergeCell ref="C3:D4"/>
    <mergeCell ref="E3:F4"/>
    <mergeCell ref="G3:H4"/>
    <mergeCell ref="C5:D5"/>
    <mergeCell ref="E5:F5"/>
    <mergeCell ref="G5:H5"/>
  </mergeCells>
  <pageMargins left="1" right="0.25" top="0.45" bottom="0.75" header="0.3" footer="0.3"/>
  <pageSetup paperSize="258" scale="75" orientation="landscape" horizontalDpi="300" verticalDpi="300" r:id="rId1"/>
  <headerFooter>
    <oddFooter>Page &amp;P of &amp;N</oddFooter>
  </headerFooter>
</worksheet>
</file>

<file path=xl/worksheets/sheet14.xml><?xml version="1.0" encoding="utf-8"?>
<worksheet xmlns="http://schemas.openxmlformats.org/spreadsheetml/2006/main" xmlns:r="http://schemas.openxmlformats.org/officeDocument/2006/relationships">
  <sheetPr>
    <tabColor rgb="FFFFFF00"/>
  </sheetPr>
  <dimension ref="B1:M180"/>
  <sheetViews>
    <sheetView showGridLines="0" tabSelected="1" workbookViewId="0">
      <pane xSplit="5" ySplit="3" topLeftCell="F179" activePane="bottomRight" state="frozen"/>
      <selection pane="topRight" activeCell="F1" sqref="F1"/>
      <selection pane="bottomLeft" activeCell="A4" sqref="A4"/>
      <selection pane="bottomRight" activeCell="B2" sqref="B2:M180"/>
    </sheetView>
  </sheetViews>
  <sheetFormatPr defaultRowHeight="12.75"/>
  <cols>
    <col min="1" max="1" width="9.140625" style="144"/>
    <col min="2" max="2" width="4.7109375" style="144" customWidth="1"/>
    <col min="3" max="3" width="25.7109375" style="144" customWidth="1"/>
    <col min="4" max="4" width="4.7109375" style="144" customWidth="1"/>
    <col min="5" max="5" width="25.7109375" style="144" customWidth="1"/>
    <col min="6" max="6" width="4.7109375" style="144" customWidth="1"/>
    <col min="7" max="8" width="25.7109375" style="144" customWidth="1"/>
    <col min="9" max="13" width="8.7109375" style="144" customWidth="1"/>
    <col min="14" max="16384" width="9.140625" style="144"/>
  </cols>
  <sheetData>
    <row r="1" spans="2:13" s="141" customFormat="1" ht="12">
      <c r="E1" s="909"/>
      <c r="F1" s="909"/>
      <c r="G1" s="909"/>
    </row>
    <row r="2" spans="2:13" s="142" customFormat="1" ht="12">
      <c r="B2" s="1245" t="s">
        <v>1796</v>
      </c>
      <c r="C2" s="1246"/>
      <c r="D2" s="1245" t="str">
        <f>'matrik MISI 1'!G3</f>
        <v>STRATEGI</v>
      </c>
      <c r="E2" s="1246"/>
      <c r="F2" s="1245" t="str">
        <f>'[5]matrik 1_ok'!I3</f>
        <v>ARAH KEBIJAKAN</v>
      </c>
      <c r="G2" s="1246"/>
      <c r="H2" s="1243" t="s">
        <v>5009</v>
      </c>
      <c r="I2" s="1236" t="s">
        <v>5072</v>
      </c>
      <c r="J2" s="1267"/>
      <c r="K2" s="1267"/>
      <c r="L2" s="1267"/>
      <c r="M2" s="1237"/>
    </row>
    <row r="3" spans="2:13" s="142" customFormat="1" ht="12">
      <c r="B3" s="1247"/>
      <c r="C3" s="1248"/>
      <c r="D3" s="1247"/>
      <c r="E3" s="1248"/>
      <c r="F3" s="1247"/>
      <c r="G3" s="1248"/>
      <c r="H3" s="1244"/>
      <c r="I3" s="1092">
        <v>2014</v>
      </c>
      <c r="J3" s="1092">
        <v>2015</v>
      </c>
      <c r="K3" s="1092">
        <v>2016</v>
      </c>
      <c r="L3" s="1092">
        <v>2017</v>
      </c>
      <c r="M3" s="1092">
        <v>2018</v>
      </c>
    </row>
    <row r="4" spans="2:13" s="927" customFormat="1" ht="15" customHeight="1">
      <c r="B4" s="1238">
        <v>1</v>
      </c>
      <c r="C4" s="1239"/>
      <c r="D4" s="1238">
        <v>2</v>
      </c>
      <c r="E4" s="1239"/>
      <c r="F4" s="1238">
        <v>3</v>
      </c>
      <c r="G4" s="1239"/>
      <c r="H4" s="926">
        <v>4</v>
      </c>
      <c r="I4" s="1238">
        <v>5</v>
      </c>
      <c r="J4" s="1268"/>
      <c r="K4" s="1268"/>
      <c r="L4" s="1268"/>
      <c r="M4" s="1239"/>
    </row>
    <row r="5" spans="2:13" ht="89.25">
      <c r="B5" s="143">
        <v>1</v>
      </c>
      <c r="C5" s="143" t="str">
        <f>'visi misi'!A5</f>
        <v>Mewujudkan Peningkatan Pertanian Moderen yang Berwawasan Lingkungan</v>
      </c>
      <c r="D5" s="147">
        <v>1</v>
      </c>
      <c r="E5" s="147" t="str">
        <f>'matrik MISI 1'!G6</f>
        <v>Peningkatan Penerapan Teknologi dan inovasi Pertanian</v>
      </c>
      <c r="F5" s="147">
        <v>1</v>
      </c>
      <c r="G5" s="147" t="str">
        <f>'matrik MISI 1'!I6</f>
        <v>Meningkatkan Penerapan Teknologi dan inovasi di Pertanian dalam menunjang upaya peningkatan produksi dan produktivitas sub sektor pertanian/perkebunan</v>
      </c>
      <c r="H5" s="148" t="str">
        <f>'matrik MISI 1'!M7</f>
        <v>Program Peningkatan Penerapan Teknologi Pertanian / Peternakan / Perkebunan</v>
      </c>
      <c r="I5" s="147"/>
      <c r="J5" s="1271"/>
      <c r="K5" s="1271"/>
      <c r="L5" s="1271"/>
      <c r="M5" s="1271"/>
    </row>
    <row r="6" spans="2:13" ht="89.25">
      <c r="B6" s="145"/>
      <c r="C6" s="145"/>
      <c r="D6" s="143">
        <v>2</v>
      </c>
      <c r="E6" s="143" t="str">
        <f>'matrik MISI 1'!G10</f>
        <v>Peningkatan Penerapan Teknologi, inovasi Peternakan</v>
      </c>
      <c r="F6" s="143">
        <v>2</v>
      </c>
      <c r="G6" s="143" t="str">
        <f>'matrik MISI 1'!I10</f>
        <v>Meningkatkan Penerapan Teknologi dan inovasi di Pertanian dalam menunjang upaya peningkatan produksi dan produktivitas sub sektor peternakan</v>
      </c>
      <c r="H6" s="143" t="str">
        <f>'matrik MISI 1'!M12</f>
        <v>Program Peningkatan Pemasaran hasil produksi pertanian/perkebunan</v>
      </c>
      <c r="I6" s="147"/>
      <c r="J6" s="147"/>
      <c r="K6" s="147"/>
      <c r="L6" s="147"/>
      <c r="M6" s="147"/>
    </row>
    <row r="7" spans="2:13" ht="76.5">
      <c r="B7" s="145"/>
      <c r="C7" s="145"/>
      <c r="D7" s="147">
        <v>3</v>
      </c>
      <c r="E7" s="147" t="str">
        <f>'matrik MISI 1'!G12</f>
        <v>Peningkatan Nilai Tambah hasil produksi Pertanian</v>
      </c>
      <c r="F7" s="147">
        <v>3</v>
      </c>
      <c r="G7" s="147" t="str">
        <f>'matrik MISI 1'!I12</f>
        <v>Meningkatkan Penerapan Teknologi dan inovasi dalam pemasaran produk Pertanian dan memperbesar akses pemasaran</v>
      </c>
      <c r="H7" s="147" t="str">
        <f>'matrik MISI 1'!M13</f>
        <v>Program peningkatan produksi pertanian/perkebunan</v>
      </c>
      <c r="I7" s="147"/>
      <c r="J7" s="1271"/>
      <c r="K7" s="1271"/>
      <c r="L7" s="1271"/>
      <c r="M7" s="1271"/>
    </row>
    <row r="8" spans="2:13" ht="89.25">
      <c r="B8" s="145"/>
      <c r="C8" s="145"/>
      <c r="D8" s="147">
        <v>4</v>
      </c>
      <c r="E8" s="147" t="str">
        <f>'matrik MISI 1'!G13</f>
        <v>Peningkatan Kualitas hasil produksi pertanian, perkebunan dan peternakan</v>
      </c>
      <c r="F8" s="147">
        <v>4</v>
      </c>
      <c r="G8" s="147" t="str">
        <f>'matrik MISI 1'!I13</f>
        <v xml:space="preserve">Meningkatkan Penerapan Teknologi dan inovasi Pertanian dalam rangka meningkatkan kualitas produk pertanian dan pencegahan hama dan penyakit </v>
      </c>
      <c r="H8" s="147" t="str">
        <f>'matrik MISI 1'!M14</f>
        <v>Program pencegahan dan penanggulangan penyakit ternak</v>
      </c>
      <c r="I8" s="147"/>
      <c r="J8" s="147"/>
      <c r="K8" s="147"/>
      <c r="L8" s="147"/>
      <c r="M8" s="147"/>
    </row>
    <row r="9" spans="2:13" ht="63.75">
      <c r="B9" s="145"/>
      <c r="C9" s="145"/>
      <c r="D9" s="147">
        <v>5</v>
      </c>
      <c r="E9" s="147" t="str">
        <f>'matrik MISI 1'!G17</f>
        <v>Peningkatan Kualitas, Kuantitas, Kontinuitas, dan Diversifikasi Produk Pertanian, Perkebunan, dan Peternakan</v>
      </c>
      <c r="F9" s="147">
        <v>5</v>
      </c>
      <c r="G9" s="147" t="str">
        <f>'matrik MISI 1'!I17</f>
        <v xml:space="preserve">Meningkatkan upaya intensifikasi dan diversifikasi budidaya tanaman pertanian dan perkebunan </v>
      </c>
      <c r="H9" s="147" t="str">
        <f>'matrik MISI 1'!M18</f>
        <v>Program Peningkatan Produksi Pertanian/Perkebunan/peternakan</v>
      </c>
      <c r="I9" s="147"/>
      <c r="J9" s="1271"/>
      <c r="K9" s="1271"/>
      <c r="L9" s="1271"/>
      <c r="M9" s="1271"/>
    </row>
    <row r="10" spans="2:13" ht="51">
      <c r="B10" s="145"/>
      <c r="C10" s="145"/>
      <c r="D10" s="147">
        <v>6</v>
      </c>
      <c r="E10" s="147" t="str">
        <f>'matrik MISI 1'!G26</f>
        <v>Peningkatan produktivitas ternak</v>
      </c>
      <c r="F10" s="147">
        <v>6</v>
      </c>
      <c r="G10" s="147" t="str">
        <f>'matrik MISI 1'!I26</f>
        <v xml:space="preserve">Meningkatkan upaya intensifikasi dan diversifikasi produksi hasil peternakan </v>
      </c>
      <c r="H10" s="147" t="str">
        <f>'matrik MISI 1'!M26</f>
        <v>Program Peningkatan Produksi Hasil peternakan</v>
      </c>
      <c r="I10" s="147"/>
      <c r="J10" s="147"/>
      <c r="K10" s="147"/>
      <c r="L10" s="147"/>
      <c r="M10" s="147"/>
    </row>
    <row r="11" spans="2:13" ht="38.25">
      <c r="B11" s="145"/>
      <c r="C11" s="145"/>
      <c r="D11" s="143">
        <v>7</v>
      </c>
      <c r="E11" s="143" t="str">
        <f>'matrik MISI 1'!G34</f>
        <v>Peningkatan Kualitas kelembagaan petani dan SDM Penyuluhan</v>
      </c>
      <c r="F11" s="143">
        <v>7</v>
      </c>
      <c r="G11" s="143" t="str">
        <f>'matrik MISI 1'!I34</f>
        <v>Meningkatkan Kualitas kelembagaan petani dan SDM penyuluhan</v>
      </c>
      <c r="H11" s="147" t="str">
        <f>'matrik MISI 1'!M35</f>
        <v>Program Pemberdayaan Penyuluh Pertanian, Perikanan dan Kehutanan</v>
      </c>
      <c r="I11" s="147"/>
      <c r="J11" s="147"/>
      <c r="K11" s="147"/>
      <c r="L11" s="147"/>
      <c r="M11" s="147"/>
    </row>
    <row r="12" spans="2:13" ht="25.5">
      <c r="B12" s="145"/>
      <c r="C12" s="145"/>
      <c r="D12" s="146"/>
      <c r="E12" s="146"/>
      <c r="F12" s="146"/>
      <c r="G12" s="146"/>
      <c r="H12" s="147" t="str">
        <f>'matrik MISI 1'!M37</f>
        <v>Program Pemberdayaan Petani</v>
      </c>
      <c r="I12" s="147"/>
      <c r="J12" s="147"/>
      <c r="K12" s="1271"/>
      <c r="L12" s="147"/>
      <c r="M12" s="147"/>
    </row>
    <row r="13" spans="2:13" ht="63.75">
      <c r="B13" s="145"/>
      <c r="C13" s="145"/>
      <c r="D13" s="147">
        <v>8</v>
      </c>
      <c r="E13" s="147" t="str">
        <f>'matrik MISI 1'!G41</f>
        <v>Peningkatan Penyediaan Sarana dan Prasarana dan Insfrastruktur Pertanian, Perkebunan, dan Peternakan</v>
      </c>
      <c r="F13" s="147">
        <v>8</v>
      </c>
      <c r="G13" s="147" t="str">
        <f>'matrik MISI 1'!I41</f>
        <v>Meningkatkan Penyediaan Sarana Prasarana dan Insfrastruktur pendukung pertanian (jalan usaha tani dan pengelolaan embung)</v>
      </c>
      <c r="H13" s="147" t="str">
        <f>'matrik MISI 1'!M42</f>
        <v>Program Peningkatan Produksi Pertanian/Perkebunan/peternakan</v>
      </c>
      <c r="I13" s="147"/>
      <c r="J13" s="147"/>
      <c r="K13" s="147"/>
      <c r="L13" s="147"/>
      <c r="M13" s="147"/>
    </row>
    <row r="14" spans="2:13" ht="76.5">
      <c r="B14" s="145"/>
      <c r="C14" s="145"/>
      <c r="D14" s="147">
        <v>9</v>
      </c>
      <c r="E14" s="147" t="str">
        <f>'matrik MISI 1'!G45</f>
        <v>Peningkatan Pengembangan Kawasan Agropolitan</v>
      </c>
      <c r="F14" s="147">
        <v>9</v>
      </c>
      <c r="G14" s="147" t="str">
        <f>'matrik MISI 1'!I45</f>
        <v>Meningkatkan Pengembangan Kawasan Agropolitan dan pengelolaan kawasan agropolitas yang sudah terbentuk</v>
      </c>
      <c r="H14" s="147" t="str">
        <f>'matrik MISI 1'!M46</f>
        <v>Program Pengembangan Agribisnis</v>
      </c>
      <c r="I14" s="147"/>
      <c r="J14" s="147"/>
      <c r="K14" s="147"/>
      <c r="L14" s="147"/>
      <c r="M14" s="147"/>
    </row>
    <row r="15" spans="2:13" ht="63.75">
      <c r="B15" s="145"/>
      <c r="C15" s="145"/>
      <c r="D15" s="147">
        <v>10</v>
      </c>
      <c r="E15" s="147" t="str">
        <f>'matrik MISI 1'!G47</f>
        <v>Peningkatan Penerapan Teknologi Perikanan</v>
      </c>
      <c r="F15" s="147">
        <v>10</v>
      </c>
      <c r="G15" s="147" t="str">
        <f>'matrik MISI 1'!I47</f>
        <v>Meningkatkan Penerapan Teknologi dan inovasi Perikanan khususnya penggunaan benih unggul ikan</v>
      </c>
      <c r="H15" s="147" t="str">
        <f>'matrik MISI 1'!M48</f>
        <v>Program Pengembangan Budidaya Perikanan</v>
      </c>
      <c r="I15" s="147"/>
      <c r="J15" s="147"/>
      <c r="K15" s="147"/>
      <c r="L15" s="147"/>
      <c r="M15" s="147"/>
    </row>
    <row r="16" spans="2:13" ht="102">
      <c r="B16" s="145"/>
      <c r="C16" s="145"/>
      <c r="D16" s="143">
        <v>11</v>
      </c>
      <c r="E16" s="143" t="str">
        <f>'matrik MISI 1'!G49</f>
        <v>Peningkatan Kualitas, Kuantitas, Kontinuitas, dan Diversifikasi Produk Perikanan</v>
      </c>
      <c r="F16" s="143">
        <v>11</v>
      </c>
      <c r="G16" s="143" t="str">
        <f>'matrik MISI 1'!I49</f>
        <v>Meningkatkan Kualitas, Kuantitas, Kontinuitas, dan Diversifikasi Produk olahan Perikanan yang didukung dengan pengembangan akses pemasaran produk perikanan</v>
      </c>
      <c r="H16" s="147" t="str">
        <f>'matrik MISI 1'!M55</f>
        <v>Program Optimalisasi pengelolaan dan Pemasaran Produksi Perikanan</v>
      </c>
      <c r="I16" s="147"/>
      <c r="J16" s="147"/>
      <c r="K16" s="1271"/>
      <c r="L16" s="1271"/>
      <c r="M16" s="1271"/>
    </row>
    <row r="17" spans="2:13" ht="25.5">
      <c r="B17" s="145"/>
      <c r="C17" s="145"/>
      <c r="D17" s="145"/>
      <c r="E17" s="145"/>
      <c r="F17" s="145"/>
      <c r="G17" s="145"/>
      <c r="H17" s="147" t="str">
        <f>'matrik MISI 1'!M57</f>
        <v>Program Pengembangan Kawasan budidaya air tawar</v>
      </c>
      <c r="I17" s="147"/>
      <c r="J17" s="147"/>
      <c r="K17" s="147"/>
      <c r="L17" s="147"/>
      <c r="M17" s="147"/>
    </row>
    <row r="18" spans="2:13" ht="25.5">
      <c r="B18" s="145"/>
      <c r="C18" s="145"/>
      <c r="D18" s="146"/>
      <c r="E18" s="146"/>
      <c r="F18" s="146"/>
      <c r="G18" s="146"/>
      <c r="H18" s="147" t="str">
        <f>'matrik MISI 1'!M58</f>
        <v>Program Pengembangan Perikanan Tangkap</v>
      </c>
      <c r="I18" s="147"/>
      <c r="J18" s="147"/>
      <c r="K18" s="147"/>
      <c r="L18" s="147"/>
      <c r="M18" s="147"/>
    </row>
    <row r="19" spans="2:13" ht="89.25">
      <c r="B19" s="145"/>
      <c r="C19" s="145"/>
      <c r="D19" s="147">
        <v>12</v>
      </c>
      <c r="E19" s="147" t="str">
        <f>'matrik MISI 1'!G59</f>
        <v>Peningkatan ketahanan pangan dari aspek ketersediaan,distribusi dan konsumsi  pangan</v>
      </c>
      <c r="F19" s="147">
        <v>12</v>
      </c>
      <c r="G19" s="147" t="str">
        <f>'matrik MISI 1'!I59</f>
        <v>Meningkatkan ketersediaan dan cadangan pangan, distribusi dan akses pangan, diversifikasi konsumsi dan keamanan pangan, serta penanganan kerawanan pangan</v>
      </c>
      <c r="H19" s="147" t="str">
        <f>'matrik MISI 1'!M60</f>
        <v>Program peningkatan ketahanan pangan</v>
      </c>
      <c r="I19" s="147"/>
      <c r="J19" s="147"/>
      <c r="K19" s="147"/>
      <c r="L19" s="147"/>
      <c r="M19" s="147"/>
    </row>
    <row r="20" spans="2:13" ht="38.25" customHeight="1">
      <c r="B20" s="145"/>
      <c r="C20" s="145"/>
      <c r="D20" s="143">
        <v>13</v>
      </c>
      <c r="E20" s="143" t="str">
        <f>'matrik MISI 1'!G70</f>
        <v>Peningkatan pengembangan destinasi, pemasaran dan kemitraan pariwisata</v>
      </c>
      <c r="F20" s="147">
        <v>13</v>
      </c>
      <c r="G20" s="147" t="str">
        <f>'matrik MISI 1'!I70</f>
        <v>Mengembangkan Kawasan Agrowisata</v>
      </c>
      <c r="H20" s="1234" t="str">
        <f>'matrik MISI 1'!M72</f>
        <v>Program Pengembangan Destinasi Wisata</v>
      </c>
      <c r="I20" s="1269"/>
      <c r="J20" s="1269"/>
      <c r="K20" s="1269"/>
      <c r="L20" s="1269"/>
      <c r="M20" s="1269"/>
    </row>
    <row r="21" spans="2:13" ht="76.5">
      <c r="B21" s="145"/>
      <c r="C21" s="145"/>
      <c r="D21" s="146"/>
      <c r="E21" s="146"/>
      <c r="F21" s="147">
        <v>14</v>
      </c>
      <c r="G21" s="147" t="str">
        <f>'matrik MISI 1'!I72</f>
        <v>Meningkatkan pengelolaan sarana dan prasarana serta event pariwisata dengan pengembangan destinasi pariwisata dan kemitraan pariwisata</v>
      </c>
      <c r="H21" s="1235"/>
      <c r="I21" s="1270"/>
      <c r="J21" s="1270"/>
      <c r="K21" s="1270"/>
      <c r="L21" s="1270"/>
      <c r="M21" s="1270"/>
    </row>
    <row r="22" spans="2:13" ht="76.5">
      <c r="B22" s="145"/>
      <c r="C22" s="145"/>
      <c r="D22" s="147">
        <v>14</v>
      </c>
      <c r="E22" s="147" t="str">
        <f>'matrik MISI 1'!G77</f>
        <v>Peningkatan Agroindustri yang Berbasis pada Komoditas Unggulan Daerah</v>
      </c>
      <c r="F22" s="147">
        <v>15</v>
      </c>
      <c r="G22" s="147" t="str">
        <f>'matrik MISI 1'!I77</f>
        <v>Meningkatkan pengembangan Industri kecil dan UMKM yang berbasis pertanian dan komoditas unggulan daerah lainnya</v>
      </c>
      <c r="H22" s="1234" t="str">
        <f>'matrik MISI 1'!M78</f>
        <v>Program Industri Kecil dan Menengah</v>
      </c>
      <c r="I22" s="1234"/>
      <c r="J22" s="1234"/>
      <c r="K22" s="1234"/>
      <c r="L22" s="1272"/>
      <c r="M22" s="1272"/>
    </row>
    <row r="23" spans="2:13" ht="38.25">
      <c r="B23" s="145"/>
      <c r="C23" s="145"/>
      <c r="D23" s="147">
        <v>15</v>
      </c>
      <c r="E23" s="147" t="str">
        <f>'matrik MISI 1'!G79</f>
        <v>Peningkatan Struktur Industri Berbahan Baku Lokal yang Tangguh</v>
      </c>
      <c r="F23" s="147">
        <v>16</v>
      </c>
      <c r="G23" s="147" t="str">
        <f>'matrik MISI 1'!I79</f>
        <v xml:space="preserve">Meningkatkan Struktur Industri yang menggunakan bahan Baku Lokal </v>
      </c>
      <c r="H23" s="1235"/>
      <c r="I23" s="1235"/>
      <c r="J23" s="1235"/>
      <c r="K23" s="1235"/>
      <c r="L23" s="1273"/>
      <c r="M23" s="1273"/>
    </row>
    <row r="24" spans="2:13" ht="63.75">
      <c r="B24" s="145"/>
      <c r="C24" s="145"/>
      <c r="D24" s="143">
        <v>16</v>
      </c>
      <c r="E24" s="143" t="str">
        <f>'matrik MISI 1'!G81</f>
        <v>Peningkatan Pengelolaan Sarana dan Prasarana Perdagangan</v>
      </c>
      <c r="F24" s="143">
        <v>17</v>
      </c>
      <c r="G24" s="143" t="str">
        <f>'matrik MISI 1'!I81</f>
        <v>Meningkatkan Pengelolaan dan pengembangan pasar daerah sebagai salah satu Sarana dan Prasarana Perdagangan</v>
      </c>
      <c r="H24" s="147" t="str">
        <f>'matrik MISI 1'!M82</f>
        <v>Program Peningkatan Sarana dan Prasarana Lainnya</v>
      </c>
      <c r="I24" s="1271"/>
      <c r="J24" s="1271"/>
      <c r="K24" s="147"/>
      <c r="L24" s="147"/>
      <c r="M24" s="147"/>
    </row>
    <row r="25" spans="2:13" ht="25.5">
      <c r="B25" s="145"/>
      <c r="C25" s="145"/>
      <c r="D25" s="146"/>
      <c r="E25" s="146"/>
      <c r="F25" s="146"/>
      <c r="G25" s="146"/>
      <c r="H25" s="147" t="str">
        <f>'matrik MISI 1'!M83</f>
        <v>Program Pengelolaan Pasar Daerah</v>
      </c>
      <c r="I25" s="147"/>
      <c r="J25" s="147"/>
      <c r="K25" s="147"/>
      <c r="L25" s="147"/>
      <c r="M25" s="147"/>
    </row>
    <row r="26" spans="2:13" ht="63.75">
      <c r="B26" s="145"/>
      <c r="C26" s="145"/>
      <c r="D26" s="143">
        <v>17</v>
      </c>
      <c r="E26" s="143" t="str">
        <f>'matrik MISI 1'!G84</f>
        <v>Peningkatan Daya Saing Produk</v>
      </c>
      <c r="F26" s="143">
        <v>18</v>
      </c>
      <c r="G26" s="143" t="str">
        <f>'matrik MISI 1'!I84</f>
        <v>Meningkatkan nilai ekspor produk daerah dan promosi produk unggulan daerah serta pembinaan usaha informal</v>
      </c>
      <c r="H26" s="147" t="str">
        <f>'matrik MISI 1'!M85</f>
        <v>Program Peningkatan dan pengembangan  ekspor</v>
      </c>
      <c r="I26" s="147"/>
      <c r="J26" s="147"/>
      <c r="K26" s="147"/>
      <c r="L26" s="147"/>
      <c r="M26" s="147"/>
    </row>
    <row r="27" spans="2:13" ht="25.5">
      <c r="B27" s="145"/>
      <c r="C27" s="145"/>
      <c r="D27" s="146"/>
      <c r="E27" s="146"/>
      <c r="F27" s="146"/>
      <c r="G27" s="146"/>
      <c r="H27" s="147" t="str">
        <f>'matrik MISI 1'!M87</f>
        <v>Pembinaan pedagang Kaki lima dan Asongan</v>
      </c>
      <c r="I27" s="147"/>
      <c r="J27" s="147"/>
      <c r="K27" s="147"/>
      <c r="L27" s="147"/>
      <c r="M27" s="147"/>
    </row>
    <row r="28" spans="2:13" ht="63.75">
      <c r="B28" s="145"/>
      <c r="C28" s="145"/>
      <c r="D28" s="147">
        <v>18</v>
      </c>
      <c r="E28" s="147" t="str">
        <f>'matrik MISI 1'!G88</f>
        <v>Peningkatan Ketersediaan dan Jaminan Keamanan Produk yang Beredar (Perlindungan Konsumen)</v>
      </c>
      <c r="F28" s="147">
        <v>19</v>
      </c>
      <c r="G28" s="147" t="str">
        <f>'matrik MISI 1'!I88</f>
        <v>Meningkatkan perlindungan atas konsumen dan sengketa konsumen terhadap produk yang beredar</v>
      </c>
      <c r="H28" s="147" t="str">
        <f>'matrik MISI 1'!M89</f>
        <v>Perlindungan Konsumen</v>
      </c>
      <c r="I28" s="147"/>
      <c r="J28" s="147"/>
      <c r="K28" s="147"/>
      <c r="L28" s="147"/>
      <c r="M28" s="147"/>
    </row>
    <row r="29" spans="2:13" ht="38.25">
      <c r="B29" s="145"/>
      <c r="C29" s="145"/>
      <c r="D29" s="147">
        <v>19</v>
      </c>
      <c r="E29" s="147" t="str">
        <f>'matrik MISI 1'!G94</f>
        <v>Peningkatan Peran Sektor Jasa, Kelembagaan Koperasi dan UMKM</v>
      </c>
      <c r="F29" s="147">
        <v>20</v>
      </c>
      <c r="G29" s="147" t="str">
        <f>'matrik MISI 1'!I94</f>
        <v xml:space="preserve">Meningkatkan Kualitas kelembagaan koperasi </v>
      </c>
      <c r="H29" s="147" t="str">
        <f>'matrik MISI 1'!M95</f>
        <v>Peningkatan kualitas kelembagaan koperasi</v>
      </c>
      <c r="I29" s="147"/>
      <c r="J29" s="147"/>
      <c r="K29" s="147"/>
      <c r="L29" s="147"/>
      <c r="M29" s="147"/>
    </row>
    <row r="30" spans="2:13" ht="102">
      <c r="B30" s="145"/>
      <c r="C30" s="145"/>
      <c r="D30" s="147">
        <v>20</v>
      </c>
      <c r="E30" s="147" t="str">
        <f>'matrik MISI 1'!G98</f>
        <v>Penguatan Kapasitas dan Kapabilitas Pelaku UMKM</v>
      </c>
      <c r="F30" s="147">
        <v>21</v>
      </c>
      <c r="G30" s="147" t="str">
        <f>'matrik MISI 1'!I98</f>
        <v>Meningkatkan Kapasitas dan Kapabilitas Pelaku UMKM melalui pengembangan kewirausahaan dan pengembangan keunggulan kompetitif yang dimiliki UMKM/UKM</v>
      </c>
      <c r="H30" s="147" t="str">
        <f>'matrik MISI 1'!M99</f>
        <v>Program Pengembangan kewirausahaan dan keunggulan kompetitif UKM</v>
      </c>
      <c r="I30" s="147"/>
      <c r="J30" s="147"/>
      <c r="K30" s="147"/>
      <c r="L30" s="147"/>
      <c r="M30" s="147"/>
    </row>
    <row r="31" spans="2:13" ht="38.25">
      <c r="B31" s="145"/>
      <c r="C31" s="145"/>
      <c r="D31" s="147">
        <v>21</v>
      </c>
      <c r="E31" s="147" t="str">
        <f>'matrik MISI 1'!G102</f>
        <v>Peningkatan Rehabilitasi Lahan dan Konservasi Tanah</v>
      </c>
      <c r="F31" s="147">
        <v>22</v>
      </c>
      <c r="G31" s="147" t="str">
        <f>'matrik MISI 1'!I102</f>
        <v>Meningkatkan Rehabilitasi Lahan Kritis dan Konservasi Tanah</v>
      </c>
      <c r="H31" s="147" t="str">
        <f>'matrik MISI 1'!M103</f>
        <v>Program Rehabilitasi Hutan dan Lahan</v>
      </c>
      <c r="I31" s="147"/>
      <c r="J31" s="147"/>
      <c r="K31" s="147"/>
      <c r="L31" s="147"/>
      <c r="M31" s="147"/>
    </row>
    <row r="32" spans="2:13" ht="63.75">
      <c r="B32" s="145"/>
      <c r="C32" s="145"/>
      <c r="D32" s="143">
        <v>22</v>
      </c>
      <c r="E32" s="143" t="str">
        <f>'matrik MISI 1'!G104</f>
        <v>Peningkatan Peran Serta Masyarakat Dalam Rehabilitasi Lahan Kritis dan Konservasi Lahan</v>
      </c>
      <c r="F32" s="143">
        <v>23</v>
      </c>
      <c r="G32" s="143" t="str">
        <f>'matrik MISI 1'!I104</f>
        <v>Meningkatkan Peran Serta Masyarakat Dalam Rehabilitasi Lahan Kritis dan Konservasi Sumber Daya Hutan</v>
      </c>
      <c r="H32" s="147" t="str">
        <f>'matrik MISI 1'!M105</f>
        <v>Program Perlindungan dan Konservasi Sumber Daya Hutan</v>
      </c>
      <c r="I32" s="147"/>
      <c r="J32" s="147"/>
      <c r="K32" s="147"/>
      <c r="L32" s="147"/>
      <c r="M32" s="147"/>
    </row>
    <row r="33" spans="2:13" ht="38.25">
      <c r="B33" s="145"/>
      <c r="C33" s="145"/>
      <c r="D33" s="145"/>
      <c r="E33" s="145"/>
      <c r="F33" s="145"/>
      <c r="G33" s="145"/>
      <c r="H33" s="147" t="str">
        <f>'matrik MISI 1'!M106</f>
        <v>Program Pembinaan dan Penertiban Industri Hasil Hutan</v>
      </c>
      <c r="I33" s="147"/>
      <c r="J33" s="147"/>
      <c r="K33" s="147"/>
      <c r="L33" s="147"/>
      <c r="M33" s="147"/>
    </row>
    <row r="34" spans="2:13" ht="38.25">
      <c r="B34" s="145"/>
      <c r="C34" s="145"/>
      <c r="D34" s="146"/>
      <c r="E34" s="146"/>
      <c r="F34" s="146"/>
      <c r="G34" s="146"/>
      <c r="H34" s="147" t="str">
        <f>'matrik MISI 1'!M107</f>
        <v>Program Perlindungan dan Konservasi Sumber Daya Hutan</v>
      </c>
      <c r="I34" s="147"/>
      <c r="J34" s="147"/>
      <c r="K34" s="147"/>
      <c r="L34" s="147"/>
      <c r="M34" s="147"/>
    </row>
    <row r="35" spans="2:13" ht="63.75">
      <c r="B35" s="143">
        <v>2</v>
      </c>
      <c r="C35" s="143" t="str">
        <f>'visi misi'!A7</f>
        <v>Mewujudkan Peningkatan Kehidupan Masyarakat Perdesaan dan Perkotaan yang Agamis, Berbudaya, dan Sejahtera</v>
      </c>
      <c r="D35" s="143">
        <v>1</v>
      </c>
      <c r="E35" s="143" t="str">
        <f>'matrik MISI 2'!G6</f>
        <v>Peningkatan Penanganan Penyandang Masalah Kesejahteraan Sosial ( PMKS )</v>
      </c>
      <c r="F35" s="143">
        <v>1</v>
      </c>
      <c r="G35" s="143" t="str">
        <f>'matrik MISI 2'!I6</f>
        <v>Meningkatkan penanganan pada PMKS dan peningkatan penanganan RTLH</v>
      </c>
      <c r="H35" s="147" t="str">
        <f>'matrik MISI 2'!M7</f>
        <v xml:space="preserve">Program Pelayanan dan Rehabilitasi Kesejahteraan Sosial                                  </v>
      </c>
      <c r="I35" s="147"/>
      <c r="J35" s="1271"/>
      <c r="K35" s="1271"/>
      <c r="L35" s="1271"/>
      <c r="M35" s="1271"/>
    </row>
    <row r="36" spans="2:13" ht="25.5">
      <c r="B36" s="145"/>
      <c r="C36" s="145"/>
      <c r="D36" s="145"/>
      <c r="E36" s="145"/>
      <c r="F36" s="145"/>
      <c r="G36" s="145"/>
      <c r="H36" s="147" t="str">
        <f>'matrik MISI 2'!M8</f>
        <v xml:space="preserve">Program pembinaan anak terlantar                             </v>
      </c>
      <c r="I36" s="147"/>
      <c r="J36" s="147"/>
      <c r="K36" s="147"/>
      <c r="L36" s="147"/>
      <c r="M36" s="147"/>
    </row>
    <row r="37" spans="2:13" ht="38.25">
      <c r="B37" s="145"/>
      <c r="C37" s="145"/>
      <c r="D37" s="145"/>
      <c r="E37" s="145"/>
      <c r="F37" s="145"/>
      <c r="G37" s="145"/>
      <c r="H37" s="147" t="str">
        <f>'matrik MISI 2'!M10</f>
        <v xml:space="preserve">Program pembinaan para penyandang cacat dan trauma                                          </v>
      </c>
      <c r="I37" s="147"/>
      <c r="J37" s="147"/>
      <c r="K37" s="147"/>
      <c r="L37" s="147"/>
      <c r="M37" s="147"/>
    </row>
    <row r="38" spans="2:13" ht="89.25">
      <c r="B38" s="145"/>
      <c r="C38" s="145"/>
      <c r="D38" s="143">
        <v>2</v>
      </c>
      <c r="E38" s="143" t="str">
        <f>'matrik MISI 2'!G15</f>
        <v xml:space="preserve">Peningkatan Potensi Sumber Kesejahteraan Sosial </v>
      </c>
      <c r="F38" s="143">
        <v>2</v>
      </c>
      <c r="G38" s="143" t="str">
        <f>'matrik MISI 2'!I15</f>
        <v>Meningkatkan Potensi Sumber Kesejahteraan Sosial yang berupa peningkatan lembaga sosial, CSR Sosial, dan organisasi sosial lainnya dalam menangani PMKS</v>
      </c>
      <c r="H38" s="147" t="str">
        <f>'matrik MISI 2'!M11</f>
        <v>Program pembinaan eks penyandang penyakit sosial (eks narapidana, PSK, narkoba dan penyakit sosial lainnya)</v>
      </c>
      <c r="I38" s="147"/>
      <c r="J38" s="147"/>
      <c r="K38" s="147"/>
      <c r="L38" s="147"/>
      <c r="M38" s="147"/>
    </row>
    <row r="39" spans="2:13" ht="76.5">
      <c r="B39" s="145"/>
      <c r="C39" s="145"/>
      <c r="D39" s="145"/>
      <c r="E39" s="145"/>
      <c r="F39" s="145"/>
      <c r="G39" s="145"/>
      <c r="H39" s="147" t="str">
        <f>'matrik MISI 2'!M12</f>
        <v>Program Pemberdayaan Fakir Miskin, Komunitas Adat Terpencil (KAT) dan Penyandang Masalah Kesejahteraan Sosial (PMKS) Lainnya</v>
      </c>
      <c r="I39" s="147"/>
      <c r="J39" s="147"/>
      <c r="K39" s="147"/>
      <c r="L39" s="147"/>
      <c r="M39" s="147"/>
    </row>
    <row r="40" spans="2:13" ht="38.25">
      <c r="B40" s="145"/>
      <c r="C40" s="145"/>
      <c r="D40" s="145"/>
      <c r="E40" s="145"/>
      <c r="F40" s="145"/>
      <c r="G40" s="145"/>
      <c r="H40" s="147" t="str">
        <f>'matrik MISI 2'!M17</f>
        <v>Program Pemberdayaan Kelembagaan Kesejahteraan Sosial</v>
      </c>
      <c r="I40" s="147"/>
      <c r="J40" s="1271"/>
      <c r="K40" s="1271"/>
      <c r="L40" s="1271"/>
      <c r="M40" s="1271"/>
    </row>
    <row r="41" spans="2:13" ht="38.25">
      <c r="B41" s="145"/>
      <c r="C41" s="145"/>
      <c r="D41" s="143">
        <v>3</v>
      </c>
      <c r="E41" s="143" t="str">
        <f>'matrik MISI 2'!G20</f>
        <v>Peningkatan Kesejahteraan Rumah Tangga Sasaran</v>
      </c>
      <c r="F41" s="143">
        <v>3</v>
      </c>
      <c r="G41" s="143" t="str">
        <f>'matrik MISI 2'!I20</f>
        <v>Meningkatkan perlindungan sosial terhadap Rumah Tangga Sasaran</v>
      </c>
      <c r="H41" s="147" t="str">
        <f>'matrik MISI 2'!M21</f>
        <v>Program Pelayanan dan Rehabilitasi Kesejahteraan Sosial</v>
      </c>
      <c r="I41" s="147"/>
      <c r="J41" s="147"/>
      <c r="K41" s="147"/>
      <c r="L41" s="147"/>
      <c r="M41" s="147"/>
    </row>
    <row r="42" spans="2:13" ht="25.5">
      <c r="B42" s="145"/>
      <c r="C42" s="145"/>
      <c r="D42" s="146"/>
      <c r="E42" s="146"/>
      <c r="F42" s="146"/>
      <c r="G42" s="146"/>
      <c r="H42" s="147" t="str">
        <f>'matrik MISI 2'!M22</f>
        <v>Program Pemberdayaan Fakir Miskin</v>
      </c>
      <c r="I42" s="147"/>
      <c r="J42" s="147"/>
      <c r="K42" s="147"/>
      <c r="L42" s="147"/>
      <c r="M42" s="147"/>
    </row>
    <row r="43" spans="2:13" ht="38.25">
      <c r="B43" s="145"/>
      <c r="C43" s="145"/>
      <c r="D43" s="143">
        <v>4</v>
      </c>
      <c r="E43" s="143" t="str">
        <f>'matrik MISI 2'!G23</f>
        <v>Peningkatan Pencegahan, Penanggulangan, dan Penanganan Bencana</v>
      </c>
      <c r="F43" s="143">
        <v>4</v>
      </c>
      <c r="G43" s="143" t="str">
        <f>'matrik MISI 2'!I23</f>
        <v>Meningkatkan upaya penanganan terhadap bencana alam</v>
      </c>
      <c r="H43" s="147" t="str">
        <f>'matrik MISI 2'!M24</f>
        <v xml:space="preserve">program pencegahan dan kesiapsiagaan </v>
      </c>
      <c r="I43" s="147"/>
      <c r="J43" s="147"/>
      <c r="K43" s="147"/>
      <c r="L43" s="147"/>
      <c r="M43" s="147"/>
    </row>
    <row r="44" spans="2:13" ht="25.5">
      <c r="B44" s="145"/>
      <c r="C44" s="145"/>
      <c r="D44" s="145"/>
      <c r="E44" s="145"/>
      <c r="F44" s="145"/>
      <c r="G44" s="145"/>
      <c r="H44" s="147" t="str">
        <f>'matrik MISI 2'!M25</f>
        <v>program tanggap darurat dan logistik</v>
      </c>
      <c r="I44" s="147"/>
      <c r="J44" s="147"/>
      <c r="K44" s="147"/>
      <c r="L44" s="147"/>
      <c r="M44" s="147"/>
    </row>
    <row r="45" spans="2:13" ht="25.5">
      <c r="B45" s="145"/>
      <c r="C45" s="145"/>
      <c r="D45" s="146"/>
      <c r="E45" s="146"/>
      <c r="F45" s="146"/>
      <c r="G45" s="146"/>
      <c r="H45" s="147" t="str">
        <f>'matrik MISI 2'!M28</f>
        <v>program rehabilitasi dan rekonstruksi pasca bencana</v>
      </c>
      <c r="I45" s="147"/>
      <c r="J45" s="147"/>
      <c r="K45" s="147"/>
      <c r="L45" s="147"/>
      <c r="M45" s="147"/>
    </row>
    <row r="46" spans="2:13" ht="89.25">
      <c r="B46" s="145"/>
      <c r="C46" s="145"/>
      <c r="D46" s="143">
        <v>5</v>
      </c>
      <c r="E46" s="143" t="str">
        <f>'matrik MISI 2'!G29</f>
        <v>Peningkatan Kualitas dan Produktifitas Tenaga Kerja</v>
      </c>
      <c r="F46" s="143">
        <v>5</v>
      </c>
      <c r="G46" s="143" t="str">
        <f>'matrik MISI 2'!I29</f>
        <v>Meningkatkan Kualitas dan Produktifitas Tenaga Kerja melalui pelatihan yang berbasis kompetensi, pelatihan berbasis masyarakat, dan berbasis kewirausahaan</v>
      </c>
      <c r="H46" s="147" t="str">
        <f>'matrik MISI 2'!M30</f>
        <v>Program Peningkatan Kualitas dan Produktivitas Tenaga Kerja</v>
      </c>
      <c r="I46" s="147"/>
      <c r="J46" s="147"/>
      <c r="K46" s="147"/>
      <c r="L46" s="147"/>
      <c r="M46" s="147"/>
    </row>
    <row r="47" spans="2:13" ht="38.25">
      <c r="B47" s="145"/>
      <c r="C47" s="145"/>
      <c r="D47" s="145"/>
      <c r="E47" s="145"/>
      <c r="F47" s="145"/>
      <c r="G47" s="145"/>
      <c r="H47" s="147" t="str">
        <f>'matrik MISI 2'!M31</f>
        <v>Program Peningkatan Kualitas dan Produktivitas Tenaga Kerja</v>
      </c>
      <c r="I47" s="147"/>
      <c r="J47" s="147"/>
      <c r="K47" s="147"/>
      <c r="L47" s="147"/>
      <c r="M47" s="147"/>
    </row>
    <row r="48" spans="2:13" ht="63.75">
      <c r="B48" s="145"/>
      <c r="C48" s="145"/>
      <c r="D48" s="143">
        <v>6</v>
      </c>
      <c r="E48" s="143" t="str">
        <f>'matrik MISI 2'!G33</f>
        <v>Peningkatan Kesempatan Kerja dan Menurunkan Tingkat Pengangguran</v>
      </c>
      <c r="F48" s="143">
        <v>6</v>
      </c>
      <c r="G48" s="143" t="str">
        <f>'matrik MISI 2'!I33</f>
        <v>Meningkatkan Kesempatan Kerja dan Menurunkan Tingkat Pengangguran melalui upaya peningkatan penempatan pencari kerja</v>
      </c>
      <c r="H48" s="147" t="str">
        <f>'matrik MISI 2'!M34</f>
        <v>Program Peningkatan Kesempatan Kerja</v>
      </c>
      <c r="I48" s="147"/>
      <c r="J48" s="147"/>
      <c r="K48" s="147"/>
      <c r="L48" s="147"/>
      <c r="M48" s="147"/>
    </row>
    <row r="49" spans="2:13" ht="25.5">
      <c r="B49" s="145"/>
      <c r="C49" s="145"/>
      <c r="D49" s="145"/>
      <c r="E49" s="145"/>
      <c r="F49" s="145"/>
      <c r="G49" s="145"/>
      <c r="H49" s="147" t="str">
        <f>'matrik MISI 2'!M35</f>
        <v>Program Peningkatan Kesempatan Kerja</v>
      </c>
      <c r="I49" s="147"/>
      <c r="J49" s="147"/>
      <c r="K49" s="147"/>
      <c r="L49" s="1271"/>
      <c r="M49" s="1271"/>
    </row>
    <row r="50" spans="2:13" ht="38.25">
      <c r="B50" s="145"/>
      <c r="C50" s="145"/>
      <c r="D50" s="143">
        <v>7</v>
      </c>
      <c r="E50" s="143" t="str">
        <f>'matrik MISI 2'!G38</f>
        <v xml:space="preserve">Peningkatan Perlindungan Tenaga Kerja dan Pengembangan Lembaga </v>
      </c>
      <c r="F50" s="143">
        <v>7</v>
      </c>
      <c r="G50" s="143" t="str">
        <f>'matrik MISI 2'!I38</f>
        <v xml:space="preserve">Meningkatkan Perlindungan Tenaga Kerja </v>
      </c>
      <c r="H50" s="147" t="str">
        <f>'matrik MISI 2'!M39</f>
        <v>Program Perlindungan dan Pengembangan Lembaga Ketenagakerjaan</v>
      </c>
      <c r="I50" s="147"/>
      <c r="J50" s="147"/>
      <c r="K50" s="147"/>
      <c r="L50" s="147"/>
      <c r="M50" s="147"/>
    </row>
    <row r="51" spans="2:13" ht="89.25">
      <c r="B51" s="145"/>
      <c r="C51" s="145"/>
      <c r="D51" s="143">
        <v>8</v>
      </c>
      <c r="E51" s="143" t="str">
        <f>'matrik MISI 2'!G43</f>
        <v>Peningkatan kualitas dan kuantitas pemberdayaan masyarakat</v>
      </c>
      <c r="F51" s="143">
        <v>8</v>
      </c>
      <c r="G51" s="143" t="str">
        <f>'matrik MISI 2'!I43</f>
        <v>Meningkatkan kualitas dan kuantitas pemberdayaan masyarakat, dan pengurangan angka kemiskinan, serta peningkatan kapasitas ekonomi masyarakat</v>
      </c>
      <c r="H51" s="147" t="str">
        <f>'matrik MISI 2'!M44</f>
        <v>Program Peningkatan Ketahanan Masyarakat Desa</v>
      </c>
      <c r="I51" s="1271"/>
      <c r="J51" s="1271"/>
      <c r="K51" s="1271"/>
      <c r="L51" s="1271"/>
      <c r="M51" s="1271"/>
    </row>
    <row r="52" spans="2:13" ht="51">
      <c r="B52" s="145"/>
      <c r="C52" s="145"/>
      <c r="D52" s="145"/>
      <c r="E52" s="145"/>
      <c r="F52" s="145"/>
      <c r="G52" s="145"/>
      <c r="H52" s="147" t="str">
        <f>'matrik MISI 2'!M45</f>
        <v>Program Peningkatan Partisipasi Masyarakat dalam Membangun Desa/Kelurahan</v>
      </c>
      <c r="I52" s="147"/>
      <c r="J52" s="147"/>
      <c r="K52" s="147"/>
      <c r="L52" s="147"/>
      <c r="M52" s="147"/>
    </row>
    <row r="53" spans="2:13" ht="38.25">
      <c r="B53" s="145"/>
      <c r="C53" s="145"/>
      <c r="D53" s="145"/>
      <c r="E53" s="145"/>
      <c r="F53" s="145"/>
      <c r="G53" s="145"/>
      <c r="H53" s="147" t="str">
        <f>'matrik MISI 2'!M46</f>
        <v>Program Pengembangan Lembaga Ekonomi Pedesaan</v>
      </c>
      <c r="I53" s="147"/>
      <c r="J53" s="147"/>
      <c r="K53" s="147"/>
      <c r="L53" s="147"/>
      <c r="M53" s="147"/>
    </row>
    <row r="54" spans="2:13" ht="38.25">
      <c r="B54" s="145"/>
      <c r="C54" s="145"/>
      <c r="D54" s="145"/>
      <c r="E54" s="145"/>
      <c r="F54" s="145"/>
      <c r="G54" s="145"/>
      <c r="H54" s="147" t="str">
        <f>'matrik MISI 2'!M49</f>
        <v>Program Peningkatan Keberdayaan Masyarakat Desa</v>
      </c>
      <c r="I54" s="147"/>
      <c r="J54" s="147"/>
      <c r="K54" s="147"/>
      <c r="L54" s="147"/>
      <c r="M54" s="147"/>
    </row>
    <row r="55" spans="2:13" ht="38.25">
      <c r="B55" s="145"/>
      <c r="C55" s="145"/>
      <c r="D55" s="146"/>
      <c r="E55" s="146"/>
      <c r="F55" s="146"/>
      <c r="G55" s="146"/>
      <c r="H55" s="147" t="str">
        <f>'matrik MISI 2'!M51</f>
        <v>Program Peningkatan Kapasitas Aparatur Pemerintah Desa</v>
      </c>
      <c r="I55" s="147"/>
      <c r="J55" s="147"/>
      <c r="K55" s="147"/>
      <c r="L55" s="147"/>
      <c r="M55" s="147"/>
    </row>
    <row r="56" spans="2:13" ht="63.75">
      <c r="B56" s="145"/>
      <c r="C56" s="145"/>
      <c r="D56" s="147">
        <v>9</v>
      </c>
      <c r="E56" s="147" t="str">
        <f>'matrik MISI 2'!G52</f>
        <v>Peningkatan Kualitas Penyelenggaraan Transmigrasi</v>
      </c>
      <c r="F56" s="147">
        <v>9</v>
      </c>
      <c r="G56" s="147" t="str">
        <f>'matrik MISI 2'!I52</f>
        <v>Meningkatkan Kualitas Penyelenggaraan Transmigrasi dan peningkatan kualitas transmigran</v>
      </c>
      <c r="H56" s="147" t="str">
        <f>'matrik MISI 2'!M53</f>
        <v>Program Pengembangan Wilayah Transmigrasi</v>
      </c>
      <c r="I56" s="147"/>
      <c r="J56" s="147"/>
      <c r="K56" s="147"/>
      <c r="L56" s="147"/>
      <c r="M56" s="147"/>
    </row>
    <row r="57" spans="2:13" ht="63.75">
      <c r="B57" s="145"/>
      <c r="C57" s="145"/>
      <c r="D57" s="143">
        <v>10</v>
      </c>
      <c r="E57" s="143" t="str">
        <f>'matrik MISI 2'!G54</f>
        <v>Peningkatan Pemberdayaan Perempuan, Perlindungan Perempuan, dan Perlindungan Anak</v>
      </c>
      <c r="F57" s="143">
        <v>10</v>
      </c>
      <c r="G57" s="143" t="str">
        <f>'matrik MISI 2'!I54</f>
        <v xml:space="preserve">Meningkatkan upaya penanganan terhadap kekerasan terhadap perempuan dan anak yang terjadi </v>
      </c>
      <c r="H57" s="147" t="str">
        <f>'matrik MISI 2'!M55</f>
        <v>Program Keserasian Kebijakan Peningkatan Kualitas Anak dan Perempuan</v>
      </c>
      <c r="I57" s="147"/>
      <c r="J57" s="147"/>
      <c r="K57" s="147"/>
      <c r="L57" s="147"/>
      <c r="M57" s="147"/>
    </row>
    <row r="58" spans="2:13" ht="63.75">
      <c r="B58" s="145"/>
      <c r="C58" s="145"/>
      <c r="D58" s="147">
        <v>11</v>
      </c>
      <c r="E58" s="147" t="str">
        <f>'matrik MISI 2'!G64</f>
        <v>Peningkatan kesetaraan gender</v>
      </c>
      <c r="F58" s="147">
        <v>11</v>
      </c>
      <c r="G58" s="147" t="str">
        <f>'matrik MISI 2'!I64</f>
        <v xml:space="preserve">Meningkatkan kelembagaan pengarusutamaan gender melalui implementasi anggaran yang responsisf gender </v>
      </c>
      <c r="H58" s="1234" t="str">
        <f>'matrik MISI 2'!M64</f>
        <v>Program Penguatan Kelembagaan Pengarustamaan Gender dan Anak</v>
      </c>
      <c r="I58" s="1234"/>
      <c r="J58" s="1234"/>
      <c r="K58" s="1234"/>
      <c r="L58" s="1234"/>
      <c r="M58" s="1234"/>
    </row>
    <row r="59" spans="2:13" ht="38.25">
      <c r="B59" s="145"/>
      <c r="C59" s="145"/>
      <c r="D59" s="147">
        <v>12</v>
      </c>
      <c r="E59" s="147" t="str">
        <f>'matrik MISI 2'!G65</f>
        <v>Peningkatan Kualitas Kabupaten Layak Anak</v>
      </c>
      <c r="F59" s="147">
        <v>12</v>
      </c>
      <c r="G59" s="147" t="str">
        <f>'matrik MISI 2'!I65</f>
        <v>Meningkatkan perlindungan anak dan pengembangan pemenuhan hak-hak anak</v>
      </c>
      <c r="H59" s="1235"/>
      <c r="I59" s="1235"/>
      <c r="J59" s="1235"/>
      <c r="K59" s="1235"/>
      <c r="L59" s="1235"/>
      <c r="M59" s="1235"/>
    </row>
    <row r="60" spans="2:13" ht="38.25">
      <c r="B60" s="145"/>
      <c r="C60" s="145"/>
      <c r="D60" s="147">
        <v>13</v>
      </c>
      <c r="E60" s="147" t="str">
        <f>'matrik MISI 2'!G71</f>
        <v>Peningkatan Pembinaan Kepemudaan dan Olahraga</v>
      </c>
      <c r="F60" s="147">
        <v>13</v>
      </c>
      <c r="G60" s="147" t="str">
        <f>'matrik MISI 2'!I71</f>
        <v xml:space="preserve">Meningkatkan Pembinaan dan penyelenggaraan kegiatan Kepemudaan </v>
      </c>
      <c r="H60" s="147" t="str">
        <f>'matrik MISI 2'!M72</f>
        <v>Program Pembinaan dan Pemasyarakatan Olahraga</v>
      </c>
      <c r="I60" s="147"/>
      <c r="J60" s="147"/>
      <c r="K60" s="147"/>
      <c r="L60" s="147"/>
      <c r="M60" s="147"/>
    </row>
    <row r="61" spans="2:13" ht="38.25">
      <c r="B61" s="145"/>
      <c r="C61" s="145"/>
      <c r="D61" s="147">
        <v>14</v>
      </c>
      <c r="E61" s="147" t="str">
        <f>'matrik MISI 2'!G73</f>
        <v>Peningkatan Sarana dan Prasarana Kepemudaan dan Olahraga</v>
      </c>
      <c r="F61" s="147">
        <v>14</v>
      </c>
      <c r="G61" s="147" t="str">
        <f>'matrik MISI 2'!I73</f>
        <v>Meningkatkan Sarana dan Prasarana Olahraga</v>
      </c>
      <c r="H61" s="147" t="str">
        <f>'matrik MISI 2'!M74</f>
        <v>Program Peningkatan Sarana dan Prasarana Olahraga</v>
      </c>
      <c r="I61" s="147"/>
      <c r="J61" s="147"/>
      <c r="K61" s="147"/>
      <c r="L61" s="147"/>
      <c r="M61" s="147"/>
    </row>
    <row r="62" spans="2:13" ht="63.75">
      <c r="B62" s="145"/>
      <c r="C62" s="145"/>
      <c r="D62" s="147">
        <v>15</v>
      </c>
      <c r="E62" s="147" t="str">
        <f>'matrik MISI 2'!G75</f>
        <v>Peningkatan Prestasi Pemuda dan Atlit Olahraga</v>
      </c>
      <c r="F62" s="147">
        <v>15</v>
      </c>
      <c r="G62" s="147" t="str">
        <f>'matrik MISI 2'!I75</f>
        <v>Meningkatkan penyelenggaraan kegiatan olahraga dan pembinaan olahraga Prestasi dan Atlit Olahraga</v>
      </c>
      <c r="H62" s="147" t="str">
        <f>'matrik MISI 2'!M76</f>
        <v>Program Pembinaan dan Pemasyarakatan Olahraga</v>
      </c>
      <c r="I62" s="147"/>
      <c r="J62" s="147"/>
      <c r="K62" s="147"/>
      <c r="L62" s="147"/>
      <c r="M62" s="147"/>
    </row>
    <row r="63" spans="2:13" ht="51">
      <c r="B63" s="145"/>
      <c r="C63" s="145"/>
      <c r="D63" s="147">
        <v>16</v>
      </c>
      <c r="E63" s="147" t="str">
        <f>'matrik MISI 2'!G79</f>
        <v>Peningkatan Kualitas Sarana dan Prasarana Keagamaan</v>
      </c>
      <c r="F63" s="147">
        <v>16</v>
      </c>
      <c r="G63" s="147" t="str">
        <f>'matrik MISI 2'!I79</f>
        <v>Meningkatkan pemberian bantuan sarana dan prasarana pendukung kegiatan keagamaan</v>
      </c>
      <c r="H63" s="147" t="str">
        <f>'matrik MISI 2'!M80</f>
        <v>Program Pengembangan Nilai Keagamaan</v>
      </c>
      <c r="I63" s="147"/>
      <c r="J63" s="147"/>
      <c r="K63" s="147"/>
      <c r="L63" s="147"/>
      <c r="M63" s="147"/>
    </row>
    <row r="64" spans="2:13" ht="76.5">
      <c r="B64" s="145"/>
      <c r="C64" s="145"/>
      <c r="D64" s="147">
        <v>17</v>
      </c>
      <c r="E64" s="147" t="str">
        <f>'matrik MISI 2'!G84</f>
        <v>Peningkatan Pengembangan dan Pelestarian Kebudayaan Daerah</v>
      </c>
      <c r="F64" s="147">
        <v>17</v>
      </c>
      <c r="G64" s="147" t="str">
        <f>'matrik MISI 2'!I84</f>
        <v xml:space="preserve">Meningkatan Pengembangan, Pelestarian dan pemeliharaan nilai tradisi budaya dan benda bersejarah serta benda arkeologi </v>
      </c>
      <c r="H64" s="147" t="str">
        <f>'matrik MISI 2'!M85</f>
        <v>Program Pengelolaan Kekayaan Budaya</v>
      </c>
      <c r="I64" s="147"/>
      <c r="J64" s="147"/>
      <c r="K64" s="147"/>
      <c r="L64" s="147"/>
      <c r="M64" s="147"/>
    </row>
    <row r="65" spans="2:13" ht="76.5">
      <c r="B65" s="145"/>
      <c r="C65" s="145"/>
      <c r="D65" s="147">
        <v>18</v>
      </c>
      <c r="E65" s="147" t="str">
        <f>'matrik MISI 2'!G87</f>
        <v>Peningkatan Promosi Seni dan Cagar Budaya</v>
      </c>
      <c r="F65" s="147">
        <v>18</v>
      </c>
      <c r="G65" s="147" t="str">
        <f>'matrik MISI 2'!I87</f>
        <v>Meningkatkan Promosi Seni dan Cagar Budaya melalui penyelenggaraan gelar seni, kajian seni, promosi seni, organisasi seni, dan tempat-tempat kesenian</v>
      </c>
      <c r="H65" s="147" t="str">
        <f>'matrik MISI 2'!M88</f>
        <v>Program Pengelolaan Keragaman Budaya</v>
      </c>
      <c r="I65" s="147"/>
      <c r="J65" s="147"/>
      <c r="K65" s="147"/>
      <c r="L65" s="147"/>
      <c r="M65" s="147"/>
    </row>
    <row r="66" spans="2:13" ht="51">
      <c r="B66" s="145"/>
      <c r="C66" s="145"/>
      <c r="D66" s="147">
        <v>19</v>
      </c>
      <c r="E66" s="147" t="str">
        <f>'matrik MISI 2'!G95</f>
        <v>Peningkatan Sarana Budaya dan Kebudayaan</v>
      </c>
      <c r="F66" s="147">
        <v>19</v>
      </c>
      <c r="G66" s="147" t="str">
        <f>'matrik MISI 2'!I95</f>
        <v>Meningkatkan Sarana dan prasarana dalam rangka pengelolaan kekayaan Budaya dan Kebudayaan</v>
      </c>
      <c r="H66" s="147" t="str">
        <f>'matrik MISI 2'!M96</f>
        <v>Program Pengelolaan Kekayaan Budaya</v>
      </c>
      <c r="I66" s="147"/>
      <c r="J66" s="147"/>
      <c r="K66" s="147"/>
      <c r="L66" s="147"/>
      <c r="M66" s="147"/>
    </row>
    <row r="67" spans="2:13" ht="102">
      <c r="B67" s="145"/>
      <c r="C67" s="145"/>
      <c r="D67" s="143">
        <v>20</v>
      </c>
      <c r="E67" s="143" t="str">
        <f>'matrik MISI 2'!G99</f>
        <v xml:space="preserve">Peningkatan Kualitas Kehidupan Politik dan Wawasan Kebangsaan </v>
      </c>
      <c r="F67" s="143">
        <v>20</v>
      </c>
      <c r="G67" s="143" t="str">
        <f>'matrik MISI 2'!I99</f>
        <v>Meningkatkan Kualitas Kehidupan Politik dan Wawasan Kebangsaan masyarakat melalui pendidikan politik masyarakat dan penanganan penyakit masyarakat</v>
      </c>
      <c r="H67" s="147" t="str">
        <f>'matrik MISI 2'!M100</f>
        <v>Program pendidikan politik masyarakat</v>
      </c>
      <c r="I67" s="147"/>
      <c r="J67" s="147"/>
      <c r="K67" s="147"/>
      <c r="L67" s="147"/>
      <c r="M67" s="147"/>
    </row>
    <row r="68" spans="2:13" ht="38.25">
      <c r="B68" s="145"/>
      <c r="C68" s="145"/>
      <c r="D68" s="145"/>
      <c r="E68" s="145"/>
      <c r="F68" s="145"/>
      <c r="G68" s="145"/>
      <c r="H68" s="147" t="str">
        <f>'matrik MISI 2'!M101</f>
        <v>Program peningkatan pemberantasan penyakit masyarakat</v>
      </c>
      <c r="I68" s="147"/>
      <c r="J68" s="147"/>
      <c r="K68" s="147"/>
      <c r="L68" s="147"/>
      <c r="M68" s="147"/>
    </row>
    <row r="69" spans="2:13" ht="25.5">
      <c r="B69" s="145"/>
      <c r="C69" s="145"/>
      <c r="D69" s="145"/>
      <c r="E69" s="145"/>
      <c r="F69" s="145"/>
      <c r="G69" s="145"/>
      <c r="H69" s="147" t="str">
        <f>'matrik MISI 2'!M103</f>
        <v>Program pengembangan wawasan kebangsaan</v>
      </c>
      <c r="I69" s="147"/>
      <c r="J69" s="147"/>
      <c r="K69" s="147"/>
      <c r="L69" s="147"/>
      <c r="M69" s="147"/>
    </row>
    <row r="70" spans="2:13" ht="114.75">
      <c r="B70" s="145"/>
      <c r="C70" s="145"/>
      <c r="D70" s="143">
        <v>21</v>
      </c>
      <c r="E70" s="143" t="str">
        <f>'matrik MISI 2'!G105</f>
        <v>Peningkatan Ketertiban dan Keamanan</v>
      </c>
      <c r="F70" s="143">
        <v>21</v>
      </c>
      <c r="G70" s="143" t="str">
        <f>'matrik MISI 2'!I105</f>
        <v>Meningkatkan Ketertiban dan Keamanan melalui penegakan peraturan daerah, penurunan angka kriminalitas, penanganan demonstrasi, dan patroli siaga serta ketersediaan tenaga linmas di masyarakat</v>
      </c>
      <c r="H70" s="147" t="str">
        <f>'matrik MISI 2'!M104</f>
        <v>Program pemeliharaan kantrantibmas dan pencegahan tindak kriminal</v>
      </c>
      <c r="I70" s="147"/>
      <c r="J70" s="147"/>
      <c r="K70" s="147"/>
      <c r="L70" s="147"/>
      <c r="M70" s="147"/>
    </row>
    <row r="71" spans="2:13" ht="38.25">
      <c r="B71" s="146"/>
      <c r="C71" s="146"/>
      <c r="D71" s="146"/>
      <c r="E71" s="146"/>
      <c r="F71" s="146"/>
      <c r="G71" s="146"/>
      <c r="H71" s="147" t="str">
        <f>'matrik MISI 2'!M110</f>
        <v>Program pemberdayaan masyarakat untuk menjaga ketertiban dan keamanan</v>
      </c>
      <c r="I71" s="147"/>
      <c r="J71" s="147"/>
      <c r="K71" s="147"/>
      <c r="L71" s="147"/>
      <c r="M71" s="147"/>
    </row>
    <row r="72" spans="2:13" ht="102">
      <c r="B72" s="143">
        <v>3</v>
      </c>
      <c r="C72" s="143" t="str">
        <f>'visi misi'!A9</f>
        <v>Mewujudkan Peningkatan Infrastruktur Permukiman Perdesaan dan Perkotaan yang Layak dan Berwawasan Lingkungan</v>
      </c>
      <c r="D72" s="143">
        <v>1</v>
      </c>
      <c r="E72" s="143" t="str">
        <f>'matrik MISI 3'!G6</f>
        <v>Peningkatan aksesibilitas Insfrastruktur bagi pengembangan ekonomi</v>
      </c>
      <c r="F72" s="147">
        <v>1</v>
      </c>
      <c r="G72" s="147" t="str">
        <f>'matrik MISI 3'!I6</f>
        <v>Meningkatkan dan mengembangkan Infrastruktur jalan dan jembatan yang memadai melalui pembangunan, pemeliharaan dan peningkatan kualitas jalan dan jembatan</v>
      </c>
      <c r="H72" s="147" t="str">
        <f>'matrik MISI 3'!M7</f>
        <v>Program Pembangunan Jalan dan Jembatan</v>
      </c>
      <c r="I72" s="147"/>
      <c r="J72" s="1271"/>
      <c r="K72" s="1271"/>
      <c r="L72" s="1271"/>
      <c r="M72" s="1271"/>
    </row>
    <row r="73" spans="2:13" ht="63.75">
      <c r="B73" s="145"/>
      <c r="C73" s="145"/>
      <c r="D73" s="145"/>
      <c r="E73" s="145"/>
      <c r="F73" s="143">
        <v>2</v>
      </c>
      <c r="G73" s="143" t="str">
        <f>'matrik MISI 3'!I12</f>
        <v>Meningkatkan ketersediaan ruas jalan baru sebagai alternatif pemecahan masalah dalam mengurai kemacetan</v>
      </c>
      <c r="H73" s="147" t="str">
        <f>'matrik MISI 3'!M10</f>
        <v>Program rehabilitasi/ pemeliharaan Jalan dan Jembatan</v>
      </c>
      <c r="I73" s="147"/>
      <c r="J73" s="147"/>
      <c r="K73" s="1271"/>
      <c r="L73" s="1271"/>
      <c r="M73" s="1271"/>
    </row>
    <row r="74" spans="2:13" ht="38.25">
      <c r="B74" s="145"/>
      <c r="C74" s="145"/>
      <c r="D74" s="146"/>
      <c r="E74" s="146"/>
      <c r="F74" s="146"/>
      <c r="G74" s="146"/>
      <c r="H74" s="147" t="str">
        <f>'matrik MISI 3'!M13</f>
        <v xml:space="preserve">Program peningkatan sarana dan prasarana kebinamargaan </v>
      </c>
      <c r="I74" s="147"/>
      <c r="J74" s="147"/>
      <c r="K74" s="147"/>
      <c r="L74" s="147"/>
      <c r="M74" s="147"/>
    </row>
    <row r="75" spans="2:13" ht="63.75">
      <c r="B75" s="145"/>
      <c r="C75" s="145"/>
      <c r="D75" s="143">
        <v>2</v>
      </c>
      <c r="E75" s="143" t="str">
        <f>'matrik MISI 3'!G14</f>
        <v>peningkatan Infrastruktur Sumber Daya Air</v>
      </c>
      <c r="F75" s="143">
        <v>3</v>
      </c>
      <c r="G75" s="143" t="str">
        <f>'matrik MISI 3'!I14</f>
        <v>Meningkatan ketersediaan Infrastruktur Sumber Daya Air melalui pengembangan dan pengelolaan jaringan irigasi dan drainase</v>
      </c>
      <c r="H75" s="147" t="str">
        <f>'matrik MISI 3'!M14</f>
        <v xml:space="preserve">Program pengembangan dan pengelolaan jaringan irigasi, rawa dan jaringan pengairan lainnya </v>
      </c>
      <c r="I75" s="147"/>
      <c r="J75" s="147"/>
      <c r="K75" s="1271"/>
      <c r="L75" s="1271"/>
      <c r="M75" s="1271"/>
    </row>
    <row r="76" spans="2:13" ht="38.25">
      <c r="B76" s="145"/>
      <c r="C76" s="145"/>
      <c r="D76" s="146"/>
      <c r="E76" s="146"/>
      <c r="F76" s="146"/>
      <c r="G76" s="146"/>
      <c r="H76" s="147" t="str">
        <f>'matrik MISI 3'!M16</f>
        <v>Program Pembangunan saluran drainase/gorong-gorong</v>
      </c>
      <c r="I76" s="147"/>
      <c r="J76" s="147"/>
      <c r="K76" s="147"/>
      <c r="L76" s="147"/>
      <c r="M76" s="147"/>
    </row>
    <row r="77" spans="2:13" ht="76.5">
      <c r="B77" s="145"/>
      <c r="C77" s="145"/>
      <c r="D77" s="147">
        <v>3</v>
      </c>
      <c r="E77" s="147" t="str">
        <f>'matrik MISI 3'!G17</f>
        <v>Peningkatan kualitas bangunan instansi pemerintah</v>
      </c>
      <c r="F77" s="147">
        <v>4</v>
      </c>
      <c r="G77" s="147" t="str">
        <f>'matrik MISI 3'!I17</f>
        <v>Meningkatkan kelayakan bangunan-bangunan pemerintahan berupa pelaksanaan pemugaran bangunan instansi pemerintah</v>
      </c>
      <c r="H77" s="147" t="str">
        <f>'matrik MISI 3'!M17</f>
        <v>Program Peningkatan Sarana dan Prasarana Aparatur</v>
      </c>
      <c r="I77" s="147"/>
      <c r="J77" s="147"/>
      <c r="K77" s="1271"/>
      <c r="L77" s="1271"/>
      <c r="M77" s="1271"/>
    </row>
    <row r="78" spans="2:13" ht="140.25">
      <c r="B78" s="145"/>
      <c r="C78" s="145"/>
      <c r="D78" s="147">
        <v>4</v>
      </c>
      <c r="E78" s="147" t="str">
        <f>'matrik MISI 3'!G18</f>
        <v>Peningkatan Rumah Sehat dan Layak Huni</v>
      </c>
      <c r="F78" s="147">
        <v>5</v>
      </c>
      <c r="G78" s="147" t="str">
        <f>'matrik MISI 3'!I18</f>
        <v>Meningkatkan Rumah yang sehat dan Layak Huni melalui penyediaan rumah layak huni, penanganan kawasan kumuh, penyediaan layanan air minum, sanitasi pemukiman yang layak dan penyediaan sarana dan prasarana umum pemukiman</v>
      </c>
      <c r="H78" s="147" t="str">
        <f>'matrik MISI 3'!M18</f>
        <v>Program Lingkungan Sehat Perumahan</v>
      </c>
      <c r="I78" s="147"/>
      <c r="J78" s="147"/>
      <c r="K78" s="147"/>
      <c r="L78" s="147"/>
      <c r="M78" s="147"/>
    </row>
    <row r="79" spans="2:13" ht="114.75">
      <c r="B79" s="145"/>
      <c r="C79" s="145"/>
      <c r="D79" s="147">
        <v>5</v>
      </c>
      <c r="E79" s="147" t="str">
        <f>'matrik MISI 3'!G24</f>
        <v>Peningkatan Pencegahan, Penanggulangan, dan Penanganan Bencana</v>
      </c>
      <c r="F79" s="147">
        <v>6</v>
      </c>
      <c r="G79" s="147" t="str">
        <f>'matrik MISI 3'!I24</f>
        <v>Meningkatkan Pencegahan, Penanggulangan, dan Penanganan Bencana kebakaran melalui upaya meningkatkan luasan pelayanan, waktu tanggap kebakaran dan penyediaan sarana prasarana pemadam kebakaran</v>
      </c>
      <c r="H79" s="147" t="str">
        <f>'matrik MISI 3'!M24</f>
        <v>Program peningkatan kesiagaan dan pencegahan bahaya kebakaran</v>
      </c>
      <c r="I79" s="147"/>
      <c r="J79" s="147"/>
      <c r="K79" s="1271"/>
      <c r="L79" s="1271"/>
      <c r="M79" s="1271"/>
    </row>
    <row r="80" spans="2:13" ht="114.75">
      <c r="B80" s="145"/>
      <c r="C80" s="145"/>
      <c r="D80" s="143">
        <v>6</v>
      </c>
      <c r="E80" s="143" t="str">
        <f>'matrik MISI 3'!G28</f>
        <v xml:space="preserve">Peningkatan Perencanaan, Pemanfaatan dan Pengendalian Ruang sesuai Peruntukkannya </v>
      </c>
      <c r="F80" s="143">
        <v>7</v>
      </c>
      <c r="G80" s="143" t="str">
        <f>'matrik MISI 3'!I28</f>
        <v>Meningkatkan Perencanaan, Pemanfaatan dan Pengendalian Ruang sesuai Peruntukkannya melalui penyusunan dokumen tata ruang, pengendalian perizinan, penyediaan ruang khusus (RTH dan Pedestrian)</v>
      </c>
      <c r="H80" s="147" t="str">
        <f>'matrik MISI 3'!M29</f>
        <v>Program Perencanaan Tata Ruang</v>
      </c>
      <c r="I80" s="147"/>
      <c r="J80" s="147"/>
      <c r="K80" s="147"/>
      <c r="L80" s="147"/>
      <c r="M80" s="147"/>
    </row>
    <row r="81" spans="2:13" ht="25.5">
      <c r="B81" s="145"/>
      <c r="C81" s="145"/>
      <c r="D81" s="145"/>
      <c r="E81" s="145"/>
      <c r="F81" s="145"/>
      <c r="G81" s="145"/>
      <c r="H81" s="147" t="str">
        <f>'matrik MISI 3'!M32</f>
        <v>Program Pengendalian Pemanfaatan Ruang</v>
      </c>
      <c r="I81" s="147"/>
      <c r="J81" s="147"/>
      <c r="K81" s="147"/>
      <c r="L81" s="147"/>
      <c r="M81" s="147"/>
    </row>
    <row r="82" spans="2:13" ht="25.5">
      <c r="B82" s="145"/>
      <c r="C82" s="145"/>
      <c r="D82" s="145"/>
      <c r="E82" s="145"/>
      <c r="F82" s="145"/>
      <c r="G82" s="145"/>
      <c r="H82" s="147" t="str">
        <f>'matrik MISI 3'!M34</f>
        <v>Program Pengelolaan ruang terbuka hijau (RTH)</v>
      </c>
      <c r="I82" s="147"/>
      <c r="J82" s="147"/>
      <c r="K82" s="147"/>
      <c r="L82" s="147"/>
      <c r="M82" s="147"/>
    </row>
    <row r="83" spans="2:13" ht="38.25">
      <c r="B83" s="145"/>
      <c r="C83" s="145"/>
      <c r="D83" s="145"/>
      <c r="E83" s="145"/>
      <c r="F83" s="145"/>
      <c r="G83" s="145"/>
      <c r="H83" s="147" t="str">
        <f>'matrik MISI 3'!M35</f>
        <v>Program pembangunan dan rehabilitasi/pemeliharaan trotoar</v>
      </c>
      <c r="I83" s="147"/>
      <c r="J83" s="1271"/>
      <c r="K83" s="147"/>
      <c r="L83" s="147"/>
      <c r="M83" s="147"/>
    </row>
    <row r="84" spans="2:13" ht="76.5">
      <c r="B84" s="145"/>
      <c r="C84" s="145"/>
      <c r="D84" s="147">
        <v>7</v>
      </c>
      <c r="E84" s="147" t="str">
        <f>'matrik MISI 3'!G36</f>
        <v>peningkatan Pengelolaan Persampahan</v>
      </c>
      <c r="F84" s="147">
        <v>8</v>
      </c>
      <c r="G84" s="147" t="str">
        <f>'matrik MISI 3'!I36</f>
        <v>Meningkatkan Pengelolaan Persampahan yang didukung oleh meningkatnya peran serta masyarakat dalam pengelolaan persampahan</v>
      </c>
      <c r="H84" s="147" t="str">
        <f>'matrik MISI 3'!M37</f>
        <v>Program Pengembangan Kinerja Pengelolaan Persampahan</v>
      </c>
      <c r="I84" s="147"/>
      <c r="J84" s="147"/>
      <c r="K84" s="1271"/>
      <c r="L84" s="1271"/>
      <c r="M84" s="1271"/>
    </row>
    <row r="85" spans="2:13" ht="63.75">
      <c r="B85" s="145"/>
      <c r="C85" s="145"/>
      <c r="D85" s="147">
        <v>8</v>
      </c>
      <c r="E85" s="147" t="str">
        <f>'matrik MISI 3'!G41</f>
        <v>Peningkatan Kelestarian Lingkungan Hidup</v>
      </c>
      <c r="F85" s="147">
        <v>9</v>
      </c>
      <c r="G85" s="147" t="str">
        <f>'matrik MISI 3'!I41</f>
        <v>Meningkatkan Kelestarian Lingkungan Hidup khususnya penanganan dan pencegahan pencemaran air, udara, dan tanah</v>
      </c>
      <c r="H85" s="147" t="str">
        <f>'matrik MISI 3'!M41</f>
        <v>Program Pengendalian Pencemaran dan Perusakan Lingkungan Hidup</v>
      </c>
      <c r="I85" s="147"/>
      <c r="J85" s="147"/>
      <c r="K85" s="1271"/>
      <c r="L85" s="1271"/>
      <c r="M85" s="1271"/>
    </row>
    <row r="86" spans="2:13" ht="89.25">
      <c r="B86" s="145"/>
      <c r="C86" s="145"/>
      <c r="D86" s="147">
        <v>9</v>
      </c>
      <c r="E86" s="147" t="str">
        <f>'matrik MISI 3'!G46</f>
        <v>Peningkatan Pembinaan dan Pengawasan Pemanfaatan Energi dan Pertambangan Mineral</v>
      </c>
      <c r="F86" s="147">
        <v>10</v>
      </c>
      <c r="G86" s="147" t="str">
        <f>'matrik MISI 3'!I46</f>
        <v>Meningkatkan Pembinaan dan Pengawasan Pemanfaatan Energi dan Pertambangan Mineral terutama pemanfaatan sumber energi alternatif terbarukan</v>
      </c>
      <c r="H86" s="147" t="str">
        <f>'matrik MISI 3'!M46</f>
        <v>Program pembinaan dan pengembangan bidang ketenagalistrikan</v>
      </c>
      <c r="I86" s="147"/>
      <c r="J86" s="147"/>
      <c r="K86" s="147"/>
      <c r="L86" s="147"/>
      <c r="M86" s="147"/>
    </row>
    <row r="87" spans="2:13" ht="102">
      <c r="B87" s="145"/>
      <c r="C87" s="145"/>
      <c r="D87" s="143">
        <v>10</v>
      </c>
      <c r="E87" s="143" t="str">
        <f>'matrik MISI 3'!G47</f>
        <v>Peningkatan Transportasi Masyarakat yang Memadai</v>
      </c>
      <c r="F87" s="143">
        <v>11</v>
      </c>
      <c r="G87" s="143" t="str">
        <f>'matrik MISI 3'!I47</f>
        <v>Meningkatkan Transportasi Masyarakat yang Memadai melalui uji kendaraan, meningkatnya keselamatan angkutan, meningkatnya tipe terminal, dan pengembangan rute baru angkutan umum</v>
      </c>
      <c r="H87" s="147" t="str">
        <f>'matrik MISI 3'!M47</f>
        <v>Program peningkatan pelayanan angkutan</v>
      </c>
      <c r="I87" s="147"/>
      <c r="J87" s="147"/>
      <c r="K87" s="147"/>
      <c r="L87" s="147"/>
      <c r="M87" s="147"/>
    </row>
    <row r="88" spans="2:13" ht="38.25">
      <c r="B88" s="145"/>
      <c r="C88" s="145"/>
      <c r="D88" s="145"/>
      <c r="E88" s="145"/>
      <c r="F88" s="145"/>
      <c r="G88" s="145"/>
      <c r="H88" s="147" t="str">
        <f>'matrik MISI 3'!M48</f>
        <v>Program Rehabilitasi dan Pemeliharaan Prasarana dan Fasilitas LLAJ</v>
      </c>
      <c r="I88" s="147"/>
      <c r="J88" s="147"/>
      <c r="K88" s="147"/>
      <c r="L88" s="147"/>
      <c r="M88" s="147"/>
    </row>
    <row r="89" spans="2:13" ht="38.25">
      <c r="B89" s="145"/>
      <c r="C89" s="145"/>
      <c r="D89" s="145"/>
      <c r="E89" s="145"/>
      <c r="F89" s="145"/>
      <c r="G89" s="145"/>
      <c r="H89" s="147" t="str">
        <f>'matrik MISI 3'!M49</f>
        <v>Program Pembangunan  Sarana dan Prasarana Perhubungan</v>
      </c>
      <c r="I89" s="147"/>
      <c r="J89" s="147"/>
      <c r="K89" s="147"/>
      <c r="L89" s="147"/>
      <c r="M89" s="147"/>
    </row>
    <row r="90" spans="2:13" ht="140.25">
      <c r="B90" s="143">
        <v>4</v>
      </c>
      <c r="C90" s="143" t="str">
        <f>'visi misi'!A11</f>
        <v>Mewujudkan Peningkatan  Pendidikan yang Berkualitas tanpa Meninggalkan Kearifan Lokal</v>
      </c>
      <c r="D90" s="143">
        <v>1</v>
      </c>
      <c r="E90" s="143" t="str">
        <f>'matrik MISI 4'!G8</f>
        <v>Peningkatan budi pekerti, tata krama, dan tata nilai budaya daerah serta keteladanan</v>
      </c>
      <c r="F90" s="143">
        <v>1</v>
      </c>
      <c r="G90" s="143" t="str">
        <f>'matrik MISI 4'!I8</f>
        <v>Meningkatkan budi pekerti, tata krama, dan tata nilai budaya daerah serta keteladanan melalui penyusunan kurikulum muatan lokal budi pekerti, penyediaan buku muatan lokal budi pekerti, keteladanan guru, dan penenganan kenakalan siswa didik</v>
      </c>
      <c r="H90" s="147" t="str">
        <f>'matrik MISI 4'!M9</f>
        <v>Pendidikan anak usia dini, Wajib belajar pendidikan dasar, Pendidikan menengah , dan Pendidikan nonformal</v>
      </c>
      <c r="I90" s="147"/>
      <c r="J90" s="1271"/>
      <c r="K90" s="1271"/>
      <c r="L90" s="1271"/>
      <c r="M90" s="1271"/>
    </row>
    <row r="91" spans="2:13" ht="38.25">
      <c r="B91" s="145"/>
      <c r="C91" s="145"/>
      <c r="D91" s="145"/>
      <c r="E91" s="145"/>
      <c r="F91" s="145"/>
      <c r="G91" s="145"/>
      <c r="H91" s="147" t="str">
        <f>'matrik MISI 4'!M11</f>
        <v>Program peningkatan mutu pendidik dan tenaga kependidikan</v>
      </c>
      <c r="I91" s="147"/>
      <c r="J91" s="147"/>
      <c r="K91" s="147"/>
      <c r="L91" s="147"/>
      <c r="M91" s="147"/>
    </row>
    <row r="92" spans="2:13" ht="25.5">
      <c r="B92" s="145"/>
      <c r="C92" s="145"/>
      <c r="D92" s="146"/>
      <c r="E92" s="146"/>
      <c r="F92" s="146"/>
      <c r="G92" s="146"/>
      <c r="H92" s="147" t="str">
        <f>'matrik MISI 4'!M12</f>
        <v>Program manajemen pelayanan pendidikan</v>
      </c>
      <c r="I92" s="147"/>
      <c r="J92" s="147"/>
      <c r="K92" s="147"/>
      <c r="L92" s="147"/>
      <c r="M92" s="147"/>
    </row>
    <row r="93" spans="2:13" ht="76.5">
      <c r="B93" s="145"/>
      <c r="C93" s="145"/>
      <c r="D93" s="147">
        <v>2</v>
      </c>
      <c r="E93" s="147" t="str">
        <f>'matrik MISI 4'!G13</f>
        <v>Peningkatan aksebilitas pendidikan anak usia dini</v>
      </c>
      <c r="F93" s="147">
        <v>2</v>
      </c>
      <c r="G93" s="147" t="str">
        <f>'matrik MISI 4'!I13</f>
        <v>Meningkatkan aksebilitas pendidikan anak usia dini melalui pengembangan pelayanan pendidikan terhadap anak usia 0-6 tahun (anak usia dini)</v>
      </c>
      <c r="H93" s="147" t="str">
        <f>'matrik MISI 4'!M14</f>
        <v>Program pendidikan anak usia dini</v>
      </c>
      <c r="I93" s="147"/>
      <c r="J93" s="147"/>
      <c r="K93" s="147"/>
      <c r="L93" s="147"/>
      <c r="M93" s="147"/>
    </row>
    <row r="94" spans="2:13" ht="63.75">
      <c r="B94" s="145"/>
      <c r="C94" s="145"/>
      <c r="D94" s="147">
        <v>3</v>
      </c>
      <c r="E94" s="147" t="str">
        <f>'matrik MISI 4'!G19</f>
        <v>Peningkatan aksebilitas pendidikan dasar</v>
      </c>
      <c r="F94" s="147">
        <v>3</v>
      </c>
      <c r="G94" s="147" t="str">
        <f>'matrik MISI 4'!I19</f>
        <v>Meningkatkan aksebilitas pendidikan dasar melalui pengembangan pelayanan pendidikan dasar dan pemberian beasiswa</v>
      </c>
      <c r="H94" s="147" t="str">
        <f>'matrik MISI 4'!M20</f>
        <v>Program wajib belajar pendidikan dasar sembilan tahun</v>
      </c>
      <c r="I94" s="147"/>
      <c r="J94" s="1271"/>
      <c r="K94" s="1271"/>
      <c r="L94" s="1271"/>
      <c r="M94" s="1271"/>
    </row>
    <row r="95" spans="2:13" ht="89.25">
      <c r="B95" s="145"/>
      <c r="C95" s="145"/>
      <c r="D95" s="147">
        <v>4</v>
      </c>
      <c r="E95" s="147" t="str">
        <f>'matrik MISI 4'!G31</f>
        <v>Peningkatan aksebilitas pendidikan menengah</v>
      </c>
      <c r="F95" s="147">
        <v>4</v>
      </c>
      <c r="G95" s="147" t="str">
        <f>'matrik MISI 4'!I31</f>
        <v>Meningkatkan aksebilitas pendidikan menengah melalui pengembangan pelayanan pendidikan menengah dan pemberian beasiswa serta penyediaan unit sekolah menengah</v>
      </c>
      <c r="H95" s="147" t="str">
        <f>'matrik MISI 4'!M32</f>
        <v xml:space="preserve">Program pendidikan menengah </v>
      </c>
      <c r="I95" s="147"/>
      <c r="J95" s="147"/>
      <c r="K95" s="147"/>
      <c r="L95" s="147"/>
      <c r="M95" s="147"/>
    </row>
    <row r="96" spans="2:13" ht="63.75">
      <c r="B96" s="145"/>
      <c r="C96" s="145"/>
      <c r="D96" s="147">
        <v>5</v>
      </c>
      <c r="E96" s="147" t="str">
        <f>'matrik MISI 4'!G42</f>
        <v>Peningkatan aksebilitas pendidikan nonformal</v>
      </c>
      <c r="F96" s="147">
        <v>5</v>
      </c>
      <c r="G96" s="147" t="str">
        <f>'matrik MISI 4'!I42</f>
        <v>Meningkatkan aksebilitas pendidikan nonformal melalui pengembangan pelayanan pendidikan kesetaraan di masyarakat</v>
      </c>
      <c r="H96" s="147" t="str">
        <f>'matrik MISI 4'!M43</f>
        <v>Program Pendidikan Non Formal</v>
      </c>
      <c r="I96" s="147"/>
      <c r="J96" s="147"/>
      <c r="K96" s="147"/>
      <c r="L96" s="147"/>
      <c r="M96" s="147"/>
    </row>
    <row r="97" spans="2:13" ht="51">
      <c r="B97" s="145"/>
      <c r="C97" s="145"/>
      <c r="D97" s="147">
        <v>6</v>
      </c>
      <c r="E97" s="147" t="str">
        <f>'matrik MISI 4'!G46</f>
        <v>Peningkatan kualitas pendidikan anak usia dini</v>
      </c>
      <c r="F97" s="147">
        <v>6</v>
      </c>
      <c r="G97" s="147" t="str">
        <f>'matrik MISI 4'!I46</f>
        <v>Meningkatkan  kualitas pendidikan anak usia dini melalui pelaksanaan akreditasi sekolah TK/RA</v>
      </c>
      <c r="H97" s="147" t="str">
        <f>'matrik MISI 4'!M47</f>
        <v>Program manajemen pelayanan pendidikan</v>
      </c>
      <c r="I97" s="147"/>
      <c r="J97" s="147"/>
      <c r="K97" s="147"/>
      <c r="L97" s="147"/>
      <c r="M97" s="147"/>
    </row>
    <row r="98" spans="2:13" ht="114.75">
      <c r="B98" s="145"/>
      <c r="C98" s="145"/>
      <c r="D98" s="143">
        <v>7</v>
      </c>
      <c r="E98" s="143" t="str">
        <f>'matrik MISI 4'!G50</f>
        <v>Peningkatan kualitas pendidikan dasar</v>
      </c>
      <c r="F98" s="143">
        <v>7</v>
      </c>
      <c r="G98" s="143" t="str">
        <f>'matrik MISI 4'!I50</f>
        <v>Meningkatkan kualitas pendidikan dasar melalui pelaksanaan akreditasi sekolah SD/MI dan SMP/MTs, dan peningkatan kelulusan dengan rerata hasil ujian nasional minimal 7 untuk SD/MI dan SMP/MtS</v>
      </c>
      <c r="H98" s="147" t="str">
        <f>'matrik MISI 4'!M51</f>
        <v>Program manajemen pelayanan pendidikan</v>
      </c>
      <c r="I98" s="147"/>
      <c r="J98" s="147"/>
      <c r="K98" s="147"/>
      <c r="L98" s="147"/>
      <c r="M98" s="147"/>
    </row>
    <row r="99" spans="2:13" ht="38.25">
      <c r="B99" s="145"/>
      <c r="C99" s="145"/>
      <c r="D99" s="145"/>
      <c r="E99" s="145"/>
      <c r="F99" s="145"/>
      <c r="G99" s="145"/>
      <c r="H99" s="147" t="str">
        <f>'matrik MISI 4'!M61</f>
        <v>Program Wajib Belajar Pendidikan Dasar Sembilan Tahun</v>
      </c>
      <c r="I99" s="147"/>
      <c r="J99" s="147"/>
      <c r="K99" s="147"/>
      <c r="L99" s="147"/>
      <c r="M99" s="147"/>
    </row>
    <row r="100" spans="2:13" ht="25.5">
      <c r="B100" s="145"/>
      <c r="C100" s="145"/>
      <c r="D100" s="146"/>
      <c r="E100" s="146"/>
      <c r="F100" s="146"/>
      <c r="G100" s="146"/>
      <c r="H100" s="147" t="str">
        <f>'matrik MISI 4'!M64</f>
        <v>Manajemen Pelayanan Pendidikan</v>
      </c>
      <c r="I100" s="147"/>
      <c r="J100" s="147"/>
      <c r="K100" s="147"/>
      <c r="L100" s="147"/>
      <c r="M100" s="147"/>
    </row>
    <row r="101" spans="2:13" ht="114.75">
      <c r="B101" s="145"/>
      <c r="C101" s="145"/>
      <c r="D101" s="143">
        <v>8</v>
      </c>
      <c r="E101" s="143" t="str">
        <f>'matrik MISI 4'!G66</f>
        <v>Peningkatan kualitas pendidikan menengah</v>
      </c>
      <c r="F101" s="143">
        <v>8</v>
      </c>
      <c r="G101" s="143" t="str">
        <f>'matrik MISI 4'!I66</f>
        <v>Meningkatkan kualitas pendidikan dasar melalui pelaksanaan akreditasi sekolah SMA/MA dan akreditasi program keahlian SMK , dan peningkatan kelulusan dengan rerata hasil ujian nasional minimal 7 untuk SMA/MA</v>
      </c>
      <c r="H101" s="147" t="str">
        <f>'matrik MISI 4'!M67</f>
        <v>Program manajemen pelayanan pendidikan</v>
      </c>
      <c r="I101" s="147"/>
      <c r="J101" s="147"/>
      <c r="K101" s="147"/>
      <c r="L101" s="147"/>
      <c r="M101" s="147"/>
    </row>
    <row r="102" spans="2:13" ht="25.5">
      <c r="B102" s="145"/>
      <c r="C102" s="145"/>
      <c r="D102" s="146"/>
      <c r="E102" s="146"/>
      <c r="F102" s="146"/>
      <c r="G102" s="146"/>
      <c r="H102" s="147" t="str">
        <f>'matrik MISI 4'!M75</f>
        <v>Program pendidikan menengah</v>
      </c>
      <c r="I102" s="147"/>
      <c r="J102" s="147"/>
      <c r="K102" s="147"/>
      <c r="L102" s="147"/>
      <c r="M102" s="147"/>
    </row>
    <row r="103" spans="2:13" ht="63.75">
      <c r="B103" s="145"/>
      <c r="C103" s="145"/>
      <c r="D103" s="147">
        <v>9</v>
      </c>
      <c r="E103" s="147" t="str">
        <f>'matrik MISI 4'!G76</f>
        <v>Peningkatan kualitas pendidikan nonformal</v>
      </c>
      <c r="F103" s="147">
        <v>9</v>
      </c>
      <c r="G103" s="147" t="str">
        <f>'matrik MISI 4'!I76</f>
        <v>Meningkatkan kualitas pendidikan nonformal melalui peningkatan angka kelulusan pendidikan kesetaraan</v>
      </c>
      <c r="H103" s="147" t="str">
        <f>'matrik MISI 4'!M77</f>
        <v>Program pendidikan nonformal</v>
      </c>
      <c r="I103" s="147"/>
      <c r="J103" s="147"/>
      <c r="K103" s="147"/>
      <c r="L103" s="147"/>
      <c r="M103" s="147"/>
    </row>
    <row r="104" spans="2:13" ht="63.75">
      <c r="B104" s="145"/>
      <c r="C104" s="145"/>
      <c r="D104" s="147">
        <v>10</v>
      </c>
      <c r="E104" s="147" t="str">
        <f>'matrik MISI 4'!G78</f>
        <v>Pemenuhan kebutuhan pendidik</v>
      </c>
      <c r="F104" s="147">
        <v>10</v>
      </c>
      <c r="G104" s="147" t="str">
        <f>'matrik MISI 4'!I78</f>
        <v>Meningkatkan pemenuhan kekurangan tenaga pendidik mulai dari tingkat TK/RA, SD/MI, SMP,MTs, dan SMA/MA/SMK</v>
      </c>
      <c r="H104" s="147" t="str">
        <f>'matrik MISI 4'!M79</f>
        <v>Program peningkatan mutu pendidik dan tenaga kependidikan</v>
      </c>
      <c r="I104" s="147"/>
      <c r="J104" s="147"/>
      <c r="K104" s="147"/>
      <c r="L104" s="147"/>
      <c r="M104" s="147"/>
    </row>
    <row r="105" spans="2:13" ht="89.25">
      <c r="B105" s="145"/>
      <c r="C105" s="145"/>
      <c r="D105" s="147">
        <v>11</v>
      </c>
      <c r="E105" s="147" t="str">
        <f>'matrik MISI 4'!G84</f>
        <v>Peningkatan kualifikasi akademik pendidik</v>
      </c>
      <c r="F105" s="147">
        <v>11</v>
      </c>
      <c r="G105" s="147" t="str">
        <f>'matrik MISI 4'!I84</f>
        <v>Meningkatkan kualifikasi akademik pendidik minimal S-1 khususnya di tingkat TK/RA dan SMP/MTs, serta pemenuhan kualifikasi bagi kepala sekolah dan pengawas sekolah</v>
      </c>
      <c r="H105" s="147" t="str">
        <f>'matrik MISI 4'!M85</f>
        <v>Program peningkatan mutu pendidik dan tenaga kependidikan</v>
      </c>
      <c r="I105" s="147"/>
      <c r="J105" s="147"/>
      <c r="K105" s="147"/>
      <c r="L105" s="147"/>
      <c r="M105" s="147"/>
    </row>
    <row r="106" spans="2:13" ht="102">
      <c r="B106" s="145"/>
      <c r="C106" s="145"/>
      <c r="D106" s="147">
        <v>12</v>
      </c>
      <c r="E106" s="147" t="str">
        <f>'matrik MISI 4'!G98</f>
        <v>Peningkatan profesionalisme pendidik</v>
      </c>
      <c r="F106" s="147">
        <v>12</v>
      </c>
      <c r="G106" s="147" t="str">
        <f>'matrik MISI 4'!I98</f>
        <v>Meningkatkan profesionalisme pendidik yang ditunjukkan dengan kepemilikan sertifikat pendidik bagi guru di tingkat TK/RA, SD/MI, SMP/MTs, dan SMA/MA/SMK</v>
      </c>
      <c r="H106" s="147" t="str">
        <f>'matrik MISI 4'!M99</f>
        <v>Program peningkatan mutu pendidik dan tenaga kependidikan</v>
      </c>
      <c r="I106" s="147"/>
      <c r="J106" s="147"/>
      <c r="K106" s="147"/>
      <c r="L106" s="147"/>
      <c r="M106" s="147"/>
    </row>
    <row r="107" spans="2:13" ht="89.25">
      <c r="B107" s="145"/>
      <c r="C107" s="145"/>
      <c r="D107" s="147">
        <v>13</v>
      </c>
      <c r="E107" s="147" t="str">
        <f>'matrik MISI 4'!G104</f>
        <v>Pemenuhan kebutuhan tenaga kependidikan</v>
      </c>
      <c r="F107" s="147">
        <v>13</v>
      </c>
      <c r="G107" s="147" t="str">
        <f>'matrik MISI 4'!I104</f>
        <v>Meningkatkan pemenuhan kebutuhan terhadap Jumlah Tenaga Kependidikan yang meliputi tenaga administrasi, penilik sekolah, pengawas sekolah, dan pamong belajar</v>
      </c>
      <c r="H107" s="147" t="str">
        <f>'matrik MISI 4'!M105</f>
        <v>Program peningkatan mutu pendidik dan tenaga kependidikan</v>
      </c>
      <c r="I107" s="147"/>
      <c r="J107" s="147"/>
      <c r="K107" s="147"/>
      <c r="L107" s="147"/>
      <c r="M107" s="147"/>
    </row>
    <row r="108" spans="2:13" ht="51">
      <c r="B108" s="145"/>
      <c r="C108" s="145"/>
      <c r="D108" s="147">
        <v>14</v>
      </c>
      <c r="E108" s="147" t="str">
        <f>'matrik MISI 4'!G109</f>
        <v>Peningkatan sarana dan prasarana pendidikan anak usia dini</v>
      </c>
      <c r="F108" s="147">
        <v>14</v>
      </c>
      <c r="G108" s="147" t="str">
        <f>'matrik MISI 4'!I109</f>
        <v>Meningkatkan sarana dan prasarana pendidikan anak usia dini (TK/RA) sesuai dengan kebutuhan</v>
      </c>
      <c r="H108" s="147" t="str">
        <f>'matrik MISI 4'!M110</f>
        <v>Program Pendidikan anak usia dini</v>
      </c>
      <c r="I108" s="147"/>
      <c r="J108" s="147"/>
      <c r="K108" s="147"/>
      <c r="L108" s="147"/>
      <c r="M108" s="147"/>
    </row>
    <row r="109" spans="2:13" ht="51">
      <c r="B109" s="145"/>
      <c r="C109" s="145"/>
      <c r="D109" s="147">
        <v>15</v>
      </c>
      <c r="E109" s="147" t="str">
        <f>'matrik MISI 4'!G115</f>
        <v>Peningkatan sarana dan prasarana pendidikan dasar</v>
      </c>
      <c r="F109" s="147">
        <v>15</v>
      </c>
      <c r="G109" s="147" t="str">
        <f>'matrik MISI 4'!I115</f>
        <v>Meningkatkan sarana dan prasarana pendidikan dasar (SD/MI dan SMP/MTs) sesuai dengan kebutuhan</v>
      </c>
      <c r="H109" s="147" t="str">
        <f>'matrik MISI 4'!M116</f>
        <v>Program wajib belajar pendidikan dasar sembilan tahun</v>
      </c>
      <c r="I109" s="147"/>
      <c r="J109" s="147"/>
      <c r="K109" s="147"/>
      <c r="L109" s="147"/>
      <c r="M109" s="147"/>
    </row>
    <row r="110" spans="2:13" ht="51">
      <c r="B110" s="145"/>
      <c r="C110" s="145"/>
      <c r="D110" s="147">
        <v>16</v>
      </c>
      <c r="E110" s="147" t="str">
        <f>'matrik MISI 4'!G124</f>
        <v>Peningkatan sarana dan prasarana pendidikan menengah</v>
      </c>
      <c r="F110" s="147">
        <v>16</v>
      </c>
      <c r="G110" s="147" t="str">
        <f>'matrik MISI 4'!I124</f>
        <v>Meningkatkan sarana dan prasarana pendidikan menengah (SMA/MA/SMK) sesuai dengan kebutuhan</v>
      </c>
      <c r="H110" s="147" t="str">
        <f>'matrik MISI 4'!M125</f>
        <v>Program pendidikan menengah</v>
      </c>
      <c r="I110" s="147"/>
      <c r="J110" s="147"/>
      <c r="K110" s="147"/>
      <c r="L110" s="147"/>
      <c r="M110" s="147"/>
    </row>
    <row r="111" spans="2:13" ht="63.75">
      <c r="B111" s="146"/>
      <c r="C111" s="146"/>
      <c r="D111" s="147">
        <v>17</v>
      </c>
      <c r="E111" s="147" t="str">
        <f>'matrik MISI 4'!G129</f>
        <v>Peningkatan sarana dan prasarana pendidikan nonformal</v>
      </c>
      <c r="F111" s="147">
        <v>17</v>
      </c>
      <c r="G111" s="147" t="str">
        <f>'matrik MISI 4'!I129</f>
        <v>Meningkatkan sarana dan prasarana pendidikan nonformal (penyelenggara pendidikan kesetaraan) sesuai dengan kebutuhan</v>
      </c>
      <c r="H111" s="147" t="str">
        <f>'matrik MISI 4'!M130</f>
        <v>Program pendidikan nonformal</v>
      </c>
      <c r="I111" s="147"/>
      <c r="J111" s="147"/>
      <c r="K111" s="147"/>
      <c r="L111" s="147"/>
      <c r="M111" s="147"/>
    </row>
    <row r="112" spans="2:13" ht="89.25">
      <c r="B112" s="143">
        <v>5</v>
      </c>
      <c r="C112" s="143" t="str">
        <f>'visi misi'!A13</f>
        <v>Mewujudkan Peningkatan  Budaya Sehat dan Aksesibilitas Kesehatan Masyarakat</v>
      </c>
      <c r="D112" s="143">
        <v>1</v>
      </c>
      <c r="E112" s="143" t="str">
        <f>'matrik MISI 5'!G6</f>
        <v>Peningkatan Akses Masyarakat ke Fasilitas Kesehatan Yang Bermutu</v>
      </c>
      <c r="F112" s="143">
        <v>1</v>
      </c>
      <c r="G112" s="143" t="str">
        <f>'matrik MISI 5'!I6</f>
        <v>Meningkatkan Akses Masyarakat ke Fasilitas Kesehatan Yang Bermutu mulai tingkat Desa/Kleurahan, Kecamatan, sampai dengan Kabupaten</v>
      </c>
      <c r="H112" s="147" t="str">
        <f>'matrik MISI 5'!M7</f>
        <v>Program peningkatan keselamatan ibu melahirkan dan anak</v>
      </c>
      <c r="I112" s="147"/>
      <c r="J112" s="147"/>
      <c r="K112" s="147"/>
      <c r="L112" s="147"/>
      <c r="M112" s="147"/>
    </row>
    <row r="113" spans="2:13" ht="38.25">
      <c r="B113" s="145"/>
      <c r="C113" s="145"/>
      <c r="D113" s="145"/>
      <c r="E113" s="145"/>
      <c r="F113" s="145"/>
      <c r="G113" s="145"/>
      <c r="H113" s="147" t="str">
        <f>'matrik MISI 5'!M21</f>
        <v>Program Pelayanan Kesehatan Penduduk Miskin</v>
      </c>
      <c r="I113" s="147"/>
      <c r="J113" s="1271"/>
      <c r="K113" s="1271"/>
      <c r="L113" s="1271"/>
      <c r="M113" s="1271"/>
    </row>
    <row r="114" spans="2:13" ht="38.25">
      <c r="B114" s="145"/>
      <c r="C114" s="145"/>
      <c r="D114" s="146"/>
      <c r="E114" s="146"/>
      <c r="F114" s="146"/>
      <c r="G114" s="146"/>
      <c r="H114" s="147" t="str">
        <f>'matrik MISI 5'!M23</f>
        <v>Program kemitraan peningkatan pelayanan kesehatan</v>
      </c>
      <c r="I114" s="147"/>
      <c r="J114" s="147"/>
      <c r="K114" s="147"/>
      <c r="L114" s="147"/>
      <c r="M114" s="147"/>
    </row>
    <row r="115" spans="2:13" ht="63.75">
      <c r="B115" s="145"/>
      <c r="C115" s="145"/>
      <c r="D115" s="147">
        <v>2</v>
      </c>
      <c r="E115" s="147" t="str">
        <f>'matrik MISI 5'!G25</f>
        <v>Peningkatan Upaya Pencegahan dan Pengendalian Penyakit</v>
      </c>
      <c r="F115" s="147">
        <v>2</v>
      </c>
      <c r="G115" s="147" t="str">
        <f>'matrik MISI 5'!I25</f>
        <v>Meningkatkan Upaya Pencegahan, Penanganan dan Pengendalian Penyakit, serta kewaspadaan adanya potensi KLB</v>
      </c>
      <c r="H115" s="147" t="str">
        <f>'matrik MISI 5'!M26</f>
        <v xml:space="preserve">Program Pencegahan dan Penanggulangan Penyakit Menular </v>
      </c>
      <c r="I115" s="147"/>
      <c r="J115" s="147"/>
      <c r="K115" s="147"/>
      <c r="L115" s="147"/>
      <c r="M115" s="147"/>
    </row>
    <row r="116" spans="2:13" ht="63.75">
      <c r="B116" s="145"/>
      <c r="C116" s="145"/>
      <c r="D116" s="147">
        <v>3</v>
      </c>
      <c r="E116" s="147" t="str">
        <f>'matrik MISI 5'!G42</f>
        <v>Peningkatan Gizi Masyarakat</v>
      </c>
      <c r="F116" s="147">
        <v>3</v>
      </c>
      <c r="G116" s="147" t="str">
        <f>'matrik MISI 5'!I42</f>
        <v>Meningkatkan Gizi Masyarakat melalui perbaikan gizi masyarakat terutama usia balita dan penduduk miskin</v>
      </c>
      <c r="H116" s="147" t="str">
        <f>'matrik MISI 5'!M43</f>
        <v>Perbaikan Gizi Masyarakat</v>
      </c>
      <c r="I116" s="147"/>
      <c r="J116" s="147"/>
      <c r="K116" s="147"/>
      <c r="L116" s="147"/>
      <c r="M116" s="147"/>
    </row>
    <row r="117" spans="2:13" ht="63.75">
      <c r="B117" s="145"/>
      <c r="C117" s="145"/>
      <c r="D117" s="143">
        <v>4</v>
      </c>
      <c r="E117" s="143" t="str">
        <f>'matrik MISI 5'!G47</f>
        <v>Peningkatan Ketersediaan Obat dan Perbekalan Kesehatan</v>
      </c>
      <c r="F117" s="143">
        <v>4</v>
      </c>
      <c r="G117" s="143" t="str">
        <f>'matrik MISI 5'!I47</f>
        <v>Meningkatkan Ketersediaan Obat dan Perbekalan Kesehatan Dasar termasuk dengan pengawasan obat dan makanan</v>
      </c>
      <c r="H117" s="147" t="str">
        <f>'matrik MISI 5'!M48</f>
        <v>Penyediaan Obat dan Perbekalan Kesehatan (Program Obat dan Perbekalan Kesehatan)</v>
      </c>
      <c r="I117" s="147"/>
      <c r="J117" s="147"/>
      <c r="K117" s="147"/>
      <c r="L117" s="147"/>
      <c r="M117" s="147"/>
    </row>
    <row r="118" spans="2:13" ht="25.5">
      <c r="B118" s="145"/>
      <c r="C118" s="145"/>
      <c r="D118" s="146"/>
      <c r="E118" s="146"/>
      <c r="F118" s="146"/>
      <c r="G118" s="146"/>
      <c r="H118" s="147" t="str">
        <f>'matrik MISI 5'!M49</f>
        <v>Program Pengawasan Obat dan Makanan</v>
      </c>
      <c r="I118" s="147"/>
      <c r="J118" s="147"/>
      <c r="K118" s="147"/>
      <c r="L118" s="147"/>
      <c r="M118" s="147"/>
    </row>
    <row r="119" spans="2:13" ht="102">
      <c r="B119" s="145"/>
      <c r="C119" s="145"/>
      <c r="D119" s="143">
        <v>5</v>
      </c>
      <c r="E119" s="143" t="str">
        <f>'matrik MISI 5'!G50</f>
        <v>Peningkatan Sumber Daya Kesehatan di semua Tingkatan Pelayanan Kesehatan</v>
      </c>
      <c r="F119" s="143">
        <v>5</v>
      </c>
      <c r="G119" s="143" t="str">
        <f>'matrik MISI 5'!I50</f>
        <v>Meningkatkan Sumber Daya Kesehatan di semua Tingkatan Pelayanan Kesehatan yang diikuti dengan meningkatnya pengelolaan dan manajemen kesehatan di semua tingkatan</v>
      </c>
      <c r="H119" s="147" t="str">
        <f>'matrik MISI 5'!M51</f>
        <v>Pengembangan Sumber Daya Kesehatan (Program Standarisasi Pelayanan Kesehatan)</v>
      </c>
      <c r="I119" s="147"/>
      <c r="J119" s="147"/>
      <c r="K119" s="147"/>
      <c r="L119" s="147"/>
      <c r="M119" s="147"/>
    </row>
    <row r="120" spans="2:13" ht="76.5">
      <c r="B120" s="145"/>
      <c r="C120" s="145"/>
      <c r="D120" s="145"/>
      <c r="E120" s="145"/>
      <c r="F120" s="145"/>
      <c r="G120" s="145"/>
      <c r="H120" s="147" t="str">
        <f>'matrik MISI 5'!M53</f>
        <v>Program pengadaan, peningkatan sarana dan prasarana rumah sakit/rumah sakit jiwa/rumah sakit paru-paru/rumah sakit mata</v>
      </c>
      <c r="I120" s="147"/>
      <c r="J120" s="1271"/>
      <c r="K120" s="1271"/>
      <c r="L120" s="1271"/>
      <c r="M120" s="1271"/>
    </row>
    <row r="121" spans="2:13" ht="51">
      <c r="B121" s="145"/>
      <c r="C121" s="145"/>
      <c r="D121" s="146"/>
      <c r="E121" s="146"/>
      <c r="F121" s="146"/>
      <c r="G121" s="146"/>
      <c r="H121" s="147" t="str">
        <f>'matrik MISI 5'!M55</f>
        <v>Program peningkatan Kualitas pelayanan kesehatan pada BLUD RSUD</v>
      </c>
      <c r="I121" s="147"/>
      <c r="J121" s="1271"/>
      <c r="K121" s="1271"/>
      <c r="L121" s="1271"/>
      <c r="M121" s="1271"/>
    </row>
    <row r="122" spans="2:13" ht="114.75">
      <c r="B122" s="145"/>
      <c r="C122" s="145"/>
      <c r="D122" s="143">
        <v>6</v>
      </c>
      <c r="E122" s="143" t="str">
        <f>'matrik MISI 5'!G63</f>
        <v>Peningkatan Lingkungan Sehat</v>
      </c>
      <c r="F122" s="143">
        <v>6</v>
      </c>
      <c r="G122" s="143" t="str">
        <f>'matrik MISI 5'!I63</f>
        <v>Meningkatkan Lingkungan Sehat melalui pengembangan akses yang berkelanjutan terhadap sanitasi dasar di perkotaan dan perdesaan, akses terhadap air bersih, dan penggunaan jamban keluarga</v>
      </c>
      <c r="H122" s="147" t="str">
        <f>'matrik MISI 5'!M64</f>
        <v>Pengembangan Lingkungan Sehat</v>
      </c>
      <c r="I122" s="147"/>
      <c r="J122" s="147"/>
      <c r="K122" s="147"/>
      <c r="L122" s="147"/>
      <c r="M122" s="147"/>
    </row>
    <row r="123" spans="2:13" ht="25.5">
      <c r="B123" s="145"/>
      <c r="C123" s="145"/>
      <c r="D123" s="145"/>
      <c r="E123" s="145"/>
      <c r="F123" s="145"/>
      <c r="G123" s="145"/>
      <c r="H123" s="147" t="str">
        <f>'matrik MISI 5'!M69</f>
        <v>Program Upaya Kesehatan Masyarakat</v>
      </c>
      <c r="I123" s="147"/>
      <c r="J123" s="147"/>
      <c r="K123" s="147"/>
      <c r="L123" s="147"/>
      <c r="M123" s="147"/>
    </row>
    <row r="124" spans="2:13" ht="38.25">
      <c r="B124" s="145"/>
      <c r="C124" s="145"/>
      <c r="D124" s="146"/>
      <c r="E124" s="146"/>
      <c r="F124" s="146"/>
      <c r="G124" s="146"/>
      <c r="H124" s="147" t="str">
        <f>'matrik MISI 5'!M70</f>
        <v>Program Promosi Kesehatan dan Pemberdayaan masyarakat</v>
      </c>
      <c r="I124" s="147"/>
      <c r="J124" s="147"/>
      <c r="K124" s="147"/>
      <c r="L124" s="147"/>
      <c r="M124" s="147"/>
    </row>
    <row r="125" spans="2:13" ht="51">
      <c r="B125" s="145"/>
      <c r="C125" s="145"/>
      <c r="D125" s="143">
        <v>7</v>
      </c>
      <c r="E125" s="143" t="str">
        <f>'matrik MISI 5'!G73</f>
        <v>Peningkatan Derajat Kesejahteraan Keluarga</v>
      </c>
      <c r="F125" s="143">
        <v>7</v>
      </c>
      <c r="G125" s="143" t="str">
        <f>'matrik MISI 5'!I73</f>
        <v>Meningkatkan Derajat Kesejahteraan Keluarga melalui pembinaan kesejahteraan keluarga</v>
      </c>
      <c r="H125" s="147" t="str">
        <f>'matrik MISI 5'!M74</f>
        <v>Program Pembinaan Kesejahteraan Keluarga</v>
      </c>
      <c r="I125" s="147"/>
      <c r="J125" s="147"/>
      <c r="K125" s="147"/>
      <c r="L125" s="147"/>
      <c r="M125" s="147"/>
    </row>
    <row r="126" spans="2:13" ht="25.5">
      <c r="B126" s="145"/>
      <c r="C126" s="145"/>
      <c r="D126" s="146"/>
      <c r="E126" s="146"/>
      <c r="F126" s="146"/>
      <c r="G126" s="146"/>
      <c r="H126" s="147" t="str">
        <f>'matrik MISI 5'!M80</f>
        <v>Program Pembinaan Kesejahteraan Keluarga</v>
      </c>
      <c r="I126" s="147"/>
      <c r="J126" s="147"/>
      <c r="K126" s="147"/>
      <c r="L126" s="147"/>
      <c r="M126" s="147"/>
    </row>
    <row r="127" spans="2:13" ht="76.5">
      <c r="B127" s="145"/>
      <c r="C127" s="145"/>
      <c r="D127" s="143">
        <v>8</v>
      </c>
      <c r="E127" s="143" t="str">
        <f>'matrik MISI 5'!G81</f>
        <v>Peningkatan Aksesibilitas Masyarakat Atas Pelayanan Keluarga Berencana</v>
      </c>
      <c r="F127" s="143">
        <v>8</v>
      </c>
      <c r="G127" s="143" t="str">
        <f>'matrik MISI 5'!I81</f>
        <v>Meningkatkan kesejahteraan keluarga melalui meningkatnya Aksesibilitas Masyarakat Atas Pelayanan Keluarga Berencana</v>
      </c>
      <c r="H127" s="147" t="str">
        <f>'matrik MISI 5'!M82</f>
        <v xml:space="preserve">Program Keluarga Berencana                                               </v>
      </c>
      <c r="I127" s="147"/>
      <c r="J127" s="147"/>
      <c r="K127" s="147"/>
      <c r="L127" s="147"/>
      <c r="M127" s="147"/>
    </row>
    <row r="128" spans="2:13" ht="38.25">
      <c r="B128" s="145"/>
      <c r="C128" s="145"/>
      <c r="D128" s="145"/>
      <c r="E128" s="145"/>
      <c r="F128" s="145"/>
      <c r="G128" s="145"/>
      <c r="H128" s="147" t="str">
        <f>'matrik MISI 5'!M83</f>
        <v>Program Pengembangan Pusat Pelayanan Informasi dan Konseling KRR</v>
      </c>
      <c r="I128" s="147"/>
      <c r="J128" s="147"/>
      <c r="K128" s="147"/>
      <c r="L128" s="147"/>
      <c r="M128" s="147"/>
    </row>
    <row r="129" spans="2:13" ht="38.25">
      <c r="B129" s="145"/>
      <c r="C129" s="145"/>
      <c r="D129" s="145"/>
      <c r="E129" s="145"/>
      <c r="F129" s="145"/>
      <c r="G129" s="145"/>
      <c r="H129" s="147" t="str">
        <f>'matrik MISI 5'!M84</f>
        <v>Program Peningkatan Penanggulangan Narkoba, PMS termasuk HIV/IADS</v>
      </c>
      <c r="I129" s="147"/>
      <c r="J129" s="147"/>
      <c r="K129" s="147"/>
      <c r="L129" s="147"/>
      <c r="M129" s="147"/>
    </row>
    <row r="130" spans="2:13" ht="38.25">
      <c r="B130" s="145"/>
      <c r="C130" s="145"/>
      <c r="D130" s="145"/>
      <c r="E130" s="145"/>
      <c r="F130" s="145"/>
      <c r="G130" s="145"/>
      <c r="H130" s="147" t="str">
        <f>'matrik MISI 5'!M85</f>
        <v>Program Penyiapan Tenaga Pendamping Kelompok Bina Keluarga</v>
      </c>
      <c r="I130" s="147"/>
      <c r="J130" s="147"/>
      <c r="K130" s="147"/>
      <c r="L130" s="147"/>
      <c r="M130" s="147"/>
    </row>
    <row r="131" spans="2:13" ht="38.25">
      <c r="B131" s="145"/>
      <c r="C131" s="145"/>
      <c r="D131" s="145"/>
      <c r="E131" s="145"/>
      <c r="F131" s="145"/>
      <c r="G131" s="145"/>
      <c r="H131" s="147" t="str">
        <f>'matrik MISI 5'!M86</f>
        <v>Program Pengembangan Model Operasional BKB-Posyandu-PADU</v>
      </c>
      <c r="I131" s="147"/>
      <c r="J131" s="147"/>
      <c r="K131" s="147"/>
      <c r="L131" s="147"/>
      <c r="M131" s="147"/>
    </row>
    <row r="132" spans="2:13" ht="25.5">
      <c r="B132" s="146"/>
      <c r="C132" s="146"/>
      <c r="D132" s="146"/>
      <c r="E132" s="146"/>
      <c r="F132" s="146"/>
      <c r="G132" s="146"/>
      <c r="H132" s="147" t="str">
        <f>'matrik MISI 5'!M92</f>
        <v>Program Pelayanan Kontrasepsi</v>
      </c>
      <c r="I132" s="147"/>
      <c r="J132" s="147"/>
      <c r="K132" s="147"/>
      <c r="L132" s="147"/>
      <c r="M132" s="147"/>
    </row>
    <row r="133" spans="2:13" ht="76.5">
      <c r="B133" s="143">
        <v>6</v>
      </c>
      <c r="C133" s="143" t="str">
        <f>'visi misi'!A15</f>
        <v>Mewujudkan Peningkatan Pelaksanaan Pemerintahan yang Bersih, Transparan, Tidak KKN, dan Berorientasi pada Pelayanan Publik</v>
      </c>
      <c r="D133" s="147">
        <v>1</v>
      </c>
      <c r="E133" s="147" t="str">
        <f>'matrik MISI 6'!G6</f>
        <v>Peningkatan Kualitas Perencanaan, Pengendalian, Evaluasi, dan Pengkajian  Pembangunan Daerah</v>
      </c>
      <c r="F133" s="147">
        <v>1</v>
      </c>
      <c r="G133" s="147" t="str">
        <f>'matrik MISI 6'!I6</f>
        <v>Meningkatkan Kualitas Perencanaan, Pengendalian, Evaluasi, dan Pengkajian  Pembangunan Daerah  yang Terpadu dan Partisipatif</v>
      </c>
      <c r="H133" s="147" t="str">
        <f>'matrik MISI 6'!M7</f>
        <v>Program Perencanaan Pembangunan Daerah</v>
      </c>
      <c r="I133" s="1271"/>
      <c r="J133" s="1271"/>
      <c r="K133" s="1271"/>
      <c r="L133" s="1271"/>
      <c r="M133" s="1271"/>
    </row>
    <row r="134" spans="2:13" ht="51">
      <c r="B134" s="145"/>
      <c r="C134" s="145"/>
      <c r="D134" s="143">
        <v>2</v>
      </c>
      <c r="E134" s="143" t="str">
        <f>'matrik MISI 6'!G18</f>
        <v>Peningkatan Tertib Administrasi Pertanahan</v>
      </c>
      <c r="F134" s="143">
        <v>2</v>
      </c>
      <c r="G134" s="143" t="str">
        <f>'matrik MISI 6'!I18</f>
        <v xml:space="preserve">Meningkatkan Tertib Administrasi Pertanahan dan penyelesaian konflik-konflik pertanahan </v>
      </c>
      <c r="H134" s="147" t="str">
        <f>'matrik MISI 6'!M19</f>
        <v>Program Penataan Penguasaan, Pemilikan, Penggunaan, dan Pemanfaatan Tanah</v>
      </c>
      <c r="I134" s="147"/>
      <c r="J134" s="1271"/>
      <c r="K134" s="1271"/>
      <c r="L134" s="1271"/>
      <c r="M134" s="1271"/>
    </row>
    <row r="135" spans="2:13" ht="25.5">
      <c r="B135" s="145"/>
      <c r="C135" s="145"/>
      <c r="D135" s="146"/>
      <c r="E135" s="146"/>
      <c r="F135" s="146"/>
      <c r="G135" s="146"/>
      <c r="H135" s="147" t="str">
        <f>'matrik MISI 6'!M20</f>
        <v>Program Penyelesaian Konflik-Konflik Pertanahan</v>
      </c>
      <c r="I135" s="147"/>
      <c r="J135" s="147"/>
      <c r="K135" s="147"/>
      <c r="L135" s="147"/>
      <c r="M135" s="147"/>
    </row>
    <row r="136" spans="2:13" ht="127.5">
      <c r="B136" s="145"/>
      <c r="C136" s="145"/>
      <c r="D136" s="143">
        <v>3</v>
      </c>
      <c r="E136" s="143" t="str">
        <f>'matrik MISI 6'!G21</f>
        <v>Peningkatan Kemampuan, Profesionalisme, dan Kesejahteraan SDM Aparatur</v>
      </c>
      <c r="F136" s="143">
        <v>3</v>
      </c>
      <c r="G136" s="143" t="str">
        <f>'matrik MISI 6'!I21</f>
        <v>Meningkatkan Kemampuan, Profesionalisme, dan Kesejahteraan SDM Aparatur melalui diklat pegawai, meningkatnya pendidikan formal pegawai, pemenuhan hak dan penghargaan pegawai, dan pengisian jabatan struktural yang kosong</v>
      </c>
      <c r="H136" s="147" t="str">
        <f>'matrik MISI 6'!M22</f>
        <v>Program Peningkatan Kapasitas Sumber Daya Aparatur</v>
      </c>
      <c r="I136" s="147"/>
      <c r="J136" s="147"/>
      <c r="K136" s="147"/>
      <c r="L136" s="147"/>
      <c r="M136" s="147"/>
    </row>
    <row r="137" spans="2:13" ht="25.5">
      <c r="B137" s="145"/>
      <c r="C137" s="145"/>
      <c r="D137" s="145"/>
      <c r="E137" s="145"/>
      <c r="F137" s="145"/>
      <c r="G137" s="145"/>
      <c r="H137" s="147" t="str">
        <f>'matrik MISI 6'!M24</f>
        <v>Program Pendidikan Kedinasan</v>
      </c>
      <c r="I137" s="147"/>
      <c r="J137" s="147"/>
      <c r="K137" s="147"/>
      <c r="L137" s="147"/>
      <c r="M137" s="147"/>
    </row>
    <row r="138" spans="2:13" ht="25.5">
      <c r="B138" s="145"/>
      <c r="C138" s="145"/>
      <c r="D138" s="145"/>
      <c r="E138" s="145"/>
      <c r="F138" s="145"/>
      <c r="G138" s="145"/>
      <c r="H138" s="147" t="str">
        <f>'matrik MISI 6'!M25</f>
        <v>Program Pembinaan dan Pengembangan Aparatur</v>
      </c>
      <c r="I138" s="147"/>
      <c r="J138" s="147"/>
      <c r="K138" s="147"/>
      <c r="L138" s="147"/>
      <c r="M138" s="147"/>
    </row>
    <row r="139" spans="2:13" ht="25.5">
      <c r="B139" s="145"/>
      <c r="C139" s="145"/>
      <c r="D139" s="145"/>
      <c r="E139" s="145"/>
      <c r="F139" s="145"/>
      <c r="G139" s="145"/>
      <c r="H139" s="147" t="str">
        <f>'matrik MISI 6'!M30</f>
        <v>Program Administrasi Kepegawaian</v>
      </c>
      <c r="I139" s="147"/>
      <c r="J139" s="147"/>
      <c r="K139" s="147"/>
      <c r="L139" s="147"/>
      <c r="M139" s="147"/>
    </row>
    <row r="140" spans="2:13" ht="38.25">
      <c r="B140" s="145"/>
      <c r="C140" s="145"/>
      <c r="D140" s="146"/>
      <c r="E140" s="146"/>
      <c r="F140" s="146"/>
      <c r="G140" s="146"/>
      <c r="H140" s="147" t="str">
        <f>'matrik MISI 6'!M31</f>
        <v>Program Peningkatan Kapasitas Aparatur Pemerintahan Desa</v>
      </c>
      <c r="I140" s="147"/>
      <c r="J140" s="147"/>
      <c r="K140" s="147"/>
      <c r="L140" s="147"/>
      <c r="M140" s="147"/>
    </row>
    <row r="141" spans="2:13" ht="165.75">
      <c r="B141" s="145"/>
      <c r="C141" s="145"/>
      <c r="D141" s="143">
        <v>4</v>
      </c>
      <c r="E141" s="143" t="str">
        <f>'matrik MISI 6'!G34</f>
        <v>Peningkatan Kinerja Penyelenggaraan Pemerintahan Daerah</v>
      </c>
      <c r="F141" s="143">
        <v>4</v>
      </c>
      <c r="G141" s="143" t="str">
        <f>'matrik MISI 6'!I34</f>
        <v>Meningkatkan Kinerja Penyelenggaraan Pemerintahan Daerah terutama pada sisi pemenuhan ketersediaan peraturan perundang-undangan, penanganan temuan pemeriksaan, ketepatan pelaksanaan pembangunan, dan pelaporan pelaksanaan pemerintahan dan pembangunan</v>
      </c>
      <c r="H141" s="147" t="str">
        <f>'matrik MISI 6'!M35</f>
        <v>Program Peningkatan Kapasitas Lembaga Perwakilan Rakyat Daerah</v>
      </c>
      <c r="I141" s="147"/>
      <c r="J141" s="147"/>
      <c r="K141" s="147"/>
      <c r="L141" s="147"/>
      <c r="M141" s="147"/>
    </row>
    <row r="142" spans="2:13" ht="51">
      <c r="B142" s="145"/>
      <c r="C142" s="145"/>
      <c r="D142" s="145"/>
      <c r="E142" s="145"/>
      <c r="F142" s="145"/>
      <c r="G142" s="145"/>
      <c r="H142" s="147" t="str">
        <f>'matrik MISI 6'!M37</f>
        <v>Program Peningkatan Profesionalisme Tenaga Pemeriksa dan Aparatur Pengawasan</v>
      </c>
      <c r="I142" s="147"/>
      <c r="J142" s="147"/>
      <c r="K142" s="147"/>
      <c r="L142" s="147"/>
      <c r="M142" s="147"/>
    </row>
    <row r="143" spans="2:13" ht="51">
      <c r="B143" s="145"/>
      <c r="C143" s="145"/>
      <c r="D143" s="145"/>
      <c r="E143" s="145"/>
      <c r="F143" s="145"/>
      <c r="G143" s="145"/>
      <c r="H143" s="147" t="str">
        <f>'matrik MISI 6'!M38</f>
        <v>Program Penataan dan Penyempurnaan Kebijakan Sistem dan Prosedur Pengawasan</v>
      </c>
      <c r="I143" s="147"/>
      <c r="J143" s="147"/>
      <c r="K143" s="147"/>
      <c r="L143" s="147"/>
      <c r="M143" s="147"/>
    </row>
    <row r="144" spans="2:13" ht="38.25">
      <c r="B144" s="145"/>
      <c r="C144" s="145"/>
      <c r="D144" s="145"/>
      <c r="E144" s="145"/>
      <c r="F144" s="145"/>
      <c r="G144" s="145"/>
      <c r="H144" s="147" t="str">
        <f>'matrik MISI 6'!M39</f>
        <v>Program Penataan Peraturan Perundang-undangan</v>
      </c>
      <c r="I144" s="147"/>
      <c r="J144" s="147"/>
      <c r="K144" s="147"/>
      <c r="L144" s="147"/>
      <c r="M144" s="147"/>
    </row>
    <row r="145" spans="2:13" ht="38.25">
      <c r="B145" s="145"/>
      <c r="C145" s="145"/>
      <c r="D145" s="145"/>
      <c r="E145" s="145"/>
      <c r="F145" s="145"/>
      <c r="G145" s="145"/>
      <c r="H145" s="147" t="str">
        <f>'matrik MISI 6'!M41</f>
        <v>Program Intensifikasi Penanganan Pengaduan Masyarakat</v>
      </c>
      <c r="I145" s="147"/>
      <c r="J145" s="147"/>
      <c r="K145" s="147"/>
      <c r="L145" s="147"/>
      <c r="M145" s="147"/>
    </row>
    <row r="146" spans="2:13" ht="25.5">
      <c r="B146" s="145"/>
      <c r="C146" s="145"/>
      <c r="D146" s="145"/>
      <c r="E146" s="145"/>
      <c r="F146" s="145"/>
      <c r="G146" s="145"/>
      <c r="H146" s="147" t="str">
        <f>'matrik MISI 6'!M42</f>
        <v>Program Perencanaan Pembangunan Daerah</v>
      </c>
      <c r="I146" s="147"/>
      <c r="J146" s="147"/>
      <c r="K146" s="147"/>
      <c r="L146" s="147"/>
      <c r="M146" s="147"/>
    </row>
    <row r="147" spans="2:13" ht="25.5">
      <c r="B147" s="145"/>
      <c r="C147" s="145"/>
      <c r="D147" s="145"/>
      <c r="E147" s="145"/>
      <c r="F147" s="145"/>
      <c r="G147" s="145"/>
      <c r="H147" s="147" t="str">
        <f>'matrik MISI 6'!M43</f>
        <v>Program Penataan Daerah Otonomi Baru</v>
      </c>
      <c r="I147" s="147"/>
      <c r="J147" s="147"/>
      <c r="K147" s="147"/>
      <c r="L147" s="147"/>
      <c r="M147" s="147"/>
    </row>
    <row r="148" spans="2:13" ht="38.25">
      <c r="B148" s="145"/>
      <c r="C148" s="145"/>
      <c r="D148" s="145"/>
      <c r="E148" s="145"/>
      <c r="F148" s="145"/>
      <c r="G148" s="145"/>
      <c r="H148" s="147" t="str">
        <f>'matrik MISI 6'!M44</f>
        <v>Program Pengendalian Pelaksanaan Kegiatan APBD</v>
      </c>
      <c r="I148" s="147"/>
      <c r="J148" s="147"/>
      <c r="K148" s="147"/>
      <c r="L148" s="147"/>
      <c r="M148" s="147"/>
    </row>
    <row r="149" spans="2:13" ht="51">
      <c r="B149" s="145"/>
      <c r="C149" s="145"/>
      <c r="D149" s="145"/>
      <c r="E149" s="145"/>
      <c r="F149" s="145"/>
      <c r="G149" s="145"/>
      <c r="H149" s="147" t="str">
        <f>'matrik MISI 6'!M45</f>
        <v>Program Peningkatan Pelayanan Kedinasan Kepala Daerah/Wakil Kepala Daerah</v>
      </c>
      <c r="I149" s="147"/>
      <c r="J149" s="147"/>
      <c r="K149" s="147"/>
      <c r="L149" s="147"/>
      <c r="M149" s="147"/>
    </row>
    <row r="150" spans="2:13" ht="25.5">
      <c r="B150" s="145"/>
      <c r="C150" s="145"/>
      <c r="D150" s="145"/>
      <c r="E150" s="145"/>
      <c r="F150" s="145"/>
      <c r="G150" s="145"/>
      <c r="H150" s="147" t="str">
        <f>'matrik MISI 6'!M46</f>
        <v>Program Pembinaan dan Pengembangan Aparatur</v>
      </c>
      <c r="I150" s="147"/>
      <c r="J150" s="147"/>
      <c r="K150" s="147"/>
      <c r="L150" s="147"/>
      <c r="M150" s="147"/>
    </row>
    <row r="151" spans="2:13" ht="25.5">
      <c r="B151" s="145"/>
      <c r="C151" s="145"/>
      <c r="D151" s="145"/>
      <c r="E151" s="145"/>
      <c r="F151" s="145"/>
      <c r="G151" s="145"/>
      <c r="H151" s="147" t="str">
        <f>'matrik MISI 6'!M47</f>
        <v>Program Perencanaan Pembangunan Daerah</v>
      </c>
      <c r="I151" s="147"/>
      <c r="J151" s="147"/>
      <c r="K151" s="147"/>
      <c r="L151" s="147"/>
      <c r="M151" s="147"/>
    </row>
    <row r="152" spans="2:13" ht="25.5">
      <c r="B152" s="145"/>
      <c r="C152" s="145"/>
      <c r="D152" s="145"/>
      <c r="E152" s="145"/>
      <c r="F152" s="145"/>
      <c r="G152" s="145"/>
      <c r="H152" s="147" t="str">
        <f>'matrik MISI 6'!M48</f>
        <v>Program Penataan Daerah Otonomi Baru</v>
      </c>
      <c r="I152" s="147"/>
      <c r="J152" s="147"/>
      <c r="K152" s="147"/>
      <c r="L152" s="147"/>
      <c r="M152" s="147"/>
    </row>
    <row r="153" spans="2:13" ht="38.25">
      <c r="B153" s="145"/>
      <c r="C153" s="145"/>
      <c r="D153" s="145"/>
      <c r="E153" s="145"/>
      <c r="F153" s="145"/>
      <c r="G153" s="145"/>
      <c r="H153" s="147" t="str">
        <f>'matrik MISI 6'!M49</f>
        <v>Program Pengendalian Pelaksanaan Kegiatan APBD</v>
      </c>
      <c r="I153" s="147"/>
      <c r="J153" s="147"/>
      <c r="K153" s="147"/>
      <c r="L153" s="147"/>
      <c r="M153" s="147"/>
    </row>
    <row r="154" spans="2:13" ht="51">
      <c r="B154" s="145"/>
      <c r="C154" s="145"/>
      <c r="D154" s="145"/>
      <c r="E154" s="145"/>
      <c r="F154" s="145"/>
      <c r="G154" s="145"/>
      <c r="H154" s="147" t="str">
        <f>'matrik MISI 6'!M50</f>
        <v>Program Peningkatan Pelayanan Kedinasan Kepala Daerah/Wakil Kepala Daerah</v>
      </c>
      <c r="I154" s="147"/>
      <c r="J154" s="147"/>
      <c r="K154" s="147"/>
      <c r="L154" s="147"/>
      <c r="M154" s="147"/>
    </row>
    <row r="155" spans="2:13" ht="63.75">
      <c r="B155" s="145"/>
      <c r="C155" s="145"/>
      <c r="D155" s="145"/>
      <c r="E155" s="145"/>
      <c r="F155" s="145"/>
      <c r="G155" s="145"/>
      <c r="H155" s="147" t="str">
        <f>'matrik MISI 6'!M51</f>
        <v>Program Peningkatan Sistem Pengawasan Internal dan Pengendalian Pelaksanaan Kebijakan Daerah</v>
      </c>
      <c r="I155" s="147"/>
      <c r="J155" s="147"/>
      <c r="K155" s="147"/>
      <c r="L155" s="147"/>
      <c r="M155" s="147"/>
    </row>
    <row r="156" spans="2:13" ht="38.25">
      <c r="B156" s="145"/>
      <c r="C156" s="145"/>
      <c r="D156" s="145"/>
      <c r="E156" s="145"/>
      <c r="F156" s="145"/>
      <c r="G156" s="145"/>
      <c r="H156" s="147" t="str">
        <f>'matrik MISI 6'!M52</f>
        <v>Program Pengendalian Pelaksanaan Kegiatan APBD</v>
      </c>
      <c r="I156" s="147"/>
      <c r="J156" s="147"/>
      <c r="K156" s="147"/>
      <c r="L156" s="147"/>
      <c r="M156" s="147"/>
    </row>
    <row r="157" spans="2:13" ht="38.25">
      <c r="B157" s="145"/>
      <c r="C157" s="145"/>
      <c r="D157" s="145"/>
      <c r="E157" s="145"/>
      <c r="F157" s="145"/>
      <c r="G157" s="145"/>
      <c r="H157" s="147" t="str">
        <f>'matrik MISI 6'!M53</f>
        <v>Program Pembinaan dan Fasilitasi Pengelolaan Keuangan Kabupaten</v>
      </c>
      <c r="I157" s="147"/>
      <c r="J157" s="147"/>
      <c r="K157" s="147"/>
      <c r="L157" s="147"/>
      <c r="M157" s="147"/>
    </row>
    <row r="158" spans="2:13" ht="38.25">
      <c r="B158" s="145"/>
      <c r="C158" s="145"/>
      <c r="D158" s="145"/>
      <c r="E158" s="145"/>
      <c r="F158" s="145"/>
      <c r="G158" s="145"/>
      <c r="H158" s="147" t="str">
        <f>'matrik MISI 6'!M54</f>
        <v>Program Penataan Peraturan Perundang-undangan</v>
      </c>
      <c r="I158" s="147"/>
      <c r="J158" s="147"/>
      <c r="K158" s="147"/>
      <c r="L158" s="147"/>
      <c r="M158" s="147"/>
    </row>
    <row r="159" spans="2:13" ht="25.5">
      <c r="B159" s="145"/>
      <c r="C159" s="145"/>
      <c r="D159" s="145"/>
      <c r="E159" s="145"/>
      <c r="F159" s="145"/>
      <c r="G159" s="145"/>
      <c r="H159" s="147" t="str">
        <f>'matrik MISI 6'!M55</f>
        <v>Program Pelayanan Administrasi Perkantoran</v>
      </c>
      <c r="I159" s="147"/>
      <c r="J159" s="147"/>
      <c r="K159" s="147"/>
      <c r="L159" s="147"/>
      <c r="M159" s="147"/>
    </row>
    <row r="160" spans="2:13" ht="38.25">
      <c r="B160" s="145"/>
      <c r="C160" s="145"/>
      <c r="D160" s="145"/>
      <c r="E160" s="145"/>
      <c r="F160" s="145"/>
      <c r="G160" s="145"/>
      <c r="H160" s="147" t="str">
        <f>'matrik MISI 6'!M56</f>
        <v>Program Peningkatan Sarana dan Prasarana Aparatur</v>
      </c>
      <c r="I160" s="147"/>
      <c r="J160" s="147"/>
      <c r="K160" s="147"/>
      <c r="L160" s="147"/>
      <c r="M160" s="147"/>
    </row>
    <row r="161" spans="2:13" ht="25.5">
      <c r="B161" s="145"/>
      <c r="C161" s="145"/>
      <c r="D161" s="145"/>
      <c r="E161" s="145"/>
      <c r="F161" s="145"/>
      <c r="G161" s="145"/>
      <c r="H161" s="147" t="str">
        <f>'matrik MISI 6'!M57</f>
        <v>Program Peningkatan Disiplin Aparatur</v>
      </c>
      <c r="I161" s="147"/>
      <c r="J161" s="147"/>
      <c r="K161" s="147"/>
      <c r="L161" s="147"/>
      <c r="M161" s="147"/>
    </row>
    <row r="162" spans="2:13" ht="51">
      <c r="B162" s="145"/>
      <c r="C162" s="145"/>
      <c r="D162" s="145"/>
      <c r="E162" s="145"/>
      <c r="F162" s="145"/>
      <c r="G162" s="145"/>
      <c r="H162" s="147" t="str">
        <f>'matrik MISI 6'!M58</f>
        <v>Program Peningkatan Pelayanan Kedinasan Kepala Daerah/Wakil Kepala Daerah</v>
      </c>
      <c r="I162" s="147"/>
      <c r="J162" s="147"/>
      <c r="K162" s="147"/>
      <c r="L162" s="147"/>
      <c r="M162" s="147"/>
    </row>
    <row r="163" spans="2:13">
      <c r="B163" s="145"/>
      <c r="C163" s="145"/>
      <c r="D163" s="145"/>
      <c r="E163" s="145"/>
      <c r="F163" s="145"/>
      <c r="G163" s="145"/>
      <c r="H163" s="147" t="str">
        <f>'matrik MISI 6'!M59</f>
        <v>Program Kerjasama  Daerah</v>
      </c>
      <c r="I163" s="147"/>
      <c r="J163" s="147"/>
      <c r="K163" s="147"/>
      <c r="L163" s="147"/>
      <c r="M163" s="147"/>
    </row>
    <row r="164" spans="2:13" ht="63.75">
      <c r="B164" s="145"/>
      <c r="C164" s="145"/>
      <c r="D164" s="143">
        <v>5</v>
      </c>
      <c r="E164" s="143" t="str">
        <f>'matrik MISI 6'!G61</f>
        <v>Peningkatan Tertib Administrasi Penyelenggaraan Pemerintahan Daerah</v>
      </c>
      <c r="F164" s="143">
        <v>5</v>
      </c>
      <c r="G164" s="143" t="str">
        <f>'matrik MISI 6'!I61</f>
        <v>Meningkatkan Tertib Administrasi Penyelenggaraan Pemerintahan Daerah dan Pemerintah Desa</v>
      </c>
      <c r="H164" s="147" t="str">
        <f>'matrik MISI 6'!M60</f>
        <v>Program Peningkatan Sistem Pengawasan  Internal dan Pengendalian Pelaksanaan Kebijakan Daerah</v>
      </c>
      <c r="I164" s="147"/>
      <c r="J164" s="147"/>
      <c r="K164" s="147"/>
      <c r="L164" s="147"/>
      <c r="M164" s="147"/>
    </row>
    <row r="165" spans="2:13" ht="38.25">
      <c r="B165" s="145"/>
      <c r="C165" s="145"/>
      <c r="D165" s="145"/>
      <c r="E165" s="145"/>
      <c r="F165" s="145"/>
      <c r="G165" s="145"/>
      <c r="H165" s="147" t="str">
        <f>'matrik MISI 6'!M63</f>
        <v>Program Peningkatan Kapasitas Sumber Daya Aparatur</v>
      </c>
      <c r="I165" s="147"/>
      <c r="J165" s="147"/>
      <c r="K165" s="147"/>
      <c r="L165" s="147"/>
      <c r="M165" s="147"/>
    </row>
    <row r="166" spans="2:13" ht="38.25">
      <c r="B166" s="145"/>
      <c r="C166" s="145"/>
      <c r="D166" s="145"/>
      <c r="E166" s="145"/>
      <c r="F166" s="145"/>
      <c r="G166" s="145"/>
      <c r="H166" s="147" t="str">
        <f>'matrik MISI 6'!M64</f>
        <v>Program Pembinaan dan Fasilitasi Pengelolaan Keuangan Desa</v>
      </c>
      <c r="I166" s="147"/>
      <c r="J166" s="147"/>
      <c r="K166" s="147"/>
      <c r="L166" s="147"/>
      <c r="M166" s="147"/>
    </row>
    <row r="167" spans="2:13" ht="38.25">
      <c r="B167" s="145"/>
      <c r="C167" s="145"/>
      <c r="D167" s="146"/>
      <c r="E167" s="146"/>
      <c r="F167" s="146"/>
      <c r="G167" s="146"/>
      <c r="H167" s="147" t="str">
        <f>'matrik MISI 6'!M65</f>
        <v>Program Peningkatan Kapasitas Aparatur Pemerintahan Desa</v>
      </c>
      <c r="I167" s="147"/>
      <c r="J167" s="147"/>
      <c r="K167" s="147"/>
      <c r="L167" s="147"/>
      <c r="M167" s="147"/>
    </row>
    <row r="168" spans="2:13" ht="76.5">
      <c r="B168" s="145"/>
      <c r="C168" s="145"/>
      <c r="D168" s="143">
        <v>6</v>
      </c>
      <c r="E168" s="143" t="str">
        <f>'matrik MISI 6'!G66</f>
        <v>Peningkatan Kapasitas Kemampuan Keuangan dan Pengelolaan Keuangan Daerah</v>
      </c>
      <c r="F168" s="143">
        <v>6</v>
      </c>
      <c r="G168" s="143" t="str">
        <f>'matrik MISI 6'!I66</f>
        <v>Meningkatkan Kapasitas Kemampuan Keuangan dan Pengelolaan Keuangan Daerah khususnya pada aspek Pendapatan Asli Daerah</v>
      </c>
      <c r="H168" s="147" t="str">
        <f>'matrik MISI 6'!M67</f>
        <v>Program Peningkatan dan Pengembangan Pengelolaan Keuangan Daerah</v>
      </c>
      <c r="I168" s="147"/>
      <c r="J168" s="147"/>
      <c r="K168" s="147"/>
      <c r="L168" s="147"/>
      <c r="M168" s="147"/>
    </row>
    <row r="169" spans="2:13" ht="38.25">
      <c r="B169" s="145"/>
      <c r="C169" s="145"/>
      <c r="D169" s="145"/>
      <c r="E169" s="145"/>
      <c r="F169" s="145"/>
      <c r="G169" s="145"/>
      <c r="H169" s="147" t="str">
        <f>'matrik MISI 6'!M68</f>
        <v xml:space="preserve">Program Pembinaan dan Fasilitasi Pengelolaan Keuangan Kabupaten/Kota </v>
      </c>
      <c r="I169" s="147"/>
      <c r="J169" s="147"/>
      <c r="K169" s="147"/>
      <c r="L169" s="147"/>
      <c r="M169" s="147"/>
    </row>
    <row r="170" spans="2:13" ht="63.75">
      <c r="B170" s="145"/>
      <c r="C170" s="145"/>
      <c r="D170" s="143">
        <v>7</v>
      </c>
      <c r="E170" s="143" t="str">
        <f>'matrik MISI 6'!G71</f>
        <v>Peningkatan Tertib Administrasi Aset Pemerintah Daerah</v>
      </c>
      <c r="F170" s="143">
        <v>7</v>
      </c>
      <c r="G170" s="143" t="str">
        <f>'matrik MISI 6'!I71</f>
        <v xml:space="preserve">Meningkatkan Tertib Administrasi Aset Pemerintah Daerah dan pengembangan pengelolaan asset yang dimiliki daerah </v>
      </c>
      <c r="H170" s="147" t="str">
        <f>'matrik MISI 6'!M72</f>
        <v>Program Peningkatan dan Pengembangan Pengelolaan Keuangan Daerah</v>
      </c>
      <c r="I170" s="147"/>
      <c r="J170" s="147"/>
      <c r="K170" s="147"/>
      <c r="L170" s="147"/>
      <c r="M170" s="147"/>
    </row>
    <row r="171" spans="2:13" ht="38.25">
      <c r="B171" s="145"/>
      <c r="C171" s="145"/>
      <c r="D171" s="143">
        <v>8</v>
      </c>
      <c r="E171" s="143" t="str">
        <f>'matrik MISI 6'!G74</f>
        <v>Peningkatan Tertib Pengelolaan Kearsipan</v>
      </c>
      <c r="F171" s="143">
        <v>8</v>
      </c>
      <c r="G171" s="143" t="str">
        <f>'matrik MISI 6'!I74</f>
        <v>Meningkatkan Tertib Pengelolaan Kearsipan secara baku</v>
      </c>
      <c r="H171" s="147" t="str">
        <f>'matrik MISI 6'!M75</f>
        <v>Program Perbaikan Sistem Administrasi Kearsipan Daerah</v>
      </c>
      <c r="I171" s="147"/>
      <c r="J171" s="147"/>
      <c r="K171" s="147"/>
      <c r="L171" s="147"/>
      <c r="M171" s="147"/>
    </row>
    <row r="172" spans="2:13" ht="38.25">
      <c r="B172" s="145"/>
      <c r="C172" s="145"/>
      <c r="D172" s="145"/>
      <c r="E172" s="145"/>
      <c r="F172" s="145"/>
      <c r="G172" s="145"/>
      <c r="H172" s="147" t="str">
        <f>'matrik MISI 6'!M76</f>
        <v>Program Penyelamatan dan Pelestarian Dokumen/Arsip Daerah</v>
      </c>
      <c r="I172" s="147"/>
      <c r="J172" s="147"/>
      <c r="K172" s="147"/>
      <c r="L172" s="147"/>
      <c r="M172" s="147"/>
    </row>
    <row r="173" spans="2:13" ht="51">
      <c r="B173" s="145"/>
      <c r="C173" s="145"/>
      <c r="D173" s="147">
        <v>9</v>
      </c>
      <c r="E173" s="147" t="str">
        <f>'matrik MISI 6'!G78</f>
        <v>Peningkatan Kualitas Pelayanan Administrasi Kependudukan dan Pelayanan Lainnya</v>
      </c>
      <c r="F173" s="147">
        <v>9</v>
      </c>
      <c r="G173" s="147" t="str">
        <f>'matrik MISI 6'!I78</f>
        <v>Meningkatkan Kualitas Pelayanan Administrasi Kependudukan dan Pelayanan Lainnya</v>
      </c>
      <c r="H173" s="147" t="str">
        <f>'matrik MISI 6'!M79</f>
        <v>Program Penataan Administrasi Kependudukan</v>
      </c>
      <c r="I173" s="147"/>
      <c r="J173" s="147"/>
      <c r="K173" s="147"/>
      <c r="L173" s="147"/>
      <c r="M173" s="147"/>
    </row>
    <row r="174" spans="2:13" ht="102">
      <c r="B174" s="145"/>
      <c r="C174" s="145"/>
      <c r="D174" s="147">
        <v>10</v>
      </c>
      <c r="E174" s="147" t="str">
        <f>'matrik MISI 6'!G84</f>
        <v>Peningkatan Kualitas dan Kuantitas Pelayanan Perizinan dan Non Perizinan</v>
      </c>
      <c r="F174" s="147">
        <v>10</v>
      </c>
      <c r="G174" s="147" t="str">
        <f>'matrik MISI 6'!I84</f>
        <v>Meningkatkan Kualitas dan Kuantitas Pelayanan Perizinan dan Non Perizinan melalui ketersediaan SOP, ketepatan waktu, dan penanganan pengaduan masyarakat</v>
      </c>
      <c r="H174" s="147" t="str">
        <f>'matrik MISI 6'!M85</f>
        <v>Program Peningkatan Pelayanan Perizinan</v>
      </c>
      <c r="I174" s="147"/>
      <c r="J174" s="147"/>
      <c r="K174" s="147"/>
      <c r="L174" s="147"/>
      <c r="M174" s="147"/>
    </row>
    <row r="175" spans="2:13" ht="63.75">
      <c r="B175" s="145"/>
      <c r="C175" s="145"/>
      <c r="D175" s="143">
        <v>11</v>
      </c>
      <c r="E175" s="143" t="str">
        <f>'matrik MISI 6'!G89</f>
        <v xml:space="preserve">Peningkatan Investasi </v>
      </c>
      <c r="F175" s="143">
        <v>11</v>
      </c>
      <c r="G175" s="143" t="str">
        <f>'matrik MISI 6'!I89</f>
        <v>Meningkatkan Investasi melalui pelaksanaan promosi investasi dan dukungan iklim investasi yang memadai</v>
      </c>
      <c r="H175" s="147" t="str">
        <f>'matrik MISI 6'!M90</f>
        <v>Program Peningkatan Iklim Investasi dan Realisasi Investasi</v>
      </c>
      <c r="I175" s="147"/>
      <c r="J175" s="1271"/>
      <c r="K175" s="1271"/>
      <c r="L175" s="1271"/>
      <c r="M175" s="1271"/>
    </row>
    <row r="176" spans="2:13" ht="38.25">
      <c r="B176" s="145"/>
      <c r="C176" s="145"/>
      <c r="D176" s="145"/>
      <c r="E176" s="145"/>
      <c r="F176" s="145"/>
      <c r="G176" s="145"/>
      <c r="H176" s="147" t="str">
        <f>'matrik MISI 6'!M92</f>
        <v>Program Peningkatan Promosi dan Kerjasama Investasi</v>
      </c>
      <c r="I176" s="147"/>
      <c r="J176" s="1271"/>
      <c r="K176" s="1271"/>
      <c r="L176" s="1271"/>
      <c r="M176" s="1271"/>
    </row>
    <row r="177" spans="2:13" ht="89.25">
      <c r="B177" s="145"/>
      <c r="C177" s="145"/>
      <c r="D177" s="147">
        <v>12</v>
      </c>
      <c r="E177" s="147" t="str">
        <f>'matrik MISI 6'!G100</f>
        <v xml:space="preserve">Peningkatan Pelayanan Perpustakaan </v>
      </c>
      <c r="F177" s="147">
        <v>12</v>
      </c>
      <c r="G177" s="147" t="str">
        <f>'matrik MISI 6'!I100</f>
        <v>Meningkatkan Pelayanan Perpustakaan kepada masyarakat yang disertai peningkatan kunjungan perpustakaandan peminjaman buku koleksi perpustakaan</v>
      </c>
      <c r="H177" s="147" t="str">
        <f>'matrik MISI 6'!M101</f>
        <v>Program Pengembangan Budaya Baca dan Pembinaan Perpustakaan</v>
      </c>
      <c r="I177" s="147"/>
      <c r="J177" s="147"/>
      <c r="K177" s="147"/>
      <c r="L177" s="147"/>
      <c r="M177" s="147"/>
    </row>
    <row r="178" spans="2:13" ht="76.5">
      <c r="B178" s="145"/>
      <c r="C178" s="145"/>
      <c r="D178" s="147">
        <v>13</v>
      </c>
      <c r="E178" s="147" t="str">
        <f>'matrik MISI 6'!G104</f>
        <v>Peningkatan Kualitas Data Pembangunan  dan Data Statistik Daerah</v>
      </c>
      <c r="F178" s="147">
        <v>13</v>
      </c>
      <c r="G178" s="147" t="str">
        <f>'matrik MISI 6'!I104</f>
        <v>Meningkatkan Kualitas Data Pembangunan  dan Data Statistik Daerah yang akan digunakan dalam perencanaan pembangunan setiap tahunnya</v>
      </c>
      <c r="H178" s="147" t="str">
        <f>'matrik MISI 6'!M105</f>
        <v>Program Pengembangan Data/Informasi/Statistik Daerah</v>
      </c>
      <c r="I178" s="147"/>
      <c r="J178" s="147"/>
      <c r="K178" s="147"/>
      <c r="L178" s="147"/>
      <c r="M178" s="147"/>
    </row>
    <row r="179" spans="2:13" ht="76.5">
      <c r="B179" s="145"/>
      <c r="C179" s="145"/>
      <c r="D179" s="143">
        <v>14</v>
      </c>
      <c r="E179" s="143" t="str">
        <f>'matrik MISI 6'!G106</f>
        <v>Peningkatan Akses atas Komunikasi dan Informasi</v>
      </c>
      <c r="F179" s="143">
        <v>14</v>
      </c>
      <c r="G179" s="143" t="str">
        <f>'matrik MISI 6'!I106</f>
        <v>Meningkatkan Akses atas Komunikasi dan Informasi kepada masyarakat, khususnya di ruang publik melalui berbagai media yang ada</v>
      </c>
      <c r="H179" s="147" t="str">
        <f>'matrik MISI 6'!M107</f>
        <v>program pengembangan informasi dan komunikasi</v>
      </c>
      <c r="I179" s="147"/>
      <c r="J179" s="147"/>
      <c r="K179" s="147"/>
      <c r="L179" s="147"/>
      <c r="M179" s="147"/>
    </row>
    <row r="180" spans="2:13" ht="51">
      <c r="B180" s="146"/>
      <c r="C180" s="146"/>
      <c r="D180" s="147">
        <v>15</v>
      </c>
      <c r="E180" s="147" t="str">
        <f>'matrik MISI 6'!G117</f>
        <v>Peningkatan  Pengelolaan e-Government</v>
      </c>
      <c r="F180" s="147">
        <v>15</v>
      </c>
      <c r="G180" s="147" t="str">
        <f>'matrik MISI 6'!I117</f>
        <v>Meningkatkan Pengelolaan e-Government pada pemerintah daerah dan pemerintah desa</v>
      </c>
      <c r="H180" s="147" t="str">
        <f>'matrik MISI 6'!M118</f>
        <v>program pengembangan  komunikasi, informasi dan media massa</v>
      </c>
      <c r="I180" s="147"/>
      <c r="J180" s="1271"/>
      <c r="K180" s="1271"/>
      <c r="L180" s="1271"/>
      <c r="M180" s="1271"/>
    </row>
  </sheetData>
  <mergeCells count="27">
    <mergeCell ref="I58:I59"/>
    <mergeCell ref="J58:J59"/>
    <mergeCell ref="K58:K59"/>
    <mergeCell ref="L58:L59"/>
    <mergeCell ref="M58:M59"/>
    <mergeCell ref="I22:I23"/>
    <mergeCell ref="J22:J23"/>
    <mergeCell ref="K22:K23"/>
    <mergeCell ref="L22:L23"/>
    <mergeCell ref="M22:M23"/>
    <mergeCell ref="I2:M2"/>
    <mergeCell ref="I4:M4"/>
    <mergeCell ref="I20:I21"/>
    <mergeCell ref="J20:J21"/>
    <mergeCell ref="K20:K21"/>
    <mergeCell ref="L20:L21"/>
    <mergeCell ref="M20:M21"/>
    <mergeCell ref="H20:H21"/>
    <mergeCell ref="H58:H59"/>
    <mergeCell ref="B4:C4"/>
    <mergeCell ref="D4:E4"/>
    <mergeCell ref="F4:G4"/>
    <mergeCell ref="B2:C3"/>
    <mergeCell ref="D2:E3"/>
    <mergeCell ref="F2:G3"/>
    <mergeCell ref="H2:H3"/>
    <mergeCell ref="H22:H23"/>
  </mergeCells>
  <pageMargins left="0.7" right="0.7" top="0.75" bottom="0.75" header="0.3" footer="0.3"/>
  <pageSetup scale="65" orientation="portrait" horizontalDpi="300" verticalDpi="300" r:id="rId1"/>
</worksheet>
</file>

<file path=xl/worksheets/sheet15.xml><?xml version="1.0" encoding="utf-8"?>
<worksheet xmlns="http://schemas.openxmlformats.org/spreadsheetml/2006/main" xmlns:r="http://schemas.openxmlformats.org/officeDocument/2006/relationships">
  <sheetPr>
    <tabColor rgb="FFFFFF00"/>
  </sheetPr>
  <dimension ref="B2:O261"/>
  <sheetViews>
    <sheetView showGridLines="0" topLeftCell="D1" zoomScale="90" zoomScaleNormal="90" workbookViewId="0">
      <pane ySplit="3" topLeftCell="A195" activePane="bottomLeft" state="frozen"/>
      <selection activeCell="E1" sqref="E1"/>
      <selection pane="bottomLeft" activeCell="G195" sqref="G195"/>
    </sheetView>
  </sheetViews>
  <sheetFormatPr defaultRowHeight="12.75"/>
  <cols>
    <col min="1" max="1" width="9.140625" style="144"/>
    <col min="2" max="2" width="5.7109375" style="144" customWidth="1"/>
    <col min="3" max="8" width="30.7109375" style="144" customWidth="1"/>
    <col min="9" max="10" width="30.140625" style="144" customWidth="1"/>
    <col min="11" max="11" width="15.42578125" style="144" customWidth="1"/>
    <col min="12" max="14" width="15.28515625" style="1054" customWidth="1"/>
    <col min="15" max="15" width="17.42578125" style="144" customWidth="1"/>
    <col min="16" max="16384" width="9.140625" style="144"/>
  </cols>
  <sheetData>
    <row r="2" spans="2:15" s="142" customFormat="1" ht="36" customHeight="1">
      <c r="B2" s="1245" t="s">
        <v>1796</v>
      </c>
      <c r="C2" s="1246"/>
      <c r="D2" s="1243" t="s">
        <v>6</v>
      </c>
      <c r="E2" s="1243" t="s">
        <v>2</v>
      </c>
      <c r="F2" s="1243" t="s">
        <v>98</v>
      </c>
      <c r="G2" s="1243" t="s">
        <v>5053</v>
      </c>
      <c r="H2" s="1243" t="s">
        <v>157</v>
      </c>
      <c r="I2" s="1243" t="s">
        <v>1797</v>
      </c>
      <c r="J2" s="1243" t="s">
        <v>781</v>
      </c>
      <c r="K2" s="1243" t="s">
        <v>132</v>
      </c>
      <c r="L2" s="1242" t="s">
        <v>5015</v>
      </c>
      <c r="M2" s="1242"/>
      <c r="N2" s="918" t="s">
        <v>136</v>
      </c>
      <c r="O2" s="1242" t="s">
        <v>5016</v>
      </c>
    </row>
    <row r="3" spans="2:15" s="142" customFormat="1" ht="25.5" customHeight="1">
      <c r="B3" s="1247"/>
      <c r="C3" s="1248"/>
      <c r="D3" s="1244"/>
      <c r="E3" s="1244"/>
      <c r="F3" s="1244"/>
      <c r="G3" s="1244"/>
      <c r="H3" s="1244"/>
      <c r="I3" s="1244"/>
      <c r="J3" s="1244"/>
      <c r="K3" s="1244"/>
      <c r="L3" s="918">
        <v>2012</v>
      </c>
      <c r="M3" s="918">
        <v>2013</v>
      </c>
      <c r="N3" s="918">
        <v>2018</v>
      </c>
      <c r="O3" s="1242"/>
    </row>
    <row r="4" spans="2:15" s="956" customFormat="1" ht="15" customHeight="1">
      <c r="B4" s="1240">
        <v>1</v>
      </c>
      <c r="C4" s="1241"/>
      <c r="D4" s="955">
        <v>2</v>
      </c>
      <c r="E4" s="955">
        <v>3</v>
      </c>
      <c r="F4" s="955">
        <v>4</v>
      </c>
      <c r="G4" s="1086"/>
      <c r="H4" s="928"/>
      <c r="I4" s="928">
        <v>7</v>
      </c>
      <c r="J4" s="928">
        <v>8</v>
      </c>
      <c r="K4" s="928">
        <v>9</v>
      </c>
      <c r="L4" s="1049">
        <v>10</v>
      </c>
      <c r="M4" s="1049">
        <v>11</v>
      </c>
      <c r="N4" s="1049">
        <v>12</v>
      </c>
      <c r="O4" s="928">
        <v>13</v>
      </c>
    </row>
    <row r="5" spans="2:15" ht="76.5">
      <c r="B5" s="143">
        <v>1</v>
      </c>
      <c r="C5" s="143" t="str">
        <f>'visi misi'!A5</f>
        <v>Mewujudkan Peningkatan Pertanian Moderen yang Berwawasan Lingkungan</v>
      </c>
      <c r="D5" s="143" t="str">
        <f>'matrik MISI GABUNG'!B7</f>
        <v>PERTANIAN</v>
      </c>
      <c r="E5" s="143" t="str">
        <f>'matrik MISI GABUNG'!F7</f>
        <v>Meningkatnya penerapan teknologi, dan inovasi  Pertanian</v>
      </c>
      <c r="F5" s="143" t="str">
        <f>'matrik MISI GABUNG'!G7</f>
        <v>Peningkatan Penerapan Teknologi dan inovasi Pertanian</v>
      </c>
      <c r="G5" s="1084" t="str">
        <f>'matrik MISI 1'!H6</f>
        <v xml:space="preserve">Pengembangan Teknologi dan Inovasi  Pertanian </v>
      </c>
      <c r="H5" s="143" t="str">
        <f>'matrik MISI GABUNG'!I7</f>
        <v>Meningkatkan Penerapan Teknologi dan inovasi di Pertanian dalam menunjang upaya peningkatan produksi dan produktivitas sub sektor pertanian/perkebunan</v>
      </c>
      <c r="I5" s="143" t="str">
        <f>'matrik MISI GABUNG'!M8</f>
        <v>Program Peningkatan Penerapan Teknologi Pertanian / Peternakan / Perkebunan</v>
      </c>
      <c r="J5" s="147" t="str">
        <f>'matrik MISI GABUNG'!N8</f>
        <v xml:space="preserve">Besaran Kelompok Tani yang menerapkan teknologi dan informasi pertanian dan perkebunan melalui sekolah lapang </v>
      </c>
      <c r="K5" s="147" t="str">
        <f>'matrik MISI GABUNG'!O8</f>
        <v>Kelompok</v>
      </c>
      <c r="L5" s="1050">
        <f>'matrik MISI GABUNG'!P8</f>
        <v>500</v>
      </c>
      <c r="M5" s="1050">
        <f>'matrik MISI GABUNG'!Q8</f>
        <v>600</v>
      </c>
      <c r="N5" s="1052">
        <f>'matrik MISI GABUNG'!V8</f>
        <v>1300</v>
      </c>
      <c r="O5" s="147" t="str">
        <f>'matrik MISI GABUNG'!X8</f>
        <v>DINTANBUNHUT</v>
      </c>
    </row>
    <row r="6" spans="2:15" ht="76.5">
      <c r="B6" s="145"/>
      <c r="C6" s="145"/>
      <c r="D6" s="145"/>
      <c r="E6" s="143" t="str">
        <f>'matrik MISI GABUNG'!F11</f>
        <v>Meningkatnya penerapan teknologi, inovasi peternakan</v>
      </c>
      <c r="F6" s="143" t="str">
        <f>'matrik MISI GABUNG'!G11</f>
        <v>Peningkatan Penerapan Teknologi, inovasi Peternakan</v>
      </c>
      <c r="G6" s="1084" t="str">
        <f>'matrik MISI 1'!H10</f>
        <v>Pengembangan Teknologi dan Inovasi peternakan</v>
      </c>
      <c r="H6" s="143" t="str">
        <f>'matrik MISI GABUNG'!I11</f>
        <v>Meningkatkan Penerapan Teknologi dan inovasi di Pertanian dalam menunjang upaya peningkatan produksi dan produktivitas sub sektor peternakan</v>
      </c>
      <c r="I6" s="143" t="str">
        <f>'matrik MISI GABUNG'!M13</f>
        <v>Program Peningkatan Pemasaran hasil produksi pertanian/perkebunan</v>
      </c>
      <c r="J6" s="147" t="str">
        <f>'matrik MISI GABUNG'!N12</f>
        <v>Persentase Peningkatan Penggunaan Bibit dan benih unggul</v>
      </c>
      <c r="K6" s="147" t="str">
        <f>'matrik MISI GABUNG'!O12</f>
        <v>%</v>
      </c>
      <c r="L6" s="1050">
        <f>'matrik MISI GABUNG'!P12</f>
        <v>55</v>
      </c>
      <c r="M6" s="1050">
        <f>'matrik MISI GABUNG'!Q12</f>
        <v>60</v>
      </c>
      <c r="N6" s="1052">
        <f>'matrik MISI GABUNG'!V12</f>
        <v>70</v>
      </c>
      <c r="O6" s="147" t="str">
        <f>'matrik MISI GABUNG'!X12</f>
        <v>DINTANBUNHUT</v>
      </c>
    </row>
    <row r="7" spans="2:15" ht="63.75">
      <c r="B7" s="145"/>
      <c r="C7" s="145"/>
      <c r="D7" s="145"/>
      <c r="E7" s="143" t="str">
        <f>'matrik MISI GABUNG'!F14</f>
        <v>Meningkatnya kualitas hasil produksi pertanian, perkebiunan dan peternakan</v>
      </c>
      <c r="F7" s="143" t="str">
        <f>'matrik MISI GABUNG'!G14</f>
        <v>Peningkatan Kualitas hasil produksi pertanian, perkebunan dan peternakan</v>
      </c>
      <c r="G7" s="1084" t="str">
        <f>'matrik MISI 1'!H10</f>
        <v>Pengembangan Teknologi dan Inovasi peternakan</v>
      </c>
      <c r="H7" s="143" t="str">
        <f>'matrik MISI GABUNG'!I14</f>
        <v xml:space="preserve">Meningkatkan Penerapan Teknologi dan inovasi Pertanian dalam rangka meningkatkan kualitas produk pertanian dan pencegahan hama dan penyakit </v>
      </c>
      <c r="I7" s="143" t="str">
        <f>'matrik MISI GABUNG'!M15</f>
        <v>Program pencegahan dan penanggulangan penyakit ternak</v>
      </c>
      <c r="J7" s="147" t="str">
        <f>'matrik MISI GABUNG'!N15</f>
        <v>Angka Kematian Ternak unggas</v>
      </c>
      <c r="K7" s="147" t="str">
        <f>'matrik MISI GABUNG'!O15</f>
        <v>%</v>
      </c>
      <c r="L7" s="1050">
        <f>'matrik MISI GABUNG'!P15</f>
        <v>2</v>
      </c>
      <c r="M7" s="1050">
        <f>'matrik MISI GABUNG'!Q15</f>
        <v>2</v>
      </c>
      <c r="N7" s="1052">
        <f>'matrik MISI GABUNG'!V15</f>
        <v>2</v>
      </c>
      <c r="O7" s="147" t="str">
        <f>'matrik MISI GABUNG'!X15</f>
        <v>DINAKAN</v>
      </c>
    </row>
    <row r="8" spans="2:15">
      <c r="B8" s="145"/>
      <c r="C8" s="145"/>
      <c r="D8" s="145"/>
      <c r="E8" s="145"/>
      <c r="F8" s="145"/>
      <c r="G8" s="145"/>
      <c r="H8" s="145"/>
      <c r="I8" s="145"/>
      <c r="J8" s="147" t="str">
        <f>'matrik MISI GABUNG'!N16</f>
        <v>Angka Kematian Ternak kecil</v>
      </c>
      <c r="K8" s="147" t="str">
        <f>'matrik MISI GABUNG'!O16</f>
        <v>%</v>
      </c>
      <c r="L8" s="1050">
        <f>'matrik MISI GABUNG'!P16</f>
        <v>0.1</v>
      </c>
      <c r="M8" s="1050">
        <f>'matrik MISI GABUNG'!Q16</f>
        <v>0.1</v>
      </c>
      <c r="N8" s="1052">
        <f>'matrik MISI GABUNG'!V16</f>
        <v>0.1</v>
      </c>
      <c r="O8" s="147">
        <f>'matrik MISI GABUNG'!X16</f>
        <v>0</v>
      </c>
    </row>
    <row r="9" spans="2:15">
      <c r="B9" s="145"/>
      <c r="C9" s="145"/>
      <c r="D9" s="145"/>
      <c r="E9" s="146"/>
      <c r="F9" s="146"/>
      <c r="G9" s="1085"/>
      <c r="H9" s="146"/>
      <c r="I9" s="146"/>
      <c r="J9" s="147" t="str">
        <f>'matrik MISI GABUNG'!N17</f>
        <v>Angka Kematian Ternak besar</v>
      </c>
      <c r="K9" s="147" t="str">
        <f>'matrik MISI GABUNG'!O17</f>
        <v>%</v>
      </c>
      <c r="L9" s="1050">
        <f>'matrik MISI GABUNG'!P17</f>
        <v>0.1</v>
      </c>
      <c r="M9" s="1050">
        <f>'matrik MISI GABUNG'!Q17</f>
        <v>0.1</v>
      </c>
      <c r="N9" s="1052">
        <f>'matrik MISI GABUNG'!V17</f>
        <v>0.1</v>
      </c>
      <c r="O9" s="147">
        <f>'matrik MISI GABUNG'!X17</f>
        <v>0</v>
      </c>
    </row>
    <row r="10" spans="2:15" ht="51">
      <c r="B10" s="145"/>
      <c r="C10" s="145"/>
      <c r="D10" s="145"/>
      <c r="E10" s="143" t="str">
        <f>'matrik MISI GABUNG'!F18</f>
        <v>Meningkatnya produksi, produktivitas dan diversifikasi tanaman pertanian dan perkebunan</v>
      </c>
      <c r="F10" s="143" t="str">
        <f>'matrik MISI GABUNG'!G18</f>
        <v>Peningkatan Kualitas, Kuantitas, Kontinuitas, dan Diversifikasi Produk Pertanian, Perkebunan, dan Peternakan</v>
      </c>
      <c r="G10" s="1084" t="str">
        <f>'matrik MISI 1'!H13</f>
        <v xml:space="preserve">Pengembangan Teknologi dan Inovasi Pertanian </v>
      </c>
      <c r="H10" s="143" t="str">
        <f>'matrik MISI GABUNG'!I18</f>
        <v xml:space="preserve">Meningkatkan upaya intensifikasi dan diversifikasi budidaya tanaman pertanian dan perkebunan </v>
      </c>
      <c r="I10" s="143" t="str">
        <f>'matrik MISI GABUNG'!M19</f>
        <v>Program Peningkatan Produksi Pertanian/Perkebunan/peternakan</v>
      </c>
      <c r="J10" s="147" t="str">
        <f>'matrik MISI GABUNG'!N19</f>
        <v xml:space="preserve">Peningkatan produktifitas Padi </v>
      </c>
      <c r="K10" s="147" t="str">
        <f>'matrik MISI GABUNG'!O19</f>
        <v>Ton/Ha</v>
      </c>
      <c r="L10" s="1050" t="str">
        <f>'matrik MISI GABUNG'!P19</f>
        <v>6,15</v>
      </c>
      <c r="M10" s="1050">
        <f>'matrik MISI GABUNG'!Q19</f>
        <v>5.67</v>
      </c>
      <c r="N10" s="1052" t="str">
        <f>'matrik MISI GABUNG'!V19</f>
        <v>6,99</v>
      </c>
      <c r="O10" s="147" t="str">
        <f>'matrik MISI GABUNG'!X19</f>
        <v>DINTANBUNHUT</v>
      </c>
    </row>
    <row r="11" spans="2:15" ht="25.5">
      <c r="B11" s="145"/>
      <c r="C11" s="145"/>
      <c r="D11" s="145"/>
      <c r="E11" s="145"/>
      <c r="F11" s="145"/>
      <c r="G11" s="145"/>
      <c r="H11" s="145"/>
      <c r="I11" s="145"/>
      <c r="J11" s="147" t="str">
        <f>'matrik MISI GABUNG'!N20</f>
        <v>Peningkatan produktifitas Jagung</v>
      </c>
      <c r="K11" s="147" t="str">
        <f>'matrik MISI GABUNG'!O20</f>
        <v>Ton/Ha</v>
      </c>
      <c r="L11" s="1050" t="str">
        <f>'matrik MISI GABUNG'!P20</f>
        <v>5,6</v>
      </c>
      <c r="M11" s="1050" t="str">
        <f>'matrik MISI GABUNG'!Q20</f>
        <v>5,6</v>
      </c>
      <c r="N11" s="1052" t="str">
        <f>'matrik MISI GABUNG'!V20</f>
        <v>6,88</v>
      </c>
      <c r="O11" s="147" t="str">
        <f>'matrik MISI GABUNG'!X20</f>
        <v>DINTANBUNHUT</v>
      </c>
    </row>
    <row r="12" spans="2:15" ht="25.5">
      <c r="B12" s="145"/>
      <c r="C12" s="145"/>
      <c r="D12" s="145"/>
      <c r="E12" s="145"/>
      <c r="F12" s="145"/>
      <c r="G12" s="145"/>
      <c r="H12" s="145"/>
      <c r="I12" s="145"/>
      <c r="J12" s="147" t="str">
        <f>'matrik MISI GABUNG'!N24</f>
        <v>Peningkatan produktifitas Tembakau</v>
      </c>
      <c r="K12" s="147" t="str">
        <f>'matrik MISI GABUNG'!O24</f>
        <v>Ton/Ha</v>
      </c>
      <c r="L12" s="1050" t="str">
        <f>'matrik MISI GABUNG'!P24</f>
        <v>0,64</v>
      </c>
      <c r="M12" s="1050" t="str">
        <f>'matrik MISI GABUNG'!Q24</f>
        <v>0,64</v>
      </c>
      <c r="N12" s="1052" t="str">
        <f>'matrik MISI GABUNG'!V24</f>
        <v>0,79</v>
      </c>
      <c r="O12" s="147" t="str">
        <f>'matrik MISI GABUNG'!X24</f>
        <v>DINTANBUNHUT</v>
      </c>
    </row>
    <row r="13" spans="2:15" ht="25.5">
      <c r="B13" s="145"/>
      <c r="C13" s="145"/>
      <c r="D13" s="145"/>
      <c r="E13" s="145"/>
      <c r="F13" s="145"/>
      <c r="G13" s="145"/>
      <c r="H13" s="145"/>
      <c r="I13" s="145"/>
      <c r="J13" s="147" t="str">
        <f>'matrik MISI GABUNG'!N25</f>
        <v>Peningkatan produktifitas Kopi Robusta</v>
      </c>
      <c r="K13" s="147" t="str">
        <f>'matrik MISI GABUNG'!O25</f>
        <v>Ton/Ha</v>
      </c>
      <c r="L13" s="1050" t="str">
        <f>'matrik MISI GABUNG'!P25</f>
        <v>1,1</v>
      </c>
      <c r="M13" s="1050" t="str">
        <f>'matrik MISI GABUNG'!Q25</f>
        <v>0,91</v>
      </c>
      <c r="N13" s="1052" t="str">
        <f>'matrik MISI GABUNG'!V25</f>
        <v>1,10</v>
      </c>
      <c r="O13" s="147" t="str">
        <f>'matrik MISI GABUNG'!X25</f>
        <v>DINTANBUNHUT</v>
      </c>
    </row>
    <row r="14" spans="2:15" ht="25.5">
      <c r="B14" s="145"/>
      <c r="C14" s="145"/>
      <c r="D14" s="145"/>
      <c r="E14" s="146"/>
      <c r="F14" s="146"/>
      <c r="G14" s="1085"/>
      <c r="H14" s="146"/>
      <c r="I14" s="146"/>
      <c r="J14" s="147" t="str">
        <f>'matrik MISI GABUNG'!N26</f>
        <v>Peningkatan produktifitas Kopi Arabika</v>
      </c>
      <c r="K14" s="147" t="str">
        <f>'matrik MISI GABUNG'!O26</f>
        <v>Ton/Ha</v>
      </c>
      <c r="L14" s="1050" t="str">
        <f>'matrik MISI GABUNG'!P26</f>
        <v>0,95</v>
      </c>
      <c r="M14" s="1050" t="str">
        <f>'matrik MISI GABUNG'!Q26</f>
        <v>0,75</v>
      </c>
      <c r="N14" s="1052" t="str">
        <f>'matrik MISI GABUNG'!V26</f>
        <v>0,90</v>
      </c>
      <c r="O14" s="147" t="str">
        <f>'matrik MISI GABUNG'!X26</f>
        <v>DINTANBUNHUT</v>
      </c>
    </row>
    <row r="15" spans="2:15" ht="38.25">
      <c r="B15" s="145"/>
      <c r="C15" s="145"/>
      <c r="D15" s="145"/>
      <c r="E15" s="143" t="str">
        <f>'matrik MISI GABUNG'!F27</f>
        <v>Meningkatnya produktivitas ternak</v>
      </c>
      <c r="F15" s="143" t="str">
        <f>'matrik MISI GABUNG'!G27</f>
        <v>Peningkatan produktivitas ternak</v>
      </c>
      <c r="G15" s="1084" t="str">
        <f>'matrik MISI 1'!H17</f>
        <v>Mengembangkan intensifikasi, diversifikasi pertanian, Perkebunan dan peternakan</v>
      </c>
      <c r="H15" s="143" t="str">
        <f>'matrik MISI GABUNG'!I27</f>
        <v xml:space="preserve">Meningkatkan upaya intensifikasi dan diversifikasi produksi hasil peternakan </v>
      </c>
      <c r="I15" s="143" t="str">
        <f>'matrik MISI GABUNG'!M27</f>
        <v>Program Peningkatan Produksi Hasil peternakan</v>
      </c>
      <c r="J15" s="147" t="str">
        <f>'matrik MISI GABUNG'!N27</f>
        <v>Peningkatan Produktivitas daging Sapi</v>
      </c>
      <c r="K15" s="147" t="str">
        <f>'matrik MISI GABUNG'!O27</f>
        <v>Kg/Ekor</v>
      </c>
      <c r="L15" s="1050">
        <f>'matrik MISI GABUNG'!P27</f>
        <v>159</v>
      </c>
      <c r="M15" s="1050">
        <f>'matrik MISI GABUNG'!Q27</f>
        <v>160</v>
      </c>
      <c r="N15" s="1052" t="str">
        <f>'matrik MISI GABUNG'!V27</f>
        <v>176,65</v>
      </c>
      <c r="O15" s="147" t="str">
        <f>'matrik MISI GABUNG'!X27</f>
        <v>DINAKAN</v>
      </c>
    </row>
    <row r="16" spans="2:15" ht="25.5">
      <c r="B16" s="145"/>
      <c r="C16" s="145"/>
      <c r="D16" s="145"/>
      <c r="E16" s="145"/>
      <c r="F16" s="145"/>
      <c r="G16" s="145"/>
      <c r="H16" s="145"/>
      <c r="I16" s="145"/>
      <c r="J16" s="147" t="str">
        <f>'matrik MISI GABUNG'!N28</f>
        <v>Peningkatan Produktivitas daging Kambing</v>
      </c>
      <c r="K16" s="147" t="str">
        <f>'matrik MISI GABUNG'!O28</f>
        <v>Kg/Ekor</v>
      </c>
      <c r="L16" s="1050">
        <f>'matrik MISI GABUNG'!P28</f>
        <v>12.5</v>
      </c>
      <c r="M16" s="1050">
        <f>'matrik MISI GABUNG'!Q28</f>
        <v>13</v>
      </c>
      <c r="N16" s="1052" t="str">
        <f>'matrik MISI GABUNG'!V28</f>
        <v>13,66</v>
      </c>
      <c r="O16" s="147" t="str">
        <f>'matrik MISI GABUNG'!X28</f>
        <v>DINAKAN</v>
      </c>
    </row>
    <row r="17" spans="2:15" ht="25.5">
      <c r="B17" s="145"/>
      <c r="C17" s="145"/>
      <c r="D17" s="145"/>
      <c r="E17" s="145"/>
      <c r="F17" s="145"/>
      <c r="G17" s="145"/>
      <c r="H17" s="145"/>
      <c r="I17" s="145"/>
      <c r="J17" s="147" t="str">
        <f>'matrik MISI GABUNG'!N29</f>
        <v>Peningkatan Produktivitas daging Domba</v>
      </c>
      <c r="K17" s="147" t="str">
        <f>'matrik MISI GABUNG'!O29</f>
        <v>Kg/Ekor</v>
      </c>
      <c r="L17" s="1050">
        <f>'matrik MISI GABUNG'!P29</f>
        <v>12.5</v>
      </c>
      <c r="M17" s="1050">
        <f>'matrik MISI GABUNG'!Q29</f>
        <v>13</v>
      </c>
      <c r="N17" s="1052" t="str">
        <f>'matrik MISI GABUNG'!V29</f>
        <v>13,66</v>
      </c>
      <c r="O17" s="147" t="str">
        <f>'matrik MISI GABUNG'!X29</f>
        <v>DINAKAN</v>
      </c>
    </row>
    <row r="18" spans="2:15" ht="38.25">
      <c r="B18" s="145"/>
      <c r="C18" s="145"/>
      <c r="D18" s="145"/>
      <c r="E18" s="143" t="str">
        <f>'matrik MISI GABUNG'!F35</f>
        <v xml:space="preserve">Meningkatnya Penyelenggaraan Penyuluhan </v>
      </c>
      <c r="F18" s="143" t="str">
        <f>'matrik MISI GABUNG'!G35</f>
        <v xml:space="preserve">Peningkatan Penyelenggaraan Penyuluhan </v>
      </c>
      <c r="G18" s="1084" t="str">
        <f>'matrik MISI 1'!H34</f>
        <v>Pengembangan penyelenggaraan penyuluhanan</v>
      </c>
      <c r="H18" s="143" t="str">
        <f>'matrik MISI GABUNG'!I35</f>
        <v>Meningkatkan Penyelenggaraan Penyuluhan  dan pemberdayaan petani</v>
      </c>
      <c r="I18" s="143" t="str">
        <f>'matrik MISI GABUNG'!M36</f>
        <v>Program Pemberdayaan Penyuluh Pertanian, Perikanan dan Kehutanan</v>
      </c>
      <c r="J18" s="147" t="str">
        <f>'matrik MISI GABUNG'!N36</f>
        <v>Jumlah materi penyuluhan yang dipublikasikasi</v>
      </c>
      <c r="K18" s="147" t="str">
        <f>'matrik MISI GABUNG'!O36</f>
        <v>kali/tahun</v>
      </c>
      <c r="L18" s="1050">
        <f>'matrik MISI GABUNG'!P36</f>
        <v>0</v>
      </c>
      <c r="M18" s="1050">
        <f>'matrik MISI GABUNG'!Q36</f>
        <v>0</v>
      </c>
      <c r="N18" s="1052">
        <f>'matrik MISI GABUNG'!V36</f>
        <v>10</v>
      </c>
      <c r="O18" s="147" t="str">
        <f>'matrik MISI GABUNG'!X36</f>
        <v>BAPELUH</v>
      </c>
    </row>
    <row r="19" spans="2:15" ht="38.25">
      <c r="B19" s="145"/>
      <c r="C19" s="145"/>
      <c r="D19" s="145"/>
      <c r="E19" s="145"/>
      <c r="F19" s="145"/>
      <c r="G19" s="145"/>
      <c r="H19" s="145"/>
      <c r="J19" s="147" t="str">
        <f>'matrik MISI GABUNG'!N38</f>
        <v>Rasio jumlah kelompok tani maju dengan jumlah total kelompok tani kali 100 %</v>
      </c>
      <c r="K19" s="147" t="str">
        <f>'matrik MISI GABUNG'!O38</f>
        <v>%</v>
      </c>
      <c r="L19" s="1050">
        <f>'matrik MISI GABUNG'!P38</f>
        <v>7.1428571428571423</v>
      </c>
      <c r="M19" s="1050">
        <f>'matrik MISI GABUNG'!Q38</f>
        <v>7.1428571428571423</v>
      </c>
      <c r="N19" s="1052">
        <f>'matrik MISI GABUNG'!V38</f>
        <v>8.0519480519480524</v>
      </c>
      <c r="O19" s="147" t="str">
        <f>'matrik MISI GABUNG'!X38</f>
        <v>BAPELUH</v>
      </c>
    </row>
    <row r="20" spans="2:15" ht="63.75">
      <c r="B20" s="145"/>
      <c r="C20" s="145"/>
      <c r="D20" s="145"/>
      <c r="E20" s="143" t="str">
        <f>'matrik MISI GABUNG'!F42</f>
        <v>Meningkatnya Penyediaan Sarana dan Prasarana dan Insfrastruktur Pertanian, Perkebunan, dan Peternakan</v>
      </c>
      <c r="F20" s="143" t="str">
        <f>'matrik MISI GABUNG'!G42</f>
        <v>Peningkatan Penyediaan Sarana dan Prasarana dan Insfrastruktur Pertanian, Perkebunan, dan Peternakan</v>
      </c>
      <c r="G20" s="1084" t="str">
        <f>'matrik MISI 1'!H41</f>
        <v>Peningkatan Penyediaan Sarana dan Prasarana dan Insfrastruktur Pertanian, Perkebunan, dan Peternakan</v>
      </c>
      <c r="H20" s="143" t="str">
        <f>'matrik MISI GABUNG'!I42</f>
        <v>Meningkatkan Penyediaan Sarana Prasarana dan Insfrastruktur pendukung pertanian (jalan usaha tani dan pengelolaan embung)</v>
      </c>
      <c r="I20" s="143" t="str">
        <f>'matrik MISI GABUNG'!M43</f>
        <v>Program Peningkatan Produksi Pertanian/Perkebunan/peternakan</v>
      </c>
      <c r="J20" s="147" t="str">
        <f>'matrik MISI GABUNG'!N43</f>
        <v>Persentase meningkatnya pengelolaan kawasan embung</v>
      </c>
      <c r="K20" s="147" t="str">
        <f>'matrik MISI GABUNG'!O43</f>
        <v>%</v>
      </c>
      <c r="L20" s="1050">
        <f>'matrik MISI GABUNG'!P43</f>
        <v>17</v>
      </c>
      <c r="M20" s="1050">
        <f>'matrik MISI GABUNG'!Q43</f>
        <v>33</v>
      </c>
      <c r="N20" s="1052">
        <f>'matrik MISI GABUNG'!V43</f>
        <v>100</v>
      </c>
      <c r="O20" s="147" t="str">
        <f>'matrik MISI GABUNG'!X43</f>
        <v>DINTANBUNHUT</v>
      </c>
    </row>
    <row r="21" spans="2:15" ht="25.5">
      <c r="B21" s="145"/>
      <c r="C21" s="145"/>
      <c r="D21" s="145"/>
      <c r="E21" s="145"/>
      <c r="F21" s="145"/>
      <c r="G21" s="145"/>
      <c r="H21" s="145"/>
      <c r="I21" s="145"/>
      <c r="J21" s="147" t="str">
        <f>'matrik MISI GABUNG'!N44</f>
        <v>Besaran jumlah jaringan irigasi usaha tani terbangun</v>
      </c>
      <c r="K21" s="147" t="str">
        <f>'matrik MISI GABUNG'!O44</f>
        <v>unit</v>
      </c>
      <c r="L21" s="1050">
        <f>'matrik MISI GABUNG'!P44</f>
        <v>119</v>
      </c>
      <c r="M21" s="1050">
        <f>'matrik MISI GABUNG'!Q44</f>
        <v>219</v>
      </c>
      <c r="N21" s="1052">
        <f>'matrik MISI GABUNG'!V44</f>
        <v>469</v>
      </c>
      <c r="O21" s="147" t="str">
        <f>'matrik MISI GABUNG'!X44</f>
        <v>DINTANBUNHUT</v>
      </c>
    </row>
    <row r="22" spans="2:15" ht="51">
      <c r="B22" s="145"/>
      <c r="C22" s="145"/>
      <c r="D22" s="146"/>
      <c r="E22" s="147" t="str">
        <f>'matrik MISI GABUNG'!F46</f>
        <v>Meningkatnya Pengembangan Kawasan Agropolitan</v>
      </c>
      <c r="F22" s="147" t="str">
        <f>'matrik MISI GABUNG'!G46</f>
        <v>Peningkatan Pengembangan Kawasan Agropolitan</v>
      </c>
      <c r="G22" s="147" t="str">
        <f>'matrik MISI 1'!H45</f>
        <v>Pengembangan Agribisnis Berbasis Komoditas Unggulan Daerah</v>
      </c>
      <c r="H22" s="147" t="str">
        <f>'matrik MISI GABUNG'!I46</f>
        <v>Meningkatkan Pengembangan Kawasan Agropolitan dan pengelolaan kawasan agropolitas yang sudah terbentuk</v>
      </c>
      <c r="I22" s="147" t="str">
        <f>'matrik MISI GABUNG'!M47</f>
        <v>Program Pengembangan Agribisnis</v>
      </c>
      <c r="J22" s="147" t="str">
        <f>'matrik MISI GABUNG'!N47</f>
        <v>Persentase Perkembangan Kawasan Agropolitan</v>
      </c>
      <c r="K22" s="147" t="str">
        <f>'matrik MISI GABUNG'!O47</f>
        <v>%</v>
      </c>
      <c r="L22" s="1050">
        <f>'matrik MISI GABUNG'!P47</f>
        <v>50</v>
      </c>
      <c r="M22" s="1050">
        <f>'matrik MISI GABUNG'!Q47</f>
        <v>75</v>
      </c>
      <c r="N22" s="1052">
        <f>'matrik MISI GABUNG'!V47</f>
        <v>100</v>
      </c>
      <c r="O22" s="147" t="str">
        <f>'matrik MISI GABUNG'!X47</f>
        <v>DINTANBUNHUT</v>
      </c>
    </row>
    <row r="23" spans="2:15" ht="51">
      <c r="B23" s="145"/>
      <c r="C23" s="145"/>
      <c r="D23" s="143" t="str">
        <f>'matrik MISI GABUNG'!B48</f>
        <v>KELAUTAN DAN PERIKANAN</v>
      </c>
      <c r="E23" s="143" t="str">
        <f>'matrik MISI GABUNG'!F48</f>
        <v>Meningkatnya Penerapan Teknologi Perikanan</v>
      </c>
      <c r="F23" s="143" t="str">
        <f>'matrik MISI GABUNG'!G48</f>
        <v>Peningkatan Penerapan Teknologi Perikanan</v>
      </c>
      <c r="G23" s="1084" t="str">
        <f>'matrik MISI 1'!H47</f>
        <v>Pengembangan Teknologi dan Inovasi,  Perikanan</v>
      </c>
      <c r="H23" s="143" t="str">
        <f>'matrik MISI GABUNG'!I48</f>
        <v>Meningkatkan Penerapan Teknologi dan inovasi Perikanan khususnya penggunaan benih unggul ikan</v>
      </c>
      <c r="I23" s="147" t="str">
        <f>'matrik MISI GABUNG'!M49</f>
        <v>Program Pengembangan Budidaya Perikanan</v>
      </c>
      <c r="J23" s="147" t="str">
        <f>'matrik MISI GABUNG'!N49</f>
        <v xml:space="preserve">Penggunaan induk ikan unggul  </v>
      </c>
      <c r="K23" s="147" t="str">
        <f>'matrik MISI GABUNG'!O49</f>
        <v>%</v>
      </c>
      <c r="L23" s="1050">
        <f>'matrik MISI GABUNG'!P49</f>
        <v>10</v>
      </c>
      <c r="M23" s="1050">
        <f>'matrik MISI GABUNG'!Q49</f>
        <v>20</v>
      </c>
      <c r="N23" s="1052">
        <f>'matrik MISI GABUNG'!V49</f>
        <v>60</v>
      </c>
      <c r="O23" s="147" t="str">
        <f>'matrik MISI GABUNG'!X49</f>
        <v>DINAKAN</v>
      </c>
    </row>
    <row r="24" spans="2:15" ht="76.5">
      <c r="B24" s="145"/>
      <c r="C24" s="145"/>
      <c r="D24" s="145"/>
      <c r="E24" s="143" t="str">
        <f>'matrik MISI GABUNG'!F50</f>
        <v>Meningkatnya Kualitas, Kuantitas, Kontinuitas, dan Diversifikasi Produk Perikanan</v>
      </c>
      <c r="F24" s="143" t="str">
        <f>'matrik MISI GABUNG'!G50</f>
        <v>Peningkatan Kualitas, Kuantitas, Kontinuitas, dan Diversifikasi Produk Perikanan</v>
      </c>
      <c r="G24" s="1084" t="str">
        <f>'matrik MISI 1'!H49</f>
        <v>Mengembangkan intensifikasi, diversifikasi Produk perikanan</v>
      </c>
      <c r="H24" s="143" t="str">
        <f>'matrik MISI GABUNG'!I50</f>
        <v>Meningkatkan Kualitas, Kuantitas, Kontinuitas, dan Diversifikasi Produk olahan Perikanan yang didukung dengan pengembangan akses pemasaran produk perikanan</v>
      </c>
      <c r="I24" s="146" t="str">
        <f>'matrik MISI GABUNG'!M56</f>
        <v>Program Optimalisasi pengelolaan dan Pemasaran Produksi Perikanan</v>
      </c>
      <c r="J24" s="147" t="str">
        <f>'matrik MISI GABUNG'!N51</f>
        <v>Peningkatan produksi ikan konsumsi (kolam)</v>
      </c>
      <c r="K24" s="147" t="str">
        <f>'matrik MISI GABUNG'!O51</f>
        <v>Ekor</v>
      </c>
      <c r="L24" s="1050" t="str">
        <f>'matrik MISI GABUNG'!P51</f>
        <v xml:space="preserve">1.864,08 </v>
      </c>
      <c r="M24" s="1050" t="str">
        <f>'matrik MISI GABUNG'!Q51</f>
        <v xml:space="preserve">2.302,14 </v>
      </c>
      <c r="N24" s="1052">
        <f>'matrik MISI GABUNG'!V51</f>
        <v>6749.01</v>
      </c>
      <c r="O24" s="147" t="str">
        <f>'matrik MISI GABUNG'!X51</f>
        <v>DINAKAN</v>
      </c>
    </row>
    <row r="25" spans="2:15" ht="25.5">
      <c r="B25" s="145"/>
      <c r="C25" s="145"/>
      <c r="D25" s="145"/>
      <c r="E25" s="145"/>
      <c r="F25" s="145"/>
      <c r="G25" s="145"/>
      <c r="H25" s="145"/>
      <c r="I25" s="143" t="str">
        <f>'matrik MISI GABUNG'!M58</f>
        <v>Program Pengembangan Kawasan budidaya air tawar</v>
      </c>
      <c r="J25" s="147" t="str">
        <f>'matrik MISI GABUNG'!N52</f>
        <v>Peningkatan produksi mina padi</v>
      </c>
      <c r="K25" s="147" t="str">
        <f>'matrik MISI GABUNG'!O52</f>
        <v>Ekor</v>
      </c>
      <c r="L25" s="1050">
        <f>'matrik MISI GABUNG'!P52</f>
        <v>1152.26</v>
      </c>
      <c r="M25" s="1050">
        <f>'matrik MISI GABUNG'!Q52</f>
        <v>1423.99</v>
      </c>
      <c r="N25" s="1052">
        <f>'matrik MISI GABUNG'!V52</f>
        <v>4174.6000000000004</v>
      </c>
      <c r="O25" s="147" t="str">
        <f>'matrik MISI GABUNG'!X52</f>
        <v>DINAKAN</v>
      </c>
    </row>
    <row r="26" spans="2:15" ht="25.5">
      <c r="B26" s="145"/>
      <c r="C26" s="145"/>
      <c r="D26" s="145"/>
      <c r="E26" s="145"/>
      <c r="F26" s="145"/>
      <c r="G26" s="145"/>
      <c r="H26" s="145"/>
      <c r="I26" s="146"/>
      <c r="J26" s="147" t="str">
        <f>'matrik MISI GABUNG'!N58</f>
        <v>Peningkatan luas lahan budidaya ikan</v>
      </c>
      <c r="K26" s="147" t="str">
        <f>'matrik MISI GABUNG'!O58</f>
        <v>Ha</v>
      </c>
      <c r="L26" s="1050" t="str">
        <f>'matrik MISI GABUNG'!P58</f>
        <v xml:space="preserve">117,88 </v>
      </c>
      <c r="M26" s="1050" t="str">
        <f>'matrik MISI GABUNG'!Q58</f>
        <v xml:space="preserve">119,17 </v>
      </c>
      <c r="N26" s="1052" t="str">
        <f>'matrik MISI GABUNG'!V58</f>
        <v>125,07</v>
      </c>
      <c r="O26" s="147" t="str">
        <f>'matrik MISI GABUNG'!X58</f>
        <v>DINAKAN</v>
      </c>
    </row>
    <row r="27" spans="2:15" ht="76.5">
      <c r="B27" s="145"/>
      <c r="C27" s="145"/>
      <c r="D27" s="143" t="str">
        <f>'matrik MISI GABUNG'!B60</f>
        <v>KETAHANAN PANGAN</v>
      </c>
      <c r="E27" s="143" t="str">
        <f>'matrik MISI GABUNG'!F60</f>
        <v>Meningkatnya ketahanan pangan</v>
      </c>
      <c r="F27" s="143" t="str">
        <f>'matrik MISI GABUNG'!G60</f>
        <v>Peningkatan ketahanan pangan dari aspek ketersediaan,distribusi dan konsumsi  pangan</v>
      </c>
      <c r="G27" s="1084" t="str">
        <f>'matrik MISI 1'!H59</f>
        <v>Peningkatan ketersediaan dan cadangan pangan, distribusi dan akses pangan, diversifikasi konsumsi dan keamanan pangan, serta penanganan kerawanan pangan</v>
      </c>
      <c r="H27" s="143" t="str">
        <f>'matrik MISI GABUNG'!I60</f>
        <v>Meningkatkan ketersediaan dan cadangan pangan, distribusi dan akses pangan, diversifikasi konsumsi dan keamanan pangan, serta penanganan kerawanan pangan</v>
      </c>
      <c r="I27" s="143" t="str">
        <f>'matrik MISI GABUNG'!M61</f>
        <v>Program peningkatan ketahanan pangan</v>
      </c>
      <c r="J27" s="147" t="str">
        <f>'matrik MISI GABUNG'!N61</f>
        <v>Cakupan Ketersediaan Energi per Kapita</v>
      </c>
      <c r="K27" s="147" t="str">
        <f>'matrik MISI GABUNG'!O61</f>
        <v>kkal/kap/hr</v>
      </c>
      <c r="L27" s="1050">
        <f>'matrik MISI GABUNG'!P61</f>
        <v>2846.55</v>
      </c>
      <c r="M27" s="1050">
        <f>'matrik MISI GABUNG'!Q61</f>
        <v>2794.62</v>
      </c>
      <c r="N27" s="1052">
        <f>'matrik MISI GABUNG'!V61</f>
        <v>2980</v>
      </c>
      <c r="O27" s="147" t="str">
        <f>'matrik MISI GABUNG'!X61</f>
        <v>KKP</v>
      </c>
    </row>
    <row r="28" spans="2:15" ht="25.5">
      <c r="B28" s="145"/>
      <c r="C28" s="145"/>
      <c r="D28" s="145"/>
      <c r="E28" s="145"/>
      <c r="F28" s="145"/>
      <c r="G28" s="145"/>
      <c r="H28" s="145"/>
      <c r="I28" s="145"/>
      <c r="J28" s="147" t="str">
        <f>'matrik MISI GABUNG'!N62</f>
        <v>Cakupan Ketersediaan protein per Kapita</v>
      </c>
      <c r="K28" s="147" t="str">
        <f>'matrik MISI GABUNG'!O62</f>
        <v>gr/kap/hr</v>
      </c>
      <c r="L28" s="1050">
        <f>'matrik MISI GABUNG'!P62</f>
        <v>74.989999999999995</v>
      </c>
      <c r="M28" s="1050">
        <f>'matrik MISI GABUNG'!Q62</f>
        <v>70.88</v>
      </c>
      <c r="N28" s="1052" t="str">
        <f>'matrik MISI GABUNG'!V62</f>
        <v>75,99</v>
      </c>
      <c r="O28" s="147" t="str">
        <f>'matrik MISI GABUNG'!X62</f>
        <v>KKP</v>
      </c>
    </row>
    <row r="29" spans="2:15" ht="25.5">
      <c r="B29" s="145"/>
      <c r="C29" s="145"/>
      <c r="D29" s="145"/>
      <c r="E29" s="145"/>
      <c r="F29" s="145"/>
      <c r="G29" s="145"/>
      <c r="H29" s="145"/>
      <c r="I29" s="145"/>
      <c r="J29" s="147" t="str">
        <f>'matrik MISI GABUNG'!N63</f>
        <v>Peningkatan cadangan pangan masyarakat</v>
      </c>
      <c r="K29" s="147" t="str">
        <f>'matrik MISI GABUNG'!O63</f>
        <v>unit</v>
      </c>
      <c r="L29" s="1050">
        <f>'matrik MISI GABUNG'!P63</f>
        <v>29</v>
      </c>
      <c r="M29" s="1050">
        <f>'matrik MISI GABUNG'!Q63</f>
        <v>35</v>
      </c>
      <c r="N29" s="1052">
        <f>'matrik MISI GABUNG'!V63</f>
        <v>75</v>
      </c>
      <c r="O29" s="147" t="str">
        <f>'matrik MISI GABUNG'!X63</f>
        <v>KKP</v>
      </c>
    </row>
    <row r="30" spans="2:15" ht="25.5">
      <c r="B30" s="145"/>
      <c r="C30" s="145"/>
      <c r="D30" s="145"/>
      <c r="E30" s="145"/>
      <c r="F30" s="145"/>
      <c r="G30" s="145"/>
      <c r="H30" s="145"/>
      <c r="I30" s="145"/>
      <c r="J30" s="147" t="str">
        <f>'matrik MISI GABUNG'!N65</f>
        <v>Cakupan Penanganan Kerawanan Pangan</v>
      </c>
      <c r="K30" s="147" t="str">
        <f>'matrik MISI GABUNG'!O65</f>
        <v>%</v>
      </c>
      <c r="L30" s="1050">
        <f>'matrik MISI GABUNG'!P65</f>
        <v>50</v>
      </c>
      <c r="M30" s="1050">
        <f>'matrik MISI GABUNG'!Q65</f>
        <v>50</v>
      </c>
      <c r="N30" s="1052">
        <f>'matrik MISI GABUNG'!V65</f>
        <v>85</v>
      </c>
      <c r="O30" s="147" t="str">
        <f>'matrik MISI GABUNG'!X65</f>
        <v>KKP</v>
      </c>
    </row>
    <row r="31" spans="2:15">
      <c r="B31" s="145"/>
      <c r="C31" s="145"/>
      <c r="D31" s="145"/>
      <c r="E31" s="145"/>
      <c r="F31" s="145"/>
      <c r="G31" s="145"/>
      <c r="H31" s="145"/>
      <c r="I31" s="145"/>
      <c r="J31" s="147" t="str">
        <f>'matrik MISI GABUNG'!N68</f>
        <v>Besaran Desa Mandiri Pangan</v>
      </c>
      <c r="K31" s="147" t="str">
        <f>'matrik MISI GABUNG'!O68</f>
        <v>Desa</v>
      </c>
      <c r="L31" s="1050">
        <f>'matrik MISI GABUNG'!P68</f>
        <v>6</v>
      </c>
      <c r="M31" s="1050">
        <f>'matrik MISI GABUNG'!Q68</f>
        <v>8</v>
      </c>
      <c r="N31" s="1052">
        <f>'matrik MISI GABUNG'!V68</f>
        <v>10</v>
      </c>
      <c r="O31" s="147" t="str">
        <f>'matrik MISI GABUNG'!X68</f>
        <v>KKP</v>
      </c>
    </row>
    <row r="32" spans="2:15" ht="38.25">
      <c r="B32" s="145"/>
      <c r="C32" s="145"/>
      <c r="D32" s="143" t="str">
        <f>'matrik MISI GABUNG'!B71</f>
        <v>PARIWISATA</v>
      </c>
      <c r="E32" s="143" t="str">
        <f>'matrik MISI GABUNG'!F71</f>
        <v>Meningkatnya kunjungan wisatawan</v>
      </c>
      <c r="F32" s="143" t="str">
        <f>'matrik MISI GABUNG'!G71</f>
        <v>Peningkatan pengembangan destinasi, pemasaran dan kemitraan pariwisata</v>
      </c>
      <c r="G32" s="1084" t="str">
        <f>'matrik MISI 1'!H70</f>
        <v>Pengembangan Pariwisata berbasis pertanian</v>
      </c>
      <c r="H32" s="143" t="str">
        <f>'matrik MISI GABUNG'!I71</f>
        <v>Mengembangkan Kawasan Agrowisata</v>
      </c>
      <c r="I32" s="143" t="str">
        <f>'matrik MISI GABUNG'!M73</f>
        <v>Program Pengembangan Destinasi Wisata</v>
      </c>
      <c r="J32" s="147" t="str">
        <f>'matrik MISI GABUNG'!N72</f>
        <v xml:space="preserve">besaran Berkembangnya Kawasan wisata </v>
      </c>
      <c r="K32" s="147" t="str">
        <f>'matrik MISI GABUNG'!O72</f>
        <v>unit</v>
      </c>
      <c r="L32" s="1050">
        <f>'matrik MISI GABUNG'!P72</f>
        <v>8</v>
      </c>
      <c r="M32" s="1050">
        <f>'matrik MISI GABUNG'!Q72</f>
        <v>8</v>
      </c>
      <c r="N32" s="1052">
        <f>'matrik MISI GABUNG'!V72</f>
        <v>11</v>
      </c>
      <c r="O32" s="147" t="str">
        <f>'matrik MISI GABUNG'!X72</f>
        <v>DISBUDPARPORA</v>
      </c>
    </row>
    <row r="33" spans="2:15" ht="63.75">
      <c r="B33" s="145"/>
      <c r="C33" s="145"/>
      <c r="D33" s="145"/>
      <c r="E33" s="145"/>
      <c r="F33" s="145"/>
      <c r="G33" s="145"/>
      <c r="H33" s="143" t="str">
        <f>'matrik MISI GABUNG'!I73</f>
        <v>Meningkatkan pengelolaan sarana dan prasarana serta event pariwisata dengan pengembangan destinasi pariwisata dan kemitraan pariwisata</v>
      </c>
      <c r="I33" s="147" t="str">
        <f>'matrik MISI GABUNG'!M75</f>
        <v xml:space="preserve">Program Pengembangan Produk Wisata </v>
      </c>
      <c r="J33" s="147" t="str">
        <f>'matrik MISI GABUNG'!N74</f>
        <v>Persentase meningkatnya kunjungan wisatawan</v>
      </c>
      <c r="K33" s="147" t="str">
        <f>'matrik MISI GABUNG'!O74</f>
        <v>%</v>
      </c>
      <c r="L33" s="1050" t="str">
        <f>'matrik MISI GABUNG'!P74</f>
        <v>n.a</v>
      </c>
      <c r="M33" s="1050" t="str">
        <f>'matrik MISI GABUNG'!Q74</f>
        <v>n.a</v>
      </c>
      <c r="N33" s="1052">
        <f>'matrik MISI GABUNG'!V74</f>
        <v>30</v>
      </c>
      <c r="O33" s="147" t="str">
        <f>'matrik MISI GABUNG'!X74</f>
        <v>DISBUDPARPORA</v>
      </c>
    </row>
    <row r="34" spans="2:15" ht="63.75">
      <c r="B34" s="145"/>
      <c r="C34" s="145"/>
      <c r="D34" s="143" t="str">
        <f>'matrik MISI GABUNG'!B78</f>
        <v>PERINDUSTRIAN</v>
      </c>
      <c r="E34" s="147" t="str">
        <f>'matrik MISI GABUNG'!F78</f>
        <v>Meningkatnya Agroindustri yang Berbasis pada Komoditas Unggulan Daerah</v>
      </c>
      <c r="F34" s="147" t="str">
        <f>'matrik MISI GABUNG'!G78</f>
        <v>Peningkatan Agroindustri yang Berbasis pada Komoditas Unggulan Daerah</v>
      </c>
      <c r="G34" s="147" t="str">
        <f>'matrik MISI 1'!H77</f>
        <v>Pengembangan Industri berbasis pertanian</v>
      </c>
      <c r="H34" s="147" t="str">
        <f>'matrik MISI GABUNG'!I78</f>
        <v>Meningkatkan pengembangan Industri kecil dan UMKM yang berbasis pertanian dan komoditas unggulan daerah lainnya</v>
      </c>
      <c r="I34" s="143" t="str">
        <f>'matrik MISI GABUNG'!M79</f>
        <v>Program Industri Kecil dan Menengah</v>
      </c>
      <c r="J34" s="147" t="str">
        <f>'matrik MISI GABUNG'!N79</f>
        <v>Cakupan Meningkatnya prosentase Agroindustri yang Berbasis pada Komoditas Unggulan Daerah</v>
      </c>
      <c r="K34" s="147" t="str">
        <f>'matrik MISI GABUNG'!O79</f>
        <v>%</v>
      </c>
      <c r="L34" s="1050">
        <f>'matrik MISI GABUNG'!P79</f>
        <v>54.837478531900011</v>
      </c>
      <c r="M34" s="1050">
        <f>'matrik MISI GABUNG'!Q79</f>
        <v>54.837478531900011</v>
      </c>
      <c r="N34" s="1052">
        <f>'matrik MISI GABUNG'!V79</f>
        <v>55.600000000000009</v>
      </c>
      <c r="O34" s="147" t="str">
        <f>'matrik MISI GABUNG'!X79</f>
        <v>DISPERINDAGKOP DAN UMKM</v>
      </c>
    </row>
    <row r="35" spans="2:15" ht="51">
      <c r="B35" s="145"/>
      <c r="C35" s="145"/>
      <c r="D35" s="143" t="str">
        <f>'matrik MISI GABUNG'!B82</f>
        <v>PERDAGANGAN</v>
      </c>
      <c r="E35" s="143" t="str">
        <f>'matrik MISI GABUNG'!F82</f>
        <v>Meningkatnya Pengelolaan Sarana dan Prasarana Perdagangan</v>
      </c>
      <c r="F35" s="143" t="str">
        <f>'matrik MISI GABUNG'!G82</f>
        <v>Peningkatan Pengelolaan Sarana dan Prasarana Perdagangan</v>
      </c>
      <c r="G35" s="1084" t="str">
        <f>'matrik MISI 1'!H81</f>
        <v>Pengembangan Perdagangan Produk Pertanian</v>
      </c>
      <c r="H35" s="143" t="str">
        <f>'matrik MISI GABUNG'!I82</f>
        <v>Meningkatkan Pengelolaan dan pengembangan pasar daerah sebagai salah satu Sarana dan Prasarana Perdagangan</v>
      </c>
      <c r="I35" s="147" t="str">
        <f>'matrik MISI GABUNG'!M83</f>
        <v>Program Peningkatan Sarana dan Prasarana Lainnya</v>
      </c>
      <c r="J35" s="147" t="str">
        <f>'matrik MISI GABUNG'!N83</f>
        <v>Besaran meningkatnya  Sarana dan Prasarana Perdagangan</v>
      </c>
      <c r="K35" s="147" t="str">
        <f>'matrik MISI GABUNG'!O83</f>
        <v>unit</v>
      </c>
      <c r="L35" s="1050">
        <f>'matrik MISI GABUNG'!P83</f>
        <v>2</v>
      </c>
      <c r="M35" s="1050">
        <f>'matrik MISI GABUNG'!Q83</f>
        <v>2</v>
      </c>
      <c r="N35" s="1052">
        <f>'matrik MISI GABUNG'!V83</f>
        <v>1</v>
      </c>
      <c r="O35" s="147" t="str">
        <f>'matrik MISI GABUNG'!X83</f>
        <v>DISPERINDAGKOP DAN UMKM</v>
      </c>
    </row>
    <row r="36" spans="2:15" ht="51">
      <c r="B36" s="145"/>
      <c r="C36" s="145"/>
      <c r="D36" s="145"/>
      <c r="E36" s="143" t="str">
        <f>'matrik MISI GABUNG'!F89</f>
        <v>Meningkatnya Ketersediaan dan Jaminan Keamanan Produk yang Beredar (Perlindungan Konsumen)</v>
      </c>
      <c r="F36" s="143" t="str">
        <f>'matrik MISI GABUNG'!G89</f>
        <v>Peningkatan Ketersediaan dan Jaminan Keamanan Produk yang Beredar (Perlindungan Konsumen)</v>
      </c>
      <c r="G36" s="1084" t="str">
        <f>'matrik MISI 1'!H81</f>
        <v>Pengembangan Perdagangan Produk Pertanian</v>
      </c>
      <c r="H36" s="143" t="str">
        <f>'matrik MISI GABUNG'!I89</f>
        <v>Meningkatkan perlindungan atas konsumen dan sengketa konsumen terhadap produk yang beredar</v>
      </c>
      <c r="I36" s="143" t="str">
        <f>'matrik MISI GABUNG'!M90</f>
        <v>Perlindungan Konsumen</v>
      </c>
      <c r="J36" s="147" t="str">
        <f>'matrik MISI GABUNG'!N90</f>
        <v>Cakupan Meningkatnya Ketersediaan informasi harga bahan pokok dan bahan lainnya</v>
      </c>
      <c r="K36" s="147" t="str">
        <f>'matrik MISI GABUNG'!O90</f>
        <v>laporan</v>
      </c>
      <c r="L36" s="1050">
        <f>'matrik MISI GABUNG'!P90</f>
        <v>96</v>
      </c>
      <c r="M36" s="1050">
        <f>'matrik MISI GABUNG'!Q90</f>
        <v>96</v>
      </c>
      <c r="N36" s="1052">
        <f>'matrik MISI GABUNG'!V90</f>
        <v>96</v>
      </c>
      <c r="O36" s="147" t="str">
        <f>'matrik MISI GABUNG'!X90</f>
        <v>DISPERINDAGKOP DAN UMKM</v>
      </c>
    </row>
    <row r="37" spans="2:15" ht="25.5">
      <c r="B37" s="145"/>
      <c r="C37" s="145"/>
      <c r="D37" s="145"/>
      <c r="E37" s="145"/>
      <c r="F37" s="145"/>
      <c r="G37" s="145"/>
      <c r="H37" s="145"/>
      <c r="I37" s="145"/>
      <c r="J37" s="147" t="str">
        <f>'matrik MISI GABUNG'!N91</f>
        <v>Cakupan Meningkatnya Jaminan Keamanan Produk yang Beredar</v>
      </c>
      <c r="K37" s="147" t="str">
        <f>'matrik MISI GABUNG'!O91</f>
        <v>produk</v>
      </c>
      <c r="L37" s="1050">
        <f>'matrik MISI GABUNG'!P91</f>
        <v>14</v>
      </c>
      <c r="M37" s="1050">
        <f>'matrik MISI GABUNG'!Q91</f>
        <v>10</v>
      </c>
      <c r="N37" s="1052">
        <f>'matrik MISI GABUNG'!V91</f>
        <v>2</v>
      </c>
      <c r="O37" s="147" t="str">
        <f>'matrik MISI GABUNG'!X91</f>
        <v>DISPERINDAGKOP DAN UMKM</v>
      </c>
    </row>
    <row r="38" spans="2:15" ht="38.25">
      <c r="B38" s="145"/>
      <c r="C38" s="145"/>
      <c r="D38" s="143" t="str">
        <f>'matrik MISI GABUNG'!B94</f>
        <v>KOPERASI DAN UMKM</v>
      </c>
      <c r="E38" s="143" t="str">
        <f>'matrik MISI GABUNG'!F95</f>
        <v>Meningkatnya Peran Sektor Jasa, Kelembagaan Koperasi dan UMKM</v>
      </c>
      <c r="F38" s="143" t="str">
        <f>'matrik MISI GABUNG'!G95</f>
        <v>Peningkatan Peran Sektor Jasa, Kelembagaan Koperasi dan UMKM</v>
      </c>
      <c r="G38" s="1084" t="str">
        <f>'matrik MISI 1'!H94</f>
        <v>Pengembangan sektor Jasa, Kelembagaan Koperasi dan UMKM</v>
      </c>
      <c r="H38" s="143" t="str">
        <f>'matrik MISI GABUNG'!I95</f>
        <v xml:space="preserve">Meningkatkan Kualitas kelembagaan koperasi </v>
      </c>
      <c r="I38" s="143" t="str">
        <f>'matrik MISI GABUNG'!M96</f>
        <v>Peningkatan kualitas kelembagaan koperasi</v>
      </c>
      <c r="J38" s="147" t="str">
        <f>'matrik MISI GABUNG'!N96</f>
        <v>prosentase jumlah koperasi aktif</v>
      </c>
      <c r="K38" s="147" t="str">
        <f>'matrik MISI GABUNG'!O96</f>
        <v>%</v>
      </c>
      <c r="L38" s="1050">
        <f>'matrik MISI GABUNG'!P96</f>
        <v>79.132231404958674</v>
      </c>
      <c r="M38" s="1050">
        <f>'matrik MISI GABUNG'!Q96</f>
        <v>83.471074380165291</v>
      </c>
      <c r="N38" s="1052">
        <f>'matrik MISI GABUNG'!V96</f>
        <v>90.702479338842977</v>
      </c>
      <c r="O38" s="147" t="str">
        <f>'matrik MISI GABUNG'!X96</f>
        <v>DISPERIDAGKOP DAN UMKM</v>
      </c>
    </row>
    <row r="39" spans="2:15" ht="89.25">
      <c r="B39" s="145"/>
      <c r="C39" s="145"/>
      <c r="D39" s="145"/>
      <c r="E39" s="143" t="str">
        <f>'matrik MISI GABUNG'!F99</f>
        <v>Menguatnya Kapasitas dan Kapabilitas Pelaku UMKM</v>
      </c>
      <c r="F39" s="143" t="str">
        <f>'matrik MISI GABUNG'!G99</f>
        <v>Penguatan Kapasitas dan Kapabilitas Pelaku UMKM</v>
      </c>
      <c r="G39" s="1084" t="str">
        <f>'matrik MISI 1'!H94</f>
        <v>Pengembangan sektor Jasa, Kelembagaan Koperasi dan UMKM</v>
      </c>
      <c r="H39" s="143" t="str">
        <f>'matrik MISI GABUNG'!I99</f>
        <v>Meningkatkan Kapasitas dan Kapabilitas Pelaku UMKM melalui pengembangan kewirausahaan dan pengembangan keunggulan kompetitif yang dimiliki UMKM/UKM</v>
      </c>
      <c r="I39" s="143" t="str">
        <f>'matrik MISI GABUNG'!M100</f>
        <v>Program Pengembangan kewirausahaan dan keunggulan kompetitif UKM</v>
      </c>
      <c r="J39" s="147" t="str">
        <f>'matrik MISI GABUNG'!N100</f>
        <v>Cakupan meningkatnya tertatanya LKM sesuai dengan ketentuan perundang-undangan</v>
      </c>
      <c r="K39" s="147" t="str">
        <f>'matrik MISI GABUNG'!O100</f>
        <v>%</v>
      </c>
      <c r="L39" s="1050" t="str">
        <f>'matrik MISI GABUNG'!P100</f>
        <v xml:space="preserve"> - </v>
      </c>
      <c r="M39" s="1050" t="str">
        <f>'matrik MISI GABUNG'!Q100</f>
        <v xml:space="preserve"> - </v>
      </c>
      <c r="N39" s="1052" t="str">
        <f>'matrik MISI GABUNG'!V100</f>
        <v xml:space="preserve"> - </v>
      </c>
      <c r="O39" s="147" t="str">
        <f>'matrik MISI GABUNG'!X100</f>
        <v>DISPERINDAGKOP DAN UMKM</v>
      </c>
    </row>
    <row r="40" spans="2:15" ht="25.5">
      <c r="B40" s="145"/>
      <c r="C40" s="145"/>
      <c r="D40" s="143" t="str">
        <f>'matrik MISI GABUNG'!B103</f>
        <v>KEHUTANAN</v>
      </c>
      <c r="E40" s="147" t="str">
        <f>'matrik MISI GABUNG'!F103</f>
        <v>Meningkatnya Rehabilitasi Lahan dan Konservasi Tanah</v>
      </c>
      <c r="F40" s="147" t="str">
        <f>'matrik MISI GABUNG'!G103</f>
        <v>Peningkatan Rehabilitasi Lahan dan Konservasi Tanah</v>
      </c>
      <c r="G40" s="147" t="str">
        <f>'matrik MISI 1'!H104</f>
        <v>Mengembangkan Pertanian yang Berwawasan Lingkungan</v>
      </c>
      <c r="H40" s="147" t="str">
        <f>'matrik MISI GABUNG'!I103</f>
        <v>Meningkatkan Rehabilitasi Lahan Kritis dan Konservasi Tanah</v>
      </c>
      <c r="I40" s="147" t="str">
        <f>'matrik MISI GABUNG'!M104</f>
        <v>Program Rehabilitasi Hutan dan Lahan</v>
      </c>
      <c r="J40" s="147" t="str">
        <f>'matrik MISI GABUNG'!N104</f>
        <v xml:space="preserve">Besaran Penurunan Lahan kritis </v>
      </c>
      <c r="K40" s="147" t="str">
        <f>'matrik MISI GABUNG'!O104</f>
        <v>Ha</v>
      </c>
      <c r="L40" s="1050">
        <f>'matrik MISI GABUNG'!P104</f>
        <v>18619</v>
      </c>
      <c r="M40" s="1050">
        <f>'matrik MISI GABUNG'!Q104</f>
        <v>26581</v>
      </c>
      <c r="N40" s="1052">
        <f>'matrik MISI GABUNG'!V104</f>
        <v>11581</v>
      </c>
      <c r="O40" s="147" t="str">
        <f>'matrik MISI GABUNG'!X104</f>
        <v>DINTANBUNHUT</v>
      </c>
    </row>
    <row r="41" spans="2:15" s="923" customFormat="1">
      <c r="L41" s="1051"/>
      <c r="M41" s="1051"/>
      <c r="N41" s="1055"/>
    </row>
    <row r="42" spans="2:15" ht="63.75">
      <c r="B42" s="957">
        <v>2</v>
      </c>
      <c r="C42" s="957" t="str">
        <f>'visi misi'!A7</f>
        <v>Mewujudkan Peningkatan Kehidupan Masyarakat Perdesaan dan Perkotaan yang Agamis, Berbudaya, dan Sejahtera</v>
      </c>
      <c r="D42" s="143" t="str">
        <f>'matrik MISI GABUNG'!B110</f>
        <v>SOSIAL</v>
      </c>
      <c r="E42" s="143" t="str">
        <f>'matrik MISI GABUNG'!F110</f>
        <v>Meningkatnya Penanganan Penyandang Masalah Kesejahteraan Sosial ( PMKS )</v>
      </c>
      <c r="F42" s="143" t="str">
        <f>'matrik MISI GABUNG'!G110</f>
        <v>Peningkatan Penanganan Penyandang Masalah Kesejahteraan Sosial ( PMKS )</v>
      </c>
      <c r="G42" s="1084" t="str">
        <f>'matrik MISI 2'!H6</f>
        <v>Mewujudkan Kesejahteraan Sosial Masyarakat</v>
      </c>
      <c r="H42" s="143" t="str">
        <f>'matrik MISI GABUNG'!I110</f>
        <v>Meningkatkan penanganan pada PMKS dan peningkatan penanganan RTLH</v>
      </c>
      <c r="I42" s="147" t="str">
        <f>'matrik MISI GABUNG'!M111</f>
        <v xml:space="preserve">Program Pelayanan dan Rehabilitasi Kesejahteraan Sosial                                  </v>
      </c>
      <c r="J42" s="147" t="str">
        <f>'matrik MISI GABUNG'!N111</f>
        <v>Persentase PMKS yang Memperoleh Bantuan Sosial untuk Pemenuhan Kebutuhan Dasar</v>
      </c>
      <c r="K42" s="147" t="str">
        <f>'matrik MISI GABUNG'!O111</f>
        <v>%</v>
      </c>
      <c r="L42" s="1050">
        <f>'matrik MISI GABUNG'!P111</f>
        <v>18</v>
      </c>
      <c r="M42" s="1050">
        <f>'matrik MISI GABUNG'!Q111</f>
        <v>18</v>
      </c>
      <c r="N42" s="1052">
        <f>'matrik MISI GABUNG'!V111</f>
        <v>18</v>
      </c>
      <c r="O42" s="147" t="str">
        <f>'matrik MISI GABUNG'!X111</f>
        <v>Dinas Sosial</v>
      </c>
    </row>
    <row r="43" spans="2:15" ht="38.25">
      <c r="B43" s="145"/>
      <c r="C43" s="145"/>
      <c r="D43" s="145"/>
      <c r="E43" s="145"/>
      <c r="F43" s="145"/>
      <c r="G43" s="145"/>
      <c r="H43" s="145"/>
      <c r="I43" s="147" t="str">
        <f>'matrik MISI GABUNG'!M118</f>
        <v>Program Pelayanan dan Rehabilitasi Kesejahteraan Sosial</v>
      </c>
      <c r="J43" s="147" t="str">
        <f>'matrik MISI GABUNG'!N118</f>
        <v xml:space="preserve">Cakupan Bantuan Rumah Tidak Layak Huni </v>
      </c>
      <c r="K43" s="147" t="str">
        <f>'matrik MISI GABUNG'!O118</f>
        <v>%</v>
      </c>
      <c r="L43" s="1050" t="str">
        <f>'matrik MISI GABUNG'!P118</f>
        <v>4,32</v>
      </c>
      <c r="M43" s="1050" t="str">
        <f>'matrik MISI GABUNG'!Q118</f>
        <v>4,34</v>
      </c>
      <c r="N43" s="1052" t="str">
        <f>'matrik MISI GABUNG'!V118</f>
        <v>24,34</v>
      </c>
      <c r="O43" s="147" t="str">
        <f>'matrik MISI GABUNG'!X118</f>
        <v>Dinas Sosial</v>
      </c>
    </row>
    <row r="44" spans="2:15" ht="76.5">
      <c r="B44" s="145"/>
      <c r="C44" s="145"/>
      <c r="D44" s="145"/>
      <c r="E44" s="143" t="str">
        <f>'matrik MISI GABUNG'!F119</f>
        <v>Meningkatkan Potensi Sumber Kesejahteraan Sosial</v>
      </c>
      <c r="F44" s="143" t="str">
        <f>'matrik MISI GABUNG'!G119</f>
        <v xml:space="preserve">Peningkatan Potensi Sumber Kesejahteraan Sosial </v>
      </c>
      <c r="G44" s="1084" t="str">
        <f>'matrik MISI 2'!H15</f>
        <v>Mewujudkan Kesejahteraan Sosial Masyarakat</v>
      </c>
      <c r="H44" s="143" t="str">
        <f>'matrik MISI GABUNG'!I119</f>
        <v>Meningkatkan Potensi Sumber Kesejahteraan Sosial yang berupa peningkatan lembaga sosial, CSR Sosial, dan organisasi sosial lainnya dalam menangani PMKS</v>
      </c>
      <c r="I44" s="147" t="str">
        <f>'matrik MISI GABUNG'!M120</f>
        <v>Program Pelayanan dan Rehabilitasi Kesejahteraan Sosial</v>
      </c>
      <c r="J44" s="147" t="str">
        <f>'matrik MISI GABUNG'!N120</f>
        <v>Cakupan Lembaga Kesejahteraan sosial/panti sosial yang menyediakan sarana dan prasarana pelayanan kesejahteraan sosial</v>
      </c>
      <c r="K44" s="147">
        <f>'matrik MISI GABUNG'!O120</f>
        <v>0</v>
      </c>
      <c r="L44" s="1050">
        <f>'matrik MISI GABUNG'!P120</f>
        <v>100</v>
      </c>
      <c r="M44" s="1050">
        <f>'matrik MISI GABUNG'!Q120</f>
        <v>100</v>
      </c>
      <c r="N44" s="1052">
        <f>'matrik MISI GABUNG'!V120</f>
        <v>100</v>
      </c>
      <c r="O44" s="147" t="str">
        <f>'matrik MISI GABUNG'!X120</f>
        <v>Dinas Sosial</v>
      </c>
    </row>
    <row r="45" spans="2:15" ht="38.25">
      <c r="B45" s="145"/>
      <c r="C45" s="145"/>
      <c r="D45" s="145"/>
      <c r="E45" s="143" t="str">
        <f>'matrik MISI GABUNG'!F127</f>
        <v>Meningkatnya Pencegahan, Penanggulangan, dan Penanganan Bencana</v>
      </c>
      <c r="F45" s="143" t="str">
        <f>'matrik MISI GABUNG'!G127</f>
        <v>Peningkatan Pencegahan, Penanggulangan, dan Penanganan Bencana</v>
      </c>
      <c r="G45" s="1084" t="str">
        <f>'matrik MISI 2'!H23</f>
        <v>Mewujudkan kesejahteraan sosial masyarakat</v>
      </c>
      <c r="H45" s="143" t="str">
        <f>'matrik MISI GABUNG'!I127</f>
        <v>Meningkatkan upaya penanganan terhadap bencana alam</v>
      </c>
      <c r="I45" s="147" t="str">
        <f>'matrik MISI GABUNG'!M128</f>
        <v xml:space="preserve">program pencegahan dan kesiapsiagaan </v>
      </c>
      <c r="J45" s="1234" t="str">
        <f>'matrik MISI GABUNG'!N129</f>
        <v>Persentase Tertanganinya Kerusakan Fisik Akibat Bencana Melalui Rehabilitasi dan Rekonstruksi Pasca Bencana dalam Waktu 1(satu) Tahun</v>
      </c>
      <c r="K45" s="147"/>
      <c r="L45" s="1050"/>
      <c r="M45" s="1050"/>
      <c r="N45" s="1052"/>
      <c r="O45" s="147"/>
    </row>
    <row r="46" spans="2:15" ht="25.5">
      <c r="B46" s="145"/>
      <c r="C46" s="145"/>
      <c r="D46" s="145"/>
      <c r="E46" s="145"/>
      <c r="F46" s="145"/>
      <c r="G46" s="145"/>
      <c r="H46" s="145"/>
      <c r="I46" s="147" t="str">
        <f>'matrik MISI GABUNG'!M129</f>
        <v>program tanggap darurat dan logistik</v>
      </c>
      <c r="J46" s="1235"/>
      <c r="K46" s="147" t="str">
        <f>'matrik MISI GABUNG'!O129</f>
        <v>%</v>
      </c>
      <c r="L46" s="1050">
        <f>'matrik MISI GABUNG'!P129</f>
        <v>100</v>
      </c>
      <c r="M46" s="1050">
        <f>'matrik MISI GABUNG'!Q129</f>
        <v>100</v>
      </c>
      <c r="N46" s="1052">
        <f>'matrik MISI GABUNG'!V129</f>
        <v>100</v>
      </c>
      <c r="O46" s="147" t="str">
        <f>'matrik MISI GABUNG'!X129</f>
        <v>DPU</v>
      </c>
    </row>
    <row r="47" spans="2:15" ht="76.5">
      <c r="B47" s="145"/>
      <c r="C47" s="145"/>
      <c r="D47" s="143" t="str">
        <f>'matrik MISI GABUNG'!B133</f>
        <v>KETENAGAKERJAAN</v>
      </c>
      <c r="E47" s="143" t="str">
        <f>'matrik MISI GABUNG'!F133</f>
        <v>Meningkatnya Kualitas dan Produktifitas Tenaga Kerja</v>
      </c>
      <c r="F47" s="143" t="str">
        <f>'matrik MISI GABUNG'!G133</f>
        <v>Peningkatan Kualitas dan Produktifitas Tenaga Kerja</v>
      </c>
      <c r="G47" s="1084" t="str">
        <f>'matrik MISI 2'!H29</f>
        <v>Mewujudkan kesejahteraan sosial masyarakat</v>
      </c>
      <c r="H47" s="143" t="str">
        <f>'matrik MISI GABUNG'!I133</f>
        <v>Meningkatkan Kualitas dan Produktifitas Tenaga Kerja melalui pelatihan yang berbasis kompetensi, pelatihan berbasis masyarakat, dan berbasis kewirausahaan</v>
      </c>
      <c r="I47" s="147" t="str">
        <f>'matrik MISI GABUNG'!M134</f>
        <v>Program Peningkatan Kualitas dan Produktivitas Tenaga Kerja</v>
      </c>
      <c r="J47" s="147" t="str">
        <f>'matrik MISI GABUNG'!N134</f>
        <v>Persentase Tenaga Kerja yang Mendapatkan Pelatihan Berbasis Kompetensi</v>
      </c>
      <c r="K47" s="147" t="str">
        <f>'matrik MISI GABUNG'!O134</f>
        <v>%</v>
      </c>
      <c r="L47" s="1050">
        <f>'matrik MISI GABUNG'!P134</f>
        <v>80</v>
      </c>
      <c r="M47" s="1050">
        <f>'matrik MISI GABUNG'!Q134</f>
        <v>80</v>
      </c>
      <c r="N47" s="1052">
        <f>'matrik MISI GABUNG'!V134</f>
        <v>80</v>
      </c>
      <c r="O47" s="147" t="str">
        <f>'matrik MISI GABUNG'!X134</f>
        <v>Disnakertran</v>
      </c>
    </row>
    <row r="48" spans="2:15" ht="38.25">
      <c r="B48" s="145"/>
      <c r="C48" s="145"/>
      <c r="D48" s="145"/>
      <c r="E48" s="145"/>
      <c r="F48" s="145"/>
      <c r="G48" s="145"/>
      <c r="H48" s="145"/>
      <c r="I48" s="147" t="str">
        <f>'matrik MISI GABUNG'!M135</f>
        <v>Program Peningkatan Kualitas dan Produktivitas Tenaga Kerja</v>
      </c>
      <c r="J48" s="147" t="str">
        <f>'matrik MISI GABUNG'!N135</f>
        <v>Persentase Tenaga Kerja yang Mendapatkan Pelatihan Berbasis Masyarakat</v>
      </c>
      <c r="K48" s="147" t="str">
        <f>'matrik MISI GABUNG'!O135</f>
        <v>%</v>
      </c>
      <c r="L48" s="1050" t="str">
        <f>'matrik MISI GABUNG'!P135</f>
        <v xml:space="preserve"> - </v>
      </c>
      <c r="M48" s="1050" t="str">
        <f>'matrik MISI GABUNG'!Q135</f>
        <v xml:space="preserve"> - </v>
      </c>
      <c r="N48" s="1052">
        <f>'matrik MISI GABUNG'!V135</f>
        <v>95</v>
      </c>
      <c r="O48" s="147" t="str">
        <f>'matrik MISI GABUNG'!X135</f>
        <v>Disnakertran</v>
      </c>
    </row>
    <row r="49" spans="2:15" ht="38.25">
      <c r="B49" s="145"/>
      <c r="C49" s="145"/>
      <c r="D49" s="145"/>
      <c r="E49" s="145"/>
      <c r="F49" s="145"/>
      <c r="G49" s="145"/>
      <c r="H49" s="145"/>
      <c r="I49" s="147" t="str">
        <f>'matrik MISI GABUNG'!M136</f>
        <v>Program Peningkatan Kualitas dan Produktivitas Tenaga Kerja</v>
      </c>
      <c r="J49" s="147" t="str">
        <f>'matrik MISI GABUNG'!N136</f>
        <v>Persentase Tenaga Kerja yang Mendapatkan Pelatihan Berbasis Kewirausahaan</v>
      </c>
      <c r="K49" s="147" t="str">
        <f>'matrik MISI GABUNG'!O136</f>
        <v>%</v>
      </c>
      <c r="L49" s="1050" t="str">
        <f>'matrik MISI GABUNG'!P136</f>
        <v xml:space="preserve"> - </v>
      </c>
      <c r="M49" s="1050">
        <f>'matrik MISI GABUNG'!Q136</f>
        <v>80</v>
      </c>
      <c r="N49" s="1052">
        <f>'matrik MISI GABUNG'!V136</f>
        <v>80</v>
      </c>
      <c r="O49" s="147" t="str">
        <f>'matrik MISI GABUNG'!X136</f>
        <v>Disnakertran</v>
      </c>
    </row>
    <row r="50" spans="2:15" ht="63.75">
      <c r="B50" s="145"/>
      <c r="C50" s="145"/>
      <c r="D50" s="145"/>
      <c r="E50" s="143" t="str">
        <f>'matrik MISI GABUNG'!F137</f>
        <v>Meningkatknya Kesempatan Kerja dan Menurunkan Tingkat Pengangguran</v>
      </c>
      <c r="F50" s="143" t="str">
        <f>'matrik MISI GABUNG'!G137</f>
        <v>Peningkatan Kesempatan Kerja dan Menurunkan Tingkat Pengangguran</v>
      </c>
      <c r="G50" s="1084" t="str">
        <f>'matrik MISI 2'!H33</f>
        <v>Mewujudkan kesejahteraan sosial masyarakat</v>
      </c>
      <c r="H50" s="143" t="str">
        <f>'matrik MISI GABUNG'!I137</f>
        <v>Meningkatkan Kesempatan Kerja dan Menurunkan Tingkat Pengangguran melalui upaya peningkatan penempatan pencari kerja</v>
      </c>
      <c r="I50" s="147" t="str">
        <f>'matrik MISI GABUNG'!M138</f>
        <v>Program Peningkatan Kesempatan Kerja</v>
      </c>
      <c r="J50" s="147" t="str">
        <f>'matrik MISI GABUNG'!N138</f>
        <v>Persentase Pencari Kerja Terdaftar yang ditempatkan Kerja</v>
      </c>
      <c r="K50" s="147" t="str">
        <f>'matrik MISI GABUNG'!O138</f>
        <v>%</v>
      </c>
      <c r="L50" s="1050">
        <f>'matrik MISI GABUNG'!P138</f>
        <v>63</v>
      </c>
      <c r="M50" s="1050">
        <f>'matrik MISI GABUNG'!Q138</f>
        <v>21</v>
      </c>
      <c r="N50" s="1052">
        <f>'matrik MISI GABUNG'!V138</f>
        <v>75</v>
      </c>
      <c r="O50" s="147" t="str">
        <f>'matrik MISI GABUNG'!X138</f>
        <v>Disnakertran</v>
      </c>
    </row>
    <row r="51" spans="2:15" ht="38.25">
      <c r="B51" s="145"/>
      <c r="C51" s="145"/>
      <c r="D51" s="145"/>
      <c r="E51" s="143" t="str">
        <f>'matrik MISI GABUNG'!F142</f>
        <v xml:space="preserve">Meningkatnya Perlindungan Tenaga Kerja dan Pengembangan Lembaga </v>
      </c>
      <c r="F51" s="143" t="str">
        <f>'matrik MISI GABUNG'!G142</f>
        <v xml:space="preserve">Peningkatan Perlindungan Tenaga Kerja dan Pengembangan Lembaga </v>
      </c>
      <c r="G51" s="1084" t="str">
        <f>'matrik MISI 2'!H38</f>
        <v>Mewujudkan kesejahteraan sosial masyarakat</v>
      </c>
      <c r="H51" s="143" t="str">
        <f>'matrik MISI GABUNG'!I142</f>
        <v xml:space="preserve">Meningkatkan Perlindungan Tenaga Kerja </v>
      </c>
      <c r="I51" s="147" t="str">
        <f>'matrik MISI GABUNG'!M143</f>
        <v>Program Perlindungan dan Pengembangan Lembaga Ketenagakerjaan</v>
      </c>
      <c r="J51" s="147" t="str">
        <f>'matrik MISI GABUNG'!N143</f>
        <v>Besaran Pemeriksaan Perusahaan</v>
      </c>
      <c r="K51" s="147" t="str">
        <f>'matrik MISI GABUNG'!O143</f>
        <v>%</v>
      </c>
      <c r="L51" s="1050">
        <f>'matrik MISI GABUNG'!P143</f>
        <v>9.3000000000000007</v>
      </c>
      <c r="M51" s="1050">
        <f>'matrik MISI GABUNG'!Q143</f>
        <v>9.3000000000000007</v>
      </c>
      <c r="N51" s="1052">
        <f>'matrik MISI GABUNG'!V143</f>
        <v>19.399999999999999</v>
      </c>
      <c r="O51" s="147" t="str">
        <f>'matrik MISI GABUNG'!X143</f>
        <v>Disnakertran</v>
      </c>
    </row>
    <row r="52" spans="2:15" ht="38.25">
      <c r="B52" s="145"/>
      <c r="C52" s="145"/>
      <c r="D52" s="145"/>
      <c r="E52" s="145"/>
      <c r="F52" s="145"/>
      <c r="G52" s="145"/>
      <c r="H52" s="145"/>
      <c r="I52" s="147" t="str">
        <f>'matrik MISI GABUNG'!M144</f>
        <v>Program Perlindungan dan Pengembangan Lembaga Ketenagakerjaan</v>
      </c>
      <c r="J52" s="147" t="str">
        <f>'matrik MISI GABUNG'!N144</f>
        <v>Cakupan Pekerja atau Buruh yang Menjadi peserta Program Jamsostek/Program Sejenis</v>
      </c>
      <c r="K52" s="147" t="str">
        <f>'matrik MISI GABUNG'!O144</f>
        <v>%</v>
      </c>
      <c r="L52" s="1050" t="str">
        <f>'matrik MISI GABUNG'!P144</f>
        <v xml:space="preserve"> - </v>
      </c>
      <c r="M52" s="1050">
        <f>'matrik MISI GABUNG'!Q144</f>
        <v>62.4</v>
      </c>
      <c r="N52" s="1052">
        <f>'matrik MISI GABUNG'!V144</f>
        <v>100</v>
      </c>
      <c r="O52" s="147" t="str">
        <f>'matrik MISI GABUNG'!X144</f>
        <v>Disnakertran</v>
      </c>
    </row>
    <row r="53" spans="2:15" ht="76.5">
      <c r="B53" s="145"/>
      <c r="C53" s="145"/>
      <c r="D53" s="143" t="str">
        <f>'matrik MISI GABUNG'!B147</f>
        <v>PEMBERDAYAAN MASYARAKAT DAN DESA</v>
      </c>
      <c r="E53" s="143" t="str">
        <f>'matrik MISI GABUNG'!F147</f>
        <v>Meningkatnya Keberdayaan Masyarakat Perdesaan dan Perkotaan</v>
      </c>
      <c r="F53" s="143" t="str">
        <f>'matrik MISI GABUNG'!G147</f>
        <v>Peningkatan kualitas dan kuantitas pemberdayaan masyarakat</v>
      </c>
      <c r="G53" s="1084" t="str">
        <f>'matrik MISI 2'!H43</f>
        <v>Mewujudkan kesejahteraan sosial masyarakat</v>
      </c>
      <c r="H53" s="143" t="str">
        <f>'matrik MISI GABUNG'!I147</f>
        <v>Meningkatkan kualitas dan kuantitas pemberdayaan masyarakat, dan pengurangan angka kemiskinan, serta peningkatan kapasitas ekonomi masyarakat</v>
      </c>
      <c r="I53" s="147" t="str">
        <f>'matrik MISI GABUNG'!M148</f>
        <v>Program Peningkatan Ketahanan Masyarakat Desa</v>
      </c>
      <c r="J53" s="147" t="str">
        <f>'matrik MISI GABUNG'!N148</f>
        <v xml:space="preserve">Cakupan peningkatan klasifikasi tipe desa </v>
      </c>
      <c r="K53" s="147" t="str">
        <f>'matrik MISI GABUNG'!O148</f>
        <v>%</v>
      </c>
      <c r="L53" s="1050" t="str">
        <f>'matrik MISI GABUNG'!P148</f>
        <v>n.a</v>
      </c>
      <c r="M53" s="1050" t="str">
        <f>'matrik MISI GABUNG'!Q148</f>
        <v>n.a</v>
      </c>
      <c r="N53" s="1052">
        <f>'matrik MISI GABUNG'!V148</f>
        <v>30</v>
      </c>
      <c r="O53" s="147" t="str">
        <f>'matrik MISI GABUNG'!X148</f>
        <v>BAPERMADES</v>
      </c>
    </row>
    <row r="54" spans="2:15" ht="38.25">
      <c r="B54" s="145"/>
      <c r="C54" s="145"/>
      <c r="D54" s="145"/>
      <c r="E54" s="145"/>
      <c r="F54" s="145"/>
      <c r="G54" s="145"/>
      <c r="H54" s="145"/>
      <c r="I54" s="147" t="str">
        <f>'matrik MISI GABUNG'!M151</f>
        <v>Program Peningkatan Keberdayaan Masyarakat Desa</v>
      </c>
      <c r="J54" s="147" t="str">
        <f>'matrik MISI GABUNG'!N151</f>
        <v>Persentase Menurunnya Rumah Tangga Sasaran (Angka Kemiskinan)</v>
      </c>
      <c r="K54" s="147" t="str">
        <f>'matrik MISI GABUNG'!O151</f>
        <v>%</v>
      </c>
      <c r="L54" s="1050">
        <f>'matrik MISI GABUNG'!P151</f>
        <v>17.79</v>
      </c>
      <c r="M54" s="1050" t="str">
        <f>'matrik MISI GABUNG'!Q151</f>
        <v>17,27</v>
      </c>
      <c r="N54" s="1052">
        <f>'matrik MISI GABUNG'!V151</f>
        <v>11</v>
      </c>
      <c r="O54" s="147" t="str">
        <f>'matrik MISI GABUNG'!X151</f>
        <v>BAPERMADES</v>
      </c>
    </row>
    <row r="55" spans="2:15" ht="38.25">
      <c r="B55" s="145"/>
      <c r="C55" s="145"/>
      <c r="D55" s="145"/>
      <c r="E55" s="145"/>
      <c r="F55" s="145"/>
      <c r="G55" s="145"/>
      <c r="H55" s="145"/>
      <c r="I55" s="147" t="str">
        <f>'matrik MISI GABUNG'!M153</f>
        <v>Program Peningkatan Keberdayaan Masyarakat Desa</v>
      </c>
      <c r="J55" s="147" t="str">
        <f>'matrik MISI GABUNG'!N153</f>
        <v xml:space="preserve">Cakupan bantuan Rumah Layak Huni bagi Rumah Tangga Sasaran </v>
      </c>
      <c r="K55" s="147" t="str">
        <f>'matrik MISI GABUNG'!O153</f>
        <v>%</v>
      </c>
      <c r="L55" s="1050">
        <f>'matrik MISI GABUNG'!P153</f>
        <v>0.12</v>
      </c>
      <c r="M55" s="1050">
        <f>'matrik MISI GABUNG'!Q153</f>
        <v>0.24</v>
      </c>
      <c r="N55" s="1052">
        <f>'matrik MISI GABUNG'!V153</f>
        <v>1.26</v>
      </c>
      <c r="O55" s="147" t="str">
        <f>'matrik MISI GABUNG'!X153</f>
        <v>BAPERMADES</v>
      </c>
    </row>
    <row r="56" spans="2:15" ht="51">
      <c r="B56" s="145"/>
      <c r="C56" s="145"/>
      <c r="D56" s="147" t="str">
        <f>'matrik MISI GABUNG'!B156</f>
        <v>TRANSMIGRASI</v>
      </c>
      <c r="E56" s="147" t="str">
        <f>'matrik MISI GABUNG'!F156</f>
        <v>Meningkatnya Kualitas Penyelenggaraan Transmigrasi</v>
      </c>
      <c r="F56" s="147" t="str">
        <f>'matrik MISI GABUNG'!G156</f>
        <v>Peningkatan Kualitas Penyelenggaraan Transmigrasi</v>
      </c>
      <c r="G56" s="147" t="str">
        <f>'matrik MISI 2'!H52</f>
        <v>Mewujudkan kesejahteraan sosial masyarakat</v>
      </c>
      <c r="H56" s="147" t="str">
        <f>'matrik MISI GABUNG'!I156</f>
        <v>Meningkatkan Kualitas Penyelenggaraan Transmigrasi dan peningkatan kualitas transmigran</v>
      </c>
      <c r="I56" s="147" t="str">
        <f>'matrik MISI GABUNG'!M157</f>
        <v>Program Pengembangan Wilayah Transmigrasi</v>
      </c>
      <c r="J56" s="147" t="str">
        <f>'matrik MISI GABUNG'!N157</f>
        <v>Persentase Penempatan Transmigran</v>
      </c>
      <c r="K56" s="147" t="str">
        <f>'matrik MISI GABUNG'!O157</f>
        <v>%</v>
      </c>
      <c r="L56" s="1050">
        <f>'matrik MISI GABUNG'!P157</f>
        <v>80</v>
      </c>
      <c r="M56" s="1050">
        <f>'matrik MISI GABUNG'!Q157</f>
        <v>80</v>
      </c>
      <c r="N56" s="1052">
        <f>'matrik MISI GABUNG'!V157</f>
        <v>80</v>
      </c>
      <c r="O56" s="147" t="str">
        <f>'matrik MISI GABUNG'!X157</f>
        <v>Disnakertran</v>
      </c>
    </row>
    <row r="57" spans="2:15" ht="76.5">
      <c r="B57" s="145"/>
      <c r="C57" s="145"/>
      <c r="D57" s="143" t="str">
        <f>'matrik MISI GABUNG'!B158</f>
        <v>PEMBERDAYAAN PEREMPUAN DAN PERLINDUNGAN ANAK</v>
      </c>
      <c r="E57" s="143" t="str">
        <f>'matrik MISI GABUNG'!F158</f>
        <v>Meningkatnya Pemberdayaan Perempuan, Perlindungan Perempuan, dan Perlindungan Anak</v>
      </c>
      <c r="F57" s="143" t="str">
        <f>'matrik MISI GABUNG'!G158</f>
        <v>Peningkatan Pemberdayaan Perempuan, Perlindungan Perempuan, dan Perlindungan Anak</v>
      </c>
      <c r="G57" s="1084" t="str">
        <f>'matrik MISI 2'!H54</f>
        <v>Meningkatkan pemberdayaan perempuan, perlindungan anak, pemberdayaan pemuda dan pengembangan olah raga</v>
      </c>
      <c r="H57" s="143" t="str">
        <f>'matrik MISI GABUNG'!I158</f>
        <v xml:space="preserve">Meningkatkan upaya penanganan terhadap kekerasan terhadap perempuan dan anak yang terjadi </v>
      </c>
      <c r="I57" s="143" t="str">
        <f>'matrik MISI GABUNG'!M159</f>
        <v>Program Keserasian Kebijakan Peningkatan Kualitas Anak dan Perempuan</v>
      </c>
      <c r="J57" s="147" t="str">
        <f>'matrik MISI GABUNG'!N159</f>
        <v>Cakupan Perempuan dan Anak Korban Kekerasan yang Mendapatkan Penanganan Pengaduan Oleh Petugas Terlatih di Dalam Unit Pelayanan Terpadu</v>
      </c>
      <c r="K57" s="147" t="str">
        <f>'matrik MISI GABUNG'!O159</f>
        <v>%</v>
      </c>
      <c r="L57" s="1050">
        <f>'matrik MISI GABUNG'!P159</f>
        <v>88</v>
      </c>
      <c r="M57" s="1050">
        <f>'matrik MISI GABUNG'!Q159</f>
        <v>90</v>
      </c>
      <c r="N57" s="1052">
        <f>'matrik MISI GABUNG'!V159</f>
        <v>100</v>
      </c>
      <c r="O57" s="147" t="str">
        <f>'matrik MISI GABUNG'!X159</f>
        <v>BKBPP</v>
      </c>
    </row>
    <row r="58" spans="2:15" ht="51">
      <c r="B58" s="145"/>
      <c r="C58" s="145"/>
      <c r="D58" s="143" t="str">
        <f>'matrik MISI GABUNG'!B175</f>
        <v>PEMUDA DAN OLAH RAGA</v>
      </c>
      <c r="E58" s="147" t="str">
        <f>'matrik MISI GABUNG'!F175</f>
        <v>Meningkatnya Pembinaan Kepemudaan dan Olahraga</v>
      </c>
      <c r="F58" s="147" t="str">
        <f>'matrik MISI GABUNG'!G175</f>
        <v>Peningkatan Pembinaan Kepemudaan dan Olahraga</v>
      </c>
      <c r="G58" s="147" t="str">
        <f>'matrik MISI 2'!H71</f>
        <v>Meningkatkan pemberdayaan perempuan, perlindungan anak, pemberdayaan pemuda dan pengembangan olah raga</v>
      </c>
      <c r="H58" s="147" t="str">
        <f>'matrik MISI GABUNG'!I175</f>
        <v xml:space="preserve">Meningkatkan Pembinaan dan penyelenggaraan kegiatan Kepemudaan </v>
      </c>
      <c r="I58" s="147" t="str">
        <f>'matrik MISI GABUNG'!M176</f>
        <v>Program Pembinaan dan Pemasyarakatan Olahraga</v>
      </c>
      <c r="J58" s="147" t="str">
        <f>'matrik MISI GABUNG'!N176</f>
        <v>Besaran kegiatan kepemudaan</v>
      </c>
      <c r="K58" s="147" t="str">
        <f>'matrik MISI GABUNG'!O176</f>
        <v>Kegiatan</v>
      </c>
      <c r="L58" s="1050">
        <f>'matrik MISI GABUNG'!P176</f>
        <v>9</v>
      </c>
      <c r="M58" s="1050">
        <f>'matrik MISI GABUNG'!Q176</f>
        <v>9</v>
      </c>
      <c r="N58" s="1052">
        <f>'matrik MISI GABUNG'!V176</f>
        <v>13</v>
      </c>
      <c r="O58" s="147" t="str">
        <f>'matrik MISI GABUNG'!X176</f>
        <v>Dinbudparpora</v>
      </c>
    </row>
    <row r="59" spans="2:15" ht="51">
      <c r="B59" s="145"/>
      <c r="C59" s="145"/>
      <c r="D59" s="145"/>
      <c r="E59" s="147" t="str">
        <f>'matrik MISI GABUNG'!F177</f>
        <v>Meningkatnya Sarana dan Prasarana Kepemudaan dan Olahraga</v>
      </c>
      <c r="F59" s="147" t="str">
        <f>'matrik MISI GABUNG'!G177</f>
        <v>Peningkatan Sarana dan Prasarana Kepemudaan dan Olahraga</v>
      </c>
      <c r="G59" s="147" t="str">
        <f>'matrik MISI 2'!H71</f>
        <v>Meningkatkan pemberdayaan perempuan, perlindungan anak, pemberdayaan pemuda dan pengembangan olah raga</v>
      </c>
      <c r="H59" s="147" t="str">
        <f>'matrik MISI GABUNG'!I177</f>
        <v>Meningkatkan Sarana dan Prasarana Olahraga</v>
      </c>
      <c r="I59" s="147" t="str">
        <f>'matrik MISI GABUNG'!M178</f>
        <v>Program Peningkatan Sarana dan Prasarana Olahraga</v>
      </c>
      <c r="J59" s="147" t="str">
        <f>'matrik MISI GABUNG'!N178</f>
        <v>Cakupan Bantuan Prasarana Olah Raga Bagi Klub Olah Raga</v>
      </c>
      <c r="K59" s="147" t="str">
        <f>'matrik MISI GABUNG'!O178</f>
        <v>%</v>
      </c>
      <c r="L59" s="1050">
        <f>'matrik MISI GABUNG'!P178</f>
        <v>3.992015968063872</v>
      </c>
      <c r="M59" s="1050">
        <f>'matrik MISI GABUNG'!Q178</f>
        <v>5.4890219560878242</v>
      </c>
      <c r="N59" s="1052">
        <f>'matrik MISI GABUNG'!V178</f>
        <v>20.459081836327346</v>
      </c>
      <c r="O59" s="147" t="str">
        <f>'matrik MISI GABUNG'!X178</f>
        <v>Dinbudparpora</v>
      </c>
    </row>
    <row r="60" spans="2:15" ht="38.25">
      <c r="B60" s="145"/>
      <c r="C60" s="145"/>
      <c r="D60" s="143" t="str">
        <f>'matrik MISI GABUNG'!B183</f>
        <v>KEBUDAYAAN</v>
      </c>
      <c r="E60" s="143" t="str">
        <f>'matrik MISI GABUNG'!F183</f>
        <v>Meningkatnya Kualitas Sarana dan Prasarana Keagamaan</v>
      </c>
      <c r="F60" s="143" t="str">
        <f>'matrik MISI GABUNG'!G183</f>
        <v>Peningkatan Kualitas Sarana dan Prasarana Keagamaan</v>
      </c>
      <c r="G60" s="1084" t="str">
        <f>'matrik MISI 2'!H79</f>
        <v>Meningkatkan kelestarian kebudayaan daerah</v>
      </c>
      <c r="H60" s="143" t="str">
        <f>'matrik MISI GABUNG'!I183</f>
        <v>Meningkatkan pemberian bantuan sarana dan prasarana pendukung kegiatan keagamaan</v>
      </c>
      <c r="I60" s="143" t="str">
        <f>'matrik MISI GABUNG'!M184</f>
        <v>Program Pengembangan Nilai Keagamaan</v>
      </c>
      <c r="J60" s="147" t="str">
        <f>'matrik MISI GABUNG'!N184</f>
        <v>Cakupan Pemberian Bantuan Tempat Ibadah</v>
      </c>
      <c r="K60" s="147" t="str">
        <f>'matrik MISI GABUNG'!O184</f>
        <v>%</v>
      </c>
      <c r="L60" s="1050">
        <f>'matrik MISI GABUNG'!P184</f>
        <v>100</v>
      </c>
      <c r="M60" s="1050">
        <f>'matrik MISI GABUNG'!Q184</f>
        <v>100</v>
      </c>
      <c r="N60" s="1052">
        <f>'matrik MISI GABUNG'!V184</f>
        <v>100</v>
      </c>
      <c r="O60" s="147">
        <f>'matrik MISI GABUNG'!X184</f>
        <v>0</v>
      </c>
    </row>
    <row r="61" spans="2:15" ht="51">
      <c r="B61" s="145"/>
      <c r="C61" s="145"/>
      <c r="D61" s="145"/>
      <c r="E61" s="143" t="str">
        <f>'matrik MISI GABUNG'!F188</f>
        <v>Meningkatnya Pengembangan dan Pelestarian Kebudayaan Daerah</v>
      </c>
      <c r="F61" s="143" t="str">
        <f>'matrik MISI GABUNG'!G188</f>
        <v>Peningkatan Pengembangan dan Pelestarian Kebudayaan Daerah</v>
      </c>
      <c r="G61" s="1084" t="str">
        <f>'matrik MISI 2'!H84</f>
        <v>Meningkatkan kelestarian kebudayaan daerah</v>
      </c>
      <c r="H61" s="143" t="str">
        <f>'matrik MISI GABUNG'!I188</f>
        <v xml:space="preserve">Meningkatan Pengembangan, Pelestarian dan pemeliharaan nilai tradisi budaya dan benda bersejarah serta benda arkeologi </v>
      </c>
      <c r="I61" s="143" t="str">
        <f>'matrik MISI GABUNG'!M189</f>
        <v>Program Pengelolaan Kekayaan Budaya</v>
      </c>
      <c r="J61" s="147" t="str">
        <f>'matrik MISI GABUNG'!N189</f>
        <v>Cakupan Pemeliharaan Nilai Tradisi Budaya</v>
      </c>
      <c r="K61" s="147" t="str">
        <f>'matrik MISI GABUNG'!O189</f>
        <v>%</v>
      </c>
      <c r="L61" s="1050">
        <f>'matrik MISI GABUNG'!P189</f>
        <v>0.05</v>
      </c>
      <c r="M61" s="1050">
        <f>'matrik MISI GABUNG'!Q189</f>
        <v>0.1</v>
      </c>
      <c r="N61" s="1052">
        <f>'matrik MISI GABUNG'!V189</f>
        <v>0.28000000000000003</v>
      </c>
      <c r="O61" s="147" t="str">
        <f>'matrik MISI GABUNG'!X189</f>
        <v>Dinbudparpora</v>
      </c>
    </row>
    <row r="62" spans="2:15" ht="25.5">
      <c r="B62" s="145"/>
      <c r="C62" s="145"/>
      <c r="D62" s="145"/>
      <c r="E62" s="145"/>
      <c r="F62" s="145"/>
      <c r="G62" s="145"/>
      <c r="H62" s="145"/>
      <c r="I62" s="145"/>
      <c r="J62" s="147" t="str">
        <f>'matrik MISI GABUNG'!N190</f>
        <v>Cakupan Pemeliharaan Benda-benda Bersejarah dan Arkeologi</v>
      </c>
      <c r="K62" s="147" t="str">
        <f>K61</f>
        <v>%</v>
      </c>
      <c r="L62" s="1050">
        <f>'matrik MISI GABUNG'!P190</f>
        <v>6.38</v>
      </c>
      <c r="M62" s="1050">
        <f>'matrik MISI GABUNG'!Q190</f>
        <v>6.38</v>
      </c>
      <c r="N62" s="1052">
        <f>'matrik MISI GABUNG'!V190</f>
        <v>6.38</v>
      </c>
      <c r="O62" s="147" t="str">
        <f>'matrik MISI GABUNG'!X190</f>
        <v>Dinbudparpora</v>
      </c>
    </row>
    <row r="63" spans="2:15" ht="76.5">
      <c r="B63" s="145"/>
      <c r="C63" s="145"/>
      <c r="D63" s="145"/>
      <c r="E63" s="143" t="str">
        <f>'matrik MISI GABUNG'!F191</f>
        <v>Meningkatnya Promosi Seni dan Cagar Budaya</v>
      </c>
      <c r="F63" s="143" t="str">
        <f>'matrik MISI GABUNG'!G191</f>
        <v>Peningkatan Promosi Seni dan Cagar Budaya</v>
      </c>
      <c r="G63" s="1084" t="str">
        <f>'matrik MISI 2'!H87</f>
        <v>Meningkatkan kelestarian kebudayaan daerah</v>
      </c>
      <c r="H63" s="143" t="str">
        <f>'matrik MISI GABUNG'!I191</f>
        <v>Meningkatkan Promosi Seni dan Cagar Budaya melalui penyelenggaraan gelar seni, kajian seni, promosi seni, organisasi seni, dan tempat-tempat kesenian</v>
      </c>
      <c r="I63" s="143" t="str">
        <f>'matrik MISI GABUNG'!M192</f>
        <v>Program Pengelolaan Keragaman Budaya</v>
      </c>
      <c r="J63" s="147" t="str">
        <f>'matrik MISI GABUNG'!N192</f>
        <v>Cakupan Kajian Seni</v>
      </c>
      <c r="K63" s="147" t="str">
        <f>'matrik MISI GABUNG'!O192</f>
        <v>%</v>
      </c>
      <c r="L63" s="1050">
        <f>'matrik MISI GABUNG'!P192</f>
        <v>6.6</v>
      </c>
      <c r="M63" s="1050">
        <f>'matrik MISI GABUNG'!Q192</f>
        <v>13.3</v>
      </c>
      <c r="N63" s="1052">
        <f>'matrik MISI GABUNG'!V192</f>
        <v>33.299999999999997</v>
      </c>
      <c r="O63" s="147" t="str">
        <f>'matrik MISI GABUNG'!X192</f>
        <v>Dinbudparpora</v>
      </c>
    </row>
    <row r="64" spans="2:15" ht="51">
      <c r="B64" s="145"/>
      <c r="C64" s="145"/>
      <c r="D64" s="145"/>
      <c r="E64" s="143" t="str">
        <f>'matrik MISI GABUNG'!F199</f>
        <v>Meningkatnya Sarana Budaya dan Kebudayaan</v>
      </c>
      <c r="F64" s="143" t="str">
        <f>'matrik MISI GABUNG'!G199</f>
        <v>Peningkatan Sarana Budaya dan Kebudayaan</v>
      </c>
      <c r="G64" s="1084" t="str">
        <f>'matrik MISI 2'!H95</f>
        <v>Meningkatkan kelestarian kebudayaan daerah</v>
      </c>
      <c r="H64" s="143" t="str">
        <f>'matrik MISI GABUNG'!I199</f>
        <v>Meningkatkan Sarana dan prasarana dalam rangka pengelolaan kekayaan Budaya dan Kebudayaan</v>
      </c>
      <c r="I64" s="143" t="str">
        <f>'matrik MISI GABUNG'!M200</f>
        <v>Program Pengelolaan Kekayaan Budaya</v>
      </c>
      <c r="J64" s="147" t="str">
        <f>'matrik MISI GABUNG'!N200</f>
        <v>Cakupan Fasilitas Cagar Budaya</v>
      </c>
      <c r="K64" s="147" t="str">
        <f>'matrik MISI GABUNG'!O200</f>
        <v>%</v>
      </c>
      <c r="L64" s="1050">
        <f>'matrik MISI GABUNG'!P200</f>
        <v>2.12</v>
      </c>
      <c r="M64" s="1050">
        <f>'matrik MISI GABUNG'!Q200</f>
        <v>2.12</v>
      </c>
      <c r="N64" s="1052">
        <f>'matrik MISI GABUNG'!V200</f>
        <v>2.12</v>
      </c>
      <c r="O64" s="147" t="str">
        <f>'matrik MISI GABUNG'!X200</f>
        <v>Dinbudparpora</v>
      </c>
    </row>
    <row r="65" spans="2:15" ht="76.5">
      <c r="B65" s="145"/>
      <c r="C65" s="145"/>
      <c r="D65" s="143" t="str">
        <f>'matrik MISI GABUNG'!B203</f>
        <v>KESATUAN BANGSA DAN POLITIK DALAM NEGERI</v>
      </c>
      <c r="E65" s="143" t="str">
        <f>'matrik MISI GABUNG'!F203</f>
        <v xml:space="preserve">Meningkatnya Kualitas Kehidupan Politik dan Wawasan Kebangsaan </v>
      </c>
      <c r="F65" s="143" t="str">
        <f>'matrik MISI GABUNG'!G203</f>
        <v xml:space="preserve">Peningkatan Kualitas Kehidupan Politik dan Wawasan Kebangsaan </v>
      </c>
      <c r="G65" s="1084" t="str">
        <f>'matrik MISI 2'!H99</f>
        <v>meningkatkan kehidupan masyarakat yang berbudaya, aman, tertib, demokratis, dan berwawasan kebangsaan</v>
      </c>
      <c r="H65" s="143" t="str">
        <f>'matrik MISI GABUNG'!I203</f>
        <v>Meningkatkan Kualitas Kehidupan Politik dan Wawasan Kebangsaan masyarakat melalui pendidikan politik masyarakat dan penanganan penyakit masyarakat</v>
      </c>
      <c r="I65" s="147" t="str">
        <f>'matrik MISI GABUNG'!M204</f>
        <v>Program pendidikan politik masyarakat</v>
      </c>
      <c r="J65" s="147" t="str">
        <f>'matrik MISI GABUNG'!N204</f>
        <v>Persentase Peserta Kegiatan Politik Masyarakat</v>
      </c>
      <c r="K65" s="147" t="str">
        <f>'matrik MISI GABUNG'!O204</f>
        <v>%</v>
      </c>
      <c r="L65" s="1050">
        <f>'matrik MISI GABUNG'!P204</f>
        <v>100</v>
      </c>
      <c r="M65" s="1050">
        <f>'matrik MISI GABUNG'!Q204</f>
        <v>100</v>
      </c>
      <c r="N65" s="1052">
        <f>'matrik MISI GABUNG'!V204</f>
        <v>100</v>
      </c>
      <c r="O65" s="147" t="str">
        <f>'matrik MISI GABUNG'!X204</f>
        <v>Kantor KESBANG</v>
      </c>
    </row>
    <row r="66" spans="2:15" ht="25.5">
      <c r="B66" s="145"/>
      <c r="C66" s="145"/>
      <c r="D66" s="145"/>
      <c r="E66" s="145"/>
      <c r="F66" s="145"/>
      <c r="G66" s="145"/>
      <c r="H66" s="145"/>
      <c r="I66" s="147" t="str">
        <f>'matrik MISI GABUNG'!M206</f>
        <v>Program pendidikan politik masyarakat</v>
      </c>
      <c r="J66" s="147" t="str">
        <f>'matrik MISI GABUNG'!N206</f>
        <v xml:space="preserve">Persentase Partisipasi Pemilih </v>
      </c>
      <c r="K66" s="147" t="str">
        <f>'matrik MISI GABUNG'!O206</f>
        <v>%</v>
      </c>
      <c r="L66" s="1050" t="str">
        <f>'matrik MISI GABUNG'!P206</f>
        <v xml:space="preserve"> - </v>
      </c>
      <c r="M66" s="1050">
        <f>'matrik MISI GABUNG'!Q206</f>
        <v>86</v>
      </c>
      <c r="N66" s="1052">
        <f>'matrik MISI GABUNG'!V206</f>
        <v>100</v>
      </c>
      <c r="O66" s="147" t="str">
        <f>'matrik MISI GABUNG'!X206</f>
        <v>Kantor KESBANG</v>
      </c>
    </row>
    <row r="67" spans="2:15" ht="38.25">
      <c r="B67" s="145"/>
      <c r="C67" s="145"/>
      <c r="D67" s="145"/>
      <c r="E67" s="145"/>
      <c r="F67" s="145"/>
      <c r="G67" s="145"/>
      <c r="H67" s="145"/>
      <c r="I67" s="147" t="str">
        <f>'matrik MISI GABUNG'!M208</f>
        <v>Program pemeliharaan kantrantibmas dan pencegahan tindak kriminal</v>
      </c>
      <c r="J67" s="147" t="str">
        <f>'matrik MISI GABUNG'!N208</f>
        <v>Persentase Penanganan Tindak Penyalahgunaan Narkotika</v>
      </c>
      <c r="K67" s="147" t="str">
        <f>'matrik MISI GABUNG'!O208</f>
        <v>%</v>
      </c>
      <c r="L67" s="1050">
        <f>'matrik MISI GABUNG'!P208</f>
        <v>100</v>
      </c>
      <c r="M67" s="1050">
        <f>'matrik MISI GABUNG'!Q208</f>
        <v>100</v>
      </c>
      <c r="N67" s="1052">
        <f>'matrik MISI GABUNG'!V208</f>
        <v>100</v>
      </c>
      <c r="O67" s="147" t="str">
        <f>'matrik MISI GABUNG'!X208</f>
        <v>Kantor KESBANG</v>
      </c>
    </row>
    <row r="68" spans="2:15" ht="89.25">
      <c r="B68" s="145"/>
      <c r="C68" s="145"/>
      <c r="D68" s="145"/>
      <c r="E68" s="143" t="str">
        <f>'matrik MISI GABUNG'!F209</f>
        <v>Meningkatnya Ketertiban dan Keamanan</v>
      </c>
      <c r="F68" s="143" t="str">
        <f>'matrik MISI GABUNG'!G209</f>
        <v>Peningkatan Ketertiban dan Keamanan</v>
      </c>
      <c r="G68" s="1084" t="str">
        <f>'matrik MISI 2'!H99</f>
        <v>meningkatkan kehidupan masyarakat yang berbudaya, aman, tertib, demokratis, dan berwawasan kebangsaan</v>
      </c>
      <c r="H68" s="143" t="str">
        <f>'matrik MISI GABUNG'!I209</f>
        <v>Meningkatkan Ketertiban dan Keamanan melalui penegakan peraturan daerah, penurunan angka kriminalitas, penanganan demonstrasi, dan patroli siaga serta ketersediaan tenaga linmas di masyarakat</v>
      </c>
      <c r="I68" s="143" t="str">
        <f>'matrik MISI GABUNG'!M210</f>
        <v>Program pemeliharaan kantrantibmas dan pencegahan tindak kriminal</v>
      </c>
      <c r="J68" s="147" t="str">
        <f>'matrik MISI GABUNG'!N210</f>
        <v>Cakupan Penegakan Perda dan Peraturan Kepala Daerah</v>
      </c>
      <c r="K68" s="147" t="str">
        <f>'matrik MISI GABUNG'!O210</f>
        <v>%</v>
      </c>
      <c r="L68" s="1050">
        <f>'matrik MISI GABUNG'!P210</f>
        <v>50</v>
      </c>
      <c r="M68" s="1050">
        <f>'matrik MISI GABUNG'!Q210</f>
        <v>50</v>
      </c>
      <c r="N68" s="1052">
        <f>'matrik MISI GABUNG'!V210</f>
        <v>100</v>
      </c>
      <c r="O68" s="147" t="str">
        <f>'matrik MISI GABUNG'!X210</f>
        <v>Satuan Polisi Pamong Praja</v>
      </c>
    </row>
    <row r="69" spans="2:15" s="923" customFormat="1">
      <c r="L69" s="1051"/>
      <c r="M69" s="1051"/>
      <c r="N69" s="1055"/>
    </row>
    <row r="70" spans="2:15" ht="76.5">
      <c r="B70" s="143">
        <v>3</v>
      </c>
      <c r="C70" s="143" t="str">
        <f>'visi misi'!A9</f>
        <v>Mewujudkan Peningkatan Infrastruktur Permukiman Perdesaan dan Perkotaan yang Layak dan Berwawasan Lingkungan</v>
      </c>
      <c r="D70" s="143" t="str">
        <f>'matrik MISI GABUNG'!B216</f>
        <v>PEKERJAAN UMUM</v>
      </c>
      <c r="E70" s="143" t="str">
        <f>'matrik MISI GABUNG'!F216</f>
        <v>Meningkatnya sarana Infrastruktur Jalan dan Jembatan yang Memadai</v>
      </c>
      <c r="F70" s="143" t="str">
        <f>'matrik MISI GABUNG'!G216</f>
        <v>Peningkatan aksesibilitas Insfrastruktur bagi pengembangan ekonomi</v>
      </c>
      <c r="G70" s="1084" t="str">
        <f>'matrik MISI 3'!H6</f>
        <v>Meningkatkan aksesibilitas Insfrastruktur bagi pengembangan ekonomi</v>
      </c>
      <c r="H70" s="143" t="str">
        <f>'matrik MISI GABUNG'!I216</f>
        <v>Meningkatkan dan mengembangkan Infrastruktur jalan dan jembatan yang memadai melalui pembangunan, pemeliharaan dan peningkatan kualitas jalan dan jembatan</v>
      </c>
      <c r="I70" s="143" t="str">
        <f>'matrik MISI GABUNG'!M217</f>
        <v>Program Pembangunan Jalan dan Jembatan</v>
      </c>
      <c r="J70" s="147" t="str">
        <f>'matrik MISI GABUNG'!N217</f>
        <v xml:space="preserve">Persentase Jalan yang Menjamin Pengguna Jalan Berkendara dengan Selamat </v>
      </c>
      <c r="K70" s="147" t="str">
        <f>'matrik MISI GABUNG'!O217</f>
        <v>%</v>
      </c>
      <c r="L70" s="1050">
        <f>'matrik MISI GABUNG'!P217</f>
        <v>74.7</v>
      </c>
      <c r="M70" s="1050">
        <f>'matrik MISI GABUNG'!Q217</f>
        <v>69.7</v>
      </c>
      <c r="N70" s="1052">
        <f>'matrik MISI GABUNG'!V217</f>
        <v>82</v>
      </c>
      <c r="O70" s="147" t="str">
        <f>'matrik MISI GABUNG'!X217</f>
        <v>DPU dan DISHUBKOMINFO</v>
      </c>
    </row>
    <row r="71" spans="2:15" ht="38.25">
      <c r="B71" s="145"/>
      <c r="C71" s="145"/>
      <c r="D71" s="145"/>
      <c r="E71" s="145"/>
      <c r="F71" s="145"/>
      <c r="G71" s="145"/>
      <c r="H71" s="145"/>
      <c r="I71" s="143" t="str">
        <f>'matrik MISI GABUNG'!M220</f>
        <v>Program rehabilitasi/ pemeliharaan Jalan dan Jembatan</v>
      </c>
      <c r="J71" s="147" t="str">
        <f>'matrik MISI GABUNG'!N220</f>
        <v>Persentase Jalan yang Kondisi Baik</v>
      </c>
      <c r="K71" s="147" t="str">
        <f>'matrik MISI GABUNG'!O220</f>
        <v>%</v>
      </c>
      <c r="L71" s="1050">
        <f>'matrik MISI GABUNG'!P220</f>
        <v>65</v>
      </c>
      <c r="M71" s="1050">
        <f>'matrik MISI GABUNG'!Q220</f>
        <v>68</v>
      </c>
      <c r="N71" s="1052">
        <f>'matrik MISI GABUNG'!V220</f>
        <v>82</v>
      </c>
      <c r="O71" s="147" t="str">
        <f>'matrik MISI GABUNG'!X220</f>
        <v>DPU</v>
      </c>
    </row>
    <row r="72" spans="2:15" ht="25.5">
      <c r="B72" s="145"/>
      <c r="C72" s="145"/>
      <c r="D72" s="145"/>
      <c r="E72" s="145"/>
      <c r="F72" s="145"/>
      <c r="G72" s="145"/>
      <c r="H72" s="145"/>
      <c r="I72" s="146"/>
      <c r="J72" s="147" t="str">
        <f>'matrik MISI GABUNG'!N221</f>
        <v>Persentase Jembatan yang Kondisi Baik</v>
      </c>
      <c r="K72" s="147" t="str">
        <f>'matrik MISI GABUNG'!O221</f>
        <v>%</v>
      </c>
      <c r="L72" s="1050">
        <f>'matrik MISI GABUNG'!P221</f>
        <v>70</v>
      </c>
      <c r="M72" s="1050">
        <f>'matrik MISI GABUNG'!Q221</f>
        <v>71</v>
      </c>
      <c r="N72" s="1052">
        <f>'matrik MISI GABUNG'!V221</f>
        <v>90</v>
      </c>
      <c r="O72" s="147" t="str">
        <f>'matrik MISI GABUNG'!X221</f>
        <v>DPU</v>
      </c>
    </row>
    <row r="73" spans="2:15" ht="38.25">
      <c r="B73" s="145"/>
      <c r="C73" s="145"/>
      <c r="D73" s="145"/>
      <c r="E73" s="145"/>
      <c r="F73" s="145"/>
      <c r="G73" s="145"/>
      <c r="H73" s="146"/>
      <c r="I73" s="147" t="str">
        <f>'matrik MISI GABUNG'!M222</f>
        <v>Program Pembangunan Jalan dan Jembatan</v>
      </c>
      <c r="J73" s="147" t="str">
        <f>'matrik MISI GABUNG'!N222</f>
        <v>Tersedianya lahan untuk persiapan pembangunan jalan lingkar Kota Parakan</v>
      </c>
      <c r="K73" s="147" t="str">
        <f>'matrik MISI GABUNG'!O222</f>
        <v>Hektar (Ha)</v>
      </c>
      <c r="L73" s="1050" t="str">
        <f>'matrik MISI GABUNG'!P222</f>
        <v xml:space="preserve"> -</v>
      </c>
      <c r="M73" s="1050" t="str">
        <f>'matrik MISI GABUNG'!Q222</f>
        <v xml:space="preserve"> -</v>
      </c>
      <c r="N73" s="1052">
        <f>'matrik MISI GABUNG'!V222</f>
        <v>19</v>
      </c>
      <c r="O73" s="147" t="str">
        <f>'matrik MISI GABUNG'!X222</f>
        <v>DPU/ Bagian Pemerintahan Umum</v>
      </c>
    </row>
    <row r="74" spans="2:15" ht="63.75">
      <c r="B74" s="145"/>
      <c r="C74" s="145"/>
      <c r="D74" s="145"/>
      <c r="E74" s="143" t="str">
        <f>'matrik MISI GABUNG'!F224</f>
        <v>Meningkatnya sarana dan prasarana Insfrastruktur Sumber Daya Air</v>
      </c>
      <c r="F74" s="143" t="str">
        <f>'matrik MISI GABUNG'!G224</f>
        <v>peningkatan Infrastruktur Sumber Daya Air</v>
      </c>
      <c r="G74" s="1084" t="str">
        <f>'matrik MISI 3'!H6</f>
        <v>Meningkatkan aksesibilitas Insfrastruktur bagi pengembangan ekonomi</v>
      </c>
      <c r="H74" s="143" t="str">
        <f>'matrik MISI GABUNG'!I224</f>
        <v>Meningkatan ketersediaan Infrastruktur Sumber Daya Air melalui pengembangan dan pengelolaan jaringan irigasi dan drainase</v>
      </c>
      <c r="I74" s="143" t="str">
        <f>'matrik MISI GABUNG'!M224</f>
        <v xml:space="preserve">Program pengembangan dan pengelolaan jaringan irigasi, rawa dan jaringan pengairan lainnya </v>
      </c>
      <c r="J74" s="147" t="str">
        <f>'matrik MISI GABUNG'!N224</f>
        <v>Tersedianya air irigasi pada sistim irigasi yang sudah ada</v>
      </c>
      <c r="K74" s="147" t="str">
        <f>'matrik MISI GABUNG'!O224</f>
        <v>%</v>
      </c>
      <c r="L74" s="1050">
        <f>'matrik MISI GABUNG'!P224</f>
        <v>68</v>
      </c>
      <c r="M74" s="1050">
        <f>'matrik MISI GABUNG'!Q224</f>
        <v>68</v>
      </c>
      <c r="N74" s="1052">
        <f>'matrik MISI GABUNG'!V224</f>
        <v>80</v>
      </c>
      <c r="O74" s="147" t="str">
        <f>'matrik MISI GABUNG'!X224</f>
        <v>DPU</v>
      </c>
    </row>
    <row r="75" spans="2:15" ht="25.5">
      <c r="B75" s="145"/>
      <c r="C75" s="145"/>
      <c r="D75" s="145"/>
      <c r="E75" s="145"/>
      <c r="F75" s="145"/>
      <c r="G75" s="145"/>
      <c r="H75" s="145"/>
      <c r="I75" s="146"/>
      <c r="J75" s="147" t="str">
        <f>'matrik MISI GABUNG'!N225</f>
        <v>Persentase Pembangunan Jaringan Irigasi Partisipatif</v>
      </c>
      <c r="K75" s="147" t="str">
        <f>'matrik MISI GABUNG'!O225</f>
        <v>%</v>
      </c>
      <c r="L75" s="1050">
        <f>'matrik MISI GABUNG'!P225</f>
        <v>3.4920634920634921</v>
      </c>
      <c r="M75" s="1050">
        <f>'matrik MISI GABUNG'!Q225</f>
        <v>4.6031746031746037</v>
      </c>
      <c r="N75" s="1052">
        <f>'matrik MISI GABUNG'!V225</f>
        <v>6.1904761904761907</v>
      </c>
      <c r="O75" s="147" t="str">
        <f>'matrik MISI GABUNG'!X225</f>
        <v>DPU</v>
      </c>
    </row>
    <row r="76" spans="2:15" ht="38.25">
      <c r="B76" s="145"/>
      <c r="C76" s="145"/>
      <c r="D76" s="145"/>
      <c r="E76" s="145"/>
      <c r="F76" s="145"/>
      <c r="G76" s="145"/>
      <c r="H76" s="145"/>
      <c r="I76" s="147" t="str">
        <f>'matrik MISI GABUNG'!M226</f>
        <v>Program Pembangunan saluran drainase/gorong-gorong</v>
      </c>
      <c r="J76" s="147" t="str">
        <f>'matrik MISI GABUNG'!N226</f>
        <v>Tersedianya sistem jaringan drainase skala kawasan/kota sehingga tidak terjadi genangan</v>
      </c>
      <c r="K76" s="147" t="str">
        <f>'matrik MISI GABUNG'!O226</f>
        <v>%</v>
      </c>
      <c r="L76" s="1050">
        <f>'matrik MISI GABUNG'!P226</f>
        <v>30.54</v>
      </c>
      <c r="M76" s="1050">
        <f>'matrik MISI GABUNG'!Q226</f>
        <v>30.71</v>
      </c>
      <c r="N76" s="1052">
        <f>'matrik MISI GABUNG'!V226</f>
        <v>40.700000000000003</v>
      </c>
      <c r="O76" s="147" t="str">
        <f>'matrik MISI GABUNG'!X226</f>
        <v>DPU</v>
      </c>
    </row>
    <row r="77" spans="2:15" ht="63.75">
      <c r="B77" s="145"/>
      <c r="C77" s="145"/>
      <c r="D77" s="145"/>
      <c r="E77" s="147" t="str">
        <f>'matrik MISI GABUNG'!F227</f>
        <v>Meningkatkan pelayanan pemerintahan melalui ketersediaan banguanan instansi pemerintah</v>
      </c>
      <c r="F77" s="147" t="str">
        <f>'matrik MISI GABUNG'!G227</f>
        <v>Peningkatan kualitas bangunan instansi pemerintah</v>
      </c>
      <c r="G77" s="147" t="str">
        <f>'matrik MISI 3'!H6</f>
        <v>Meningkatkan aksesibilitas Insfrastruktur bagi pengembangan ekonomi</v>
      </c>
      <c r="H77" s="147" t="str">
        <f>'matrik MISI GABUNG'!I227</f>
        <v>Meningkatkan kelayakan bangunan-bangunan pemerintahan berupa pelaksanaan pemugaran bangunan instansi pemerintah</v>
      </c>
      <c r="I77" s="147" t="str">
        <f>'matrik MISI GABUNG'!M227</f>
        <v>Program Peningkatan Sarana dan Prasarana Aparatur</v>
      </c>
      <c r="J77" s="147" t="str">
        <f>'matrik MISI GABUNG'!N227</f>
        <v>Tersedianya bangunan gedung kantor kecamatan yang memadai</v>
      </c>
      <c r="K77" s="147" t="str">
        <f>'matrik MISI GABUNG'!O227</f>
        <v>Unit</v>
      </c>
      <c r="L77" s="1050">
        <f>'matrik MISI GABUNG'!P227</f>
        <v>2</v>
      </c>
      <c r="M77" s="1050" t="str">
        <f>'matrik MISI GABUNG'!Q227</f>
        <v>-</v>
      </c>
      <c r="N77" s="1052">
        <f>'matrik MISI GABUNG'!V227</f>
        <v>1</v>
      </c>
      <c r="O77" s="147" t="str">
        <f>'matrik MISI GABUNG'!X227</f>
        <v>DPU/Pemerintahan Umum</v>
      </c>
    </row>
    <row r="78" spans="2:15" ht="102">
      <c r="B78" s="145"/>
      <c r="C78" s="145"/>
      <c r="D78" s="143" t="str">
        <f>'matrik MISI GABUNG'!B228</f>
        <v>PERUMAHAN RAKYAT</v>
      </c>
      <c r="E78" s="143" t="str">
        <f>'matrik MISI GABUNG'!F228</f>
        <v>Meningkatnya Rumah Sehat dan Layak Huni</v>
      </c>
      <c r="F78" s="143" t="str">
        <f>'matrik MISI GABUNG'!G228</f>
        <v>Peningkatan Rumah Sehat dan Layak Huni</v>
      </c>
      <c r="G78" s="1084" t="str">
        <f>'matrik MISI 3'!H18</f>
        <v>Membangun lingkungan hunian bersih dan sehat</v>
      </c>
      <c r="H78" s="143" t="str">
        <f>'matrik MISI GABUNG'!I228</f>
        <v>Meningkatkan Rumah yang sehat dan Layak Huni melalui penyediaan rumah layak huni, penanganan kawasan kumuh, penyediaan layanan air minum, sanitasi pemukiman yang layak dan penyediaan sarana dan prasarana umum pemukiman</v>
      </c>
      <c r="I78" s="1042" t="str">
        <f>'matrik MISI GABUNG'!M228</f>
        <v>Program Lingkungan Sehat Perumahan</v>
      </c>
      <c r="J78" s="147" t="str">
        <f>'matrik MISI GABUNG'!N228</f>
        <v>Cakupan Ketersediaan Rumah Layak Huni</v>
      </c>
      <c r="K78" s="147" t="str">
        <f>'matrik MISI GABUNG'!O228</f>
        <v>%</v>
      </c>
      <c r="L78" s="1050" t="str">
        <f>'matrik MISI GABUNG'!P228</f>
        <v>94.3</v>
      </c>
      <c r="M78" s="1050" t="str">
        <f>'matrik MISI GABUNG'!Q228</f>
        <v>94.6</v>
      </c>
      <c r="N78" s="1052">
        <f>'matrik MISI GABUNG'!V228</f>
        <v>96.199999999999974</v>
      </c>
      <c r="O78" s="147" t="str">
        <f>'matrik MISI GABUNG'!X228</f>
        <v>Dinas Sosial, DPU, Bapermades</v>
      </c>
    </row>
    <row r="79" spans="2:15" ht="38.25">
      <c r="B79" s="145"/>
      <c r="C79" s="145"/>
      <c r="E79" s="145"/>
      <c r="F79" s="145"/>
      <c r="G79" s="145"/>
      <c r="H79" s="145"/>
      <c r="I79" s="145"/>
      <c r="J79" s="147" t="str">
        <f>'matrik MISI GABUNG'!N229</f>
        <v>berkurangnya Luasan Permukiman Kumuh di kawasan perkotaan</v>
      </c>
      <c r="K79" s="147" t="str">
        <f>'matrik MISI GABUNG'!O229</f>
        <v>Hektar (Ha)</v>
      </c>
      <c r="L79" s="1050">
        <f>'matrik MISI GABUNG'!P229</f>
        <v>35.56</v>
      </c>
      <c r="M79" s="1050">
        <f>'matrik MISI GABUNG'!Q229</f>
        <v>35.56</v>
      </c>
      <c r="N79" s="1052">
        <f>'matrik MISI GABUNG'!V229</f>
        <v>19.91</v>
      </c>
      <c r="O79" s="147" t="str">
        <f>'matrik MISI GABUNG'!X229</f>
        <v>DPU</v>
      </c>
    </row>
    <row r="80" spans="2:15" ht="25.5">
      <c r="B80" s="145"/>
      <c r="C80" s="145"/>
      <c r="D80" s="145"/>
      <c r="E80" s="145"/>
      <c r="F80" s="145"/>
      <c r="G80" s="145"/>
      <c r="H80" s="145"/>
      <c r="I80" s="145"/>
      <c r="J80" s="147" t="str">
        <f>'matrik MISI GABUNG'!N230</f>
        <v xml:space="preserve">Cakupan Layanan Air Minum yang layak </v>
      </c>
      <c r="K80" s="147" t="str">
        <f>'matrik MISI GABUNG'!O230</f>
        <v>%</v>
      </c>
      <c r="L80" s="1050">
        <f>'matrik MISI GABUNG'!P230</f>
        <v>74.48</v>
      </c>
      <c r="M80" s="1050">
        <f>'matrik MISI GABUNG'!Q230</f>
        <v>82.48</v>
      </c>
      <c r="N80" s="1052">
        <f>'matrik MISI GABUNG'!V230</f>
        <v>91.3</v>
      </c>
      <c r="O80" s="147" t="str">
        <f>'matrik MISI GABUNG'!X230</f>
        <v>DPU</v>
      </c>
    </row>
    <row r="81" spans="2:15" ht="25.5">
      <c r="B81" s="145"/>
      <c r="C81" s="145"/>
      <c r="D81" s="145"/>
      <c r="E81" s="145"/>
      <c r="F81" s="145"/>
      <c r="G81" s="145"/>
      <c r="H81" s="145"/>
      <c r="I81" s="145"/>
      <c r="J81" s="147" t="str">
        <f>'matrik MISI GABUNG'!N231</f>
        <v>Cakupan sanitasi pemukiman yang layak</v>
      </c>
      <c r="K81" s="147" t="str">
        <f>'matrik MISI GABUNG'!O231</f>
        <v>%</v>
      </c>
      <c r="L81" s="1050">
        <f>'matrik MISI GABUNG'!P231</f>
        <v>70.709999999999994</v>
      </c>
      <c r="M81" s="1050">
        <f>'matrik MISI GABUNG'!Q231</f>
        <v>74.28</v>
      </c>
      <c r="N81" s="1052">
        <f>'matrik MISI GABUNG'!V231</f>
        <v>78.900000000000006</v>
      </c>
      <c r="O81" s="147" t="str">
        <f>'matrik MISI GABUNG'!X231</f>
        <v>DPU &amp; DINKES</v>
      </c>
    </row>
    <row r="82" spans="2:15" ht="102">
      <c r="B82" s="145"/>
      <c r="C82" s="145"/>
      <c r="D82" s="145"/>
      <c r="E82" s="143" t="str">
        <f>'matrik MISI GABUNG'!F234</f>
        <v>Meningkatnya Pencegahan, Penanggulangan, dan Penanganan Bencana</v>
      </c>
      <c r="F82" s="143" t="str">
        <f>'matrik MISI GABUNG'!G234</f>
        <v>Peningkatan Pencegahan, Penanggulangan, dan Penanganan Bencana</v>
      </c>
      <c r="G82" s="1084" t="str">
        <f>'matrik MISI 3'!H18</f>
        <v>Membangun lingkungan hunian bersih dan sehat</v>
      </c>
      <c r="H82" s="143" t="str">
        <f>'matrik MISI GABUNG'!I234</f>
        <v>Meningkatkan Pencegahan, Penanggulangan, dan Penanganan Bencana kebakaran melalui upaya meningkatkan luasan pelayanan, waktu tanggap kebakaran dan penyediaan sarana prasarana pemadam kebakaran</v>
      </c>
      <c r="I82" s="147" t="str">
        <f>'matrik MISI GABUNG'!M234</f>
        <v>Program peningkatan kesiagaan dan pencegahan bahaya kebakaran</v>
      </c>
      <c r="J82" s="147" t="str">
        <f>'matrik MISI GABUNG'!N234</f>
        <v>Cakupan pelayanan bencana kebakaran kabupaten</v>
      </c>
      <c r="K82" s="147" t="str">
        <f>'matrik MISI GABUNG'!O234</f>
        <v>%</v>
      </c>
      <c r="L82" s="1050">
        <f>'matrik MISI GABUNG'!P234</f>
        <v>20</v>
      </c>
      <c r="M82" s="1050">
        <f>'matrik MISI GABUNG'!Q234</f>
        <v>20</v>
      </c>
      <c r="N82" s="1052">
        <f>'matrik MISI GABUNG'!V234</f>
        <v>80</v>
      </c>
      <c r="O82" s="147" t="str">
        <f>'matrik MISI GABUNG'!X234</f>
        <v>DPU</v>
      </c>
    </row>
    <row r="83" spans="2:15" ht="89.25">
      <c r="B83" s="145"/>
      <c r="C83" s="145"/>
      <c r="D83" s="143" t="str">
        <f>'matrik MISI GABUNG'!B238</f>
        <v>PENATAAN RUANG</v>
      </c>
      <c r="E83" s="143" t="str">
        <f>'matrik MISI GABUNG'!F238</f>
        <v xml:space="preserve">Meningkatnya Perencanaan, Pemanfaatan dan Pengendalian Ruang sesuai Peruntukkannya </v>
      </c>
      <c r="F83" s="143" t="str">
        <f>'matrik MISI GABUNG'!G238</f>
        <v xml:space="preserve">Peningkatan Perencanaan, Pemanfaatan dan Pengendalian Ruang sesuai Peruntukkannya </v>
      </c>
      <c r="G83" s="1084" t="str">
        <f>'matrik MISI 3'!H28</f>
        <v>Meningkatkan pengelolaan tata ruang dan lingkungan hidup</v>
      </c>
      <c r="H83" s="143" t="str">
        <f>'matrik MISI GABUNG'!I238</f>
        <v>Meningkatkan Perencanaan, Pemanfaatan dan Pengendalian Ruang sesuai Peruntukkannya melalui penyusunan dokumen tata ruang, pengendalian perizinan, penyediaan ruang khusus (RTH dan Pedestrian)</v>
      </c>
      <c r="I83" s="143" t="str">
        <f>'matrik MISI GABUNG'!M239</f>
        <v>Program Perencanaan Tata Ruang</v>
      </c>
      <c r="J83" s="147" t="str">
        <f>'matrik MISI GABUNG'!N239</f>
        <v>tersedianya informasi mengenai rencana tata ruang (RTR) beserta rencana rincinya</v>
      </c>
      <c r="K83" s="147" t="str">
        <f>'matrik MISI GABUNG'!O239</f>
        <v>PERDA</v>
      </c>
      <c r="L83" s="1050">
        <f>'matrik MISI GABUNG'!P239</f>
        <v>1</v>
      </c>
      <c r="M83" s="1050">
        <f>'matrik MISI GABUNG'!Q239</f>
        <v>1</v>
      </c>
      <c r="N83" s="1052">
        <f>'matrik MISI GABUNG'!V239</f>
        <v>3</v>
      </c>
      <c r="O83" s="147" t="str">
        <f>'matrik MISI GABUNG'!X239</f>
        <v>BAPPEDA / DPU</v>
      </c>
    </row>
    <row r="84" spans="2:15" ht="38.25">
      <c r="B84" s="145"/>
      <c r="C84" s="145"/>
      <c r="D84" s="145"/>
      <c r="E84" s="145"/>
      <c r="F84" s="145"/>
      <c r="G84" s="145"/>
      <c r="H84" s="145"/>
      <c r="I84" s="146"/>
      <c r="J84" s="147" t="str">
        <f>'matrik MISI GABUNG'!N241</f>
        <v>terlayaninya masyarakat dalam pengurusan ijin pemanfaatan ruang</v>
      </c>
      <c r="K84" s="147" t="str">
        <f>'matrik MISI GABUNG'!O241</f>
        <v>%</v>
      </c>
      <c r="L84" s="1050">
        <f>'matrik MISI GABUNG'!P241</f>
        <v>100</v>
      </c>
      <c r="M84" s="1050">
        <f>'matrik MISI GABUNG'!Q241</f>
        <v>100</v>
      </c>
      <c r="N84" s="1052">
        <f>'matrik MISI GABUNG'!V241</f>
        <v>100</v>
      </c>
      <c r="O84" s="147" t="str">
        <f>'matrik MISI GABUNG'!X241</f>
        <v>KP3M</v>
      </c>
    </row>
    <row r="85" spans="2:15" ht="51">
      <c r="B85" s="145"/>
      <c r="C85" s="145"/>
      <c r="D85" s="145"/>
      <c r="E85" s="145"/>
      <c r="F85" s="145"/>
      <c r="G85" s="145"/>
      <c r="H85" s="145"/>
      <c r="I85" s="143" t="str">
        <f>'matrik MISI GABUNG'!M242</f>
        <v>Program Pengendalian Pemanfaatan Ruang</v>
      </c>
      <c r="J85" s="147" t="str">
        <f>'matrik MISI GABUNG'!N243</f>
        <v xml:space="preserve">Cakupan tindakan awal terhadap pengaduan Masyarakat tentang Pelanggaran di Bidang Penataan Ruang </v>
      </c>
      <c r="K85" s="147" t="str">
        <f>'matrik MISI GABUNG'!O243</f>
        <v>%</v>
      </c>
      <c r="L85" s="1050">
        <f>'matrik MISI GABUNG'!P243</f>
        <v>85</v>
      </c>
      <c r="M85" s="1050">
        <f>'matrik MISI GABUNG'!Q243</f>
        <v>90</v>
      </c>
      <c r="N85" s="1052">
        <f>'matrik MISI GABUNG'!V243</f>
        <v>100</v>
      </c>
      <c r="O85" s="147" t="str">
        <f>'matrik MISI GABUNG'!X243</f>
        <v>DPU/BAPPEDA/KP3M/               SATPOL PP</v>
      </c>
    </row>
    <row r="86" spans="2:15" ht="38.25">
      <c r="B86" s="145"/>
      <c r="C86" s="145"/>
      <c r="D86" s="145"/>
      <c r="E86" s="145"/>
      <c r="F86" s="145"/>
      <c r="G86" s="145"/>
      <c r="H86" s="145"/>
      <c r="I86" s="147" t="str">
        <f>'matrik MISI GABUNG'!M244</f>
        <v>Program Pengelolaan ruang terbuka hijau (RTH)</v>
      </c>
      <c r="J86" s="147" t="str">
        <f>'matrik MISI GABUNG'!N244</f>
        <v>Tersedianya luasan ruang terbuka hijau publik pada skala kawasan/kota</v>
      </c>
      <c r="K86" s="147" t="str">
        <f>'matrik MISI GABUNG'!O244</f>
        <v>%</v>
      </c>
      <c r="L86" s="1050">
        <f>'matrik MISI GABUNG'!P244</f>
        <v>29.15</v>
      </c>
      <c r="M86" s="1050">
        <f>'matrik MISI GABUNG'!Q244</f>
        <v>29.15</v>
      </c>
      <c r="N86" s="1052">
        <f>'matrik MISI GABUNG'!V244</f>
        <v>31.25</v>
      </c>
      <c r="O86" s="147" t="str">
        <f>'matrik MISI GABUNG'!X244</f>
        <v>BLH/DPU</v>
      </c>
    </row>
    <row r="87" spans="2:15" ht="63.75">
      <c r="B87" s="145"/>
      <c r="C87" s="145"/>
      <c r="D87" s="143" t="str">
        <f>'matrik MISI GABUNG'!B246</f>
        <v>LINGKUNGAN HIDUP</v>
      </c>
      <c r="E87" s="143" t="str">
        <f>'matrik MISI GABUNG'!F246</f>
        <v>Meningkatnya Pengelolaan Persampahan</v>
      </c>
      <c r="F87" s="143" t="str">
        <f>'matrik MISI GABUNG'!G246</f>
        <v>peningkatan Pengelolaan Persampahan</v>
      </c>
      <c r="G87" s="1084" t="str">
        <f>'matrik MISI 3'!H28</f>
        <v>Meningkatkan pengelolaan tata ruang dan lingkungan hidup</v>
      </c>
      <c r="H87" s="143" t="str">
        <f>'matrik MISI GABUNG'!I246</f>
        <v>Meningkatkan Pengelolaan Persampahan yang didukung oleh meningkatnya peran serta masyarakat dalam pengelolaan persampahan</v>
      </c>
      <c r="I87" s="147" t="str">
        <f>'matrik MISI GABUNG'!M246</f>
        <v>Program Pengendalian Pencemaran dan Perusakan Lingkungan Hidup</v>
      </c>
      <c r="J87" s="147" t="str">
        <f>'matrik MISI GABUNG'!N246</f>
        <v>Cakupan Fasilitas Pengurangan Sampah di Perkotaan (TPST 3R)</v>
      </c>
      <c r="K87" s="147" t="str">
        <f>'matrik MISI GABUNG'!O246</f>
        <v>%</v>
      </c>
      <c r="L87" s="1050">
        <f>'matrik MISI GABUNG'!P246</f>
        <v>2.21</v>
      </c>
      <c r="M87" s="1050">
        <f>'matrik MISI GABUNG'!Q246</f>
        <v>2.9</v>
      </c>
      <c r="N87" s="1052">
        <f>'matrik MISI GABUNG'!V246</f>
        <v>14.5</v>
      </c>
      <c r="O87" s="147" t="str">
        <f>'matrik MISI GABUNG'!X246</f>
        <v>DPU/BLH</v>
      </c>
    </row>
    <row r="88" spans="2:15" ht="38.25">
      <c r="B88" s="145"/>
      <c r="C88" s="145"/>
      <c r="E88" s="145"/>
      <c r="F88" s="145"/>
      <c r="G88" s="1089"/>
      <c r="I88" s="143" t="str">
        <f>'matrik MISI GABUNG'!M247</f>
        <v>Program Pengembangan Kinerja Pengelolaan Persampahan</v>
      </c>
      <c r="J88" s="147" t="str">
        <f>'matrik MISI GABUNG'!N247</f>
        <v>Proporsi Sampah Terangkut terhadap Produksi Sampah se-Kab. Temanggung</v>
      </c>
      <c r="K88" s="147" t="str">
        <f>'matrik MISI GABUNG'!O247</f>
        <v>%</v>
      </c>
      <c r="L88" s="1050">
        <f>'matrik MISI GABUNG'!P247</f>
        <v>10.38</v>
      </c>
      <c r="M88" s="1050">
        <f>'matrik MISI GABUNG'!Q247</f>
        <v>10.35</v>
      </c>
      <c r="N88" s="1052" t="str">
        <f>'matrik MISI GABUNG'!V247</f>
        <v>14,50</v>
      </c>
      <c r="O88" s="147" t="str">
        <f>'matrik MISI GABUNG'!X247</f>
        <v>DPU</v>
      </c>
    </row>
    <row r="89" spans="2:15" ht="38.25">
      <c r="B89" s="145"/>
      <c r="C89" s="145"/>
      <c r="D89" s="145"/>
      <c r="E89" s="145"/>
      <c r="F89" s="145"/>
      <c r="G89" s="145"/>
      <c r="H89" s="145"/>
      <c r="I89" s="145"/>
      <c r="J89" s="147" t="str">
        <f>'matrik MISI GABUNG'!N250</f>
        <v>Terwujudnya TPA Temanggung wilayah Utara</v>
      </c>
      <c r="K89" s="147" t="str">
        <f>'matrik MISI GABUNG'!O250</f>
        <v>unit</v>
      </c>
      <c r="L89" s="1050" t="str">
        <f>'matrik MISI GABUNG'!P250</f>
        <v>-</v>
      </c>
      <c r="M89" s="1050" t="str">
        <f>'matrik MISI GABUNG'!Q250</f>
        <v>-</v>
      </c>
      <c r="N89" s="1052">
        <f>'matrik MISI GABUNG'!V250</f>
        <v>1</v>
      </c>
      <c r="O89" s="147" t="str">
        <f>'matrik MISI GABUNG'!X250</f>
        <v>DPU, Pemerintahan Umum, BLH</v>
      </c>
    </row>
    <row r="90" spans="2:15" ht="63.75">
      <c r="B90" s="145"/>
      <c r="C90" s="145"/>
      <c r="D90" s="145"/>
      <c r="E90" s="143" t="str">
        <f>'matrik MISI GABUNG'!F251</f>
        <v>Meningkatnya Kelestarian Lingkungan Hidup</v>
      </c>
      <c r="F90" s="143" t="str">
        <f>'matrik MISI GABUNG'!G251</f>
        <v>Peningkatan Kelestarian Lingkungan Hidup</v>
      </c>
      <c r="G90" s="1084" t="str">
        <f>'matrik MISI 3'!H28</f>
        <v>Meningkatkan pengelolaan tata ruang dan lingkungan hidup</v>
      </c>
      <c r="H90" s="143" t="str">
        <f>'matrik MISI GABUNG'!I251</f>
        <v>Meningkatkan Kelestarian Lingkungan Hidup khususnya penanganan dan pencegahan pencemaran air, udara, dan tanah</v>
      </c>
      <c r="I90" s="143" t="str">
        <f>'matrik MISI GABUNG'!M251</f>
        <v>Program Pengendalian Pencemaran dan Perusakan Lingkungan Hidup</v>
      </c>
      <c r="J90" s="147" t="str">
        <f>'matrik MISI GABUNG'!N251</f>
        <v>Persentase Usaha dan atau Kegiatan yang Mentaati Persyaratan Administrasi dan Teknis Pencegahan Pencemaran Air</v>
      </c>
      <c r="K90" s="147" t="str">
        <f>'matrik MISI GABUNG'!O251</f>
        <v>%</v>
      </c>
      <c r="L90" s="1050">
        <f>'matrik MISI GABUNG'!P251</f>
        <v>100</v>
      </c>
      <c r="M90" s="1050">
        <f>'matrik MISI GABUNG'!Q251</f>
        <v>100</v>
      </c>
      <c r="N90" s="1052">
        <f>'matrik MISI GABUNG'!V251</f>
        <v>100</v>
      </c>
      <c r="O90" s="147" t="str">
        <f>'matrik MISI GABUNG'!X251</f>
        <v>BLH</v>
      </c>
    </row>
    <row r="91" spans="2:15" ht="76.5">
      <c r="B91" s="145"/>
      <c r="C91" s="145"/>
      <c r="D91" s="145"/>
      <c r="E91" s="145"/>
      <c r="F91" s="145"/>
      <c r="G91" s="145"/>
      <c r="H91" s="145"/>
      <c r="I91" s="145"/>
      <c r="J91" s="147" t="str">
        <f>'matrik MISI GABUNG'!N252</f>
        <v>Persentase Usaha dan atau Kegiatan sumber yang Tidak Bergerak yang Memenuhi Persyaratan Administrasi dan Teknis Pencegahan Pencemaran Udara</v>
      </c>
      <c r="K91" s="147" t="str">
        <f>'matrik MISI GABUNG'!O252</f>
        <v>%</v>
      </c>
      <c r="L91" s="1050" t="str">
        <f>'matrik MISI GABUNG'!P252</f>
        <v>87,50</v>
      </c>
      <c r="M91" s="1050">
        <f>'matrik MISI GABUNG'!Q252</f>
        <v>100</v>
      </c>
      <c r="N91" s="1052">
        <f>'matrik MISI GABUNG'!V252</f>
        <v>100</v>
      </c>
      <c r="O91" s="147" t="str">
        <f>'matrik MISI GABUNG'!X252</f>
        <v>BLH</v>
      </c>
    </row>
    <row r="92" spans="2:15" ht="63.75">
      <c r="B92" s="145"/>
      <c r="C92" s="145"/>
      <c r="D92" s="145"/>
      <c r="E92" s="145"/>
      <c r="F92" s="145"/>
      <c r="G92" s="145"/>
      <c r="H92" s="145"/>
      <c r="I92" s="145"/>
      <c r="J92" s="147" t="str">
        <f>'matrik MISI GABUNG'!N253</f>
        <v>Persentase Luas Lahan yang ditetapkan dan diinformasikan status kerusakan lahan atau tanah untuk Produksi Biomassa Kerusakannya</v>
      </c>
      <c r="K92" s="147" t="str">
        <f>'matrik MISI GABUNG'!O253</f>
        <v>%</v>
      </c>
      <c r="L92" s="1050" t="str">
        <f>'matrik MISI GABUNG'!P253</f>
        <v>-</v>
      </c>
      <c r="M92" s="1050" t="str">
        <f>'matrik MISI GABUNG'!Q253</f>
        <v>-</v>
      </c>
      <c r="N92" s="1052">
        <f>'matrik MISI GABUNG'!V253</f>
        <v>100</v>
      </c>
      <c r="O92" s="147" t="str">
        <f>'matrik MISI GABUNG'!X253</f>
        <v>BLH</v>
      </c>
    </row>
    <row r="93" spans="2:15" ht="89.25">
      <c r="B93" s="145"/>
      <c r="C93" s="145"/>
      <c r="D93" s="143" t="str">
        <f>'matrik MISI GABUNG'!B257</f>
        <v>PERHUBUNGAN</v>
      </c>
      <c r="E93" s="143" t="str">
        <f>'matrik MISI GABUNG'!F257</f>
        <v>Meningkatnya Transportasi Masyarakat yang Memadai</v>
      </c>
      <c r="F93" s="143" t="str">
        <f>'matrik MISI GABUNG'!G257</f>
        <v>Peningkatan Transportasi Masyarakat yang Memadai</v>
      </c>
      <c r="G93" s="1084" t="str">
        <f>'matrik MISI 3'!H47</f>
        <v>Meningkatkan ketersediaan pelayananan transportasi masyarakat</v>
      </c>
      <c r="H93" s="143" t="str">
        <f>'matrik MISI GABUNG'!I257</f>
        <v>Meningkatkan Transportasi Masyarakat yang Memadai melalui uji kendaraan, meningkatnya keselamatan angkutan, meningkatnya tipe terminal, dan pengembangan rute baru angkutan umum</v>
      </c>
      <c r="I93" s="147" t="str">
        <f>'matrik MISI GABUNG'!M257</f>
        <v>Program peningkatan pelayanan angkutan</v>
      </c>
      <c r="J93" s="147" t="str">
        <f>'matrik MISI GABUNG'!N257</f>
        <v>Persentase Kendaraan yang Diuji</v>
      </c>
      <c r="K93" s="147" t="str">
        <f>'matrik MISI GABUNG'!O257</f>
        <v>%</v>
      </c>
      <c r="L93" s="1050">
        <f>'matrik MISI GABUNG'!P257</f>
        <v>81.400000000000006</v>
      </c>
      <c r="M93" s="1050">
        <f>'matrik MISI GABUNG'!Q257</f>
        <v>90.2</v>
      </c>
      <c r="N93" s="1052">
        <f>'matrik MISI GABUNG'!V257</f>
        <v>95</v>
      </c>
      <c r="O93" s="147" t="str">
        <f>'matrik MISI GABUNG'!X257</f>
        <v>DISHUBKOMINFO</v>
      </c>
    </row>
    <row r="94" spans="2:15" ht="38.25">
      <c r="B94" s="145"/>
      <c r="C94" s="145"/>
      <c r="D94" s="145"/>
      <c r="E94" s="145"/>
      <c r="F94" s="145"/>
      <c r="G94" s="145"/>
      <c r="H94" s="145"/>
      <c r="I94" s="147" t="str">
        <f>'matrik MISI GABUNG'!M258</f>
        <v>Program Rehabilitasi dan Pemeliharaan Prasarana dan Fasilitas LLAJ</v>
      </c>
      <c r="J94" s="147" t="str">
        <f>'matrik MISI GABUNG'!N258</f>
        <v>Persentase keselamatan angkutan umum</v>
      </c>
      <c r="K94" s="147" t="str">
        <f>'matrik MISI GABUNG'!O258</f>
        <v>%</v>
      </c>
      <c r="L94" s="1050">
        <f>'matrik MISI GABUNG'!P258</f>
        <v>81.400000000000006</v>
      </c>
      <c r="M94" s="1050">
        <f>'matrik MISI GABUNG'!Q258</f>
        <v>90.2</v>
      </c>
      <c r="N94" s="1052">
        <f>'matrik MISI GABUNG'!V258</f>
        <v>95</v>
      </c>
      <c r="O94" s="147" t="str">
        <f>'matrik MISI GABUNG'!X258</f>
        <v>DISHUBKOMINFO</v>
      </c>
    </row>
    <row r="95" spans="2:15" ht="25.5">
      <c r="B95" s="145"/>
      <c r="C95" s="145"/>
      <c r="D95" s="145"/>
      <c r="E95" s="145"/>
      <c r="F95" s="145"/>
      <c r="G95" s="145"/>
      <c r="H95" s="145"/>
      <c r="I95" s="143" t="str">
        <f>'matrik MISI GABUNG'!M259</f>
        <v>Program Pembangunan  Sarana dan Prasarana Perhubungan</v>
      </c>
      <c r="J95" s="147" t="str">
        <f>'matrik MISI GABUNG'!N259</f>
        <v>Tersedianya Fasilitas  Terminal (tipe b)</v>
      </c>
      <c r="K95" s="147" t="str">
        <f>'matrik MISI GABUNG'!O259</f>
        <v>Unit</v>
      </c>
      <c r="L95" s="1050">
        <f>'matrik MISI GABUNG'!P259</f>
        <v>1</v>
      </c>
      <c r="M95" s="1050">
        <f>'matrik MISI GABUNG'!Q259</f>
        <v>1</v>
      </c>
      <c r="N95" s="1052">
        <f>'matrik MISI GABUNG'!V259</f>
        <v>1</v>
      </c>
      <c r="O95" s="147" t="str">
        <f>'matrik MISI GABUNG'!X259</f>
        <v>DISHUBKOMINFO</v>
      </c>
    </row>
    <row r="96" spans="2:15">
      <c r="B96" s="145"/>
      <c r="C96" s="145"/>
      <c r="D96" s="145"/>
      <c r="E96" s="145"/>
      <c r="F96" s="145"/>
      <c r="G96" s="145"/>
      <c r="H96" s="145"/>
      <c r="I96" s="145"/>
      <c r="J96" s="147" t="str">
        <f>'matrik MISI GABUNG'!N260</f>
        <v>Tersedianya sub terminal (tipe c)</v>
      </c>
      <c r="K96" s="147" t="str">
        <f>'matrik MISI GABUNG'!O260</f>
        <v>Unit</v>
      </c>
      <c r="L96" s="1050">
        <f>'matrik MISI GABUNG'!P260</f>
        <v>12</v>
      </c>
      <c r="M96" s="1050">
        <f>'matrik MISI GABUNG'!Q260</f>
        <v>12</v>
      </c>
      <c r="N96" s="1052">
        <f>'matrik MISI GABUNG'!V260</f>
        <v>12</v>
      </c>
      <c r="O96" s="147" t="str">
        <f>'matrik MISI GABUNG'!X260</f>
        <v>DISHUBKOMINFO</v>
      </c>
    </row>
    <row r="97" spans="2:15" ht="25.5">
      <c r="B97" s="145"/>
      <c r="C97" s="145"/>
      <c r="D97" s="145"/>
      <c r="E97" s="145"/>
      <c r="F97" s="145"/>
      <c r="G97" s="145"/>
      <c r="H97" s="145"/>
      <c r="I97" s="146"/>
      <c r="J97" s="147" t="str">
        <f>'matrik MISI GABUNG'!N261</f>
        <v xml:space="preserve">Tersedianya Fasilitas Kelengkapan Jalan </v>
      </c>
      <c r="K97" s="147" t="str">
        <f>'matrik MISI GABUNG'!O261</f>
        <v>%</v>
      </c>
      <c r="L97" s="1050">
        <f>'matrik MISI GABUNG'!P261</f>
        <v>50</v>
      </c>
      <c r="M97" s="1050">
        <f>'matrik MISI GABUNG'!Q261</f>
        <v>60</v>
      </c>
      <c r="N97" s="1052">
        <f>'matrik MISI GABUNG'!V261</f>
        <v>69</v>
      </c>
      <c r="O97" s="147" t="str">
        <f>'matrik MISI GABUNG'!X261</f>
        <v>DISHUBKOMINFO</v>
      </c>
    </row>
    <row r="98" spans="2:15" s="923" customFormat="1">
      <c r="L98" s="1051"/>
      <c r="M98" s="1051"/>
      <c r="N98" s="1055"/>
    </row>
    <row r="99" spans="2:15" ht="114.75">
      <c r="B99" s="143">
        <v>4</v>
      </c>
      <c r="C99" s="143" t="str">
        <f>'visi misi'!A11</f>
        <v>Mewujudkan Peningkatan  Pendidikan yang Berkualitas tanpa Meninggalkan Kearifan Lokal</v>
      </c>
      <c r="D99" s="143" t="str">
        <f>'matrik MISI GABUNG'!B266</f>
        <v>PENDIDIKAN</v>
      </c>
      <c r="E99" s="143" t="str">
        <f>'matrik MISI GABUNG'!F266</f>
        <v>Meningkatnya Budi Pekerti, Tata Krama  dan Tata Nilai Budaya Jawa serta Keteladanan</v>
      </c>
      <c r="F99" s="143" t="str">
        <f>'matrik MISI GABUNG'!G266</f>
        <v>Peningkatan budi pekerti, tata krama, dan tata nilai budaya daerah serta keteladanan</v>
      </c>
      <c r="G99" s="1084" t="str">
        <f>'matrik MISI 4'!H8</f>
        <v xml:space="preserve">Mengembangkan Budi Pekerti, Tata Krama, Nilai Budaya dan Keteladanan Melalui Pendidikan </v>
      </c>
      <c r="H99" s="143" t="str">
        <f>'matrik MISI GABUNG'!I266</f>
        <v>Meningkatkan budi pekerti, tata krama, dan tata nilai budaya daerah serta keteladanan melalui penyusunan kurikulum muatan lokal budi pekerti, penyediaan buku muatan lokal budi pekerti, keteladanan guru, dan penenganan kenakalan siswa didik</v>
      </c>
      <c r="I99" s="143" t="str">
        <f>'matrik MISI GABUNG'!M267</f>
        <v>Pendidikan anak usia dini, Wajib belajar pendidikan dasar, Pendidikan menengah , dan Pendidikan nonformal</v>
      </c>
      <c r="J99" s="147" t="str">
        <f>'matrik MISI GABUNG'!N267</f>
        <v>Tersusun dan terlaksananya kurikulum muatan lokal Budi Pekerti dan Budaya Jawa</v>
      </c>
      <c r="K99" s="147" t="str">
        <f>'matrik MISI GABUNG'!O267</f>
        <v>%</v>
      </c>
      <c r="L99" s="1050" t="str">
        <f>'matrik MISI GABUNG'!P267</f>
        <v xml:space="preserve"> - </v>
      </c>
      <c r="M99" s="1050" t="str">
        <f>'matrik MISI GABUNG'!Q267</f>
        <v xml:space="preserve"> - </v>
      </c>
      <c r="N99" s="1052">
        <f>'matrik MISI GABUNG'!V267</f>
        <v>100</v>
      </c>
      <c r="O99" s="147" t="str">
        <f>'matrik MISI GABUNG'!X267</f>
        <v>Dinas Pendidikan</v>
      </c>
    </row>
    <row r="100" spans="2:15" ht="63.75">
      <c r="B100" s="145"/>
      <c r="C100" s="145"/>
      <c r="D100" s="145"/>
      <c r="E100" s="143" t="str">
        <f>'matrik MISI GABUNG'!F271</f>
        <v>Meningkatnya Aksebilitas Pendidikan Anak Usia Dini</v>
      </c>
      <c r="F100" s="143" t="str">
        <f>'matrik MISI GABUNG'!G271</f>
        <v>Peningkatan aksebilitas pendidikan anak usia dini</v>
      </c>
      <c r="G100" s="1084" t="str">
        <f>'matrik MISI 4'!H13</f>
        <v xml:space="preserve">Mengembangkan Aksesiblitas pendidikan dan peningkatan kualitas pendidikan </v>
      </c>
      <c r="H100" s="143" t="str">
        <f>'matrik MISI GABUNG'!I271</f>
        <v>Meningkatkan aksebilitas pendidikan anak usia dini melalui pengembangan pelayanan pendidikan terhadap anak usia 0-6 tahun (anak usia dini)</v>
      </c>
      <c r="I100" s="143" t="str">
        <f>'matrik MISI GABUNG'!M272</f>
        <v>Program pendidikan anak usia dini</v>
      </c>
      <c r="J100" s="147" t="str">
        <f>'matrik MISI GABUNG'!N272</f>
        <v>Persentase APK Pendidikan Anak Usia Dini (Usia 4-6 Tahun)</v>
      </c>
      <c r="K100" s="147" t="str">
        <f>'matrik MISI GABUNG'!O272</f>
        <v>%</v>
      </c>
      <c r="L100" s="1050">
        <f>'matrik MISI GABUNG'!P272</f>
        <v>62.54</v>
      </c>
      <c r="M100" s="1050">
        <f>'matrik MISI GABUNG'!Q272</f>
        <v>66.13</v>
      </c>
      <c r="N100" s="1052">
        <f>'matrik MISI GABUNG'!V272</f>
        <v>69.13</v>
      </c>
      <c r="O100" s="147" t="str">
        <f>'matrik MISI GABUNG'!X272</f>
        <v>Dinas Pendidkan</v>
      </c>
    </row>
    <row r="101" spans="2:15" ht="25.5">
      <c r="B101" s="145"/>
      <c r="C101" s="145"/>
      <c r="D101" s="145"/>
      <c r="E101" s="145"/>
      <c r="F101" s="145"/>
      <c r="G101" s="145"/>
      <c r="H101" s="145"/>
      <c r="I101" s="145"/>
      <c r="J101" s="147" t="str">
        <f>'matrik MISI GABUNG'!N273</f>
        <v>Persentase APK Pendidikan Anak Usia Dini (Usia 0-6 Tahun)</v>
      </c>
      <c r="K101" s="147" t="str">
        <f>'matrik MISI GABUNG'!O273</f>
        <v>%</v>
      </c>
      <c r="L101" s="1050">
        <f>'matrik MISI GABUNG'!P273</f>
        <v>32.32</v>
      </c>
      <c r="M101" s="1050">
        <f>'matrik MISI GABUNG'!Q273</f>
        <v>32.36</v>
      </c>
      <c r="N101" s="1052">
        <f>'matrik MISI GABUNG'!V273</f>
        <v>32.56</v>
      </c>
      <c r="O101" s="147" t="str">
        <f>'matrik MISI GABUNG'!X273</f>
        <v>Dinas Pendidkan</v>
      </c>
    </row>
    <row r="102" spans="2:15" ht="63.75">
      <c r="B102" s="145"/>
      <c r="C102" s="145"/>
      <c r="D102" s="145"/>
      <c r="E102" s="143" t="str">
        <f>'matrik MISI GABUNG'!F277</f>
        <v>Meningkatnya Aksebilitas Pendidikan Dasar</v>
      </c>
      <c r="F102" s="143" t="str">
        <f>'matrik MISI GABUNG'!G277</f>
        <v>Peningkatan aksebilitas pendidikan dasar</v>
      </c>
      <c r="G102" s="1084" t="str">
        <f>'matrik MISI 4'!H13</f>
        <v xml:space="preserve">Mengembangkan Aksesiblitas pendidikan dan peningkatan kualitas pendidikan </v>
      </c>
      <c r="H102" s="143" t="str">
        <f>'matrik MISI GABUNG'!I277</f>
        <v>Meningkatkan aksebilitas pendidikan dasar melalui pengembangan pelayanan pendidikan dasar dan pemberian beasiswa</v>
      </c>
      <c r="I102" s="143" t="str">
        <f>'matrik MISI GABUNG'!M278</f>
        <v>Program wajib belajar pendidikan dasar sembilan tahun</v>
      </c>
      <c r="J102" s="147" t="str">
        <f>'matrik MISI GABUNG'!N278</f>
        <v>Persentase APK SD Sederajat</v>
      </c>
      <c r="K102" s="147" t="str">
        <f>'matrik MISI GABUNG'!O278</f>
        <v>%</v>
      </c>
      <c r="L102" s="1050">
        <f>'matrik MISI GABUNG'!P278</f>
        <v>103.5</v>
      </c>
      <c r="M102" s="1050">
        <f>'matrik MISI GABUNG'!Q278</f>
        <v>103.55</v>
      </c>
      <c r="N102" s="1052">
        <f>'matrik MISI GABUNG'!V278</f>
        <v>103.7</v>
      </c>
      <c r="O102" s="147" t="str">
        <f>'matrik MISI GABUNG'!X278</f>
        <v>Dinas Pendidikan</v>
      </c>
    </row>
    <row r="103" spans="2:15">
      <c r="B103" s="145"/>
      <c r="C103" s="145"/>
      <c r="D103" s="145"/>
      <c r="E103" s="145"/>
      <c r="F103" s="145"/>
      <c r="G103" s="145"/>
      <c r="H103" s="145"/>
      <c r="I103" s="145"/>
      <c r="J103" s="147" t="str">
        <f>'matrik MISI GABUNG'!N279</f>
        <v>Persentase APM SD Sederajat</v>
      </c>
      <c r="K103" s="147" t="str">
        <f>'matrik MISI GABUNG'!O279</f>
        <v>%</v>
      </c>
      <c r="L103" s="1050">
        <f>'matrik MISI GABUNG'!P279</f>
        <v>95.4</v>
      </c>
      <c r="M103" s="1050">
        <f>'matrik MISI GABUNG'!Q279</f>
        <v>95.42</v>
      </c>
      <c r="N103" s="1052">
        <f>'matrik MISI GABUNG'!V279</f>
        <v>95.57</v>
      </c>
      <c r="O103" s="147" t="str">
        <f>'matrik MISI GABUNG'!X279</f>
        <v>Dinas Pendidikan</v>
      </c>
    </row>
    <row r="104" spans="2:15">
      <c r="B104" s="145"/>
      <c r="C104" s="145"/>
      <c r="D104" s="145"/>
      <c r="E104" s="145"/>
      <c r="F104" s="145"/>
      <c r="G104" s="145"/>
      <c r="H104" s="145"/>
      <c r="I104" s="145"/>
      <c r="J104" s="147" t="str">
        <f>'matrik MISI GABUNG'!N280</f>
        <v>Persentase APK SMP Sederajat</v>
      </c>
      <c r="K104" s="147" t="str">
        <f>'matrik MISI GABUNG'!O280</f>
        <v>%</v>
      </c>
      <c r="L104" s="1050">
        <f>'matrik MISI GABUNG'!P280</f>
        <v>96</v>
      </c>
      <c r="M104" s="1050">
        <f>'matrik MISI GABUNG'!Q280</f>
        <v>96.03</v>
      </c>
      <c r="N104" s="1052">
        <f>'matrik MISI GABUNG'!V280</f>
        <v>96.15</v>
      </c>
      <c r="O104" s="147" t="str">
        <f>'matrik MISI GABUNG'!X280</f>
        <v>Dinas Pendidikan</v>
      </c>
    </row>
    <row r="105" spans="2:15">
      <c r="B105" s="145"/>
      <c r="C105" s="145"/>
      <c r="D105" s="145"/>
      <c r="E105" s="145"/>
      <c r="F105" s="145"/>
      <c r="G105" s="145"/>
      <c r="H105" s="145"/>
      <c r="I105" s="145"/>
      <c r="J105" s="147" t="str">
        <f>'matrik MISI GABUNG'!N281</f>
        <v>Persentase APM SMP Sederajat</v>
      </c>
      <c r="K105" s="147" t="str">
        <f>'matrik MISI GABUNG'!O281</f>
        <v>%</v>
      </c>
      <c r="L105" s="1050">
        <f>'matrik MISI GABUNG'!P281</f>
        <v>83.63</v>
      </c>
      <c r="M105" s="1050">
        <f>'matrik MISI GABUNG'!Q281</f>
        <v>83.66</v>
      </c>
      <c r="N105" s="1052">
        <f>'matrik MISI GABUNG'!V281</f>
        <v>83.81</v>
      </c>
      <c r="O105" s="147" t="str">
        <f>'matrik MISI GABUNG'!X281</f>
        <v>Dinas Pendidikan</v>
      </c>
    </row>
    <row r="106" spans="2:15" ht="25.5">
      <c r="B106" s="145"/>
      <c r="C106" s="145"/>
      <c r="D106" s="145"/>
      <c r="E106" s="145"/>
      <c r="F106" s="145"/>
      <c r="G106" s="145"/>
      <c r="H106" s="145"/>
      <c r="I106" s="145"/>
      <c r="J106" s="147" t="str">
        <f>'matrik MISI GABUNG'!N282</f>
        <v>Persentase Angka  Melanjutkan ke SMP Sederajat</v>
      </c>
      <c r="K106" s="147" t="str">
        <f>'matrik MISI GABUNG'!O282</f>
        <v>%</v>
      </c>
      <c r="L106" s="1050">
        <f>'matrik MISI GABUNG'!P282</f>
        <v>95.34094966083542</v>
      </c>
      <c r="M106" s="1050">
        <f>'matrik MISI GABUNG'!Q282</f>
        <v>95.37</v>
      </c>
      <c r="N106" s="1052">
        <f>'matrik MISI GABUNG'!V282</f>
        <v>100</v>
      </c>
      <c r="O106" s="147" t="str">
        <f>'matrik MISI GABUNG'!X282</f>
        <v>Dinas Pendidikan</v>
      </c>
    </row>
    <row r="107" spans="2:15" ht="38.25">
      <c r="B107" s="145"/>
      <c r="C107" s="145"/>
      <c r="D107" s="145"/>
      <c r="E107" s="145"/>
      <c r="F107" s="145"/>
      <c r="G107" s="145"/>
      <c r="H107" s="145"/>
      <c r="I107" s="145"/>
      <c r="J107" s="147" t="str">
        <f>'matrik MISI GABUNG'!N286</f>
        <v>Persentase Siswa Miskin Penerima Beasiswa  untuk Menempuh Pendidikan Dasar</v>
      </c>
      <c r="K107" s="147" t="str">
        <f>'matrik MISI GABUNG'!O286</f>
        <v>%</v>
      </c>
      <c r="L107" s="1050" t="str">
        <f>'matrik MISI GABUNG'!P286</f>
        <v>65,62</v>
      </c>
      <c r="M107" s="1050" t="str">
        <f>'matrik MISI GABUNG'!Q286</f>
        <v>68,13</v>
      </c>
      <c r="N107" s="1052" t="str">
        <f>'matrik MISI GABUNG'!V286</f>
        <v>74,42</v>
      </c>
      <c r="O107" s="147" t="str">
        <f>'matrik MISI GABUNG'!X286</f>
        <v>Dinas Pendidikan</v>
      </c>
    </row>
    <row r="108" spans="2:15" ht="89.25">
      <c r="B108" s="145"/>
      <c r="C108" s="145"/>
      <c r="D108" s="145"/>
      <c r="E108" s="143" t="str">
        <f>'matrik MISI GABUNG'!F289</f>
        <v>Meningkatnya Aksesibilitas Pendidikan Menengah</v>
      </c>
      <c r="F108" s="143" t="str">
        <f>'matrik MISI GABUNG'!G289</f>
        <v>Peningkatan aksebilitas pendidikan menengah</v>
      </c>
      <c r="G108" s="1084" t="str">
        <f>'matrik MISI 4'!H13</f>
        <v xml:space="preserve">Mengembangkan Aksesiblitas pendidikan dan peningkatan kualitas pendidikan </v>
      </c>
      <c r="H108" s="143" t="str">
        <f>'matrik MISI GABUNG'!I289</f>
        <v>Meningkatkan aksebilitas pendidikan menengah melalui pengembangan pelayanan pendidikan menengah dan pemberian beasiswa serta penyediaan unit sekolah menengah</v>
      </c>
      <c r="I108" s="143" t="str">
        <f>'matrik MISI GABUNG'!M290</f>
        <v xml:space="preserve">Program pendidikan menengah </v>
      </c>
      <c r="J108" s="147" t="str">
        <f>'matrik MISI GABUNG'!N290</f>
        <v>Persentase APK Pendidikan Menengah</v>
      </c>
      <c r="K108" s="147" t="str">
        <f>'matrik MISI GABUNG'!O290</f>
        <v>%</v>
      </c>
      <c r="L108" s="1050">
        <f>'matrik MISI GABUNG'!P290</f>
        <v>56.56</v>
      </c>
      <c r="M108" s="1050">
        <f>'matrik MISI GABUNG'!Q290</f>
        <v>56.66</v>
      </c>
      <c r="N108" s="1052">
        <f>'matrik MISI GABUNG'!V290</f>
        <v>57.16</v>
      </c>
      <c r="O108" s="147" t="str">
        <f>'matrik MISI GABUNG'!X290</f>
        <v>Dinas Pendidikan</v>
      </c>
    </row>
    <row r="109" spans="2:15" ht="25.5">
      <c r="B109" s="145"/>
      <c r="C109" s="145"/>
      <c r="D109" s="145"/>
      <c r="E109" s="145"/>
      <c r="F109" s="145"/>
      <c r="G109" s="145"/>
      <c r="H109" s="145"/>
      <c r="I109" s="145"/>
      <c r="J109" s="147" t="str">
        <f>'matrik MISI GABUNG'!N291</f>
        <v>Persentase APM Pendidikan Menengah</v>
      </c>
      <c r="K109" s="147" t="str">
        <f>'matrik MISI GABUNG'!O291</f>
        <v>%</v>
      </c>
      <c r="L109" s="1050">
        <f>'matrik MISI GABUNG'!P291</f>
        <v>39.549999999999997</v>
      </c>
      <c r="M109" s="1050">
        <f>'matrik MISI GABUNG'!Q291</f>
        <v>39.65</v>
      </c>
      <c r="N109" s="1052">
        <f>'matrik MISI GABUNG'!V291</f>
        <v>40.15</v>
      </c>
      <c r="O109" s="147" t="str">
        <f>'matrik MISI GABUNG'!X291</f>
        <v>Dinas Pendidikan</v>
      </c>
    </row>
    <row r="110" spans="2:15" ht="25.5">
      <c r="B110" s="145"/>
      <c r="C110" s="145"/>
      <c r="D110" s="145"/>
      <c r="E110" s="145"/>
      <c r="F110" s="145"/>
      <c r="G110" s="145"/>
      <c r="H110" s="145"/>
      <c r="I110" s="145"/>
      <c r="J110" s="147" t="str">
        <f>'matrik MISI GABUNG'!N292</f>
        <v>Angka Melanjutkan ke Jenjang Pendidikan Menengah</v>
      </c>
      <c r="K110" s="147" t="str">
        <f>'matrik MISI GABUNG'!O292</f>
        <v>%</v>
      </c>
      <c r="L110" s="1050">
        <f>'matrik MISI GABUNG'!P292</f>
        <v>65.479140850888058</v>
      </c>
      <c r="M110" s="1050">
        <f>'matrik MISI GABUNG'!Q292</f>
        <v>65.569999999999993</v>
      </c>
      <c r="N110" s="1052">
        <f>'matrik MISI GABUNG'!V292</f>
        <v>66.02</v>
      </c>
      <c r="O110" s="147" t="str">
        <f>'matrik MISI GABUNG'!X292</f>
        <v>Dinas Pendidikan</v>
      </c>
    </row>
    <row r="111" spans="2:15" ht="51">
      <c r="B111" s="145"/>
      <c r="C111" s="145"/>
      <c r="D111" s="145"/>
      <c r="E111" s="145"/>
      <c r="F111" s="145"/>
      <c r="G111" s="145"/>
      <c r="H111" s="145"/>
      <c r="I111" s="145"/>
      <c r="J111" s="147" t="str">
        <f>'matrik MISI GABUNG'!N296</f>
        <v>Persentase Siswa Miskin Penerima Beasiswa untuk Menempuh Pendidikan Menengah</v>
      </c>
      <c r="K111" s="147" t="str">
        <f>'matrik MISI GABUNG'!O296</f>
        <v>%</v>
      </c>
      <c r="L111" s="1050">
        <f>'matrik MISI GABUNG'!P296</f>
        <v>0</v>
      </c>
      <c r="M111" s="1050">
        <f>'matrik MISI GABUNG'!Q296</f>
        <v>24</v>
      </c>
      <c r="N111" s="1052" t="str">
        <f>'matrik MISI GABUNG'!V296</f>
        <v>50,76</v>
      </c>
      <c r="O111" s="147" t="str">
        <f>'matrik MISI GABUNG'!X296</f>
        <v>Dinas Pendidikan</v>
      </c>
    </row>
    <row r="112" spans="2:15" ht="63.75">
      <c r="B112" s="145"/>
      <c r="C112" s="145"/>
      <c r="D112" s="145"/>
      <c r="E112" s="143" t="str">
        <f>'matrik MISI GABUNG'!F300</f>
        <v>Meningkatnya Aksesibilitas Pendidikan Non Formal</v>
      </c>
      <c r="F112" s="143" t="str">
        <f>'matrik MISI GABUNG'!G300</f>
        <v>Peningkatan aksebilitas pendidikan nonformal</v>
      </c>
      <c r="G112" s="1084" t="str">
        <f>'matrik MISI 4'!H13</f>
        <v xml:space="preserve">Mengembangkan Aksesiblitas pendidikan dan peningkatan kualitas pendidikan </v>
      </c>
      <c r="H112" s="143" t="str">
        <f>'matrik MISI GABUNG'!I300</f>
        <v>Meningkatkan aksebilitas pendidikan nonformal melalui pengembangan pelayanan pendidikan kesetaraan di masyarakat</v>
      </c>
      <c r="I112" s="143" t="str">
        <f>'matrik MISI GABUNG'!M301</f>
        <v>Program Pendidikan Non Formal</v>
      </c>
      <c r="J112" s="147" t="str">
        <f>'matrik MISI GABUNG'!N301</f>
        <v>Persentase Angka Melek Huruf Usia ≥ 15 tahun</v>
      </c>
      <c r="K112" s="147" t="str">
        <f>'matrik MISI GABUNG'!O301</f>
        <v>%</v>
      </c>
      <c r="L112" s="1050">
        <f>'matrik MISI GABUNG'!P301</f>
        <v>97.82</v>
      </c>
      <c r="M112" s="1050">
        <f>'matrik MISI GABUNG'!Q301</f>
        <v>97.9</v>
      </c>
      <c r="N112" s="1052">
        <f>'matrik MISI GABUNG'!V301</f>
        <v>99.17</v>
      </c>
      <c r="O112" s="147" t="str">
        <f>'matrik MISI GABUNG'!X301</f>
        <v>Dinas Pendidikan</v>
      </c>
    </row>
    <row r="113" spans="2:15" ht="38.25">
      <c r="B113" s="145"/>
      <c r="C113" s="145"/>
      <c r="D113" s="145"/>
      <c r="E113" s="145"/>
      <c r="F113" s="145"/>
      <c r="G113" s="145"/>
      <c r="H113" s="145"/>
      <c r="I113" s="145"/>
      <c r="J113" s="147" t="str">
        <f>'matrik MISI GABUNG'!N302</f>
        <v>Rata-rata Lama Sekolah</v>
      </c>
      <c r="K113" s="147" t="str">
        <f>'matrik MISI GABUNG'!O302</f>
        <v>Tahun</v>
      </c>
      <c r="L113" s="1050">
        <f>'matrik MISI GABUNG'!P302</f>
        <v>7.1</v>
      </c>
      <c r="M113" s="1050">
        <f>'matrik MISI GABUNG'!Q302</f>
        <v>7.1</v>
      </c>
      <c r="N113" s="1052">
        <f>'matrik MISI GABUNG'!V302</f>
        <v>7.19</v>
      </c>
      <c r="O113" s="147" t="str">
        <f>'matrik MISI GABUNG'!X302</f>
        <v>Badan Pusat Statistik, Dinas Pendiidikan</v>
      </c>
    </row>
    <row r="114" spans="2:15" ht="102">
      <c r="B114" s="145"/>
      <c r="C114" s="145"/>
      <c r="D114" s="145"/>
      <c r="E114" s="143" t="str">
        <f>'matrik MISI GABUNG'!F308</f>
        <v>Meningkatnya Kualitas Pendidikan Dasar</v>
      </c>
      <c r="F114" s="143" t="str">
        <f>'matrik MISI GABUNG'!G308</f>
        <v>Peningkatan kualitas pendidikan dasar</v>
      </c>
      <c r="G114" s="1084" t="str">
        <f>'matrik MISI 4'!H13</f>
        <v xml:space="preserve">Mengembangkan Aksesiblitas pendidikan dan peningkatan kualitas pendidikan </v>
      </c>
      <c r="H114" s="143" t="str">
        <f>'matrik MISI GABUNG'!I308</f>
        <v>Meningkatkan kualitas pendidikan dasar melalui pelaksanaan akreditasi sekolah SD/MI dan SMP/MTs, dan peningkatan kelulusan dengan rerata hasil ujian nasional minimal 7 untuk SD/MI dan SMP/MtS</v>
      </c>
      <c r="I114" s="143" t="str">
        <f>'matrik MISI GABUNG'!M309</f>
        <v>Program manajemen pelayanan pendidikan</v>
      </c>
      <c r="J114" s="147" t="str">
        <f>'matrik MISI GABUNG'!N309</f>
        <v>Persentase SD/MI Terakreditasi A</v>
      </c>
      <c r="K114" s="147" t="str">
        <f>'matrik MISI GABUNG'!O309</f>
        <v>%</v>
      </c>
      <c r="L114" s="1050">
        <f>'matrik MISI GABUNG'!P309</f>
        <v>2.97</v>
      </c>
      <c r="M114" s="1050">
        <f>'matrik MISI GABUNG'!Q309</f>
        <v>2.97</v>
      </c>
      <c r="N114" s="1052">
        <f>'matrik MISI GABUNG'!V309</f>
        <v>4.67</v>
      </c>
      <c r="O114" s="147" t="str">
        <f>'matrik MISI GABUNG'!X309</f>
        <v>Dinas Pendidikan</v>
      </c>
    </row>
    <row r="115" spans="2:15" ht="25.5">
      <c r="B115" s="145"/>
      <c r="C115" s="145"/>
      <c r="D115" s="145"/>
      <c r="E115" s="145"/>
      <c r="F115" s="145"/>
      <c r="G115" s="145"/>
      <c r="H115" s="145"/>
      <c r="I115" s="145"/>
      <c r="J115" s="147" t="str">
        <f>'matrik MISI GABUNG'!N312</f>
        <v>Persentase SMP/MTs Terakreditasi A</v>
      </c>
      <c r="K115" s="147" t="str">
        <f>'matrik MISI GABUNG'!O312</f>
        <v>%</v>
      </c>
      <c r="L115" s="1050">
        <f>'matrik MISI GABUNG'!P312</f>
        <v>21.9</v>
      </c>
      <c r="M115" s="1050">
        <f>'matrik MISI GABUNG'!Q312</f>
        <v>21.9</v>
      </c>
      <c r="N115" s="1052">
        <f>'matrik MISI GABUNG'!V312</f>
        <v>31.4</v>
      </c>
      <c r="O115" s="147" t="str">
        <f>'matrik MISI GABUNG'!X312</f>
        <v>Dinas Pendidikan</v>
      </c>
    </row>
    <row r="116" spans="2:15" ht="25.5">
      <c r="B116" s="145"/>
      <c r="C116" s="145"/>
      <c r="D116" s="145"/>
      <c r="E116" s="145"/>
      <c r="F116" s="145"/>
      <c r="G116" s="145"/>
      <c r="H116" s="145"/>
      <c r="I116" s="145"/>
      <c r="J116" s="147" t="str">
        <f>'matrik MISI GABUNG'!N315</f>
        <v>Persentase Angka Lulusan SD/MI</v>
      </c>
      <c r="K116" s="147" t="str">
        <f>'matrik MISI GABUNG'!O315</f>
        <v>%</v>
      </c>
      <c r="L116" s="1050">
        <f>'matrik MISI GABUNG'!P315</f>
        <v>99.99</v>
      </c>
      <c r="M116" s="1050">
        <f>'matrik MISI GABUNG'!Q315</f>
        <v>100</v>
      </c>
      <c r="N116" s="1052">
        <f>'matrik MISI GABUNG'!V315</f>
        <v>100</v>
      </c>
      <c r="O116" s="147" t="str">
        <f>'matrik MISI GABUNG'!X315</f>
        <v>Dinas Pendidikan</v>
      </c>
    </row>
    <row r="117" spans="2:15" ht="25.5">
      <c r="B117" s="145"/>
      <c r="C117" s="145"/>
      <c r="D117" s="145"/>
      <c r="E117" s="145"/>
      <c r="F117" s="145"/>
      <c r="G117" s="145"/>
      <c r="H117" s="145"/>
      <c r="I117" s="145"/>
      <c r="J117" s="147" t="str">
        <f>'matrik MISI GABUNG'!N316</f>
        <v>Persentase Angka Lulusan SMP/MTs</v>
      </c>
      <c r="K117" s="147" t="str">
        <f>'matrik MISI GABUNG'!O316</f>
        <v>%</v>
      </c>
      <c r="L117" s="1050">
        <f>'matrik MISI GABUNG'!P316</f>
        <v>98.13</v>
      </c>
      <c r="M117" s="1050">
        <f>'matrik MISI GABUNG'!Q316</f>
        <v>99.17</v>
      </c>
      <c r="N117" s="1052">
        <f>'matrik MISI GABUNG'!V316</f>
        <v>100</v>
      </c>
      <c r="O117" s="147" t="str">
        <f>'matrik MISI GABUNG'!X316</f>
        <v>Dinas Pendidikan</v>
      </c>
    </row>
    <row r="118" spans="2:15" ht="38.25">
      <c r="B118" s="145"/>
      <c r="C118" s="145"/>
      <c r="D118" s="145"/>
      <c r="E118" s="145"/>
      <c r="F118" s="145"/>
      <c r="G118" s="145"/>
      <c r="H118" s="145"/>
      <c r="I118" s="143" t="str">
        <f>'matrik MISI GABUNG'!M319</f>
        <v>Program Wajib Belajar Pendidikan Dasar Sembilan Tahun</v>
      </c>
      <c r="J118" s="147" t="str">
        <f>'matrik MISI GABUNG'!N319</f>
        <v>Persentase Siswa Baru SD/MI yang berasal dari TK/RA</v>
      </c>
      <c r="K118" s="147" t="str">
        <f>'matrik MISI GABUNG'!O319</f>
        <v>%</v>
      </c>
      <c r="L118" s="1050">
        <f>'matrik MISI GABUNG'!P319</f>
        <v>94.809186374114205</v>
      </c>
      <c r="M118" s="1050">
        <f>'matrik MISI GABUNG'!Q319</f>
        <v>94.82</v>
      </c>
      <c r="N118" s="1052">
        <f>'matrik MISI GABUNG'!V319</f>
        <v>94.87</v>
      </c>
      <c r="O118" s="147" t="str">
        <f>'matrik MISI GABUNG'!X319</f>
        <v>Dinas Pendidikan</v>
      </c>
    </row>
    <row r="119" spans="2:15">
      <c r="B119" s="145"/>
      <c r="C119" s="145"/>
      <c r="D119" s="145"/>
      <c r="E119" s="145"/>
      <c r="F119" s="145"/>
      <c r="G119" s="145"/>
      <c r="H119" s="145"/>
      <c r="I119" s="145"/>
      <c r="J119" s="147" t="str">
        <f>'matrik MISI GABUNG'!N320</f>
        <v>Angka Putus Sekolah SD/MI</v>
      </c>
      <c r="K119" s="147" t="str">
        <f>'matrik MISI GABUNG'!O320</f>
        <v>%</v>
      </c>
      <c r="L119" s="1050">
        <f>'matrik MISI GABUNG'!P320</f>
        <v>0.2</v>
      </c>
      <c r="M119" s="1050">
        <f>'matrik MISI GABUNG'!Q320</f>
        <v>0.18</v>
      </c>
      <c r="N119" s="1052">
        <f>'matrik MISI GABUNG'!V320</f>
        <v>0.13</v>
      </c>
      <c r="O119" s="147" t="str">
        <f>'matrik MISI GABUNG'!X320</f>
        <v>Dinas Pendidikan</v>
      </c>
    </row>
    <row r="120" spans="2:15">
      <c r="B120" s="145"/>
      <c r="C120" s="145"/>
      <c r="D120" s="145"/>
      <c r="E120" s="145"/>
      <c r="F120" s="145"/>
      <c r="G120" s="145"/>
      <c r="H120" s="145"/>
      <c r="I120" s="146"/>
      <c r="J120" s="147" t="str">
        <f>'matrik MISI GABUNG'!N321</f>
        <v>Angka Putus Sekolah SMP/MTs</v>
      </c>
      <c r="K120" s="147" t="str">
        <f>'matrik MISI GABUNG'!O321</f>
        <v>%</v>
      </c>
      <c r="L120" s="1050">
        <f>'matrik MISI GABUNG'!P321</f>
        <v>0.44489263257800449</v>
      </c>
      <c r="M120" s="1050">
        <f>'matrik MISI GABUNG'!Q321</f>
        <v>0.43</v>
      </c>
      <c r="N120" s="1052">
        <f>'matrik MISI GABUNG'!V321</f>
        <v>0.33800000000000002</v>
      </c>
      <c r="O120" s="147" t="str">
        <f>'matrik MISI GABUNG'!X321</f>
        <v>Dinas Pendidikan</v>
      </c>
    </row>
    <row r="121" spans="2:15" ht="38.25">
      <c r="B121" s="145"/>
      <c r="C121" s="145"/>
      <c r="D121" s="145"/>
      <c r="E121" s="145"/>
      <c r="F121" s="145"/>
      <c r="G121" s="145"/>
      <c r="H121" s="145"/>
      <c r="I121" s="143" t="str">
        <f>'matrik MISI GABUNG'!M322</f>
        <v>Manajemen Pelayanan Pendidikan</v>
      </c>
      <c r="J121" s="147" t="str">
        <f>'matrik MISI GABUNG'!N322</f>
        <v>Cakupan ketersediaan rencana pengembangan kurikulum dan proses pembelajaran yang efektif</v>
      </c>
      <c r="K121" s="147" t="str">
        <f>'matrik MISI GABUNG'!O322</f>
        <v>%</v>
      </c>
      <c r="L121" s="1050">
        <f>'matrik MISI GABUNG'!P322</f>
        <v>100</v>
      </c>
      <c r="M121" s="1050">
        <f>'matrik MISI GABUNG'!Q322</f>
        <v>100</v>
      </c>
      <c r="N121" s="1052">
        <f>'matrik MISI GABUNG'!V322</f>
        <v>100</v>
      </c>
      <c r="O121" s="147" t="str">
        <f>'matrik MISI GABUNG'!X322</f>
        <v>Dinas Pendidikan</v>
      </c>
    </row>
    <row r="122" spans="2:15" ht="102">
      <c r="B122" s="145"/>
      <c r="C122" s="145"/>
      <c r="D122" s="145"/>
      <c r="E122" s="143" t="str">
        <f>'matrik MISI GABUNG'!F324</f>
        <v>Meningkatnya Kualitas Pendidikan Menengah</v>
      </c>
      <c r="F122" s="143" t="str">
        <f>'matrik MISI GABUNG'!G324</f>
        <v>Peningkatan kualitas pendidikan menengah</v>
      </c>
      <c r="G122" s="1084" t="str">
        <f>'matrik MISI 4'!H13</f>
        <v xml:space="preserve">Mengembangkan Aksesiblitas pendidikan dan peningkatan kualitas pendidikan </v>
      </c>
      <c r="H122" s="143" t="str">
        <f>'matrik MISI GABUNG'!I324</f>
        <v>Meningkatkan kualitas pendidikan dasar melalui pelaksanaan akreditasi sekolah SMA/MA dan akreditasi program keahlian SMK , dan peningkatan kelulusan dengan rerata hasil ujian nasional minimal 7 untuk SMA/MA</v>
      </c>
      <c r="I122" s="147" t="str">
        <f>'matrik MISI GABUNG'!M325</f>
        <v>Program manajemen pelayanan pendidikan</v>
      </c>
      <c r="J122" s="147" t="str">
        <f>'matrik MISI GABUNG'!N325</f>
        <v>Persentase SMA/MA Terakreditasi A</v>
      </c>
      <c r="K122" s="147" t="str">
        <f>'matrik MISI GABUNG'!O325</f>
        <v>%</v>
      </c>
      <c r="L122" s="1050">
        <f>'matrik MISI GABUNG'!P325</f>
        <v>29.63</v>
      </c>
      <c r="M122" s="1050">
        <f>'matrik MISI GABUNG'!Q325</f>
        <v>29.63</v>
      </c>
      <c r="N122" s="1052">
        <f>'matrik MISI GABUNG'!V325</f>
        <v>48.13</v>
      </c>
      <c r="O122" s="147" t="str">
        <f>'matrik MISI GABUNG'!X325</f>
        <v>Dinas Pendidikan</v>
      </c>
    </row>
    <row r="123" spans="2:15" ht="25.5">
      <c r="B123" s="145"/>
      <c r="C123" s="145"/>
      <c r="D123" s="145"/>
      <c r="E123" s="145"/>
      <c r="F123" s="145"/>
      <c r="G123" s="145"/>
      <c r="H123" s="145"/>
      <c r="I123" s="145"/>
      <c r="J123" s="147" t="str">
        <f>'matrik MISI GABUNG'!N328</f>
        <v>Persentase Program Keahlian SMK Terakreditasi A</v>
      </c>
      <c r="K123" s="147" t="str">
        <f>'matrik MISI GABUNG'!O328</f>
        <v>%</v>
      </c>
      <c r="L123" s="1050">
        <f>'matrik MISI GABUNG'!P328</f>
        <v>15.87</v>
      </c>
      <c r="M123" s="1050">
        <f>'matrik MISI GABUNG'!Q328</f>
        <v>15.87</v>
      </c>
      <c r="N123" s="1052">
        <f>'matrik MISI GABUNG'!V328</f>
        <v>31.77</v>
      </c>
      <c r="O123" s="147" t="str">
        <f>'matrik MISI GABUNG'!X328</f>
        <v>Dinas Pendidikan</v>
      </c>
    </row>
    <row r="124" spans="2:15" ht="25.5">
      <c r="B124" s="145"/>
      <c r="C124" s="145"/>
      <c r="D124" s="145"/>
      <c r="E124" s="145"/>
      <c r="F124" s="145"/>
      <c r="G124" s="145"/>
      <c r="H124" s="145"/>
      <c r="I124" s="145"/>
      <c r="J124" s="147" t="str">
        <f>'matrik MISI GABUNG'!N331</f>
        <v>Persentase Angka Lulusan SMA/MA/SMK</v>
      </c>
      <c r="K124" s="147" t="str">
        <f>'matrik MISI GABUNG'!O331</f>
        <v>%</v>
      </c>
      <c r="L124" s="1050">
        <f>'matrik MISI GABUNG'!P331</f>
        <v>99.320568252007419</v>
      </c>
      <c r="M124" s="1050">
        <f>'matrik MISI GABUNG'!Q331</f>
        <v>99.864786555920418</v>
      </c>
      <c r="N124" s="1052">
        <f>'matrik MISI GABUNG'!V331</f>
        <v>100</v>
      </c>
      <c r="O124" s="147" t="str">
        <f>'matrik MISI GABUNG'!X331</f>
        <v>Dinas Pendidikan</v>
      </c>
    </row>
    <row r="125" spans="2:15" ht="51">
      <c r="B125" s="145"/>
      <c r="C125" s="145"/>
      <c r="D125" s="145"/>
      <c r="E125" s="147" t="str">
        <f>'matrik MISI GABUNG'!F334</f>
        <v>Meningkatnya Kualitas Pendidikan Non Formal</v>
      </c>
      <c r="F125" s="147" t="str">
        <f>'matrik MISI GABUNG'!G334</f>
        <v>Peningkatan kualitas pendidikan nonformal</v>
      </c>
      <c r="G125" s="147" t="str">
        <f>'matrik MISI 4'!H13</f>
        <v xml:space="preserve">Mengembangkan Aksesiblitas pendidikan dan peningkatan kualitas pendidikan </v>
      </c>
      <c r="H125" s="147" t="str">
        <f>'matrik MISI GABUNG'!I334</f>
        <v>Meningkatkan kualitas pendidikan nonformal melalui peningkatan angka kelulusan pendidikan kesetaraan</v>
      </c>
      <c r="I125" s="147" t="str">
        <f>'matrik MISI GABUNG'!M335</f>
        <v>Program pendidikan nonformal</v>
      </c>
      <c r="J125" s="147" t="str">
        <f>'matrik MISI GABUNG'!N335</f>
        <v>Persentase Angka Lulusan Pendidikan Kesetaraan</v>
      </c>
      <c r="K125" s="147" t="str">
        <f>'matrik MISI GABUNG'!O335</f>
        <v>%</v>
      </c>
      <c r="L125" s="1050">
        <f>'matrik MISI GABUNG'!P335</f>
        <v>90.39</v>
      </c>
      <c r="M125" s="1050">
        <f>'matrik MISI GABUNG'!Q335</f>
        <v>81.56</v>
      </c>
      <c r="N125" s="1052">
        <f>'matrik MISI GABUNG'!V335</f>
        <v>92.56</v>
      </c>
      <c r="O125" s="147" t="str">
        <f>'matrik MISI GABUNG'!X335</f>
        <v>Dinas Pendidikan</v>
      </c>
    </row>
    <row r="126" spans="2:15" ht="63.75">
      <c r="B126" s="145"/>
      <c r="C126" s="145"/>
      <c r="D126" s="145"/>
      <c r="E126" s="143" t="str">
        <f>'matrik MISI GABUNG'!F336</f>
        <v>Terpenuhinya Kebutuhan Pendidik</v>
      </c>
      <c r="F126" s="143" t="str">
        <f>'matrik MISI GABUNG'!G336</f>
        <v>Pemenuhan kebutuhan pendidik</v>
      </c>
      <c r="G126" s="1084" t="str">
        <f>'matrik MISI 4'!H13</f>
        <v xml:space="preserve">Mengembangkan Aksesiblitas pendidikan dan peningkatan kualitas pendidikan </v>
      </c>
      <c r="H126" s="143" t="str">
        <f>'matrik MISI GABUNG'!I336</f>
        <v>Meningkatkan pemenuhan kekurangan tenaga pendidik mulai dari tingkat TK/RA, SD/MI, SMP,MTs, dan SMA/MA/SMK</v>
      </c>
      <c r="I126" s="143" t="str">
        <f>'matrik MISI GABUNG'!M337</f>
        <v>Program peningkatan mutu pendidik dan tenaga kependidikan</v>
      </c>
      <c r="J126" s="147" t="str">
        <f>'matrik MISI GABUNG'!N337</f>
        <v>Rasio Siswa per Pendidik TK/RA</v>
      </c>
      <c r="K126" s="147" t="str">
        <f>'matrik MISI GABUNG'!O337</f>
        <v>Rasio</v>
      </c>
      <c r="L126" s="1050" t="str">
        <f>'matrik MISI GABUNG'!P337</f>
        <v>1 : 14</v>
      </c>
      <c r="M126" s="1050" t="str">
        <f>'matrik MISI GABUNG'!Q337</f>
        <v>1 : 14</v>
      </c>
      <c r="N126" s="1052" t="str">
        <f>'matrik MISI GABUNG'!V337</f>
        <v>1 : 14</v>
      </c>
      <c r="O126" s="147" t="str">
        <f>'matrik MISI GABUNG'!X337</f>
        <v>Dinas Pendidikan</v>
      </c>
    </row>
    <row r="127" spans="2:15">
      <c r="B127" s="145"/>
      <c r="C127" s="145"/>
      <c r="D127" s="145"/>
      <c r="E127" s="145"/>
      <c r="F127" s="145"/>
      <c r="G127" s="145"/>
      <c r="H127" s="145"/>
      <c r="I127" s="145"/>
      <c r="J127" s="147" t="str">
        <f>'matrik MISI GABUNG'!N338</f>
        <v>Rasio Siswa per Pendidik SD/MI</v>
      </c>
      <c r="K127" s="147" t="str">
        <f>'matrik MISI GABUNG'!O338</f>
        <v>Rasio</v>
      </c>
      <c r="L127" s="1050" t="str">
        <f>'matrik MISI GABUNG'!P338</f>
        <v>1 : 14</v>
      </c>
      <c r="M127" s="1050" t="str">
        <f>'matrik MISI GABUNG'!Q338</f>
        <v>1 : 14</v>
      </c>
      <c r="N127" s="1052" t="str">
        <f>'matrik MISI GABUNG'!V338</f>
        <v>1 : 14</v>
      </c>
      <c r="O127" s="147" t="str">
        <f>'matrik MISI GABUNG'!X338</f>
        <v>Dinas Pendidikan</v>
      </c>
    </row>
    <row r="128" spans="2:15" ht="25.5">
      <c r="B128" s="145"/>
      <c r="C128" s="145"/>
      <c r="D128" s="145"/>
      <c r="E128" s="145"/>
      <c r="F128" s="145"/>
      <c r="G128" s="145"/>
      <c r="H128" s="145"/>
      <c r="I128" s="145"/>
      <c r="J128" s="147" t="str">
        <f>'matrik MISI GABUNG'!N339</f>
        <v>Rasio Siswa per Pendidik SMP/MTs</v>
      </c>
      <c r="K128" s="147" t="str">
        <f>'matrik MISI GABUNG'!O339</f>
        <v>Rasio</v>
      </c>
      <c r="L128" s="1050" t="str">
        <f>'matrik MISI GABUNG'!P339</f>
        <v>1 : 16</v>
      </c>
      <c r="M128" s="1050" t="str">
        <f>'matrik MISI GABUNG'!Q339</f>
        <v>1 : 16</v>
      </c>
      <c r="N128" s="1052" t="str">
        <f>'matrik MISI GABUNG'!V339</f>
        <v>1:15</v>
      </c>
      <c r="O128" s="147" t="str">
        <f>'matrik MISI GABUNG'!X339</f>
        <v>Dinas Pendidikan</v>
      </c>
    </row>
    <row r="129" spans="2:15" ht="25.5">
      <c r="B129" s="145"/>
      <c r="C129" s="145"/>
      <c r="D129" s="145"/>
      <c r="E129" s="145"/>
      <c r="F129" s="145"/>
      <c r="G129" s="145"/>
      <c r="H129" s="145"/>
      <c r="I129" s="145"/>
      <c r="J129" s="147" t="str">
        <f>'matrik MISI GABUNG'!N340</f>
        <v>Rasio Siswa per Pendidik SMA/MA</v>
      </c>
      <c r="K129" s="147" t="str">
        <f>'matrik MISI GABUNG'!O340</f>
        <v>Rasio</v>
      </c>
      <c r="L129" s="1050" t="str">
        <f>'matrik MISI GABUNG'!P340</f>
        <v>1 : 11</v>
      </c>
      <c r="M129" s="1050" t="str">
        <f>'matrik MISI GABUNG'!Q340</f>
        <v>1 : 11</v>
      </c>
      <c r="N129" s="1052" t="str">
        <f>'matrik MISI GABUNG'!V340</f>
        <v>1 : 11</v>
      </c>
      <c r="O129" s="147" t="str">
        <f>'matrik MISI GABUNG'!X340</f>
        <v>Dinas Pendidikan</v>
      </c>
    </row>
    <row r="130" spans="2:15">
      <c r="B130" s="145"/>
      <c r="C130" s="145"/>
      <c r="D130" s="145"/>
      <c r="E130" s="145"/>
      <c r="F130" s="145"/>
      <c r="G130" s="145"/>
      <c r="H130" s="145"/>
      <c r="I130" s="145"/>
      <c r="J130" s="147" t="str">
        <f>'matrik MISI GABUNG'!N341</f>
        <v>Rasio Siswa per Pendidik SMK</v>
      </c>
      <c r="K130" s="147" t="str">
        <f>'matrik MISI GABUNG'!O341</f>
        <v>Rasio</v>
      </c>
      <c r="L130" s="1050" t="str">
        <f>'matrik MISI GABUNG'!P341</f>
        <v>1 : 15</v>
      </c>
      <c r="M130" s="1050" t="str">
        <f>'matrik MISI GABUNG'!Q341</f>
        <v>1 : 15</v>
      </c>
      <c r="N130" s="1052" t="str">
        <f>'matrik MISI GABUNG'!V341</f>
        <v>1:13</v>
      </c>
      <c r="O130" s="147" t="str">
        <f>'matrik MISI GABUNG'!X341</f>
        <v>Dinas Pendidikan</v>
      </c>
    </row>
    <row r="131" spans="2:15" ht="76.5">
      <c r="B131" s="145"/>
      <c r="C131" s="145"/>
      <c r="D131" s="145"/>
      <c r="E131" s="143" t="str">
        <f>'matrik MISI GABUNG'!F342</f>
        <v>Meningkatnya Kualifikasi Akademik Pendidik</v>
      </c>
      <c r="F131" s="143" t="str">
        <f>'matrik MISI GABUNG'!G342</f>
        <v>Peningkatan kualifikasi akademik pendidik</v>
      </c>
      <c r="G131" s="1084" t="str">
        <f>'matrik MISI 4'!H13</f>
        <v xml:space="preserve">Mengembangkan Aksesiblitas pendidikan dan peningkatan kualitas pendidikan </v>
      </c>
      <c r="H131" s="143" t="str">
        <f>'matrik MISI GABUNG'!I342</f>
        <v>Meningkatkan kualifikasi akademik pendidik minimal S-1 khususnya di tingkat TK/RA dan SMP/MTs, serta pemenuhan kualifikasi bagi kepala sekolah dan pengawas sekolah</v>
      </c>
      <c r="I131" s="143" t="str">
        <f>'matrik MISI GABUNG'!M343</f>
        <v>Program peningkatan mutu pendidik dan tenaga kependidikan</v>
      </c>
      <c r="J131" s="147" t="str">
        <f>'matrik MISI GABUNG'!N343</f>
        <v>Persentase Pendidik TK/RA yang memenuhi standar kualifikasi akademik</v>
      </c>
      <c r="K131" s="147" t="str">
        <f>'matrik MISI GABUNG'!O343</f>
        <v>%</v>
      </c>
      <c r="L131" s="1050">
        <f>'matrik MISI GABUNG'!P343</f>
        <v>35.14986376021799</v>
      </c>
      <c r="M131" s="1050">
        <f>'matrik MISI GABUNG'!Q343</f>
        <v>41.79</v>
      </c>
      <c r="N131" s="1052">
        <f>'matrik MISI GABUNG'!V343</f>
        <v>45.22</v>
      </c>
      <c r="O131" s="147" t="str">
        <f>'matrik MISI GABUNG'!X343</f>
        <v>Dinas Pendidikan</v>
      </c>
    </row>
    <row r="132" spans="2:15" ht="38.25">
      <c r="B132" s="145"/>
      <c r="C132" s="145"/>
      <c r="D132" s="145"/>
      <c r="E132" s="149"/>
      <c r="F132" s="149"/>
      <c r="G132" s="149"/>
      <c r="H132" s="149"/>
      <c r="I132" s="149"/>
      <c r="J132" s="147" t="str">
        <f>'matrik MISI GABUNG'!N344</f>
        <v>Persentase Pendidik SD/MI yang memenuhi standar kualifikasi akademik</v>
      </c>
      <c r="K132" s="147" t="str">
        <f>'matrik MISI GABUNG'!O344</f>
        <v>%</v>
      </c>
      <c r="L132" s="1050">
        <f>'matrik MISI GABUNG'!P344</f>
        <v>63.370350784417418</v>
      </c>
      <c r="M132" s="1050">
        <f>'matrik MISI GABUNG'!Q344</f>
        <v>70.510000000000005</v>
      </c>
      <c r="N132" s="1052">
        <f>'matrik MISI GABUNG'!V344</f>
        <v>71.66</v>
      </c>
      <c r="O132" s="147" t="str">
        <f>'matrik MISI GABUNG'!X344</f>
        <v>Dinas Pendidikan</v>
      </c>
    </row>
    <row r="133" spans="2:15" ht="38.25">
      <c r="B133" s="145"/>
      <c r="C133" s="145"/>
      <c r="D133" s="145"/>
      <c r="E133" s="149"/>
      <c r="F133" s="149"/>
      <c r="G133" s="149"/>
      <c r="H133" s="149"/>
      <c r="I133" s="149"/>
      <c r="J133" s="147" t="str">
        <f>'matrik MISI GABUNG'!N345</f>
        <v>Persentase Pendidik SMP/MTs yang memenuhi standar kualifikasi akademik</v>
      </c>
      <c r="K133" s="147" t="str">
        <f>'matrik MISI GABUNG'!O345</f>
        <v>%</v>
      </c>
      <c r="L133" s="1050">
        <f>'matrik MISI GABUNG'!P345</f>
        <v>83.286516853932582</v>
      </c>
      <c r="M133" s="1050">
        <f>'matrik MISI GABUNG'!Q345</f>
        <v>83.34</v>
      </c>
      <c r="N133" s="1052">
        <f>'matrik MISI GABUNG'!V345</f>
        <v>83.59</v>
      </c>
      <c r="O133" s="147" t="str">
        <f>'matrik MISI GABUNG'!X345</f>
        <v>Dinas Pendidikan</v>
      </c>
    </row>
    <row r="134" spans="2:15" ht="38.25">
      <c r="B134" s="145"/>
      <c r="C134" s="145"/>
      <c r="D134" s="145"/>
      <c r="E134" s="149"/>
      <c r="F134" s="149"/>
      <c r="G134" s="149"/>
      <c r="H134" s="149"/>
      <c r="I134" s="149"/>
      <c r="J134" s="147" t="str">
        <f>'matrik MISI GABUNG'!N346</f>
        <v>Persentase Pendidik SMA/MA yang memenuhi standar kualifikasi akademik</v>
      </c>
      <c r="K134" s="147" t="str">
        <f>'matrik MISI GABUNG'!O346</f>
        <v>%</v>
      </c>
      <c r="L134" s="1050">
        <f>'matrik MISI GABUNG'!P346</f>
        <v>91.448275862068968</v>
      </c>
      <c r="M134" s="1050">
        <f>'matrik MISI GABUNG'!Q346</f>
        <v>91.5</v>
      </c>
      <c r="N134" s="1052">
        <f>'matrik MISI GABUNG'!V346</f>
        <v>91.75</v>
      </c>
      <c r="O134" s="147" t="str">
        <f>'matrik MISI GABUNG'!X346</f>
        <v>Dinas Pendidikan</v>
      </c>
    </row>
    <row r="135" spans="2:15" ht="38.25">
      <c r="B135" s="145"/>
      <c r="C135" s="145"/>
      <c r="D135" s="145"/>
      <c r="E135" s="149"/>
      <c r="F135" s="149"/>
      <c r="G135" s="149"/>
      <c r="H135" s="149"/>
      <c r="I135" s="149"/>
      <c r="J135" s="147" t="str">
        <f>'matrik MISI GABUNG'!N347</f>
        <v>Persentase Pendidik SMK  yang memenuhi standar kualifikasi akademik</v>
      </c>
      <c r="K135" s="147" t="str">
        <f>'matrik MISI GABUNG'!O347</f>
        <v>%</v>
      </c>
      <c r="L135" s="1050">
        <f>'matrik MISI GABUNG'!P347</f>
        <v>90.209790209790214</v>
      </c>
      <c r="M135" s="1050">
        <f>'matrik MISI GABUNG'!Q347</f>
        <v>90.26</v>
      </c>
      <c r="N135" s="1052">
        <f>'matrik MISI GABUNG'!V347</f>
        <v>90.51</v>
      </c>
      <c r="O135" s="147" t="str">
        <f>'matrik MISI GABUNG'!X347</f>
        <v>Dinas Pendidikan</v>
      </c>
    </row>
    <row r="136" spans="2:15" ht="76.5">
      <c r="B136" s="145"/>
      <c r="C136" s="145"/>
      <c r="D136" s="145"/>
      <c r="E136" s="143" t="str">
        <f>'matrik MISI GABUNG'!F356</f>
        <v>Meningkatnya Profesionalisme Pendidik</v>
      </c>
      <c r="F136" s="143" t="str">
        <f>'matrik MISI GABUNG'!G356</f>
        <v>Peningkatan profesionalisme pendidik</v>
      </c>
      <c r="G136" s="1084" t="str">
        <f>'matrik MISI 4'!H13</f>
        <v xml:space="preserve">Mengembangkan Aksesiblitas pendidikan dan peningkatan kualitas pendidikan </v>
      </c>
      <c r="H136" s="143" t="str">
        <f>'matrik MISI GABUNG'!I356</f>
        <v>Meningkatkan profesionalisme pendidik yang ditunjukkan dengan kepemilikan sertifikat pendidik bagi guru di tingkat TK/RA, SD/MI, SMP/MTs, dan SMA/MA/SMK</v>
      </c>
      <c r="I136" s="143" t="str">
        <f>'matrik MISI GABUNG'!M357</f>
        <v>Program peningkatan mutu pendidik dan tenaga kependidikan</v>
      </c>
      <c r="J136" s="147" t="str">
        <f>'matrik MISI GABUNG'!N357</f>
        <v xml:space="preserve">Persentase Pendidik TK/RA yang memiliki sertifikat pendidik </v>
      </c>
      <c r="K136" s="147" t="str">
        <f>'matrik MISI GABUNG'!O357</f>
        <v>%</v>
      </c>
      <c r="L136" s="1050">
        <f>'matrik MISI GABUNG'!P357</f>
        <v>3.13</v>
      </c>
      <c r="M136" s="1050">
        <f>'matrik MISI GABUNG'!Q357</f>
        <v>3.23</v>
      </c>
      <c r="N136" s="1052">
        <f>'matrik MISI GABUNG'!V357</f>
        <v>3.73</v>
      </c>
      <c r="O136" s="147" t="str">
        <f>'matrik MISI GABUNG'!X357</f>
        <v>Dinas  Pendidikan</v>
      </c>
    </row>
    <row r="137" spans="2:15" ht="25.5">
      <c r="B137" s="145"/>
      <c r="C137" s="145"/>
      <c r="D137" s="145"/>
      <c r="E137" s="145"/>
      <c r="F137" s="145"/>
      <c r="G137" s="145"/>
      <c r="H137" s="145"/>
      <c r="I137" s="145"/>
      <c r="J137" s="147" t="str">
        <f>'matrik MISI GABUNG'!N358</f>
        <v xml:space="preserve">Persentase Pendidik SD/MI yang memiliki sertifikat pendidik </v>
      </c>
      <c r="K137" s="147" t="str">
        <f>'matrik MISI GABUNG'!O358</f>
        <v>%</v>
      </c>
      <c r="L137" s="1050">
        <f>'matrik MISI GABUNG'!P358</f>
        <v>30.8</v>
      </c>
      <c r="M137" s="1050">
        <f>'matrik MISI GABUNG'!Q358</f>
        <v>30.9</v>
      </c>
      <c r="N137" s="1052">
        <f>'matrik MISI GABUNG'!V358</f>
        <v>31.4</v>
      </c>
      <c r="O137" s="147" t="str">
        <f>'matrik MISI GABUNG'!X358</f>
        <v>Dinas  Pendidikan</v>
      </c>
    </row>
    <row r="138" spans="2:15" ht="25.5">
      <c r="B138" s="145"/>
      <c r="C138" s="145"/>
      <c r="D138" s="145"/>
      <c r="E138" s="145"/>
      <c r="F138" s="145"/>
      <c r="G138" s="145"/>
      <c r="H138" s="145"/>
      <c r="I138" s="145"/>
      <c r="J138" s="147" t="str">
        <f>'matrik MISI GABUNG'!N359</f>
        <v xml:space="preserve">Persentase Pendidik SMP/MTs yang memiliki sertifikat pendidik </v>
      </c>
      <c r="K138" s="147" t="str">
        <f>'matrik MISI GABUNG'!O359</f>
        <v>%</v>
      </c>
      <c r="L138" s="1050">
        <f>'matrik MISI GABUNG'!P359</f>
        <v>50.09</v>
      </c>
      <c r="M138" s="1050">
        <f>'matrik MISI GABUNG'!Q359</f>
        <v>5019</v>
      </c>
      <c r="N138" s="1052">
        <f>'matrik MISI GABUNG'!V359</f>
        <v>50.69</v>
      </c>
      <c r="O138" s="147" t="str">
        <f>'matrik MISI GABUNG'!X359</f>
        <v>Dinas  Pendidikan</v>
      </c>
    </row>
    <row r="139" spans="2:15" ht="25.5">
      <c r="B139" s="145"/>
      <c r="C139" s="145"/>
      <c r="D139" s="145"/>
      <c r="E139" s="145"/>
      <c r="F139" s="145"/>
      <c r="G139" s="145"/>
      <c r="H139" s="145"/>
      <c r="I139" s="145"/>
      <c r="J139" s="147" t="str">
        <f>'matrik MISI GABUNG'!N360</f>
        <v xml:space="preserve">Persentase Pendidik SMA/MA yang memiliki sertifikat pendidik </v>
      </c>
      <c r="K139" s="147" t="str">
        <f>'matrik MISI GABUNG'!O360</f>
        <v>%</v>
      </c>
      <c r="L139" s="1050">
        <f>'matrik MISI GABUNG'!P360</f>
        <v>44.79</v>
      </c>
      <c r="M139" s="1050">
        <f>'matrik MISI GABUNG'!Q360</f>
        <v>44.89</v>
      </c>
      <c r="N139" s="1052">
        <f>'matrik MISI GABUNG'!V360</f>
        <v>45.39</v>
      </c>
      <c r="O139" s="147" t="str">
        <f>'matrik MISI GABUNG'!X360</f>
        <v>Dinas  Pendidikan</v>
      </c>
    </row>
    <row r="140" spans="2:15" ht="25.5">
      <c r="B140" s="145"/>
      <c r="C140" s="145"/>
      <c r="D140" s="145"/>
      <c r="E140" s="145"/>
      <c r="F140" s="145"/>
      <c r="G140" s="145"/>
      <c r="H140" s="145"/>
      <c r="I140" s="145"/>
      <c r="J140" s="147" t="str">
        <f>'matrik MISI GABUNG'!N361</f>
        <v xml:space="preserve">Persentase Pendidik SMK yang memiliki sertifikat pendidik </v>
      </c>
      <c r="K140" s="147" t="str">
        <f>'matrik MISI GABUNG'!O361</f>
        <v>%</v>
      </c>
      <c r="L140" s="1050">
        <f>'matrik MISI GABUNG'!P361</f>
        <v>44.79</v>
      </c>
      <c r="M140" s="1050">
        <f>'matrik MISI GABUNG'!Q361</f>
        <v>44.89</v>
      </c>
      <c r="N140" s="1052">
        <f>'matrik MISI GABUNG'!V361</f>
        <v>45.39</v>
      </c>
      <c r="O140" s="147" t="str">
        <f>'matrik MISI GABUNG'!X361</f>
        <v>Dinas  Pendidikan</v>
      </c>
    </row>
    <row r="141" spans="2:15" ht="51">
      <c r="B141" s="145"/>
      <c r="C141" s="145"/>
      <c r="D141" s="145"/>
      <c r="E141" s="143" t="str">
        <f>'matrik MISI GABUNG'!F367</f>
        <v>Meningkatnya Sarana dan Prasarana Pendidikan Anak Usia Dini</v>
      </c>
      <c r="F141" s="143" t="str">
        <f>'matrik MISI GABUNG'!G367</f>
        <v>Peningkatan sarana dan prasarana pendidikan anak usia dini</v>
      </c>
      <c r="G141" s="1084" t="str">
        <f>'matrik MISI 4'!H13</f>
        <v xml:space="preserve">Mengembangkan Aksesiblitas pendidikan dan peningkatan kualitas pendidikan </v>
      </c>
      <c r="H141" s="143" t="str">
        <f>'matrik MISI GABUNG'!I367</f>
        <v>Meningkatkan sarana dan prasarana pendidikan anak usia dini (TK/RA) sesuai dengan kebutuhan</v>
      </c>
      <c r="I141" s="143" t="str">
        <f>'matrik MISI GABUNG'!M368</f>
        <v>Program Pendidikan anak usia dini</v>
      </c>
      <c r="J141" s="147" t="str">
        <f>'matrik MISI GABUNG'!N368</f>
        <v>Persentase ruang belajar beserta perlengkapannya TK/RA yang kondisinya baik</v>
      </c>
      <c r="K141" s="147" t="str">
        <f>'matrik MISI GABUNG'!O368</f>
        <v>%</v>
      </c>
      <c r="L141" s="1050">
        <f>'matrik MISI GABUNG'!P368</f>
        <v>86.45</v>
      </c>
      <c r="M141" s="1050">
        <f>'matrik MISI GABUNG'!Q368</f>
        <v>86.84</v>
      </c>
      <c r="N141" s="1052">
        <f>'matrik MISI GABUNG'!V368</f>
        <v>88.79</v>
      </c>
      <c r="O141" s="147" t="str">
        <f>'matrik MISI GABUNG'!X368</f>
        <v>Dinas Pendidikan</v>
      </c>
    </row>
    <row r="142" spans="2:15" ht="25.5">
      <c r="B142" s="145"/>
      <c r="C142" s="145"/>
      <c r="D142" s="145"/>
      <c r="E142" s="145"/>
      <c r="F142" s="145"/>
      <c r="G142" s="145"/>
      <c r="H142" s="145"/>
      <c r="I142" s="145"/>
      <c r="J142" s="147" t="str">
        <f>'matrik MISI GABUNG'!N369</f>
        <v>Persentase TK/RA yang memiliki buku teks pembelajaran</v>
      </c>
      <c r="K142" s="147" t="str">
        <f>'matrik MISI GABUNG'!O369</f>
        <v>%</v>
      </c>
      <c r="L142" s="1050">
        <f>'matrik MISI GABUNG'!P369</f>
        <v>85</v>
      </c>
      <c r="M142" s="1050">
        <f>'matrik MISI GABUNG'!Q369</f>
        <v>85.41</v>
      </c>
      <c r="N142" s="1052">
        <f>'matrik MISI GABUNG'!V369</f>
        <v>87.47</v>
      </c>
      <c r="O142" s="147" t="str">
        <f>'matrik MISI GABUNG'!X369</f>
        <v>Dinas Pendidikan</v>
      </c>
    </row>
    <row r="143" spans="2:15" ht="38.25">
      <c r="B143" s="145"/>
      <c r="C143" s="145"/>
      <c r="D143" s="145"/>
      <c r="E143" s="145"/>
      <c r="F143" s="145"/>
      <c r="G143" s="145"/>
      <c r="H143" s="145"/>
      <c r="I143" s="145"/>
      <c r="J143" s="147" t="str">
        <f>'matrik MISI GABUNG'!N370</f>
        <v>Persentase TK/RA yang memiliki ruang kesehatan dan perlengkapannya</v>
      </c>
      <c r="K143" s="147" t="str">
        <f>'matrik MISI GABUNG'!O370</f>
        <v>%</v>
      </c>
      <c r="L143" s="1050">
        <f>'matrik MISI GABUNG'!P370</f>
        <v>23.66</v>
      </c>
      <c r="M143" s="1050">
        <f>'matrik MISI GABUNG'!Q370</f>
        <v>24.08</v>
      </c>
      <c r="N143" s="1052">
        <f>'matrik MISI GABUNG'!V370</f>
        <v>29.22</v>
      </c>
      <c r="O143" s="147" t="str">
        <f>'matrik MISI GABUNG'!X370</f>
        <v>Dinas Pendidikan</v>
      </c>
    </row>
    <row r="144" spans="2:15" ht="38.25">
      <c r="B144" s="145"/>
      <c r="C144" s="145"/>
      <c r="D144" s="145"/>
      <c r="E144" s="145"/>
      <c r="F144" s="145"/>
      <c r="G144" s="145"/>
      <c r="H144" s="145"/>
      <c r="I144" s="145"/>
      <c r="J144" s="147" t="str">
        <f>'matrik MISI GABUNG'!N371</f>
        <v>Persentase TK/RA yang memiliki alat permainan edukatif dalam ruang</v>
      </c>
      <c r="K144" s="147" t="str">
        <f>'matrik MISI GABUNG'!O371</f>
        <v>%</v>
      </c>
      <c r="L144" s="1050">
        <f>'matrik MISI GABUNG'!P371</f>
        <v>85</v>
      </c>
      <c r="M144" s="1050">
        <f>'matrik MISI GABUNG'!Q371</f>
        <v>85.41</v>
      </c>
      <c r="N144" s="1052">
        <f>'matrik MISI GABUNG'!V371</f>
        <v>88.747</v>
      </c>
      <c r="O144" s="147" t="str">
        <f>'matrik MISI GABUNG'!X371</f>
        <v>Dinas Pendidikan</v>
      </c>
    </row>
    <row r="145" spans="2:15" ht="38.25">
      <c r="B145" s="145"/>
      <c r="C145" s="145"/>
      <c r="D145" s="145"/>
      <c r="E145" s="146"/>
      <c r="F145" s="146"/>
      <c r="G145" s="1085"/>
      <c r="H145" s="146"/>
      <c r="I145" s="146"/>
      <c r="J145" s="147" t="str">
        <f>'matrik MISI GABUNG'!N372</f>
        <v>Persentase TK/RA yang memiliki alat permainan edukatif luar ruang</v>
      </c>
      <c r="K145" s="147" t="str">
        <f>'matrik MISI GABUNG'!O372</f>
        <v>%</v>
      </c>
      <c r="L145" s="1050">
        <f>'matrik MISI GABUNG'!P372</f>
        <v>85</v>
      </c>
      <c r="M145" s="1050">
        <f>'matrik MISI GABUNG'!Q372</f>
        <v>85.41</v>
      </c>
      <c r="N145" s="1052">
        <f>'matrik MISI GABUNG'!V372</f>
        <v>87.47</v>
      </c>
      <c r="O145" s="147" t="str">
        <f>'matrik MISI GABUNG'!X372</f>
        <v>Dinas Pendidikan</v>
      </c>
    </row>
    <row r="146" spans="2:15" ht="51">
      <c r="B146" s="145"/>
      <c r="C146" s="145"/>
      <c r="D146" s="145"/>
      <c r="E146" s="143" t="str">
        <f>'matrik MISI GABUNG'!F373</f>
        <v>Meningkatnya Sarana dan Prasarana Pendidikan Dasar</v>
      </c>
      <c r="F146" s="143" t="str">
        <f>'matrik MISI GABUNG'!G373</f>
        <v>Peningkatan sarana dan prasarana pendidikan dasar</v>
      </c>
      <c r="G146" s="1084" t="str">
        <f>'matrik MISI 4'!H13</f>
        <v xml:space="preserve">Mengembangkan Aksesiblitas pendidikan dan peningkatan kualitas pendidikan </v>
      </c>
      <c r="H146" s="143" t="str">
        <f>'matrik MISI GABUNG'!I373</f>
        <v>Meningkatkan sarana dan prasarana pendidikan dasar (SD/MI dan SMP/MTs) sesuai dengan kebutuhan</v>
      </c>
      <c r="I146" s="143" t="str">
        <f>'matrik MISI GABUNG'!M374</f>
        <v>Program wajib belajar pendidikan dasar sembilan tahun</v>
      </c>
      <c r="J146" s="147" t="str">
        <f>'matrik MISI GABUNG'!N374</f>
        <v>Persentase Ruang Kelas SD/MI yang Kondisinya Baik</v>
      </c>
      <c r="K146" s="147" t="str">
        <f>'matrik MISI GABUNG'!O374</f>
        <v>%</v>
      </c>
      <c r="L146" s="1050">
        <f>'matrik MISI GABUNG'!P374</f>
        <v>85.008469791078483</v>
      </c>
      <c r="M146" s="1050">
        <f>'matrik MISI GABUNG'!Q374</f>
        <v>86.42</v>
      </c>
      <c r="N146" s="1052">
        <f>'matrik MISI GABUNG'!V374</f>
        <v>93.48</v>
      </c>
      <c r="O146" s="147" t="str">
        <f>'matrik MISI GABUNG'!X374</f>
        <v>Dinas Pendidikan</v>
      </c>
    </row>
    <row r="147" spans="2:15" ht="25.5">
      <c r="B147" s="145"/>
      <c r="C147" s="145"/>
      <c r="D147" s="145"/>
      <c r="E147" s="145"/>
      <c r="F147" s="145"/>
      <c r="G147" s="145"/>
      <c r="H147" s="145"/>
      <c r="I147" s="145"/>
      <c r="J147" s="147" t="str">
        <f>'matrik MISI GABUNG'!N375</f>
        <v>Persentase Ruang Kelas SMP yang Kondisinya Baik</v>
      </c>
      <c r="K147" s="147" t="str">
        <f>'matrik MISI GABUNG'!O375</f>
        <v>%</v>
      </c>
      <c r="L147" s="1050">
        <f>'matrik MISI GABUNG'!P375</f>
        <v>87.352941176470594</v>
      </c>
      <c r="M147" s="1050">
        <f>'matrik MISI GABUNG'!Q375</f>
        <v>88.33</v>
      </c>
      <c r="N147" s="1052">
        <f>'matrik MISI GABUNG'!V375</f>
        <v>93.23</v>
      </c>
      <c r="O147" s="147" t="str">
        <f>'matrik MISI GABUNG'!X375</f>
        <v>Dinas Pendidikan</v>
      </c>
    </row>
    <row r="148" spans="2:15" ht="51">
      <c r="B148" s="145"/>
      <c r="C148" s="145"/>
      <c r="D148" s="145"/>
      <c r="E148" s="145"/>
      <c r="F148" s="145"/>
      <c r="G148" s="145"/>
      <c r="H148" s="145"/>
      <c r="I148" s="145"/>
      <c r="J148" s="147" t="str">
        <f>'matrik MISI GABUNG'!N376</f>
        <v>Persentase SD/MI yang Memiliki Sarana dan Prasarana sesuai dengan Standar Sarana Prasarana</v>
      </c>
      <c r="K148" s="147" t="str">
        <f>'matrik MISI GABUNG'!O376</f>
        <v>%</v>
      </c>
      <c r="L148" s="1050">
        <f>'matrik MISI GABUNG'!P376</f>
        <v>60</v>
      </c>
      <c r="M148" s="1050">
        <f>'matrik MISI GABUNG'!Q376</f>
        <v>61.75</v>
      </c>
      <c r="N148" s="1052">
        <f>'matrik MISI GABUNG'!V376</f>
        <v>70.489999999999995</v>
      </c>
      <c r="O148" s="147" t="str">
        <f>'matrik MISI GABUNG'!X376</f>
        <v>Dinas Pendidikan</v>
      </c>
    </row>
    <row r="149" spans="2:15" ht="51">
      <c r="B149" s="145"/>
      <c r="C149" s="145"/>
      <c r="D149" s="145"/>
      <c r="E149" s="145"/>
      <c r="F149" s="145"/>
      <c r="G149" s="145"/>
      <c r="H149" s="145"/>
      <c r="I149" s="145"/>
      <c r="J149" s="147" t="str">
        <f>'matrik MISI GABUNG'!N377</f>
        <v>Persentase SMP/MTs yang Memiliki Sarana dan Prasarana sesuai dengan Standar Sarana Prasarana</v>
      </c>
      <c r="K149" s="147" t="str">
        <f>'matrik MISI GABUNG'!O377</f>
        <v>%</v>
      </c>
      <c r="L149" s="1050">
        <f>'matrik MISI GABUNG'!P377</f>
        <v>75.239999999999995</v>
      </c>
      <c r="M149" s="1050">
        <f>'matrik MISI GABUNG'!Q377</f>
        <v>76.19</v>
      </c>
      <c r="N149" s="1052" t="str">
        <f>'matrik MISI GABUNG'!V377</f>
        <v>80..94</v>
      </c>
      <c r="O149" s="147" t="str">
        <f>'matrik MISI GABUNG'!X377</f>
        <v>Dinas Pendidikan</v>
      </c>
    </row>
    <row r="150" spans="2:15" ht="63.75">
      <c r="B150" s="145"/>
      <c r="C150" s="145"/>
      <c r="D150" s="145"/>
      <c r="E150" s="145"/>
      <c r="F150" s="145"/>
      <c r="G150" s="145"/>
      <c r="H150" s="145"/>
      <c r="I150" s="145"/>
      <c r="J150" s="147" t="str">
        <f>'matrik MISI GABUNG'!N378</f>
        <v>Cakupan keterjangkauan  satuan pendidikan SD/MI dan6 km untuk SMP/MTs dari kelompok permukiman permanen di daerah terpencil</v>
      </c>
      <c r="K150" s="147" t="str">
        <f>'matrik MISI GABUNG'!O378</f>
        <v>%</v>
      </c>
      <c r="L150" s="1050">
        <f>'matrik MISI GABUNG'!P378</f>
        <v>100</v>
      </c>
      <c r="M150" s="1050">
        <f>'matrik MISI GABUNG'!Q378</f>
        <v>100</v>
      </c>
      <c r="N150" s="1052">
        <f>'matrik MISI GABUNG'!V378</f>
        <v>100</v>
      </c>
      <c r="O150" s="147" t="str">
        <f>'matrik MISI GABUNG'!X378</f>
        <v>Dinas Pendidikan</v>
      </c>
    </row>
    <row r="151" spans="2:15" ht="38.25">
      <c r="B151" s="145"/>
      <c r="C151" s="145"/>
      <c r="D151" s="145"/>
      <c r="E151" s="145"/>
      <c r="F151" s="145"/>
      <c r="G151" s="145"/>
      <c r="H151" s="145"/>
      <c r="I151" s="146"/>
      <c r="J151" s="147" t="str">
        <f>'matrik MISI GABUNG'!N379</f>
        <v>Cakupan ketersediaan Sarana prasarana kelas (SD/MI dan SMP/MTs)</v>
      </c>
      <c r="K151" s="147" t="str">
        <f>'matrik MISI GABUNG'!O379</f>
        <v>%</v>
      </c>
      <c r="L151" s="1050">
        <f>'matrik MISI GABUNG'!P379</f>
        <v>86.69</v>
      </c>
      <c r="M151" s="1050">
        <f>'matrik MISI GABUNG'!Q379</f>
        <v>86.98</v>
      </c>
      <c r="N151" s="1052">
        <f>'matrik MISI GABUNG'!V379</f>
        <v>88.45</v>
      </c>
      <c r="O151" s="147" t="str">
        <f>'matrik MISI GABUNG'!X379</f>
        <v>Dinas Pendidikan</v>
      </c>
    </row>
    <row r="152" spans="2:15" ht="25.5">
      <c r="B152" s="145"/>
      <c r="C152" s="145"/>
      <c r="D152" s="145"/>
      <c r="E152" s="145"/>
      <c r="F152" s="145"/>
      <c r="G152" s="145"/>
      <c r="H152" s="145"/>
      <c r="I152" s="147" t="str">
        <f>'matrik MISI GABUNG'!M380</f>
        <v>Program wajib belajar pendidikan dasar sembilan tahun</v>
      </c>
      <c r="J152" s="147" t="str">
        <f>'matrik MISI GABUNG'!N380</f>
        <v xml:space="preserve">Cakupan ketersediaan laboratorium IPA SMP dan MTs </v>
      </c>
      <c r="K152" s="147" t="str">
        <f>'matrik MISI GABUNG'!O380</f>
        <v>%</v>
      </c>
      <c r="L152" s="1050">
        <f>'matrik MISI GABUNG'!P380</f>
        <v>70</v>
      </c>
      <c r="M152" s="1050">
        <f>'matrik MISI GABUNG'!Q380</f>
        <v>71.900000000000006</v>
      </c>
      <c r="N152" s="1052">
        <f>'matrik MISI GABUNG'!V380</f>
        <v>81.42</v>
      </c>
      <c r="O152" s="147" t="str">
        <f>'matrik MISI GABUNG'!X380</f>
        <v>Dinas Pendidikan</v>
      </c>
    </row>
    <row r="153" spans="2:15" ht="25.5">
      <c r="B153" s="145"/>
      <c r="C153" s="145"/>
      <c r="D153" s="145"/>
      <c r="E153" s="145"/>
      <c r="F153" s="145"/>
      <c r="G153" s="145"/>
      <c r="H153" s="145"/>
      <c r="I153" s="147" t="str">
        <f>'matrik MISI GABUNG'!M381</f>
        <v>Program wajib belajar pendidikan dasar sembilan tahun</v>
      </c>
      <c r="J153" s="147" t="str">
        <f>'matrik MISI GABUNG'!N381</f>
        <v xml:space="preserve">Cakupan Ketersediaan Ruang Guru </v>
      </c>
      <c r="K153" s="147" t="str">
        <f>'matrik MISI GABUNG'!O381</f>
        <v>%</v>
      </c>
      <c r="L153" s="1050">
        <f>'matrik MISI GABUNG'!P381</f>
        <v>98.47</v>
      </c>
      <c r="M153" s="1050">
        <f>'matrik MISI GABUNG'!Q381</f>
        <v>98.67</v>
      </c>
      <c r="N153" s="1052">
        <f>'matrik MISI GABUNG'!V381</f>
        <v>100</v>
      </c>
      <c r="O153" s="147" t="str">
        <f>'matrik MISI GABUNG'!X381</f>
        <v>Dinas Pendidikan</v>
      </c>
    </row>
    <row r="154" spans="2:15" ht="51">
      <c r="B154" s="145"/>
      <c r="C154" s="145"/>
      <c r="D154" s="145"/>
      <c r="E154" s="143" t="str">
        <f>'matrik MISI GABUNG'!F382</f>
        <v>Meningkatnya Sarana dan Prasarana Pendidikan Menengah</v>
      </c>
      <c r="F154" s="143" t="str">
        <f>'matrik MISI GABUNG'!G382</f>
        <v>Peningkatan sarana dan prasarana pendidikan menengah</v>
      </c>
      <c r="G154" s="1084" t="str">
        <f>'matrik MISI 4'!H13</f>
        <v xml:space="preserve">Mengembangkan Aksesiblitas pendidikan dan peningkatan kualitas pendidikan </v>
      </c>
      <c r="H154" s="143" t="str">
        <f>'matrik MISI GABUNG'!I382</f>
        <v>Meningkatkan sarana dan prasarana pendidikan menengah (SMA/MA/SMK) sesuai dengan kebutuhan</v>
      </c>
      <c r="I154" s="143" t="str">
        <f>'matrik MISI GABUNG'!M383</f>
        <v>Program pendidikan menengah</v>
      </c>
      <c r="J154" s="147" t="str">
        <f>'matrik MISI GABUNG'!N383</f>
        <v>Persentase ruang kelas SMA/MA yang kondisinya baik</v>
      </c>
      <c r="K154" s="147" t="str">
        <f>'matrik MISI GABUNG'!O383</f>
        <v>%</v>
      </c>
      <c r="L154" s="1050">
        <f>'matrik MISI GABUNG'!P383</f>
        <v>95.3125</v>
      </c>
      <c r="M154" s="1050">
        <f>'matrik MISI GABUNG'!Q383</f>
        <v>96.59</v>
      </c>
      <c r="N154" s="1052">
        <f>'matrik MISI GABUNG'!V383</f>
        <v>100</v>
      </c>
      <c r="O154" s="147" t="str">
        <f>'matrik MISI GABUNG'!X383</f>
        <v>Dinas Pendidikan</v>
      </c>
    </row>
    <row r="155" spans="2:15" ht="25.5">
      <c r="B155" s="145"/>
      <c r="C155" s="145"/>
      <c r="D155" s="145"/>
      <c r="E155" s="145"/>
      <c r="F155" s="145"/>
      <c r="G155" s="145"/>
      <c r="H155" s="145"/>
      <c r="I155" s="145"/>
      <c r="J155" s="147" t="str">
        <f>'matrik MISI GABUNG'!N384</f>
        <v>Persentase ruang kelas SMK yang kondisinya baik</v>
      </c>
      <c r="K155" s="147" t="str">
        <f>'matrik MISI GABUNG'!O384</f>
        <v>%</v>
      </c>
      <c r="L155" s="1050">
        <f>'matrik MISI GABUNG'!P384</f>
        <v>98.107255520504737</v>
      </c>
      <c r="M155" s="1050">
        <f>'matrik MISI GABUNG'!Q384</f>
        <v>98.75</v>
      </c>
      <c r="N155" s="1052">
        <f>'matrik MISI GABUNG'!V384</f>
        <v>99.39</v>
      </c>
      <c r="O155" s="147" t="str">
        <f>'matrik MISI GABUNG'!X384</f>
        <v>Dinas Pendidikan</v>
      </c>
    </row>
    <row r="156" spans="2:15" ht="51">
      <c r="B156" s="145"/>
      <c r="C156" s="145"/>
      <c r="D156" s="145"/>
      <c r="E156" s="145"/>
      <c r="F156" s="145"/>
      <c r="G156" s="145"/>
      <c r="H156" s="145"/>
      <c r="I156" s="145"/>
      <c r="J156" s="147" t="str">
        <f>'matrik MISI GABUNG'!N385</f>
        <v>Persentase SMA/MA yang memiliki sarana dan prasarana sesuai dengan standar sarana  prasarana</v>
      </c>
      <c r="K156" s="147" t="str">
        <f>'matrik MISI GABUNG'!O385</f>
        <v>%</v>
      </c>
      <c r="L156" s="1050">
        <f>'matrik MISI GABUNG'!P385</f>
        <v>80</v>
      </c>
      <c r="M156" s="1050">
        <f>'matrik MISI GABUNG'!Q385</f>
        <v>74.069999999999993</v>
      </c>
      <c r="N156" s="1052">
        <f>'matrik MISI GABUNG'!V385</f>
        <v>96.27</v>
      </c>
      <c r="O156" s="147" t="str">
        <f>'matrik MISI GABUNG'!X385</f>
        <v>Dinas Pendidikan</v>
      </c>
    </row>
    <row r="157" spans="2:15" ht="51">
      <c r="B157" s="145"/>
      <c r="C157" s="145"/>
      <c r="D157" s="145"/>
      <c r="E157" s="146"/>
      <c r="F157" s="146"/>
      <c r="G157" s="1085"/>
      <c r="H157" s="146"/>
      <c r="I157" s="146"/>
      <c r="J157" s="147" t="str">
        <f>'matrik MISI GABUNG'!N386</f>
        <v>Persentase SMK yang memiliki sarana dan prasarana sesuai dengan standar sarana  prasarana</v>
      </c>
      <c r="K157" s="147" t="str">
        <f>'matrik MISI GABUNG'!O386</f>
        <v>%</v>
      </c>
      <c r="L157" s="1050">
        <f>'matrik MISI GABUNG'!P386</f>
        <v>80</v>
      </c>
      <c r="M157" s="1050">
        <f>'matrik MISI GABUNG'!Q386</f>
        <v>81.819999999999993</v>
      </c>
      <c r="N157" s="1052">
        <f>'matrik MISI GABUNG'!V386</f>
        <v>95.47</v>
      </c>
      <c r="O157" s="147" t="str">
        <f>'matrik MISI GABUNG'!X386</f>
        <v>Dinas Pendidikan</v>
      </c>
    </row>
    <row r="158" spans="2:15" ht="63.75">
      <c r="B158" s="145"/>
      <c r="C158" s="145"/>
      <c r="D158" s="145"/>
      <c r="E158" s="143" t="str">
        <f>'matrik MISI GABUNG'!F387</f>
        <v>Meningkatnya Sarana dan Prasarana Pendidikan Non Formal</v>
      </c>
      <c r="F158" s="143" t="str">
        <f>'matrik MISI GABUNG'!G387</f>
        <v>Peningkatan sarana dan prasarana pendidikan nonformal</v>
      </c>
      <c r="G158" s="1084" t="str">
        <f>'matrik MISI 4'!H13</f>
        <v xml:space="preserve">Mengembangkan Aksesiblitas pendidikan dan peningkatan kualitas pendidikan </v>
      </c>
      <c r="H158" s="143" t="str">
        <f>'matrik MISI GABUNG'!I387</f>
        <v>Meningkatkan sarana dan prasarana pendidikan nonformal (penyelenggara pendidikan kesetaraan) sesuai dengan kebutuhan</v>
      </c>
      <c r="I158" s="143" t="str">
        <f>'matrik MISI GABUNG'!M388</f>
        <v>Program pendidikan nonformal</v>
      </c>
      <c r="J158" s="147" t="str">
        <f>'matrik MISI GABUNG'!N388</f>
        <v>Persentase lembaga pendidikan nonformal yang memliki ruang belajar beserta perlengkapannya</v>
      </c>
      <c r="K158" s="147" t="str">
        <f>'matrik MISI GABUNG'!O388</f>
        <v>%</v>
      </c>
      <c r="L158" s="1050" t="str">
        <f>'matrik MISI GABUNG'!P388</f>
        <v>68,07</v>
      </c>
      <c r="M158" s="1050" t="str">
        <f>'matrik MISI GABUNG'!Q388</f>
        <v>69,95</v>
      </c>
      <c r="N158" s="1052" t="str">
        <f>'matrik MISI GABUNG'!V388</f>
        <v>82,6</v>
      </c>
      <c r="O158" s="147" t="str">
        <f>'matrik MISI GABUNG'!X388</f>
        <v>Dinas Pendidikan</v>
      </c>
    </row>
    <row r="159" spans="2:15" ht="38.25">
      <c r="B159" s="145"/>
      <c r="C159" s="145"/>
      <c r="D159" s="145"/>
      <c r="E159" s="145"/>
      <c r="F159" s="145"/>
      <c r="G159" s="145"/>
      <c r="H159" s="145"/>
      <c r="I159" s="145"/>
      <c r="J159" s="147" t="str">
        <f>'matrik MISI GABUNG'!N389</f>
        <v>Persentase lembaga pendidikan nonformal yang memiliki alat dan bahan belajar</v>
      </c>
      <c r="K159" s="147" t="str">
        <f>'matrik MISI GABUNG'!O389</f>
        <v>%</v>
      </c>
      <c r="L159" s="1050" t="str">
        <f>'matrik MISI GABUNG'!P389</f>
        <v>71,36</v>
      </c>
      <c r="M159" s="1050" t="str">
        <f>'matrik MISI GABUNG'!Q389</f>
        <v>73,71</v>
      </c>
      <c r="N159" s="1052" t="str">
        <f>'matrik MISI GABUNG'!V389</f>
        <v>85,45</v>
      </c>
      <c r="O159" s="147" t="str">
        <f>'matrik MISI GABUNG'!X389</f>
        <v>Dinas Pendidikan</v>
      </c>
    </row>
    <row r="160" spans="2:15" s="923" customFormat="1">
      <c r="L160" s="1051"/>
      <c r="M160" s="1051"/>
      <c r="N160" s="1055"/>
    </row>
    <row r="161" spans="2:15" ht="63.75">
      <c r="B161" s="143">
        <v>5</v>
      </c>
      <c r="C161" s="143" t="str">
        <f>'visi misi'!A13</f>
        <v>Mewujudkan Peningkatan  Budaya Sehat dan Aksesibilitas Kesehatan Masyarakat</v>
      </c>
      <c r="D161" s="143" t="str">
        <f>'matrik MISI GABUNG'!B391</f>
        <v>KESEHATAN</v>
      </c>
      <c r="E161" s="143" t="str">
        <f>'matrik MISI GABUNG'!F391</f>
        <v>Meningkatnya Akses Masyarakat ke Fasilitas Kesehatan Yang Bermutu</v>
      </c>
      <c r="F161" s="143" t="str">
        <f>'matrik MISI GABUNG'!G391</f>
        <v>Peningkatan Akses Masyarakat ke Fasilitas Kesehatan Yang Bermutu</v>
      </c>
      <c r="G161" s="1084" t="str">
        <f>'matrik MISI 5'!H6</f>
        <v>Meningkatkan Aksesibilitas Pelayanan Kesehatan</v>
      </c>
      <c r="H161" s="143" t="str">
        <f>'matrik MISI GABUNG'!I391</f>
        <v>Meningkatkan Akses Masyarakat ke Fasilitas Kesehatan Yang Bermutu mulai tingkat Desa/Kleurahan, Kecamatan, sampai dengan Kabupaten</v>
      </c>
      <c r="I161" s="143" t="str">
        <f>'matrik MISI GABUNG'!M392</f>
        <v>Program peningkatan keselamatan ibu melahirkan dan anak</v>
      </c>
      <c r="J161" s="147" t="str">
        <f>'matrik MISI GABUNG'!N392</f>
        <v>Cakupan Kunjungan Ibu Hamil K4</v>
      </c>
      <c r="K161" s="147" t="str">
        <f>'matrik MISI GABUNG'!O392</f>
        <v>%</v>
      </c>
      <c r="L161" s="1050" t="str">
        <f>'matrik MISI GABUNG'!P392</f>
        <v>92,24</v>
      </c>
      <c r="M161" s="1050">
        <f>'matrik MISI GABUNG'!Q392</f>
        <v>95</v>
      </c>
      <c r="N161" s="1052">
        <f>'matrik MISI GABUNG'!V392</f>
        <v>95</v>
      </c>
      <c r="O161" s="147" t="str">
        <f>'matrik MISI GABUNG'!X392</f>
        <v>Dinas Kesehatan</v>
      </c>
    </row>
    <row r="162" spans="2:15" ht="51">
      <c r="B162" s="145"/>
      <c r="C162" s="145"/>
      <c r="D162" s="145"/>
      <c r="E162" s="145"/>
      <c r="F162" s="145"/>
      <c r="G162" s="145"/>
      <c r="H162" s="145"/>
      <c r="I162" s="145"/>
      <c r="J162" s="147" t="str">
        <f>'matrik MISI GABUNG'!N393</f>
        <v>Cakupan Pertolongan Persalinan oleh Bidan atau Tenaga Kesehatan yang Memiliki Kompetensi Kebidanan</v>
      </c>
      <c r="K162" s="147" t="str">
        <f>'matrik MISI GABUNG'!O393</f>
        <v>%</v>
      </c>
      <c r="L162" s="1050" t="str">
        <f>'matrik MISI GABUNG'!P393</f>
        <v>99,65</v>
      </c>
      <c r="M162" s="1050">
        <f>'matrik MISI GABUNG'!Q393</f>
        <v>95</v>
      </c>
      <c r="N162" s="1052">
        <f>'matrik MISI GABUNG'!V393</f>
        <v>95</v>
      </c>
      <c r="O162" s="147" t="str">
        <f>'matrik MISI GABUNG'!X393</f>
        <v>Dinas Kesehatan</v>
      </c>
    </row>
    <row r="163" spans="2:15" ht="25.5">
      <c r="B163" s="145"/>
      <c r="C163" s="145"/>
      <c r="D163" s="145"/>
      <c r="E163" s="145"/>
      <c r="F163" s="145"/>
      <c r="G163" s="145"/>
      <c r="H163" s="145"/>
      <c r="I163" s="145"/>
      <c r="J163" s="147" t="str">
        <f>'matrik MISI GABUNG'!N394</f>
        <v>Cakupan Komplikasi Kebidanan yang Ditangani</v>
      </c>
      <c r="K163" s="147" t="str">
        <f>'matrik MISI GABUNG'!O394</f>
        <v>%</v>
      </c>
      <c r="L163" s="1050" t="str">
        <f>'matrik MISI GABUNG'!P394</f>
        <v>100</v>
      </c>
      <c r="M163" s="1050">
        <f>'matrik MISI GABUNG'!Q394</f>
        <v>96</v>
      </c>
      <c r="N163" s="1052">
        <f>'matrik MISI GABUNG'!V394</f>
        <v>90</v>
      </c>
      <c r="O163" s="147" t="str">
        <f>'matrik MISI GABUNG'!X394</f>
        <v>Dinas Kesehatan</v>
      </c>
    </row>
    <row r="164" spans="2:15">
      <c r="B164" s="145"/>
      <c r="C164" s="145"/>
      <c r="D164" s="145"/>
      <c r="E164" s="145"/>
      <c r="F164" s="145"/>
      <c r="G164" s="145"/>
      <c r="H164" s="145"/>
      <c r="I164" s="145"/>
      <c r="J164" s="147" t="str">
        <f>'matrik MISI GABUNG'!N395</f>
        <v>Cakupan Pelayanan Nifas</v>
      </c>
      <c r="K164" s="147" t="str">
        <f>'matrik MISI GABUNG'!O395</f>
        <v>%</v>
      </c>
      <c r="L164" s="1050">
        <f>'matrik MISI GABUNG'!P395</f>
        <v>94.56</v>
      </c>
      <c r="M164" s="1050">
        <f>'matrik MISI GABUNG'!Q395</f>
        <v>95</v>
      </c>
      <c r="N164" s="1052">
        <f>'matrik MISI GABUNG'!V395</f>
        <v>95</v>
      </c>
      <c r="O164" s="147" t="str">
        <f>'matrik MISI GABUNG'!X395</f>
        <v>Dinas Kesehatan</v>
      </c>
    </row>
    <row r="165" spans="2:15" ht="25.5">
      <c r="B165" s="145"/>
      <c r="C165" s="145"/>
      <c r="D165" s="145"/>
      <c r="E165" s="145"/>
      <c r="F165" s="145"/>
      <c r="G165" s="145"/>
      <c r="H165" s="145"/>
      <c r="I165" s="145"/>
      <c r="J165" s="147" t="str">
        <f>'matrik MISI GABUNG'!N396</f>
        <v>Angka Kematian Ibu per 100.000 Kelahiran Hidup</v>
      </c>
      <c r="K165" s="147" t="str">
        <f>'matrik MISI GABUNG'!O396</f>
        <v>perkilomil</v>
      </c>
      <c r="L165" s="1050">
        <f>'matrik MISI GABUNG'!P396</f>
        <v>88.92</v>
      </c>
      <c r="M165" s="1050">
        <f>'matrik MISI GABUNG'!Q396</f>
        <v>102</v>
      </c>
      <c r="N165" s="1052">
        <f>'matrik MISI GABUNG'!V396</f>
        <v>100</v>
      </c>
      <c r="O165" s="147" t="str">
        <f>'matrik MISI GABUNG'!X396</f>
        <v>Dinas Kesehatan</v>
      </c>
    </row>
    <row r="166" spans="2:15">
      <c r="B166" s="145"/>
      <c r="C166" s="145"/>
      <c r="D166" s="145"/>
      <c r="E166" s="145"/>
      <c r="F166" s="145"/>
      <c r="G166" s="145"/>
      <c r="H166" s="145"/>
      <c r="I166" s="145"/>
      <c r="J166" s="147" t="str">
        <f>'matrik MISI GABUNG'!N397</f>
        <v>Cakupan Kunjungan Bayi</v>
      </c>
      <c r="K166" s="147" t="str">
        <f>'matrik MISI GABUNG'!O397</f>
        <v>%</v>
      </c>
      <c r="L166" s="1050" t="str">
        <f>'matrik MISI GABUNG'!P397</f>
        <v>96,9</v>
      </c>
      <c r="M166" s="1050">
        <f>'matrik MISI GABUNG'!Q397</f>
        <v>90</v>
      </c>
      <c r="N166" s="1052">
        <f>'matrik MISI GABUNG'!V397</f>
        <v>99</v>
      </c>
      <c r="O166" s="147" t="str">
        <f>'matrik MISI GABUNG'!X397</f>
        <v>Dinas Kesehatan</v>
      </c>
    </row>
    <row r="167" spans="2:15" ht="25.5">
      <c r="B167" s="145"/>
      <c r="C167" s="145"/>
      <c r="D167" s="145"/>
      <c r="E167" s="145"/>
      <c r="F167" s="145"/>
      <c r="G167" s="145"/>
      <c r="H167" s="145"/>
      <c r="I167" s="145"/>
      <c r="J167" s="147" t="str">
        <f>'matrik MISI GABUNG'!N398</f>
        <v>Cakupan Kunjungan Neonatus (KN1)</v>
      </c>
      <c r="K167" s="147" t="str">
        <f>'matrik MISI GABUNG'!O398</f>
        <v>%</v>
      </c>
      <c r="L167" s="1050" t="str">
        <f>'matrik MISI GABUNG'!P398</f>
        <v>96,8</v>
      </c>
      <c r="M167" s="1050">
        <f>'matrik MISI GABUNG'!Q398</f>
        <v>96</v>
      </c>
      <c r="N167" s="1052">
        <f>'matrik MISI GABUNG'!V398</f>
        <v>99</v>
      </c>
      <c r="O167" s="147" t="str">
        <f>'matrik MISI GABUNG'!X398</f>
        <v>Dinas Kesehatan</v>
      </c>
    </row>
    <row r="168" spans="2:15">
      <c r="B168" s="145"/>
      <c r="C168" s="145"/>
      <c r="D168" s="145"/>
      <c r="E168" s="145"/>
      <c r="F168" s="145"/>
      <c r="G168" s="145"/>
      <c r="H168" s="145"/>
      <c r="I168" s="145"/>
      <c r="J168" s="147" t="str">
        <f>'matrik MISI GABUNG'!N399</f>
        <v>Cakupan Pelayanan Anak Balita</v>
      </c>
      <c r="K168" s="147" t="str">
        <f>'matrik MISI GABUNG'!O399</f>
        <v>%</v>
      </c>
      <c r="L168" s="1050" t="str">
        <f>'matrik MISI GABUNG'!P399</f>
        <v>89,84</v>
      </c>
      <c r="M168" s="1050">
        <f>'matrik MISI GABUNG'!Q399</f>
        <v>90</v>
      </c>
      <c r="N168" s="1052">
        <f>'matrik MISI GABUNG'!V399</f>
        <v>90</v>
      </c>
      <c r="O168" s="147" t="str">
        <f>'matrik MISI GABUNG'!X399</f>
        <v>Dinas Kesehatan</v>
      </c>
    </row>
    <row r="169" spans="2:15" ht="25.5">
      <c r="B169" s="145"/>
      <c r="C169" s="145"/>
      <c r="D169" s="145"/>
      <c r="E169" s="145"/>
      <c r="F169" s="145"/>
      <c r="G169" s="145"/>
      <c r="H169" s="145"/>
      <c r="I169" s="145"/>
      <c r="J169" s="147" t="str">
        <f>'matrik MISI GABUNG'!N400</f>
        <v>Cakupan Neonatal dengan Komplikasi yang Ditangani</v>
      </c>
      <c r="K169" s="147" t="str">
        <f>'matrik MISI GABUNG'!O400</f>
        <v>%</v>
      </c>
      <c r="L169" s="1050" t="str">
        <f>'matrik MISI GABUNG'!P400</f>
        <v>100</v>
      </c>
      <c r="M169" s="1050">
        <f>'matrik MISI GABUNG'!Q400</f>
        <v>100</v>
      </c>
      <c r="N169" s="1052">
        <f>'matrik MISI GABUNG'!V400</f>
        <v>65</v>
      </c>
      <c r="O169" s="147" t="str">
        <f>'matrik MISI GABUNG'!X400</f>
        <v>Dinas Kesehatan</v>
      </c>
    </row>
    <row r="170" spans="2:15">
      <c r="B170" s="145"/>
      <c r="C170" s="145"/>
      <c r="D170" s="145"/>
      <c r="E170" s="145"/>
      <c r="F170" s="145"/>
      <c r="G170" s="145"/>
      <c r="H170" s="145"/>
      <c r="I170" s="145"/>
      <c r="J170" s="147" t="str">
        <f>'matrik MISI GABUNG'!N401</f>
        <v>Angka Kelangsungan Hidup Bayi</v>
      </c>
      <c r="K170" s="147" t="str">
        <f>'matrik MISI GABUNG'!O401</f>
        <v>permil</v>
      </c>
      <c r="L170" s="1050">
        <f>'matrik MISI GABUNG'!P401</f>
        <v>0.98699999999999999</v>
      </c>
      <c r="M170" s="1050">
        <f>'matrik MISI GABUNG'!Q401</f>
        <v>0.98</v>
      </c>
      <c r="N170" s="1052" t="str">
        <f>'matrik MISI GABUNG'!V401</f>
        <v>0,992</v>
      </c>
      <c r="O170" s="147" t="str">
        <f>'matrik MISI GABUNG'!X401</f>
        <v>Dinas Kesehatan</v>
      </c>
    </row>
    <row r="171" spans="2:15" ht="25.5">
      <c r="B171" s="145"/>
      <c r="C171" s="145"/>
      <c r="D171" s="145"/>
      <c r="E171" s="145"/>
      <c r="F171" s="145"/>
      <c r="G171" s="145"/>
      <c r="H171" s="145"/>
      <c r="I171" s="145"/>
      <c r="J171" s="147" t="str">
        <f>'matrik MISI GABUNG'!N402</f>
        <v>Angka Kematian Neonatal per 1.000 Kelahiran Hidup</v>
      </c>
      <c r="K171" s="147" t="str">
        <f>'matrik MISI GABUNG'!O402</f>
        <v>permil</v>
      </c>
      <c r="L171" s="1050">
        <f>'matrik MISI GABUNG'!P402</f>
        <v>6</v>
      </c>
      <c r="M171" s="1050">
        <f>'matrik MISI GABUNG'!Q402</f>
        <v>9</v>
      </c>
      <c r="N171" s="1052">
        <f>'matrik MISI GABUNG'!V402</f>
        <v>6.8</v>
      </c>
      <c r="O171" s="147" t="str">
        <f>'matrik MISI GABUNG'!X402</f>
        <v>Dinas Kesehatan</v>
      </c>
    </row>
    <row r="172" spans="2:15" ht="25.5">
      <c r="B172" s="145"/>
      <c r="C172" s="145"/>
      <c r="D172" s="145"/>
      <c r="E172" s="145"/>
      <c r="F172" s="145"/>
      <c r="G172" s="145"/>
      <c r="H172" s="145"/>
      <c r="I172" s="145"/>
      <c r="J172" s="147" t="str">
        <f>'matrik MISI GABUNG'!N403</f>
        <v>Angka Kematian Bayi per 1.000 Kelahiran Hidup</v>
      </c>
      <c r="K172" s="147" t="str">
        <f>'matrik MISI GABUNG'!O403</f>
        <v>permil</v>
      </c>
      <c r="L172" s="1050">
        <f>'matrik MISI GABUNG'!P403</f>
        <v>12.21</v>
      </c>
      <c r="M172" s="1050">
        <f>'matrik MISI GABUNG'!Q403</f>
        <v>14.2</v>
      </c>
      <c r="N172" s="1052">
        <f>'matrik MISI GABUNG'!V403</f>
        <v>11</v>
      </c>
      <c r="O172" s="147" t="str">
        <f>'matrik MISI GABUNG'!X403</f>
        <v>Dinas Kesehatan</v>
      </c>
    </row>
    <row r="173" spans="2:15" ht="25.5">
      <c r="B173" s="145"/>
      <c r="C173" s="145"/>
      <c r="D173" s="145"/>
      <c r="E173" s="145"/>
      <c r="F173" s="145"/>
      <c r="G173" s="145"/>
      <c r="H173" s="145"/>
      <c r="I173" s="145"/>
      <c r="J173" s="147" t="str">
        <f>'matrik MISI GABUNG'!N404</f>
        <v>Angka Kematian Balita per 1.000 Kelahiran Hidup</v>
      </c>
      <c r="K173" s="147" t="str">
        <f>'matrik MISI GABUNG'!O404</f>
        <v>permil</v>
      </c>
      <c r="L173" s="1050">
        <f>'matrik MISI GABUNG'!P404</f>
        <v>13</v>
      </c>
      <c r="M173" s="1050">
        <f>'matrik MISI GABUNG'!Q404</f>
        <v>15.5</v>
      </c>
      <c r="N173" s="1052">
        <f>'matrik MISI GABUNG'!V404</f>
        <v>13.8</v>
      </c>
      <c r="O173" s="147" t="str">
        <f>'matrik MISI GABUNG'!X404</f>
        <v>Dinas Kesehatan</v>
      </c>
    </row>
    <row r="174" spans="2:15" ht="25.5">
      <c r="B174" s="145"/>
      <c r="C174" s="145"/>
      <c r="D174" s="145"/>
      <c r="E174" s="145"/>
      <c r="F174" s="145"/>
      <c r="G174" s="145"/>
      <c r="H174" s="145"/>
      <c r="I174" s="146"/>
      <c r="J174" s="147" t="str">
        <f>'matrik MISI GABUNG'!N405</f>
        <v>Cakupan Layanan Kesehatan Peserta Aktif KB</v>
      </c>
      <c r="K174" s="147" t="str">
        <f>'matrik MISI GABUNG'!O405</f>
        <v>%</v>
      </c>
      <c r="L174" s="1050" t="str">
        <f>'matrik MISI GABUNG'!P405</f>
        <v>85,98</v>
      </c>
      <c r="M174" s="1050">
        <f>'matrik MISI GABUNG'!Q405</f>
        <v>86</v>
      </c>
      <c r="N174" s="1052">
        <f>'matrik MISI GABUNG'!V405</f>
        <v>80</v>
      </c>
      <c r="O174" s="147" t="str">
        <f>'matrik MISI GABUNG'!X405</f>
        <v>Dinas Kesehatan</v>
      </c>
    </row>
    <row r="175" spans="2:15" ht="25.5">
      <c r="B175" s="145"/>
      <c r="C175" s="145"/>
      <c r="D175" s="145"/>
      <c r="E175" s="145"/>
      <c r="F175" s="145"/>
      <c r="G175" s="145"/>
      <c r="H175" s="145"/>
      <c r="I175" s="143" t="str">
        <f>'matrik MISI GABUNG'!M406</f>
        <v>Program Pelayanan Kesehatan Penduduk Miskin</v>
      </c>
      <c r="J175" s="147" t="str">
        <f>'matrik MISI GABUNG'!N406</f>
        <v>Cakupan Pelayanan Kesehatan Dasar Masyarakat Miskin</v>
      </c>
      <c r="K175" s="147" t="str">
        <f>'matrik MISI GABUNG'!O406</f>
        <v>%</v>
      </c>
      <c r="L175" s="1050" t="str">
        <f>'matrik MISI GABUNG'!P406</f>
        <v>67,23</v>
      </c>
      <c r="M175" s="1050">
        <f>'matrik MISI GABUNG'!Q406</f>
        <v>100</v>
      </c>
      <c r="N175" s="1052">
        <f>'matrik MISI GABUNG'!V406</f>
        <v>100</v>
      </c>
      <c r="O175" s="147" t="str">
        <f>'matrik MISI GABUNG'!X406</f>
        <v>Dinas Kesehatan</v>
      </c>
    </row>
    <row r="176" spans="2:15" ht="25.5">
      <c r="B176" s="145"/>
      <c r="C176" s="145"/>
      <c r="D176" s="145"/>
      <c r="E176" s="145"/>
      <c r="F176" s="145"/>
      <c r="G176" s="145"/>
      <c r="H176" s="145"/>
      <c r="I176" s="146"/>
      <c r="J176" s="147" t="str">
        <f>'matrik MISI GABUNG'!N407</f>
        <v>Pelayanan kesehatan penduduk miskin di RSUD</v>
      </c>
      <c r="K176" s="147" t="str">
        <f>'matrik MISI GABUNG'!O407</f>
        <v>%</v>
      </c>
      <c r="L176" s="1050">
        <f>'matrik MISI GABUNG'!P407</f>
        <v>130.63999999999999</v>
      </c>
      <c r="M176" s="1050">
        <f>'matrik MISI GABUNG'!Q407</f>
        <v>100</v>
      </c>
      <c r="N176" s="1052">
        <f>'matrik MISI GABUNG'!V407</f>
        <v>100</v>
      </c>
      <c r="O176" s="147" t="str">
        <f>'matrik MISI GABUNG'!X407</f>
        <v xml:space="preserve">RSUD </v>
      </c>
    </row>
    <row r="177" spans="2:15" ht="38.25">
      <c r="B177" s="145"/>
      <c r="C177" s="145"/>
      <c r="D177" s="145"/>
      <c r="E177" s="145"/>
      <c r="F177" s="145"/>
      <c r="G177" s="145"/>
      <c r="H177" s="145"/>
      <c r="I177" s="143" t="str">
        <f>'matrik MISI GABUNG'!M408</f>
        <v>Program kemitraan peningkatan pelayanan kesehatan</v>
      </c>
      <c r="J177" s="147" t="str">
        <f>'matrik MISI GABUNG'!N408</f>
        <v>Cakupan Pelayanan Kesehatan Rujukan Pasien Masyarakat Miskin</v>
      </c>
      <c r="K177" s="147" t="str">
        <f>'matrik MISI GABUNG'!O408</f>
        <v>%</v>
      </c>
      <c r="L177" s="1050" t="str">
        <f>'matrik MISI GABUNG'!P408</f>
        <v>100</v>
      </c>
      <c r="M177" s="1050">
        <f>'matrik MISI GABUNG'!Q408</f>
        <v>100</v>
      </c>
      <c r="N177" s="1052">
        <f>'matrik MISI GABUNG'!V408</f>
        <v>100</v>
      </c>
      <c r="O177" s="147" t="str">
        <f>'matrik MISI GABUNG'!X408</f>
        <v>Dinas Kesehatan</v>
      </c>
    </row>
    <row r="178" spans="2:15" ht="51">
      <c r="B178" s="145"/>
      <c r="C178" s="145"/>
      <c r="D178" s="145"/>
      <c r="E178" s="146"/>
      <c r="F178" s="146"/>
      <c r="G178" s="1085"/>
      <c r="H178" s="146"/>
      <c r="I178" s="146"/>
      <c r="J178" s="147" t="str">
        <f>'matrik MISI GABUNG'!N409</f>
        <v>Cakupan Pelayanan Gawat Darurat Level 1 yang harus diberikan Sarana Kesehatan (RS) di Kabupaten</v>
      </c>
      <c r="K178" s="147" t="str">
        <f>'matrik MISI GABUNG'!O409</f>
        <v>%</v>
      </c>
      <c r="L178" s="1050">
        <f>'matrik MISI GABUNG'!P409</f>
        <v>100</v>
      </c>
      <c r="M178" s="1050">
        <f>'matrik MISI GABUNG'!Q409</f>
        <v>100</v>
      </c>
      <c r="N178" s="1052">
        <f>'matrik MISI GABUNG'!V409</f>
        <v>100</v>
      </c>
      <c r="O178" s="147" t="str">
        <f>'matrik MISI GABUNG'!X409</f>
        <v>Dinas Kesehatan</v>
      </c>
    </row>
    <row r="179" spans="2:15" ht="51">
      <c r="B179" s="145"/>
      <c r="C179" s="145"/>
      <c r="D179" s="145"/>
      <c r="E179" s="143" t="str">
        <f>'matrik MISI GABUNG'!F410</f>
        <v>Meningkatnya Upaya Pencegahan dan Pengendalian Penyakit</v>
      </c>
      <c r="F179" s="143" t="str">
        <f>'matrik MISI GABUNG'!G410</f>
        <v>Peningkatan Upaya Pencegahan dan Pengendalian Penyakit</v>
      </c>
      <c r="G179" s="1084" t="str">
        <f>'matrik MISI 5'!H6</f>
        <v>Meningkatkan Aksesibilitas Pelayanan Kesehatan</v>
      </c>
      <c r="H179" s="143" t="str">
        <f>'matrik MISI GABUNG'!I410</f>
        <v>Meningkatkan Upaya Pencegahan, Penanganan dan Pengendalian Penyakit, serta kewaspadaan adanya potensi KLB</v>
      </c>
      <c r="I179" s="143" t="str">
        <f>'matrik MISI GABUNG'!M411</f>
        <v xml:space="preserve">Program Pencegahan dan Penanggulangan Penyakit Menular </v>
      </c>
      <c r="J179" s="147" t="str">
        <f>'matrik MISI GABUNG'!N411</f>
        <v xml:space="preserve">Angka Kesembuhan Penderita TBC BTA Positif (CR/Cure Rate) </v>
      </c>
      <c r="K179" s="147" t="str">
        <f>'matrik MISI GABUNG'!O411</f>
        <v>%</v>
      </c>
      <c r="L179" s="1050" t="str">
        <f>'matrik MISI GABUNG'!P411</f>
        <v>87,16</v>
      </c>
      <c r="M179" s="1050">
        <f>'matrik MISI GABUNG'!Q411</f>
        <v>87</v>
      </c>
      <c r="N179" s="1052" t="str">
        <f>'matrik MISI GABUNG'!V411</f>
        <v>&gt;87</v>
      </c>
      <c r="O179" s="147" t="str">
        <f>'matrik MISI GABUNG'!X411</f>
        <v>Dinas Kesehatan</v>
      </c>
    </row>
    <row r="180" spans="2:15" ht="38.25">
      <c r="B180" s="145"/>
      <c r="C180" s="145"/>
      <c r="D180" s="145"/>
      <c r="E180" s="145"/>
      <c r="F180" s="145"/>
      <c r="G180" s="145"/>
      <c r="H180" s="145"/>
      <c r="I180" s="145"/>
      <c r="J180" s="147" t="str">
        <f>'matrik MISI GABUNG'!N412</f>
        <v>Angka Penemuan Kasus TBC BTA Positif (CDR/Case  Detection Rate)</v>
      </c>
      <c r="K180" s="147" t="str">
        <f>'matrik MISI GABUNG'!O412</f>
        <v>%</v>
      </c>
      <c r="L180" s="1050">
        <f>'matrik MISI GABUNG'!P412</f>
        <v>38.700000000000003</v>
      </c>
      <c r="M180" s="1050">
        <f>'matrik MISI GABUNG'!Q412</f>
        <v>70</v>
      </c>
      <c r="N180" s="1052">
        <f>'matrik MISI GABUNG'!V412</f>
        <v>70</v>
      </c>
      <c r="O180" s="147" t="str">
        <f>'matrik MISI GABUNG'!X412</f>
        <v>Dinas Kesehatan</v>
      </c>
    </row>
    <row r="181" spans="2:15" ht="25.5">
      <c r="B181" s="145"/>
      <c r="C181" s="145"/>
      <c r="D181" s="145"/>
      <c r="E181" s="145"/>
      <c r="F181" s="145"/>
      <c r="G181" s="145"/>
      <c r="H181" s="145"/>
      <c r="I181" s="145"/>
      <c r="J181" s="147" t="str">
        <f>'matrik MISI GABUNG'!N413</f>
        <v>Prevalensi HIV pada Penduduk Usia Dewasa</v>
      </c>
      <c r="K181" s="147" t="str">
        <f>'matrik MISI GABUNG'!O413</f>
        <v>%</v>
      </c>
      <c r="L181" s="1050">
        <f>'matrik MISI GABUNG'!P413</f>
        <v>8.7999999999999995E-2</v>
      </c>
      <c r="M181" s="1050">
        <f>'matrik MISI GABUNG'!Q413</f>
        <v>3.8999999999999998E-3</v>
      </c>
      <c r="N181" s="1052" t="str">
        <f>'matrik MISI GABUNG'!V413</f>
        <v>&lt; 0,05</v>
      </c>
      <c r="O181" s="147" t="str">
        <f>'matrik MISI GABUNG'!X413</f>
        <v>Dinas Kesehatan</v>
      </c>
    </row>
    <row r="182" spans="2:15" ht="51">
      <c r="B182" s="145"/>
      <c r="C182" s="145"/>
      <c r="D182" s="145"/>
      <c r="E182" s="145"/>
      <c r="F182" s="145"/>
      <c r="G182" s="145"/>
      <c r="H182" s="145"/>
      <c r="I182" s="145"/>
      <c r="J182" s="147" t="str">
        <f>'matrik MISI GABUNG'!N414</f>
        <v>Proporsi Penduduk Usia 15 - 24 Tahun yang Memiliki Pengetahuan Komprehensif tentang HIV/AIDS</v>
      </c>
      <c r="K182" s="147" t="str">
        <f>'matrik MISI GABUNG'!O414</f>
        <v>%</v>
      </c>
      <c r="L182" s="1050" t="str">
        <f>'matrik MISI GABUNG'!P414</f>
        <v>tda</v>
      </c>
      <c r="M182" s="1050">
        <f>'matrik MISI GABUNG'!Q414</f>
        <v>60</v>
      </c>
      <c r="N182" s="1052">
        <f>'matrik MISI GABUNG'!V414</f>
        <v>70</v>
      </c>
      <c r="O182" s="147" t="str">
        <f>'matrik MISI GABUNG'!X414</f>
        <v>Dinas Kesehatan</v>
      </c>
    </row>
    <row r="183" spans="2:15" ht="25.5">
      <c r="B183" s="145"/>
      <c r="C183" s="145"/>
      <c r="D183" s="145"/>
      <c r="E183" s="145"/>
      <c r="F183" s="145"/>
      <c r="G183" s="145"/>
      <c r="H183" s="145"/>
      <c r="I183" s="145"/>
      <c r="J183" s="147" t="str">
        <f>'matrik MISI GABUNG'!N415</f>
        <v>Cakupan Penemuan Penderita Pneumonia Balita</v>
      </c>
      <c r="K183" s="147" t="str">
        <f>'matrik MISI GABUNG'!O415</f>
        <v>%</v>
      </c>
      <c r="L183" s="1050">
        <f>'matrik MISI GABUNG'!P415</f>
        <v>28.5</v>
      </c>
      <c r="M183" s="1050">
        <f>'matrik MISI GABUNG'!Q415</f>
        <v>60</v>
      </c>
      <c r="N183" s="1052">
        <f>'matrik MISI GABUNG'!V415</f>
        <v>70</v>
      </c>
      <c r="O183" s="147" t="str">
        <f>'matrik MISI GABUNG'!X415</f>
        <v>Dinas Kesehatan</v>
      </c>
    </row>
    <row r="184" spans="2:15" ht="25.5">
      <c r="B184" s="145"/>
      <c r="C184" s="145"/>
      <c r="D184" s="145"/>
      <c r="E184" s="145"/>
      <c r="F184" s="145"/>
      <c r="G184" s="145"/>
      <c r="H184" s="145"/>
      <c r="I184" s="145"/>
      <c r="J184" s="147" t="str">
        <f>'matrik MISI GABUNG'!N416</f>
        <v>Cakupan Penemuan Penderita Diare</v>
      </c>
      <c r="K184" s="147" t="str">
        <f>'matrik MISI GABUNG'!O416</f>
        <v>%</v>
      </c>
      <c r="L184" s="1050">
        <f>'matrik MISI GABUNG'!P416</f>
        <v>62.9</v>
      </c>
      <c r="M184" s="1050">
        <f>'matrik MISI GABUNG'!Q416</f>
        <v>90</v>
      </c>
      <c r="N184" s="1052">
        <f>'matrik MISI GABUNG'!V416</f>
        <v>90</v>
      </c>
      <c r="O184" s="147" t="str">
        <f>'matrik MISI GABUNG'!X416</f>
        <v>Dinas Kesehatan</v>
      </c>
    </row>
    <row r="185" spans="2:15" ht="25.5">
      <c r="B185" s="145"/>
      <c r="C185" s="145"/>
      <c r="D185" s="145"/>
      <c r="E185" s="145"/>
      <c r="F185" s="145"/>
      <c r="G185" s="145"/>
      <c r="H185" s="145"/>
      <c r="I185" s="145"/>
      <c r="J185" s="147" t="str">
        <f>'matrik MISI GABUNG'!N417</f>
        <v>CFR (Angka Kematian Diare per 10.000 Penduduk)</v>
      </c>
      <c r="K185" s="147">
        <f>'matrik MISI GABUNG'!O417</f>
        <v>0</v>
      </c>
      <c r="L185" s="1050">
        <f>'matrik MISI GABUNG'!P417</f>
        <v>0.79</v>
      </c>
      <c r="M185" s="1050" t="str">
        <f>'matrik MISI GABUNG'!Q417</f>
        <v>&lt;1</v>
      </c>
      <c r="N185" s="1052" t="str">
        <f>'matrik MISI GABUNG'!V417</f>
        <v>&lt; 1</v>
      </c>
      <c r="O185" s="147" t="str">
        <f>'matrik MISI GABUNG'!X417</f>
        <v>Dinas Kesehatan</v>
      </c>
    </row>
    <row r="186" spans="2:15" ht="25.5">
      <c r="B186" s="145"/>
      <c r="C186" s="145"/>
      <c r="D186" s="145"/>
      <c r="E186" s="145"/>
      <c r="F186" s="145"/>
      <c r="G186" s="145"/>
      <c r="H186" s="145"/>
      <c r="I186" s="145"/>
      <c r="J186" s="147" t="str">
        <f>'matrik MISI GABUNG'!N418</f>
        <v>Angka Penemuan Kasus Malaria per 1.000 Penduduk</v>
      </c>
      <c r="K186" s="147">
        <f>'matrik MISI GABUNG'!O418</f>
        <v>0</v>
      </c>
      <c r="L186" s="1050" t="str">
        <f>'matrik MISI GABUNG'!P418</f>
        <v>&lt;1</v>
      </c>
      <c r="M186" s="1050" t="str">
        <f>'matrik MISI GABUNG'!Q418</f>
        <v>&lt;1</v>
      </c>
      <c r="N186" s="1052" t="str">
        <f>'matrik MISI GABUNG'!V418</f>
        <v>&lt;1</v>
      </c>
      <c r="O186" s="147" t="str">
        <f>'matrik MISI GABUNG'!X418</f>
        <v>Dinas Kesehatan</v>
      </c>
    </row>
    <row r="187" spans="2:15" ht="38.25">
      <c r="B187" s="145"/>
      <c r="C187" s="145"/>
      <c r="D187" s="145"/>
      <c r="E187" s="145"/>
      <c r="F187" s="145"/>
      <c r="G187" s="145"/>
      <c r="H187" s="145"/>
      <c r="I187" s="145"/>
      <c r="J187" s="147" t="str">
        <f>'matrik MISI GABUNG'!N419</f>
        <v>Inciden Rate DBD (Demam Berdarah Dengue) per 10.000 Penduduk</v>
      </c>
      <c r="K187" s="147" t="str">
        <f>'matrik MISI GABUNG'!O419</f>
        <v>%</v>
      </c>
      <c r="L187" s="1050">
        <f>'matrik MISI GABUNG'!P419</f>
        <v>0.56999999999999995</v>
      </c>
      <c r="M187" s="1050" t="str">
        <f>'matrik MISI GABUNG'!Q419</f>
        <v>&lt;20</v>
      </c>
      <c r="N187" s="1052" t="str">
        <f>'matrik MISI GABUNG'!V419</f>
        <v>&lt;20</v>
      </c>
      <c r="O187" s="147" t="str">
        <f>'matrik MISI GABUNG'!X419</f>
        <v>Dinas Kesehatan</v>
      </c>
    </row>
    <row r="188" spans="2:15" ht="25.5">
      <c r="B188" s="145"/>
      <c r="C188" s="145"/>
      <c r="D188" s="145"/>
      <c r="E188" s="145"/>
      <c r="F188" s="145"/>
      <c r="G188" s="145"/>
      <c r="H188" s="145"/>
      <c r="I188" s="145"/>
      <c r="J188" s="147" t="str">
        <f>'matrik MISI GABUNG'!N420</f>
        <v>CFR atau Angka Kematian DBD (Demam Berdarah Dengue)</v>
      </c>
      <c r="K188" s="147" t="str">
        <f>'matrik MISI GABUNG'!O420</f>
        <v>%</v>
      </c>
      <c r="L188" s="1050">
        <f>'matrik MISI GABUNG'!P420</f>
        <v>0</v>
      </c>
      <c r="M188" s="1050" t="str">
        <f>'matrik MISI GABUNG'!Q420</f>
        <v>&lt;2</v>
      </c>
      <c r="N188" s="1052" t="str">
        <f>'matrik MISI GABUNG'!V420</f>
        <v>&lt;1</v>
      </c>
      <c r="O188" s="147" t="str">
        <f>'matrik MISI GABUNG'!X420</f>
        <v>Dinas Kesehatan</v>
      </c>
    </row>
    <row r="189" spans="2:15" ht="38.25">
      <c r="B189" s="145"/>
      <c r="C189" s="145"/>
      <c r="D189" s="145"/>
      <c r="E189" s="145"/>
      <c r="F189" s="145"/>
      <c r="G189" s="145"/>
      <c r="H189" s="145"/>
      <c r="I189" s="145"/>
      <c r="J189" s="147" t="str">
        <f>'matrik MISI GABUNG'!N421</f>
        <v>Penderita DBD (Demam Berdarah Dengue) yang Ditangani</v>
      </c>
      <c r="K189" s="147" t="str">
        <f>'matrik MISI GABUNG'!O421</f>
        <v>%</v>
      </c>
      <c r="L189" s="1050">
        <f>'matrik MISI GABUNG'!P421</f>
        <v>100</v>
      </c>
      <c r="M189" s="1050">
        <f>'matrik MISI GABUNG'!Q421</f>
        <v>100</v>
      </c>
      <c r="N189" s="1052">
        <f>'matrik MISI GABUNG'!V421</f>
        <v>100</v>
      </c>
      <c r="O189" s="147" t="str">
        <f>'matrik MISI GABUNG'!X421</f>
        <v>Dinas Kesehatan</v>
      </c>
    </row>
    <row r="190" spans="2:15" ht="38.25">
      <c r="B190" s="145"/>
      <c r="C190" s="145"/>
      <c r="D190" s="145"/>
      <c r="E190" s="145"/>
      <c r="F190" s="145"/>
      <c r="G190" s="145"/>
      <c r="H190" s="145"/>
      <c r="I190" s="145"/>
      <c r="J190" s="147" t="str">
        <f>'matrik MISI GABUNG'!N422</f>
        <v>Cakupan Desa atau Kelurahan Universal Child Immunisation (UCI)</v>
      </c>
      <c r="K190" s="147" t="str">
        <f>'matrik MISI GABUNG'!O422</f>
        <v>%</v>
      </c>
      <c r="L190" s="1050">
        <f>'matrik MISI GABUNG'!P422</f>
        <v>99.65</v>
      </c>
      <c r="M190" s="1050">
        <f>'matrik MISI GABUNG'!Q422</f>
        <v>100</v>
      </c>
      <c r="N190" s="1052">
        <f>'matrik MISI GABUNG'!V422</f>
        <v>100</v>
      </c>
      <c r="O190" s="147" t="str">
        <f>'matrik MISI GABUNG'!X422</f>
        <v>Dinas Kesehatan</v>
      </c>
    </row>
    <row r="191" spans="2:15" ht="25.5">
      <c r="B191" s="145"/>
      <c r="C191" s="145"/>
      <c r="D191" s="145"/>
      <c r="E191" s="145"/>
      <c r="F191" s="145"/>
      <c r="G191" s="145"/>
      <c r="H191" s="145"/>
      <c r="I191" s="145"/>
      <c r="J191" s="147" t="str">
        <f>'matrik MISI GABUNG'!N423</f>
        <v>Proporsi Anak Umur 1 Tahun diimunisasi Campak</v>
      </c>
      <c r="K191" s="147" t="str">
        <f>'matrik MISI GABUNG'!O423</f>
        <v>%</v>
      </c>
      <c r="L191" s="1050">
        <f>'matrik MISI GABUNG'!P423</f>
        <v>95</v>
      </c>
      <c r="M191" s="1050">
        <f>'matrik MISI GABUNG'!Q423</f>
        <v>95</v>
      </c>
      <c r="N191" s="1052">
        <f>'matrik MISI GABUNG'!V423</f>
        <v>95</v>
      </c>
      <c r="O191" s="147" t="str">
        <f>'matrik MISI GABUNG'!X423</f>
        <v>Dinas Kesehatan</v>
      </c>
    </row>
    <row r="192" spans="2:15" ht="38.25">
      <c r="B192" s="145"/>
      <c r="C192" s="145"/>
      <c r="D192" s="145"/>
      <c r="E192" s="145"/>
      <c r="F192" s="145"/>
      <c r="G192" s="145"/>
      <c r="H192" s="145"/>
      <c r="I192" s="145"/>
      <c r="J192" s="147" t="str">
        <f>'matrik MISI GABUNG'!N424</f>
        <v>Acut Flacid Paralysis (AFP) Rate per 100.000  Penduduk Usia &lt; 15 Tahun</v>
      </c>
      <c r="K192" s="147" t="str">
        <f>'matrik MISI GABUNG'!O424</f>
        <v>kasus</v>
      </c>
      <c r="L192" s="1050" t="str">
        <f>'matrik MISI GABUNG'!P424</f>
        <v>5 kasus</v>
      </c>
      <c r="M192" s="1050" t="str">
        <f>'matrik MISI GABUNG'!Q424</f>
        <v>≥2 (4 kasus)</v>
      </c>
      <c r="N192" s="1052" t="str">
        <f>'matrik MISI GABUNG'!V424</f>
        <v>≥2 (4 kasus)</v>
      </c>
      <c r="O192" s="147" t="str">
        <f>'matrik MISI GABUNG'!X424</f>
        <v>Dinas Kesehatan</v>
      </c>
    </row>
    <row r="193" spans="2:15" ht="63.75">
      <c r="B193" s="145"/>
      <c r="C193" s="145"/>
      <c r="D193" s="145"/>
      <c r="E193" s="145"/>
      <c r="F193" s="145"/>
      <c r="G193" s="145"/>
      <c r="H193" s="145"/>
      <c r="I193" s="145"/>
      <c r="J193" s="147" t="str">
        <f>'matrik MISI GABUNG'!N425</f>
        <v>Cakupan Desa atau Kelurahan Mengalami Kejadian Luar Biasa (KLB) yang dilakukan Penyelidikan Epidemiologi &lt; 24 jam</v>
      </c>
      <c r="K193" s="147" t="str">
        <f>'matrik MISI GABUNG'!O425</f>
        <v>%</v>
      </c>
      <c r="L193" s="1050">
        <f>'matrik MISI GABUNG'!P425</f>
        <v>96.15</v>
      </c>
      <c r="M193" s="1050">
        <f>'matrik MISI GABUNG'!Q425</f>
        <v>100</v>
      </c>
      <c r="N193" s="1052">
        <f>'matrik MISI GABUNG'!V425</f>
        <v>100</v>
      </c>
      <c r="O193" s="147" t="str">
        <f>'matrik MISI GABUNG'!X425</f>
        <v>Dinas Kesehatan</v>
      </c>
    </row>
    <row r="194" spans="2:15" ht="25.5">
      <c r="B194" s="145"/>
      <c r="C194" s="145"/>
      <c r="D194" s="145"/>
      <c r="E194" s="146"/>
      <c r="F194" s="146"/>
      <c r="G194" s="1085"/>
      <c r="H194" s="146"/>
      <c r="I194" s="146"/>
      <c r="J194" s="147" t="str">
        <f>'matrik MISI GABUNG'!N426</f>
        <v>Cakupan Penderita diare Yang ditangani</v>
      </c>
      <c r="K194" s="147" t="str">
        <f>'matrik MISI GABUNG'!O426</f>
        <v>%</v>
      </c>
      <c r="L194" s="1050">
        <f>'matrik MISI GABUNG'!P426</f>
        <v>100</v>
      </c>
      <c r="M194" s="1050">
        <f>'matrik MISI GABUNG'!Q426</f>
        <v>100</v>
      </c>
      <c r="N194" s="1052">
        <f>'matrik MISI GABUNG'!V426</f>
        <v>100</v>
      </c>
      <c r="O194" s="147" t="str">
        <f>'matrik MISI GABUNG'!X426</f>
        <v>Dinas Kesehatan</v>
      </c>
    </row>
    <row r="195" spans="2:15" ht="51">
      <c r="B195" s="145"/>
      <c r="C195" s="145"/>
      <c r="D195" s="145"/>
      <c r="E195" s="143" t="str">
        <f>'matrik MISI GABUNG'!F427</f>
        <v>Meningkatnya Gizi Masyarakat</v>
      </c>
      <c r="F195" s="143" t="str">
        <f>'matrik MISI GABUNG'!G427</f>
        <v>Peningkatan Gizi Masyarakat</v>
      </c>
      <c r="G195" s="1084" t="str">
        <f>'matrik MISI 5'!H6</f>
        <v>Meningkatkan Aksesibilitas Pelayanan Kesehatan</v>
      </c>
      <c r="H195" s="143" t="str">
        <f>'matrik MISI GABUNG'!I427</f>
        <v>Meningkatkan Gizi Masyarakat melalui perbaikan gizi masyarakat terutama usia balita dan penduduk miskin</v>
      </c>
      <c r="I195" s="143" t="str">
        <f>'matrik MISI GABUNG'!M428</f>
        <v>Perbaikan Gizi Masyarakat</v>
      </c>
      <c r="J195" s="147" t="str">
        <f>'matrik MISI GABUNG'!N428</f>
        <v>Prevalensi Gizi Kurang pada Anak Balita (0-60 bulan)</v>
      </c>
      <c r="K195" s="147" t="str">
        <f>'matrik MISI GABUNG'!O428</f>
        <v>%</v>
      </c>
      <c r="L195" s="1050">
        <f>'matrik MISI GABUNG'!P428</f>
        <v>11.2</v>
      </c>
      <c r="M195" s="1050">
        <f>'matrik MISI GABUNG'!Q428</f>
        <v>15.5</v>
      </c>
      <c r="N195" s="1052">
        <f>'matrik MISI GABUNG'!V428</f>
        <v>15.5</v>
      </c>
      <c r="O195" s="147" t="str">
        <f>'matrik MISI GABUNG'!X428</f>
        <v>Dinas Kesehatan</v>
      </c>
    </row>
    <row r="196" spans="2:15" ht="25.5">
      <c r="B196" s="145"/>
      <c r="C196" s="145"/>
      <c r="D196" s="145"/>
      <c r="E196" s="145"/>
      <c r="F196" s="145"/>
      <c r="G196" s="145"/>
      <c r="H196" s="145"/>
      <c r="I196" s="145"/>
      <c r="J196" s="147" t="str">
        <f>'matrik MISI GABUNG'!N429</f>
        <v>Prevalensi Gizi Buruk pada Anak Balita (0-60 bulan)</v>
      </c>
      <c r="K196" s="147" t="str">
        <f>'matrik MISI GABUNG'!O429</f>
        <v>%</v>
      </c>
      <c r="L196" s="1050">
        <f>'matrik MISI GABUNG'!P429</f>
        <v>0.04</v>
      </c>
      <c r="M196" s="1050" t="str">
        <f>'matrik MISI GABUNG'!Q429</f>
        <v>&lt;0,5</v>
      </c>
      <c r="N196" s="1052" t="str">
        <f>'matrik MISI GABUNG'!V429</f>
        <v>&lt;0,5</v>
      </c>
      <c r="O196" s="147">
        <f>'matrik MISI GABUNG'!X429</f>
        <v>0</v>
      </c>
    </row>
    <row r="197" spans="2:15" ht="38.25">
      <c r="B197" s="145"/>
      <c r="C197" s="145"/>
      <c r="D197" s="145"/>
      <c r="E197" s="145"/>
      <c r="F197" s="145"/>
      <c r="G197" s="145"/>
      <c r="H197" s="145"/>
      <c r="I197" s="145"/>
      <c r="J197" s="147" t="str">
        <f>'matrik MISI GABUNG'!N430</f>
        <v>Cakupan Pemberian Makanan Pendamping ASI pada Anak Usia &lt; 24 Bulan dari Keluarga Miskin</v>
      </c>
      <c r="K197" s="147" t="str">
        <f>'matrik MISI GABUNG'!O430</f>
        <v>%</v>
      </c>
      <c r="L197" s="1050">
        <f>'matrik MISI GABUNG'!P430</f>
        <v>100</v>
      </c>
      <c r="M197" s="1050">
        <f>'matrik MISI GABUNG'!Q430</f>
        <v>100</v>
      </c>
      <c r="N197" s="1052">
        <f>'matrik MISI GABUNG'!V430</f>
        <v>100</v>
      </c>
      <c r="O197" s="147" t="str">
        <f>'matrik MISI GABUNG'!X430</f>
        <v>Dinas Kesehatan</v>
      </c>
    </row>
    <row r="198" spans="2:15" ht="25.5">
      <c r="B198" s="145"/>
      <c r="C198" s="145"/>
      <c r="D198" s="145"/>
      <c r="E198" s="146"/>
      <c r="F198" s="146"/>
      <c r="G198" s="1085"/>
      <c r="H198" s="146"/>
      <c r="I198" s="146"/>
      <c r="J198" s="147" t="str">
        <f>'matrik MISI GABUNG'!N431</f>
        <v>Cakupan Balita Gizi Buruk Mendapat Perawatan</v>
      </c>
      <c r="K198" s="147" t="str">
        <f>'matrik MISI GABUNG'!O431</f>
        <v>%</v>
      </c>
      <c r="L198" s="1050">
        <f>'matrik MISI GABUNG'!P431</f>
        <v>100</v>
      </c>
      <c r="M198" s="1050">
        <f>'matrik MISI GABUNG'!Q431</f>
        <v>100</v>
      </c>
      <c r="N198" s="1052">
        <f>'matrik MISI GABUNG'!V431</f>
        <v>100</v>
      </c>
      <c r="O198" s="147" t="str">
        <f>'matrik MISI GABUNG'!X431</f>
        <v>Dinas Kesehatan</v>
      </c>
    </row>
    <row r="199" spans="2:15" ht="51">
      <c r="B199" s="145"/>
      <c r="C199" s="145"/>
      <c r="D199" s="145"/>
      <c r="E199" s="143" t="str">
        <f>'matrik MISI GABUNG'!F432</f>
        <v>Meningkatnya Ketersediaan Obat dan Perbekalan Kesehatan</v>
      </c>
      <c r="F199" s="143" t="str">
        <f>'matrik MISI GABUNG'!G432</f>
        <v>Peningkatan Ketersediaan Obat dan Perbekalan Kesehatan</v>
      </c>
      <c r="G199" s="1084" t="str">
        <f>'matrik MISI 5'!H6</f>
        <v>Meningkatkan Aksesibilitas Pelayanan Kesehatan</v>
      </c>
      <c r="H199" s="143" t="str">
        <f>'matrik MISI GABUNG'!I432</f>
        <v>Meningkatkan Ketersediaan Obat dan Perbekalan Kesehatan Dasar termasuk dengan pengawasan obat dan makanan</v>
      </c>
      <c r="I199" s="147" t="str">
        <f>'matrik MISI GABUNG'!M433</f>
        <v>Penyediaan Obat dan Perbekalan Kesehatan (Program Obat dan Perbekalan Kesehatan)</v>
      </c>
      <c r="J199" s="1042" t="str">
        <f>'matrik MISI GABUNG'!N433</f>
        <v>Cakupan Ketersediaan Obat sesuai Kebutuhan</v>
      </c>
      <c r="K199" s="1042" t="str">
        <f>'matrik MISI GABUNG'!O433</f>
        <v>%</v>
      </c>
      <c r="L199" s="1058">
        <f>'matrik MISI GABUNG'!P433</f>
        <v>98.6</v>
      </c>
      <c r="M199" s="1058">
        <f>'matrik MISI GABUNG'!Q433</f>
        <v>100</v>
      </c>
      <c r="N199" s="1059">
        <f>'matrik MISI GABUNG'!V433</f>
        <v>90</v>
      </c>
      <c r="O199" s="1042" t="str">
        <f>'matrik MISI GABUNG'!X433</f>
        <v>Dinas Kesehatan</v>
      </c>
    </row>
    <row r="200" spans="2:15" ht="25.5">
      <c r="B200" s="145"/>
      <c r="C200" s="145"/>
      <c r="D200" s="145"/>
      <c r="E200" s="146"/>
      <c r="F200" s="146"/>
      <c r="G200" s="1085"/>
      <c r="H200" s="146"/>
      <c r="I200" s="147" t="str">
        <f>'matrik MISI GABUNG'!M434</f>
        <v>Program Pengawasan Obat dan Makanan</v>
      </c>
      <c r="J200" s="1043"/>
      <c r="K200" s="1043"/>
      <c r="L200" s="1060"/>
      <c r="M200" s="1060"/>
      <c r="N200" s="1061"/>
      <c r="O200" s="1043"/>
    </row>
    <row r="201" spans="2:15" ht="76.5">
      <c r="B201" s="145"/>
      <c r="C201" s="145"/>
      <c r="D201" s="145"/>
      <c r="E201" s="143" t="str">
        <f>'matrik MISI GABUNG'!F435</f>
        <v>Meningkatnya Sumber Daya Kesehatan di semua Tingkatan Pelayanan Kesehatan</v>
      </c>
      <c r="F201" s="143" t="str">
        <f>'matrik MISI GABUNG'!G435</f>
        <v>Peningkatan Sumber Daya Kesehatan di semua Tingkatan Pelayanan Kesehatan</v>
      </c>
      <c r="G201" s="1084" t="str">
        <f>'matrik MISI 5'!H6</f>
        <v>Meningkatkan Aksesibilitas Pelayanan Kesehatan</v>
      </c>
      <c r="H201" s="143" t="str">
        <f>'matrik MISI GABUNG'!I435</f>
        <v>Meningkatkan Sumber Daya Kesehatan di semua Tingkatan Pelayanan Kesehatan yang diikuti dengan meningkatnya pengelolaan dan manajemen kesehatan di semua tingkatan</v>
      </c>
      <c r="I201" s="143" t="str">
        <f>'matrik MISI GABUNG'!M436</f>
        <v>Pengembangan Sumber Daya Kesehatan (Program Standarisasi Pelayanan Kesehatan)</v>
      </c>
      <c r="J201" s="147" t="str">
        <f>'matrik MISI GABUNG'!N436</f>
        <v>Cakupan Fasilitas Kesehatan dengan SDM sesuai Standar</v>
      </c>
      <c r="K201" s="147" t="str">
        <f>'matrik MISI GABUNG'!O436</f>
        <v>%</v>
      </c>
      <c r="L201" s="1050" t="str">
        <f>'matrik MISI GABUNG'!P436</f>
        <v>tda</v>
      </c>
      <c r="M201" s="1050" t="str">
        <f>'matrik MISI GABUNG'!Q436</f>
        <v>tda</v>
      </c>
      <c r="N201" s="1052">
        <f>'matrik MISI GABUNG'!V436</f>
        <v>70</v>
      </c>
      <c r="O201" s="147" t="str">
        <f>'matrik MISI GABUNG'!X436</f>
        <v>Dinas Kesehatan</v>
      </c>
    </row>
    <row r="202" spans="2:15" ht="25.5">
      <c r="B202" s="145"/>
      <c r="C202" s="145"/>
      <c r="D202" s="145"/>
      <c r="E202" s="145"/>
      <c r="F202" s="145"/>
      <c r="G202" s="145"/>
      <c r="H202" s="145"/>
      <c r="I202" s="146"/>
      <c r="J202" s="147" t="str">
        <f>'matrik MISI GABUNG'!N437</f>
        <v>Cakupan Tenaga Kesehatan yang Memenuhi Standar Kompetensi</v>
      </c>
      <c r="K202" s="147" t="str">
        <f>'matrik MISI GABUNG'!O437</f>
        <v>%</v>
      </c>
      <c r="L202" s="1050" t="str">
        <f>'matrik MISI GABUNG'!P437</f>
        <v>tda</v>
      </c>
      <c r="M202" s="1050" t="str">
        <f>'matrik MISI GABUNG'!Q437</f>
        <v>tda</v>
      </c>
      <c r="N202" s="1052">
        <f>'matrik MISI GABUNG'!V437</f>
        <v>90</v>
      </c>
      <c r="O202" s="147" t="str">
        <f>'matrik MISI GABUNG'!X437</f>
        <v>Dinas Kesehatan</v>
      </c>
    </row>
    <row r="203" spans="2:15" ht="63.75">
      <c r="B203" s="145"/>
      <c r="C203" s="145"/>
      <c r="D203" s="145"/>
      <c r="E203" s="145"/>
      <c r="F203" s="145"/>
      <c r="G203" s="145"/>
      <c r="H203" s="145"/>
      <c r="I203" s="143" t="str">
        <f>'matrik MISI GABUNG'!M438</f>
        <v>Program pengadaan, peningkatan sarana dan prasarana rumah sakit/rumah sakit jiwa/rumah sakit paru-paru/rumah sakit mata</v>
      </c>
      <c r="J203" s="147" t="str">
        <f>'matrik MISI GABUNG'!N438</f>
        <v>Rasio ketersediaan sarana dan prasarana puskesmas</v>
      </c>
      <c r="K203" s="147" t="str">
        <f>'matrik MISI GABUNG'!O438</f>
        <v>Rasio</v>
      </c>
      <c r="L203" s="1050" t="str">
        <f>'matrik MISI GABUNG'!P438</f>
        <v>1 : 32412</v>
      </c>
      <c r="M203" s="1050" t="str">
        <f>'matrik MISI GABUNG'!Q438</f>
        <v>1/30.000</v>
      </c>
      <c r="N203" s="1052" t="str">
        <f>'matrik MISI GABUNG'!V438</f>
        <v>1/31.000</v>
      </c>
      <c r="O203" s="147">
        <f>'matrik MISI GABUNG'!X438</f>
        <v>0</v>
      </c>
    </row>
    <row r="204" spans="2:15" ht="25.5">
      <c r="B204" s="145"/>
      <c r="C204" s="145"/>
      <c r="D204" s="145"/>
      <c r="E204" s="145"/>
      <c r="F204" s="145"/>
      <c r="G204" s="145"/>
      <c r="H204" s="145"/>
      <c r="I204" s="145"/>
      <c r="J204" s="147" t="str">
        <f>'matrik MISI GABUNG'!N439</f>
        <v>Penyediaan Sarana dan Prasarana Rumah Sakit</v>
      </c>
      <c r="K204" s="147" t="str">
        <f>'matrik MISI GABUNG'!O439</f>
        <v>%</v>
      </c>
      <c r="L204" s="1050">
        <f>'matrik MISI GABUNG'!P439</f>
        <v>50.63</v>
      </c>
      <c r="M204" s="1050">
        <f>'matrik MISI GABUNG'!Q439</f>
        <v>80</v>
      </c>
      <c r="N204" s="1052">
        <f>'matrik MISI GABUNG'!V439</f>
        <v>100</v>
      </c>
      <c r="O204" s="147" t="str">
        <f>'matrik MISI GABUNG'!X439</f>
        <v xml:space="preserve">RSUD </v>
      </c>
    </row>
    <row r="205" spans="2:15" ht="25.5">
      <c r="B205" s="145"/>
      <c r="C205" s="145"/>
      <c r="D205" s="145"/>
      <c r="E205" s="145"/>
      <c r="F205" s="145"/>
      <c r="G205" s="145"/>
      <c r="H205" s="145"/>
      <c r="I205" s="1043"/>
      <c r="J205" s="147" t="str">
        <f>'matrik MISI GABUNG'!N447</f>
        <v>Standarisasi Pelayanan Kesehatan RSUD</v>
      </c>
      <c r="K205" s="147" t="str">
        <f>'matrik MISI GABUNG'!O447</f>
        <v>-</v>
      </c>
      <c r="L205" s="1050" t="str">
        <f>'matrik MISI GABUNG'!P447</f>
        <v>Lulus</v>
      </c>
      <c r="M205" s="1050" t="str">
        <f>'matrik MISI GABUNG'!Q447</f>
        <v>Lulus</v>
      </c>
      <c r="N205" s="1052" t="str">
        <f>'matrik MISI GABUNG'!V447</f>
        <v>Lulus</v>
      </c>
      <c r="O205" s="147" t="str">
        <f>'matrik MISI GABUNG'!X447</f>
        <v xml:space="preserve">RSUD </v>
      </c>
    </row>
    <row r="206" spans="2:15" ht="89.25">
      <c r="B206" s="145"/>
      <c r="C206" s="145"/>
      <c r="D206" s="145"/>
      <c r="E206" s="143" t="str">
        <f>'matrik MISI GABUNG'!F448</f>
        <v>Meningkatnya Lingkungan Sehat</v>
      </c>
      <c r="F206" s="143" t="str">
        <f>'matrik MISI GABUNG'!G448</f>
        <v>Peningkatan Lingkungan Sehat</v>
      </c>
      <c r="G206" s="1084" t="str">
        <f>'matrik MISI 5'!H63</f>
        <v>Meningkatkan pemberdayaan masyarakat dalam budaya sehat</v>
      </c>
      <c r="H206" s="143" t="str">
        <f>'matrik MISI GABUNG'!I448</f>
        <v>Meningkatkan Lingkungan Sehat melalui pengembangan akses yang berkelanjutan terhadap sanitasi dasar di perkotaan dan perdesaan, akses terhadap air bersih, dan penggunaan jamban keluarga</v>
      </c>
      <c r="I206" s="143" t="str">
        <f>'matrik MISI GABUNG'!M449</f>
        <v>Pengembangan Lingkungan Sehat</v>
      </c>
      <c r="J206" s="147" t="str">
        <f>'matrik MISI GABUNG'!N449</f>
        <v xml:space="preserve">Proporsi Rumah Tangga dengan Akses Berkelanjutan terhadap Sanitasi Dasar Perkotaan </v>
      </c>
      <c r="K206" s="147" t="str">
        <f>'matrik MISI GABUNG'!O449</f>
        <v>%</v>
      </c>
      <c r="L206" s="1050" t="str">
        <f>'matrik MISI GABUNG'!P449</f>
        <v>tda</v>
      </c>
      <c r="M206" s="1050" t="str">
        <f>'matrik MISI GABUNG'!Q449</f>
        <v>tda</v>
      </c>
      <c r="N206" s="1052">
        <f>'matrik MISI GABUNG'!V449</f>
        <v>75</v>
      </c>
      <c r="O206" s="147" t="str">
        <f>'matrik MISI GABUNG'!X449</f>
        <v>Dinas Kesehatan</v>
      </c>
    </row>
    <row r="207" spans="2:15" ht="38.25">
      <c r="B207" s="145"/>
      <c r="C207" s="145"/>
      <c r="D207" s="145"/>
      <c r="E207" s="145"/>
      <c r="F207" s="145"/>
      <c r="G207" s="145"/>
      <c r="H207" s="145"/>
      <c r="I207" s="145"/>
      <c r="J207" s="147" t="str">
        <f>'matrik MISI GABUNG'!N450</f>
        <v>Proporsi Rumah Tangga dengan Akses Berkelanjutan terhadap Sanitasi Dasar Pedesaan</v>
      </c>
      <c r="K207" s="147" t="str">
        <f>'matrik MISI GABUNG'!O450</f>
        <v>%</v>
      </c>
      <c r="L207" s="1050" t="str">
        <f>'matrik MISI GABUNG'!P450</f>
        <v>tda</v>
      </c>
      <c r="M207" s="1050">
        <f>'matrik MISI GABUNG'!Q450</f>
        <v>62.5</v>
      </c>
      <c r="N207" s="1052">
        <f>'matrik MISI GABUNG'!V450</f>
        <v>75</v>
      </c>
      <c r="O207" s="147" t="str">
        <f>'matrik MISI GABUNG'!X450</f>
        <v>Dinas Kesehatan</v>
      </c>
    </row>
    <row r="208" spans="2:15" ht="25.5">
      <c r="B208" s="145"/>
      <c r="C208" s="145"/>
      <c r="D208" s="145"/>
      <c r="E208" s="145"/>
      <c r="F208" s="145"/>
      <c r="G208" s="145"/>
      <c r="H208" s="145"/>
      <c r="I208" s="145"/>
      <c r="J208" s="147" t="str">
        <f>'matrik MISI GABUNG'!N451</f>
        <v>Cakupan Penduduk yang Memanfaatkan Jamban</v>
      </c>
      <c r="K208" s="147" t="str">
        <f>'matrik MISI GABUNG'!O451</f>
        <v>%</v>
      </c>
      <c r="L208" s="1050">
        <f>'matrik MISI GABUNG'!P451</f>
        <v>63.2</v>
      </c>
      <c r="M208" s="1050">
        <f>'matrik MISI GABUNG'!Q451</f>
        <v>79.3</v>
      </c>
      <c r="N208" s="1052">
        <f>'matrik MISI GABUNG'!V451</f>
        <v>80</v>
      </c>
      <c r="O208" s="147" t="str">
        <f>'matrik MISI GABUNG'!X451</f>
        <v>Dinas Kesehatan</v>
      </c>
    </row>
    <row r="209" spans="2:15" ht="38.25">
      <c r="B209" s="145"/>
      <c r="C209" s="145"/>
      <c r="D209" s="145"/>
      <c r="E209" s="145"/>
      <c r="F209" s="145"/>
      <c r="G209" s="145"/>
      <c r="H209" s="145"/>
      <c r="I209" s="145"/>
      <c r="J209" s="147" t="str">
        <f>'matrik MISI GABUNG'!N452</f>
        <v>Cakupan Rumah Tangga dengan Akses Terhadap Air Minum yang Layak di Perkotaan</v>
      </c>
      <c r="K209" s="147" t="str">
        <f>'matrik MISI GABUNG'!O452</f>
        <v>%</v>
      </c>
      <c r="L209" s="1050" t="str">
        <f>'matrik MISI GABUNG'!P452</f>
        <v>tda</v>
      </c>
      <c r="M209" s="1050">
        <f>'matrik MISI GABUNG'!Q452</f>
        <v>62.5</v>
      </c>
      <c r="N209" s="1052">
        <f>'matrik MISI GABUNG'!V452</f>
        <v>75</v>
      </c>
      <c r="O209" s="147" t="str">
        <f>'matrik MISI GABUNG'!X452</f>
        <v>Dinas Kesehatan</v>
      </c>
    </row>
    <row r="210" spans="2:15" ht="38.25">
      <c r="B210" s="145"/>
      <c r="C210" s="145"/>
      <c r="D210" s="145"/>
      <c r="E210" s="145"/>
      <c r="F210" s="145"/>
      <c r="G210" s="145"/>
      <c r="H210" s="145"/>
      <c r="I210" s="146"/>
      <c r="J210" s="147" t="str">
        <f>'matrik MISI GABUNG'!N453</f>
        <v>Cakupan Rumah Tangga dengan Akses terhadap Air Minum yang Layak di Pedesaan</v>
      </c>
      <c r="K210" s="147" t="str">
        <f>'matrik MISI GABUNG'!O453</f>
        <v>%</v>
      </c>
      <c r="L210" s="1050" t="str">
        <f>'matrik MISI GABUNG'!P453</f>
        <v>tda</v>
      </c>
      <c r="M210" s="1050">
        <f>'matrik MISI GABUNG'!Q453</f>
        <v>50</v>
      </c>
      <c r="N210" s="1052">
        <f>'matrik MISI GABUNG'!V453</f>
        <v>60</v>
      </c>
      <c r="O210" s="147" t="str">
        <f>'matrik MISI GABUNG'!X453</f>
        <v>Dinas Kesehatan</v>
      </c>
    </row>
    <row r="211" spans="2:15" ht="25.5">
      <c r="B211" s="145"/>
      <c r="C211" s="145"/>
      <c r="D211" s="145"/>
      <c r="E211" s="145"/>
      <c r="F211" s="145"/>
      <c r="G211" s="145"/>
      <c r="H211" s="145"/>
      <c r="I211" s="143" t="str">
        <f>'matrik MISI GABUNG'!M455</f>
        <v>Program Promosi Kesehatan dan Pemberdayaan masyarakat</v>
      </c>
      <c r="J211" s="147" t="str">
        <f>'matrik MISI GABUNG'!N455</f>
        <v>Cakupan Desa Siaga Aktif</v>
      </c>
      <c r="K211" s="147" t="str">
        <f>'matrik MISI GABUNG'!O455</f>
        <v>%</v>
      </c>
      <c r="L211" s="1050">
        <f>'matrik MISI GABUNG'!P455</f>
        <v>100</v>
      </c>
      <c r="M211" s="1050">
        <f>'matrik MISI GABUNG'!Q455</f>
        <v>100</v>
      </c>
      <c r="N211" s="1052">
        <f>'matrik MISI GABUNG'!V455</f>
        <v>100</v>
      </c>
      <c r="O211" s="147" t="str">
        <f>'matrik MISI GABUNG'!X455</f>
        <v>Dinas Kesehatan</v>
      </c>
    </row>
    <row r="212" spans="2:15">
      <c r="B212" s="145"/>
      <c r="C212" s="145"/>
      <c r="D212" s="145"/>
      <c r="E212" s="145"/>
      <c r="F212" s="145"/>
      <c r="G212" s="145"/>
      <c r="H212" s="145"/>
      <c r="I212" s="146"/>
      <c r="J212" s="147" t="str">
        <f>'matrik MISI GABUNG'!N457</f>
        <v>Cakupan Rumah Tangga Sehat</v>
      </c>
      <c r="K212" s="147" t="str">
        <f>'matrik MISI GABUNG'!O457</f>
        <v>%</v>
      </c>
      <c r="L212" s="1050">
        <f>'matrik MISI GABUNG'!P457</f>
        <v>74.099999999999994</v>
      </c>
      <c r="M212" s="1050">
        <f>'matrik MISI GABUNG'!Q457</f>
        <v>74.099999999999994</v>
      </c>
      <c r="N212" s="1052">
        <f>'matrik MISI GABUNG'!V457</f>
        <v>80</v>
      </c>
      <c r="O212" s="147" t="str">
        <f>'matrik MISI GABUNG'!X457</f>
        <v>Dinas Kesehatan</v>
      </c>
    </row>
    <row r="213" spans="2:15" ht="51">
      <c r="B213" s="145"/>
      <c r="C213" s="145"/>
      <c r="D213" s="143" t="str">
        <f>'matrik MISI GABUNG'!B458</f>
        <v>KELUARGA BERENCANA</v>
      </c>
      <c r="E213" s="147" t="str">
        <f>'matrik MISI GABUNG'!F458</f>
        <v>Meningkatnya Derajat Kesejahteraan Keluarga</v>
      </c>
      <c r="F213" s="147" t="str">
        <f>'matrik MISI GABUNG'!G458</f>
        <v>Peningkatan Derajat Kesejahteraan Keluarga</v>
      </c>
      <c r="G213" s="147" t="str">
        <f>'matrik MISI 5'!H73</f>
        <v>Meningkatkan pemberdayaan masyarakat dalam budaya sehat</v>
      </c>
      <c r="H213" s="147" t="str">
        <f>'matrik MISI GABUNG'!I458</f>
        <v>Meningkatkan Derajat Kesejahteraan Keluarga melalui pembinaan kesejahteraan keluarga</v>
      </c>
      <c r="I213" s="147" t="str">
        <f>'matrik MISI GABUNG'!M459</f>
        <v>Program Pembinaan Kesejahteraan Keluarga</v>
      </c>
      <c r="J213" s="147" t="str">
        <f>'matrik MISI GABUNG'!N459</f>
        <v>Meningkatnya kualias kesejahteraan keluarga</v>
      </c>
      <c r="K213" s="147">
        <f>'matrik MISI GABUNG'!O459</f>
        <v>0</v>
      </c>
      <c r="L213" s="1050">
        <f>'matrik MISI GABUNG'!P459</f>
        <v>0</v>
      </c>
      <c r="M213" s="1050">
        <f>'matrik MISI GABUNG'!Q459</f>
        <v>0</v>
      </c>
      <c r="N213" s="1052">
        <f>'matrik MISI GABUNG'!V459</f>
        <v>0</v>
      </c>
      <c r="O213" s="147" t="str">
        <f>'matrik MISI GABUNG'!X459</f>
        <v>BKBPP</v>
      </c>
    </row>
    <row r="214" spans="2:15">
      <c r="B214" s="145"/>
      <c r="C214" s="145"/>
      <c r="D214" s="145"/>
      <c r="E214" s="143"/>
      <c r="F214" s="143"/>
      <c r="G214" s="1084"/>
      <c r="H214" s="143"/>
      <c r="I214" s="143"/>
      <c r="J214" s="147" t="str">
        <f>'matrik MISI GABUNG'!N460</f>
        <v>a. Keluarga Pra Sejahtera</v>
      </c>
      <c r="K214" s="147" t="str">
        <f>'matrik MISI GABUNG'!O460</f>
        <v>%</v>
      </c>
      <c r="L214" s="1050" t="str">
        <f>'matrik MISI GABUNG'!P460</f>
        <v>22,86</v>
      </c>
      <c r="M214" s="1050" t="str">
        <f>'matrik MISI GABUNG'!Q460</f>
        <v>21,32</v>
      </c>
      <c r="N214" s="1052" t="str">
        <f>'matrik MISI GABUNG'!V460</f>
        <v>20,22</v>
      </c>
      <c r="O214" s="147" t="str">
        <f>'matrik MISI GABUNG'!X460</f>
        <v>BKBPP</v>
      </c>
    </row>
    <row r="215" spans="2:15">
      <c r="B215" s="145"/>
      <c r="C215" s="145"/>
      <c r="D215" s="145"/>
      <c r="E215" s="145"/>
      <c r="F215" s="145"/>
      <c r="G215" s="145"/>
      <c r="H215" s="145"/>
      <c r="I215" s="145"/>
      <c r="J215" s="147" t="str">
        <f>'matrik MISI GABUNG'!N461</f>
        <v>b. Keluarga Sejahtera I</v>
      </c>
      <c r="K215" s="147" t="str">
        <f>'matrik MISI GABUNG'!O461</f>
        <v>%</v>
      </c>
      <c r="L215" s="1050" t="str">
        <f>'matrik MISI GABUNG'!P461</f>
        <v>11,3</v>
      </c>
      <c r="M215" s="1050" t="str">
        <f>'matrik MISI GABUNG'!Q461</f>
        <v>8,05</v>
      </c>
      <c r="N215" s="1052" t="str">
        <f>'matrik MISI GABUNG'!V461</f>
        <v>7,23</v>
      </c>
      <c r="O215" s="147" t="str">
        <f>'matrik MISI GABUNG'!X461</f>
        <v>BKBPP</v>
      </c>
    </row>
    <row r="216" spans="2:15">
      <c r="B216" s="145"/>
      <c r="C216" s="145"/>
      <c r="D216" s="145"/>
      <c r="E216" s="145"/>
      <c r="F216" s="145"/>
      <c r="G216" s="145"/>
      <c r="H216" s="145"/>
      <c r="I216" s="145"/>
      <c r="J216" s="147" t="str">
        <f>'matrik MISI GABUNG'!N462</f>
        <v>c. Keluarga Sejahtera II</v>
      </c>
      <c r="K216" s="147" t="str">
        <f>'matrik MISI GABUNG'!O462</f>
        <v>%</v>
      </c>
      <c r="L216" s="1050" t="str">
        <f>'matrik MISI GABUNG'!P462</f>
        <v>17,33</v>
      </c>
      <c r="M216" s="1050" t="str">
        <f>'matrik MISI GABUNG'!Q462</f>
        <v>21,81</v>
      </c>
      <c r="N216" s="1052" t="str">
        <f>'matrik MISI GABUNG'!V462</f>
        <v>23,19</v>
      </c>
      <c r="O216" s="147" t="str">
        <f>'matrik MISI GABUNG'!X462</f>
        <v>BKBPP</v>
      </c>
    </row>
    <row r="217" spans="2:15">
      <c r="B217" s="145"/>
      <c r="C217" s="145"/>
      <c r="D217" s="145"/>
      <c r="E217" s="145"/>
      <c r="F217" s="145"/>
      <c r="G217" s="145"/>
      <c r="H217" s="145"/>
      <c r="I217" s="145"/>
      <c r="J217" s="147" t="str">
        <f>'matrik MISI GABUNG'!N463</f>
        <v>d. Keluarga Sejahtera III</v>
      </c>
      <c r="K217" s="147" t="str">
        <f>'matrik MISI GABUNG'!O463</f>
        <v>%</v>
      </c>
      <c r="L217" s="1050" t="str">
        <f>'matrik MISI GABUNG'!P463</f>
        <v>45,38</v>
      </c>
      <c r="M217" s="1050" t="str">
        <f>'matrik MISI GABUNG'!Q463</f>
        <v>45,57</v>
      </c>
      <c r="N217" s="1052" t="str">
        <f>'matrik MISI GABUNG'!V463</f>
        <v>45,22</v>
      </c>
      <c r="O217" s="147" t="str">
        <f>'matrik MISI GABUNG'!X463</f>
        <v>BKBPP</v>
      </c>
    </row>
    <row r="218" spans="2:15">
      <c r="B218" s="145"/>
      <c r="C218" s="145"/>
      <c r="D218" s="145"/>
      <c r="E218" s="145"/>
      <c r="F218" s="145"/>
      <c r="G218" s="145"/>
      <c r="H218" s="145"/>
      <c r="I218" s="145"/>
      <c r="J218" s="147" t="str">
        <f>'matrik MISI GABUNG'!N464</f>
        <v>e. Keluarga Sejahtera III plus</v>
      </c>
      <c r="K218" s="147" t="str">
        <f>'matrik MISI GABUNG'!O464</f>
        <v>%</v>
      </c>
      <c r="L218" s="1050" t="str">
        <f>'matrik MISI GABUNG'!P464</f>
        <v>3,11</v>
      </c>
      <c r="M218" s="1050" t="str">
        <f>'matrik MISI GABUNG'!Q464</f>
        <v>3,23</v>
      </c>
      <c r="N218" s="1052" t="str">
        <f>'matrik MISI GABUNG'!V464</f>
        <v>4,14</v>
      </c>
      <c r="O218" s="147" t="str">
        <f>'matrik MISI GABUNG'!X464</f>
        <v>BKBPP</v>
      </c>
    </row>
    <row r="219" spans="2:15" ht="51">
      <c r="B219" s="145"/>
      <c r="C219" s="145"/>
      <c r="D219" s="145"/>
      <c r="E219" s="143" t="str">
        <f>'matrik MISI GABUNG'!F466</f>
        <v>Meningkatnya Aksesibilitas Masyarakat Atas Pelayanan Keluarga Berencana</v>
      </c>
      <c r="F219" s="143" t="str">
        <f>'matrik MISI GABUNG'!G466</f>
        <v>Peningkatan Aksesibilitas Masyarakat Atas Pelayanan Keluarga Berencana</v>
      </c>
      <c r="G219" s="1084" t="str">
        <f>'matrik MISI 5'!H81</f>
        <v>Meningkatkan pemberdayaan masyarakat dalam budaya sehat</v>
      </c>
      <c r="H219" s="143" t="str">
        <f>'matrik MISI GABUNG'!I466</f>
        <v>Meningkatkan kesejahteraan keluarga melalui meningkatnya Aksesibilitas Masyarakat Atas Pelayanan Keluarga Berencana</v>
      </c>
      <c r="I219" s="1042" t="str">
        <f>'matrik MISI GABUNG'!M467</f>
        <v xml:space="preserve">Program Keluarga Berencana                                               </v>
      </c>
      <c r="J219" s="147" t="str">
        <f>'matrik MISI GABUNG'!N467</f>
        <v>Cakupan Pasangan Usia Subur yang Istrinya dibawah Usia 20 tahun</v>
      </c>
      <c r="K219" s="147" t="str">
        <f>'matrik MISI GABUNG'!O467</f>
        <v>%</v>
      </c>
      <c r="L219" s="1050" t="str">
        <f>'matrik MISI GABUNG'!P467</f>
        <v>4,00</v>
      </c>
      <c r="M219" s="1050" t="str">
        <f>'matrik MISI GABUNG'!Q467</f>
        <v>3,25</v>
      </c>
      <c r="N219" s="1052" t="str">
        <f>'matrik MISI GABUNG'!V467</f>
        <v>2,6</v>
      </c>
      <c r="O219" s="147" t="str">
        <f>'matrik MISI GABUNG'!X467</f>
        <v>BKBPP</v>
      </c>
    </row>
    <row r="220" spans="2:15" ht="25.5">
      <c r="B220" s="145"/>
      <c r="C220" s="145"/>
      <c r="D220" s="145"/>
      <c r="E220" s="145"/>
      <c r="F220" s="145"/>
      <c r="G220" s="145"/>
      <c r="H220" s="145"/>
      <c r="I220" s="145"/>
      <c r="J220" s="147" t="str">
        <f>'matrik MISI GABUNG'!N468</f>
        <v>Cakupan Sasaran Pasangan Usia Subur Menjadi Peserta KB Aktif</v>
      </c>
      <c r="K220" s="147" t="str">
        <f>'matrik MISI GABUNG'!O468</f>
        <v>%</v>
      </c>
      <c r="L220" s="1050" t="str">
        <f>'matrik MISI GABUNG'!P468</f>
        <v>83,02</v>
      </c>
      <c r="M220" s="1050" t="str">
        <f>'matrik MISI GABUNG'!Q468</f>
        <v>83,00</v>
      </c>
      <c r="N220" s="1052">
        <f>'matrik MISI GABUNG'!V468</f>
        <v>84</v>
      </c>
      <c r="O220" s="147" t="str">
        <f>'matrik MISI GABUNG'!X468</f>
        <v>BKBPP</v>
      </c>
    </row>
    <row r="221" spans="2:15" ht="38.25">
      <c r="B221" s="145"/>
      <c r="C221" s="145"/>
      <c r="D221" s="145"/>
      <c r="E221" s="145"/>
      <c r="F221" s="145"/>
      <c r="G221" s="145"/>
      <c r="H221" s="145"/>
      <c r="I221" s="1043"/>
      <c r="J221" s="147" t="str">
        <f>'matrik MISI GABUNG'!N469</f>
        <v>Cakupan Pasangan Usia Subur yang ingin Ber-KB tidak Terpenuhi (Unmet need)</v>
      </c>
      <c r="K221" s="147" t="str">
        <f>'matrik MISI GABUNG'!O469</f>
        <v>%</v>
      </c>
      <c r="L221" s="1050" t="str">
        <f>'matrik MISI GABUNG'!P469</f>
        <v>7,55</v>
      </c>
      <c r="M221" s="1050" t="str">
        <f>'matrik MISI GABUNG'!Q469</f>
        <v>6,00</v>
      </c>
      <c r="N221" s="1052" t="str">
        <f>'matrik MISI GABUNG'!V469</f>
        <v>5,05</v>
      </c>
      <c r="O221" s="147" t="str">
        <f>'matrik MISI GABUNG'!X469</f>
        <v>BKBPP</v>
      </c>
    </row>
    <row r="222" spans="2:15" ht="38.25">
      <c r="B222" s="145"/>
      <c r="C222" s="145"/>
      <c r="D222" s="145"/>
      <c r="E222" s="145"/>
      <c r="F222" s="145"/>
      <c r="G222" s="145"/>
      <c r="H222" s="145"/>
      <c r="I222" s="147" t="str">
        <f>'matrik MISI GABUNG'!M470</f>
        <v>Program Penyiapan Tenaga Pendamping Kelompok Bina Keluarga</v>
      </c>
      <c r="J222" s="147" t="str">
        <f>'matrik MISI GABUNG'!N470</f>
        <v>Cakupan Anggota Bina Keluarga Balita Ber-KB</v>
      </c>
      <c r="K222" s="147" t="str">
        <f>'matrik MISI GABUNG'!O470</f>
        <v>%</v>
      </c>
      <c r="L222" s="1050" t="str">
        <f>'matrik MISI GABUNG'!P470</f>
        <v>80,58</v>
      </c>
      <c r="M222" s="1050" t="str">
        <f>'matrik MISI GABUNG'!Q470</f>
        <v>81,00</v>
      </c>
      <c r="N222" s="1052" t="str">
        <f>'matrik MISI GABUNG'!V470</f>
        <v>81,25</v>
      </c>
      <c r="O222" s="147" t="str">
        <f>'matrik MISI GABUNG'!X470</f>
        <v>BKBPP</v>
      </c>
    </row>
    <row r="223" spans="2:15" ht="51">
      <c r="B223" s="145"/>
      <c r="C223" s="145"/>
      <c r="D223" s="145"/>
      <c r="E223" s="145"/>
      <c r="F223" s="145"/>
      <c r="G223" s="145"/>
      <c r="H223" s="145"/>
      <c r="I223" s="143" t="str">
        <f>'matrik MISI GABUNG'!M471</f>
        <v>Program Pengembangan Model Operasional BKB-Posyandu-PADU</v>
      </c>
      <c r="J223" s="147" t="str">
        <f>'matrik MISI GABUNG'!N472</f>
        <v>Rasio Petugas Lapangan Keluarga Berencana atau Penyuluh KB Per  Desa atau Kelurahan</v>
      </c>
      <c r="K223" s="147" t="str">
        <f>'matrik MISI GABUNG'!O472</f>
        <v>Rasio</v>
      </c>
      <c r="L223" s="1050" t="str">
        <f>'matrik MISI GABUNG'!P472</f>
        <v>1 : 6</v>
      </c>
      <c r="M223" s="1050" t="str">
        <f>'matrik MISI GABUNG'!Q472</f>
        <v>1 : 6</v>
      </c>
      <c r="N223" s="1052" t="str">
        <f>'matrik MISI GABUNG'!V472</f>
        <v>1 : 2</v>
      </c>
      <c r="O223" s="147" t="str">
        <f>'matrik MISI GABUNG'!X472</f>
        <v>BKBPP</v>
      </c>
    </row>
    <row r="224" spans="2:15" ht="38.25">
      <c r="B224" s="145"/>
      <c r="C224" s="145"/>
      <c r="D224" s="145"/>
      <c r="E224" s="145"/>
      <c r="F224" s="145"/>
      <c r="G224" s="145"/>
      <c r="H224" s="145"/>
      <c r="I224" s="145"/>
      <c r="J224" s="147" t="str">
        <f>'matrik MISI GABUNG'!N473</f>
        <v>Rasio Pembantu Pembina Keluarga Berencana per desa/Kelurahan</v>
      </c>
      <c r="K224" s="147" t="str">
        <f>'matrik MISI GABUNG'!O473</f>
        <v>Rasio</v>
      </c>
      <c r="L224" s="1050" t="str">
        <f>'matrik MISI GABUNG'!P473</f>
        <v>1 : 1</v>
      </c>
      <c r="M224" s="1050" t="str">
        <f>'matrik MISI GABUNG'!Q473</f>
        <v>1 : 1</v>
      </c>
      <c r="N224" s="1052" t="str">
        <f>'matrik MISI GABUNG'!V473</f>
        <v>1 : 1</v>
      </c>
      <c r="O224" s="147" t="str">
        <f>'matrik MISI GABUNG'!X473</f>
        <v>BKBPP</v>
      </c>
    </row>
    <row r="225" spans="2:15" ht="25.5">
      <c r="B225" s="145"/>
      <c r="C225" s="145"/>
      <c r="D225" s="145"/>
      <c r="E225" s="145"/>
      <c r="F225" s="145"/>
      <c r="G225" s="145"/>
      <c r="H225" s="145"/>
      <c r="I225" s="145"/>
      <c r="J225" s="147" t="str">
        <f>'matrik MISI GABUNG'!N475</f>
        <v>Terkendalinya Pertumbuhan Jumlah Penduduk</v>
      </c>
      <c r="K225" s="147" t="str">
        <f>'matrik MISI GABUNG'!O475</f>
        <v>%</v>
      </c>
      <c r="L225" s="1050" t="str">
        <f>'matrik MISI GABUNG'!P475</f>
        <v>0,67</v>
      </c>
      <c r="M225" s="1050" t="str">
        <f>'matrik MISI GABUNG'!Q475</f>
        <v>0,67</v>
      </c>
      <c r="N225" s="1052" t="str">
        <f>'matrik MISI GABUNG'!V475</f>
        <v>0,6</v>
      </c>
      <c r="O225" s="147" t="str">
        <f>'matrik MISI GABUNG'!X475</f>
        <v>BKBPP</v>
      </c>
    </row>
    <row r="226" spans="2:15" ht="38.25">
      <c r="B226" s="145"/>
      <c r="C226" s="145"/>
      <c r="D226" s="145"/>
      <c r="E226" s="145"/>
      <c r="F226" s="145"/>
      <c r="G226" s="145"/>
      <c r="H226" s="145"/>
      <c r="I226" s="147" t="str">
        <f>'matrik MISI GABUNG'!M477</f>
        <v>Program Pelayanan Kontrasepsi</v>
      </c>
      <c r="J226" s="147" t="str">
        <f>'matrik MISI GABUNG'!N477</f>
        <v>Cakupan penyediaan alat dan kontrasepsi untuk memenuhi permintaan masyarakat</v>
      </c>
      <c r="K226" s="147" t="str">
        <f>'matrik MISI GABUNG'!O477</f>
        <v>%</v>
      </c>
      <c r="L226" s="1050">
        <f>'matrik MISI GABUNG'!P477</f>
        <v>4</v>
      </c>
      <c r="M226" s="1050">
        <f>'matrik MISI GABUNG'!Q477</f>
        <v>4</v>
      </c>
      <c r="N226" s="1052">
        <f>'matrik MISI GABUNG'!V477</f>
        <v>3</v>
      </c>
      <c r="O226" s="147" t="str">
        <f>'matrik MISI GABUNG'!X477</f>
        <v>BKBPP</v>
      </c>
    </row>
    <row r="227" spans="2:15" s="923" customFormat="1">
      <c r="B227" s="925"/>
      <c r="C227" s="925"/>
      <c r="D227" s="925"/>
      <c r="E227" s="925"/>
      <c r="F227" s="925"/>
      <c r="G227" s="925"/>
      <c r="H227" s="925"/>
      <c r="I227" s="924"/>
      <c r="J227" s="924"/>
      <c r="K227" s="924"/>
      <c r="L227" s="1053"/>
      <c r="M227" s="1053"/>
      <c r="N227" s="1056"/>
      <c r="O227" s="924"/>
    </row>
    <row r="228" spans="2:15" ht="63.75">
      <c r="B228" s="143">
        <v>6</v>
      </c>
      <c r="C228" s="143" t="str">
        <f>'visi misi'!A15</f>
        <v>Mewujudkan Peningkatan Pelaksanaan Pemerintahan yang Bersih, Transparan, Tidak KKN, dan Berorientasi pada Pelayanan Publik</v>
      </c>
      <c r="D228" s="143" t="str">
        <f>'matrik MISI GABUNG'!B479</f>
        <v>PERENCANAAN PEMBANGUNAN</v>
      </c>
      <c r="E228" s="143" t="str">
        <f>'matrik MISI GABUNG'!F479</f>
        <v>Meningkatnya Kualitas Perencanaan, Pengendalian, Evaluasi, dan Pengkajian  Pembangunan Daerah</v>
      </c>
      <c r="F228" s="143" t="str">
        <f>'matrik MISI GABUNG'!G479</f>
        <v>Peningkatan Kualitas Perencanaan, Pengendalian, Evaluasi, dan Pengkajian  Pembangunan Daerah</v>
      </c>
      <c r="G228" s="1084" t="str">
        <f>'matrik MISI 6'!H6</f>
        <v>Meningkatkan tata kelola kepemerintahan yang baik</v>
      </c>
      <c r="H228" s="143" t="str">
        <f>'matrik MISI GABUNG'!I479</f>
        <v>Meningkatkan Kualitas Perencanaan, Pengendalian, Evaluasi, dan Pengkajian  Pembangunan Daerah  yang Terpadu dan Partisipatif</v>
      </c>
      <c r="I228" s="143" t="str">
        <f>'matrik MISI GABUNG'!M480</f>
        <v>Program Perencanaan Pembangunan Daerah</v>
      </c>
      <c r="J228" s="147" t="str">
        <f>'matrik MISI GABUNG'!N481</f>
        <v>Persentase Dokumen Perencanaan Pembangunan Daerah yang tepat waktu</v>
      </c>
      <c r="K228" s="147" t="str">
        <f>'matrik MISI GABUNG'!O481</f>
        <v>%</v>
      </c>
      <c r="L228" s="1050">
        <f>'matrik MISI GABUNG'!P481</f>
        <v>100</v>
      </c>
      <c r="M228" s="1050">
        <f>'matrik MISI GABUNG'!Q481</f>
        <v>100</v>
      </c>
      <c r="N228" s="1052">
        <f>'matrik MISI GABUNG'!V481</f>
        <v>100</v>
      </c>
      <c r="O228" s="147" t="str">
        <f>'matrik MISI GABUNG'!X481</f>
        <v xml:space="preserve">Bappeda </v>
      </c>
    </row>
    <row r="229" spans="2:15" ht="51">
      <c r="B229" s="145"/>
      <c r="C229" s="145"/>
      <c r="D229" s="143" t="str">
        <f>'matrik MISI GABUNG'!B491</f>
        <v>PERTANAHAN</v>
      </c>
      <c r="E229" s="143" t="str">
        <f>'matrik MISI GABUNG'!F491</f>
        <v>Meningkatnya Tertib Administrasi Pertanahan</v>
      </c>
      <c r="F229" s="143" t="str">
        <f>'matrik MISI GABUNG'!G491</f>
        <v>Peningkatan Tertib Administrasi Pertanahan</v>
      </c>
      <c r="G229" s="1084" t="str">
        <f>'matrik MISI 6'!H6</f>
        <v>Meningkatkan tata kelola kepemerintahan yang baik</v>
      </c>
      <c r="H229" s="143" t="str">
        <f>'matrik MISI GABUNG'!I491</f>
        <v xml:space="preserve">Meningkatkan Tertib Administrasi Pertanahan dan penyelesaian konflik-konflik pertanahan </v>
      </c>
      <c r="I229" s="147" t="str">
        <f>'matrik MISI GABUNG'!M492</f>
        <v>Program Penataan Penguasaan, Pemilikan, Penggunaan, dan Pemanfaatan Tanah</v>
      </c>
      <c r="J229" s="147" t="str">
        <f>'matrik MISI GABUNG'!N492</f>
        <v>Persentase Aset Tanah Pemerintah yang Bersertifikat</v>
      </c>
      <c r="K229" s="147" t="str">
        <f>'matrik MISI GABUNG'!O492</f>
        <v>%</v>
      </c>
      <c r="L229" s="1050" t="str">
        <f>'matrik MISI GABUNG'!P492</f>
        <v>75,6</v>
      </c>
      <c r="M229" s="1050" t="str">
        <f>'matrik MISI GABUNG'!Q492</f>
        <v>80,7</v>
      </c>
      <c r="N229" s="1052">
        <f>'matrik MISI GABUNG'!V492</f>
        <v>100</v>
      </c>
      <c r="O229" s="147" t="str">
        <f>'matrik MISI GABUNG'!X492</f>
        <v>Bagian Pemerintahan Umum Setda</v>
      </c>
    </row>
    <row r="230" spans="2:15" ht="114.75">
      <c r="B230" s="145"/>
      <c r="C230" s="145"/>
      <c r="D230" s="143" t="str">
        <f>'matrik MISI GABUNG'!B494</f>
        <v>OTONOMI DAERAH, PEMERINTAHAN UMUM, ADMINISTRASI KEUANGAN DAERAH, PERANGKAT DAERAH, KEPEGAWAIAN, DAN PERSANDIAN</v>
      </c>
      <c r="E230" s="143" t="str">
        <f>'matrik MISI GABUNG'!F494</f>
        <v>Meningkatnya Kemampuan, Profesionalisme, dan Kesejahteraan SDM Aparatur</v>
      </c>
      <c r="F230" s="143" t="str">
        <f>'matrik MISI GABUNG'!G494</f>
        <v>Peningkatan Kemampuan, Profesionalisme, dan Kesejahteraan SDM Aparatur</v>
      </c>
      <c r="G230" s="1084" t="str">
        <f>'matrik MISI 6'!H21</f>
        <v>Meningkatkan tata kelola kepemeritahan yang baik</v>
      </c>
      <c r="H230" s="143" t="str">
        <f>'matrik MISI GABUNG'!I494</f>
        <v>Meningkatkan Kemampuan, Profesionalisme, dan Kesejahteraan SDM Aparatur melalui diklat pegawai, meningkatnya pendidikan formal pegawai, pemenuhan hak dan penghargaan pegawai, dan pengisian jabatan struktural yang kosong</v>
      </c>
      <c r="I230" s="143" t="str">
        <f>'matrik MISI GABUNG'!M495</f>
        <v>Program Peningkatan Kapasitas Sumber Daya Aparatur</v>
      </c>
      <c r="J230" s="147" t="str">
        <f>'matrik MISI GABUNG'!N495</f>
        <v>Persentase PNS yang Mengikuti Diklat Teknis Fungsional</v>
      </c>
      <c r="K230" s="147" t="str">
        <f>'matrik MISI GABUNG'!O495</f>
        <v>%</v>
      </c>
      <c r="L230" s="1050">
        <f>'matrik MISI GABUNG'!P495</f>
        <v>1.6</v>
      </c>
      <c r="M230" s="1050">
        <f>'matrik MISI GABUNG'!Q495</f>
        <v>1.3</v>
      </c>
      <c r="N230" s="1052">
        <f>'matrik MISI GABUNG'!V495</f>
        <v>1.9</v>
      </c>
      <c r="O230" s="147" t="str">
        <f>'matrik MISI GABUNG'!X495</f>
        <v>Badan Kepegawaian Daerah (BKD)</v>
      </c>
    </row>
    <row r="231" spans="2:15" ht="38.25">
      <c r="B231" s="145"/>
      <c r="C231" s="145"/>
      <c r="D231" s="145"/>
      <c r="E231" s="145"/>
      <c r="F231" s="145"/>
      <c r="G231" s="145"/>
      <c r="H231" s="145"/>
      <c r="I231" s="146"/>
      <c r="J231" s="147" t="str">
        <f>'matrik MISI GABUNG'!N496</f>
        <v>Persentase PNS yang Memiliki Sertifikat Pengadaan Barang atau Jasa</v>
      </c>
      <c r="K231" s="147" t="str">
        <f>'matrik MISI GABUNG'!O496</f>
        <v>%</v>
      </c>
      <c r="L231" s="1050">
        <f>'matrik MISI GABUNG'!P496</f>
        <v>1.8587360594795539</v>
      </c>
      <c r="M231" s="1050">
        <f>'matrik MISI GABUNG'!Q496</f>
        <v>1.9040732706676309</v>
      </c>
      <c r="N231" s="1052">
        <f>'matrik MISI GABUNG'!V496</f>
        <v>3</v>
      </c>
      <c r="O231" s="147" t="str">
        <f>'matrik MISI GABUNG'!X496</f>
        <v>Badan Kepegawaian Daerah (BKD)</v>
      </c>
    </row>
    <row r="232" spans="2:15" ht="38.25">
      <c r="B232" s="145"/>
      <c r="C232" s="145"/>
      <c r="D232" s="145"/>
      <c r="E232" s="145"/>
      <c r="F232" s="145"/>
      <c r="G232" s="145"/>
      <c r="H232" s="145"/>
      <c r="I232" s="147" t="str">
        <f>'matrik MISI GABUNG'!M497</f>
        <v>Program Pendidikan Kedinasan</v>
      </c>
      <c r="J232" s="147" t="str">
        <f>'matrik MISI GABUNG'!N497</f>
        <v>Persentase Pejabat Struktural yang Mengikuti Diklat Kepemimpinan</v>
      </c>
      <c r="K232" s="147" t="str">
        <f>'matrik MISI GABUNG'!O497</f>
        <v>%</v>
      </c>
      <c r="L232" s="1050">
        <f>'matrik MISI GABUNG'!P497</f>
        <v>50</v>
      </c>
      <c r="M232" s="1050">
        <f>'matrik MISI GABUNG'!Q497</f>
        <v>39</v>
      </c>
      <c r="N232" s="1052">
        <f>'matrik MISI GABUNG'!V497</f>
        <v>34</v>
      </c>
      <c r="O232" s="147" t="str">
        <f>'matrik MISI GABUNG'!X497</f>
        <v>Badan Kepegawaian Daerah (BKD)</v>
      </c>
    </row>
    <row r="233" spans="2:15" ht="38.25">
      <c r="B233" s="145"/>
      <c r="C233" s="145"/>
      <c r="D233" s="145"/>
      <c r="E233" s="145"/>
      <c r="F233" s="145"/>
      <c r="G233" s="145"/>
      <c r="H233" s="145"/>
      <c r="I233" s="143" t="str">
        <f>'matrik MISI GABUNG'!M498</f>
        <v>Program Pembinaan dan Pengembangan Aparatur</v>
      </c>
      <c r="J233" s="147" t="str">
        <f>'matrik MISI GABUNG'!N498</f>
        <v>Persentase Penanganan Pelanggaran Disiplin PNS</v>
      </c>
      <c r="K233" s="147" t="str">
        <f>'matrik MISI GABUNG'!O498</f>
        <v>%</v>
      </c>
      <c r="L233" s="1050">
        <f>'matrik MISI GABUNG'!P498</f>
        <v>79.411764705882348</v>
      </c>
      <c r="M233" s="1050">
        <f>'matrik MISI GABUNG'!Q498</f>
        <v>84.615384615384613</v>
      </c>
      <c r="N233" s="1052">
        <f>'matrik MISI GABUNG'!V498</f>
        <v>95</v>
      </c>
      <c r="O233" s="147" t="str">
        <f>'matrik MISI GABUNG'!X498</f>
        <v>Badan Kepegawaian Daerah (BKD)</v>
      </c>
    </row>
    <row r="234" spans="2:15" ht="38.25">
      <c r="B234" s="145"/>
      <c r="C234" s="145"/>
      <c r="D234" s="145"/>
      <c r="E234" s="145"/>
      <c r="F234" s="145"/>
      <c r="G234" s="145"/>
      <c r="H234" s="145"/>
      <c r="I234" s="145"/>
      <c r="J234" s="147" t="str">
        <f>'matrik MISI GABUNG'!N499</f>
        <v>Persentase Pengisian Jabatan Struktural PNS yang Kosong</v>
      </c>
      <c r="K234" s="147" t="str">
        <f>'matrik MISI GABUNG'!O499</f>
        <v>%</v>
      </c>
      <c r="L234" s="1050">
        <f>'matrik MISI GABUNG'!P499</f>
        <v>81</v>
      </c>
      <c r="M234" s="1050">
        <f>'matrik MISI GABUNG'!Q499</f>
        <v>85</v>
      </c>
      <c r="N234" s="1052">
        <f>'matrik MISI GABUNG'!V499</f>
        <v>90</v>
      </c>
      <c r="O234" s="147" t="str">
        <f>'matrik MISI GABUNG'!X499</f>
        <v>Badan Kepegawaian Daerah (BKD)</v>
      </c>
    </row>
    <row r="235" spans="2:15" ht="38.25">
      <c r="B235" s="145"/>
      <c r="C235" s="145"/>
      <c r="D235" s="145"/>
      <c r="E235" s="145"/>
      <c r="F235" s="145"/>
      <c r="G235" s="145"/>
      <c r="H235" s="145"/>
      <c r="I235" s="143" t="str">
        <f>'matrik MISI GABUNG'!M504</f>
        <v>Program Peningkatan Kapasitas Aparatur Pemerintahan Desa</v>
      </c>
      <c r="J235" s="147" t="str">
        <f>'matrik MISI GABUNG'!N504</f>
        <v>Persentase Penanganan Kepala Desa dan Perangkat Desa yang Mengalami Kasus</v>
      </c>
      <c r="K235" s="147" t="str">
        <f>'matrik MISI GABUNG'!O504</f>
        <v>%</v>
      </c>
      <c r="L235" s="1050">
        <f>'matrik MISI GABUNG'!P504</f>
        <v>100</v>
      </c>
      <c r="M235" s="1050">
        <f>'matrik MISI GABUNG'!Q504</f>
        <v>100</v>
      </c>
      <c r="N235" s="1052">
        <f>'matrik MISI GABUNG'!V504</f>
        <v>100</v>
      </c>
      <c r="O235" s="147" t="str">
        <f>'matrik MISI GABUNG'!X504</f>
        <v>Bagian Pemerintahan Desa Setda</v>
      </c>
    </row>
    <row r="236" spans="2:15" ht="127.5">
      <c r="B236" s="145"/>
      <c r="C236" s="145"/>
      <c r="D236" s="145"/>
      <c r="E236" s="143" t="str">
        <f>'matrik MISI GABUNG'!F507</f>
        <v>Meningkatnya Kinerja Penyelenggaraan Pemerintahan Daerah</v>
      </c>
      <c r="F236" s="143" t="str">
        <f>'matrik MISI GABUNG'!G507</f>
        <v>Peningkatan Kinerja Penyelenggaraan Pemerintahan Daerah</v>
      </c>
      <c r="G236" s="1084" t="str">
        <f>'matrik MISI 6'!H34</f>
        <v>Meningkatkan tata kelola kepemeritahan yang baik</v>
      </c>
      <c r="H236" s="143" t="str">
        <f>'matrik MISI GABUNG'!I507</f>
        <v>Meningkatkan Kinerja Penyelenggaraan Pemerintahan Daerah terutama pada sisi pemenuhan ketersediaan peraturan perundang-undangan, penanganan temuan pemeriksaan, ketepatan pelaksanaan pembangunan, dan pelaporan pelaksanaan pemerintahan dan pembangunan</v>
      </c>
      <c r="I236" s="143" t="str">
        <f>'matrik MISI GABUNG'!M508</f>
        <v>Program Peningkatan Kapasitas Lembaga Perwakilan Rakyat Daerah</v>
      </c>
      <c r="J236" s="147" t="str">
        <f>'matrik MISI GABUNG'!N508</f>
        <v>Persentase Jumlah Peraturan Daerah yang Ditetapkan Terhadap Jumlah Raperda</v>
      </c>
      <c r="K236" s="147" t="str">
        <f>'matrik MISI GABUNG'!O508</f>
        <v>%</v>
      </c>
      <c r="L236" s="1050">
        <f>'matrik MISI GABUNG'!P508</f>
        <v>100</v>
      </c>
      <c r="M236" s="1050">
        <f>'matrik MISI GABUNG'!Q508</f>
        <v>100</v>
      </c>
      <c r="N236" s="1052">
        <f>'matrik MISI GABUNG'!V508</f>
        <v>100</v>
      </c>
      <c r="O236" s="147" t="str">
        <f>'matrik MISI GABUNG'!X508</f>
        <v>Sekretariat DPRD</v>
      </c>
    </row>
    <row r="237" spans="2:15" ht="51">
      <c r="B237" s="145"/>
      <c r="C237" s="145"/>
      <c r="D237" s="145"/>
      <c r="E237" s="145"/>
      <c r="F237" s="145"/>
      <c r="G237" s="145"/>
      <c r="H237" s="145"/>
      <c r="I237" s="146" t="str">
        <f>'matrik MISI GABUNG'!M510</f>
        <v>Program Peningkatan Profesionalisme Tenaga Pemeriksa dan Aparatur Pengawasan</v>
      </c>
      <c r="J237" s="147" t="str">
        <f>'matrik MISI GABUNG'!N510</f>
        <v>Persentase Penanganan Hasil Temuan Pemeriksaan</v>
      </c>
      <c r="K237" s="147" t="str">
        <f>'matrik MISI GABUNG'!O510</f>
        <v>%</v>
      </c>
      <c r="L237" s="1050">
        <f>'matrik MISI GABUNG'!P510</f>
        <v>0</v>
      </c>
      <c r="M237" s="1050">
        <f>'matrik MISI GABUNG'!Q510</f>
        <v>64</v>
      </c>
      <c r="N237" s="1052">
        <f>'matrik MISI GABUNG'!V510</f>
        <v>90</v>
      </c>
      <c r="O237" s="147" t="str">
        <f>'matrik MISI GABUNG'!X510</f>
        <v>Inspektorat</v>
      </c>
    </row>
    <row r="238" spans="2:15" ht="51">
      <c r="B238" s="145"/>
      <c r="C238" s="145"/>
      <c r="D238" s="145"/>
      <c r="E238" s="145"/>
      <c r="F238" s="145"/>
      <c r="G238" s="145"/>
      <c r="H238" s="145"/>
      <c r="I238" s="147" t="str">
        <f>'matrik MISI GABUNG'!M512</f>
        <v>Program Penataan Peraturan Perundang-undangan</v>
      </c>
      <c r="J238" s="147" t="str">
        <f>'matrik MISI GABUNG'!N512</f>
        <v>Persentase SKPD, Unit Pelayanan, dan Satuan Pendidikan yang Menyusun Standar Pelayanan Publik</v>
      </c>
      <c r="K238" s="147" t="str">
        <f>'matrik MISI GABUNG'!O512</f>
        <v>%</v>
      </c>
      <c r="L238" s="1050">
        <f>'matrik MISI GABUNG'!P512</f>
        <v>2.6785714285714284</v>
      </c>
      <c r="M238" s="1050">
        <f>'matrik MISI GABUNG'!Q512</f>
        <v>4.1071428571428568</v>
      </c>
      <c r="N238" s="1052">
        <f>'matrik MISI GABUNG'!V512</f>
        <v>100</v>
      </c>
      <c r="O238" s="147" t="str">
        <f>'matrik MISI GABUNG'!X512</f>
        <v>Bagian Organisasi dan Tata Laksana Setda</v>
      </c>
    </row>
    <row r="239" spans="2:15" ht="51">
      <c r="B239" s="145"/>
      <c r="C239" s="145"/>
      <c r="D239" s="145"/>
      <c r="E239" s="145"/>
      <c r="F239" s="145"/>
      <c r="G239" s="145"/>
      <c r="H239" s="145"/>
      <c r="I239" s="147"/>
      <c r="J239" s="147" t="str">
        <f>'matrik MISI GABUNG'!N513</f>
        <v>Persentase SKPD, Unit Pelayanan, dan Satuan Pendidikan yang telah Memiliki SOP</v>
      </c>
      <c r="K239" s="147" t="str">
        <f>'matrik MISI GABUNG'!O513</f>
        <v>%</v>
      </c>
      <c r="L239" s="1050">
        <f>'matrik MISI GABUNG'!P513</f>
        <v>1.2403100775193798</v>
      </c>
      <c r="M239" s="1050">
        <f>'matrik MISI GABUNG'!Q513</f>
        <v>2.4806201550387597</v>
      </c>
      <c r="N239" s="1052">
        <f>'matrik MISI GABUNG'!V513</f>
        <v>100</v>
      </c>
      <c r="O239" s="147" t="str">
        <f>'matrik MISI GABUNG'!X513</f>
        <v>Bagian Organisasi dan Tata Laksana Setda</v>
      </c>
    </row>
    <row r="240" spans="2:15" ht="38.25">
      <c r="B240" s="145"/>
      <c r="C240" s="145"/>
      <c r="D240" s="145"/>
      <c r="E240" s="145"/>
      <c r="F240" s="145"/>
      <c r="G240" s="145"/>
      <c r="H240" s="145"/>
      <c r="I240" s="147" t="str">
        <f>'matrik MISI GABUNG'!M514</f>
        <v>Program Intensifikasi Penanganan Pengaduan Masyarakat</v>
      </c>
      <c r="J240" s="147" t="str">
        <f>'matrik MISI GABUNG'!N514</f>
        <v>Meningkatnya Indeks Kepuasan Masyarakat</v>
      </c>
      <c r="K240" s="147" t="str">
        <f>'matrik MISI GABUNG'!O514</f>
        <v>Kriteria</v>
      </c>
      <c r="L240" s="1050" t="str">
        <f>'matrik MISI GABUNG'!P514</f>
        <v>B</v>
      </c>
      <c r="M240" s="1050" t="str">
        <f>'matrik MISI GABUNG'!Q514</f>
        <v>B</v>
      </c>
      <c r="N240" s="1052" t="str">
        <f>'matrik MISI GABUNG'!V514</f>
        <v>B</v>
      </c>
      <c r="O240" s="147" t="str">
        <f>'matrik MISI GABUNG'!X514</f>
        <v>Bagian Organisasi dan Tata Laksana Setda</v>
      </c>
    </row>
    <row r="241" spans="2:15" ht="38.25">
      <c r="B241" s="145"/>
      <c r="C241" s="145"/>
      <c r="D241" s="145"/>
      <c r="E241" s="145"/>
      <c r="F241" s="145"/>
      <c r="G241" s="145"/>
      <c r="H241" s="145"/>
      <c r="I241" s="147" t="str">
        <f>'matrik MISI GABUNG'!M526</f>
        <v>Program Pembinaan dan Fasilitasi Pengelolaan Keuangan Kabupaten</v>
      </c>
      <c r="J241" s="147" t="str">
        <f>'matrik MISI GABUNG'!N526</f>
        <v>Persentase Kegiatan yang dilaksanakan tepat waktu</v>
      </c>
      <c r="K241" s="147" t="str">
        <f>'matrik MISI GABUNG'!O526</f>
        <v>%</v>
      </c>
      <c r="L241" s="1050">
        <f>'matrik MISI GABUNG'!P526</f>
        <v>0</v>
      </c>
      <c r="M241" s="1050">
        <f>'matrik MISI GABUNG'!Q526</f>
        <v>0</v>
      </c>
      <c r="N241" s="1052">
        <f>'matrik MISI GABUNG'!V526</f>
        <v>100</v>
      </c>
      <c r="O241" s="147" t="str">
        <f>'matrik MISI GABUNG'!X526</f>
        <v>Bagian Pembangunan Setda</v>
      </c>
    </row>
    <row r="242" spans="2:15" ht="51">
      <c r="B242" s="145"/>
      <c r="C242" s="145"/>
      <c r="D242" s="145"/>
      <c r="E242" s="143" t="str">
        <f>'matrik MISI GABUNG'!F534</f>
        <v>Meningkatnya Tertib Administrasi Penyelenggaraan Pemerintahan Daerah</v>
      </c>
      <c r="F242" s="143" t="str">
        <f>'matrik MISI GABUNG'!G534</f>
        <v>Peningkatan Tertib Administrasi Penyelenggaraan Pemerintahan Daerah</v>
      </c>
      <c r="G242" s="1084" t="str">
        <f>'matrik MISI 6'!H61</f>
        <v>Meningkatnya Tertib Administrasi Penyelenggaraan Pemerintahan Daerah</v>
      </c>
      <c r="H242" s="143" t="str">
        <f>'matrik MISI GABUNG'!I534</f>
        <v>Meningkatkan Tertib Administrasi Penyelenggaraan Pemerintahan Daerah dan Pemerintah Desa</v>
      </c>
      <c r="I242" s="147" t="str">
        <f>'matrik MISI GABUNG'!M535</f>
        <v>Program Peningkatan Sistem Pengawasan Internal dan Pengendalian Pelaksanaan Kebijakan Daerah</v>
      </c>
      <c r="J242" s="147" t="str">
        <f>'matrik MISI GABUNG'!N535</f>
        <v xml:space="preserve">Persentase Tersusunnya dokumen pelaporan daerah </v>
      </c>
      <c r="K242" s="147" t="str">
        <f>'matrik MISI GABUNG'!O535</f>
        <v>%</v>
      </c>
      <c r="L242" s="1050">
        <f>'matrik MISI GABUNG'!P535</f>
        <v>100</v>
      </c>
      <c r="M242" s="1050">
        <f>'matrik MISI GABUNG'!Q535</f>
        <v>100</v>
      </c>
      <c r="N242" s="1052">
        <f>'matrik MISI GABUNG'!V535</f>
        <v>100</v>
      </c>
      <c r="O242" s="147" t="str">
        <f>'matrik MISI GABUNG'!X535</f>
        <v>Bagian Pemerintahan Umum Setda</v>
      </c>
    </row>
    <row r="243" spans="2:15" ht="51">
      <c r="B243" s="145"/>
      <c r="C243" s="145"/>
      <c r="D243" s="145"/>
      <c r="E243" s="145"/>
      <c r="F243" s="145"/>
      <c r="G243" s="145"/>
      <c r="H243" s="145"/>
      <c r="I243" s="147" t="str">
        <f>'matrik MISI GABUNG'!M537</f>
        <v>Program Pembinaan dan Fasilitasi Pengelolaan Keuangan Desa</v>
      </c>
      <c r="J243" s="147" t="str">
        <f>'matrik MISI GABUNG'!N537</f>
        <v>Cakupan Pembinaan Administrasi Desa</v>
      </c>
      <c r="K243" s="147" t="str">
        <f>'matrik MISI GABUNG'!O537</f>
        <v>%</v>
      </c>
      <c r="L243" s="1050">
        <f>'matrik MISI GABUNG'!P537</f>
        <v>100</v>
      </c>
      <c r="M243" s="1050">
        <f>'matrik MISI GABUNG'!Q537</f>
        <v>100</v>
      </c>
      <c r="N243" s="1052">
        <f>'matrik MISI GABUNG'!V537</f>
        <v>100</v>
      </c>
      <c r="O243" s="147" t="str">
        <f>'matrik MISI GABUNG'!X537</f>
        <v>Bagian Pemerintahan Desa Setda dan Kecamatan</v>
      </c>
    </row>
    <row r="244" spans="2:15" ht="63.75">
      <c r="B244" s="145"/>
      <c r="C244" s="145"/>
      <c r="D244" s="145"/>
      <c r="E244" s="143" t="str">
        <f>'matrik MISI GABUNG'!F539</f>
        <v>Meningkatnya Kapasitas Kemampuan Keuangan dan Pengelolaan Keuangan Daerah</v>
      </c>
      <c r="F244" s="143" t="str">
        <f>'matrik MISI GABUNG'!G539</f>
        <v>Peningkatan Kapasitas Kemampuan Keuangan dan Pengelolaan Keuangan Daerah</v>
      </c>
      <c r="G244" s="1084" t="str">
        <f>'matrik MISI 6'!H66</f>
        <v>Meningkatkan Kapasitas Kemampuan Keuangan dan Pengelolaan Keuangan Daerah</v>
      </c>
      <c r="H244" s="143" t="str">
        <f>'matrik MISI GABUNG'!I539</f>
        <v>Meningkatkan Kapasitas Kemampuan Keuangan dan Pengelolaan Keuangan Daerah khususnya pada aspek Pendapatan Asli Daerah</v>
      </c>
      <c r="I244" s="147" t="str">
        <f>'matrik MISI GABUNG'!M540</f>
        <v>Program Peningkatan dan Pengembangan Pengelolaan Keuangan Daerah</v>
      </c>
      <c r="J244" s="147" t="str">
        <f>'matrik MISI GABUNG'!N540</f>
        <v>Rasio Realisasi Pendapatan Daerah Terhadap Potensi Pendapatan Daerah</v>
      </c>
      <c r="K244" s="147" t="str">
        <f>'matrik MISI GABUNG'!O540</f>
        <v>%</v>
      </c>
      <c r="L244" s="1050">
        <f>'matrik MISI GABUNG'!P540</f>
        <v>0.87</v>
      </c>
      <c r="M244" s="1050">
        <f>'matrik MISI GABUNG'!Q540</f>
        <v>0.85</v>
      </c>
      <c r="N244" s="1052">
        <f>'matrik MISI GABUNG'!V540</f>
        <v>0.87</v>
      </c>
      <c r="O244" s="147" t="str">
        <f>'matrik MISI GABUNG'!X540</f>
        <v>DPPKAD</v>
      </c>
    </row>
    <row r="245" spans="2:15" ht="38.25">
      <c r="B245" s="145"/>
      <c r="C245" s="145"/>
      <c r="D245" s="145"/>
      <c r="E245" s="145"/>
      <c r="F245" s="145"/>
      <c r="G245" s="145"/>
      <c r="H245" s="145"/>
      <c r="I245" s="147" t="str">
        <f>'matrik MISI GABUNG'!M541</f>
        <v xml:space="preserve">Program Pembinaan dan Fasilitasi Pengelolaan Keuangan Kabupaten/Kota </v>
      </c>
      <c r="J245" s="147" t="str">
        <f>'matrik MISI GABUNG'!N541</f>
        <v>Akuntabilitas Pengelolaan Keuangan Daerah</v>
      </c>
      <c r="K245" s="147" t="str">
        <f>'matrik MISI GABUNG'!O541</f>
        <v>Kriteria</v>
      </c>
      <c r="L245" s="1050" t="str">
        <f>'matrik MISI GABUNG'!P541</f>
        <v>WTP</v>
      </c>
      <c r="M245" s="1050" t="str">
        <f>'matrik MISI GABUNG'!Q541</f>
        <v>WTP</v>
      </c>
      <c r="N245" s="1052" t="str">
        <f>'matrik MISI GABUNG'!V541</f>
        <v>WTP</v>
      </c>
      <c r="O245" s="147" t="str">
        <f>'matrik MISI GABUNG'!X541</f>
        <v>DPPKAD</v>
      </c>
    </row>
    <row r="246" spans="2:15" ht="63.75">
      <c r="B246" s="145"/>
      <c r="C246" s="145"/>
      <c r="D246" s="145"/>
      <c r="E246" s="147" t="str">
        <f>'matrik MISI GABUNG'!F544</f>
        <v>Meningkatnya Tertib Administrasi Aset Pemerintah Daerah</v>
      </c>
      <c r="F246" s="147" t="str">
        <f>'matrik MISI GABUNG'!G544</f>
        <v>Peningkatan Tertib Administrasi Aset Pemerintah Daerah</v>
      </c>
      <c r="G246" s="147" t="str">
        <f>'matrik MISI 6'!H71</f>
        <v>Meningkatkan Tertib Administrasi Aset Pemerintah Daerah</v>
      </c>
      <c r="H246" s="147" t="str">
        <f>'matrik MISI GABUNG'!I544</f>
        <v xml:space="preserve">Meningkatkan Tertib Administrasi Aset Pemerintah Daerah dan pengembangan pengelolaan asset yang dimiliki daerah </v>
      </c>
      <c r="I246" s="147" t="str">
        <f>'matrik MISI GABUNG'!M545</f>
        <v>Program Peningkatan dan Pengembangan Pengelolaan Keuangan Daerah</v>
      </c>
      <c r="J246" s="147" t="str">
        <f>'matrik MISI GABUNG'!N545</f>
        <v>Persentase Tertib Administrasi Aset Daerah di SKPD</v>
      </c>
      <c r="K246" s="147" t="str">
        <f>'matrik MISI GABUNG'!O545</f>
        <v>%</v>
      </c>
      <c r="L246" s="1050">
        <f>'matrik MISI GABUNG'!P545</f>
        <v>70</v>
      </c>
      <c r="M246" s="1050">
        <f>'matrik MISI GABUNG'!Q545</f>
        <v>75</v>
      </c>
      <c r="N246" s="1052">
        <f>'matrik MISI GABUNG'!V545</f>
        <v>80</v>
      </c>
      <c r="O246" s="147" t="str">
        <f>'matrik MISI GABUNG'!X545</f>
        <v>DPPKAD</v>
      </c>
    </row>
    <row r="247" spans="2:15" ht="38.25">
      <c r="B247" s="145"/>
      <c r="C247" s="145"/>
      <c r="D247" s="143" t="str">
        <f>'matrik MISI GABUNG'!B547</f>
        <v>KEARSIPAN</v>
      </c>
      <c r="E247" s="143" t="str">
        <f>'matrik MISI GABUNG'!F547</f>
        <v>Meningkatnya Tertib Pengelolaan Kearsipan</v>
      </c>
      <c r="F247" s="143" t="str">
        <f>'matrik MISI GABUNG'!G547</f>
        <v>Peningkatan Tertib Pengelolaan Kearsipan</v>
      </c>
      <c r="G247" s="1084" t="str">
        <f>'matrik MISI 6'!H74</f>
        <v>Meningkatkan Tertib Pengelolaan Kearsipan</v>
      </c>
      <c r="H247" s="143" t="str">
        <f>'matrik MISI GABUNG'!I547</f>
        <v>Meningkatkan Tertib Pengelolaan Kearsipan secara baku</v>
      </c>
      <c r="I247" s="147" t="str">
        <f>'matrik MISI GABUNG'!M548</f>
        <v>Program Perbaikan Sistem Administrasi Kearsipan Daerah</v>
      </c>
      <c r="J247" s="147" t="str">
        <f>'matrik MISI GABUNG'!N548</f>
        <v>Persentase Pengelolaan Arsip Secara Baku</v>
      </c>
      <c r="K247" s="147" t="str">
        <f>'matrik MISI GABUNG'!O548</f>
        <v>%</v>
      </c>
      <c r="L247" s="1050">
        <f>'matrik MISI GABUNG'!P548</f>
        <v>63</v>
      </c>
      <c r="M247" s="1050">
        <f>'matrik MISI GABUNG'!Q548</f>
        <v>86</v>
      </c>
      <c r="N247" s="1052">
        <f>'matrik MISI GABUNG'!V548</f>
        <v>100</v>
      </c>
      <c r="O247" s="147" t="str">
        <f>'matrik MISI GABUNG'!X548</f>
        <v>Kantor Arsip, Perpustakaan, dan Dokumentasi</v>
      </c>
    </row>
    <row r="248" spans="2:15" ht="51">
      <c r="B248" s="145"/>
      <c r="C248" s="145"/>
      <c r="D248" s="143" t="str">
        <f>'matrik MISI GABUNG'!B551</f>
        <v>KEPENDUDUKAN DAN CATATAN SIPIL</v>
      </c>
      <c r="E248" s="143" t="str">
        <f>'matrik MISI GABUNG'!F551</f>
        <v>Meningkatnya Kualitas Pelayanan Administrasi Kependudukan dan Pelayanan Lainnya</v>
      </c>
      <c r="F248" s="143" t="str">
        <f>'matrik MISI GABUNG'!G551</f>
        <v>Peningkatan Kualitas Pelayanan Administrasi Kependudukan dan Pelayanan Lainnya</v>
      </c>
      <c r="G248" s="1084" t="str">
        <f>'matrik MISI 6'!H78</f>
        <v>Meningkatkan Kualitas Pelayanan Publik</v>
      </c>
      <c r="H248" s="143" t="str">
        <f>'matrik MISI GABUNG'!I551</f>
        <v>Meningkatkan Kualitas Pelayanan Administrasi Kependudukan dan Pelayanan Lainnya</v>
      </c>
      <c r="I248" s="143" t="str">
        <f>'matrik MISI GABUNG'!M552</f>
        <v>Program Penataan Administrasi Kependudukan</v>
      </c>
      <c r="J248" s="147" t="str">
        <f>'matrik MISI GABUNG'!N552</f>
        <v>Cakupan penerbitan Kartu Keluarga (KK)</v>
      </c>
      <c r="K248" s="147" t="str">
        <f>'matrik MISI GABUNG'!O552</f>
        <v>%</v>
      </c>
      <c r="L248" s="1050">
        <f>'matrik MISI GABUNG'!P552</f>
        <v>21.61</v>
      </c>
      <c r="M248" s="1050">
        <f>'matrik MISI GABUNG'!Q552</f>
        <v>39.54</v>
      </c>
      <c r="N248" s="1052">
        <f>'matrik MISI GABUNG'!V552</f>
        <v>100</v>
      </c>
      <c r="O248" s="147" t="str">
        <f>'matrik MISI GABUNG'!X552</f>
        <v>Dinas Kependudukan dan Pencatatan Sipil</v>
      </c>
    </row>
    <row r="249" spans="2:15" ht="51">
      <c r="B249" s="145"/>
      <c r="C249" s="145"/>
      <c r="D249" s="145"/>
      <c r="E249" s="145"/>
      <c r="F249" s="145"/>
      <c r="G249" s="145"/>
      <c r="H249" s="145"/>
      <c r="I249" s="145"/>
      <c r="J249" s="147" t="str">
        <f>'matrik MISI GABUNG'!N553</f>
        <v>Cakupan Penerbitan Kartu Tanda Penduduk (KTP)</v>
      </c>
      <c r="K249" s="147" t="str">
        <f>'matrik MISI GABUNG'!O553</f>
        <v>%</v>
      </c>
      <c r="L249" s="1050">
        <f>'matrik MISI GABUNG'!P553</f>
        <v>86.56</v>
      </c>
      <c r="M249" s="1050">
        <f>'matrik MISI GABUNG'!Q553</f>
        <v>2.39</v>
      </c>
      <c r="N249" s="1052">
        <f>'matrik MISI GABUNG'!V553</f>
        <v>37.629999999999995</v>
      </c>
      <c r="O249" s="147" t="str">
        <f>'matrik MISI GABUNG'!X553</f>
        <v>Dinas Kependudukan dan Pencatatan Sipil</v>
      </c>
    </row>
    <row r="250" spans="2:15" ht="51">
      <c r="B250" s="145"/>
      <c r="C250" s="145"/>
      <c r="D250" s="145"/>
      <c r="E250" s="145"/>
      <c r="F250" s="145"/>
      <c r="G250" s="145"/>
      <c r="H250" s="145"/>
      <c r="I250" s="145"/>
      <c r="J250" s="147" t="str">
        <f>'matrik MISI GABUNG'!N554</f>
        <v>Cakupan Penerbitan Kutipan Akta Kelahiran</v>
      </c>
      <c r="K250" s="147" t="str">
        <f>'matrik MISI GABUNG'!O554</f>
        <v>%</v>
      </c>
      <c r="L250" s="1050">
        <f>'matrik MISI GABUNG'!P554</f>
        <v>40.43</v>
      </c>
      <c r="M250" s="1050">
        <f>'matrik MISI GABUNG'!Q554</f>
        <v>42.65</v>
      </c>
      <c r="N250" s="1052">
        <f>'matrik MISI GABUNG'!V554</f>
        <v>63.46</v>
      </c>
      <c r="O250" s="147" t="str">
        <f>'matrik MISI GABUNG'!X554</f>
        <v>Dinas Kependudukan dan Pencatatan Sipil</v>
      </c>
    </row>
    <row r="251" spans="2:15" ht="51">
      <c r="B251" s="145"/>
      <c r="C251" s="145"/>
      <c r="D251" s="145"/>
      <c r="E251" s="145"/>
      <c r="F251" s="145"/>
      <c r="G251" s="145"/>
      <c r="H251" s="145"/>
      <c r="I251" s="145"/>
      <c r="J251" s="147" t="str">
        <f>'matrik MISI GABUNG'!N555</f>
        <v>Cakupan kepemilikan Kutipan Akta Kematian</v>
      </c>
      <c r="K251" s="147" t="str">
        <f>'matrik MISI GABUNG'!O555</f>
        <v>%</v>
      </c>
      <c r="L251" s="1050">
        <f>'matrik MISI GABUNG'!P555</f>
        <v>1.83</v>
      </c>
      <c r="M251" s="1050">
        <f>'matrik MISI GABUNG'!Q555</f>
        <v>1.4</v>
      </c>
      <c r="N251" s="1052">
        <f>'matrik MISI GABUNG'!V555</f>
        <v>100</v>
      </c>
      <c r="O251" s="147" t="str">
        <f>'matrik MISI GABUNG'!X555</f>
        <v>Dinas Kependudukan dan Pencatatan Sipil</v>
      </c>
    </row>
    <row r="252" spans="2:15" ht="76.5">
      <c r="B252" s="145"/>
      <c r="C252" s="145"/>
      <c r="D252" s="143" t="str">
        <f>'matrik MISI GABUNG'!B557</f>
        <v>PENANAMAN MODAL</v>
      </c>
      <c r="E252" s="143" t="str">
        <f>'matrik MISI GABUNG'!F557</f>
        <v>Meningkatnya Kualitas dan Kuantitas Pelayanan Perizinan dan Non Perizinan</v>
      </c>
      <c r="F252" s="143" t="str">
        <f>'matrik MISI GABUNG'!G557</f>
        <v>Peningkatan Kualitas dan Kuantitas Pelayanan Perizinan dan Non Perizinan</v>
      </c>
      <c r="G252" s="1084" t="str">
        <f>'matrik MISI 6'!H84</f>
        <v>Meningkatkan Kualitas dan Kuantitas Pelayanan Perizinan dan Non Perizinan</v>
      </c>
      <c r="H252" s="143" t="str">
        <f>'matrik MISI GABUNG'!I557</f>
        <v>Meningkatkan Kualitas dan Kuantitas Pelayanan Perizinan dan Non Perizinan melalui ketersediaan SOP, ketepatan waktu, dan penanganan pengaduan masyarakat</v>
      </c>
      <c r="I252" s="143" t="str">
        <f>'matrik MISI GABUNG'!M558</f>
        <v>Program Peningkatan Pelayanan Perizinan</v>
      </c>
      <c r="J252" s="147" t="str">
        <f>'matrik MISI GABUNG'!N558</f>
        <v>Cakupan Jenis Perizinan yang Memiliki Standar Pelayanan Publik atau Standar Operasional Prosedur</v>
      </c>
      <c r="K252" s="147" t="str">
        <f>'matrik MISI GABUNG'!O558</f>
        <v>%</v>
      </c>
      <c r="L252" s="1050">
        <f>'matrik MISI GABUNG'!P558</f>
        <v>0</v>
      </c>
      <c r="M252" s="1050">
        <f>'matrik MISI GABUNG'!Q558</f>
        <v>25</v>
      </c>
      <c r="N252" s="1052">
        <f>'matrik MISI GABUNG'!V558</f>
        <v>100</v>
      </c>
      <c r="O252" s="147" t="str">
        <f>'matrik MISI GABUNG'!X558</f>
        <v>KP3M</v>
      </c>
    </row>
    <row r="253" spans="2:15" ht="25.5">
      <c r="B253" s="145"/>
      <c r="C253" s="145"/>
      <c r="D253" s="145"/>
      <c r="E253" s="145"/>
      <c r="F253" s="145"/>
      <c r="G253" s="145"/>
      <c r="H253" s="145"/>
      <c r="I253" s="145"/>
      <c r="J253" s="147" t="str">
        <f>'matrik MISI GABUNG'!N559</f>
        <v>Persentase perizinan  yang diterbitkan Tepat Waktu</v>
      </c>
      <c r="K253" s="147" t="str">
        <f>'matrik MISI GABUNG'!O559</f>
        <v>%</v>
      </c>
      <c r="L253" s="1050">
        <f>'matrik MISI GABUNG'!P559</f>
        <v>95</v>
      </c>
      <c r="M253" s="1050">
        <f>'matrik MISI GABUNG'!Q559</f>
        <v>95</v>
      </c>
      <c r="N253" s="1052">
        <f>'matrik MISI GABUNG'!V559</f>
        <v>95</v>
      </c>
      <c r="O253" s="147" t="str">
        <f>'matrik MISI GABUNG'!X559</f>
        <v>KP3M</v>
      </c>
    </row>
    <row r="254" spans="2:15" ht="51">
      <c r="B254" s="145"/>
      <c r="C254" s="145"/>
      <c r="D254" s="145"/>
      <c r="E254" s="145"/>
      <c r="F254" s="145"/>
      <c r="G254" s="145"/>
      <c r="H254" s="145"/>
      <c r="I254" s="145"/>
      <c r="J254" s="147" t="str">
        <f>'matrik MISI GABUNG'!N561</f>
        <v>Penerbitan Izin Usaha Jasa Konstruksi dalam Waktu 6 (Enam) Hari Kerja setelah Persyaratan Lengkap</v>
      </c>
      <c r="K254" s="147" t="str">
        <f>'matrik MISI GABUNG'!O561</f>
        <v>Hari</v>
      </c>
      <c r="L254" s="1050">
        <f>'matrik MISI GABUNG'!P561</f>
        <v>12</v>
      </c>
      <c r="M254" s="1050">
        <f>'matrik MISI GABUNG'!Q561</f>
        <v>11</v>
      </c>
      <c r="N254" s="1052">
        <f>'matrik MISI GABUNG'!V561</f>
        <v>6</v>
      </c>
      <c r="O254" s="147" t="str">
        <f>'matrik MISI GABUNG'!X561</f>
        <v>KP3M</v>
      </c>
    </row>
    <row r="255" spans="2:15" ht="51">
      <c r="B255" s="145"/>
      <c r="C255" s="145"/>
      <c r="D255" s="145"/>
      <c r="E255" s="143" t="str">
        <f>'matrik MISI GABUNG'!F562</f>
        <v xml:space="preserve">Meningkatnya Investasi </v>
      </c>
      <c r="F255" s="143" t="str">
        <f>'matrik MISI GABUNG'!G562</f>
        <v xml:space="preserve">Peningkatan Investasi </v>
      </c>
      <c r="G255" s="1084" t="str">
        <f>'matrik MISI 6'!H84</f>
        <v>Meningkatkan Kualitas dan Kuantitas Pelayanan Perizinan dan Non Perizinan</v>
      </c>
      <c r="H255" s="143" t="str">
        <f>'matrik MISI GABUNG'!I562</f>
        <v>Meningkatkan Investasi melalui pelaksanaan promosi investasi dan dukungan iklim investasi yang memadai</v>
      </c>
      <c r="I255" s="147" t="str">
        <f>'matrik MISI GABUNG'!M563</f>
        <v>Program Peningkatan Iklim Investasi dan Realisasi Investasi</v>
      </c>
      <c r="J255" s="147" t="str">
        <f>'matrik MISI GABUNG'!N563</f>
        <v>Laju Investasi</v>
      </c>
      <c r="K255" s="147" t="str">
        <f>'matrik MISI GABUNG'!O563</f>
        <v>%</v>
      </c>
      <c r="L255" s="1050" t="str">
        <f>'matrik MISI GABUNG'!P563</f>
        <v>19,17</v>
      </c>
      <c r="M255" s="1050" t="str">
        <f>'matrik MISI GABUNG'!Q563</f>
        <v>11,16</v>
      </c>
      <c r="N255" s="1052" t="str">
        <f>'matrik MISI GABUNG'!V563</f>
        <v>14,43</v>
      </c>
      <c r="O255" s="147" t="str">
        <f>'matrik MISI GABUNG'!X563</f>
        <v>KP3M</v>
      </c>
    </row>
    <row r="256" spans="2:15" ht="25.5">
      <c r="B256" s="145"/>
      <c r="C256" s="145"/>
      <c r="D256" s="145"/>
      <c r="E256" s="145"/>
      <c r="F256" s="145"/>
      <c r="G256" s="145"/>
      <c r="H256" s="145"/>
      <c r="I256" s="147" t="str">
        <f>'matrik MISI GABUNG'!M565</f>
        <v>Program Peningkatan Promosi dan Kerjasama Investasi</v>
      </c>
      <c r="J256" s="147" t="str">
        <f>'matrik MISI GABUNG'!N565</f>
        <v>Nilai Investasi</v>
      </c>
      <c r="K256" s="147" t="str">
        <f>'matrik MISI GABUNG'!O565</f>
        <v>Rupiah</v>
      </c>
      <c r="L256" s="1050" t="str">
        <f>'matrik MISI GABUNG'!P565</f>
        <v>123,457 M</v>
      </c>
      <c r="M256" s="1050" t="str">
        <f>'matrik MISI GABUNG'!Q565</f>
        <v>85,692 M</v>
      </c>
      <c r="N256" s="1052" t="str">
        <f>'matrik MISI GABUNG'!V565</f>
        <v>170 M</v>
      </c>
      <c r="O256" s="147" t="str">
        <f>'matrik MISI GABUNG'!X565</f>
        <v>KP3M</v>
      </c>
    </row>
    <row r="257" spans="2:15" ht="76.5">
      <c r="B257" s="145"/>
      <c r="C257" s="145"/>
      <c r="D257" s="143" t="str">
        <f>'matrik MISI GABUNG'!B573</f>
        <v>PERPUSTAKAAN</v>
      </c>
      <c r="E257" s="143" t="str">
        <f>'matrik MISI GABUNG'!F573</f>
        <v xml:space="preserve">Meningkatnya Pelayanan Perpustakaan </v>
      </c>
      <c r="F257" s="143" t="str">
        <f>'matrik MISI GABUNG'!G573</f>
        <v xml:space="preserve">Peningkatan Pelayanan Perpustakaan </v>
      </c>
      <c r="G257" s="1084" t="str">
        <f>'matrik MISI 6'!H100</f>
        <v xml:space="preserve">Meningkatkan Pelayanan Perpustakaan </v>
      </c>
      <c r="H257" s="143" t="str">
        <f>'matrik MISI GABUNG'!I573</f>
        <v>Meningkatkan Pelayanan Perpustakaan kepada masyarakat yang disertai peningkatan kunjungan perpustakaandan peminjaman buku koleksi perpustakaan</v>
      </c>
      <c r="I257" s="143" t="str">
        <f>'matrik MISI GABUNG'!M574</f>
        <v>Program Pengembangan Budaya Baca dan Pembinaan Perpustakaan</v>
      </c>
      <c r="J257" s="147" t="str">
        <f>'matrik MISI GABUNG'!N574</f>
        <v>Rasio Pengunjung Perpustakaan Terhadap Jumlah Penduduk</v>
      </c>
      <c r="K257" s="147" t="str">
        <f>'matrik MISI GABUNG'!O574</f>
        <v>Rasio</v>
      </c>
      <c r="L257" s="1050">
        <f>'matrik MISI GABUNG'!P574</f>
        <v>55</v>
      </c>
      <c r="M257" s="1050">
        <f>'matrik MISI GABUNG'!Q574</f>
        <v>60</v>
      </c>
      <c r="N257" s="1052">
        <f>'matrik MISI GABUNG'!V574</f>
        <v>82</v>
      </c>
      <c r="O257" s="147" t="str">
        <f>'matrik MISI GABUNG'!X574</f>
        <v>Kantor Arsip, Perpustakaan, dan Dokumentasi</v>
      </c>
    </row>
    <row r="258" spans="2:15" ht="63.75">
      <c r="B258" s="145"/>
      <c r="C258" s="145"/>
      <c r="D258" s="147" t="str">
        <f>'matrik MISI GABUNG'!B577</f>
        <v>STATISTIK</v>
      </c>
      <c r="E258" s="147" t="str">
        <f>'matrik MISI GABUNG'!F577</f>
        <v>Meningkatnya  Kualitas Data Pembangunan  dan Data Statistik Daerah</v>
      </c>
      <c r="F258" s="147" t="str">
        <f>'matrik MISI GABUNG'!G577</f>
        <v>Peningkatan Kualitas Data Pembangunan  dan Data Statistik Daerah</v>
      </c>
      <c r="G258" s="147" t="str">
        <f>'matrik MISI 6'!H104</f>
        <v>Meningkatkan kualitas informasi dan komunikasi</v>
      </c>
      <c r="H258" s="147" t="str">
        <f>'matrik MISI GABUNG'!I577</f>
        <v>Meningkatkan Kualitas Data Pembangunan  dan Data Statistik Daerah yang akan digunakan dalam perencanaan pembangunan setiap tahunnya</v>
      </c>
      <c r="I258" s="147" t="str">
        <f>'matrik MISI GABUNG'!M578</f>
        <v>Program Pengembangan Data/Informasi/Statistik Daerah</v>
      </c>
      <c r="J258" s="147" t="str">
        <f>'matrik MISI GABUNG'!N578</f>
        <v xml:space="preserve">Besaran ketersediaan data statistik </v>
      </c>
      <c r="K258" s="147" t="str">
        <f>'matrik MISI GABUNG'!O578</f>
        <v>dokumen</v>
      </c>
      <c r="L258" s="1050">
        <f>'matrik MISI GABUNG'!P578</f>
        <v>9</v>
      </c>
      <c r="M258" s="1050">
        <f>'matrik MISI GABUNG'!Q578</f>
        <v>9</v>
      </c>
      <c r="N258" s="1052">
        <f>'matrik MISI GABUNG'!V578</f>
        <v>9</v>
      </c>
      <c r="O258" s="147" t="str">
        <f>'matrik MISI GABUNG'!X578</f>
        <v>Bappeda</v>
      </c>
    </row>
    <row r="259" spans="2:15" ht="63.75">
      <c r="B259" s="145"/>
      <c r="C259" s="145"/>
      <c r="D259" s="143" t="str">
        <f>'matrik MISI GABUNG'!B579</f>
        <v>KOMUNIKASI DAN INFORMATIKA</v>
      </c>
      <c r="E259" s="143" t="str">
        <f>'matrik MISI GABUNG'!F579</f>
        <v>Meningkatnya Akses atas Komunikasi dan Informasi</v>
      </c>
      <c r="F259" s="143" t="str">
        <f>'matrik MISI GABUNG'!G579</f>
        <v>Peningkatan Akses atas Komunikasi dan Informasi</v>
      </c>
      <c r="G259" s="1084" t="str">
        <f>'matrik MISI 6'!H117</f>
        <v>Meningkatkan kualitas informasi dan komunikasi</v>
      </c>
      <c r="H259" s="143" t="str">
        <f>'matrik MISI GABUNG'!I579</f>
        <v>Meningkatkan Akses atas Komunikasi dan Informasi kepada masyarakat, khususnya di ruang publik melalui berbagai media yang ada</v>
      </c>
      <c r="I259" s="147" t="str">
        <f>'matrik MISI GABUNG'!M580</f>
        <v>program pengembangan informasi dan komunikasi</v>
      </c>
      <c r="J259" s="147" t="str">
        <f>'matrik MISI GABUNG'!N580</f>
        <v>Rasio Akses Internet di Ruang Publik</v>
      </c>
      <c r="K259" s="147" t="str">
        <f>'matrik MISI GABUNG'!O580</f>
        <v>rasio</v>
      </c>
      <c r="L259" s="1050">
        <f>'matrik MISI GABUNG'!P580</f>
        <v>5</v>
      </c>
      <c r="M259" s="1050">
        <f>'matrik MISI GABUNG'!Q580</f>
        <v>9</v>
      </c>
      <c r="N259" s="1052">
        <f>'matrik MISI GABUNG'!V580</f>
        <v>100</v>
      </c>
      <c r="O259" s="147" t="str">
        <f>'matrik MISI GABUNG'!X580</f>
        <v>DISHUBKOMINFO</v>
      </c>
    </row>
    <row r="260" spans="2:15" ht="51">
      <c r="B260" s="145"/>
      <c r="C260" s="145"/>
      <c r="D260" s="145"/>
      <c r="E260" s="147" t="str">
        <f>'matrik MISI GABUNG'!F590</f>
        <v>Terwujudnya Pengelolaan e-Government</v>
      </c>
      <c r="F260" s="147" t="str">
        <f>'matrik MISI GABUNG'!G590</f>
        <v>Peningkatan  Pengelolaan e-Government</v>
      </c>
      <c r="G260" s="147" t="str">
        <f>'matrik MISI 6'!H117</f>
        <v>Meningkatkan kualitas informasi dan komunikasi</v>
      </c>
      <c r="H260" s="147" t="str">
        <f>'matrik MISI GABUNG'!I590</f>
        <v>Meningkatkan Pengelolaan e-Government pada pemerintah daerah dan pemerintah desa</v>
      </c>
      <c r="I260" s="147" t="str">
        <f>'matrik MISI GABUNG'!M591</f>
        <v>program pengembangan  komunikasi, informasi dan media massa</v>
      </c>
      <c r="J260" s="147" t="str">
        <f>'matrik MISI GABUNG'!N591</f>
        <v>Cakupan Jaringan Sistem Informasi e-Government</v>
      </c>
      <c r="K260" s="147" t="str">
        <f>'matrik MISI GABUNG'!O591</f>
        <v>%</v>
      </c>
      <c r="L260" s="1050">
        <f>'matrik MISI GABUNG'!P591</f>
        <v>5</v>
      </c>
      <c r="M260" s="1050">
        <f>'matrik MISI GABUNG'!Q591</f>
        <v>9</v>
      </c>
      <c r="N260" s="1052">
        <f>'matrik MISI GABUNG'!V591</f>
        <v>100</v>
      </c>
      <c r="O260" s="147" t="str">
        <f>'matrik MISI GABUNG'!X591</f>
        <v>Bagian Santel dan PDE, Dishubkominfo dan Bappeda</v>
      </c>
    </row>
    <row r="261" spans="2:15" ht="38.25">
      <c r="B261" s="146"/>
      <c r="C261" s="146"/>
      <c r="D261" s="146"/>
      <c r="E261" s="147"/>
      <c r="F261" s="147"/>
      <c r="G261" s="147"/>
      <c r="H261" s="147"/>
      <c r="I261" s="147" t="str">
        <f>'matrik MISI GABUNG'!M594</f>
        <v>program pengkajian dan penelitian bidang informasi dan komunikasi</v>
      </c>
      <c r="J261" s="147" t="str">
        <f>'matrik MISI GABUNG'!N594</f>
        <v>Cakupan terbangunnya Integrasi Jaringan Informasi dan Komunikasi</v>
      </c>
      <c r="K261" s="147" t="str">
        <f>'matrik MISI GABUNG'!O594</f>
        <v>%</v>
      </c>
      <c r="L261" s="1050">
        <f>'matrik MISI GABUNG'!P594</f>
        <v>5</v>
      </c>
      <c r="M261" s="1050">
        <f>'matrik MISI GABUNG'!Q594</f>
        <v>9</v>
      </c>
      <c r="N261" s="1052">
        <f>'matrik MISI GABUNG'!V594</f>
        <v>100</v>
      </c>
      <c r="O261" s="147" t="str">
        <f>'matrik MISI GABUNG'!X594</f>
        <v>DISHUBKOMINFO / Bagian Santel dan PDE</v>
      </c>
    </row>
  </sheetData>
  <mergeCells count="13">
    <mergeCell ref="J45:J46"/>
    <mergeCell ref="B4:C4"/>
    <mergeCell ref="O2:O3"/>
    <mergeCell ref="H2:H3"/>
    <mergeCell ref="L2:M2"/>
    <mergeCell ref="B2:C3"/>
    <mergeCell ref="D2:D3"/>
    <mergeCell ref="E2:E3"/>
    <mergeCell ref="F2:F3"/>
    <mergeCell ref="I2:I3"/>
    <mergeCell ref="J2:J3"/>
    <mergeCell ref="K2:K3"/>
    <mergeCell ref="G2:G3"/>
  </mergeCells>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sheetPr>
    <tabColor rgb="FFFFFF00"/>
  </sheetPr>
  <dimension ref="B1:AM698"/>
  <sheetViews>
    <sheetView showGridLines="0" topLeftCell="C1" zoomScale="90" zoomScaleNormal="90" workbookViewId="0">
      <pane ySplit="5" topLeftCell="A583" activePane="bottomLeft" state="frozen"/>
      <selection pane="bottomLeft" activeCell="K586" sqref="K586"/>
    </sheetView>
  </sheetViews>
  <sheetFormatPr defaultRowHeight="15"/>
  <cols>
    <col min="1" max="1" width="4.7109375" style="569" customWidth="1"/>
    <col min="2" max="2" width="5.7109375" style="267" customWidth="1"/>
    <col min="3" max="3" width="25.85546875" style="561" customWidth="1"/>
    <col min="4" max="6" width="4.7109375" style="565" hidden="1" customWidth="1"/>
    <col min="7" max="7" width="23" style="267" customWidth="1"/>
    <col min="8" max="8" width="30.7109375" style="267" customWidth="1"/>
    <col min="9" max="9" width="12.5703125" style="267" customWidth="1"/>
    <col min="10" max="12" width="10.7109375" style="958" customWidth="1"/>
    <col min="13" max="13" width="20.7109375" style="959" customWidth="1"/>
    <col min="14" max="14" width="10.7109375" style="958" customWidth="1"/>
    <col min="15" max="15" width="20.7109375" style="958" customWidth="1"/>
    <col min="16" max="16" width="10.7109375" style="958" customWidth="1"/>
    <col min="17" max="17" width="20.7109375" style="958" customWidth="1"/>
    <col min="18" max="18" width="10.7109375" style="958" customWidth="1"/>
    <col min="19" max="19" width="20.7109375" style="958" customWidth="1"/>
    <col min="20" max="20" width="10.7109375" style="958" customWidth="1"/>
    <col min="21" max="21" width="20.7109375" style="958" customWidth="1"/>
    <col min="22" max="22" width="10.7109375" style="958" customWidth="1"/>
    <col min="23" max="24" width="20.7109375" style="958" customWidth="1"/>
    <col min="25" max="26" width="68.42578125" style="582" hidden="1" customWidth="1"/>
    <col min="27" max="28" width="9.140625" style="569"/>
    <col min="29" max="29" width="21.85546875" style="569" customWidth="1"/>
    <col min="30" max="30" width="9.140625" style="569"/>
    <col min="31" max="31" width="17.42578125" style="569" bestFit="1" customWidth="1"/>
    <col min="32" max="32" width="17.42578125" style="569" customWidth="1"/>
    <col min="33" max="33" width="17.42578125" style="569" bestFit="1" customWidth="1"/>
    <col min="34" max="34" width="17.42578125" style="569" customWidth="1"/>
    <col min="35" max="35" width="17.42578125" style="569" bestFit="1" customWidth="1"/>
    <col min="36" max="36" width="17.42578125" style="569" customWidth="1"/>
    <col min="37" max="37" width="17.42578125" style="569" bestFit="1" customWidth="1"/>
    <col min="38" max="38" width="17.42578125" style="569" customWidth="1"/>
    <col min="39" max="39" width="17.42578125" style="569" bestFit="1" customWidth="1"/>
    <col min="40" max="16384" width="9.140625" style="569"/>
  </cols>
  <sheetData>
    <row r="1" spans="2:29">
      <c r="U1" s="959">
        <f>U2-O685</f>
        <v>-0.25</v>
      </c>
    </row>
    <row r="2" spans="2:29">
      <c r="U2" s="958">
        <v>17500000000</v>
      </c>
    </row>
    <row r="3" spans="2:29" s="634" customFormat="1" ht="45" customHeight="1">
      <c r="B3" s="1253" t="s">
        <v>6</v>
      </c>
      <c r="C3" s="1253"/>
      <c r="D3" s="1253" t="s">
        <v>54</v>
      </c>
      <c r="E3" s="1253"/>
      <c r="F3" s="1253"/>
      <c r="G3" s="1253"/>
      <c r="H3" s="1253" t="s">
        <v>4634</v>
      </c>
      <c r="I3" s="1253" t="s">
        <v>132</v>
      </c>
      <c r="J3" s="1253" t="s">
        <v>133</v>
      </c>
      <c r="K3" s="1253"/>
      <c r="L3" s="1256" t="s">
        <v>4635</v>
      </c>
      <c r="M3" s="1257"/>
      <c r="N3" s="1257"/>
      <c r="O3" s="1257"/>
      <c r="P3" s="1257"/>
      <c r="Q3" s="1257"/>
      <c r="R3" s="1257"/>
      <c r="S3" s="1257"/>
      <c r="T3" s="1257"/>
      <c r="U3" s="1258"/>
      <c r="V3" s="1253" t="s">
        <v>136</v>
      </c>
      <c r="W3" s="1253"/>
      <c r="X3" s="1253" t="str">
        <f>'[1]matrik 4_ok'!AE5</f>
        <v>SKPD</v>
      </c>
      <c r="Y3" s="1260" t="s">
        <v>137</v>
      </c>
      <c r="Z3" s="1260" t="s">
        <v>138</v>
      </c>
      <c r="AA3" s="645"/>
      <c r="AB3" s="645"/>
      <c r="AC3" s="645"/>
    </row>
    <row r="4" spans="2:29" s="634" customFormat="1">
      <c r="B4" s="1253"/>
      <c r="C4" s="1253"/>
      <c r="D4" s="1253"/>
      <c r="E4" s="1253"/>
      <c r="F4" s="1253"/>
      <c r="G4" s="1253"/>
      <c r="H4" s="1259"/>
      <c r="I4" s="1253"/>
      <c r="J4" s="1253">
        <v>2012</v>
      </c>
      <c r="K4" s="1253">
        <v>2013</v>
      </c>
      <c r="L4" s="1253">
        <v>2014</v>
      </c>
      <c r="M4" s="1253"/>
      <c r="N4" s="1253">
        <v>2015</v>
      </c>
      <c r="O4" s="1253"/>
      <c r="P4" s="1253">
        <v>2016</v>
      </c>
      <c r="Q4" s="1253"/>
      <c r="R4" s="1253">
        <v>2017</v>
      </c>
      <c r="S4" s="1253"/>
      <c r="T4" s="1253">
        <v>2018</v>
      </c>
      <c r="U4" s="1253"/>
      <c r="V4" s="1253">
        <f>T4</f>
        <v>2018</v>
      </c>
      <c r="W4" s="1253"/>
      <c r="X4" s="1253"/>
      <c r="Y4" s="1260"/>
      <c r="Z4" s="1260"/>
      <c r="AA4" s="645"/>
      <c r="AB4" s="645"/>
      <c r="AC4" s="645"/>
    </row>
    <row r="5" spans="2:29" s="634" customFormat="1">
      <c r="B5" s="1253"/>
      <c r="C5" s="1253"/>
      <c r="D5" s="1253"/>
      <c r="E5" s="1253"/>
      <c r="F5" s="1253"/>
      <c r="G5" s="1253"/>
      <c r="H5" s="1259"/>
      <c r="I5" s="1253"/>
      <c r="J5" s="1253"/>
      <c r="K5" s="1253"/>
      <c r="L5" s="1040" t="s">
        <v>1799</v>
      </c>
      <c r="M5" s="1041" t="s">
        <v>1802</v>
      </c>
      <c r="N5" s="1040" t="s">
        <v>1799</v>
      </c>
      <c r="O5" s="1040" t="s">
        <v>1802</v>
      </c>
      <c r="P5" s="1040" t="s">
        <v>1799</v>
      </c>
      <c r="Q5" s="1040" t="s">
        <v>1802</v>
      </c>
      <c r="R5" s="1040" t="s">
        <v>1799</v>
      </c>
      <c r="S5" s="1040" t="s">
        <v>1802</v>
      </c>
      <c r="T5" s="1040" t="s">
        <v>1799</v>
      </c>
      <c r="U5" s="1040" t="s">
        <v>1802</v>
      </c>
      <c r="V5" s="1040" t="s">
        <v>1799</v>
      </c>
      <c r="W5" s="1040" t="s">
        <v>1802</v>
      </c>
      <c r="X5" s="1253"/>
      <c r="Y5" s="1260"/>
      <c r="Z5" s="1260"/>
      <c r="AA5" s="645"/>
      <c r="AB5" s="645"/>
      <c r="AC5" s="645"/>
    </row>
    <row r="6" spans="2:29" s="635" customFormat="1">
      <c r="B6" s="1252">
        <v>1</v>
      </c>
      <c r="C6" s="1252"/>
      <c r="D6" s="1252">
        <v>2</v>
      </c>
      <c r="E6" s="1252"/>
      <c r="F6" s="1252"/>
      <c r="G6" s="1252"/>
      <c r="H6" s="974">
        <v>3</v>
      </c>
      <c r="I6" s="974">
        <v>4</v>
      </c>
      <c r="J6" s="975">
        <v>5</v>
      </c>
      <c r="K6" s="975">
        <v>6</v>
      </c>
      <c r="L6" s="975">
        <v>7</v>
      </c>
      <c r="M6" s="976">
        <v>8</v>
      </c>
      <c r="N6" s="975">
        <v>9</v>
      </c>
      <c r="O6" s="975">
        <v>10</v>
      </c>
      <c r="P6" s="975">
        <v>11</v>
      </c>
      <c r="Q6" s="975">
        <v>12</v>
      </c>
      <c r="R6" s="975">
        <v>13</v>
      </c>
      <c r="S6" s="975">
        <v>14</v>
      </c>
      <c r="T6" s="975">
        <v>15</v>
      </c>
      <c r="U6" s="975">
        <v>16</v>
      </c>
      <c r="V6" s="975">
        <v>17</v>
      </c>
      <c r="W6" s="975">
        <v>18</v>
      </c>
      <c r="X6" s="975">
        <v>19</v>
      </c>
      <c r="Y6" s="977"/>
      <c r="Z6" s="977"/>
      <c r="AA6" s="646"/>
      <c r="AB6" s="646"/>
      <c r="AC6" s="646"/>
    </row>
    <row r="7" spans="2:29" s="636" customFormat="1" ht="15.75" hidden="1">
      <c r="B7" s="943"/>
      <c r="C7" s="943"/>
      <c r="D7" s="944"/>
      <c r="E7" s="944"/>
      <c r="F7" s="944"/>
      <c r="G7" s="944"/>
      <c r="H7" s="944"/>
      <c r="I7" s="944"/>
      <c r="J7" s="978"/>
      <c r="K7" s="978"/>
      <c r="L7" s="978" t="s">
        <v>4660</v>
      </c>
      <c r="M7" s="979">
        <v>537633992530</v>
      </c>
      <c r="N7" s="980"/>
      <c r="O7" s="979">
        <v>503510419757</v>
      </c>
      <c r="P7" s="980"/>
      <c r="Q7" s="979">
        <v>503354573041</v>
      </c>
      <c r="R7" s="978"/>
      <c r="S7" s="979">
        <v>522847942474</v>
      </c>
      <c r="T7" s="978"/>
      <c r="U7" s="979">
        <v>575555798537</v>
      </c>
      <c r="V7" s="978"/>
      <c r="W7" s="981">
        <f t="shared" ref="W7" si="0">SUM(M7:U7)</f>
        <v>2642902726339</v>
      </c>
      <c r="X7" s="978"/>
      <c r="Y7" s="982"/>
      <c r="Z7" s="982"/>
    </row>
    <row r="8" spans="2:29" s="636" customFormat="1" ht="15.75" hidden="1">
      <c r="B8" s="943"/>
      <c r="C8" s="943"/>
      <c r="D8" s="944"/>
      <c r="E8" s="944"/>
      <c r="F8" s="944"/>
      <c r="G8" s="944"/>
      <c r="H8" s="944"/>
      <c r="I8" s="944"/>
      <c r="J8" s="978"/>
      <c r="K8" s="978"/>
      <c r="L8" s="975" t="s">
        <v>4658</v>
      </c>
      <c r="M8" s="976">
        <f>M12</f>
        <v>121238639000</v>
      </c>
      <c r="N8" s="980"/>
      <c r="O8" s="976">
        <f>O12</f>
        <v>131488639000</v>
      </c>
      <c r="P8" s="980"/>
      <c r="Q8" s="976">
        <f>Q12</f>
        <v>131488639000</v>
      </c>
      <c r="R8" s="978"/>
      <c r="S8" s="976">
        <f>S12</f>
        <v>135738639000</v>
      </c>
      <c r="T8" s="978"/>
      <c r="U8" s="976">
        <f>U12</f>
        <v>158238639000</v>
      </c>
      <c r="V8" s="978"/>
      <c r="W8" s="961">
        <f>SUM(M8:U8)</f>
        <v>678193195000</v>
      </c>
      <c r="X8" s="978"/>
      <c r="Y8" s="982"/>
      <c r="Z8" s="982"/>
    </row>
    <row r="9" spans="2:29" s="566" customFormat="1" ht="30" hidden="1">
      <c r="B9" s="945"/>
      <c r="C9" s="945"/>
      <c r="D9" s="946"/>
      <c r="E9" s="946"/>
      <c r="F9" s="946"/>
      <c r="G9" s="946"/>
      <c r="H9" s="946"/>
      <c r="I9" s="946"/>
      <c r="J9" s="975"/>
      <c r="K9" s="975"/>
      <c r="L9" s="975" t="s">
        <v>4659</v>
      </c>
      <c r="M9" s="976">
        <f>SUM(M70:M682)</f>
        <v>416395353530</v>
      </c>
      <c r="N9" s="976"/>
      <c r="O9" s="976">
        <f>SUM(O70:O682)</f>
        <v>372021780757.25</v>
      </c>
      <c r="P9" s="976"/>
      <c r="Q9" s="976">
        <f>SUM(Q70:Q682)</f>
        <v>371865934041.12</v>
      </c>
      <c r="R9" s="976"/>
      <c r="S9" s="976">
        <f>SUM(S70:S682)</f>
        <v>387109303474.32001</v>
      </c>
      <c r="T9" s="976"/>
      <c r="U9" s="976">
        <f>SUM(U70:U682)</f>
        <v>417317159536.83002</v>
      </c>
      <c r="V9" s="975"/>
      <c r="W9" s="961">
        <f>SUM(M9:U9)</f>
        <v>1964709531339.5203</v>
      </c>
      <c r="X9" s="975"/>
      <c r="Y9" s="983"/>
      <c r="Z9" s="983"/>
    </row>
    <row r="10" spans="2:29" s="566" customFormat="1" ht="30" hidden="1">
      <c r="B10" s="945"/>
      <c r="C10" s="945" t="s">
        <v>4901</v>
      </c>
      <c r="D10" s="946"/>
      <c r="E10" s="946"/>
      <c r="F10" s="946"/>
      <c r="G10" s="946"/>
      <c r="H10" s="946"/>
      <c r="I10" s="946"/>
      <c r="J10" s="975"/>
      <c r="K10" s="975"/>
      <c r="L10" s="975" t="s">
        <v>4664</v>
      </c>
      <c r="M10" s="976">
        <f>SUM(M8:M9)</f>
        <v>537633992530</v>
      </c>
      <c r="N10" s="976"/>
      <c r="O10" s="976">
        <f>SUM(O8:O9)</f>
        <v>503510419757.25</v>
      </c>
      <c r="P10" s="976"/>
      <c r="Q10" s="976">
        <f>SUM(Q8:Q9)</f>
        <v>503354573041.12</v>
      </c>
      <c r="R10" s="976"/>
      <c r="S10" s="976">
        <f>SUM(S8:S9)</f>
        <v>522847942474.32001</v>
      </c>
      <c r="T10" s="976"/>
      <c r="U10" s="976">
        <f>SUM(U8:U9)</f>
        <v>575555798536.83008</v>
      </c>
      <c r="V10" s="975"/>
      <c r="W10" s="976">
        <f>SUM(W8:W9)</f>
        <v>2642902726339.5205</v>
      </c>
      <c r="X10" s="975"/>
      <c r="Y10" s="983"/>
      <c r="Z10" s="983"/>
    </row>
    <row r="11" spans="2:29" s="726" customFormat="1" ht="15.75" hidden="1">
      <c r="B11" s="984"/>
      <c r="C11" s="984"/>
      <c r="D11" s="985"/>
      <c r="E11" s="985"/>
      <c r="F11" s="985"/>
      <c r="G11" s="985"/>
      <c r="H11" s="985"/>
      <c r="I11" s="985"/>
      <c r="J11" s="986"/>
      <c r="K11" s="986"/>
      <c r="L11" s="986" t="s">
        <v>4638</v>
      </c>
      <c r="M11" s="987">
        <f>M7-M10</f>
        <v>0</v>
      </c>
      <c r="N11" s="988"/>
      <c r="O11" s="987">
        <f>O7-O10</f>
        <v>-0.25</v>
      </c>
      <c r="P11" s="988"/>
      <c r="Q11" s="987">
        <f>Q7-Q10</f>
        <v>-0.1199951171875</v>
      </c>
      <c r="R11" s="988"/>
      <c r="S11" s="987">
        <f>S7-S10</f>
        <v>-0.32000732421875</v>
      </c>
      <c r="T11" s="988"/>
      <c r="U11" s="987">
        <f>U7-U10</f>
        <v>0.169921875</v>
      </c>
      <c r="V11" s="986"/>
      <c r="W11" s="987"/>
      <c r="X11" s="986"/>
      <c r="Y11" s="989"/>
      <c r="Z11" s="989"/>
      <c r="AC11" s="777">
        <f>U11+S11+O11</f>
        <v>-0.40008544921875</v>
      </c>
    </row>
    <row r="12" spans="2:29" s="566" customFormat="1" hidden="1">
      <c r="B12" s="945"/>
      <c r="C12" s="945" t="s">
        <v>4902</v>
      </c>
      <c r="D12" s="946"/>
      <c r="E12" s="946"/>
      <c r="F12" s="946"/>
      <c r="G12" s="946"/>
      <c r="H12" s="946"/>
      <c r="I12" s="946"/>
      <c r="J12" s="975"/>
      <c r="K12" s="975"/>
      <c r="L12" s="975"/>
      <c r="M12" s="976">
        <v>121238639000</v>
      </c>
      <c r="N12" s="975"/>
      <c r="O12" s="976">
        <v>131488639000</v>
      </c>
      <c r="P12" s="975"/>
      <c r="Q12" s="976">
        <v>131488639000</v>
      </c>
      <c r="R12" s="975"/>
      <c r="S12" s="976">
        <v>135738639000</v>
      </c>
      <c r="T12" s="975"/>
      <c r="U12" s="976">
        <v>158238639000</v>
      </c>
      <c r="V12" s="975"/>
      <c r="W12" s="976"/>
      <c r="X12" s="975"/>
      <c r="Y12" s="983"/>
      <c r="Z12" s="983"/>
    </row>
    <row r="13" spans="2:29" s="566" customFormat="1" hidden="1">
      <c r="B13" s="945"/>
      <c r="C13" s="945"/>
      <c r="D13" s="946"/>
      <c r="E13" s="946"/>
      <c r="F13" s="946"/>
      <c r="G13" s="946"/>
      <c r="H13" s="946"/>
      <c r="I13" s="946"/>
      <c r="J13" s="975"/>
      <c r="K13" s="975"/>
      <c r="L13" s="975"/>
      <c r="M13" s="976">
        <f>M28+M46+M56+M60</f>
        <v>121238639000</v>
      </c>
      <c r="N13" s="975"/>
      <c r="O13" s="976">
        <f>O28+O46+O56+O60</f>
        <v>131488639000</v>
      </c>
      <c r="P13" s="975"/>
      <c r="Q13" s="976">
        <f>Q28+Q46+Q56+Q60</f>
        <v>132237889000</v>
      </c>
      <c r="R13" s="975"/>
      <c r="S13" s="976">
        <f>S28+S46+S56+S60</f>
        <v>135738639000</v>
      </c>
      <c r="T13" s="975"/>
      <c r="U13" s="976">
        <f>U28+U46+U56+U60</f>
        <v>158238639000</v>
      </c>
      <c r="V13" s="975"/>
      <c r="W13" s="975"/>
      <c r="X13" s="975"/>
      <c r="Y13" s="983"/>
      <c r="Z13" s="983"/>
      <c r="AC13" s="778">
        <f>Q11</f>
        <v>-0.1199951171875</v>
      </c>
    </row>
    <row r="14" spans="2:29" s="566" customFormat="1" hidden="1">
      <c r="B14" s="945"/>
      <c r="C14" s="945"/>
      <c r="D14" s="946"/>
      <c r="E14" s="946"/>
      <c r="F14" s="946"/>
      <c r="G14" s="946"/>
      <c r="H14" s="946"/>
      <c r="I14" s="946"/>
      <c r="J14" s="975"/>
      <c r="K14" s="975"/>
      <c r="L14" s="975"/>
      <c r="M14" s="976"/>
      <c r="N14" s="975"/>
      <c r="O14" s="976"/>
      <c r="P14" s="975"/>
      <c r="Q14" s="976"/>
      <c r="R14" s="975"/>
      <c r="S14" s="976"/>
      <c r="T14" s="975"/>
      <c r="U14" s="976"/>
      <c r="V14" s="975"/>
      <c r="W14" s="975"/>
      <c r="X14" s="975"/>
      <c r="Y14" s="983"/>
      <c r="Z14" s="983"/>
      <c r="AC14" s="778"/>
    </row>
    <row r="15" spans="2:29" s="872" customFormat="1" hidden="1">
      <c r="B15" s="990"/>
      <c r="C15" s="990" t="s">
        <v>4899</v>
      </c>
      <c r="D15" s="991"/>
      <c r="E15" s="991"/>
      <c r="F15" s="991"/>
      <c r="G15" s="991"/>
      <c r="H15" s="991"/>
      <c r="I15" s="991"/>
      <c r="J15" s="992"/>
      <c r="K15" s="992"/>
      <c r="L15" s="992"/>
      <c r="M15" s="993">
        <f>L4</f>
        <v>2014</v>
      </c>
      <c r="N15" s="993"/>
      <c r="O15" s="993">
        <v>2015</v>
      </c>
      <c r="P15" s="993"/>
      <c r="Q15" s="993">
        <v>2016</v>
      </c>
      <c r="R15" s="993"/>
      <c r="S15" s="993">
        <v>2017</v>
      </c>
      <c r="T15" s="993"/>
      <c r="U15" s="993">
        <v>2018</v>
      </c>
      <c r="V15" s="993"/>
      <c r="W15" s="993" t="s">
        <v>4900</v>
      </c>
      <c r="X15" s="992"/>
      <c r="Y15" s="994"/>
      <c r="Z15" s="994"/>
      <c r="AC15" s="877"/>
    </row>
    <row r="16" spans="2:29" s="872" customFormat="1">
      <c r="B16" s="1073"/>
      <c r="C16" s="1074"/>
      <c r="D16" s="991"/>
      <c r="E16" s="991"/>
      <c r="F16" s="991"/>
      <c r="G16" s="991"/>
      <c r="H16" s="991"/>
      <c r="I16" s="991"/>
      <c r="J16" s="992"/>
      <c r="K16" s="992"/>
      <c r="L16" s="992"/>
      <c r="M16" s="993"/>
      <c r="N16" s="993"/>
      <c r="O16" s="993"/>
      <c r="P16" s="993"/>
      <c r="Q16" s="993"/>
      <c r="R16" s="993"/>
      <c r="S16" s="993"/>
      <c r="T16" s="993"/>
      <c r="U16" s="993"/>
      <c r="V16" s="993"/>
      <c r="W16" s="993"/>
      <c r="X16" s="992"/>
      <c r="Y16" s="994"/>
      <c r="Z16" s="994"/>
      <c r="AC16" s="877"/>
    </row>
    <row r="17" spans="2:29" s="560" customFormat="1">
      <c r="B17" s="1254" t="s">
        <v>5034</v>
      </c>
      <c r="C17" s="1255"/>
      <c r="D17" s="1066"/>
      <c r="E17" s="1066"/>
      <c r="F17" s="1066"/>
      <c r="G17" s="1066"/>
      <c r="H17" s="1066"/>
      <c r="I17" s="1066"/>
      <c r="J17" s="1067"/>
      <c r="K17" s="1067"/>
      <c r="L17" s="1067"/>
      <c r="M17" s="1068">
        <v>1133980164950</v>
      </c>
      <c r="N17" s="1068"/>
      <c r="O17" s="1068">
        <v>1248007531000</v>
      </c>
      <c r="P17" s="1068"/>
      <c r="Q17" s="1068">
        <v>1317992595000</v>
      </c>
      <c r="R17" s="1068"/>
      <c r="S17" s="1068">
        <v>1383602906000</v>
      </c>
      <c r="T17" s="1068"/>
      <c r="U17" s="1068">
        <v>1464813082250</v>
      </c>
      <c r="V17" s="1068"/>
      <c r="W17" s="1068">
        <f>SUM(M17:U17)</f>
        <v>6548396279200</v>
      </c>
      <c r="X17" s="1068"/>
      <c r="Y17" s="559"/>
      <c r="Z17" s="559"/>
      <c r="AC17" s="1069"/>
    </row>
    <row r="18" spans="2:29" s="560" customFormat="1">
      <c r="B18" s="1254" t="s">
        <v>5036</v>
      </c>
      <c r="C18" s="1255"/>
      <c r="D18" s="1066"/>
      <c r="E18" s="1066"/>
      <c r="F18" s="1066"/>
      <c r="G18" s="1066"/>
      <c r="H18" s="1066"/>
      <c r="I18" s="1066"/>
      <c r="J18" s="1067"/>
      <c r="K18" s="1067"/>
      <c r="L18" s="1067"/>
      <c r="M18" s="1068">
        <f>M20+M63</f>
        <v>1233002583300</v>
      </c>
      <c r="N18" s="1068">
        <f>N20+N63</f>
        <v>0</v>
      </c>
      <c r="O18" s="1068">
        <f>O20+O63-999</f>
        <v>1265507530000.25</v>
      </c>
      <c r="P18" s="1068">
        <f>P20+P63</f>
        <v>0</v>
      </c>
      <c r="Q18" s="1068">
        <f>Q20+Q63-18</f>
        <v>1308492595000.1201</v>
      </c>
      <c r="R18" s="1068">
        <f>R20+R63</f>
        <v>0</v>
      </c>
      <c r="S18" s="1068">
        <f>S20+S63</f>
        <v>1374102906000.3201</v>
      </c>
      <c r="T18" s="1068">
        <f>T20+T63</f>
        <v>0</v>
      </c>
      <c r="U18" s="1068">
        <f>U20+U63-1</f>
        <v>1478813082249.8301</v>
      </c>
      <c r="V18" s="1068"/>
      <c r="W18" s="1068">
        <f>SUM(M18:U18)-1</f>
        <v>6659918696549.5205</v>
      </c>
      <c r="X18" s="1068">
        <f>X7</f>
        <v>0</v>
      </c>
      <c r="Y18" s="559"/>
      <c r="Z18" s="559"/>
      <c r="AC18" s="1069"/>
    </row>
    <row r="19" spans="2:29" s="872" customFormat="1">
      <c r="B19" s="1046"/>
      <c r="C19" s="1047"/>
      <c r="D19" s="991"/>
      <c r="E19" s="991"/>
      <c r="F19" s="991"/>
      <c r="G19" s="991"/>
      <c r="H19" s="991"/>
      <c r="I19" s="991"/>
      <c r="J19" s="992"/>
      <c r="K19" s="992"/>
      <c r="L19" s="992"/>
      <c r="M19" s="995"/>
      <c r="N19" s="995"/>
      <c r="O19" s="995"/>
      <c r="P19" s="995"/>
      <c r="Q19" s="995"/>
      <c r="R19" s="995"/>
      <c r="S19" s="995"/>
      <c r="T19" s="995"/>
      <c r="U19" s="995"/>
      <c r="V19" s="995"/>
      <c r="W19" s="995"/>
      <c r="X19" s="995"/>
      <c r="Y19" s="994"/>
      <c r="Z19" s="994"/>
      <c r="AC19" s="877"/>
    </row>
    <row r="20" spans="2:29" s="560" customFormat="1" ht="30">
      <c r="B20" s="1065" t="s">
        <v>4662</v>
      </c>
      <c r="C20" s="1065" t="s">
        <v>4663</v>
      </c>
      <c r="D20" s="1066"/>
      <c r="E20" s="1066"/>
      <c r="F20" s="1066"/>
      <c r="G20" s="1066"/>
      <c r="H20" s="1066"/>
      <c r="I20" s="1066"/>
      <c r="J20" s="1067"/>
      <c r="K20" s="1067"/>
      <c r="L20" s="1067"/>
      <c r="M20" s="1068">
        <f>M12+M22+M24+M26</f>
        <v>761640575446</v>
      </c>
      <c r="N20" s="1068"/>
      <c r="O20" s="1068">
        <f>O12+O22+O24+O26</f>
        <v>837373293000</v>
      </c>
      <c r="P20" s="1068"/>
      <c r="Q20" s="1068">
        <f>Q12+Q22+Q24+Q26</f>
        <v>879418559000</v>
      </c>
      <c r="R20" s="1068"/>
      <c r="S20" s="1068">
        <f>S12+S22+S24+S26</f>
        <v>928668209000</v>
      </c>
      <c r="T20" s="1068"/>
      <c r="U20" s="1068">
        <f>U12+U22+U24+U26</f>
        <v>1001309326250</v>
      </c>
      <c r="V20" s="1068">
        <f>V12</f>
        <v>0</v>
      </c>
      <c r="W20" s="1068">
        <f>SUM(M20:U20)-1</f>
        <v>4408409962695</v>
      </c>
      <c r="X20" s="1068">
        <f>X12</f>
        <v>0</v>
      </c>
      <c r="Y20" s="559"/>
      <c r="Z20" s="559"/>
      <c r="AC20" s="1069">
        <f>AC11+AC13</f>
        <v>-0.52008056640625</v>
      </c>
    </row>
    <row r="21" spans="2:29" s="566" customFormat="1">
      <c r="B21" s="945"/>
      <c r="C21" s="945"/>
      <c r="D21" s="946"/>
      <c r="E21" s="946"/>
      <c r="F21" s="946"/>
      <c r="G21" s="946"/>
      <c r="H21" s="946"/>
      <c r="I21" s="946"/>
      <c r="J21" s="975"/>
      <c r="K21" s="975"/>
      <c r="L21" s="975"/>
      <c r="M21" s="976"/>
      <c r="N21" s="976"/>
      <c r="O21" s="976"/>
      <c r="P21" s="976"/>
      <c r="Q21" s="976"/>
      <c r="R21" s="976"/>
      <c r="S21" s="976"/>
      <c r="T21" s="976"/>
      <c r="U21" s="976"/>
      <c r="V21" s="976"/>
      <c r="W21" s="976"/>
      <c r="X21" s="976"/>
      <c r="Y21" s="983"/>
      <c r="Z21" s="983"/>
      <c r="AC21" s="778"/>
    </row>
    <row r="22" spans="2:29" s="566" customFormat="1">
      <c r="B22" s="931">
        <v>1</v>
      </c>
      <c r="C22" s="1070" t="s">
        <v>5031</v>
      </c>
      <c r="D22" s="946"/>
      <c r="E22" s="946"/>
      <c r="F22" s="946"/>
      <c r="G22" s="946"/>
      <c r="H22" s="946"/>
      <c r="I22" s="946"/>
      <c r="J22" s="975"/>
      <c r="K22" s="975"/>
      <c r="L22" s="975"/>
      <c r="M22" s="1072">
        <v>633897936446</v>
      </c>
      <c r="O22" s="1072">
        <v>695879820000</v>
      </c>
      <c r="Q22" s="1072">
        <v>738493920000</v>
      </c>
      <c r="R22" s="1003"/>
      <c r="S22" s="1072">
        <v>785021570000</v>
      </c>
      <c r="T22" s="1003"/>
      <c r="U22" s="1072">
        <v>836690687250</v>
      </c>
      <c r="V22" s="1003"/>
      <c r="W22" s="976"/>
      <c r="X22" s="976"/>
      <c r="Y22" s="983"/>
      <c r="Z22" s="983"/>
      <c r="AC22" s="778"/>
    </row>
    <row r="23" spans="2:29" s="566" customFormat="1">
      <c r="B23" s="945"/>
      <c r="C23" s="1070"/>
      <c r="D23" s="946"/>
      <c r="E23" s="946"/>
      <c r="F23" s="946"/>
      <c r="G23" s="946"/>
      <c r="H23" s="946"/>
      <c r="I23" s="946"/>
      <c r="J23" s="975"/>
      <c r="K23" s="975"/>
      <c r="L23" s="975"/>
      <c r="M23" s="976"/>
      <c r="N23" s="976"/>
      <c r="O23" s="976"/>
      <c r="P23" s="976"/>
      <c r="Q23" s="976"/>
      <c r="R23" s="976"/>
      <c r="S23" s="976"/>
      <c r="T23" s="976"/>
      <c r="U23" s="976"/>
      <c r="V23" s="976"/>
      <c r="W23" s="976"/>
      <c r="X23" s="976"/>
      <c r="Y23" s="983"/>
      <c r="Z23" s="983"/>
      <c r="AC23" s="778"/>
    </row>
    <row r="24" spans="2:29" s="566" customFormat="1">
      <c r="B24" s="931">
        <v>2</v>
      </c>
      <c r="C24" s="1070" t="s">
        <v>5032</v>
      </c>
      <c r="D24" s="946"/>
      <c r="E24" s="946"/>
      <c r="F24" s="946"/>
      <c r="G24" s="946"/>
      <c r="H24" s="946"/>
      <c r="I24" s="946"/>
      <c r="J24" s="975"/>
      <c r="K24" s="975"/>
      <c r="L24" s="975"/>
      <c r="M24" s="1063">
        <v>4504000000</v>
      </c>
      <c r="N24" s="1071"/>
      <c r="O24" s="1063">
        <v>4700000000</v>
      </c>
      <c r="P24" s="1071"/>
      <c r="Q24" s="1063">
        <v>4900000000</v>
      </c>
      <c r="R24" s="976"/>
      <c r="S24" s="1063">
        <v>5100000000</v>
      </c>
      <c r="T24" s="976"/>
      <c r="U24" s="1063">
        <v>5300000000</v>
      </c>
      <c r="V24" s="976"/>
      <c r="W24" s="976"/>
      <c r="X24" s="976"/>
      <c r="Y24" s="983"/>
      <c r="Z24" s="983"/>
      <c r="AC24" s="778"/>
    </row>
    <row r="25" spans="2:29" s="566" customFormat="1">
      <c r="B25" s="945"/>
      <c r="C25" s="1070"/>
      <c r="D25" s="946"/>
      <c r="E25" s="946"/>
      <c r="F25" s="946"/>
      <c r="G25" s="946"/>
      <c r="H25" s="946"/>
      <c r="I25" s="946"/>
      <c r="J25" s="975"/>
      <c r="K25" s="975"/>
      <c r="L25" s="975"/>
      <c r="M25" s="1063"/>
      <c r="N25" s="1071"/>
      <c r="O25" s="1063"/>
      <c r="P25" s="1071"/>
      <c r="Q25" s="1063"/>
      <c r="R25" s="976"/>
      <c r="S25" s="1063"/>
      <c r="T25" s="976"/>
      <c r="U25" s="1063"/>
      <c r="V25" s="976"/>
      <c r="W25" s="976"/>
      <c r="X25" s="976"/>
      <c r="Y25" s="983"/>
      <c r="Z25" s="983"/>
      <c r="AC25" s="778"/>
    </row>
    <row r="26" spans="2:29" s="566" customFormat="1">
      <c r="B26" s="931">
        <v>3</v>
      </c>
      <c r="C26" s="1070" t="s">
        <v>5033</v>
      </c>
      <c r="D26" s="946"/>
      <c r="E26" s="946"/>
      <c r="F26" s="946"/>
      <c r="G26" s="946"/>
      <c r="H26" s="946"/>
      <c r="I26" s="946"/>
      <c r="J26" s="975"/>
      <c r="K26" s="975"/>
      <c r="L26" s="975"/>
      <c r="M26" s="1063">
        <v>2000000000</v>
      </c>
      <c r="N26" s="1071"/>
      <c r="O26" s="1063">
        <v>5304834000</v>
      </c>
      <c r="P26" s="1071"/>
      <c r="Q26" s="1063">
        <v>4536000000</v>
      </c>
      <c r="R26" s="976"/>
      <c r="S26" s="1063">
        <v>2808000000</v>
      </c>
      <c r="T26" s="976"/>
      <c r="U26" s="1063">
        <v>1080000000</v>
      </c>
      <c r="V26" s="976"/>
      <c r="W26" s="976"/>
      <c r="X26" s="976"/>
      <c r="Y26" s="983"/>
      <c r="Z26" s="983"/>
      <c r="AC26" s="778"/>
    </row>
    <row r="27" spans="2:29" s="566" customFormat="1">
      <c r="B27" s="945"/>
      <c r="C27" s="945"/>
      <c r="D27" s="946"/>
      <c r="E27" s="946"/>
      <c r="F27" s="946"/>
      <c r="G27" s="946"/>
      <c r="H27" s="946"/>
      <c r="I27" s="946"/>
      <c r="J27" s="975"/>
      <c r="K27" s="975"/>
      <c r="L27" s="975"/>
      <c r="M27" s="976"/>
      <c r="N27" s="976"/>
      <c r="O27" s="976"/>
      <c r="P27" s="976"/>
      <c r="Q27" s="976"/>
      <c r="R27" s="976"/>
      <c r="S27" s="976"/>
      <c r="T27" s="976"/>
      <c r="U27" s="976"/>
      <c r="V27" s="976"/>
      <c r="W27" s="976"/>
      <c r="X27" s="976"/>
      <c r="Y27" s="983"/>
      <c r="Z27" s="983"/>
      <c r="AC27" s="778"/>
    </row>
    <row r="28" spans="2:29" s="566" customFormat="1">
      <c r="B28" s="931">
        <v>4</v>
      </c>
      <c r="C28" s="947" t="str">
        <f>BTL!B3</f>
        <v>BELANJA HIBAH</v>
      </c>
      <c r="D28" s="946"/>
      <c r="E28" s="946"/>
      <c r="F28" s="946"/>
      <c r="G28" s="946"/>
      <c r="H28" s="946"/>
      <c r="I28" s="946"/>
      <c r="J28" s="975"/>
      <c r="K28" s="975"/>
      <c r="L28" s="975"/>
      <c r="M28" s="961">
        <f>BTL!D3</f>
        <v>59294840000</v>
      </c>
      <c r="N28" s="961">
        <f>BTL!E3</f>
        <v>0</v>
      </c>
      <c r="O28" s="961">
        <f>BTL!F3</f>
        <v>64879340000</v>
      </c>
      <c r="P28" s="961">
        <f>BTL!G3</f>
        <v>0</v>
      </c>
      <c r="Q28" s="961">
        <f>BTL!H3</f>
        <v>65628590000</v>
      </c>
      <c r="R28" s="961">
        <f>BTL!I3</f>
        <v>0</v>
      </c>
      <c r="S28" s="961">
        <f>BTL!J3</f>
        <v>68457340000</v>
      </c>
      <c r="T28" s="961">
        <f>BTL!K3</f>
        <v>0</v>
      </c>
      <c r="U28" s="961">
        <f>BTL!L3</f>
        <v>90007340000</v>
      </c>
      <c r="V28" s="929"/>
      <c r="W28" s="976"/>
      <c r="X28" s="929"/>
      <c r="Y28" s="853"/>
      <c r="Z28" s="853"/>
      <c r="AA28" s="569"/>
      <c r="AB28" s="569"/>
      <c r="AC28" s="849"/>
    </row>
    <row r="29" spans="2:29" s="848" customFormat="1" ht="30">
      <c r="B29" s="929" t="s">
        <v>4884</v>
      </c>
      <c r="C29" s="197" t="str">
        <f>BTL!B4</f>
        <v>Belanja Hibah Urusan Pendidikan</v>
      </c>
      <c r="D29" s="930"/>
      <c r="E29" s="930"/>
      <c r="F29" s="930"/>
      <c r="G29" s="930"/>
      <c r="H29" s="930"/>
      <c r="I29" s="930"/>
      <c r="J29" s="960"/>
      <c r="K29" s="960"/>
      <c r="L29" s="960"/>
      <c r="M29" s="961">
        <f>BTL!D4</f>
        <v>3030000000</v>
      </c>
      <c r="N29" s="961">
        <f>BTL!E4</f>
        <v>0</v>
      </c>
      <c r="O29" s="961">
        <f>BTL!F4</f>
        <v>4030000000</v>
      </c>
      <c r="P29" s="961">
        <f>BTL!G4</f>
        <v>0</v>
      </c>
      <c r="Q29" s="961">
        <f>BTL!H4</f>
        <v>4030000000</v>
      </c>
      <c r="R29" s="961">
        <f>BTL!I4</f>
        <v>0</v>
      </c>
      <c r="S29" s="961">
        <f>BTL!J4</f>
        <v>4030000000</v>
      </c>
      <c r="T29" s="961">
        <f>BTL!K4</f>
        <v>0</v>
      </c>
      <c r="U29" s="961">
        <f>BTL!L4</f>
        <v>4030000000</v>
      </c>
      <c r="V29" s="929"/>
      <c r="W29" s="976"/>
      <c r="X29" s="929"/>
      <c r="Y29" s="853"/>
      <c r="Z29" s="853"/>
      <c r="AA29" s="569"/>
      <c r="AB29" s="569"/>
      <c r="AC29" s="849"/>
    </row>
    <row r="30" spans="2:29" s="848" customFormat="1" ht="30">
      <c r="B30" s="929" t="s">
        <v>4885</v>
      </c>
      <c r="C30" s="197" t="str">
        <f>BTL!B5</f>
        <v>Belanja Hibah Urusan Kesehatan</v>
      </c>
      <c r="D30" s="930"/>
      <c r="E30" s="930"/>
      <c r="F30" s="930"/>
      <c r="G30" s="930"/>
      <c r="H30" s="930"/>
      <c r="I30" s="930"/>
      <c r="J30" s="960"/>
      <c r="K30" s="960"/>
      <c r="L30" s="960"/>
      <c r="M30" s="961">
        <f>BTL!D5</f>
        <v>600000000</v>
      </c>
      <c r="N30" s="961">
        <f>BTL!E5</f>
        <v>0</v>
      </c>
      <c r="O30" s="961">
        <f>BTL!F5</f>
        <v>600000000</v>
      </c>
      <c r="P30" s="961">
        <f>BTL!G5</f>
        <v>0</v>
      </c>
      <c r="Q30" s="961">
        <f>BTL!H5</f>
        <v>600000000</v>
      </c>
      <c r="R30" s="961">
        <f>BTL!I5</f>
        <v>0</v>
      </c>
      <c r="S30" s="961">
        <f>BTL!J5</f>
        <v>600000000</v>
      </c>
      <c r="T30" s="961">
        <f>BTL!K5</f>
        <v>0</v>
      </c>
      <c r="U30" s="961">
        <f>BTL!L5</f>
        <v>600000000</v>
      </c>
      <c r="V30" s="929"/>
      <c r="W30" s="976"/>
      <c r="X30" s="929"/>
      <c r="Y30" s="853"/>
      <c r="Z30" s="853"/>
      <c r="AA30" s="569"/>
      <c r="AB30" s="569"/>
      <c r="AC30" s="849"/>
    </row>
    <row r="31" spans="2:29" s="848" customFormat="1" ht="30">
      <c r="B31" s="929" t="s">
        <v>4886</v>
      </c>
      <c r="C31" s="197" t="str">
        <f>BTL!B6</f>
        <v>Belanja Hibah Urusan Pekerjaan Umum</v>
      </c>
      <c r="D31" s="930"/>
      <c r="E31" s="930"/>
      <c r="F31" s="930"/>
      <c r="G31" s="930"/>
      <c r="H31" s="930"/>
      <c r="I31" s="930"/>
      <c r="J31" s="960"/>
      <c r="K31" s="960"/>
      <c r="L31" s="960"/>
      <c r="M31" s="961">
        <f>BTL!D6</f>
        <v>32494760000</v>
      </c>
      <c r="N31" s="961">
        <f>BTL!E6</f>
        <v>0</v>
      </c>
      <c r="O31" s="961">
        <f>BTL!F6</f>
        <v>35656260000</v>
      </c>
      <c r="P31" s="961">
        <f>BTL!G6</f>
        <v>0</v>
      </c>
      <c r="Q31" s="961">
        <f>BTL!H6</f>
        <v>35656260000</v>
      </c>
      <c r="R31" s="961">
        <f>BTL!I6</f>
        <v>0</v>
      </c>
      <c r="S31" s="961">
        <f>BTL!J6</f>
        <v>36656260000</v>
      </c>
      <c r="T31" s="961">
        <f>BTL!K6</f>
        <v>0</v>
      </c>
      <c r="U31" s="961">
        <f>BTL!L6</f>
        <v>37656260000</v>
      </c>
      <c r="V31" s="929"/>
      <c r="W31" s="976"/>
      <c r="X31" s="929"/>
      <c r="Y31" s="853"/>
      <c r="Z31" s="853"/>
      <c r="AA31" s="569"/>
      <c r="AB31" s="569"/>
      <c r="AC31" s="849"/>
    </row>
    <row r="32" spans="2:29" s="848" customFormat="1" ht="45">
      <c r="B32" s="929" t="s">
        <v>4887</v>
      </c>
      <c r="C32" s="197" t="str">
        <f>BTL!B7</f>
        <v>Belanja Hibah Urusan Pemberdayaan Perempuan dan Perlindungan Anak</v>
      </c>
      <c r="D32" s="930"/>
      <c r="E32" s="930"/>
      <c r="F32" s="930"/>
      <c r="G32" s="930"/>
      <c r="H32" s="930"/>
      <c r="I32" s="930"/>
      <c r="J32" s="960"/>
      <c r="K32" s="960"/>
      <c r="L32" s="960"/>
      <c r="M32" s="961">
        <f>BTL!D7</f>
        <v>475000000</v>
      </c>
      <c r="N32" s="961">
        <f>BTL!E7</f>
        <v>0</v>
      </c>
      <c r="O32" s="961">
        <f>BTL!F7</f>
        <v>475000000</v>
      </c>
      <c r="P32" s="961">
        <f>BTL!G7</f>
        <v>0</v>
      </c>
      <c r="Q32" s="961">
        <f>BTL!H7</f>
        <v>475000000</v>
      </c>
      <c r="R32" s="961">
        <f>BTL!I7</f>
        <v>0</v>
      </c>
      <c r="S32" s="961">
        <f>BTL!J7</f>
        <v>475000000</v>
      </c>
      <c r="T32" s="961">
        <f>BTL!K7</f>
        <v>0</v>
      </c>
      <c r="U32" s="961">
        <f>BTL!L7</f>
        <v>475000000</v>
      </c>
      <c r="V32" s="929"/>
      <c r="W32" s="976"/>
      <c r="X32" s="929"/>
      <c r="Y32" s="853"/>
      <c r="Z32" s="853"/>
      <c r="AA32" s="569"/>
      <c r="AB32" s="569"/>
      <c r="AC32" s="849"/>
    </row>
    <row r="33" spans="2:29" s="848" customFormat="1" ht="20.25" customHeight="1">
      <c r="B33" s="929" t="s">
        <v>4888</v>
      </c>
      <c r="C33" s="197" t="str">
        <f>BTL!B8</f>
        <v>Belanja Hibah Urusan Sosial</v>
      </c>
      <c r="D33" s="930"/>
      <c r="E33" s="930"/>
      <c r="F33" s="930"/>
      <c r="G33" s="930"/>
      <c r="H33" s="930"/>
      <c r="I33" s="930"/>
      <c r="J33" s="960"/>
      <c r="K33" s="960"/>
      <c r="L33" s="960"/>
      <c r="M33" s="961">
        <f>BTL!D8</f>
        <v>305000000</v>
      </c>
      <c r="N33" s="961">
        <f>BTL!E8</f>
        <v>0</v>
      </c>
      <c r="O33" s="961">
        <f>BTL!F8</f>
        <v>305000000</v>
      </c>
      <c r="P33" s="961">
        <f>BTL!G8</f>
        <v>0</v>
      </c>
      <c r="Q33" s="961">
        <f>BTL!H8</f>
        <v>305000000</v>
      </c>
      <c r="R33" s="961">
        <f>BTL!I8</f>
        <v>0</v>
      </c>
      <c r="S33" s="961">
        <f>BTL!J8</f>
        <v>305000000</v>
      </c>
      <c r="T33" s="961">
        <f>BTL!K8</f>
        <v>0</v>
      </c>
      <c r="U33" s="961">
        <f>BTL!L8</f>
        <v>305000000</v>
      </c>
      <c r="V33" s="929"/>
      <c r="W33" s="976"/>
      <c r="X33" s="929"/>
      <c r="Y33" s="853"/>
      <c r="Z33" s="853"/>
      <c r="AA33" s="569"/>
      <c r="AB33" s="569"/>
      <c r="AC33" s="849"/>
    </row>
    <row r="34" spans="2:29" s="848" customFormat="1" ht="30">
      <c r="B34" s="929" t="s">
        <v>4889</v>
      </c>
      <c r="C34" s="197" t="str">
        <f>BTL!B9</f>
        <v>Belanja Hibah Urusan Ketenagakerjaan</v>
      </c>
      <c r="D34" s="930"/>
      <c r="E34" s="930"/>
      <c r="F34" s="930"/>
      <c r="G34" s="930"/>
      <c r="H34" s="930"/>
      <c r="I34" s="930"/>
      <c r="J34" s="960"/>
      <c r="K34" s="960"/>
      <c r="L34" s="960"/>
      <c r="M34" s="961">
        <f>BTL!D9</f>
        <v>360000000</v>
      </c>
      <c r="N34" s="961">
        <f>BTL!E9</f>
        <v>0</v>
      </c>
      <c r="O34" s="961">
        <f>BTL!F9</f>
        <v>360000000</v>
      </c>
      <c r="P34" s="961">
        <f>BTL!G9</f>
        <v>0</v>
      </c>
      <c r="Q34" s="961">
        <f>BTL!H9</f>
        <v>360000000</v>
      </c>
      <c r="R34" s="961">
        <f>BTL!I9</f>
        <v>0</v>
      </c>
      <c r="S34" s="961">
        <f>BTL!J9</f>
        <v>360000000</v>
      </c>
      <c r="T34" s="961">
        <f>BTL!K9</f>
        <v>0</v>
      </c>
      <c r="U34" s="961">
        <f>BTL!L9</f>
        <v>360000000</v>
      </c>
      <c r="V34" s="929"/>
      <c r="W34" s="976"/>
      <c r="X34" s="929"/>
      <c r="Y34" s="853"/>
      <c r="Z34" s="853"/>
      <c r="AA34" s="569"/>
      <c r="AB34" s="569"/>
      <c r="AC34" s="849"/>
    </row>
    <row r="35" spans="2:29" s="848" customFormat="1" ht="45">
      <c r="B35" s="929" t="s">
        <v>4890</v>
      </c>
      <c r="C35" s="197" t="str">
        <f>BTL!B10</f>
        <v>Belanja Hibah Urusan Koperasi dan Usaha Menengah</v>
      </c>
      <c r="D35" s="930"/>
      <c r="E35" s="930"/>
      <c r="F35" s="930"/>
      <c r="G35" s="930"/>
      <c r="H35" s="930"/>
      <c r="I35" s="930"/>
      <c r="J35" s="960"/>
      <c r="K35" s="960"/>
      <c r="L35" s="960"/>
      <c r="M35" s="961">
        <f>BTL!D10</f>
        <v>45000000</v>
      </c>
      <c r="N35" s="961">
        <f>BTL!E10</f>
        <v>0</v>
      </c>
      <c r="O35" s="961">
        <f>BTL!F10</f>
        <v>100000000</v>
      </c>
      <c r="P35" s="961">
        <f>BTL!G10</f>
        <v>0</v>
      </c>
      <c r="Q35" s="961">
        <f>BTL!H10</f>
        <v>125000000</v>
      </c>
      <c r="R35" s="961">
        <f>BTL!I10</f>
        <v>0</v>
      </c>
      <c r="S35" s="961">
        <f>BTL!J10</f>
        <v>150000000</v>
      </c>
      <c r="T35" s="961">
        <f>BTL!K10</f>
        <v>0</v>
      </c>
      <c r="U35" s="961">
        <f>BTL!L10</f>
        <v>200000000</v>
      </c>
      <c r="V35" s="929"/>
      <c r="W35" s="976"/>
      <c r="X35" s="929"/>
      <c r="Y35" s="853"/>
      <c r="Z35" s="853"/>
      <c r="AA35" s="569"/>
      <c r="AB35" s="569"/>
      <c r="AC35" s="849"/>
    </row>
    <row r="36" spans="2:29" s="848" customFormat="1" ht="30">
      <c r="B36" s="929" t="s">
        <v>4641</v>
      </c>
      <c r="C36" s="197" t="str">
        <f>BTL!B11</f>
        <v>Belanja Hibah Urusan Kebudayaan</v>
      </c>
      <c r="D36" s="930"/>
      <c r="E36" s="930"/>
      <c r="F36" s="930"/>
      <c r="G36" s="930"/>
      <c r="H36" s="930"/>
      <c r="I36" s="930"/>
      <c r="J36" s="960"/>
      <c r="K36" s="960"/>
      <c r="L36" s="960"/>
      <c r="M36" s="961">
        <f>BTL!D11</f>
        <v>350000000</v>
      </c>
      <c r="N36" s="961">
        <f>BTL!E11</f>
        <v>0</v>
      </c>
      <c r="O36" s="961">
        <f>BTL!F11</f>
        <v>1000000000</v>
      </c>
      <c r="P36" s="961">
        <f>BTL!G11</f>
        <v>0</v>
      </c>
      <c r="Q36" s="961">
        <f>BTL!H11</f>
        <v>1250000000</v>
      </c>
      <c r="R36" s="961">
        <f>BTL!I11</f>
        <v>0</v>
      </c>
      <c r="S36" s="961">
        <f>BTL!J11</f>
        <v>1250000000</v>
      </c>
      <c r="T36" s="961">
        <f>BTL!K11</f>
        <v>0</v>
      </c>
      <c r="U36" s="961">
        <f>BTL!L11</f>
        <v>1500000000</v>
      </c>
      <c r="V36" s="929"/>
      <c r="W36" s="976"/>
      <c r="X36" s="929"/>
      <c r="Y36" s="853"/>
      <c r="Z36" s="853"/>
      <c r="AA36" s="569"/>
      <c r="AB36" s="569"/>
      <c r="AC36" s="849"/>
    </row>
    <row r="37" spans="2:29" s="848" customFormat="1" ht="45">
      <c r="B37" s="929" t="s">
        <v>4891</v>
      </c>
      <c r="C37" s="197" t="str">
        <f>BTL!B12</f>
        <v>Belanja Hibah Urusan Kepemudaan dan Olah Raga</v>
      </c>
      <c r="D37" s="930"/>
      <c r="E37" s="930"/>
      <c r="F37" s="930"/>
      <c r="G37" s="930"/>
      <c r="H37" s="930"/>
      <c r="I37" s="930"/>
      <c r="J37" s="960"/>
      <c r="K37" s="960"/>
      <c r="L37" s="960"/>
      <c r="M37" s="961">
        <f>BTL!D12</f>
        <v>4350000000</v>
      </c>
      <c r="N37" s="961">
        <f>BTL!E12</f>
        <v>0</v>
      </c>
      <c r="O37" s="961">
        <f>BTL!F12</f>
        <v>4350000000</v>
      </c>
      <c r="P37" s="961">
        <f>BTL!G12</f>
        <v>0</v>
      </c>
      <c r="Q37" s="961">
        <f>BTL!H12</f>
        <v>4350000000</v>
      </c>
      <c r="R37" s="961">
        <f>BTL!I12</f>
        <v>0</v>
      </c>
      <c r="S37" s="961">
        <f>BTL!J12</f>
        <v>4350000000</v>
      </c>
      <c r="T37" s="961">
        <f>BTL!K12</f>
        <v>0</v>
      </c>
      <c r="U37" s="961">
        <f>BTL!L12</f>
        <v>4350000000</v>
      </c>
      <c r="V37" s="929"/>
      <c r="W37" s="976"/>
      <c r="X37" s="929"/>
      <c r="Y37" s="853"/>
      <c r="Z37" s="853"/>
      <c r="AA37" s="569"/>
      <c r="AB37" s="569"/>
      <c r="AC37" s="849"/>
    </row>
    <row r="38" spans="2:29" s="848" customFormat="1" ht="45">
      <c r="B38" s="929" t="s">
        <v>4892</v>
      </c>
      <c r="C38" s="197" t="str">
        <f>BTL!B13</f>
        <v>Belanja Hibah Urusan Kesatuan Bangsa dan Politik Dalam Negeri</v>
      </c>
      <c r="D38" s="930"/>
      <c r="E38" s="930"/>
      <c r="F38" s="930"/>
      <c r="G38" s="930"/>
      <c r="H38" s="930"/>
      <c r="I38" s="930"/>
      <c r="J38" s="960"/>
      <c r="K38" s="960"/>
      <c r="L38" s="960"/>
      <c r="M38" s="961">
        <f>BTL!D13</f>
        <v>1375000000</v>
      </c>
      <c r="N38" s="961">
        <f>BTL!E13</f>
        <v>0</v>
      </c>
      <c r="O38" s="961">
        <f>BTL!F13</f>
        <v>25000000</v>
      </c>
      <c r="P38" s="961">
        <f>BTL!G13</f>
        <v>0</v>
      </c>
      <c r="Q38" s="961">
        <f>BTL!H13</f>
        <v>25000000</v>
      </c>
      <c r="R38" s="961">
        <f>BTL!I13</f>
        <v>0</v>
      </c>
      <c r="S38" s="961">
        <f>BTL!J13</f>
        <v>25000000</v>
      </c>
      <c r="T38" s="961">
        <f>BTL!K13</f>
        <v>0</v>
      </c>
      <c r="U38" s="961">
        <f>BTL!L13</f>
        <v>1275000000</v>
      </c>
      <c r="V38" s="929"/>
      <c r="W38" s="976"/>
      <c r="X38" s="929"/>
      <c r="Y38" s="853"/>
      <c r="Z38" s="853"/>
      <c r="AA38" s="569"/>
      <c r="AB38" s="569"/>
      <c r="AC38" s="849"/>
    </row>
    <row r="39" spans="2:29" s="848" customFormat="1" ht="105">
      <c r="B39" s="929" t="s">
        <v>4893</v>
      </c>
      <c r="C39" s="197" t="str">
        <f>BTL!B14</f>
        <v>Belanja Hibah Urusan Otonomi Daerah, Pemerintahan Umum, Adminstrasi Keuangan Daerah, Perangkat Daerah, Kepegawaian, dan Persandan</v>
      </c>
      <c r="D39" s="930"/>
      <c r="E39" s="930"/>
      <c r="F39" s="930"/>
      <c r="G39" s="930"/>
      <c r="H39" s="930"/>
      <c r="I39" s="930"/>
      <c r="J39" s="960"/>
      <c r="K39" s="960"/>
      <c r="L39" s="960"/>
      <c r="M39" s="961">
        <f>BTL!D14</f>
        <v>8286000000</v>
      </c>
      <c r="N39" s="961">
        <f>BTL!E14</f>
        <v>0</v>
      </c>
      <c r="O39" s="961">
        <f>BTL!F14</f>
        <v>9960000000</v>
      </c>
      <c r="P39" s="961">
        <f>BTL!G14</f>
        <v>0</v>
      </c>
      <c r="Q39" s="961">
        <f>BTL!H14</f>
        <v>9960000000</v>
      </c>
      <c r="R39" s="961">
        <f>BTL!I14</f>
        <v>0</v>
      </c>
      <c r="S39" s="961">
        <f>BTL!J14</f>
        <v>11460000000</v>
      </c>
      <c r="T39" s="961">
        <f>BTL!K14</f>
        <v>0</v>
      </c>
      <c r="U39" s="961">
        <f>BTL!L14</f>
        <v>29960000000</v>
      </c>
      <c r="V39" s="929"/>
      <c r="W39" s="976"/>
      <c r="X39" s="929"/>
      <c r="Y39" s="853"/>
      <c r="Z39" s="853"/>
      <c r="AA39" s="569"/>
      <c r="AB39" s="569"/>
      <c r="AC39" s="849"/>
    </row>
    <row r="40" spans="2:29" s="848" customFormat="1" ht="45">
      <c r="B40" s="929" t="s">
        <v>4894</v>
      </c>
      <c r="C40" s="197" t="str">
        <f>BTL!B15</f>
        <v>Belanja Hibah Urusan Pemberdayaan Masyarakat dan Desa</v>
      </c>
      <c r="D40" s="930"/>
      <c r="E40" s="930"/>
      <c r="F40" s="930"/>
      <c r="G40" s="930"/>
      <c r="H40" s="930"/>
      <c r="I40" s="930"/>
      <c r="J40" s="960"/>
      <c r="K40" s="960"/>
      <c r="L40" s="960"/>
      <c r="M40" s="961">
        <f>BTL!D15</f>
        <v>1096000000</v>
      </c>
      <c r="N40" s="961">
        <f>BTL!E15</f>
        <v>0</v>
      </c>
      <c r="O40" s="961">
        <f>BTL!F15</f>
        <v>1096000000</v>
      </c>
      <c r="P40" s="961">
        <f>BTL!G15</f>
        <v>0</v>
      </c>
      <c r="Q40" s="961">
        <f>BTL!H15</f>
        <v>1096000000</v>
      </c>
      <c r="R40" s="961">
        <f>BTL!I15</f>
        <v>0</v>
      </c>
      <c r="S40" s="961">
        <f>BTL!J15</f>
        <v>1096000000</v>
      </c>
      <c r="T40" s="961">
        <f>BTL!K15</f>
        <v>0</v>
      </c>
      <c r="U40" s="961">
        <f>BTL!L15</f>
        <v>1096000000</v>
      </c>
      <c r="V40" s="929"/>
      <c r="W40" s="976"/>
      <c r="X40" s="929"/>
      <c r="Y40" s="853"/>
      <c r="Z40" s="853"/>
      <c r="AA40" s="569"/>
      <c r="AB40" s="569"/>
      <c r="AC40" s="569"/>
    </row>
    <row r="41" spans="2:29" s="848" customFormat="1" ht="30">
      <c r="B41" s="929" t="s">
        <v>4895</v>
      </c>
      <c r="C41" s="197" t="str">
        <f>BTL!B16</f>
        <v>Belanja Hibah Urusan Pertanian</v>
      </c>
      <c r="D41" s="930"/>
      <c r="E41" s="930"/>
      <c r="F41" s="930"/>
      <c r="G41" s="930"/>
      <c r="H41" s="930"/>
      <c r="I41" s="930"/>
      <c r="J41" s="960"/>
      <c r="K41" s="960"/>
      <c r="L41" s="960"/>
      <c r="M41" s="961">
        <f>BTL!D16</f>
        <v>6288080000</v>
      </c>
      <c r="N41" s="961">
        <f>BTL!E16</f>
        <v>0</v>
      </c>
      <c r="O41" s="961">
        <f>BTL!F16</f>
        <v>6457080000</v>
      </c>
      <c r="P41" s="961">
        <f>BTL!G16</f>
        <v>0</v>
      </c>
      <c r="Q41" s="961">
        <f>BTL!H16</f>
        <v>6903330000</v>
      </c>
      <c r="R41" s="961">
        <f>BTL!I16</f>
        <v>0</v>
      </c>
      <c r="S41" s="961">
        <f>BTL!J16</f>
        <v>7207080000</v>
      </c>
      <c r="T41" s="961">
        <f>BTL!K16</f>
        <v>0</v>
      </c>
      <c r="U41" s="961">
        <f>BTL!L16</f>
        <v>7707080000</v>
      </c>
      <c r="V41" s="929"/>
      <c r="W41" s="976"/>
      <c r="X41" s="929"/>
      <c r="Y41" s="853"/>
      <c r="Z41" s="853"/>
      <c r="AA41" s="569"/>
      <c r="AB41" s="569"/>
      <c r="AC41" s="569"/>
    </row>
    <row r="42" spans="2:29" s="848" customFormat="1" ht="30">
      <c r="B42" s="929" t="s">
        <v>4896</v>
      </c>
      <c r="C42" s="197" t="str">
        <f>BTL!B17</f>
        <v>Belanja Hibah Urusan Perdagangan</v>
      </c>
      <c r="D42" s="930"/>
      <c r="E42" s="930"/>
      <c r="F42" s="930"/>
      <c r="G42" s="930"/>
      <c r="H42" s="930"/>
      <c r="I42" s="930"/>
      <c r="J42" s="960"/>
      <c r="K42" s="960"/>
      <c r="L42" s="960"/>
      <c r="M42" s="961">
        <f>BTL!D17</f>
        <v>130000000</v>
      </c>
      <c r="N42" s="961">
        <f>BTL!E17</f>
        <v>0</v>
      </c>
      <c r="O42" s="961">
        <f>BTL!F17</f>
        <v>130000000</v>
      </c>
      <c r="P42" s="961">
        <f>BTL!G17</f>
        <v>0</v>
      </c>
      <c r="Q42" s="961">
        <f>BTL!H17</f>
        <v>130000000</v>
      </c>
      <c r="R42" s="961">
        <f>BTL!I17</f>
        <v>0</v>
      </c>
      <c r="S42" s="961">
        <f>BTL!J17</f>
        <v>130000000</v>
      </c>
      <c r="T42" s="961">
        <f>BTL!K17</f>
        <v>0</v>
      </c>
      <c r="U42" s="961">
        <f>BTL!L17</f>
        <v>130000000</v>
      </c>
      <c r="V42" s="929"/>
      <c r="W42" s="976"/>
      <c r="X42" s="929"/>
      <c r="Y42" s="853"/>
      <c r="Z42" s="853"/>
      <c r="AA42" s="569"/>
      <c r="AB42" s="569"/>
      <c r="AC42" s="569"/>
    </row>
    <row r="43" spans="2:29" s="848" customFormat="1" ht="30">
      <c r="B43" s="929" t="s">
        <v>4897</v>
      </c>
      <c r="C43" s="197" t="str">
        <f>BTL!B18</f>
        <v>Belanja Hibah Urusan Perindustrian</v>
      </c>
      <c r="D43" s="930"/>
      <c r="E43" s="930"/>
      <c r="F43" s="930"/>
      <c r="G43" s="930"/>
      <c r="H43" s="930"/>
      <c r="I43" s="930"/>
      <c r="J43" s="960"/>
      <c r="K43" s="960"/>
      <c r="L43" s="960"/>
      <c r="M43" s="961">
        <f>BTL!D18</f>
        <v>47000000</v>
      </c>
      <c r="N43" s="961">
        <f>BTL!E18</f>
        <v>0</v>
      </c>
      <c r="O43" s="961">
        <f>BTL!F18</f>
        <v>272000000</v>
      </c>
      <c r="P43" s="961">
        <f>BTL!G18</f>
        <v>0</v>
      </c>
      <c r="Q43" s="961">
        <f>BTL!H18</f>
        <v>300000000</v>
      </c>
      <c r="R43" s="961">
        <f>BTL!I18</f>
        <v>0</v>
      </c>
      <c r="S43" s="961">
        <f>BTL!J18</f>
        <v>300000000</v>
      </c>
      <c r="T43" s="961">
        <f>BTL!K18</f>
        <v>0</v>
      </c>
      <c r="U43" s="961">
        <f>BTL!L18</f>
        <v>300000000</v>
      </c>
      <c r="V43" s="929"/>
      <c r="W43" s="976"/>
      <c r="X43" s="929"/>
      <c r="Y43" s="853"/>
      <c r="Z43" s="853"/>
      <c r="AA43" s="569"/>
      <c r="AB43" s="569"/>
      <c r="AC43" s="569"/>
    </row>
    <row r="44" spans="2:29" s="848" customFormat="1" ht="30">
      <c r="B44" s="929" t="s">
        <v>4898</v>
      </c>
      <c r="C44" s="197" t="str">
        <f>BTL!B19</f>
        <v>Belanja Hibah Urusan Ketahanan Pangan</v>
      </c>
      <c r="D44" s="930"/>
      <c r="E44" s="930"/>
      <c r="F44" s="930"/>
      <c r="G44" s="930"/>
      <c r="H44" s="930"/>
      <c r="I44" s="930"/>
      <c r="J44" s="960"/>
      <c r="K44" s="960"/>
      <c r="L44" s="960"/>
      <c r="M44" s="961">
        <f>BTL!D19</f>
        <v>63000000</v>
      </c>
      <c r="N44" s="961">
        <f>BTL!E19</f>
        <v>0</v>
      </c>
      <c r="O44" s="961">
        <f>BTL!F19</f>
        <v>63000000</v>
      </c>
      <c r="P44" s="961">
        <f>BTL!G19</f>
        <v>0</v>
      </c>
      <c r="Q44" s="961">
        <f>BTL!H19</f>
        <v>63000000</v>
      </c>
      <c r="R44" s="961">
        <f>BTL!I19</f>
        <v>0</v>
      </c>
      <c r="S44" s="961">
        <f>BTL!J19</f>
        <v>63000000</v>
      </c>
      <c r="T44" s="961">
        <f>BTL!K19</f>
        <v>0</v>
      </c>
      <c r="U44" s="961">
        <f>BTL!L19</f>
        <v>63000000</v>
      </c>
      <c r="V44" s="929"/>
      <c r="W44" s="961"/>
      <c r="X44" s="929"/>
      <c r="Y44" s="853"/>
      <c r="Z44" s="853"/>
      <c r="AA44" s="569"/>
      <c r="AB44" s="569"/>
      <c r="AC44" s="569"/>
    </row>
    <row r="45" spans="2:29" s="848" customFormat="1">
      <c r="B45" s="931"/>
      <c r="C45" s="889"/>
      <c r="D45" s="930"/>
      <c r="E45" s="930"/>
      <c r="F45" s="930"/>
      <c r="G45" s="930"/>
      <c r="H45" s="930"/>
      <c r="I45" s="930"/>
      <c r="J45" s="960"/>
      <c r="K45" s="960"/>
      <c r="L45" s="960"/>
      <c r="M45" s="961"/>
      <c r="N45" s="961"/>
      <c r="O45" s="961"/>
      <c r="P45" s="961"/>
      <c r="Q45" s="961"/>
      <c r="R45" s="961"/>
      <c r="S45" s="961"/>
      <c r="T45" s="961"/>
      <c r="U45" s="961"/>
      <c r="V45" s="929"/>
      <c r="W45" s="961"/>
      <c r="X45" s="929"/>
      <c r="Y45" s="853"/>
      <c r="Z45" s="853"/>
      <c r="AA45" s="569"/>
      <c r="AB45" s="569"/>
      <c r="AC45" s="569"/>
    </row>
    <row r="46" spans="2:29" s="848" customFormat="1">
      <c r="B46" s="931">
        <v>5</v>
      </c>
      <c r="C46" s="947" t="str">
        <f>BTL!B22</f>
        <v>BELANJA BANTUAN SOSIAL</v>
      </c>
      <c r="D46" s="930"/>
      <c r="E46" s="930"/>
      <c r="F46" s="930"/>
      <c r="G46" s="930"/>
      <c r="H46" s="930"/>
      <c r="I46" s="930"/>
      <c r="J46" s="960"/>
      <c r="K46" s="960"/>
      <c r="L46" s="960"/>
      <c r="M46" s="961">
        <f>BTL!D22</f>
        <v>19838680000</v>
      </c>
      <c r="N46" s="961">
        <f>BTL!E22</f>
        <v>0</v>
      </c>
      <c r="O46" s="961">
        <f>BTL!F22</f>
        <v>25729180000</v>
      </c>
      <c r="P46" s="961">
        <f>BTL!G22</f>
        <v>0</v>
      </c>
      <c r="Q46" s="961">
        <f>BTL!H22</f>
        <v>25729180000</v>
      </c>
      <c r="R46" s="961">
        <f>BTL!I22</f>
        <v>0</v>
      </c>
      <c r="S46" s="961">
        <f>BTL!J22</f>
        <v>25901180000</v>
      </c>
      <c r="T46" s="961">
        <f>BTL!K22</f>
        <v>0</v>
      </c>
      <c r="U46" s="961">
        <f>BTL!L22</f>
        <v>26351180000</v>
      </c>
      <c r="V46" s="929"/>
      <c r="W46" s="961"/>
      <c r="X46" s="929"/>
      <c r="Y46" s="853"/>
      <c r="Z46" s="853"/>
      <c r="AA46" s="569"/>
      <c r="AB46" s="569"/>
      <c r="AC46" s="569"/>
    </row>
    <row r="47" spans="2:29" s="848" customFormat="1" ht="30">
      <c r="B47" s="929" t="s">
        <v>4884</v>
      </c>
      <c r="C47" s="197" t="str">
        <f>BTL!B23</f>
        <v>Belanja Bantuan Sosial Bencana</v>
      </c>
      <c r="D47" s="930"/>
      <c r="E47" s="930"/>
      <c r="F47" s="930"/>
      <c r="G47" s="930"/>
      <c r="H47" s="930"/>
      <c r="I47" s="930"/>
      <c r="J47" s="960"/>
      <c r="K47" s="960"/>
      <c r="L47" s="960"/>
      <c r="M47" s="961">
        <f>BTL!D23</f>
        <v>750000000</v>
      </c>
      <c r="N47" s="961">
        <f>BTL!E23</f>
        <v>0</v>
      </c>
      <c r="O47" s="961">
        <f>BTL!F23</f>
        <v>750000000</v>
      </c>
      <c r="P47" s="961">
        <f>BTL!G23</f>
        <v>0</v>
      </c>
      <c r="Q47" s="961">
        <f>BTL!H23</f>
        <v>750000000</v>
      </c>
      <c r="R47" s="961">
        <f>BTL!I23</f>
        <v>0</v>
      </c>
      <c r="S47" s="961">
        <f>BTL!J23</f>
        <v>1000000000</v>
      </c>
      <c r="T47" s="961">
        <f>BTL!K23</f>
        <v>0</v>
      </c>
      <c r="U47" s="961">
        <f>BTL!L23</f>
        <v>1500000000</v>
      </c>
      <c r="V47" s="929"/>
      <c r="W47" s="961"/>
      <c r="X47" s="929"/>
      <c r="Y47" s="853"/>
      <c r="Z47" s="853"/>
      <c r="AA47" s="569"/>
      <c r="AB47" s="569"/>
      <c r="AC47" s="569"/>
    </row>
    <row r="48" spans="2:29" s="848" customFormat="1" ht="30">
      <c r="B48" s="929" t="s">
        <v>4885</v>
      </c>
      <c r="C48" s="197" t="str">
        <f>BTL!B24</f>
        <v>Belanja Bantuan Pemberdayaan Perempuan</v>
      </c>
      <c r="D48" s="930"/>
      <c r="E48" s="930"/>
      <c r="F48" s="930"/>
      <c r="G48" s="930"/>
      <c r="H48" s="930"/>
      <c r="I48" s="930"/>
      <c r="J48" s="960"/>
      <c r="K48" s="960"/>
      <c r="L48" s="960"/>
      <c r="M48" s="961">
        <f>BTL!D24</f>
        <v>25000000</v>
      </c>
      <c r="N48" s="961">
        <f>BTL!E24</f>
        <v>0</v>
      </c>
      <c r="O48" s="961">
        <f>BTL!F24</f>
        <v>25000000</v>
      </c>
      <c r="P48" s="961">
        <f>BTL!G24</f>
        <v>0</v>
      </c>
      <c r="Q48" s="961">
        <f>BTL!H24</f>
        <v>25000000</v>
      </c>
      <c r="R48" s="961">
        <f>BTL!I24</f>
        <v>0</v>
      </c>
      <c r="S48" s="961">
        <f>BTL!J24</f>
        <v>25000000</v>
      </c>
      <c r="T48" s="961">
        <f>BTL!K24</f>
        <v>0</v>
      </c>
      <c r="U48" s="961">
        <f>BTL!L24</f>
        <v>25000000</v>
      </c>
      <c r="V48" s="929"/>
      <c r="W48" s="961"/>
      <c r="X48" s="929"/>
      <c r="Y48" s="853"/>
      <c r="Z48" s="853"/>
      <c r="AA48" s="569"/>
      <c r="AB48" s="569"/>
      <c r="AC48" s="569"/>
    </row>
    <row r="49" spans="2:29" s="848" customFormat="1" ht="30">
      <c r="B49" s="929" t="s">
        <v>4886</v>
      </c>
      <c r="C49" s="197" t="str">
        <f>BTL!B25</f>
        <v>Belanja Sosial Urusan Kesehatan</v>
      </c>
      <c r="D49" s="930"/>
      <c r="E49" s="930"/>
      <c r="F49" s="930"/>
      <c r="G49" s="930"/>
      <c r="H49" s="930"/>
      <c r="I49" s="930"/>
      <c r="J49" s="960"/>
      <c r="K49" s="960"/>
      <c r="L49" s="960"/>
      <c r="M49" s="961">
        <f>BTL!D25</f>
        <v>5248300000</v>
      </c>
      <c r="N49" s="961">
        <f>BTL!E25</f>
        <v>0</v>
      </c>
      <c r="O49" s="961">
        <f>BTL!F25</f>
        <v>8000000000</v>
      </c>
      <c r="P49" s="961">
        <f>BTL!G25</f>
        <v>0</v>
      </c>
      <c r="Q49" s="961">
        <f>BTL!H25</f>
        <v>8000000000</v>
      </c>
      <c r="R49" s="961">
        <f>BTL!I25</f>
        <v>0</v>
      </c>
      <c r="S49" s="961">
        <f>BTL!J25</f>
        <v>8000000000</v>
      </c>
      <c r="T49" s="961">
        <f>BTL!K25</f>
        <v>0</v>
      </c>
      <c r="U49" s="961">
        <f>BTL!L25</f>
        <v>8000000000</v>
      </c>
      <c r="V49" s="929"/>
      <c r="W49" s="961"/>
      <c r="X49" s="929"/>
      <c r="Y49" s="853"/>
      <c r="Z49" s="853"/>
      <c r="AA49" s="569"/>
      <c r="AB49" s="569"/>
      <c r="AC49" s="569"/>
    </row>
    <row r="50" spans="2:29" s="848" customFormat="1" ht="30">
      <c r="B50" s="929" t="s">
        <v>4887</v>
      </c>
      <c r="C50" s="197" t="str">
        <f>BTL!B26</f>
        <v>Belanja Sosial Urusan Pekerjaan Umum</v>
      </c>
      <c r="D50" s="930"/>
      <c r="E50" s="930"/>
      <c r="F50" s="930"/>
      <c r="G50" s="930"/>
      <c r="H50" s="930"/>
      <c r="I50" s="930"/>
      <c r="J50" s="960"/>
      <c r="K50" s="960"/>
      <c r="L50" s="960"/>
      <c r="M50" s="961">
        <f>BTL!D26</f>
        <v>216250000</v>
      </c>
      <c r="N50" s="961">
        <f>BTL!E26</f>
        <v>0</v>
      </c>
      <c r="O50" s="961">
        <f>BTL!F26</f>
        <v>216250000</v>
      </c>
      <c r="P50" s="961">
        <f>BTL!G26</f>
        <v>0</v>
      </c>
      <c r="Q50" s="961">
        <f>BTL!H26</f>
        <v>216250000</v>
      </c>
      <c r="R50" s="961">
        <f>BTL!I26</f>
        <v>0</v>
      </c>
      <c r="S50" s="961">
        <f>BTL!J26</f>
        <v>216250000</v>
      </c>
      <c r="T50" s="961">
        <f>BTL!K26</f>
        <v>0</v>
      </c>
      <c r="U50" s="961">
        <f>BTL!L26</f>
        <v>216250000</v>
      </c>
      <c r="V50" s="929"/>
      <c r="W50" s="961"/>
      <c r="X50" s="929"/>
      <c r="Y50" s="853"/>
      <c r="Z50" s="853"/>
      <c r="AA50" s="569"/>
      <c r="AB50" s="569"/>
      <c r="AC50" s="569"/>
    </row>
    <row r="51" spans="2:29" s="848" customFormat="1">
      <c r="B51" s="929" t="s">
        <v>4888</v>
      </c>
      <c r="C51" s="197" t="str">
        <f>BTL!B27</f>
        <v>Belanja Sosial Urusan Sosial</v>
      </c>
      <c r="D51" s="930"/>
      <c r="E51" s="930"/>
      <c r="F51" s="930"/>
      <c r="G51" s="930"/>
      <c r="H51" s="930"/>
      <c r="I51" s="930"/>
      <c r="J51" s="960"/>
      <c r="K51" s="960"/>
      <c r="L51" s="960"/>
      <c r="M51" s="961">
        <f>BTL!D27</f>
        <v>4974180000</v>
      </c>
      <c r="N51" s="961">
        <f>BTL!E27</f>
        <v>0</v>
      </c>
      <c r="O51" s="961">
        <f>BTL!F27</f>
        <v>8724180000</v>
      </c>
      <c r="P51" s="961">
        <f>BTL!G27</f>
        <v>0</v>
      </c>
      <c r="Q51" s="961">
        <f>BTL!H27</f>
        <v>8724180000</v>
      </c>
      <c r="R51" s="961">
        <f>BTL!I27</f>
        <v>0</v>
      </c>
      <c r="S51" s="961">
        <f>BTL!J27</f>
        <v>8724180000</v>
      </c>
      <c r="T51" s="961">
        <f>BTL!K27</f>
        <v>0</v>
      </c>
      <c r="U51" s="961">
        <f>BTL!L27</f>
        <v>8724180000</v>
      </c>
      <c r="V51" s="929"/>
      <c r="W51" s="961"/>
      <c r="X51" s="929"/>
      <c r="Y51" s="853"/>
      <c r="Z51" s="853"/>
      <c r="AA51" s="569"/>
      <c r="AB51" s="569"/>
      <c r="AC51" s="569"/>
    </row>
    <row r="52" spans="2:29" s="848" customFormat="1" ht="30">
      <c r="B52" s="929" t="s">
        <v>4889</v>
      </c>
      <c r="C52" s="197" t="str">
        <f>BTL!B28</f>
        <v>Belanja Sosial Urusan Ketenagakerjaan</v>
      </c>
      <c r="D52" s="930"/>
      <c r="E52" s="930"/>
      <c r="F52" s="930"/>
      <c r="G52" s="930"/>
      <c r="H52" s="930"/>
      <c r="I52" s="930"/>
      <c r="J52" s="960"/>
      <c r="K52" s="960"/>
      <c r="L52" s="960"/>
      <c r="M52" s="961">
        <f>BTL!D28</f>
        <v>50000000</v>
      </c>
      <c r="N52" s="961">
        <f>BTL!E28</f>
        <v>0</v>
      </c>
      <c r="O52" s="961">
        <f>BTL!F28</f>
        <v>50000000</v>
      </c>
      <c r="P52" s="961">
        <f>BTL!G28</f>
        <v>0</v>
      </c>
      <c r="Q52" s="961">
        <f>BTL!H28</f>
        <v>50000000</v>
      </c>
      <c r="R52" s="961">
        <f>BTL!I28</f>
        <v>0</v>
      </c>
      <c r="S52" s="961">
        <f>BTL!J28</f>
        <v>50000000</v>
      </c>
      <c r="T52" s="961">
        <f>BTL!K28</f>
        <v>0</v>
      </c>
      <c r="U52" s="961">
        <f>BTL!L28</f>
        <v>50000000</v>
      </c>
      <c r="V52" s="929"/>
      <c r="W52" s="961"/>
      <c r="X52" s="929"/>
      <c r="Y52" s="853"/>
      <c r="Z52" s="853"/>
      <c r="AA52" s="569"/>
      <c r="AB52" s="569"/>
      <c r="AC52" s="569"/>
    </row>
    <row r="53" spans="2:29" s="848" customFormat="1" ht="105">
      <c r="B53" s="929" t="s">
        <v>4890</v>
      </c>
      <c r="C53" s="197" t="str">
        <f>BTL!B29</f>
        <v>Belanja Sosial Urusan Otomomi Daerah, Pemerintahan Umum, Administrasi Keuangan Daerah, Perangkat Daerah, Kepegawaian, dan Persandian</v>
      </c>
      <c r="D53" s="930"/>
      <c r="E53" s="930"/>
      <c r="F53" s="930"/>
      <c r="G53" s="930"/>
      <c r="H53" s="930"/>
      <c r="I53" s="930"/>
      <c r="J53" s="960"/>
      <c r="K53" s="960"/>
      <c r="L53" s="960"/>
      <c r="M53" s="961">
        <f>BTL!D29</f>
        <v>849950000</v>
      </c>
      <c r="N53" s="961">
        <f>BTL!E29</f>
        <v>0</v>
      </c>
      <c r="O53" s="961">
        <f>BTL!F29</f>
        <v>798250000</v>
      </c>
      <c r="P53" s="961">
        <f>BTL!G29</f>
        <v>0</v>
      </c>
      <c r="Q53" s="961">
        <f>BTL!H29</f>
        <v>798250000</v>
      </c>
      <c r="R53" s="961">
        <f>BTL!I29</f>
        <v>0</v>
      </c>
      <c r="S53" s="961">
        <f>BTL!J29</f>
        <v>720250000</v>
      </c>
      <c r="T53" s="961">
        <f>BTL!K29</f>
        <v>0</v>
      </c>
      <c r="U53" s="961">
        <f>BTL!L29</f>
        <v>670250000</v>
      </c>
      <c r="V53" s="929"/>
      <c r="W53" s="961"/>
      <c r="X53" s="929"/>
      <c r="Y53" s="853"/>
      <c r="Z53" s="853"/>
      <c r="AA53" s="569"/>
      <c r="AB53" s="569"/>
      <c r="AC53" s="569"/>
    </row>
    <row r="54" spans="2:29" s="848" customFormat="1" ht="45">
      <c r="B54" s="929" t="s">
        <v>4641</v>
      </c>
      <c r="C54" s="197" t="str">
        <f>BTL!B30</f>
        <v>Belanja Bantuan Sosial Urusan Kemasyarakatan lainnya</v>
      </c>
      <c r="D54" s="930"/>
      <c r="E54" s="930"/>
      <c r="F54" s="930"/>
      <c r="G54" s="930"/>
      <c r="H54" s="930"/>
      <c r="I54" s="930"/>
      <c r="J54" s="960"/>
      <c r="K54" s="960"/>
      <c r="L54" s="960"/>
      <c r="M54" s="961">
        <f>BTL!D30</f>
        <v>7725000000</v>
      </c>
      <c r="N54" s="961">
        <f>BTL!E30</f>
        <v>0</v>
      </c>
      <c r="O54" s="961">
        <f>BTL!F30</f>
        <v>7165500000</v>
      </c>
      <c r="P54" s="961">
        <f>BTL!G30</f>
        <v>0</v>
      </c>
      <c r="Q54" s="961">
        <f>BTL!H30</f>
        <v>7165500000</v>
      </c>
      <c r="R54" s="961">
        <f>BTL!I30</f>
        <v>0</v>
      </c>
      <c r="S54" s="961">
        <f>BTL!J30</f>
        <v>7165500000</v>
      </c>
      <c r="T54" s="961">
        <f>BTL!K30</f>
        <v>0</v>
      </c>
      <c r="U54" s="961">
        <f>BTL!L30</f>
        <v>7165500000</v>
      </c>
      <c r="V54" s="929"/>
      <c r="W54" s="961"/>
      <c r="X54" s="929"/>
      <c r="Y54" s="853"/>
      <c r="Z54" s="853"/>
      <c r="AA54" s="569"/>
      <c r="AB54" s="569"/>
      <c r="AC54" s="569"/>
    </row>
    <row r="55" spans="2:29" s="848" customFormat="1">
      <c r="B55" s="931"/>
      <c r="C55" s="889"/>
      <c r="D55" s="930"/>
      <c r="E55" s="930"/>
      <c r="F55" s="930"/>
      <c r="G55" s="930"/>
      <c r="H55" s="930"/>
      <c r="I55" s="930"/>
      <c r="J55" s="960"/>
      <c r="K55" s="960"/>
      <c r="L55" s="960"/>
      <c r="M55" s="961"/>
      <c r="N55" s="961"/>
      <c r="O55" s="961"/>
      <c r="P55" s="961"/>
      <c r="Q55" s="961"/>
      <c r="R55" s="961"/>
      <c r="S55" s="961"/>
      <c r="T55" s="961"/>
      <c r="U55" s="961"/>
      <c r="V55" s="929"/>
      <c r="W55" s="961"/>
      <c r="X55" s="929"/>
      <c r="Y55" s="853"/>
      <c r="Z55" s="853"/>
      <c r="AA55" s="569"/>
      <c r="AB55" s="569"/>
      <c r="AC55" s="569"/>
    </row>
    <row r="56" spans="2:29" s="848" customFormat="1" ht="30">
      <c r="B56" s="931">
        <v>6</v>
      </c>
      <c r="C56" s="947" t="str">
        <f>BTL!B33</f>
        <v>BELANJA BANTUAN KEUANGAN</v>
      </c>
      <c r="D56" s="930"/>
      <c r="E56" s="930"/>
      <c r="F56" s="930"/>
      <c r="G56" s="930"/>
      <c r="H56" s="930"/>
      <c r="I56" s="930"/>
      <c r="J56" s="960"/>
      <c r="K56" s="960"/>
      <c r="L56" s="960"/>
      <c r="M56" s="961">
        <f>BTL!D33</f>
        <v>41605119000</v>
      </c>
      <c r="N56" s="961">
        <f>BTL!E33</f>
        <v>0</v>
      </c>
      <c r="O56" s="961">
        <f>BTL!F33</f>
        <v>40380119000</v>
      </c>
      <c r="P56" s="961">
        <f>BTL!G33</f>
        <v>0</v>
      </c>
      <c r="Q56" s="961">
        <f>BTL!H33</f>
        <v>40380119000</v>
      </c>
      <c r="R56" s="961">
        <f>BTL!I33</f>
        <v>0</v>
      </c>
      <c r="S56" s="961">
        <f>BTL!J33</f>
        <v>40380119000</v>
      </c>
      <c r="T56" s="961">
        <f>BTL!K33</f>
        <v>0</v>
      </c>
      <c r="U56" s="961">
        <f>BTL!L33</f>
        <v>40380119000</v>
      </c>
      <c r="V56" s="929"/>
      <c r="W56" s="961"/>
      <c r="X56" s="929"/>
      <c r="Y56" s="853"/>
      <c r="Z56" s="853"/>
      <c r="AA56" s="569"/>
      <c r="AB56" s="569"/>
      <c r="AC56" s="569"/>
    </row>
    <row r="57" spans="2:29" s="848" customFormat="1" ht="30">
      <c r="B57" s="932" t="s">
        <v>4884</v>
      </c>
      <c r="C57" s="197" t="str">
        <f>BTL!B34</f>
        <v>Belanja Bantuan Keuangan kepada Pemerintahan Desa</v>
      </c>
      <c r="D57" s="930"/>
      <c r="E57" s="930"/>
      <c r="F57" s="930"/>
      <c r="G57" s="930"/>
      <c r="H57" s="930"/>
      <c r="I57" s="930"/>
      <c r="J57" s="960"/>
      <c r="K57" s="960"/>
      <c r="L57" s="960"/>
      <c r="M57" s="961">
        <f>BTL!D34</f>
        <v>40697512000</v>
      </c>
      <c r="N57" s="961">
        <f>BTL!E34</f>
        <v>0</v>
      </c>
      <c r="O57" s="961">
        <f>BTL!F34</f>
        <v>39472512000</v>
      </c>
      <c r="P57" s="961">
        <f>BTL!G34</f>
        <v>0</v>
      </c>
      <c r="Q57" s="961">
        <f>BTL!H34</f>
        <v>39472512000</v>
      </c>
      <c r="R57" s="961">
        <f>BTL!I34</f>
        <v>0</v>
      </c>
      <c r="S57" s="961">
        <f>BTL!J34</f>
        <v>39472512000</v>
      </c>
      <c r="T57" s="961">
        <f>BTL!K34</f>
        <v>0</v>
      </c>
      <c r="U57" s="961">
        <f>BTL!L34</f>
        <v>39472512000</v>
      </c>
      <c r="V57" s="929"/>
      <c r="W57" s="961"/>
      <c r="X57" s="929"/>
      <c r="Y57" s="853"/>
      <c r="Z57" s="853"/>
      <c r="AA57" s="569"/>
      <c r="AB57" s="569"/>
      <c r="AC57" s="569"/>
    </row>
    <row r="58" spans="2:29" s="848" customFormat="1" ht="30">
      <c r="B58" s="932" t="s">
        <v>4885</v>
      </c>
      <c r="C58" s="197" t="str">
        <f>BTL!B35</f>
        <v>Belanja Bantuan Keuangan Kepada Partai Politik</v>
      </c>
      <c r="D58" s="930"/>
      <c r="E58" s="930"/>
      <c r="F58" s="930"/>
      <c r="G58" s="930"/>
      <c r="H58" s="930"/>
      <c r="I58" s="930"/>
      <c r="J58" s="960"/>
      <c r="K58" s="960"/>
      <c r="L58" s="960"/>
      <c r="M58" s="961">
        <f>BTL!D35</f>
        <v>907607000</v>
      </c>
      <c r="N58" s="961">
        <f>BTL!E35</f>
        <v>0</v>
      </c>
      <c r="O58" s="961">
        <f>BTL!F35</f>
        <v>907607000</v>
      </c>
      <c r="P58" s="961">
        <f>BTL!G35</f>
        <v>0</v>
      </c>
      <c r="Q58" s="961">
        <f>BTL!H35</f>
        <v>907607000</v>
      </c>
      <c r="R58" s="961">
        <f>BTL!I35</f>
        <v>0</v>
      </c>
      <c r="S58" s="961">
        <f>BTL!J35</f>
        <v>907607000</v>
      </c>
      <c r="T58" s="961">
        <f>BTL!K35</f>
        <v>0</v>
      </c>
      <c r="U58" s="961">
        <f>BTL!L35</f>
        <v>907607000</v>
      </c>
      <c r="V58" s="929"/>
      <c r="W58" s="961"/>
      <c r="X58" s="929"/>
      <c r="Y58" s="853"/>
      <c r="Z58" s="853"/>
      <c r="AA58" s="569"/>
      <c r="AB58" s="569"/>
      <c r="AC58" s="569"/>
    </row>
    <row r="59" spans="2:29" s="848" customFormat="1">
      <c r="B59" s="931"/>
      <c r="C59" s="889"/>
      <c r="D59" s="930"/>
      <c r="E59" s="930"/>
      <c r="F59" s="930"/>
      <c r="G59" s="930"/>
      <c r="H59" s="930"/>
      <c r="I59" s="930"/>
      <c r="J59" s="960"/>
      <c r="K59" s="960"/>
      <c r="L59" s="960"/>
      <c r="M59" s="961"/>
      <c r="N59" s="961"/>
      <c r="O59" s="961"/>
      <c r="P59" s="961"/>
      <c r="Q59" s="961"/>
      <c r="R59" s="961"/>
      <c r="S59" s="961"/>
      <c r="T59" s="961"/>
      <c r="U59" s="961"/>
      <c r="V59" s="929"/>
      <c r="W59" s="961"/>
      <c r="X59" s="929"/>
      <c r="Y59" s="853"/>
      <c r="Z59" s="853"/>
      <c r="AA59" s="569"/>
      <c r="AB59" s="569"/>
      <c r="AC59" s="569"/>
    </row>
    <row r="60" spans="2:29" s="848" customFormat="1">
      <c r="B60" s="931">
        <v>7</v>
      </c>
      <c r="C60" s="947" t="str">
        <f>BTL!B37</f>
        <v>BELANJA TIDAK TERDUGA</v>
      </c>
      <c r="D60" s="930"/>
      <c r="E60" s="930"/>
      <c r="F60" s="930"/>
      <c r="G60" s="930"/>
      <c r="H60" s="930"/>
      <c r="I60" s="930"/>
      <c r="J60" s="960"/>
      <c r="K60" s="960"/>
      <c r="L60" s="960"/>
      <c r="M60" s="961">
        <f>BTL!D37</f>
        <v>500000000</v>
      </c>
      <c r="N60" s="961">
        <f>BTL!E37</f>
        <v>0</v>
      </c>
      <c r="O60" s="961">
        <f>BTL!F37</f>
        <v>500000000</v>
      </c>
      <c r="P60" s="961">
        <f>BTL!G37</f>
        <v>0</v>
      </c>
      <c r="Q60" s="961">
        <f>BTL!H37</f>
        <v>500000000</v>
      </c>
      <c r="R60" s="961">
        <f>BTL!I37</f>
        <v>0</v>
      </c>
      <c r="S60" s="961">
        <f>BTL!J37</f>
        <v>1000000000</v>
      </c>
      <c r="T60" s="961">
        <f>BTL!K37</f>
        <v>0</v>
      </c>
      <c r="U60" s="961">
        <f>BTL!L37</f>
        <v>1500000000</v>
      </c>
      <c r="V60" s="929"/>
      <c r="W60" s="961"/>
      <c r="X60" s="929"/>
      <c r="Y60" s="853"/>
      <c r="Z60" s="853"/>
      <c r="AA60" s="569"/>
      <c r="AB60" s="569"/>
      <c r="AC60" s="569"/>
    </row>
    <row r="61" spans="2:29" s="848" customFormat="1">
      <c r="B61" s="932" t="s">
        <v>4884</v>
      </c>
      <c r="C61" s="197" t="str">
        <f>BTL!B38</f>
        <v>Belanja Tidak Terduga</v>
      </c>
      <c r="D61" s="930"/>
      <c r="E61" s="930"/>
      <c r="F61" s="930"/>
      <c r="G61" s="930"/>
      <c r="H61" s="930"/>
      <c r="I61" s="930"/>
      <c r="J61" s="960"/>
      <c r="K61" s="960"/>
      <c r="L61" s="960"/>
      <c r="M61" s="961">
        <f>BTL!D38</f>
        <v>500000000</v>
      </c>
      <c r="N61" s="961">
        <f>BTL!E38</f>
        <v>0</v>
      </c>
      <c r="O61" s="961">
        <f>BTL!F38</f>
        <v>500000000</v>
      </c>
      <c r="P61" s="961">
        <f>BTL!G38</f>
        <v>0</v>
      </c>
      <c r="Q61" s="961">
        <f>BTL!H38</f>
        <v>500000000</v>
      </c>
      <c r="R61" s="961">
        <f>BTL!I38</f>
        <v>0</v>
      </c>
      <c r="S61" s="961">
        <f>BTL!J38</f>
        <v>1000000000</v>
      </c>
      <c r="T61" s="961">
        <f>BTL!K38</f>
        <v>0</v>
      </c>
      <c r="U61" s="961">
        <f>BTL!L38</f>
        <v>1500000000</v>
      </c>
      <c r="V61" s="929"/>
      <c r="W61" s="961"/>
      <c r="X61" s="929"/>
      <c r="Y61" s="853"/>
      <c r="Z61" s="853"/>
      <c r="AA61" s="569"/>
      <c r="AB61" s="569"/>
      <c r="AC61" s="569"/>
    </row>
    <row r="62" spans="2:29" s="848" customFormat="1">
      <c r="B62" s="931"/>
      <c r="C62" s="164"/>
      <c r="D62" s="930"/>
      <c r="E62" s="930"/>
      <c r="F62" s="930"/>
      <c r="G62" s="930"/>
      <c r="H62" s="930"/>
      <c r="I62" s="930"/>
      <c r="J62" s="960"/>
      <c r="K62" s="960"/>
      <c r="L62" s="960"/>
      <c r="M62" s="961"/>
      <c r="N62" s="961"/>
      <c r="O62" s="961"/>
      <c r="P62" s="961"/>
      <c r="Q62" s="961"/>
      <c r="R62" s="961"/>
      <c r="S62" s="961"/>
      <c r="T62" s="961"/>
      <c r="U62" s="961"/>
      <c r="V62" s="961"/>
      <c r="W62" s="929"/>
      <c r="X62" s="929"/>
      <c r="Y62" s="853"/>
      <c r="Z62" s="853"/>
      <c r="AA62" s="569"/>
      <c r="AB62" s="569"/>
      <c r="AC62" s="569"/>
    </row>
    <row r="63" spans="2:29" s="839" customFormat="1">
      <c r="B63" s="933" t="s">
        <v>2026</v>
      </c>
      <c r="C63" s="933" t="s">
        <v>4661</v>
      </c>
      <c r="D63" s="934"/>
      <c r="E63" s="934"/>
      <c r="F63" s="934"/>
      <c r="G63" s="934"/>
      <c r="H63" s="934"/>
      <c r="I63" s="934"/>
      <c r="J63" s="962"/>
      <c r="K63" s="962"/>
      <c r="L63" s="962"/>
      <c r="M63" s="963">
        <f t="shared" ref="M63:W63" si="1">M9+M64</f>
        <v>471362007854</v>
      </c>
      <c r="N63" s="963">
        <f t="shared" si="1"/>
        <v>0</v>
      </c>
      <c r="O63" s="963">
        <f t="shared" si="1"/>
        <v>428134237999.25</v>
      </c>
      <c r="P63" s="963">
        <f t="shared" si="1"/>
        <v>0</v>
      </c>
      <c r="Q63" s="963">
        <f t="shared" si="1"/>
        <v>429074036018.12</v>
      </c>
      <c r="R63" s="963">
        <f t="shared" si="1"/>
        <v>0</v>
      </c>
      <c r="S63" s="963">
        <f t="shared" si="1"/>
        <v>445434697000.32001</v>
      </c>
      <c r="T63" s="963">
        <f t="shared" si="1"/>
        <v>0</v>
      </c>
      <c r="U63" s="963">
        <f t="shared" si="1"/>
        <v>477503756000.83002</v>
      </c>
      <c r="V63" s="963">
        <f t="shared" si="1"/>
        <v>0</v>
      </c>
      <c r="W63" s="963">
        <f t="shared" si="1"/>
        <v>2251508734872.5205</v>
      </c>
      <c r="X63" s="963">
        <f>X9</f>
        <v>0</v>
      </c>
      <c r="Y63" s="866"/>
      <c r="Z63" s="866"/>
      <c r="AA63" s="585"/>
      <c r="AB63" s="585"/>
      <c r="AC63" s="585"/>
    </row>
    <row r="64" spans="2:29" s="839" customFormat="1" ht="30">
      <c r="B64" s="933"/>
      <c r="C64" s="933" t="s">
        <v>5027</v>
      </c>
      <c r="D64" s="934"/>
      <c r="E64" s="934"/>
      <c r="F64" s="934"/>
      <c r="G64" s="934"/>
      <c r="H64" s="934"/>
      <c r="I64" s="934"/>
      <c r="J64" s="962"/>
      <c r="K64" s="962"/>
      <c r="L64" s="962"/>
      <c r="M64" s="963">
        <f>SUM(M65:M67)</f>
        <v>54966654324</v>
      </c>
      <c r="N64" s="963">
        <f t="shared" ref="N64:Q64" si="2">SUM(N65:N67)</f>
        <v>0</v>
      </c>
      <c r="O64" s="963">
        <f t="shared" si="2"/>
        <v>56112457242</v>
      </c>
      <c r="P64" s="963">
        <f t="shared" si="2"/>
        <v>0</v>
      </c>
      <c r="Q64" s="963">
        <f t="shared" si="2"/>
        <v>57208101977</v>
      </c>
      <c r="R64" s="963">
        <f t="shared" ref="R64" si="3">SUM(R65:R67)</f>
        <v>0</v>
      </c>
      <c r="S64" s="963">
        <f t="shared" ref="S64" si="4">SUM(S65:S67)</f>
        <v>58325393526</v>
      </c>
      <c r="T64" s="963">
        <f t="shared" ref="T64:U64" si="5">SUM(T65:T67)</f>
        <v>0</v>
      </c>
      <c r="U64" s="963">
        <f t="shared" si="5"/>
        <v>60186596464</v>
      </c>
      <c r="V64" s="963"/>
      <c r="W64" s="963">
        <f>SUM(M64:U64)</f>
        <v>286799203533</v>
      </c>
      <c r="X64" s="963"/>
      <c r="Y64" s="866"/>
      <c r="Z64" s="866"/>
      <c r="AA64" s="585"/>
      <c r="AB64" s="585"/>
      <c r="AC64" s="585"/>
    </row>
    <row r="65" spans="2:29" s="848" customFormat="1" ht="30">
      <c r="B65" s="1044" t="s">
        <v>4884</v>
      </c>
      <c r="C65" s="1062" t="s">
        <v>5028</v>
      </c>
      <c r="D65" s="930"/>
      <c r="E65" s="930"/>
      <c r="F65" s="930"/>
      <c r="G65" s="930"/>
      <c r="H65" s="930"/>
      <c r="I65" s="930"/>
      <c r="J65" s="1048"/>
      <c r="K65" s="1048"/>
      <c r="L65" s="1048"/>
      <c r="M65" s="1063">
        <v>30012877709</v>
      </c>
      <c r="N65" s="1064"/>
      <c r="O65" s="1063">
        <v>30685946113</v>
      </c>
      <c r="P65" s="1064"/>
      <c r="Q65" s="1063">
        <v>31299665035</v>
      </c>
      <c r="R65" s="961"/>
      <c r="S65" s="1063">
        <v>31925658336</v>
      </c>
      <c r="T65" s="961"/>
      <c r="U65" s="1063">
        <v>32564171503</v>
      </c>
      <c r="V65" s="961"/>
      <c r="W65" s="961">
        <f t="shared" ref="W65:W67" si="6">SUM(M65:U65)</f>
        <v>156488318696</v>
      </c>
      <c r="X65" s="961"/>
      <c r="Y65" s="853"/>
      <c r="Z65" s="853"/>
      <c r="AA65" s="569"/>
      <c r="AB65" s="569"/>
      <c r="AC65" s="569"/>
    </row>
    <row r="66" spans="2:29" s="848" customFormat="1" ht="30">
      <c r="B66" s="1044" t="s">
        <v>4885</v>
      </c>
      <c r="C66" s="1062" t="s">
        <v>5029</v>
      </c>
      <c r="D66" s="930"/>
      <c r="E66" s="930"/>
      <c r="F66" s="930"/>
      <c r="G66" s="930"/>
      <c r="H66" s="930"/>
      <c r="I66" s="930"/>
      <c r="J66" s="1048"/>
      <c r="K66" s="1048"/>
      <c r="L66" s="1048"/>
      <c r="M66" s="1063">
        <v>22319674815</v>
      </c>
      <c r="N66" s="1064"/>
      <c r="O66" s="1063">
        <v>22766068311</v>
      </c>
      <c r="P66" s="1064"/>
      <c r="Q66" s="1063">
        <v>23221389678</v>
      </c>
      <c r="R66" s="961"/>
      <c r="S66" s="1063">
        <v>23685817471</v>
      </c>
      <c r="T66" s="961"/>
      <c r="U66" s="1063">
        <v>24637115470</v>
      </c>
      <c r="V66" s="961"/>
      <c r="W66" s="961">
        <f t="shared" si="6"/>
        <v>116630065745</v>
      </c>
      <c r="X66" s="961"/>
      <c r="Y66" s="853"/>
      <c r="Z66" s="853"/>
      <c r="AA66" s="569"/>
      <c r="AB66" s="569"/>
      <c r="AC66" s="569"/>
    </row>
    <row r="67" spans="2:29" s="848" customFormat="1" ht="30">
      <c r="B67" s="1044" t="s">
        <v>4886</v>
      </c>
      <c r="C67" s="1062" t="s">
        <v>5030</v>
      </c>
      <c r="D67" s="930"/>
      <c r="E67" s="930"/>
      <c r="F67" s="930"/>
      <c r="G67" s="930"/>
      <c r="H67" s="930"/>
      <c r="I67" s="930"/>
      <c r="J67" s="1048"/>
      <c r="K67" s="1048"/>
      <c r="L67" s="1048"/>
      <c r="M67" s="1063">
        <v>2634101800</v>
      </c>
      <c r="N67" s="1064"/>
      <c r="O67" s="1063">
        <v>2660442818</v>
      </c>
      <c r="P67" s="1064"/>
      <c r="Q67" s="1063">
        <v>2687047264</v>
      </c>
      <c r="R67" s="961"/>
      <c r="S67" s="1063">
        <v>2713917719</v>
      </c>
      <c r="T67" s="961"/>
      <c r="U67" s="1063">
        <v>2985309491</v>
      </c>
      <c r="V67" s="961"/>
      <c r="W67" s="961">
        <f t="shared" si="6"/>
        <v>13680819092</v>
      </c>
      <c r="X67" s="961"/>
      <c r="Y67" s="853"/>
      <c r="Z67" s="853"/>
      <c r="AA67" s="569"/>
      <c r="AB67" s="569"/>
      <c r="AC67" s="569"/>
    </row>
    <row r="68" spans="2:29" s="848" customFormat="1">
      <c r="B68" s="931"/>
      <c r="C68" s="931"/>
      <c r="D68" s="930"/>
      <c r="E68" s="930"/>
      <c r="F68" s="930"/>
      <c r="G68" s="930"/>
      <c r="H68" s="930"/>
      <c r="I68" s="930"/>
      <c r="J68" s="1048"/>
      <c r="K68" s="1048"/>
      <c r="L68" s="1048"/>
      <c r="M68" s="961"/>
      <c r="N68" s="961"/>
      <c r="O68" s="961"/>
      <c r="P68" s="961"/>
      <c r="Q68" s="961"/>
      <c r="R68" s="961"/>
      <c r="S68" s="961"/>
      <c r="T68" s="961"/>
      <c r="U68" s="961"/>
      <c r="V68" s="961"/>
      <c r="W68" s="961"/>
      <c r="X68" s="961"/>
      <c r="Y68" s="853"/>
      <c r="Z68" s="853"/>
      <c r="AA68" s="569"/>
      <c r="AB68" s="569"/>
      <c r="AC68" s="569"/>
    </row>
    <row r="69" spans="2:29" s="848" customFormat="1">
      <c r="B69" s="996"/>
      <c r="C69" s="997" t="s">
        <v>1800</v>
      </c>
      <c r="D69" s="998"/>
      <c r="E69" s="998"/>
      <c r="F69" s="998"/>
      <c r="G69" s="998"/>
      <c r="H69" s="998"/>
      <c r="I69" s="998"/>
      <c r="J69" s="999"/>
      <c r="K69" s="999"/>
      <c r="L69" s="999"/>
      <c r="M69" s="997"/>
      <c r="N69" s="997"/>
      <c r="O69" s="997"/>
      <c r="P69" s="997"/>
      <c r="Q69" s="997"/>
      <c r="R69" s="997"/>
      <c r="S69" s="997"/>
      <c r="T69" s="997"/>
      <c r="U69" s="997"/>
      <c r="V69" s="997"/>
      <c r="W69" s="997"/>
      <c r="X69" s="1000"/>
      <c r="Y69" s="853"/>
      <c r="Z69" s="853"/>
      <c r="AA69" s="569"/>
      <c r="AB69" s="569"/>
      <c r="AC69" s="569"/>
    </row>
    <row r="70" spans="2:29" s="566" customFormat="1" ht="90">
      <c r="B70" s="941">
        <v>1</v>
      </c>
      <c r="C70" s="941" t="str">
        <f>'matrik MISI 4'!B8</f>
        <v>PENDIDIKAN</v>
      </c>
      <c r="D70" s="940">
        <f>'matrik MISI 4'!J9</f>
        <v>1.01</v>
      </c>
      <c r="E70" s="940" t="str">
        <f>'matrik MISI 4'!K9</f>
        <v>xx</v>
      </c>
      <c r="F70" s="940">
        <f>'matrik MISI 4'!L9</f>
        <v>15</v>
      </c>
      <c r="G70" s="940" t="str">
        <f>'matrik MISI 4'!M9</f>
        <v>Pendidikan anak usia dini, Wajib belajar pendidikan dasar, Pendidikan menengah , dan Pendidikan nonformal</v>
      </c>
      <c r="H70" s="1001"/>
      <c r="I70" s="1001"/>
      <c r="J70" s="1002"/>
      <c r="K70" s="1002"/>
      <c r="L70" s="1002"/>
      <c r="M70" s="1003">
        <f>'jangan dihapus 2'!K10</f>
        <v>1260000000</v>
      </c>
      <c r="N70" s="1003"/>
      <c r="O70" s="1003">
        <f>'jangan dihapus 2'!M10</f>
        <v>760000000</v>
      </c>
      <c r="P70" s="1003"/>
      <c r="Q70" s="1003">
        <f>'jangan dihapus 2'!O10</f>
        <v>950000000</v>
      </c>
      <c r="R70" s="1003"/>
      <c r="S70" s="1003">
        <f>'jangan dihapus 2'!Q10</f>
        <v>950000000</v>
      </c>
      <c r="T70" s="1003"/>
      <c r="U70" s="1003">
        <f>'jangan dihapus 2'!S10</f>
        <v>900000000</v>
      </c>
      <c r="V70" s="1002"/>
      <c r="W70" s="1004">
        <f>SUM(M70:U70)</f>
        <v>4820000000</v>
      </c>
      <c r="X70" s="1002"/>
      <c r="Y70" s="983"/>
      <c r="Z70" s="983"/>
    </row>
    <row r="71" spans="2:29" s="566" customFormat="1" ht="45">
      <c r="B71" s="938"/>
      <c r="C71" s="938"/>
      <c r="D71" s="938"/>
      <c r="E71" s="938"/>
      <c r="F71" s="938"/>
      <c r="G71" s="938"/>
      <c r="H71" s="164" t="str">
        <f>'matrik MISI 4'!N9</f>
        <v>Tersusun dan terlaksananya kurikulum muatan lokal Budi Pekerti dan Budaya Jawa</v>
      </c>
      <c r="I71" s="164" t="str">
        <f>'matrik MISI 4'!O9</f>
        <v>%</v>
      </c>
      <c r="J71" s="929" t="str">
        <f>'matrik MISI 4'!P9</f>
        <v xml:space="preserve"> - </v>
      </c>
      <c r="K71" s="929" t="str">
        <f>'matrik MISI 4'!Q9</f>
        <v xml:space="preserve"> - </v>
      </c>
      <c r="L71" s="929" t="str">
        <f>'matrik MISI 4'!R9</f>
        <v xml:space="preserve"> - </v>
      </c>
      <c r="M71" s="961"/>
      <c r="N71" s="929">
        <f>'matrik MISI 4'!S9</f>
        <v>32.729999999999997</v>
      </c>
      <c r="O71" s="929"/>
      <c r="P71" s="929">
        <f>'matrik MISI 4'!T9</f>
        <v>61.78</v>
      </c>
      <c r="Q71" s="929"/>
      <c r="R71" s="929">
        <f>'matrik MISI 4'!U9</f>
        <v>86.33</v>
      </c>
      <c r="S71" s="929"/>
      <c r="T71" s="929">
        <f>'matrik MISI 4'!V9</f>
        <v>100</v>
      </c>
      <c r="U71" s="929"/>
      <c r="V71" s="929">
        <f>'matrik MISI 4'!W9</f>
        <v>100</v>
      </c>
      <c r="W71" s="929"/>
      <c r="X71" s="929" t="str">
        <f>'matrik MISI 4'!X9</f>
        <v>Dinas Pendidikan</v>
      </c>
      <c r="Y71" s="565"/>
      <c r="Z71" s="565" t="str">
        <f>'matrik MISI 4'!Z9</f>
        <v>Segera disusun kurikulum muatan lokal Budi Pekerti dan Budaya Jawa di semua jenjang</v>
      </c>
    </row>
    <row r="72" spans="2:29" ht="90">
      <c r="B72" s="940"/>
      <c r="C72" s="941"/>
      <c r="D72" s="940"/>
      <c r="E72" s="940"/>
      <c r="F72" s="940"/>
      <c r="G72" s="940"/>
      <c r="H72" s="164" t="str">
        <f>'matrik MISI 4'!N10</f>
        <v>Persentase siswa yang memiliki Buku Teks atau Buku Penunjang atau Buku Pengayaan yang Memuat Budi Pekerti  atau Tata Krama atau  Nilai Budaya Daerah atau Keteladanan</v>
      </c>
      <c r="I72" s="164" t="str">
        <f>'matrik MISI 4'!O10</f>
        <v>%</v>
      </c>
      <c r="J72" s="929" t="str">
        <f>'matrik MISI 4'!P10</f>
        <v xml:space="preserve"> - </v>
      </c>
      <c r="K72" s="929" t="str">
        <f>'matrik MISI 4'!Q10</f>
        <v xml:space="preserve"> - </v>
      </c>
      <c r="L72" s="929" t="str">
        <f>'matrik MISI 4'!R10</f>
        <v xml:space="preserve"> - </v>
      </c>
      <c r="M72" s="961"/>
      <c r="N72" s="929">
        <f>'matrik MISI 4'!S10</f>
        <v>20</v>
      </c>
      <c r="O72" s="929"/>
      <c r="P72" s="929">
        <f>'matrik MISI 4'!T10</f>
        <v>30</v>
      </c>
      <c r="Q72" s="929"/>
      <c r="R72" s="929">
        <f>'matrik MISI 4'!U10</f>
        <v>40</v>
      </c>
      <c r="S72" s="929"/>
      <c r="T72" s="929">
        <f>'matrik MISI 4'!V10</f>
        <v>50</v>
      </c>
      <c r="U72" s="929"/>
      <c r="V72" s="929">
        <f>'matrik MISI 4'!W10</f>
        <v>50</v>
      </c>
      <c r="W72" s="929"/>
      <c r="X72" s="929" t="str">
        <f>'matrik MISI 4'!X10</f>
        <v>Dinas Pendidikan</v>
      </c>
      <c r="Y72" s="565" t="str">
        <f>'matrik MISI 4'!Y10</f>
        <v>Jumlah siswa yang memiliki Buku Teks atau Buku Penunjang atau Buku Pengayaan yang Memuat Budi Pekerti  atau Tata Krama atau  Nilai Budaya Daerah atau Keteladanan dibagi jumlah seluruh siswa kali 100%</v>
      </c>
      <c r="Z72" s="565">
        <f>'matrik MISI 4'!Z10</f>
        <v>0</v>
      </c>
    </row>
    <row r="73" spans="2:29" ht="30">
      <c r="B73" s="940"/>
      <c r="C73" s="941"/>
      <c r="D73" s="940"/>
      <c r="E73" s="940"/>
      <c r="F73" s="940"/>
      <c r="G73" s="940"/>
      <c r="H73" s="164" t="str">
        <f>'matrik MISI 4'!N14</f>
        <v>Persentase APK Pendidikan Anak Usia Dini (Usia 4-6 Tahun)</v>
      </c>
      <c r="I73" s="164" t="str">
        <f>'matrik MISI 4'!O14</f>
        <v>%</v>
      </c>
      <c r="J73" s="929">
        <f>'matrik MISI 4'!P14</f>
        <v>62.54</v>
      </c>
      <c r="K73" s="929">
        <f>'matrik MISI 4'!Q14</f>
        <v>66.13</v>
      </c>
      <c r="L73" s="929">
        <f>'matrik MISI 4'!R14</f>
        <v>67.13</v>
      </c>
      <c r="M73" s="961"/>
      <c r="N73" s="929">
        <f>'matrik MISI 4'!S14</f>
        <v>67.63</v>
      </c>
      <c r="O73" s="929"/>
      <c r="P73" s="929">
        <f>'matrik MISI 4'!T14</f>
        <v>68.13</v>
      </c>
      <c r="Q73" s="929"/>
      <c r="R73" s="929">
        <f>'matrik MISI 4'!U14</f>
        <v>68.63</v>
      </c>
      <c r="S73" s="929"/>
      <c r="T73" s="929">
        <f>'matrik MISI 4'!V14</f>
        <v>69.13</v>
      </c>
      <c r="U73" s="929"/>
      <c r="V73" s="929">
        <f>'matrik MISI 4'!W14</f>
        <v>69.13</v>
      </c>
      <c r="W73" s="929"/>
      <c r="X73" s="929" t="str">
        <f>'matrik MISI 4'!X14</f>
        <v>Dinas Pendidkan</v>
      </c>
      <c r="Y73" s="565" t="str">
        <f>'matrik MISI 4'!Y14</f>
        <v>Jumlah peserta didik TK-sederajat (PAUD Formal) dibagi jumlah penduduk usia 4-6 tahun kali 100%</v>
      </c>
      <c r="Z73" s="565">
        <f>'matrik MISI 4'!Z14</f>
        <v>0</v>
      </c>
    </row>
    <row r="74" spans="2:29" ht="30">
      <c r="B74" s="940"/>
      <c r="C74" s="941"/>
      <c r="D74" s="940"/>
      <c r="E74" s="940"/>
      <c r="F74" s="940"/>
      <c r="G74" s="940"/>
      <c r="H74" s="164" t="str">
        <f>'matrik MISI 4'!N15</f>
        <v>Persentase APK Pendidikan Anak Usia Dini (Usia 0-6 Tahun)</v>
      </c>
      <c r="I74" s="164" t="str">
        <f>'matrik MISI 4'!O15</f>
        <v>%</v>
      </c>
      <c r="J74" s="929">
        <f>'matrik MISI 4'!P15</f>
        <v>32.32</v>
      </c>
      <c r="K74" s="929">
        <f>'matrik MISI 4'!Q15</f>
        <v>32.36</v>
      </c>
      <c r="L74" s="929">
        <f>'matrik MISI 4'!R15</f>
        <v>32.4</v>
      </c>
      <c r="M74" s="961"/>
      <c r="N74" s="929">
        <f>'matrik MISI 4'!S15</f>
        <v>32.44</v>
      </c>
      <c r="O74" s="929"/>
      <c r="P74" s="929">
        <f>'matrik MISI 4'!T15</f>
        <v>32.479999999999997</v>
      </c>
      <c r="Q74" s="929"/>
      <c r="R74" s="929">
        <f>'matrik MISI 4'!U15</f>
        <v>32.520000000000003</v>
      </c>
      <c r="S74" s="929"/>
      <c r="T74" s="929">
        <f>'matrik MISI 4'!V15</f>
        <v>32.56</v>
      </c>
      <c r="U74" s="929"/>
      <c r="V74" s="929">
        <f>'matrik MISI 4'!W15</f>
        <v>32.56</v>
      </c>
      <c r="W74" s="929"/>
      <c r="X74" s="929" t="str">
        <f>'matrik MISI 4'!X15</f>
        <v>Dinas Pendidkan</v>
      </c>
      <c r="Y74" s="565" t="str">
        <f>'matrik MISI 4'!Y15</f>
        <v>Jumlah peserta didik TK-sederajat (PAUD Formal dan Nonformal) dibagi jumlah penduduk usia 0-6 tahun kali 100%</v>
      </c>
      <c r="Z74" s="565">
        <f>'matrik MISI 4'!Z15</f>
        <v>0</v>
      </c>
    </row>
    <row r="75" spans="2:29" ht="45">
      <c r="B75" s="940"/>
      <c r="C75" s="941"/>
      <c r="D75" s="940"/>
      <c r="E75" s="940"/>
      <c r="F75" s="940"/>
      <c r="G75" s="940"/>
      <c r="H75" s="164" t="str">
        <f>'matrik MISI 4'!N16</f>
        <v>Persentase Angka Partisipasi Anak Perempuan (Usia 4-6 Tahun)</v>
      </c>
      <c r="I75" s="164" t="str">
        <f>'matrik MISI 4'!O16</f>
        <v>%</v>
      </c>
      <c r="J75" s="929">
        <f>'matrik MISI 4'!P16</f>
        <v>48.611937338885589</v>
      </c>
      <c r="K75" s="929">
        <f>'matrik MISI 4'!Q16</f>
        <v>48.61</v>
      </c>
      <c r="L75" s="929">
        <f>'matrik MISI 4'!R16</f>
        <v>48.64</v>
      </c>
      <c r="M75" s="961"/>
      <c r="N75" s="929">
        <f>'matrik MISI 4'!S16</f>
        <v>48.67</v>
      </c>
      <c r="O75" s="929"/>
      <c r="P75" s="929">
        <f>'matrik MISI 4'!T16</f>
        <v>48.7</v>
      </c>
      <c r="Q75" s="929"/>
      <c r="R75" s="929">
        <f>'matrik MISI 4'!U16</f>
        <v>48.73</v>
      </c>
      <c r="S75" s="929"/>
      <c r="T75" s="929">
        <f>'matrik MISI 4'!V16</f>
        <v>48.76</v>
      </c>
      <c r="U75" s="929"/>
      <c r="V75" s="929">
        <f>'matrik MISI 4'!W16</f>
        <v>48.76</v>
      </c>
      <c r="W75" s="929"/>
      <c r="X75" s="929" t="str">
        <f>'matrik MISI 4'!X16</f>
        <v>Dinas Pendidkan</v>
      </c>
      <c r="Y75" s="565" t="str">
        <f>'matrik MISI 4'!Y16</f>
        <v>Jumlah peserta didik perempuan TK-sederajat (PAUD Formal) dibagi jumlah peserta didik laki-laki dan perempuan TK-sederajat (PAUD Formal) kali 100%</v>
      </c>
      <c r="Z75" s="565">
        <f>'matrik MISI 4'!Z16</f>
        <v>0</v>
      </c>
    </row>
    <row r="76" spans="2:29" ht="45">
      <c r="B76" s="940"/>
      <c r="C76" s="941"/>
      <c r="D76" s="940"/>
      <c r="E76" s="940"/>
      <c r="F76" s="940"/>
      <c r="G76" s="940"/>
      <c r="H76" s="164" t="str">
        <f>'matrik MISI 4'!N17</f>
        <v>Persentase Angka Partisipasi Anak Perempuan (Usia 0-6 Tahun)</v>
      </c>
      <c r="I76" s="164" t="str">
        <f>'matrik MISI 4'!O17</f>
        <v>%</v>
      </c>
      <c r="J76" s="929">
        <f>'matrik MISI 4'!P17</f>
        <v>49.071503263260375</v>
      </c>
      <c r="K76" s="929">
        <f>'matrik MISI 4'!Q17</f>
        <v>49.07</v>
      </c>
      <c r="L76" s="929">
        <f>'matrik MISI 4'!R17</f>
        <v>49.09</v>
      </c>
      <c r="M76" s="961"/>
      <c r="N76" s="929">
        <f>'matrik MISI 4'!S17</f>
        <v>49.110999999999997</v>
      </c>
      <c r="O76" s="929"/>
      <c r="P76" s="929">
        <f>'matrik MISI 4'!T17</f>
        <v>49.13</v>
      </c>
      <c r="Q76" s="929"/>
      <c r="R76" s="929">
        <f>'matrik MISI 4'!U17</f>
        <v>49.15</v>
      </c>
      <c r="S76" s="929"/>
      <c r="T76" s="929">
        <f>'matrik MISI 4'!V17</f>
        <v>49.17</v>
      </c>
      <c r="U76" s="929"/>
      <c r="V76" s="929">
        <f>'matrik MISI 4'!W17</f>
        <v>49.17</v>
      </c>
      <c r="W76" s="929"/>
      <c r="X76" s="929" t="str">
        <f>'matrik MISI 4'!X17</f>
        <v>Dinas Pendidkan</v>
      </c>
      <c r="Y76" s="565" t="str">
        <f>'matrik MISI 4'!Y17</f>
        <v>Jumlah peserta didik perempuan TK-sederajat (PAUD Formal dan Nonformal) dibagi jumlah peserta didik laki-laki dan perempuan TK-sederajat (PAUD Formal dan Nonformal) kali 100%</v>
      </c>
      <c r="Z76" s="565">
        <f>'matrik MISI 4'!Z17</f>
        <v>0</v>
      </c>
    </row>
    <row r="77" spans="2:29" ht="30">
      <c r="B77" s="940"/>
      <c r="C77" s="941"/>
      <c r="D77" s="940"/>
      <c r="E77" s="940"/>
      <c r="F77" s="940"/>
      <c r="G77" s="940"/>
      <c r="H77" s="164" t="str">
        <f>'matrik MISI 4'!N18</f>
        <v>Rasio siswa per kelas TK</v>
      </c>
      <c r="I77" s="164" t="str">
        <f>'matrik MISI 4'!O18</f>
        <v>Rasio</v>
      </c>
      <c r="J77" s="929">
        <f>'matrik MISI 4'!P18</f>
        <v>21</v>
      </c>
      <c r="K77" s="929">
        <f>'matrik MISI 4'!Q18</f>
        <v>21</v>
      </c>
      <c r="L77" s="929">
        <f>'matrik MISI 4'!R18</f>
        <v>21</v>
      </c>
      <c r="M77" s="961"/>
      <c r="N77" s="929">
        <f>'matrik MISI 4'!S18</f>
        <v>21</v>
      </c>
      <c r="O77" s="929"/>
      <c r="P77" s="929">
        <f>'matrik MISI 4'!T18</f>
        <v>21</v>
      </c>
      <c r="Q77" s="929"/>
      <c r="R77" s="929">
        <f>'matrik MISI 4'!U18</f>
        <v>21</v>
      </c>
      <c r="S77" s="929"/>
      <c r="T77" s="929">
        <f>'matrik MISI 4'!V18</f>
        <v>21</v>
      </c>
      <c r="U77" s="929"/>
      <c r="V77" s="929">
        <f>'matrik MISI 4'!W18</f>
        <v>21</v>
      </c>
      <c r="W77" s="929"/>
      <c r="X77" s="929" t="str">
        <f>'matrik MISI 4'!X18</f>
        <v>Dinas Pendidkan</v>
      </c>
      <c r="Y77" s="565" t="str">
        <f>'matrik MISI 4'!Y18</f>
        <v>Jumlah peserta didik TK-sederajat (PAUD Formal) dibagi jumlah kelas TK-sederajat (PAUD Formal)</v>
      </c>
      <c r="Z77" s="565" t="str">
        <f>'matrik MISI 4'!Z18</f>
        <v>Rasio maksimal adalah 25 anak/kelas</v>
      </c>
    </row>
    <row r="78" spans="2:29" ht="45">
      <c r="B78" s="940"/>
      <c r="C78" s="941"/>
      <c r="D78" s="940"/>
      <c r="E78" s="940"/>
      <c r="F78" s="940"/>
      <c r="G78" s="940"/>
      <c r="H78" s="164" t="str">
        <f>'matrik MISI 4'!N110</f>
        <v>Persentase ruang belajar beserta perlengkapannya TK/RA yang kondisinya baik</v>
      </c>
      <c r="I78" s="164" t="str">
        <f>'matrik MISI 4'!O110</f>
        <v>%</v>
      </c>
      <c r="J78" s="929">
        <f>'matrik MISI 4'!P110</f>
        <v>86.45</v>
      </c>
      <c r="K78" s="929">
        <f>'matrik MISI 4'!Q110</f>
        <v>86.84</v>
      </c>
      <c r="L78" s="929">
        <f>'matrik MISI 4'!R110</f>
        <v>87.23</v>
      </c>
      <c r="M78" s="961"/>
      <c r="N78" s="929">
        <f>'matrik MISI 4'!S110</f>
        <v>87.62</v>
      </c>
      <c r="O78" s="929"/>
      <c r="P78" s="929">
        <f>'matrik MISI 4'!T110</f>
        <v>88.01</v>
      </c>
      <c r="Q78" s="929"/>
      <c r="R78" s="929">
        <f>'matrik MISI 4'!U110</f>
        <v>88.4</v>
      </c>
      <c r="S78" s="929"/>
      <c r="T78" s="929">
        <f>'matrik MISI 4'!V110</f>
        <v>88.79</v>
      </c>
      <c r="U78" s="929"/>
      <c r="V78" s="929">
        <f>'matrik MISI 4'!W110</f>
        <v>88.79</v>
      </c>
      <c r="W78" s="929"/>
      <c r="X78" s="929" t="str">
        <f>'matrik MISI 4'!X110</f>
        <v>Dinas Pendidikan</v>
      </c>
      <c r="Y78" s="565" t="str">
        <f>'matrik MISI 4'!Y110</f>
        <v>Jumlah ruang belajar TK/RA yang kondisinya baik dibagi jumlah ruang belajar TK/RA kali 100%</v>
      </c>
      <c r="Z78" s="565">
        <f>'matrik MISI 4'!Z110</f>
        <v>0</v>
      </c>
    </row>
    <row r="79" spans="2:29" ht="30">
      <c r="B79" s="940"/>
      <c r="C79" s="941"/>
      <c r="D79" s="940"/>
      <c r="E79" s="940"/>
      <c r="F79" s="940"/>
      <c r="G79" s="940"/>
      <c r="H79" s="164" t="str">
        <f>'matrik MISI 4'!N111</f>
        <v>Persentase TK/RA yang memiliki buku teks pembelajaran</v>
      </c>
      <c r="I79" s="164" t="str">
        <f>'matrik MISI 4'!O111</f>
        <v>%</v>
      </c>
      <c r="J79" s="929">
        <f>'matrik MISI 4'!P111</f>
        <v>85</v>
      </c>
      <c r="K79" s="929">
        <f>'matrik MISI 4'!Q111</f>
        <v>85.41</v>
      </c>
      <c r="L79" s="929">
        <f>'matrik MISI 4'!R111</f>
        <v>85.82</v>
      </c>
      <c r="M79" s="961"/>
      <c r="N79" s="929">
        <f>'matrik MISI 4'!S111</f>
        <v>86.24</v>
      </c>
      <c r="O79" s="929"/>
      <c r="P79" s="929">
        <f>'matrik MISI 4'!T111</f>
        <v>86.65</v>
      </c>
      <c r="Q79" s="929"/>
      <c r="R79" s="929">
        <f>'matrik MISI 4'!U111</f>
        <v>87.06</v>
      </c>
      <c r="S79" s="929"/>
      <c r="T79" s="929">
        <f>'matrik MISI 4'!V111</f>
        <v>87.47</v>
      </c>
      <c r="U79" s="929"/>
      <c r="V79" s="929">
        <f>'matrik MISI 4'!W111</f>
        <v>87.47</v>
      </c>
      <c r="W79" s="929"/>
      <c r="X79" s="929" t="str">
        <f>'matrik MISI 4'!X111</f>
        <v>Dinas Pendidikan</v>
      </c>
      <c r="Y79" s="565" t="str">
        <f>'matrik MISI 4'!Y111</f>
        <v>Jumlah TK/RA yang memiliki buku teks pembelajaran dibagi jumlah TK/RA kali 100%</v>
      </c>
      <c r="Z79" s="565">
        <f>'matrik MISI 4'!Z111</f>
        <v>0</v>
      </c>
    </row>
    <row r="80" spans="2:29" ht="45">
      <c r="B80" s="940"/>
      <c r="C80" s="941"/>
      <c r="D80" s="940"/>
      <c r="E80" s="940"/>
      <c r="F80" s="940"/>
      <c r="G80" s="940"/>
      <c r="H80" s="164" t="str">
        <f>'matrik MISI 4'!N112</f>
        <v>Persentase TK/RA yang memiliki ruang kesehatan dan perlengkapannya</v>
      </c>
      <c r="I80" s="164" t="str">
        <f>'matrik MISI 4'!O112</f>
        <v>%</v>
      </c>
      <c r="J80" s="929">
        <f>'matrik MISI 4'!P112</f>
        <v>23.66</v>
      </c>
      <c r="K80" s="929">
        <f>'matrik MISI 4'!Q112</f>
        <v>24.08</v>
      </c>
      <c r="L80" s="929">
        <f>'matrik MISI 4'!R112</f>
        <v>25.11</v>
      </c>
      <c r="M80" s="961"/>
      <c r="N80" s="929">
        <f>'matrik MISI 4'!S112</f>
        <v>26.14</v>
      </c>
      <c r="O80" s="929"/>
      <c r="P80" s="929">
        <f>'matrik MISI 4'!T112</f>
        <v>27.17</v>
      </c>
      <c r="Q80" s="929"/>
      <c r="R80" s="929">
        <f>'matrik MISI 4'!U112</f>
        <v>28.19</v>
      </c>
      <c r="S80" s="929"/>
      <c r="T80" s="929">
        <f>'matrik MISI 4'!V112</f>
        <v>29.22</v>
      </c>
      <c r="U80" s="929"/>
      <c r="V80" s="929">
        <f>'matrik MISI 4'!W112</f>
        <v>29.22</v>
      </c>
      <c r="W80" s="929"/>
      <c r="X80" s="929" t="str">
        <f>'matrik MISI 4'!X112</f>
        <v>Dinas Pendidikan</v>
      </c>
      <c r="Y80" s="565" t="str">
        <f>'matrik MISI 4'!Y112</f>
        <v>Jumlah TK/RA yang memiliki ruang kesehatan beserta perlengkapannya dibagi jumlah TK/RA kali 100%</v>
      </c>
      <c r="Z80" s="565">
        <f>'matrik MISI 4'!Z112</f>
        <v>0</v>
      </c>
    </row>
    <row r="81" spans="2:26" ht="45">
      <c r="B81" s="940"/>
      <c r="C81" s="941"/>
      <c r="D81" s="940"/>
      <c r="E81" s="940"/>
      <c r="F81" s="940"/>
      <c r="G81" s="940"/>
      <c r="H81" s="164" t="str">
        <f>'matrik MISI 4'!N113</f>
        <v>Persentase TK/RA yang memiliki alat permainan edukatif dalam ruang</v>
      </c>
      <c r="I81" s="164" t="str">
        <f>'matrik MISI 4'!O113</f>
        <v>%</v>
      </c>
      <c r="J81" s="929">
        <f>'matrik MISI 4'!P113</f>
        <v>85</v>
      </c>
      <c r="K81" s="929">
        <f>'matrik MISI 4'!Q113</f>
        <v>85.41</v>
      </c>
      <c r="L81" s="929">
        <f>'matrik MISI 4'!R113</f>
        <v>85.82</v>
      </c>
      <c r="M81" s="961"/>
      <c r="N81" s="929">
        <f>'matrik MISI 4'!S113</f>
        <v>86.24</v>
      </c>
      <c r="O81" s="929"/>
      <c r="P81" s="929">
        <f>'matrik MISI 4'!T113</f>
        <v>86.65</v>
      </c>
      <c r="Q81" s="929"/>
      <c r="R81" s="929">
        <f>'matrik MISI 4'!U113</f>
        <v>87.06</v>
      </c>
      <c r="S81" s="929"/>
      <c r="T81" s="929">
        <f>'matrik MISI 4'!V113</f>
        <v>88.747</v>
      </c>
      <c r="U81" s="929"/>
      <c r="V81" s="929">
        <f>'matrik MISI 4'!W113</f>
        <v>88.75</v>
      </c>
      <c r="W81" s="929"/>
      <c r="X81" s="929" t="str">
        <f>'matrik MISI 4'!X113</f>
        <v>Dinas Pendidikan</v>
      </c>
      <c r="Y81" s="565" t="str">
        <f>'matrik MISI 4'!Y113</f>
        <v>Jumlah TK/RA yang memiliki alat permainan dalam ruang dibagi jumlah TK/RA kali 100%</v>
      </c>
      <c r="Z81" s="565">
        <f>'matrik MISI 4'!Z113</f>
        <v>0</v>
      </c>
    </row>
    <row r="82" spans="2:26" ht="45">
      <c r="B82" s="940"/>
      <c r="C82" s="941"/>
      <c r="D82" s="940"/>
      <c r="E82" s="940"/>
      <c r="F82" s="940"/>
      <c r="G82" s="940"/>
      <c r="H82" s="164" t="str">
        <f>'matrik MISI 4'!N114</f>
        <v>Persentase TK/RA yang memiliki alat permainan edukatif luar ruang</v>
      </c>
      <c r="I82" s="164" t="str">
        <f>'matrik MISI 4'!O114</f>
        <v>%</v>
      </c>
      <c r="J82" s="929">
        <f>'matrik MISI 4'!P114</f>
        <v>85</v>
      </c>
      <c r="K82" s="929">
        <f>'matrik MISI 4'!Q114</f>
        <v>85.41</v>
      </c>
      <c r="L82" s="929">
        <f>'matrik MISI 4'!R114</f>
        <v>85.82</v>
      </c>
      <c r="M82" s="961"/>
      <c r="N82" s="929">
        <f>'matrik MISI 4'!S114</f>
        <v>86.24</v>
      </c>
      <c r="O82" s="929"/>
      <c r="P82" s="929">
        <f>'matrik MISI 4'!T114</f>
        <v>86.65</v>
      </c>
      <c r="Q82" s="929"/>
      <c r="R82" s="929">
        <f>'matrik MISI 4'!U114</f>
        <v>87.06</v>
      </c>
      <c r="S82" s="929"/>
      <c r="T82" s="929">
        <f>'matrik MISI 4'!V114</f>
        <v>87.47</v>
      </c>
      <c r="U82" s="929"/>
      <c r="V82" s="929">
        <f>'matrik MISI 4'!W114</f>
        <v>87.47</v>
      </c>
      <c r="W82" s="929"/>
      <c r="X82" s="929" t="str">
        <f>'matrik MISI 4'!X114</f>
        <v>Dinas Pendidikan</v>
      </c>
      <c r="Y82" s="565" t="str">
        <f>'matrik MISI 4'!Y114</f>
        <v>Jumlah TK/RA yang memiliki alat permainan luar ruang dibagi jumlah TK/RA kali 100%</v>
      </c>
      <c r="Z82" s="565">
        <f>'matrik MISI 4'!Z114</f>
        <v>0</v>
      </c>
    </row>
    <row r="83" spans="2:26" ht="45">
      <c r="B83" s="940"/>
      <c r="C83" s="941"/>
      <c r="D83" s="940">
        <f>'matrik MISI 4'!J20</f>
        <v>1.01</v>
      </c>
      <c r="E83" s="940" t="str">
        <f>'matrik MISI 4'!K20</f>
        <v>xx</v>
      </c>
      <c r="F83" s="940">
        <f>'matrik MISI 4'!L20</f>
        <v>16</v>
      </c>
      <c r="G83" s="940" t="str">
        <f>'matrik MISI 4'!M20</f>
        <v>Program wajib belajar pendidikan dasar sembilan tahun</v>
      </c>
      <c r="H83" s="164"/>
      <c r="I83" s="164"/>
      <c r="J83" s="929"/>
      <c r="K83" s="929"/>
      <c r="L83" s="929"/>
      <c r="M83" s="961">
        <f>'jangan dihapus 2'!K24</f>
        <v>21776586298</v>
      </c>
      <c r="N83" s="961"/>
      <c r="O83" s="961">
        <f>'jangan dihapus 2'!M24</f>
        <v>18368230250</v>
      </c>
      <c r="P83" s="961"/>
      <c r="Q83" s="961">
        <f>'jangan dihapus 2'!O24</f>
        <v>19300031650</v>
      </c>
      <c r="R83" s="961"/>
      <c r="S83" s="961">
        <f>'jangan dihapus 2'!Q24</f>
        <v>21719531650</v>
      </c>
      <c r="T83" s="961"/>
      <c r="U83" s="961">
        <f>'jangan dihapus 2'!S24</f>
        <v>22871031650</v>
      </c>
      <c r="V83" s="929"/>
      <c r="W83" s="961">
        <f>SUM(M83:U83)</f>
        <v>104035411498</v>
      </c>
      <c r="X83" s="929"/>
      <c r="Y83" s="565"/>
      <c r="Z83" s="565"/>
    </row>
    <row r="84" spans="2:26" ht="30">
      <c r="B84" s="940"/>
      <c r="C84" s="941"/>
      <c r="D84" s="939"/>
      <c r="E84" s="939"/>
      <c r="F84" s="939"/>
      <c r="G84" s="939"/>
      <c r="H84" s="164" t="str">
        <f>'matrik MISI 4'!N20</f>
        <v>Persentase APK SD Sederajat</v>
      </c>
      <c r="I84" s="164" t="str">
        <f>'matrik MISI 4'!O20</f>
        <v>%</v>
      </c>
      <c r="J84" s="929">
        <f>'matrik MISI 4'!P20</f>
        <v>103.5</v>
      </c>
      <c r="K84" s="929">
        <f>'matrik MISI 4'!Q20</f>
        <v>103.55</v>
      </c>
      <c r="L84" s="929">
        <f>'matrik MISI 4'!R20</f>
        <v>103.58</v>
      </c>
      <c r="M84" s="961"/>
      <c r="N84" s="929">
        <f>'matrik MISI 4'!S20</f>
        <v>103.61</v>
      </c>
      <c r="O84" s="929"/>
      <c r="P84" s="929">
        <f>'matrik MISI 4'!T20</f>
        <v>103.64</v>
      </c>
      <c r="Q84" s="929"/>
      <c r="R84" s="929">
        <f>'matrik MISI 4'!U20</f>
        <v>103.67</v>
      </c>
      <c r="S84" s="929"/>
      <c r="T84" s="929">
        <f>'matrik MISI 4'!V20</f>
        <v>103.7</v>
      </c>
      <c r="U84" s="929"/>
      <c r="V84" s="929">
        <f>'matrik MISI 4'!W20</f>
        <v>103.7</v>
      </c>
      <c r="W84" s="929"/>
      <c r="X84" s="929" t="str">
        <f>'matrik MISI 4'!X20</f>
        <v>Dinas Pendidikan</v>
      </c>
      <c r="Y84" s="565" t="str">
        <f>'matrik MISI 4'!Y20</f>
        <v>Jumlah siswa SD-sederajat dibagi jumlah penduduk usia 7-12 tahun kali 100%</v>
      </c>
      <c r="Z84" s="565">
        <f>'matrik MISI 4'!Z20</f>
        <v>0</v>
      </c>
    </row>
    <row r="85" spans="2:26" ht="30">
      <c r="B85" s="940"/>
      <c r="C85" s="941"/>
      <c r="D85" s="940"/>
      <c r="E85" s="940"/>
      <c r="F85" s="940"/>
      <c r="G85" s="940"/>
      <c r="H85" s="164" t="str">
        <f>'matrik MISI 4'!N21</f>
        <v>Persentase APM SD Sederajat</v>
      </c>
      <c r="I85" s="164" t="str">
        <f>'matrik MISI 4'!O21</f>
        <v>%</v>
      </c>
      <c r="J85" s="929">
        <f>'matrik MISI 4'!P21</f>
        <v>95.4</v>
      </c>
      <c r="K85" s="929">
        <f>'matrik MISI 4'!Q21</f>
        <v>95.42</v>
      </c>
      <c r="L85" s="929">
        <f>'matrik MISI 4'!R21</f>
        <v>95.45</v>
      </c>
      <c r="M85" s="961"/>
      <c r="N85" s="929">
        <f>'matrik MISI 4'!S21</f>
        <v>95.48</v>
      </c>
      <c r="O85" s="929"/>
      <c r="P85" s="929">
        <f>'matrik MISI 4'!T21</f>
        <v>95.51</v>
      </c>
      <c r="Q85" s="929"/>
      <c r="R85" s="929">
        <f>'matrik MISI 4'!U21</f>
        <v>95.54</v>
      </c>
      <c r="S85" s="929"/>
      <c r="T85" s="929">
        <f>'matrik MISI 4'!V21</f>
        <v>95.57</v>
      </c>
      <c r="U85" s="929"/>
      <c r="V85" s="929">
        <f>'matrik MISI 4'!W21</f>
        <v>95.57</v>
      </c>
      <c r="W85" s="929"/>
      <c r="X85" s="929" t="str">
        <f>'matrik MISI 4'!X21</f>
        <v>Dinas Pendidikan</v>
      </c>
      <c r="Y85" s="565" t="str">
        <f>'matrik MISI 4'!Y21</f>
        <v>Jumlah siswa SD-sederajat usia 7-12 tahun dibagi jumlah penduduk usia 7-12 tahun kali 100%</v>
      </c>
      <c r="Z85" s="565">
        <f>'matrik MISI 4'!Z21</f>
        <v>0</v>
      </c>
    </row>
    <row r="86" spans="2:26" ht="30">
      <c r="B86" s="940"/>
      <c r="C86" s="941"/>
      <c r="D86" s="940"/>
      <c r="E86" s="940"/>
      <c r="F86" s="940"/>
      <c r="G86" s="940"/>
      <c r="H86" s="164" t="str">
        <f>'matrik MISI 4'!N22</f>
        <v>Persentase APK SMP Sederajat</v>
      </c>
      <c r="I86" s="164" t="str">
        <f>'matrik MISI 4'!O22</f>
        <v>%</v>
      </c>
      <c r="J86" s="929">
        <f>'matrik MISI 4'!P22</f>
        <v>96</v>
      </c>
      <c r="K86" s="929">
        <f>'matrik MISI 4'!Q22</f>
        <v>96.03</v>
      </c>
      <c r="L86" s="929">
        <f>'matrik MISI 4'!R22</f>
        <v>96.06</v>
      </c>
      <c r="M86" s="961"/>
      <c r="N86" s="929">
        <f>'matrik MISI 4'!S22</f>
        <v>96.09</v>
      </c>
      <c r="O86" s="929"/>
      <c r="P86" s="929">
        <f>'matrik MISI 4'!T22</f>
        <v>96.12</v>
      </c>
      <c r="Q86" s="929"/>
      <c r="R86" s="929">
        <f>'matrik MISI 4'!U22</f>
        <v>96.15</v>
      </c>
      <c r="S86" s="929"/>
      <c r="T86" s="929">
        <f>'matrik MISI 4'!V22</f>
        <v>96.15</v>
      </c>
      <c r="U86" s="929"/>
      <c r="V86" s="929">
        <f>'matrik MISI 4'!W22</f>
        <v>96.15</v>
      </c>
      <c r="W86" s="929"/>
      <c r="X86" s="929" t="str">
        <f>'matrik MISI 4'!X22</f>
        <v>Dinas Pendidikan</v>
      </c>
      <c r="Y86" s="565" t="str">
        <f>'matrik MISI 4'!Y22</f>
        <v>Jumlah siswa SMP-sederajat dibagi jumlah penduduk usia 13-15 tahun kali 100%</v>
      </c>
      <c r="Z86" s="565">
        <f>'matrik MISI 4'!Z22</f>
        <v>0</v>
      </c>
    </row>
    <row r="87" spans="2:26" ht="30">
      <c r="B87" s="940"/>
      <c r="C87" s="941"/>
      <c r="D87" s="940"/>
      <c r="E87" s="940"/>
      <c r="F87" s="940"/>
      <c r="G87" s="940"/>
      <c r="H87" s="164" t="str">
        <f>'matrik MISI 4'!N23</f>
        <v>Persentase APM SMP Sederajat</v>
      </c>
      <c r="I87" s="164" t="str">
        <f>'matrik MISI 4'!O23</f>
        <v>%</v>
      </c>
      <c r="J87" s="929">
        <f>'matrik MISI 4'!P23</f>
        <v>83.63</v>
      </c>
      <c r="K87" s="929">
        <f>'matrik MISI 4'!Q23</f>
        <v>83.66</v>
      </c>
      <c r="L87" s="929">
        <f>'matrik MISI 4'!R23</f>
        <v>83.69</v>
      </c>
      <c r="M87" s="961"/>
      <c r="N87" s="929">
        <f>'matrik MISI 4'!S23</f>
        <v>83.72</v>
      </c>
      <c r="O87" s="929"/>
      <c r="P87" s="929">
        <f>'matrik MISI 4'!T23</f>
        <v>83.75</v>
      </c>
      <c r="Q87" s="929"/>
      <c r="R87" s="929">
        <f>'matrik MISI 4'!U23</f>
        <v>83.78</v>
      </c>
      <c r="S87" s="929"/>
      <c r="T87" s="929">
        <f>'matrik MISI 4'!V23</f>
        <v>83.81</v>
      </c>
      <c r="U87" s="929"/>
      <c r="V87" s="929">
        <f>'matrik MISI 4'!W23</f>
        <v>83.81</v>
      </c>
      <c r="W87" s="929"/>
      <c r="X87" s="929" t="str">
        <f>'matrik MISI 4'!X23</f>
        <v>Dinas Pendidikan</v>
      </c>
      <c r="Y87" s="565" t="str">
        <f>'matrik MISI 4'!Y23</f>
        <v>Jumlah siswa SMP-sederajat usia 13-15 tahun dibagi jumlah penduduk usia 13-15 tahun kali 100%</v>
      </c>
      <c r="Z87" s="565">
        <f>'matrik MISI 4'!Z23</f>
        <v>0</v>
      </c>
    </row>
    <row r="88" spans="2:26" ht="30">
      <c r="B88" s="940"/>
      <c r="C88" s="941"/>
      <c r="D88" s="940"/>
      <c r="E88" s="940"/>
      <c r="F88" s="940"/>
      <c r="G88" s="940"/>
      <c r="H88" s="164" t="str">
        <f>'matrik MISI 4'!N24</f>
        <v>Persentase Angka  Melanjutkan ke SMP Sederajat</v>
      </c>
      <c r="I88" s="164" t="str">
        <f>'matrik MISI 4'!O24</f>
        <v>%</v>
      </c>
      <c r="J88" s="929">
        <f>'matrik MISI 4'!P24</f>
        <v>95.34094966083542</v>
      </c>
      <c r="K88" s="929">
        <f>'matrik MISI 4'!Q24</f>
        <v>95.37</v>
      </c>
      <c r="L88" s="929">
        <f>'matrik MISI 4'!R24</f>
        <v>100</v>
      </c>
      <c r="M88" s="961"/>
      <c r="N88" s="929">
        <f>'matrik MISI 4'!S24</f>
        <v>100</v>
      </c>
      <c r="O88" s="929"/>
      <c r="P88" s="929">
        <f>'matrik MISI 4'!T24</f>
        <v>100</v>
      </c>
      <c r="Q88" s="929"/>
      <c r="R88" s="929">
        <f>'matrik MISI 4'!U24</f>
        <v>100</v>
      </c>
      <c r="S88" s="929"/>
      <c r="T88" s="929">
        <f>'matrik MISI 4'!V24</f>
        <v>100</v>
      </c>
      <c r="U88" s="929"/>
      <c r="V88" s="929">
        <f>'matrik MISI 4'!W24</f>
        <v>100</v>
      </c>
      <c r="W88" s="929"/>
      <c r="X88" s="929" t="str">
        <f>'matrik MISI 4'!X24</f>
        <v>Dinas Pendidikan</v>
      </c>
      <c r="Y88" s="565" t="str">
        <f>'matrik MISI 4'!Y24</f>
        <v>Jumlah lulusan SD/MI tahun T-1 dibagi jumlah siswa baru tingkat I SMP/MTs tahun T kali 100%</v>
      </c>
      <c r="Z88" s="565">
        <f>'matrik MISI 4'!Z24</f>
        <v>0</v>
      </c>
    </row>
    <row r="89" spans="2:26" ht="45">
      <c r="B89" s="940"/>
      <c r="C89" s="941"/>
      <c r="D89" s="940"/>
      <c r="E89" s="940"/>
      <c r="F89" s="940"/>
      <c r="G89" s="940"/>
      <c r="H89" s="164" t="str">
        <f>'matrik MISI 4'!N25</f>
        <v>Persentase Partisipasi Anak Perempuan dalam Pendidikan Dasar</v>
      </c>
      <c r="I89" s="164" t="str">
        <f>'matrik MISI 4'!O25</f>
        <v>%</v>
      </c>
      <c r="J89" s="929">
        <f>'matrik MISI 4'!P25</f>
        <v>48.594462811443769</v>
      </c>
      <c r="K89" s="929">
        <f>'matrik MISI 4'!Q25</f>
        <v>48.59</v>
      </c>
      <c r="L89" s="929">
        <f>'matrik MISI 4'!R25</f>
        <v>48.61</v>
      </c>
      <c r="M89" s="961"/>
      <c r="N89" s="929">
        <f>'matrik MISI 4'!S25</f>
        <v>48.63</v>
      </c>
      <c r="O89" s="929"/>
      <c r="P89" s="929">
        <f>'matrik MISI 4'!T25</f>
        <v>48.65</v>
      </c>
      <c r="Q89" s="929"/>
      <c r="R89" s="929">
        <f>'matrik MISI 4'!U25</f>
        <v>48.67</v>
      </c>
      <c r="S89" s="929"/>
      <c r="T89" s="929">
        <f>'matrik MISI 4'!V25</f>
        <v>48.69</v>
      </c>
      <c r="U89" s="929"/>
      <c r="V89" s="929">
        <f>'matrik MISI 4'!W25</f>
        <v>48.69</v>
      </c>
      <c r="W89" s="929"/>
      <c r="X89" s="929" t="str">
        <f>'matrik MISI 4'!X25</f>
        <v>Dinas Pendidikan</v>
      </c>
      <c r="Y89" s="565" t="str">
        <f>'matrik MISI 4'!Y25</f>
        <v>Jumlah siswa perempuan SD/MI/SMP/MTs dibagi jumlah siswa perempuan dan laki-laki SD/MI/SMP/MTs kali 100%</v>
      </c>
      <c r="Z89" s="565">
        <f>'matrik MISI 4'!Z25</f>
        <v>0</v>
      </c>
    </row>
    <row r="90" spans="2:26">
      <c r="B90" s="940"/>
      <c r="C90" s="941"/>
      <c r="D90" s="940"/>
      <c r="E90" s="940"/>
      <c r="F90" s="940"/>
      <c r="G90" s="940"/>
      <c r="H90" s="164" t="str">
        <f>'matrik MISI 4'!N26</f>
        <v>Rasio Siswa per Kelas SD/MI</v>
      </c>
      <c r="I90" s="164" t="str">
        <f>'matrik MISI 4'!O26</f>
        <v>Angka</v>
      </c>
      <c r="J90" s="929">
        <f>'matrik MISI 4'!P26</f>
        <v>21.06</v>
      </c>
      <c r="K90" s="929">
        <f>'matrik MISI 4'!Q26</f>
        <v>21.06</v>
      </c>
      <c r="L90" s="929">
        <f>'matrik MISI 4'!R26</f>
        <v>21.8</v>
      </c>
      <c r="M90" s="961"/>
      <c r="N90" s="929">
        <f>'matrik MISI 4'!S26</f>
        <v>21.1</v>
      </c>
      <c r="O90" s="929"/>
      <c r="P90" s="929">
        <f>'matrik MISI 4'!T26</f>
        <v>21.12</v>
      </c>
      <c r="Q90" s="929"/>
      <c r="R90" s="929">
        <f>'matrik MISI 4'!U26</f>
        <v>21.14</v>
      </c>
      <c r="S90" s="929"/>
      <c r="T90" s="929">
        <f>'matrik MISI 4'!V26</f>
        <v>21.16</v>
      </c>
      <c r="U90" s="929"/>
      <c r="V90" s="929">
        <f>'matrik MISI 4'!W26</f>
        <v>21.16</v>
      </c>
      <c r="W90" s="929"/>
      <c r="X90" s="929" t="str">
        <f>'matrik MISI 4'!X26</f>
        <v>Dinas Pendidikan</v>
      </c>
      <c r="Y90" s="565" t="str">
        <f>'matrik MISI 4'!Y26</f>
        <v>Jumlah siswa SD/MI dibagi jumlah kelas SD/MI</v>
      </c>
      <c r="Z90" s="565">
        <f>'matrik MISI 4'!Z26</f>
        <v>0</v>
      </c>
    </row>
    <row r="91" spans="2:26">
      <c r="B91" s="940"/>
      <c r="C91" s="941"/>
      <c r="D91" s="940"/>
      <c r="E91" s="940"/>
      <c r="F91" s="940"/>
      <c r="G91" s="940"/>
      <c r="H91" s="164" t="str">
        <f>'matrik MISI 4'!N27</f>
        <v>Rasio Siswa per Kelas SMP/MTs</v>
      </c>
      <c r="I91" s="164" t="str">
        <f>'matrik MISI 4'!O27</f>
        <v>Angka</v>
      </c>
      <c r="J91" s="929">
        <f>'matrik MISI 4'!P27</f>
        <v>31.9</v>
      </c>
      <c r="K91" s="929">
        <f>'matrik MISI 4'!Q27</f>
        <v>31.9</v>
      </c>
      <c r="L91" s="929">
        <f>'matrik MISI 4'!R27</f>
        <v>31.92</v>
      </c>
      <c r="M91" s="961"/>
      <c r="N91" s="929">
        <f>'matrik MISI 4'!S27</f>
        <v>31.94</v>
      </c>
      <c r="O91" s="929"/>
      <c r="P91" s="929">
        <f>'matrik MISI 4'!T27</f>
        <v>31.96</v>
      </c>
      <c r="Q91" s="929"/>
      <c r="R91" s="929">
        <f>'matrik MISI 4'!U27</f>
        <v>31.98</v>
      </c>
      <c r="S91" s="929"/>
      <c r="T91" s="929">
        <f>'matrik MISI 4'!V27</f>
        <v>32</v>
      </c>
      <c r="U91" s="929"/>
      <c r="V91" s="929">
        <f>'matrik MISI 4'!W27</f>
        <v>32</v>
      </c>
      <c r="W91" s="929"/>
      <c r="X91" s="929" t="str">
        <f>'matrik MISI 4'!X27</f>
        <v>Dinas Pendidikan</v>
      </c>
      <c r="Y91" s="565" t="str">
        <f>'matrik MISI 4'!Y27</f>
        <v>Jumlah siswa SMP/MTs dibagi jumlah kelas SMP/MTs</v>
      </c>
      <c r="Z91" s="565">
        <f>'matrik MISI 4'!Z27</f>
        <v>0</v>
      </c>
    </row>
    <row r="92" spans="2:26" ht="45">
      <c r="B92" s="940"/>
      <c r="C92" s="941"/>
      <c r="D92" s="940"/>
      <c r="E92" s="940"/>
      <c r="F92" s="940"/>
      <c r="G92" s="940"/>
      <c r="H92" s="164" t="str">
        <f>'matrik MISI 4'!N28</f>
        <v>Persentase Siswa Miskin Penerima Beasiswa  untuk Menempuh Pendidikan Dasar</v>
      </c>
      <c r="I92" s="164" t="str">
        <f>'matrik MISI 4'!O28</f>
        <v>%</v>
      </c>
      <c r="J92" s="929" t="str">
        <f>'matrik MISI 4'!P28</f>
        <v>65,62</v>
      </c>
      <c r="K92" s="929" t="str">
        <f>'matrik MISI 4'!Q28</f>
        <v>68,13</v>
      </c>
      <c r="L92" s="929" t="str">
        <f>'matrik MISI 4'!R28</f>
        <v>70,65</v>
      </c>
      <c r="M92" s="961"/>
      <c r="N92" s="929" t="str">
        <f>'matrik MISI 4'!S28</f>
        <v>71,90</v>
      </c>
      <c r="O92" s="929"/>
      <c r="P92" s="929" t="str">
        <f>'matrik MISI 4'!T28</f>
        <v>73,16</v>
      </c>
      <c r="Q92" s="929"/>
      <c r="R92" s="929" t="str">
        <f>'matrik MISI 4'!U28</f>
        <v>74,42</v>
      </c>
      <c r="S92" s="929"/>
      <c r="T92" s="929" t="str">
        <f>'matrik MISI 4'!V28</f>
        <v>74,42</v>
      </c>
      <c r="U92" s="929"/>
      <c r="V92" s="929" t="str">
        <f>'matrik MISI 4'!W28</f>
        <v>74,42</v>
      </c>
      <c r="W92" s="929"/>
      <c r="X92" s="929" t="str">
        <f>'matrik MISI 4'!X28</f>
        <v>Dinas Pendidikan</v>
      </c>
      <c r="Y92" s="565" t="str">
        <f>'matrik MISI 4'!Y28</f>
        <v>Jumlah siswa miskin SD/MI/SMP/MTs penerima bantuan/beasiswa miskin dibagi jumlah siswa miskin SD/MI/SMP/MTs</v>
      </c>
      <c r="Z92" s="565">
        <f>'matrik MISI 4'!Z28</f>
        <v>0</v>
      </c>
    </row>
    <row r="93" spans="2:26" ht="30">
      <c r="B93" s="940"/>
      <c r="C93" s="941"/>
      <c r="D93" s="940"/>
      <c r="E93" s="940"/>
      <c r="F93" s="940"/>
      <c r="G93" s="940"/>
      <c r="H93" s="164" t="str">
        <f>'matrik MISI 4'!N29</f>
        <v>Angka Partisipasi Sekolah Usia 7-12 Tahun</v>
      </c>
      <c r="I93" s="164" t="str">
        <f>'matrik MISI 4'!O29</f>
        <v>%</v>
      </c>
      <c r="J93" s="929">
        <f>'matrik MISI 4'!P29</f>
        <v>99.37</v>
      </c>
      <c r="K93" s="929">
        <f>'matrik MISI 4'!Q29</f>
        <v>99.37</v>
      </c>
      <c r="L93" s="929">
        <f>'matrik MISI 4'!R29</f>
        <v>99.4</v>
      </c>
      <c r="M93" s="961"/>
      <c r="N93" s="929">
        <f>'matrik MISI 4'!S29</f>
        <v>99.43</v>
      </c>
      <c r="O93" s="929"/>
      <c r="P93" s="929">
        <f>'matrik MISI 4'!T29</f>
        <v>99.46</v>
      </c>
      <c r="Q93" s="929"/>
      <c r="R93" s="929">
        <f>'matrik MISI 4'!U29</f>
        <v>99.49</v>
      </c>
      <c r="S93" s="929"/>
      <c r="T93" s="929">
        <f>'matrik MISI 4'!V29</f>
        <v>99.52</v>
      </c>
      <c r="U93" s="929"/>
      <c r="V93" s="929">
        <f>'matrik MISI 4'!W29</f>
        <v>99.52</v>
      </c>
      <c r="W93" s="929"/>
      <c r="X93" s="929" t="str">
        <f>'matrik MISI 4'!X29</f>
        <v>Dinas Pendidikan</v>
      </c>
      <c r="Y93" s="565" t="str">
        <f>'matrik MISI 4'!Y29</f>
        <v>Jumlah siswa TK/RA/SD/MI/SMP/MTs usia 7-12 tahun dibagi jumlah penduduk usia 7-12 tahun kali 100%</v>
      </c>
      <c r="Z93" s="565">
        <f>'matrik MISI 4'!Z29</f>
        <v>0</v>
      </c>
    </row>
    <row r="94" spans="2:26" ht="30">
      <c r="B94" s="940"/>
      <c r="C94" s="941"/>
      <c r="D94" s="940"/>
      <c r="E94" s="940"/>
      <c r="F94" s="940"/>
      <c r="G94" s="940"/>
      <c r="H94" s="164" t="str">
        <f>'matrik MISI 4'!N30</f>
        <v>Angka Partisipasi Sekolah Usia 13-15 Tahun</v>
      </c>
      <c r="I94" s="164" t="str">
        <f>'matrik MISI 4'!O30</f>
        <v>%</v>
      </c>
      <c r="J94" s="929">
        <f>'matrik MISI 4'!P30</f>
        <v>99.25</v>
      </c>
      <c r="K94" s="929">
        <f>'matrik MISI 4'!Q30</f>
        <v>99.25</v>
      </c>
      <c r="L94" s="929">
        <f>'matrik MISI 4'!R30</f>
        <v>99.28</v>
      </c>
      <c r="M94" s="961"/>
      <c r="N94" s="929">
        <f>'matrik MISI 4'!S30</f>
        <v>99.31</v>
      </c>
      <c r="O94" s="929"/>
      <c r="P94" s="929">
        <f>'matrik MISI 4'!T30</f>
        <v>99.34</v>
      </c>
      <c r="Q94" s="929"/>
      <c r="R94" s="929">
        <f>'matrik MISI 4'!U30</f>
        <v>99.37</v>
      </c>
      <c r="S94" s="929"/>
      <c r="T94" s="929">
        <f>'matrik MISI 4'!V30</f>
        <v>99.4</v>
      </c>
      <c r="U94" s="929"/>
      <c r="V94" s="929">
        <f>'matrik MISI 4'!W30</f>
        <v>99.4</v>
      </c>
      <c r="W94" s="929"/>
      <c r="X94" s="929" t="str">
        <f>'matrik MISI 4'!X30</f>
        <v>Dinas Pendidikan</v>
      </c>
      <c r="Y94" s="565" t="str">
        <f>'matrik MISI 4'!Y30</f>
        <v>Jumlah siswa SD/MI/SMP/MTs/SMA/MA/ SMK usia 13-15 tahun dibagi jumlah penduduk usia 13-15 tahun kali 100%</v>
      </c>
      <c r="Z94" s="565">
        <f>'matrik MISI 4'!Z30</f>
        <v>0</v>
      </c>
    </row>
    <row r="95" spans="2:26" ht="30">
      <c r="B95" s="940"/>
      <c r="C95" s="941"/>
      <c r="D95" s="940"/>
      <c r="E95" s="940"/>
      <c r="F95" s="940"/>
      <c r="G95" s="940"/>
      <c r="H95" s="164" t="str">
        <f>'matrik MISI 4'!N61</f>
        <v>Persentase Siswa Baru SD/MI yang berasal dari TK/RA</v>
      </c>
      <c r="I95" s="164" t="str">
        <f>'matrik MISI 4'!O61</f>
        <v>%</v>
      </c>
      <c r="J95" s="929">
        <f>'matrik MISI 4'!P61</f>
        <v>94.809186374114205</v>
      </c>
      <c r="K95" s="929">
        <f>'matrik MISI 4'!Q61</f>
        <v>94.82</v>
      </c>
      <c r="L95" s="929">
        <f>'matrik MISI 4'!R61</f>
        <v>94.83</v>
      </c>
      <c r="M95" s="961"/>
      <c r="N95" s="929">
        <f>'matrik MISI 4'!S61</f>
        <v>94.84</v>
      </c>
      <c r="O95" s="929"/>
      <c r="P95" s="929">
        <f>'matrik MISI 4'!T61</f>
        <v>94.85</v>
      </c>
      <c r="Q95" s="929"/>
      <c r="R95" s="929">
        <f>'matrik MISI 4'!U61</f>
        <v>94.86</v>
      </c>
      <c r="S95" s="929"/>
      <c r="T95" s="929">
        <f>'matrik MISI 4'!V61</f>
        <v>94.87</v>
      </c>
      <c r="U95" s="929"/>
      <c r="V95" s="929">
        <f>'matrik MISI 4'!W61</f>
        <v>94.87</v>
      </c>
      <c r="W95" s="929"/>
      <c r="X95" s="929" t="str">
        <f>'matrik MISI 4'!X61</f>
        <v>Dinas Pendidikan</v>
      </c>
      <c r="Y95" s="565" t="str">
        <f>'matrik MISI 4'!Y61</f>
        <v>Jumlah siswa baru tingkat I SD/MI yang berasal dari  TK/RA dibagi jumlah siswa baru tingkat I SD/MI kali 100%</v>
      </c>
      <c r="Z95" s="565">
        <f>'matrik MISI 4'!Z61</f>
        <v>0</v>
      </c>
    </row>
    <row r="96" spans="2:26">
      <c r="B96" s="940"/>
      <c r="C96" s="941"/>
      <c r="D96" s="940"/>
      <c r="E96" s="940"/>
      <c r="F96" s="940"/>
      <c r="G96" s="940"/>
      <c r="H96" s="164" t="str">
        <f>'matrik MISI 4'!N62</f>
        <v>Angka Putus Sekolah SD/MI</v>
      </c>
      <c r="I96" s="164" t="str">
        <f>'matrik MISI 4'!O62</f>
        <v>%</v>
      </c>
      <c r="J96" s="929">
        <f>'matrik MISI 4'!P62</f>
        <v>0.2</v>
      </c>
      <c r="K96" s="929">
        <f>'matrik MISI 4'!Q62</f>
        <v>0.18</v>
      </c>
      <c r="L96" s="929">
        <f>'matrik MISI 4'!R62</f>
        <v>0.17</v>
      </c>
      <c r="M96" s="961"/>
      <c r="N96" s="929">
        <f>'matrik MISI 4'!S62</f>
        <v>0.16</v>
      </c>
      <c r="O96" s="929"/>
      <c r="P96" s="929">
        <f>'matrik MISI 4'!T62</f>
        <v>0.15</v>
      </c>
      <c r="Q96" s="929"/>
      <c r="R96" s="929">
        <f>'matrik MISI 4'!U62</f>
        <v>0.14000000000000001</v>
      </c>
      <c r="S96" s="929"/>
      <c r="T96" s="929">
        <f>'matrik MISI 4'!V62</f>
        <v>0.13</v>
      </c>
      <c r="U96" s="929"/>
      <c r="V96" s="929">
        <f>'matrik MISI 4'!W62</f>
        <v>0.13</v>
      </c>
      <c r="W96" s="929"/>
      <c r="X96" s="929" t="str">
        <f>'matrik MISI 4'!X62</f>
        <v>Dinas Pendidikan</v>
      </c>
      <c r="Y96" s="565" t="str">
        <f>'matrik MISI 4'!Y62</f>
        <v xml:space="preserve">Jumlah siswa putus sekolah SD/MI dibagi jumlah siswa SD/MI </v>
      </c>
      <c r="Z96" s="565">
        <f>'matrik MISI 4'!Z62</f>
        <v>0</v>
      </c>
    </row>
    <row r="97" spans="2:26">
      <c r="B97" s="940"/>
      <c r="C97" s="941"/>
      <c r="D97" s="940"/>
      <c r="E97" s="940"/>
      <c r="F97" s="940"/>
      <c r="G97" s="940"/>
      <c r="H97" s="164" t="str">
        <f>'matrik MISI 4'!N63</f>
        <v>Angka Putus Sekolah SMP/MTs</v>
      </c>
      <c r="I97" s="164" t="str">
        <f>'matrik MISI 4'!O63</f>
        <v>%</v>
      </c>
      <c r="J97" s="929">
        <f>'matrik MISI 4'!P63</f>
        <v>0.44489263257800449</v>
      </c>
      <c r="K97" s="929">
        <f>'matrik MISI 4'!Q63</f>
        <v>0.43</v>
      </c>
      <c r="L97" s="929">
        <f>'matrik MISI 4'!R63</f>
        <v>0.42</v>
      </c>
      <c r="M97" s="961"/>
      <c r="N97" s="929">
        <f>'matrik MISI 4'!S63</f>
        <v>0.41</v>
      </c>
      <c r="O97" s="929"/>
      <c r="P97" s="929">
        <f>'matrik MISI 4'!T63</f>
        <v>0.4</v>
      </c>
      <c r="Q97" s="929"/>
      <c r="R97" s="929">
        <f>'matrik MISI 4'!U63</f>
        <v>0.39</v>
      </c>
      <c r="S97" s="929"/>
      <c r="T97" s="929">
        <f>'matrik MISI 4'!V63</f>
        <v>0.33800000000000002</v>
      </c>
      <c r="U97" s="929"/>
      <c r="V97" s="929">
        <f>'matrik MISI 4'!W63</f>
        <v>0.33800000000000002</v>
      </c>
      <c r="W97" s="929"/>
      <c r="X97" s="929" t="str">
        <f>'matrik MISI 4'!X63</f>
        <v>Dinas Pendidikan</v>
      </c>
      <c r="Y97" s="565" t="str">
        <f>'matrik MISI 4'!Y63</f>
        <v xml:space="preserve">Jumlah siswa putus sekolah SMP/MTs dibagi jumlah siswa SMP/MTs </v>
      </c>
      <c r="Z97" s="565">
        <f>'matrik MISI 4'!Z63</f>
        <v>0</v>
      </c>
    </row>
    <row r="98" spans="2:26" ht="30">
      <c r="B98" s="940"/>
      <c r="C98" s="941"/>
      <c r="D98" s="940"/>
      <c r="E98" s="940"/>
      <c r="F98" s="940"/>
      <c r="G98" s="940"/>
      <c r="H98" s="164" t="str">
        <f>'matrik MISI 4'!N116</f>
        <v>Persentase Ruang Kelas SD/MI yang Kondisinya Baik</v>
      </c>
      <c r="I98" s="164" t="str">
        <f>'matrik MISI 4'!O116</f>
        <v>%</v>
      </c>
      <c r="J98" s="929">
        <f>'matrik MISI 4'!P116</f>
        <v>85.008469791078483</v>
      </c>
      <c r="K98" s="929">
        <f>'matrik MISI 4'!Q116</f>
        <v>86.42</v>
      </c>
      <c r="L98" s="929">
        <f>'matrik MISI 4'!R116</f>
        <v>87.83</v>
      </c>
      <c r="M98" s="961"/>
      <c r="N98" s="929">
        <f>'matrik MISI 4'!S116</f>
        <v>89.25</v>
      </c>
      <c r="O98" s="929"/>
      <c r="P98" s="929">
        <f>'matrik MISI 4'!T116</f>
        <v>90.66</v>
      </c>
      <c r="Q98" s="929"/>
      <c r="R98" s="929">
        <f>'matrik MISI 4'!U116</f>
        <v>92.07</v>
      </c>
      <c r="S98" s="929"/>
      <c r="T98" s="929">
        <f>'matrik MISI 4'!V116</f>
        <v>93.48</v>
      </c>
      <c r="U98" s="929"/>
      <c r="V98" s="929">
        <f>'matrik MISI 4'!W116</f>
        <v>93.48</v>
      </c>
      <c r="W98" s="929"/>
      <c r="X98" s="929" t="str">
        <f>'matrik MISI 4'!X116</f>
        <v>Dinas Pendidikan</v>
      </c>
      <c r="Y98" s="565" t="str">
        <f>'matrik MISI 4'!Y116</f>
        <v>Jumlah ruang kelas SD/MI yang kondisinya baik dibagi jumlah ruang kelas SD/MI kali 100%</v>
      </c>
      <c r="Z98" s="565">
        <f>'matrik MISI 4'!Z116</f>
        <v>0</v>
      </c>
    </row>
    <row r="99" spans="2:26" ht="30">
      <c r="B99" s="940"/>
      <c r="C99" s="941"/>
      <c r="D99" s="940"/>
      <c r="E99" s="940"/>
      <c r="F99" s="940"/>
      <c r="G99" s="940"/>
      <c r="H99" s="164" t="str">
        <f>'matrik MISI 4'!N117</f>
        <v>Persentase Ruang Kelas SMP yang Kondisinya Baik</v>
      </c>
      <c r="I99" s="164" t="str">
        <f>'matrik MISI 4'!O117</f>
        <v>%</v>
      </c>
      <c r="J99" s="929">
        <f>'matrik MISI 4'!P117</f>
        <v>87.352941176470594</v>
      </c>
      <c r="K99" s="929">
        <f>'matrik MISI 4'!Q117</f>
        <v>88.33</v>
      </c>
      <c r="L99" s="929">
        <f>'matrik MISI 4'!R117</f>
        <v>89.31</v>
      </c>
      <c r="M99" s="961"/>
      <c r="N99" s="929">
        <f>'matrik MISI 4'!S117</f>
        <v>90.29</v>
      </c>
      <c r="O99" s="929"/>
      <c r="P99" s="929">
        <f>'matrik MISI 4'!T117</f>
        <v>91.27</v>
      </c>
      <c r="Q99" s="929"/>
      <c r="R99" s="929">
        <f>'matrik MISI 4'!U117</f>
        <v>92.25</v>
      </c>
      <c r="S99" s="929"/>
      <c r="T99" s="929">
        <f>'matrik MISI 4'!V117</f>
        <v>93.23</v>
      </c>
      <c r="U99" s="929"/>
      <c r="V99" s="929">
        <f>'matrik MISI 4'!W117</f>
        <v>93.23</v>
      </c>
      <c r="W99" s="929"/>
      <c r="X99" s="929" t="str">
        <f>'matrik MISI 4'!X117</f>
        <v>Dinas Pendidikan</v>
      </c>
      <c r="Y99" s="565" t="str">
        <f>'matrik MISI 4'!Y117</f>
        <v>Jumlah ruang kelas SMP/MTs yang kondisinya baik dibagi jumlah ruang kelas SMP/MTs kali 100%</v>
      </c>
      <c r="Z99" s="565">
        <f>'matrik MISI 4'!Z117</f>
        <v>0</v>
      </c>
    </row>
    <row r="100" spans="2:26" ht="45">
      <c r="B100" s="940"/>
      <c r="C100" s="941"/>
      <c r="D100" s="940"/>
      <c r="E100" s="940"/>
      <c r="F100" s="940"/>
      <c r="G100" s="940"/>
      <c r="H100" s="164" t="str">
        <f>'matrik MISI 4'!N118</f>
        <v>Persentase SD/MI yang Memiliki Sarana dan Prasarana sesuai dengan Standar Sarana Prasarana</v>
      </c>
      <c r="I100" s="164" t="str">
        <f>'matrik MISI 4'!O118</f>
        <v>%</v>
      </c>
      <c r="J100" s="929">
        <f>'matrik MISI 4'!P118</f>
        <v>60</v>
      </c>
      <c r="K100" s="929">
        <f>'matrik MISI 4'!Q118</f>
        <v>61.75</v>
      </c>
      <c r="L100" s="929">
        <f>'matrik MISI 4'!R118</f>
        <v>63.5</v>
      </c>
      <c r="M100" s="961"/>
      <c r="N100" s="929">
        <f>'matrik MISI 4'!S118</f>
        <v>65.239999999999995</v>
      </c>
      <c r="O100" s="929"/>
      <c r="P100" s="929">
        <f>'matrik MISI 4'!T118</f>
        <v>66.989999999999995</v>
      </c>
      <c r="Q100" s="929"/>
      <c r="R100" s="929">
        <f>'matrik MISI 4'!U118</f>
        <v>68.739999999999995</v>
      </c>
      <c r="S100" s="929"/>
      <c r="T100" s="929">
        <f>'matrik MISI 4'!V118</f>
        <v>70.489999999999995</v>
      </c>
      <c r="U100" s="929"/>
      <c r="V100" s="929">
        <f>'matrik MISI 4'!W118</f>
        <v>70.489999999999995</v>
      </c>
      <c r="W100" s="929"/>
      <c r="X100" s="929" t="str">
        <f>'matrik MISI 4'!X118</f>
        <v>Dinas Pendidikan</v>
      </c>
      <c r="Y100" s="565" t="str">
        <f>'matrik MISI 4'!Y118</f>
        <v>Jumlah SD/MI yang memiliki sarana prasarana sesuai dengan standar sarana prasarana dibagi jumlah SD/MI kali 100%</v>
      </c>
      <c r="Z100" s="565">
        <f>'matrik MISI 4'!Z118</f>
        <v>0</v>
      </c>
    </row>
    <row r="101" spans="2:26" ht="60">
      <c r="B101" s="940"/>
      <c r="C101" s="941"/>
      <c r="D101" s="940"/>
      <c r="E101" s="940"/>
      <c r="F101" s="940"/>
      <c r="G101" s="940"/>
      <c r="H101" s="164" t="str">
        <f>'matrik MISI 4'!N119</f>
        <v>Persentase SMP/MTs yang Memiliki Sarana dan Prasarana sesuai dengan Standar Sarana Prasarana</v>
      </c>
      <c r="I101" s="164" t="str">
        <f>'matrik MISI 4'!O119</f>
        <v>%</v>
      </c>
      <c r="J101" s="929">
        <f>'matrik MISI 4'!P119</f>
        <v>75.239999999999995</v>
      </c>
      <c r="K101" s="929">
        <f>'matrik MISI 4'!Q119</f>
        <v>76.19</v>
      </c>
      <c r="L101" s="929">
        <f>'matrik MISI 4'!R119</f>
        <v>77.14</v>
      </c>
      <c r="M101" s="961"/>
      <c r="N101" s="929">
        <f>'matrik MISI 4'!S119</f>
        <v>78.09</v>
      </c>
      <c r="O101" s="929"/>
      <c r="P101" s="929">
        <f>'matrik MISI 4'!T119</f>
        <v>79.040000000000006</v>
      </c>
      <c r="Q101" s="929"/>
      <c r="R101" s="929">
        <f>'matrik MISI 4'!U119</f>
        <v>79.989999999999995</v>
      </c>
      <c r="S101" s="929"/>
      <c r="T101" s="929" t="str">
        <f>'matrik MISI 4'!V119</f>
        <v>80..94</v>
      </c>
      <c r="U101" s="929"/>
      <c r="V101" s="929" t="str">
        <f>'matrik MISI 4'!W119</f>
        <v>80..94</v>
      </c>
      <c r="W101" s="929"/>
      <c r="X101" s="929" t="str">
        <f>'matrik MISI 4'!X119</f>
        <v>Dinas Pendidikan</v>
      </c>
      <c r="Y101" s="565" t="str">
        <f>'matrik MISI 4'!Y119</f>
        <v>Jumlah SMP/MTs yang memiliki sarana prasarana sesuai dengan standar sarana prasarana dibagi jumlah SMP/MTs kali 100%</v>
      </c>
      <c r="Z101" s="565">
        <f>'matrik MISI 4'!Z119</f>
        <v>0</v>
      </c>
    </row>
    <row r="102" spans="2:26" ht="75">
      <c r="B102" s="940"/>
      <c r="C102" s="941"/>
      <c r="D102" s="940"/>
      <c r="E102" s="940"/>
      <c r="F102" s="940"/>
      <c r="G102" s="940"/>
      <c r="H102" s="164" t="str">
        <f>'matrik MISI 4'!N120</f>
        <v>Cakupan keterjangkauan  satuan pendidikan SD/MI dan6 km untuk SMP/MTs dari kelompok permukiman permanen di daerah terpencil</v>
      </c>
      <c r="I102" s="164" t="str">
        <f>'matrik MISI 4'!O120</f>
        <v>%</v>
      </c>
      <c r="J102" s="929">
        <f>'matrik MISI 4'!P120</f>
        <v>100</v>
      </c>
      <c r="K102" s="929">
        <f>'matrik MISI 4'!Q120</f>
        <v>100</v>
      </c>
      <c r="L102" s="929">
        <f>'matrik MISI 4'!R120</f>
        <v>100</v>
      </c>
      <c r="M102" s="961"/>
      <c r="N102" s="929">
        <f>'matrik MISI 4'!S120</f>
        <v>100</v>
      </c>
      <c r="O102" s="929"/>
      <c r="P102" s="929">
        <f>'matrik MISI 4'!T120</f>
        <v>100</v>
      </c>
      <c r="Q102" s="929"/>
      <c r="R102" s="929">
        <f>'matrik MISI 4'!U120</f>
        <v>100</v>
      </c>
      <c r="S102" s="929"/>
      <c r="T102" s="929">
        <f>'matrik MISI 4'!V120</f>
        <v>100</v>
      </c>
      <c r="U102" s="929"/>
      <c r="V102" s="929">
        <f>'matrik MISI 4'!W120</f>
        <v>100</v>
      </c>
      <c r="W102" s="929"/>
      <c r="X102" s="929" t="str">
        <f>'matrik MISI 4'!X120</f>
        <v>Dinas Pendidikan</v>
      </c>
      <c r="Y102" s="565"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102" s="565" t="str">
        <f>'matrik MISI 4'!Z120</f>
        <v>(SPM 1) Tersedia satuan pendidikan dalam jarak yang terjangkau dengan berjalan kaki yaitu maksimal 3 km untuk SD/MI dan6 km untuk SMP/MTs dari kelompok permukiman permanen di daerah terpencil</v>
      </c>
    </row>
    <row r="103" spans="2:26" ht="75">
      <c r="B103" s="940"/>
      <c r="C103" s="941"/>
      <c r="D103" s="940"/>
      <c r="E103" s="940"/>
      <c r="F103" s="940"/>
      <c r="G103" s="940"/>
      <c r="H103" s="164" t="str">
        <f>'matrik MISI 4'!N121</f>
        <v>Cakupan ketersediaan Sarana prasarana kelas (SD/MI dan SMP/MTs)</v>
      </c>
      <c r="I103" s="164" t="str">
        <f>'matrik MISI 4'!O121</f>
        <v>%</v>
      </c>
      <c r="J103" s="929">
        <f>'matrik MISI 4'!P121</f>
        <v>86.69</v>
      </c>
      <c r="K103" s="929">
        <f>'matrik MISI 4'!Q121</f>
        <v>86.98</v>
      </c>
      <c r="L103" s="929">
        <f>'matrik MISI 4'!R121</f>
        <v>87.28</v>
      </c>
      <c r="M103" s="961"/>
      <c r="N103" s="929">
        <f>'matrik MISI 4'!S121</f>
        <v>87.57</v>
      </c>
      <c r="O103" s="929"/>
      <c r="P103" s="929">
        <f>'matrik MISI 4'!T121</f>
        <v>87.87</v>
      </c>
      <c r="Q103" s="929"/>
      <c r="R103" s="929">
        <f>'matrik MISI 4'!U121</f>
        <v>88.16</v>
      </c>
      <c r="S103" s="929"/>
      <c r="T103" s="929">
        <f>'matrik MISI 4'!V121</f>
        <v>88.45</v>
      </c>
      <c r="U103" s="929"/>
      <c r="V103" s="929">
        <f>'matrik MISI 4'!W121</f>
        <v>88.45</v>
      </c>
      <c r="W103" s="929"/>
      <c r="X103" s="929" t="str">
        <f>'matrik MISI 4'!X121</f>
        <v>Dinas Pendidikan</v>
      </c>
      <c r="Y103" s="565" t="str">
        <f>'matrik MISI 4'!Y121</f>
        <v>Jumlah SD/MI yang semua rombongan belajar (rombel)nya tidak melebihi 32 orang dibagi Jumlah SD/MI di wilayah kabupaten/kota kali 100%</v>
      </c>
      <c r="Z103" s="565"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104" spans="2:26" ht="60">
      <c r="B104" s="940"/>
      <c r="C104" s="941"/>
      <c r="D104" s="940"/>
      <c r="E104" s="940"/>
      <c r="F104" s="940"/>
      <c r="G104" s="940"/>
      <c r="H104" s="164" t="str">
        <f>'matrik MISI 4'!N122</f>
        <v xml:space="preserve">Cakupan ketersediaan laboratorium IPA SMP dan MTs </v>
      </c>
      <c r="I104" s="164" t="str">
        <f>'matrik MISI 4'!O122</f>
        <v>%</v>
      </c>
      <c r="J104" s="929">
        <f>'matrik MISI 4'!P122</f>
        <v>70</v>
      </c>
      <c r="K104" s="929">
        <f>'matrik MISI 4'!Q122</f>
        <v>71.900000000000006</v>
      </c>
      <c r="L104" s="929">
        <f>'matrik MISI 4'!R122</f>
        <v>73.81</v>
      </c>
      <c r="M104" s="961"/>
      <c r="N104" s="929">
        <f>'matrik MISI 4'!S122</f>
        <v>75.709999999999994</v>
      </c>
      <c r="O104" s="929"/>
      <c r="P104" s="929">
        <f>'matrik MISI 4'!T122</f>
        <v>77.62</v>
      </c>
      <c r="Q104" s="929"/>
      <c r="R104" s="929">
        <f>'matrik MISI 4'!U122</f>
        <v>79.52</v>
      </c>
      <c r="S104" s="929"/>
      <c r="T104" s="929">
        <f>'matrik MISI 4'!V122</f>
        <v>81.42</v>
      </c>
      <c r="U104" s="929"/>
      <c r="V104" s="929">
        <f>'matrik MISI 4'!W122</f>
        <v>81.42</v>
      </c>
      <c r="W104" s="929"/>
      <c r="X104" s="929" t="str">
        <f>'matrik MISI 4'!X122</f>
        <v>Dinas Pendidikan</v>
      </c>
      <c r="Y104" s="565" t="str">
        <f>'matrik MISI 4'!Y122</f>
        <v>Jumlah SMP/MTs yang memiliki ruang laboratorium IPA yang dilengkapi dengan meja dan kursi untuk 36 peserta didik dibagi jumlah SMP/MTs kali 100%</v>
      </c>
      <c r="Z104" s="565" t="str">
        <f>'matrik MISI 4'!Z122</f>
        <v>(SPM 3) Di setiap SMP dan MTs tersedia ruang laboratorium IPA yang dilengkapi dengan meja dan kursi yang cukup untuk 36 peserta didik dan minimal satu set peralatan praktek IPA untuk demonstrasi dan eksperimen peserta didik.</v>
      </c>
    </row>
    <row r="105" spans="2:26" ht="60">
      <c r="B105" s="940"/>
      <c r="C105" s="941"/>
      <c r="D105" s="940"/>
      <c r="E105" s="940"/>
      <c r="F105" s="940"/>
      <c r="G105" s="940"/>
      <c r="H105" s="164" t="str">
        <f>'matrik MISI 4'!N123</f>
        <v xml:space="preserve">Cakupan Ketersediaan Ruang Guru </v>
      </c>
      <c r="I105" s="164" t="str">
        <f>'matrik MISI 4'!O123</f>
        <v>%</v>
      </c>
      <c r="J105" s="929">
        <f>'matrik MISI 4'!P123</f>
        <v>98.47</v>
      </c>
      <c r="K105" s="929">
        <f>'matrik MISI 4'!Q123</f>
        <v>98.67</v>
      </c>
      <c r="L105" s="929">
        <f>'matrik MISI 4'!R123</f>
        <v>98.97</v>
      </c>
      <c r="M105" s="961"/>
      <c r="N105" s="929">
        <f>'matrik MISI 4'!S123</f>
        <v>99.26</v>
      </c>
      <c r="O105" s="929"/>
      <c r="P105" s="929">
        <f>'matrik MISI 4'!T123</f>
        <v>99.56</v>
      </c>
      <c r="Q105" s="929"/>
      <c r="R105" s="929">
        <f>'matrik MISI 4'!U123</f>
        <v>99.85</v>
      </c>
      <c r="S105" s="929"/>
      <c r="T105" s="929">
        <f>'matrik MISI 4'!V123</f>
        <v>100</v>
      </c>
      <c r="U105" s="929"/>
      <c r="V105" s="929">
        <f>'matrik MISI 4'!W123</f>
        <v>100</v>
      </c>
      <c r="W105" s="929"/>
      <c r="X105" s="929" t="str">
        <f>'matrik MISI 4'!X123</f>
        <v>Dinas Pendidikan</v>
      </c>
      <c r="Y105" s="565" t="str">
        <f>'matrik MISI 4'!Y123</f>
        <v>Jumlah SD/MI yang memiliki satu ruang guru dan dilengkapi dengan meja dan kursi untuk setiap orang guru, kepala sekolah/madrasah dan staf kependidikan lainnya dibagi jumlah SD/MI kali 100%</v>
      </c>
      <c r="Z105" s="565"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106" spans="2:26" ht="31.5" customHeight="1">
      <c r="B106" s="940"/>
      <c r="C106" s="941"/>
      <c r="D106" s="940">
        <f>'matrik MISI 4'!J32</f>
        <v>1.01</v>
      </c>
      <c r="E106" s="940" t="str">
        <f>'matrik MISI 4'!K32</f>
        <v>xx</v>
      </c>
      <c r="F106" s="940">
        <f>'matrik MISI 4'!L32</f>
        <v>17</v>
      </c>
      <c r="G106" s="940" t="str">
        <f>'matrik MISI 4'!M32</f>
        <v xml:space="preserve">Program pendidikan menengah </v>
      </c>
      <c r="H106" s="164"/>
      <c r="I106" s="164"/>
      <c r="J106" s="929"/>
      <c r="K106" s="929"/>
      <c r="L106" s="929"/>
      <c r="M106" s="961">
        <f>'jangan dihapus 2'!K116</f>
        <v>16340145100</v>
      </c>
      <c r="N106" s="961"/>
      <c r="O106" s="961">
        <f>'jangan dihapus 2'!M116</f>
        <v>16450985000</v>
      </c>
      <c r="P106" s="961"/>
      <c r="Q106" s="961">
        <f>'jangan dihapus 2'!O116</f>
        <v>18086620000</v>
      </c>
      <c r="R106" s="961"/>
      <c r="S106" s="961">
        <f>'jangan dihapus 2'!Q116</f>
        <v>16961620000</v>
      </c>
      <c r="T106" s="961"/>
      <c r="U106" s="961">
        <f>'jangan dihapus 2'!S116</f>
        <v>16551620000</v>
      </c>
      <c r="V106" s="929"/>
      <c r="W106" s="961">
        <f>SUM(M106:U106)</f>
        <v>84390990100</v>
      </c>
      <c r="X106" s="929"/>
      <c r="Y106" s="565"/>
      <c r="Z106" s="565"/>
    </row>
    <row r="107" spans="2:26" ht="30">
      <c r="B107" s="940"/>
      <c r="C107" s="941"/>
      <c r="D107" s="939"/>
      <c r="E107" s="939"/>
      <c r="F107" s="939"/>
      <c r="G107" s="939"/>
      <c r="H107" s="164" t="str">
        <f>'matrik MISI 4'!N32</f>
        <v>Persentase APK Pendidikan Menengah</v>
      </c>
      <c r="I107" s="164" t="str">
        <f>'matrik MISI 4'!O32</f>
        <v>%</v>
      </c>
      <c r="J107" s="929">
        <f>'matrik MISI 4'!P32</f>
        <v>56.56</v>
      </c>
      <c r="K107" s="929">
        <f>'matrik MISI 4'!Q32</f>
        <v>56.66</v>
      </c>
      <c r="L107" s="929">
        <f>'matrik MISI 4'!R32</f>
        <v>56.76</v>
      </c>
      <c r="M107" s="961"/>
      <c r="N107" s="929">
        <f>'matrik MISI 4'!S32</f>
        <v>56.86</v>
      </c>
      <c r="O107" s="929"/>
      <c r="P107" s="929">
        <f>'matrik MISI 4'!T32</f>
        <v>56.96</v>
      </c>
      <c r="Q107" s="929"/>
      <c r="R107" s="929">
        <f>'matrik MISI 4'!U32</f>
        <v>57.06</v>
      </c>
      <c r="S107" s="929"/>
      <c r="T107" s="929">
        <f>'matrik MISI 4'!V32</f>
        <v>57.16</v>
      </c>
      <c r="U107" s="929"/>
      <c r="V107" s="929">
        <f>'matrik MISI 4'!W32</f>
        <v>57.16</v>
      </c>
      <c r="W107" s="929"/>
      <c r="X107" s="929" t="str">
        <f>'matrik MISI 4'!X32</f>
        <v>Dinas Pendidikan</v>
      </c>
      <c r="Y107" s="565" t="str">
        <f>'matrik MISI 4'!Y32</f>
        <v>Jumlah siswa SMA/MA/SMK-sederajat dibagi jumlah penduduk usia 16-18 tahun kali 100%</v>
      </c>
      <c r="Z107" s="565">
        <f>'matrik MISI 4'!Z32</f>
        <v>0</v>
      </c>
    </row>
    <row r="108" spans="2:26" ht="30">
      <c r="B108" s="940"/>
      <c r="C108" s="941"/>
      <c r="D108" s="940"/>
      <c r="E108" s="940"/>
      <c r="F108" s="940"/>
      <c r="G108" s="940"/>
      <c r="H108" s="164" t="str">
        <f>'matrik MISI 4'!N33</f>
        <v>Persentase APM Pendidikan Menengah</v>
      </c>
      <c r="I108" s="164" t="str">
        <f>'matrik MISI 4'!O33</f>
        <v>%</v>
      </c>
      <c r="J108" s="929">
        <f>'matrik MISI 4'!P33</f>
        <v>39.549999999999997</v>
      </c>
      <c r="K108" s="929">
        <f>'matrik MISI 4'!Q33</f>
        <v>39.65</v>
      </c>
      <c r="L108" s="929">
        <f>'matrik MISI 4'!R33</f>
        <v>39.75</v>
      </c>
      <c r="M108" s="961"/>
      <c r="N108" s="929">
        <f>'matrik MISI 4'!S33</f>
        <v>39.85</v>
      </c>
      <c r="O108" s="929"/>
      <c r="P108" s="929" t="str">
        <f>'matrik MISI 4'!T33</f>
        <v>39..95</v>
      </c>
      <c r="Q108" s="929"/>
      <c r="R108" s="929">
        <f>'matrik MISI 4'!U33</f>
        <v>40.049999999999997</v>
      </c>
      <c r="S108" s="929"/>
      <c r="T108" s="929">
        <f>'matrik MISI 4'!V33</f>
        <v>40.15</v>
      </c>
      <c r="U108" s="929"/>
      <c r="V108" s="929">
        <f>'matrik MISI 4'!W33</f>
        <v>40.15</v>
      </c>
      <c r="W108" s="929"/>
      <c r="X108" s="929" t="str">
        <f>'matrik MISI 4'!X33</f>
        <v>Dinas Pendidikan</v>
      </c>
      <c r="Y108" s="565" t="str">
        <f>'matrik MISI 4'!Y33</f>
        <v>Jumlah siswa SMA/MA/SMK-sederajat usia 16-18 tahundibagi jumlah penduduk usia 16-18 tahun kali 100%</v>
      </c>
      <c r="Z108" s="565">
        <f>'matrik MISI 4'!Z33</f>
        <v>0</v>
      </c>
    </row>
    <row r="109" spans="2:26" ht="30">
      <c r="B109" s="940"/>
      <c r="C109" s="941"/>
      <c r="D109" s="940"/>
      <c r="E109" s="940"/>
      <c r="F109" s="940"/>
      <c r="G109" s="940"/>
      <c r="H109" s="164" t="str">
        <f>'matrik MISI 4'!N34</f>
        <v>Angka Melanjutkan ke Jenjang Pendidikan Menengah</v>
      </c>
      <c r="I109" s="164" t="str">
        <f>'matrik MISI 4'!O34</f>
        <v>%</v>
      </c>
      <c r="J109" s="929">
        <f>'matrik MISI 4'!P34</f>
        <v>65.479140850888058</v>
      </c>
      <c r="K109" s="929">
        <f>'matrik MISI 4'!Q34</f>
        <v>65.569999999999993</v>
      </c>
      <c r="L109" s="929">
        <f>'matrik MISI 4'!R34</f>
        <v>65.66</v>
      </c>
      <c r="M109" s="961"/>
      <c r="N109" s="929">
        <f>'matrik MISI 4'!S34</f>
        <v>65.75</v>
      </c>
      <c r="O109" s="929"/>
      <c r="P109" s="929">
        <f>'matrik MISI 4'!T34</f>
        <v>65.84</v>
      </c>
      <c r="Q109" s="929"/>
      <c r="R109" s="929">
        <f>'matrik MISI 4'!U34</f>
        <v>65.930000000000007</v>
      </c>
      <c r="S109" s="929"/>
      <c r="T109" s="929">
        <f>'matrik MISI 4'!V34</f>
        <v>66.02</v>
      </c>
      <c r="U109" s="929"/>
      <c r="V109" s="929">
        <f>'matrik MISI 4'!W34</f>
        <v>66.02</v>
      </c>
      <c r="W109" s="929"/>
      <c r="X109" s="929" t="str">
        <f>'matrik MISI 4'!X34</f>
        <v>Dinas Pendidikan</v>
      </c>
      <c r="Y109" s="565" t="str">
        <f>'matrik MISI 4'!Y34</f>
        <v>Jumlah lulusan SMP/MTs tahun T-1 dibagi jumlah siswa baru tingkat I SMA/MA/SMK tahun T kali 100%</v>
      </c>
      <c r="Z109" s="565">
        <f>'matrik MISI 4'!Z34</f>
        <v>0</v>
      </c>
    </row>
    <row r="110" spans="2:26" ht="45">
      <c r="B110" s="940"/>
      <c r="C110" s="941"/>
      <c r="D110" s="940"/>
      <c r="E110" s="940"/>
      <c r="F110" s="940"/>
      <c r="G110" s="940"/>
      <c r="H110" s="164" t="str">
        <f>'matrik MISI 4'!N35</f>
        <v>Persentase Partisipasi Anak Perempuan dalam Pendidikan Menengah</v>
      </c>
      <c r="I110" s="164" t="str">
        <f>'matrik MISI 4'!O35</f>
        <v>%</v>
      </c>
      <c r="J110" s="929">
        <f>'matrik MISI 4'!P35</f>
        <v>51.247836525040483</v>
      </c>
      <c r="K110" s="929">
        <f>'matrik MISI 4'!Q35</f>
        <v>51.25</v>
      </c>
      <c r="L110" s="929">
        <f>'matrik MISI 4'!R35</f>
        <v>51.17</v>
      </c>
      <c r="M110" s="961"/>
      <c r="N110" s="929">
        <f>'matrik MISI 4'!S35</f>
        <v>51.09</v>
      </c>
      <c r="O110" s="929"/>
      <c r="P110" s="929">
        <f>'matrik MISI 4'!T35</f>
        <v>51.01</v>
      </c>
      <c r="Q110" s="929"/>
      <c r="R110" s="929">
        <f>'matrik MISI 4'!U35</f>
        <v>50.93</v>
      </c>
      <c r="S110" s="929"/>
      <c r="T110" s="929">
        <f>'matrik MISI 4'!V35</f>
        <v>50.85</v>
      </c>
      <c r="U110" s="929"/>
      <c r="V110" s="929">
        <f>'matrik MISI 4'!W35</f>
        <v>50.85</v>
      </c>
      <c r="W110" s="929"/>
      <c r="X110" s="929" t="str">
        <f>'matrik MISI 4'!X35</f>
        <v>Dinas Pendidikan</v>
      </c>
      <c r="Y110" s="565" t="str">
        <f>'matrik MISI 4'!Y35</f>
        <v>Jumlah siswa perempuan SMA/MA/SMK dibagi jumlah siswa perempuan dan laki-laki SMA/MA/SMK kali 100%</v>
      </c>
      <c r="Z110" s="565">
        <f>'matrik MISI 4'!Z35</f>
        <v>0</v>
      </c>
    </row>
    <row r="111" spans="2:26">
      <c r="B111" s="940"/>
      <c r="C111" s="941"/>
      <c r="D111" s="940"/>
      <c r="E111" s="940"/>
      <c r="F111" s="940"/>
      <c r="G111" s="940"/>
      <c r="H111" s="164" t="str">
        <f>'matrik MISI 4'!N36</f>
        <v>Rasio Siswa per Kelas SMA/MA</v>
      </c>
      <c r="I111" s="164" t="str">
        <f>'matrik MISI 4'!O36</f>
        <v>Rasio</v>
      </c>
      <c r="J111" s="929" t="str">
        <f>'matrik MISI 4'!P36</f>
        <v>1 : 28</v>
      </c>
      <c r="K111" s="929" t="str">
        <f>'matrik MISI 4'!Q36</f>
        <v>1 : 28</v>
      </c>
      <c r="L111" s="929" t="str">
        <f>'matrik MISI 4'!R36</f>
        <v>1:29</v>
      </c>
      <c r="M111" s="961"/>
      <c r="N111" s="929" t="str">
        <f>'matrik MISI 4'!S36</f>
        <v>1:29</v>
      </c>
      <c r="O111" s="929"/>
      <c r="P111" s="929" t="str">
        <f>'matrik MISI 4'!T36</f>
        <v>1:30</v>
      </c>
      <c r="Q111" s="929"/>
      <c r="R111" s="929" t="str">
        <f>'matrik MISI 4'!U36</f>
        <v>1:30</v>
      </c>
      <c r="S111" s="929"/>
      <c r="T111" s="929">
        <f>'matrik MISI 4'!V36</f>
        <v>0</v>
      </c>
      <c r="U111" s="929"/>
      <c r="V111" s="929">
        <f>'matrik MISI 4'!W36</f>
        <v>0</v>
      </c>
      <c r="W111" s="929"/>
      <c r="X111" s="929" t="str">
        <f>'matrik MISI 4'!X36</f>
        <v>Dinas Pendidikan</v>
      </c>
      <c r="Y111" s="565" t="str">
        <f>'matrik MISI 4'!Y36</f>
        <v>Jumlah siswa SMA/MA dibagi jumlah kelas SMA/MA</v>
      </c>
      <c r="Z111" s="565">
        <f>'matrik MISI 4'!Z36</f>
        <v>0</v>
      </c>
    </row>
    <row r="112" spans="2:26">
      <c r="B112" s="940"/>
      <c r="C112" s="941"/>
      <c r="D112" s="940"/>
      <c r="E112" s="940"/>
      <c r="F112" s="940"/>
      <c r="G112" s="940"/>
      <c r="H112" s="164" t="str">
        <f>'matrik MISI 4'!N37</f>
        <v>Rasio Siswa per Kelas SMK</v>
      </c>
      <c r="I112" s="164" t="str">
        <f>'matrik MISI 4'!O37</f>
        <v>Rasio</v>
      </c>
      <c r="J112" s="929" t="str">
        <f>'matrik MISI 4'!P37</f>
        <v>1 : 32</v>
      </c>
      <c r="K112" s="929" t="str">
        <f>'matrik MISI 4'!Q37</f>
        <v>1 : 32</v>
      </c>
      <c r="L112" s="929" t="str">
        <f>'matrik MISI 4'!R37</f>
        <v>1 : 32</v>
      </c>
      <c r="M112" s="961"/>
      <c r="N112" s="929" t="str">
        <f>'matrik MISI 4'!S37</f>
        <v>1 : 32</v>
      </c>
      <c r="O112" s="929"/>
      <c r="P112" s="929" t="str">
        <f>'matrik MISI 4'!T37</f>
        <v>1 : 32</v>
      </c>
      <c r="Q112" s="929"/>
      <c r="R112" s="929" t="str">
        <f>'matrik MISI 4'!U37</f>
        <v>1 : 32</v>
      </c>
      <c r="S112" s="929"/>
      <c r="T112" s="929" t="str">
        <f>'matrik MISI 4'!V37</f>
        <v>1 : 32</v>
      </c>
      <c r="U112" s="929"/>
      <c r="V112" s="929" t="str">
        <f>'matrik MISI 4'!W37</f>
        <v>1 : 32</v>
      </c>
      <c r="W112" s="929"/>
      <c r="X112" s="929" t="str">
        <f>'matrik MISI 4'!X37</f>
        <v>Dinas Pendidikan</v>
      </c>
      <c r="Y112" s="565" t="str">
        <f>'matrik MISI 4'!Y37</f>
        <v>Jumlah siswa SMK dibagi jumlah kelas SMK</v>
      </c>
      <c r="Z112" s="565">
        <f>'matrik MISI 4'!Z37</f>
        <v>0</v>
      </c>
    </row>
    <row r="113" spans="2:26" ht="60">
      <c r="B113" s="940"/>
      <c r="C113" s="941"/>
      <c r="D113" s="940"/>
      <c r="E113" s="940"/>
      <c r="F113" s="940"/>
      <c r="G113" s="940"/>
      <c r="H113" s="164" t="str">
        <f>'matrik MISI 4'!N38</f>
        <v>Persentase Siswa Miskin Penerima Beasiswa untuk Menempuh Pendidikan Menengah</v>
      </c>
      <c r="I113" s="164" t="str">
        <f>'matrik MISI 4'!O38</f>
        <v>%</v>
      </c>
      <c r="J113" s="929">
        <f>'matrik MISI 4'!P38</f>
        <v>0</v>
      </c>
      <c r="K113" s="929">
        <f>'matrik MISI 4'!Q38</f>
        <v>24</v>
      </c>
      <c r="L113" s="929" t="str">
        <f>'matrik MISI 4'!R38</f>
        <v>29,35</v>
      </c>
      <c r="M113" s="961"/>
      <c r="N113" s="929" t="str">
        <f>'matrik MISI 4'!S38</f>
        <v>34,70</v>
      </c>
      <c r="O113" s="929"/>
      <c r="P113" s="929" t="str">
        <f>'matrik MISI 4'!T38</f>
        <v>40,06</v>
      </c>
      <c r="Q113" s="929"/>
      <c r="R113" s="929" t="str">
        <f>'matrik MISI 4'!U38</f>
        <v>45,41</v>
      </c>
      <c r="S113" s="929"/>
      <c r="T113" s="929" t="str">
        <f>'matrik MISI 4'!V38</f>
        <v>50,76</v>
      </c>
      <c r="U113" s="929"/>
      <c r="V113" s="929" t="str">
        <f>'matrik MISI 4'!W38</f>
        <v>50,76</v>
      </c>
      <c r="W113" s="929"/>
      <c r="X113" s="929" t="str">
        <f>'matrik MISI 4'!X38</f>
        <v>Dinas Pendidikan</v>
      </c>
      <c r="Y113" s="565" t="str">
        <f>'matrik MISI 4'!Y38</f>
        <v>Jumlah siswa miskin SMA/MA/SMK penerima bantuan/beasiswa miskin dibagi jumlah siswa miskin SMA/MA/SMK kali 100%</v>
      </c>
      <c r="Z113" s="565">
        <f>'matrik MISI 4'!Z38</f>
        <v>0</v>
      </c>
    </row>
    <row r="114" spans="2:26" ht="90">
      <c r="B114" s="940"/>
      <c r="C114" s="941"/>
      <c r="D114" s="940"/>
      <c r="E114" s="940"/>
      <c r="F114" s="940"/>
      <c r="G114" s="940"/>
      <c r="H114" s="164" t="str">
        <f>'matrik MISI 4'!N39</f>
        <v>Tersedianya layanan pendidikan menengah di setiap kecamatan</v>
      </c>
      <c r="I114" s="164" t="str">
        <f>'matrik MISI 4'!O39</f>
        <v>%</v>
      </c>
      <c r="J114" s="929">
        <f>'matrik MISI 4'!P39</f>
        <v>80</v>
      </c>
      <c r="K114" s="929">
        <f>'matrik MISI 4'!Q39</f>
        <v>75</v>
      </c>
      <c r="L114" s="929">
        <f>'matrik MISI 4'!R39</f>
        <v>75</v>
      </c>
      <c r="M114" s="961"/>
      <c r="N114" s="929">
        <f>'matrik MISI 4'!S39</f>
        <v>75</v>
      </c>
      <c r="O114" s="929"/>
      <c r="P114" s="929">
        <f>'matrik MISI 4'!T39</f>
        <v>80</v>
      </c>
      <c r="Q114" s="929"/>
      <c r="R114" s="929">
        <f>'matrik MISI 4'!U39</f>
        <v>80</v>
      </c>
      <c r="S114" s="929"/>
      <c r="T114" s="929">
        <f>'matrik MISI 4'!V39</f>
        <v>80</v>
      </c>
      <c r="U114" s="929"/>
      <c r="V114" s="929">
        <f>'matrik MISI 4'!W39</f>
        <v>80</v>
      </c>
      <c r="W114" s="929"/>
      <c r="X114" s="929" t="str">
        <f>'matrik MISI 4'!X39</f>
        <v>Dinas Pendidikan</v>
      </c>
      <c r="Y114" s="565" t="str">
        <f>'matrik MISI 4'!Y39</f>
        <v>Jumlah kecamatan yang sudah memiliki lembaga pendidikan menengah dibagi jumlah Kecamatan kali 100%</v>
      </c>
      <c r="Z114" s="565"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115" spans="2:26" ht="30">
      <c r="B115" s="940"/>
      <c r="C115" s="941"/>
      <c r="D115" s="940"/>
      <c r="E115" s="940"/>
      <c r="F115" s="940"/>
      <c r="G115" s="940"/>
      <c r="H115" s="164" t="str">
        <f>'matrik MISI 4'!N40</f>
        <v>Angka Partisipasi Sekolah 16-18 Tahun</v>
      </c>
      <c r="I115" s="164" t="str">
        <f>'matrik MISI 4'!O40</f>
        <v>%</v>
      </c>
      <c r="J115" s="929">
        <f>'matrik MISI 4'!P40</f>
        <v>43.89</v>
      </c>
      <c r="K115" s="929">
        <f>'matrik MISI 4'!Q40</f>
        <v>43.89</v>
      </c>
      <c r="L115" s="929">
        <f>'matrik MISI 4'!R40</f>
        <v>43.97</v>
      </c>
      <c r="M115" s="961"/>
      <c r="N115" s="929">
        <f>'matrik MISI 4'!S40</f>
        <v>44.05</v>
      </c>
      <c r="O115" s="929"/>
      <c r="P115" s="929">
        <f>'matrik MISI 4'!T40</f>
        <v>44.13</v>
      </c>
      <c r="Q115" s="929"/>
      <c r="R115" s="929">
        <f>'matrik MISI 4'!U40</f>
        <v>44.21</v>
      </c>
      <c r="S115" s="929"/>
      <c r="T115" s="929">
        <f>'matrik MISI 4'!V40</f>
        <v>44.29</v>
      </c>
      <c r="U115" s="929"/>
      <c r="V115" s="929">
        <f>'matrik MISI 4'!W40</f>
        <v>44.29</v>
      </c>
      <c r="W115" s="929"/>
      <c r="X115" s="929" t="str">
        <f>'matrik MISI 4'!X40</f>
        <v>Dinas Pendidikan</v>
      </c>
      <c r="Y115" s="565" t="str">
        <f>'matrik MISI 4'!Y40</f>
        <v>Jumlah siswa SMP/MTs/SMA/MA/SMK usia 16-18 tahun dibagi jumlah penduduk usia 16-18 tahun kali 100%</v>
      </c>
      <c r="Z115" s="565">
        <f>'matrik MISI 4'!Z40</f>
        <v>0</v>
      </c>
    </row>
    <row r="116" spans="2:26" ht="45">
      <c r="B116" s="940"/>
      <c r="C116" s="941"/>
      <c r="D116" s="940"/>
      <c r="E116" s="940"/>
      <c r="F116" s="940"/>
      <c r="G116" s="940"/>
      <c r="H116" s="164" t="str">
        <f>'matrik MISI 4'!N41</f>
        <v>Rasio ketersediaan sekolah (SMA/MA/SMK) per Penduduk Usia 16-18 Tahun</v>
      </c>
      <c r="I116" s="164" t="str">
        <f>'matrik MISI 4'!O41</f>
        <v>Unit/10 000 penduduk usia sekolah</v>
      </c>
      <c r="J116" s="929" t="str">
        <f>'matrik MISI 4'!P41</f>
        <v>14,71</v>
      </c>
      <c r="K116" s="929" t="str">
        <f>'matrik MISI 4'!Q41</f>
        <v>14,28</v>
      </c>
      <c r="L116" s="929" t="str">
        <f>'matrik MISI 4'!R41</f>
        <v>14,12</v>
      </c>
      <c r="M116" s="961"/>
      <c r="N116" s="929" t="str">
        <f>'matrik MISI 4'!S41</f>
        <v>13,96</v>
      </c>
      <c r="O116" s="929"/>
      <c r="P116" s="929" t="str">
        <f>'matrik MISI 4'!T41</f>
        <v>13,91</v>
      </c>
      <c r="Q116" s="929"/>
      <c r="R116" s="929" t="str">
        <f>'matrik MISI 4'!U41</f>
        <v>13,75</v>
      </c>
      <c r="S116" s="929"/>
      <c r="T116" s="929" t="str">
        <f>'matrik MISI 4'!V41</f>
        <v>13,57</v>
      </c>
      <c r="U116" s="929"/>
      <c r="V116" s="929" t="str">
        <f>'matrik MISI 4'!W41</f>
        <v>13,57</v>
      </c>
      <c r="W116" s="929"/>
      <c r="X116" s="929" t="str">
        <f>'matrik MISI 4'!X41</f>
        <v>Dinas Pendidikan</v>
      </c>
      <c r="Y116" s="565" t="str">
        <f>'matrik MISI 4'!Y41</f>
        <v>Jumlah satuan pendidikan SMA/MA/SMK dibagi jumlah penduduk usia 16-18 tahun</v>
      </c>
      <c r="Z116" s="565" t="str">
        <f>'matrik MISI 4'!Z41</f>
        <v>Maksudnya apa?</v>
      </c>
    </row>
    <row r="117" spans="2:26" ht="30">
      <c r="B117" s="940"/>
      <c r="C117" s="941"/>
      <c r="D117" s="940"/>
      <c r="E117" s="940"/>
      <c r="F117" s="940"/>
      <c r="G117" s="940"/>
      <c r="H117" s="164" t="str">
        <f>'matrik MISI 4'!N75</f>
        <v>Angka Putus Sekolah SMA/MA/SMK</v>
      </c>
      <c r="I117" s="164" t="str">
        <f>'matrik MISI 4'!O75</f>
        <v>%</v>
      </c>
      <c r="J117" s="929">
        <f>'matrik MISI 4'!P75</f>
        <v>1.1807668898356665</v>
      </c>
      <c r="K117" s="929">
        <f>'matrik MISI 4'!Q75</f>
        <v>1.64</v>
      </c>
      <c r="L117" s="929">
        <f>'matrik MISI 4'!R75</f>
        <v>1.62</v>
      </c>
      <c r="M117" s="961"/>
      <c r="N117" s="929">
        <f>'matrik MISI 4'!S75</f>
        <v>1.6</v>
      </c>
      <c r="O117" s="929"/>
      <c r="P117" s="929">
        <f>'matrik MISI 4'!T75</f>
        <v>1.58</v>
      </c>
      <c r="Q117" s="929"/>
      <c r="R117" s="929">
        <f>'matrik MISI 4'!U75</f>
        <v>1.56</v>
      </c>
      <c r="S117" s="929"/>
      <c r="T117" s="929">
        <f>'matrik MISI 4'!V75</f>
        <v>1.54</v>
      </c>
      <c r="U117" s="929"/>
      <c r="V117" s="929">
        <f>'matrik MISI 4'!W75</f>
        <v>1.54</v>
      </c>
      <c r="W117" s="929"/>
      <c r="X117" s="929" t="str">
        <f>'matrik MISI 4'!X75</f>
        <v>Dinas Pendidikan</v>
      </c>
      <c r="Y117" s="565" t="str">
        <f>'matrik MISI 4'!Y75</f>
        <v>Jumlah siswa putus sekolah SMA/MA/SMK dibagi jumlah siswa SMA/MA/SMK kali 100%</v>
      </c>
      <c r="Z117" s="565">
        <f>'matrik MISI 4'!Z75</f>
        <v>0</v>
      </c>
    </row>
    <row r="118" spans="2:26" ht="30">
      <c r="B118" s="940"/>
      <c r="C118" s="941"/>
      <c r="D118" s="940"/>
      <c r="E118" s="940"/>
      <c r="F118" s="940"/>
      <c r="G118" s="940"/>
      <c r="H118" s="164" t="str">
        <f>'matrik MISI 4'!N125</f>
        <v>Persentase ruang kelas SMA/MA yang kondisinya baik</v>
      </c>
      <c r="I118" s="164" t="str">
        <f>'matrik MISI 4'!O125</f>
        <v>%</v>
      </c>
      <c r="J118" s="929">
        <f>'matrik MISI 4'!P125</f>
        <v>95.3125</v>
      </c>
      <c r="K118" s="929">
        <f>'matrik MISI 4'!Q125</f>
        <v>96.59</v>
      </c>
      <c r="L118" s="929">
        <f>'matrik MISI 4'!R125</f>
        <v>97.37</v>
      </c>
      <c r="M118" s="961"/>
      <c r="N118" s="929">
        <f>'matrik MISI 4'!S125</f>
        <v>98.15</v>
      </c>
      <c r="O118" s="929"/>
      <c r="P118" s="929">
        <f>'matrik MISI 4'!T125</f>
        <v>98.93</v>
      </c>
      <c r="Q118" s="929"/>
      <c r="R118" s="929">
        <f>'matrik MISI 4'!U125</f>
        <v>99.71</v>
      </c>
      <c r="S118" s="929"/>
      <c r="T118" s="929">
        <f>'matrik MISI 4'!V125</f>
        <v>100</v>
      </c>
      <c r="U118" s="929"/>
      <c r="V118" s="929">
        <f>'matrik MISI 4'!W125</f>
        <v>100</v>
      </c>
      <c r="W118" s="929"/>
      <c r="X118" s="929" t="str">
        <f>'matrik MISI 4'!X125</f>
        <v>Dinas Pendidikan</v>
      </c>
      <c r="Y118" s="565" t="str">
        <f>'matrik MISI 4'!Y125</f>
        <v>Jumlah ruang kelas SMA/MA yang kondisinya baik dibagi jumlah ruang kelas SMA/MA kali 100%</v>
      </c>
      <c r="Z118" s="565">
        <f>'matrik MISI 4'!Z125</f>
        <v>0</v>
      </c>
    </row>
    <row r="119" spans="2:26" ht="30">
      <c r="B119" s="940"/>
      <c r="C119" s="941"/>
      <c r="D119" s="940"/>
      <c r="E119" s="940"/>
      <c r="F119" s="940"/>
      <c r="G119" s="940"/>
      <c r="H119" s="164" t="str">
        <f>'matrik MISI 4'!N126</f>
        <v>Persentase ruang kelas SMK yang kondisinya baik</v>
      </c>
      <c r="I119" s="164" t="str">
        <f>'matrik MISI 4'!O126</f>
        <v>%</v>
      </c>
      <c r="J119" s="929">
        <f>'matrik MISI 4'!P126</f>
        <v>98.107255520504737</v>
      </c>
      <c r="K119" s="929">
        <f>'matrik MISI 4'!Q126</f>
        <v>98.75</v>
      </c>
      <c r="L119" s="929">
        <f>'matrik MISI 4'!R126</f>
        <v>99.39</v>
      </c>
      <c r="M119" s="961"/>
      <c r="N119" s="929">
        <f>'matrik MISI 4'!S126</f>
        <v>100</v>
      </c>
      <c r="O119" s="929"/>
      <c r="P119" s="929">
        <f>'matrik MISI 4'!T126</f>
        <v>99.39</v>
      </c>
      <c r="Q119" s="929"/>
      <c r="R119" s="929">
        <f>'matrik MISI 4'!U126</f>
        <v>99.39</v>
      </c>
      <c r="S119" s="929"/>
      <c r="T119" s="929">
        <f>'matrik MISI 4'!V126</f>
        <v>99.39</v>
      </c>
      <c r="U119" s="929"/>
      <c r="V119" s="929">
        <f>'matrik MISI 4'!W126</f>
        <v>99.39</v>
      </c>
      <c r="W119" s="929"/>
      <c r="X119" s="929" t="str">
        <f>'matrik MISI 4'!X126</f>
        <v>Dinas Pendidikan</v>
      </c>
      <c r="Y119" s="565" t="str">
        <f>'matrik MISI 4'!Y126</f>
        <v>Jumlah ruang kelas SMK yang kondisinya baik dibagi jumlah ruang kelas SMK kali 100%</v>
      </c>
      <c r="Z119" s="565">
        <f>'matrik MISI 4'!Z126</f>
        <v>0</v>
      </c>
    </row>
    <row r="120" spans="2:26" ht="60">
      <c r="B120" s="940"/>
      <c r="C120" s="941"/>
      <c r="D120" s="940"/>
      <c r="E120" s="940"/>
      <c r="F120" s="940"/>
      <c r="G120" s="940"/>
      <c r="H120" s="164" t="str">
        <f>'matrik MISI 4'!N127</f>
        <v>Persentase SMA/MA yang memiliki sarana dan prasarana sesuai dengan standar sarana  prasarana</v>
      </c>
      <c r="I120" s="164" t="str">
        <f>'matrik MISI 4'!O127</f>
        <v>%</v>
      </c>
      <c r="J120" s="929">
        <f>'matrik MISI 4'!P127</f>
        <v>80</v>
      </c>
      <c r="K120" s="929">
        <f>'matrik MISI 4'!Q127</f>
        <v>74.069999999999993</v>
      </c>
      <c r="L120" s="929">
        <f>'matrik MISI 4'!R127</f>
        <v>81.47</v>
      </c>
      <c r="M120" s="961"/>
      <c r="N120" s="929">
        <f>'matrik MISI 4'!S127</f>
        <v>8.8699999999999992</v>
      </c>
      <c r="O120" s="929"/>
      <c r="P120" s="929">
        <f>'matrik MISI 4'!T127</f>
        <v>96.27</v>
      </c>
      <c r="Q120" s="929"/>
      <c r="R120" s="929">
        <f>'matrik MISI 4'!U127</f>
        <v>96.27</v>
      </c>
      <c r="S120" s="929"/>
      <c r="T120" s="929">
        <f>'matrik MISI 4'!V127</f>
        <v>96.27</v>
      </c>
      <c r="U120" s="929"/>
      <c r="V120" s="929">
        <f>'matrik MISI 4'!W127</f>
        <v>96.27</v>
      </c>
      <c r="W120" s="929"/>
      <c r="X120" s="929" t="str">
        <f>'matrik MISI 4'!X127</f>
        <v>Dinas Pendidikan</v>
      </c>
      <c r="Y120" s="565" t="str">
        <f>'matrik MISI 4'!Y127</f>
        <v>Jumlah SMA/MA yang memiliki sarana dan prasarana sesuai dengan standar sarana  prasarana dibagi jumlah SMA/MA kali 100%</v>
      </c>
      <c r="Z120" s="565">
        <f>'matrik MISI 4'!Z127</f>
        <v>0</v>
      </c>
    </row>
    <row r="121" spans="2:26" ht="60">
      <c r="B121" s="940"/>
      <c r="C121" s="941"/>
      <c r="D121" s="940"/>
      <c r="E121" s="940"/>
      <c r="F121" s="940"/>
      <c r="G121" s="940"/>
      <c r="H121" s="164" t="str">
        <f>'matrik MISI 4'!N128</f>
        <v>Persentase SMK yang memiliki sarana dan prasarana sesuai dengan standar sarana  prasarana</v>
      </c>
      <c r="I121" s="164" t="str">
        <f>'matrik MISI 4'!O128</f>
        <v>%</v>
      </c>
      <c r="J121" s="929">
        <f>'matrik MISI 4'!P128</f>
        <v>80</v>
      </c>
      <c r="K121" s="929">
        <f>'matrik MISI 4'!Q128</f>
        <v>81.819999999999993</v>
      </c>
      <c r="L121" s="929">
        <f>'matrik MISI 4'!R128</f>
        <v>86.37</v>
      </c>
      <c r="M121" s="961"/>
      <c r="N121" s="929">
        <f>'matrik MISI 4'!S128</f>
        <v>90.92</v>
      </c>
      <c r="O121" s="929"/>
      <c r="P121" s="929">
        <f>'matrik MISI 4'!T128</f>
        <v>95.47</v>
      </c>
      <c r="Q121" s="929"/>
      <c r="R121" s="929">
        <f>'matrik MISI 4'!U128</f>
        <v>95.47</v>
      </c>
      <c r="S121" s="929"/>
      <c r="T121" s="929">
        <f>'matrik MISI 4'!V128</f>
        <v>95.47</v>
      </c>
      <c r="U121" s="929"/>
      <c r="V121" s="929">
        <f>'matrik MISI 4'!W128</f>
        <v>95.47</v>
      </c>
      <c r="W121" s="929"/>
      <c r="X121" s="929" t="str">
        <f>'matrik MISI 4'!X128</f>
        <v>Dinas Pendidikan</v>
      </c>
      <c r="Y121" s="565" t="str">
        <f>'matrik MISI 4'!Y128</f>
        <v>Jumlah SMK yang memiliki sarana dan prasarana sesuai dengan standar sarana  prasarana dibagi jumlah SMK kali 100%</v>
      </c>
      <c r="Z121" s="565">
        <f>'matrik MISI 4'!Z128</f>
        <v>0</v>
      </c>
    </row>
    <row r="122" spans="2:26" ht="33" customHeight="1">
      <c r="B122" s="940"/>
      <c r="C122" s="941"/>
      <c r="D122" s="940">
        <f>'matrik MISI 4'!J43</f>
        <v>1.01</v>
      </c>
      <c r="E122" s="940" t="str">
        <f>'matrik MISI 4'!K43</f>
        <v>xx</v>
      </c>
      <c r="F122" s="940">
        <f>'matrik MISI 4'!L43</f>
        <v>18</v>
      </c>
      <c r="G122" s="940" t="str">
        <f>'matrik MISI 4'!M43</f>
        <v>Program Pendidikan Non Formal</v>
      </c>
      <c r="H122" s="164"/>
      <c r="I122" s="164"/>
      <c r="J122" s="929"/>
      <c r="K122" s="929"/>
      <c r="L122" s="929"/>
      <c r="M122" s="961">
        <f>'jangan dihapus 2'!K162</f>
        <v>1076441500</v>
      </c>
      <c r="N122" s="961"/>
      <c r="O122" s="961">
        <f>'jangan dihapus 2'!M162</f>
        <v>1136455000</v>
      </c>
      <c r="P122" s="961"/>
      <c r="Q122" s="961">
        <f>'jangan dihapus 2'!O162</f>
        <v>2499250000</v>
      </c>
      <c r="R122" s="961"/>
      <c r="S122" s="961">
        <f>'jangan dihapus 2'!Q162</f>
        <v>2509250000</v>
      </c>
      <c r="T122" s="961"/>
      <c r="U122" s="961">
        <f>'jangan dihapus 2'!S162</f>
        <v>2523000000</v>
      </c>
      <c r="V122" s="929"/>
      <c r="W122" s="961">
        <f>SUM(M122:U122)</f>
        <v>9744396500</v>
      </c>
      <c r="X122" s="929"/>
      <c r="Y122" s="565"/>
      <c r="Z122" s="565"/>
    </row>
    <row r="123" spans="2:26" ht="30">
      <c r="B123" s="940"/>
      <c r="C123" s="941"/>
      <c r="D123" s="939"/>
      <c r="E123" s="939"/>
      <c r="F123" s="939"/>
      <c r="G123" s="939"/>
      <c r="H123" s="164" t="str">
        <f>'matrik MISI 4'!N43</f>
        <v>Persentase Angka Melek Huruf Usia ≥ 15 tahun</v>
      </c>
      <c r="I123" s="164" t="str">
        <f>'matrik MISI 4'!O43</f>
        <v>%</v>
      </c>
      <c r="J123" s="929">
        <f>'matrik MISI 4'!P43</f>
        <v>97.82</v>
      </c>
      <c r="K123" s="929">
        <f>'matrik MISI 4'!Q43</f>
        <v>97.9</v>
      </c>
      <c r="L123" s="929">
        <f>'matrik MISI 4'!R43</f>
        <v>98.09</v>
      </c>
      <c r="M123" s="961"/>
      <c r="N123" s="929">
        <f>'matrik MISI 4'!S43</f>
        <v>98.36</v>
      </c>
      <c r="O123" s="929"/>
      <c r="P123" s="929">
        <f>'matrik MISI 4'!T43</f>
        <v>98.63</v>
      </c>
      <c r="Q123" s="929"/>
      <c r="R123" s="929">
        <f>'matrik MISI 4'!U43</f>
        <v>98.7</v>
      </c>
      <c r="S123" s="929"/>
      <c r="T123" s="929">
        <f>'matrik MISI 4'!V43</f>
        <v>99.17</v>
      </c>
      <c r="U123" s="929"/>
      <c r="V123" s="929">
        <f>'matrik MISI 4'!W43</f>
        <v>99.17</v>
      </c>
      <c r="W123" s="929"/>
      <c r="X123" s="929" t="str">
        <f>'matrik MISI 4'!X43</f>
        <v>Dinas Pendidikan</v>
      </c>
      <c r="Y123" s="565" t="str">
        <f>'matrik MISI 4'!Y43</f>
        <v>Jumlah penduduk usia ≥ 15 tahun yang melek huruf dibagi jumlah penduduk  usia ≥ 15 tahun kali 100%</v>
      </c>
      <c r="Z123" s="565">
        <f>'matrik MISI 4'!Z43</f>
        <v>0</v>
      </c>
    </row>
    <row r="124" spans="2:26" ht="30">
      <c r="B124" s="940"/>
      <c r="C124" s="941"/>
      <c r="D124" s="940"/>
      <c r="E124" s="940"/>
      <c r="F124" s="940"/>
      <c r="G124" s="940"/>
      <c r="H124" s="164" t="str">
        <f>'matrik MISI 4'!N44</f>
        <v>Rata-rata Lama Sekolah</v>
      </c>
      <c r="I124" s="164" t="str">
        <f>'matrik MISI 4'!O44</f>
        <v>Tahun</v>
      </c>
      <c r="J124" s="929">
        <f>'matrik MISI 4'!P44</f>
        <v>7.1</v>
      </c>
      <c r="K124" s="929">
        <f>'matrik MISI 4'!Q44</f>
        <v>7.1</v>
      </c>
      <c r="L124" s="929">
        <f>'matrik MISI 4'!R44</f>
        <v>7.11</v>
      </c>
      <c r="M124" s="961"/>
      <c r="N124" s="929">
        <f>'matrik MISI 4'!S44</f>
        <v>7.13</v>
      </c>
      <c r="O124" s="929"/>
      <c r="P124" s="929">
        <f>'matrik MISI 4'!T44</f>
        <v>7.15</v>
      </c>
      <c r="Q124" s="929"/>
      <c r="R124" s="929">
        <f>'matrik MISI 4'!U44</f>
        <v>7.17</v>
      </c>
      <c r="S124" s="929"/>
      <c r="T124" s="929">
        <f>'matrik MISI 4'!V44</f>
        <v>7.19</v>
      </c>
      <c r="U124" s="929"/>
      <c r="V124" s="929">
        <f>'matrik MISI 4'!W44</f>
        <v>7.19</v>
      </c>
      <c r="W124" s="929"/>
      <c r="X124" s="929" t="str">
        <f>'matrik MISI 4'!X44</f>
        <v>Badan Pusat Statistik, Dinas Pendiidikan</v>
      </c>
      <c r="Y124" s="565" t="str">
        <f>'matrik MISI 4'!Y44</f>
        <v>Jumlah tahun bersekolah individu usia 5 tahun ke atas dibagi jumlah penduduk usia 5 tahun ke atas</v>
      </c>
      <c r="Z124" s="565" t="str">
        <f>'matrik MISI 4'!Z44</f>
        <v>Sumber BPS</v>
      </c>
    </row>
    <row r="125" spans="2:26" ht="75">
      <c r="B125" s="940"/>
      <c r="C125" s="941"/>
      <c r="D125" s="940"/>
      <c r="E125" s="940"/>
      <c r="F125" s="940"/>
      <c r="G125" s="940"/>
      <c r="H125" s="164" t="str">
        <f>'matrik MISI 4'!N45</f>
        <v>Persentase Layanan Pendidikan Kesetaraan dalam Rangka Menampung Siswa Putus Sekolah Pendidikan Dasar dan Menengah</v>
      </c>
      <c r="I125" s="164" t="str">
        <f>'matrik MISI 4'!O45</f>
        <v>%</v>
      </c>
      <c r="J125" s="929">
        <f>'matrik MISI 4'!P45</f>
        <v>20</v>
      </c>
      <c r="K125" s="929">
        <f>'matrik MISI 4'!Q45</f>
        <v>25</v>
      </c>
      <c r="L125" s="929">
        <f>'matrik MISI 4'!R45</f>
        <v>25</v>
      </c>
      <c r="M125" s="961"/>
      <c r="N125" s="929">
        <f>'matrik MISI 4'!S45</f>
        <v>25</v>
      </c>
      <c r="O125" s="929"/>
      <c r="P125" s="929">
        <f>'matrik MISI 4'!T45</f>
        <v>33</v>
      </c>
      <c r="Q125" s="929"/>
      <c r="R125" s="929">
        <f>'matrik MISI 4'!U45</f>
        <v>50</v>
      </c>
      <c r="S125" s="929"/>
      <c r="T125" s="929">
        <f>'matrik MISI 4'!V45</f>
        <v>100</v>
      </c>
      <c r="U125" s="929"/>
      <c r="V125" s="929">
        <f>'matrik MISI 4'!W45</f>
        <v>100</v>
      </c>
      <c r="W125" s="929"/>
      <c r="X125" s="929" t="str">
        <f>'matrik MISI 4'!X45</f>
        <v>Dinas Pendidikan</v>
      </c>
      <c r="Y125" s="565" t="str">
        <f>'matrik MISI 4'!Y45</f>
        <v>Jumlah siswa putus sekolah yang menikuti pendidikan kesetaraan dibagi jumlah siswa putus sekolah kali 100%</v>
      </c>
      <c r="Z125" s="565">
        <f>'matrik MISI 4'!Z45</f>
        <v>0</v>
      </c>
    </row>
    <row r="126" spans="2:26" ht="30">
      <c r="B126" s="940"/>
      <c r="C126" s="941"/>
      <c r="D126" s="940"/>
      <c r="E126" s="940"/>
      <c r="F126" s="940"/>
      <c r="G126" s="940"/>
      <c r="H126" s="164" t="str">
        <f>'matrik MISI 4'!N77</f>
        <v>Persentase Angka Lulusan Pendidikan Kesetaraan</v>
      </c>
      <c r="I126" s="164" t="str">
        <f>'matrik MISI 4'!O77</f>
        <v>%</v>
      </c>
      <c r="J126" s="929">
        <f>'matrik MISI 4'!P77</f>
        <v>90.39</v>
      </c>
      <c r="K126" s="929">
        <f>'matrik MISI 4'!Q77</f>
        <v>81.56</v>
      </c>
      <c r="L126" s="929">
        <f>'matrik MISI 4'!R77</f>
        <v>87.06</v>
      </c>
      <c r="M126" s="961"/>
      <c r="N126" s="929">
        <f>'matrik MISI 4'!S77</f>
        <v>92.56</v>
      </c>
      <c r="O126" s="929"/>
      <c r="P126" s="929">
        <f>'matrik MISI 4'!T77</f>
        <v>92.56</v>
      </c>
      <c r="Q126" s="929"/>
      <c r="R126" s="929">
        <f>'matrik MISI 4'!U77</f>
        <v>92.56</v>
      </c>
      <c r="S126" s="929"/>
      <c r="T126" s="929">
        <f>'matrik MISI 4'!V77</f>
        <v>92.56</v>
      </c>
      <c r="U126" s="929"/>
      <c r="V126" s="929">
        <f>'matrik MISI 4'!W77</f>
        <v>92.56</v>
      </c>
      <c r="W126" s="929"/>
      <c r="X126" s="929" t="str">
        <f>'matrik MISI 4'!X77</f>
        <v>Dinas Pendidikan</v>
      </c>
      <c r="Y126" s="565" t="str">
        <f>'matrik MISI 4'!Y77</f>
        <v>Jumlah lulusan pendidikan kesetaraan dibagi jumlah peserta Ujian Nasional Pendidikan Kesetaraan kali 100%</v>
      </c>
      <c r="Z126" s="565">
        <f>'matrik MISI 4'!Z77</f>
        <v>0</v>
      </c>
    </row>
    <row r="127" spans="2:26" ht="45">
      <c r="B127" s="940"/>
      <c r="C127" s="941"/>
      <c r="D127" s="940"/>
      <c r="E127" s="940"/>
      <c r="F127" s="940"/>
      <c r="G127" s="940"/>
      <c r="H127" s="164" t="str">
        <f>'matrik MISI 4'!N130</f>
        <v>Persentase lembaga pendidikan nonformal yang memliki ruang belajar beserta perlengkapannya</v>
      </c>
      <c r="I127" s="164" t="str">
        <f>'matrik MISI 4'!O130</f>
        <v>%</v>
      </c>
      <c r="J127" s="929" t="str">
        <f>'matrik MISI 4'!P130</f>
        <v>68,07</v>
      </c>
      <c r="K127" s="929" t="str">
        <f>'matrik MISI 4'!Q130</f>
        <v>69,95</v>
      </c>
      <c r="L127" s="929" t="str">
        <f>'matrik MISI 4'!R130</f>
        <v>72,76</v>
      </c>
      <c r="M127" s="961"/>
      <c r="N127" s="929" t="str">
        <f>'matrik MISI 4'!S130</f>
        <v>75,12</v>
      </c>
      <c r="O127" s="929"/>
      <c r="P127" s="929" t="str">
        <f>'matrik MISI 4'!T130</f>
        <v>77,46</v>
      </c>
      <c r="Q127" s="929"/>
      <c r="R127" s="929" t="str">
        <f>'matrik MISI 4'!U130</f>
        <v>79,81</v>
      </c>
      <c r="S127" s="929"/>
      <c r="T127" s="929" t="str">
        <f>'matrik MISI 4'!V130</f>
        <v>82,6</v>
      </c>
      <c r="U127" s="929"/>
      <c r="V127" s="929" t="str">
        <f>'matrik MISI 4'!W130</f>
        <v>82,6</v>
      </c>
      <c r="W127" s="929"/>
      <c r="X127" s="929" t="str">
        <f>'matrik MISI 4'!X130</f>
        <v>Dinas Pendidikan</v>
      </c>
      <c r="Y127" s="565" t="str">
        <f>'matrik MISI 4'!Y130</f>
        <v>Jumlah lembaga pendidikan nonformal yang memiliki ruang belajar beserta perlengkapannya dibagi jumlah lembaga pendidikan nonformal kali 100%</v>
      </c>
      <c r="Z127" s="565">
        <f>'matrik MISI 4'!Z130</f>
        <v>0</v>
      </c>
    </row>
    <row r="128" spans="2:26" ht="45">
      <c r="B128" s="940"/>
      <c r="C128" s="941"/>
      <c r="D128" s="940"/>
      <c r="E128" s="940"/>
      <c r="F128" s="940"/>
      <c r="G128" s="940"/>
      <c r="H128" s="164" t="str">
        <f>'matrik MISI 4'!N131</f>
        <v>Persentase lembaga pendidikan nonformal yang memiliki alat dan bahan belajar</v>
      </c>
      <c r="I128" s="164" t="str">
        <f>'matrik MISI 4'!O131</f>
        <v>%</v>
      </c>
      <c r="J128" s="929" t="str">
        <f>'matrik MISI 4'!P131</f>
        <v>71,36</v>
      </c>
      <c r="K128" s="929" t="str">
        <f>'matrik MISI 4'!Q131</f>
        <v>73,71</v>
      </c>
      <c r="L128" s="929" t="str">
        <f>'matrik MISI 4'!R131</f>
        <v>76,06</v>
      </c>
      <c r="M128" s="961"/>
      <c r="N128" s="929" t="str">
        <f>'matrik MISI 4'!S131</f>
        <v>78,40</v>
      </c>
      <c r="O128" s="929"/>
      <c r="P128" s="929" t="str">
        <f>'matrik MISI 4'!T131</f>
        <v>80,75</v>
      </c>
      <c r="Q128" s="929"/>
      <c r="R128" s="929" t="str">
        <f>'matrik MISI 4'!U131</f>
        <v>83,10</v>
      </c>
      <c r="S128" s="929"/>
      <c r="T128" s="929" t="str">
        <f>'matrik MISI 4'!V131</f>
        <v>85,45</v>
      </c>
      <c r="U128" s="929"/>
      <c r="V128" s="929" t="str">
        <f>'matrik MISI 4'!W131</f>
        <v>85,45</v>
      </c>
      <c r="W128" s="929"/>
      <c r="X128" s="929" t="str">
        <f>'matrik MISI 4'!X131</f>
        <v>Dinas Pendidikan</v>
      </c>
      <c r="Y128" s="565" t="str">
        <f>'matrik MISI 4'!Y131</f>
        <v>Jumlah lembaga pendidikan nonformal yang memiliki alat dan bahan belajar dibagi jumlah lembaga pendidikan nonformal kali 100%</v>
      </c>
      <c r="Z128" s="565">
        <f>'matrik MISI 4'!Z131</f>
        <v>0</v>
      </c>
    </row>
    <row r="129" spans="2:26" ht="30">
      <c r="B129" s="940"/>
      <c r="C129" s="941"/>
      <c r="D129" s="940">
        <f>'matrik MISI 4'!J47</f>
        <v>1.01</v>
      </c>
      <c r="E129" s="940" t="str">
        <f>'matrik MISI 4'!K47</f>
        <v>xx</v>
      </c>
      <c r="F129" s="940">
        <f>'matrik MISI 4'!L47</f>
        <v>22</v>
      </c>
      <c r="G129" s="940" t="str">
        <f>'matrik MISI 4'!M47</f>
        <v>Program manajemen pelayanan pendidikan</v>
      </c>
      <c r="H129" s="164"/>
      <c r="I129" s="164"/>
      <c r="J129" s="929"/>
      <c r="K129" s="929"/>
      <c r="L129" s="929"/>
      <c r="M129" s="961">
        <f>'jangan dihapus 2'!K258</f>
        <v>133000000</v>
      </c>
      <c r="N129" s="961"/>
      <c r="O129" s="961">
        <f>'jangan dihapus 2'!M258</f>
        <v>133000000</v>
      </c>
      <c r="P129" s="961"/>
      <c r="Q129" s="961">
        <f>'jangan dihapus 2'!O258</f>
        <v>137500000</v>
      </c>
      <c r="R129" s="961"/>
      <c r="S129" s="961">
        <f>'jangan dihapus 2'!Q258</f>
        <v>137500000</v>
      </c>
      <c r="T129" s="961"/>
      <c r="U129" s="961">
        <f>'jangan dihapus 2'!S258</f>
        <v>145000000</v>
      </c>
      <c r="V129" s="929"/>
      <c r="W129" s="961">
        <f>SUM(M129:U129)</f>
        <v>686000000</v>
      </c>
      <c r="X129" s="929"/>
      <c r="Y129" s="565"/>
      <c r="Z129" s="565"/>
    </row>
    <row r="130" spans="2:26" ht="30">
      <c r="B130" s="940"/>
      <c r="C130" s="941"/>
      <c r="D130" s="939"/>
      <c r="E130" s="939"/>
      <c r="F130" s="939"/>
      <c r="G130" s="939"/>
      <c r="H130" s="164" t="str">
        <f>'matrik MISI 4'!N47</f>
        <v>Persentase TK/RA Terakreditasi A</v>
      </c>
      <c r="I130" s="164" t="str">
        <f>'matrik MISI 4'!O47</f>
        <v>%</v>
      </c>
      <c r="J130" s="929">
        <f>'matrik MISI 4'!P47</f>
        <v>5.83</v>
      </c>
      <c r="K130" s="929">
        <f>'matrik MISI 4'!Q47</f>
        <v>5.83</v>
      </c>
      <c r="L130" s="929">
        <f>'matrik MISI 4'!R47</f>
        <v>5.83</v>
      </c>
      <c r="M130" s="961"/>
      <c r="N130" s="929">
        <f>'matrik MISI 4'!S47</f>
        <v>5.83</v>
      </c>
      <c r="O130" s="929"/>
      <c r="P130" s="929">
        <f>'matrik MISI 4'!T47</f>
        <v>5.83</v>
      </c>
      <c r="Q130" s="929"/>
      <c r="R130" s="929">
        <f>'matrik MISI 4'!U47</f>
        <v>5.83</v>
      </c>
      <c r="S130" s="929"/>
      <c r="T130" s="929">
        <f>'matrik MISI 4'!V47</f>
        <v>5.83</v>
      </c>
      <c r="U130" s="929"/>
      <c r="V130" s="929">
        <f>'matrik MISI 4'!W47</f>
        <v>5.83</v>
      </c>
      <c r="W130" s="929"/>
      <c r="X130" s="929" t="str">
        <f>'matrik MISI 4'!X47</f>
        <v>Dinas Pendidikan</v>
      </c>
      <c r="Y130" s="565" t="str">
        <f>'matrik MISI 4'!Y47</f>
        <v>Jumlah TK/RA terakreditasi A dibagi jumlah TK/RA kali 100%</v>
      </c>
      <c r="Z130" s="565" t="str">
        <f>'matrik MISI 4'!Z47</f>
        <v>Akreditasi menjadi kewenangan BAN-PNF dan kewenangan ini belum dilaksanakan</v>
      </c>
    </row>
    <row r="131" spans="2:26" ht="30">
      <c r="B131" s="940"/>
      <c r="C131" s="941"/>
      <c r="D131" s="940"/>
      <c r="E131" s="940"/>
      <c r="F131" s="940"/>
      <c r="G131" s="940"/>
      <c r="H131" s="164" t="str">
        <f>'matrik MISI 4'!N48</f>
        <v>Persentase TK/RA Terakreditasi B</v>
      </c>
      <c r="I131" s="164" t="str">
        <f>'matrik MISI 4'!O48</f>
        <v>%</v>
      </c>
      <c r="J131" s="929">
        <f>'matrik MISI 4'!P48</f>
        <v>42.71</v>
      </c>
      <c r="K131" s="929">
        <f>'matrik MISI 4'!Q48</f>
        <v>42.71</v>
      </c>
      <c r="L131" s="929">
        <f>'matrik MISI 4'!R48</f>
        <v>42.71</v>
      </c>
      <c r="M131" s="961"/>
      <c r="N131" s="929">
        <f>'matrik MISI 4'!S48</f>
        <v>42.71</v>
      </c>
      <c r="O131" s="929"/>
      <c r="P131" s="929">
        <f>'matrik MISI 4'!T48</f>
        <v>42.71</v>
      </c>
      <c r="Q131" s="929"/>
      <c r="R131" s="929">
        <f>'matrik MISI 4'!U48</f>
        <v>42.71</v>
      </c>
      <c r="S131" s="929"/>
      <c r="T131" s="929">
        <f>'matrik MISI 4'!V48</f>
        <v>42.71</v>
      </c>
      <c r="U131" s="929"/>
      <c r="V131" s="929">
        <f>'matrik MISI 4'!W48</f>
        <v>42.71</v>
      </c>
      <c r="W131" s="929"/>
      <c r="X131" s="929" t="str">
        <f>'matrik MISI 4'!X48</f>
        <v>Dinas Pendidikan</v>
      </c>
      <c r="Y131" s="565" t="str">
        <f>'matrik MISI 4'!Y48</f>
        <v>Jumlah TK/RA terakreditasi B dibagi jumlah TK/RA kali 100%</v>
      </c>
      <c r="Z131" s="565" t="str">
        <f>'matrik MISI 4'!Z48</f>
        <v>Akreditasi menjadi kewenangan BAN-PNF dan kewenangan ini belum dilaksanakan</v>
      </c>
    </row>
    <row r="132" spans="2:26" ht="30">
      <c r="B132" s="940"/>
      <c r="C132" s="941"/>
      <c r="D132" s="940"/>
      <c r="E132" s="940"/>
      <c r="F132" s="940"/>
      <c r="G132" s="940"/>
      <c r="H132" s="164" t="str">
        <f>'matrik MISI 4'!N49</f>
        <v>Persentase TK/RA Terakreditasi C</v>
      </c>
      <c r="I132" s="164" t="str">
        <f>'matrik MISI 4'!O49</f>
        <v>%</v>
      </c>
      <c r="J132" s="929">
        <f>'matrik MISI 4'!P49</f>
        <v>42.29</v>
      </c>
      <c r="K132" s="929">
        <f>'matrik MISI 4'!Q49</f>
        <v>42.29</v>
      </c>
      <c r="L132" s="929">
        <f>'matrik MISI 4'!R49</f>
        <v>42.29</v>
      </c>
      <c r="M132" s="961"/>
      <c r="N132" s="929">
        <f>'matrik MISI 4'!S49</f>
        <v>42.29</v>
      </c>
      <c r="O132" s="929"/>
      <c r="P132" s="929">
        <f>'matrik MISI 4'!T49</f>
        <v>42.29</v>
      </c>
      <c r="Q132" s="929"/>
      <c r="R132" s="929">
        <f>'matrik MISI 4'!U49</f>
        <v>42.29</v>
      </c>
      <c r="S132" s="929"/>
      <c r="T132" s="929">
        <f>'matrik MISI 4'!V49</f>
        <v>42.29</v>
      </c>
      <c r="U132" s="929"/>
      <c r="V132" s="929">
        <f>'matrik MISI 4'!W49</f>
        <v>42.29</v>
      </c>
      <c r="W132" s="929"/>
      <c r="X132" s="929" t="str">
        <f>'matrik MISI 4'!X49</f>
        <v>Dinas Pendidikan</v>
      </c>
      <c r="Y132" s="565" t="str">
        <f>'matrik MISI 4'!Y49</f>
        <v>Jumlah TK/RA terakreditasi C dibagi jumlah TK/RA kali 100%</v>
      </c>
      <c r="Z132" s="565" t="str">
        <f>'matrik MISI 4'!Z49</f>
        <v>Akreditasi menjadi kewenangan BAN-PNF (sampai saat ini ada 9,17% TK yang belum terakreditasi)</v>
      </c>
    </row>
    <row r="133" spans="2:26" ht="30">
      <c r="B133" s="940"/>
      <c r="C133" s="941"/>
      <c r="D133" s="940"/>
      <c r="E133" s="940"/>
      <c r="F133" s="940"/>
      <c r="G133" s="940"/>
      <c r="H133" s="164" t="str">
        <f>'matrik MISI 4'!N51</f>
        <v>Persentase SD/MI Terakreditasi A</v>
      </c>
      <c r="I133" s="164" t="str">
        <f>'matrik MISI 4'!O51</f>
        <v>%</v>
      </c>
      <c r="J133" s="929">
        <f>'matrik MISI 4'!P51</f>
        <v>2.97</v>
      </c>
      <c r="K133" s="929">
        <f>'matrik MISI 4'!Q51</f>
        <v>2.97</v>
      </c>
      <c r="L133" s="929">
        <f>'matrik MISI 4'!R51</f>
        <v>3.31</v>
      </c>
      <c r="M133" s="961"/>
      <c r="N133" s="929">
        <f>'matrik MISI 4'!S51</f>
        <v>3.65</v>
      </c>
      <c r="O133" s="929"/>
      <c r="P133" s="929">
        <f>'matrik MISI 4'!T51</f>
        <v>3.99</v>
      </c>
      <c r="Q133" s="929"/>
      <c r="R133" s="929">
        <f>'matrik MISI 4'!U51</f>
        <v>4.33</v>
      </c>
      <c r="S133" s="929"/>
      <c r="T133" s="929">
        <f>'matrik MISI 4'!V51</f>
        <v>4.67</v>
      </c>
      <c r="U133" s="929"/>
      <c r="V133" s="929">
        <f>'matrik MISI 4'!W51</f>
        <v>4.67</v>
      </c>
      <c r="W133" s="929"/>
      <c r="X133" s="929" t="str">
        <f>'matrik MISI 4'!X51</f>
        <v>Dinas Pendidikan</v>
      </c>
      <c r="Y133" s="565" t="str">
        <f>'matrik MISI 4'!Y51</f>
        <v>Jumlah SD/MI terakreditasi A dibagi jumlah SD/MI kali 100%</v>
      </c>
      <c r="Z133" s="565">
        <f>'matrik MISI 4'!Z51</f>
        <v>0</v>
      </c>
    </row>
    <row r="134" spans="2:26" ht="30">
      <c r="B134" s="940"/>
      <c r="C134" s="941"/>
      <c r="D134" s="940"/>
      <c r="E134" s="940"/>
      <c r="F134" s="940"/>
      <c r="G134" s="940"/>
      <c r="H134" s="164" t="str">
        <f>'matrik MISI 4'!N52</f>
        <v>Persentase SD/MI Terakreditasi B</v>
      </c>
      <c r="I134" s="164" t="str">
        <f>'matrik MISI 4'!O52</f>
        <v>%</v>
      </c>
      <c r="J134" s="929">
        <f>'matrik MISI 4'!P52</f>
        <v>61.01</v>
      </c>
      <c r="K134" s="929">
        <f>'matrik MISI 4'!Q52</f>
        <v>61.1</v>
      </c>
      <c r="L134" s="929">
        <f>'matrik MISI 4'!R52</f>
        <v>61.011000000000003</v>
      </c>
      <c r="M134" s="961"/>
      <c r="N134" s="929">
        <f>'matrik MISI 4'!S52</f>
        <v>61.01</v>
      </c>
      <c r="O134" s="929"/>
      <c r="P134" s="929">
        <f>'matrik MISI 4'!T52</f>
        <v>61.01</v>
      </c>
      <c r="Q134" s="929"/>
      <c r="R134" s="929">
        <f>'matrik MISI 4'!U52</f>
        <v>61.01</v>
      </c>
      <c r="S134" s="929"/>
      <c r="T134" s="929">
        <f>'matrik MISI 4'!V52</f>
        <v>61.01</v>
      </c>
      <c r="U134" s="929"/>
      <c r="V134" s="929">
        <f>'matrik MISI 4'!W52</f>
        <v>61.01</v>
      </c>
      <c r="W134" s="929"/>
      <c r="X134" s="929" t="str">
        <f>'matrik MISI 4'!X52</f>
        <v>Dinas Pendidikan</v>
      </c>
      <c r="Y134" s="565" t="str">
        <f>'matrik MISI 4'!Y52</f>
        <v>Jumlah SD/MI terakreditasi B dibagi jumlah SD/MI kali 100%</v>
      </c>
      <c r="Z134" s="565">
        <f>'matrik MISI 4'!Z52</f>
        <v>0</v>
      </c>
    </row>
    <row r="135" spans="2:26" ht="30">
      <c r="B135" s="940"/>
      <c r="C135" s="941"/>
      <c r="D135" s="940"/>
      <c r="E135" s="940"/>
      <c r="F135" s="940"/>
      <c r="G135" s="940"/>
      <c r="H135" s="164" t="str">
        <f>'matrik MISI 4'!N53</f>
        <v>Persentase SD/MI Terakreditasi C</v>
      </c>
      <c r="I135" s="164" t="str">
        <f>'matrik MISI 4'!O53</f>
        <v>%</v>
      </c>
      <c r="J135" s="929">
        <f>'matrik MISI 4'!P53</f>
        <v>33.22</v>
      </c>
      <c r="K135" s="929">
        <f>'matrik MISI 4'!Q53</f>
        <v>33.22</v>
      </c>
      <c r="L135" s="929">
        <f>'matrik MISI 4'!R53</f>
        <v>33.22</v>
      </c>
      <c r="M135" s="961"/>
      <c r="N135" s="929">
        <f>'matrik MISI 4'!S53</f>
        <v>33.22</v>
      </c>
      <c r="O135" s="929"/>
      <c r="P135" s="929">
        <f>'matrik MISI 4'!T53</f>
        <v>33.22</v>
      </c>
      <c r="Q135" s="929"/>
      <c r="R135" s="929">
        <f>'matrik MISI 4'!U53</f>
        <v>33.22</v>
      </c>
      <c r="S135" s="929"/>
      <c r="T135" s="929">
        <f>'matrik MISI 4'!V53</f>
        <v>33.22</v>
      </c>
      <c r="U135" s="929"/>
      <c r="V135" s="929">
        <f>'matrik MISI 4'!W53</f>
        <v>33.22</v>
      </c>
      <c r="W135" s="929"/>
      <c r="X135" s="929" t="str">
        <f>'matrik MISI 4'!X53</f>
        <v>Dinas Pendidikan</v>
      </c>
      <c r="Y135" s="565" t="str">
        <f>'matrik MISI 4'!Y53</f>
        <v>Jumlah SD/MI terakreditasi C dibagi jumlah SD/MI kali 100%</v>
      </c>
      <c r="Z135" s="565" t="str">
        <f>'matrik MISI 4'!Z53</f>
        <v>diharapkan di tahun 2018 tinggal 1,1% yang belum terakreditasi</v>
      </c>
    </row>
    <row r="136" spans="2:26" ht="30">
      <c r="B136" s="940"/>
      <c r="C136" s="941"/>
      <c r="D136" s="940"/>
      <c r="E136" s="940"/>
      <c r="F136" s="940"/>
      <c r="G136" s="940"/>
      <c r="H136" s="164" t="str">
        <f>'matrik MISI 4'!N54</f>
        <v>Persentase SMP/MTs Terakreditasi A</v>
      </c>
      <c r="I136" s="164" t="str">
        <f>'matrik MISI 4'!O54</f>
        <v>%</v>
      </c>
      <c r="J136" s="929">
        <f>'matrik MISI 4'!P54</f>
        <v>21.9</v>
      </c>
      <c r="K136" s="929">
        <f>'matrik MISI 4'!Q54</f>
        <v>21.9</v>
      </c>
      <c r="L136" s="929">
        <f>'matrik MISI 4'!R54</f>
        <v>23.8</v>
      </c>
      <c r="M136" s="961"/>
      <c r="N136" s="929">
        <f>'matrik MISI 4'!S54</f>
        <v>25.7</v>
      </c>
      <c r="O136" s="929"/>
      <c r="P136" s="929">
        <f>'matrik MISI 4'!T54</f>
        <v>27.6</v>
      </c>
      <c r="Q136" s="929"/>
      <c r="R136" s="929">
        <f>'matrik MISI 4'!U54</f>
        <v>29.5</v>
      </c>
      <c r="S136" s="929"/>
      <c r="T136" s="929">
        <f>'matrik MISI 4'!V54</f>
        <v>31.4</v>
      </c>
      <c r="U136" s="929"/>
      <c r="V136" s="929">
        <f>'matrik MISI 4'!W54</f>
        <v>31.4</v>
      </c>
      <c r="W136" s="929"/>
      <c r="X136" s="929" t="str">
        <f>'matrik MISI 4'!X54</f>
        <v>Dinas Pendidikan</v>
      </c>
      <c r="Y136" s="565" t="str">
        <f>'matrik MISI 4'!Y54</f>
        <v>Jumlah SMP/MTs terakreditasi A dibagi jumlah SMP/MTs kali 100%</v>
      </c>
      <c r="Z136" s="565">
        <f>'matrik MISI 4'!Z54</f>
        <v>0</v>
      </c>
    </row>
    <row r="137" spans="2:26" ht="30">
      <c r="B137" s="940"/>
      <c r="C137" s="941"/>
      <c r="D137" s="940"/>
      <c r="E137" s="940"/>
      <c r="F137" s="940"/>
      <c r="G137" s="940"/>
      <c r="H137" s="164" t="str">
        <f>'matrik MISI 4'!N55</f>
        <v>Persentase SMP/MTs Terakreditasi B</v>
      </c>
      <c r="I137" s="164" t="str">
        <f>'matrik MISI 4'!O55</f>
        <v>%</v>
      </c>
      <c r="J137" s="929">
        <f>'matrik MISI 4'!P55</f>
        <v>40</v>
      </c>
      <c r="K137" s="929">
        <f>'matrik MISI 4'!Q55</f>
        <v>40</v>
      </c>
      <c r="L137" s="929">
        <f>'matrik MISI 4'!R55</f>
        <v>40</v>
      </c>
      <c r="M137" s="961"/>
      <c r="N137" s="929">
        <f>'matrik MISI 4'!S55</f>
        <v>40</v>
      </c>
      <c r="O137" s="929"/>
      <c r="P137" s="929">
        <f>'matrik MISI 4'!T55</f>
        <v>40</v>
      </c>
      <c r="Q137" s="929"/>
      <c r="R137" s="929">
        <f>'matrik MISI 4'!U55</f>
        <v>40</v>
      </c>
      <c r="S137" s="929"/>
      <c r="T137" s="929">
        <f>'matrik MISI 4'!V55</f>
        <v>40</v>
      </c>
      <c r="U137" s="929"/>
      <c r="V137" s="929">
        <f>'matrik MISI 4'!W55</f>
        <v>40</v>
      </c>
      <c r="W137" s="929"/>
      <c r="X137" s="929" t="str">
        <f>'matrik MISI 4'!X55</f>
        <v>Dinas Pendidikan</v>
      </c>
      <c r="Y137" s="565" t="str">
        <f>'matrik MISI 4'!Y55</f>
        <v>Jumlah SMP/MTs terakreditasi B dibagi jumlah SMP/MTs kali 100%</v>
      </c>
      <c r="Z137" s="565">
        <f>'matrik MISI 4'!Z55</f>
        <v>0</v>
      </c>
    </row>
    <row r="138" spans="2:26" ht="30">
      <c r="B138" s="940"/>
      <c r="C138" s="941"/>
      <c r="D138" s="940"/>
      <c r="E138" s="940"/>
      <c r="F138" s="940"/>
      <c r="G138" s="940"/>
      <c r="H138" s="164" t="str">
        <f>'matrik MISI 4'!N56</f>
        <v>Persentase SMP/MTs Terakreditasi C</v>
      </c>
      <c r="I138" s="164" t="str">
        <f>'matrik MISI 4'!O56</f>
        <v>%</v>
      </c>
      <c r="J138" s="929">
        <f>'matrik MISI 4'!P56</f>
        <v>27.62</v>
      </c>
      <c r="K138" s="929">
        <f>'matrik MISI 4'!Q56</f>
        <v>27.62</v>
      </c>
      <c r="L138" s="929">
        <f>'matrik MISI 4'!R56</f>
        <v>27.62</v>
      </c>
      <c r="M138" s="961"/>
      <c r="N138" s="929">
        <f>'matrik MISI 4'!S56</f>
        <v>27.62</v>
      </c>
      <c r="O138" s="929"/>
      <c r="P138" s="929">
        <f>'matrik MISI 4'!T56</f>
        <v>27.62</v>
      </c>
      <c r="Q138" s="929"/>
      <c r="R138" s="929">
        <f>'matrik MISI 4'!U56</f>
        <v>27.62</v>
      </c>
      <c r="S138" s="929"/>
      <c r="T138" s="929">
        <f>'matrik MISI 4'!V56</f>
        <v>27.62</v>
      </c>
      <c r="U138" s="929"/>
      <c r="V138" s="929">
        <f>'matrik MISI 4'!W56</f>
        <v>27.62</v>
      </c>
      <c r="W138" s="929"/>
      <c r="X138" s="929" t="str">
        <f>'matrik MISI 4'!X56</f>
        <v>Dinas Pendidikan</v>
      </c>
      <c r="Y138" s="565" t="str">
        <f>'matrik MISI 4'!Y56</f>
        <v>Jumlah SMP/MTs terakreditasi C dibagi jumlah SMP/MTs kali 100%</v>
      </c>
      <c r="Z138" s="565" t="str">
        <f>'matrik MISI 4'!Z56</f>
        <v>diharapkan di tahun 2018 tinggal 0,98% yang belum terakreditasi</v>
      </c>
    </row>
    <row r="139" spans="2:26">
      <c r="B139" s="940"/>
      <c r="C139" s="941"/>
      <c r="D139" s="940"/>
      <c r="E139" s="940"/>
      <c r="F139" s="940"/>
      <c r="G139" s="940"/>
      <c r="H139" s="164" t="str">
        <f>'matrik MISI 4'!N57</f>
        <v>Persentase Angka Lulusan SD/MI</v>
      </c>
      <c r="I139" s="164" t="str">
        <f>'matrik MISI 4'!O57</f>
        <v>%</v>
      </c>
      <c r="J139" s="929">
        <f>'matrik MISI 4'!P57</f>
        <v>99.99</v>
      </c>
      <c r="K139" s="929">
        <f>'matrik MISI 4'!Q57</f>
        <v>100</v>
      </c>
      <c r="L139" s="929">
        <f>'matrik MISI 4'!R57</f>
        <v>99.9</v>
      </c>
      <c r="M139" s="961"/>
      <c r="N139" s="929">
        <f>'matrik MISI 4'!S57</f>
        <v>99.93</v>
      </c>
      <c r="O139" s="929"/>
      <c r="P139" s="929">
        <f>'matrik MISI 4'!T57</f>
        <v>99.95</v>
      </c>
      <c r="Q139" s="929"/>
      <c r="R139" s="929">
        <f>'matrik MISI 4'!U57</f>
        <v>99.97</v>
      </c>
      <c r="S139" s="929"/>
      <c r="T139" s="929">
        <f>'matrik MISI 4'!V57</f>
        <v>100</v>
      </c>
      <c r="U139" s="929"/>
      <c r="V139" s="929">
        <f>'matrik MISI 4'!W57</f>
        <v>100</v>
      </c>
      <c r="W139" s="929"/>
      <c r="X139" s="929" t="str">
        <f>'matrik MISI 4'!X57</f>
        <v>Dinas Pendidikan</v>
      </c>
      <c r="Y139" s="565" t="str">
        <f>'matrik MISI 4'!Y57</f>
        <v>Jumlah lulusan SD/MI dibagi jumlah peserta ujian SD/MI kali 100%</v>
      </c>
      <c r="Z139" s="565">
        <f>'matrik MISI 4'!Z57</f>
        <v>0</v>
      </c>
    </row>
    <row r="140" spans="2:26" ht="30">
      <c r="B140" s="940"/>
      <c r="C140" s="941"/>
      <c r="D140" s="940"/>
      <c r="E140" s="940"/>
      <c r="F140" s="940"/>
      <c r="G140" s="940"/>
      <c r="H140" s="164" t="str">
        <f>'matrik MISI 4'!N58</f>
        <v>Persentase Angka Lulusan SMP/MTs</v>
      </c>
      <c r="I140" s="164" t="str">
        <f>'matrik MISI 4'!O58</f>
        <v>%</v>
      </c>
      <c r="J140" s="929">
        <f>'matrik MISI 4'!P58</f>
        <v>98.13</v>
      </c>
      <c r="K140" s="929">
        <f>'matrik MISI 4'!Q58</f>
        <v>99.17</v>
      </c>
      <c r="L140" s="929">
        <f>'matrik MISI 4'!R58</f>
        <v>100</v>
      </c>
      <c r="M140" s="961"/>
      <c r="N140" s="929">
        <f>'matrik MISI 4'!S58</f>
        <v>100</v>
      </c>
      <c r="O140" s="929"/>
      <c r="P140" s="929">
        <f>'matrik MISI 4'!T58</f>
        <v>100</v>
      </c>
      <c r="Q140" s="929"/>
      <c r="R140" s="929">
        <f>'matrik MISI 4'!U58</f>
        <v>100</v>
      </c>
      <c r="S140" s="929"/>
      <c r="T140" s="929">
        <f>'matrik MISI 4'!V58</f>
        <v>100</v>
      </c>
      <c r="U140" s="929"/>
      <c r="V140" s="929">
        <f>'matrik MISI 4'!W58</f>
        <v>100</v>
      </c>
      <c r="W140" s="929"/>
      <c r="X140" s="929" t="str">
        <f>'matrik MISI 4'!X58</f>
        <v>Dinas Pendidikan</v>
      </c>
      <c r="Y140" s="565" t="str">
        <f>'matrik MISI 4'!Y58</f>
        <v>Jumlah lulusan SMP/MTs dibagi jumlah peserta ujian SMP/MTs kali 100%</v>
      </c>
      <c r="Z140" s="565">
        <f>'matrik MISI 4'!Z58</f>
        <v>0</v>
      </c>
    </row>
    <row r="141" spans="2:26" ht="45">
      <c r="B141" s="940"/>
      <c r="C141" s="941"/>
      <c r="D141" s="940"/>
      <c r="E141" s="940"/>
      <c r="F141" s="940"/>
      <c r="G141" s="940"/>
      <c r="H141" s="164" t="str">
        <f>'matrik MISI 4'!N59</f>
        <v>Persentase Siswa SD/MI yang Memperoleh Rerata Nilai Ujian Nasional ≥ 7,00</v>
      </c>
      <c r="I141" s="164" t="str">
        <f>'matrik MISI 4'!O59</f>
        <v>%</v>
      </c>
      <c r="J141" s="929">
        <f>'matrik MISI 4'!P59</f>
        <v>73.150000000000006</v>
      </c>
      <c r="K141" s="929">
        <f>'matrik MISI 4'!Q59</f>
        <v>73.192643444359689</v>
      </c>
      <c r="L141" s="929">
        <f>'matrik MISI 4'!R59</f>
        <v>73.23</v>
      </c>
      <c r="M141" s="961"/>
      <c r="N141" s="929">
        <f>'matrik MISI 4'!S59</f>
        <v>73.27</v>
      </c>
      <c r="O141" s="929"/>
      <c r="P141" s="929">
        <f>'matrik MISI 4'!T59</f>
        <v>73.31</v>
      </c>
      <c r="Q141" s="929"/>
      <c r="R141" s="929">
        <f>'matrik MISI 4'!U59</f>
        <v>73.349999999999994</v>
      </c>
      <c r="S141" s="929"/>
      <c r="T141" s="929">
        <f>'matrik MISI 4'!V59</f>
        <v>73.39</v>
      </c>
      <c r="U141" s="929"/>
      <c r="V141" s="929">
        <f>'matrik MISI 4'!W59</f>
        <v>73.39</v>
      </c>
      <c r="W141" s="929"/>
      <c r="X141" s="929" t="str">
        <f>'matrik MISI 4'!X59</f>
        <v>Dinas Pendidikan</v>
      </c>
      <c r="Y141" s="565" t="str">
        <f>'matrik MISI 4'!Y59</f>
        <v>Jumlah peserta ujian SD/MI yang memperoleh nilai ujian nasional ≥ 7,00 dibagi jumlah peserta ujian SD/MI kali 100%</v>
      </c>
      <c r="Z141" s="565">
        <f>'matrik MISI 4'!Z59</f>
        <v>0</v>
      </c>
    </row>
    <row r="142" spans="2:26" ht="45">
      <c r="B142" s="940"/>
      <c r="C142" s="941"/>
      <c r="D142" s="940"/>
      <c r="E142" s="940"/>
      <c r="F142" s="940"/>
      <c r="G142" s="940"/>
      <c r="H142" s="164" t="str">
        <f>'matrik MISI 4'!N60</f>
        <v>Persentase Siswa SMP/MTs yang Memperoleh Rerata Nilai Ujian Nasional ≥ 7,00</v>
      </c>
      <c r="I142" s="164" t="str">
        <f>'matrik MISI 4'!O60</f>
        <v>%</v>
      </c>
      <c r="J142" s="929">
        <f>'matrik MISI 4'!P60</f>
        <v>27.633419948031179</v>
      </c>
      <c r="K142" s="929">
        <f>'matrik MISI 4'!Q60</f>
        <v>21.029365329965266</v>
      </c>
      <c r="L142" s="929">
        <f>'matrik MISI 4'!R60</f>
        <v>21.08</v>
      </c>
      <c r="M142" s="961"/>
      <c r="N142" s="929">
        <f>'matrik MISI 4'!S60</f>
        <v>21.13</v>
      </c>
      <c r="O142" s="929"/>
      <c r="P142" s="929">
        <f>'matrik MISI 4'!T60</f>
        <v>21.18</v>
      </c>
      <c r="Q142" s="929"/>
      <c r="R142" s="929">
        <f>'matrik MISI 4'!U60</f>
        <v>21.23</v>
      </c>
      <c r="S142" s="929"/>
      <c r="T142" s="929">
        <f>'matrik MISI 4'!V60</f>
        <v>21.28</v>
      </c>
      <c r="U142" s="929"/>
      <c r="V142" s="929">
        <f>'matrik MISI 4'!W60</f>
        <v>21.28</v>
      </c>
      <c r="W142" s="929"/>
      <c r="X142" s="929" t="str">
        <f>'matrik MISI 4'!X60</f>
        <v>Dinas Pendidikan</v>
      </c>
      <c r="Y142" s="565" t="str">
        <f>'matrik MISI 4'!Y60</f>
        <v>Jumlah peserta ujian SMP/MTs yang memperoleh nilai ujian nasional ≥ 7,00 dibagi jumlah peserta ujian SMP/MTs kali 100%</v>
      </c>
      <c r="Z142" s="565">
        <f>'matrik MISI 4'!Z60</f>
        <v>0</v>
      </c>
    </row>
    <row r="143" spans="2:26" ht="105">
      <c r="B143" s="940"/>
      <c r="C143" s="941"/>
      <c r="D143" s="940"/>
      <c r="E143" s="940"/>
      <c r="F143" s="940"/>
      <c r="G143" s="940"/>
      <c r="H143" s="164" t="str">
        <f>'matrik MISI 4'!N64</f>
        <v>Cakupan ketersediaan rencana pengembangan kurikulum dan proses pembelajaran yang efektif</v>
      </c>
      <c r="I143" s="164" t="str">
        <f>'matrik MISI 4'!O64</f>
        <v>%</v>
      </c>
      <c r="J143" s="929">
        <f>'matrik MISI 4'!P64</f>
        <v>100</v>
      </c>
      <c r="K143" s="929">
        <f>'matrik MISI 4'!Q64</f>
        <v>100</v>
      </c>
      <c r="L143" s="929">
        <f>'matrik MISI 4'!R64</f>
        <v>100</v>
      </c>
      <c r="M143" s="961"/>
      <c r="N143" s="929">
        <f>'matrik MISI 4'!S64</f>
        <v>100</v>
      </c>
      <c r="O143" s="929"/>
      <c r="P143" s="929">
        <f>'matrik MISI 4'!T64</f>
        <v>100</v>
      </c>
      <c r="Q143" s="929"/>
      <c r="R143" s="929">
        <f>'matrik MISI 4'!U64</f>
        <v>100</v>
      </c>
      <c r="S143" s="929"/>
      <c r="T143" s="929">
        <f>'matrik MISI 4'!V64</f>
        <v>100</v>
      </c>
      <c r="U143" s="929"/>
      <c r="V143" s="929">
        <f>'matrik MISI 4'!W64</f>
        <v>100</v>
      </c>
      <c r="W143" s="929"/>
      <c r="X143" s="929" t="str">
        <f>'matrik MISI 4'!X64</f>
        <v>Dinas Pendidikan</v>
      </c>
      <c r="Y143" s="565"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43" s="565" t="str">
        <f>'matrik MISI 4'!Z64</f>
        <v>(SPM 13) Pemerintah kabupaten/kota memiliki rencana dan melaksanakan kegiatan untuk membantu satuan pendidikan dalam mengembangkan kurikulum dan proses pembelajaran yang efektif</v>
      </c>
    </row>
    <row r="144" spans="2:26" ht="90">
      <c r="B144" s="940"/>
      <c r="C144" s="941"/>
      <c r="D144" s="940"/>
      <c r="E144" s="940"/>
      <c r="F144" s="940"/>
      <c r="G144" s="940"/>
      <c r="H144" s="164" t="str">
        <f>'matrik MISI 4'!N65</f>
        <v>Cakupan Kunjungan pengawas  Sekolah ke satuan pendidikan.</v>
      </c>
      <c r="I144" s="164" t="str">
        <f>'matrik MISI 4'!O65</f>
        <v>%</v>
      </c>
      <c r="J144" s="929">
        <f>'matrik MISI 4'!P65</f>
        <v>66.180000000000007</v>
      </c>
      <c r="K144" s="929">
        <f>'matrik MISI 4'!Q65</f>
        <v>74</v>
      </c>
      <c r="L144" s="929">
        <f>'matrik MISI 4'!R65</f>
        <v>74.260000000000005</v>
      </c>
      <c r="M144" s="961"/>
      <c r="N144" s="929">
        <f>'matrik MISI 4'!S65</f>
        <v>74.52</v>
      </c>
      <c r="O144" s="929"/>
      <c r="P144" s="929">
        <f>'matrik MISI 4'!T65</f>
        <v>74.78</v>
      </c>
      <c r="Q144" s="929"/>
      <c r="R144" s="929">
        <f>'matrik MISI 4'!U65</f>
        <v>75.040000000000006</v>
      </c>
      <c r="S144" s="929"/>
      <c r="T144" s="929">
        <f>'matrik MISI 4'!V65</f>
        <v>75.3</v>
      </c>
      <c r="U144" s="929"/>
      <c r="V144" s="929">
        <f>'matrik MISI 4'!W65</f>
        <v>75.3</v>
      </c>
      <c r="W144" s="929"/>
      <c r="X144" s="929" t="str">
        <f>'matrik MISI 4'!X65</f>
        <v>Dinas Pendidikan</v>
      </c>
      <c r="Y144" s="565"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44" s="565" t="str">
        <f>'matrik MISI 4'!Z65</f>
        <v>(SPM 14) Kunjungan pengawas ke satuan pendidikan dilakukan satu kali setiap bulan dan setiap 
kunjungan dilakukan selama 3 jam untuk melakukan supervisi dan pembinaan</v>
      </c>
    </row>
    <row r="145" spans="2:26" ht="30">
      <c r="B145" s="940"/>
      <c r="C145" s="941"/>
      <c r="D145" s="940"/>
      <c r="E145" s="940"/>
      <c r="F145" s="940"/>
      <c r="G145" s="940"/>
      <c r="H145" s="164" t="str">
        <f>'matrik MISI 4'!N67</f>
        <v>Persentase SMA/MA Terakreditasi A</v>
      </c>
      <c r="I145" s="164" t="str">
        <f>'matrik MISI 4'!O67</f>
        <v>%</v>
      </c>
      <c r="J145" s="929">
        <f>'matrik MISI 4'!P67</f>
        <v>29.63</v>
      </c>
      <c r="K145" s="929">
        <f>'matrik MISI 4'!Q67</f>
        <v>29.63</v>
      </c>
      <c r="L145" s="929">
        <f>'matrik MISI 4'!R67</f>
        <v>33.33</v>
      </c>
      <c r="M145" s="961"/>
      <c r="N145" s="929">
        <f>'matrik MISI 4'!S67</f>
        <v>37.03</v>
      </c>
      <c r="O145" s="929"/>
      <c r="P145" s="929">
        <f>'matrik MISI 4'!T67</f>
        <v>40.729999999999997</v>
      </c>
      <c r="Q145" s="929"/>
      <c r="R145" s="929">
        <f>'matrik MISI 4'!U67</f>
        <v>44.43</v>
      </c>
      <c r="S145" s="929"/>
      <c r="T145" s="929">
        <f>'matrik MISI 4'!V67</f>
        <v>48.13</v>
      </c>
      <c r="U145" s="929"/>
      <c r="V145" s="929">
        <f>'matrik MISI 4'!W67</f>
        <v>48.13</v>
      </c>
      <c r="W145" s="929"/>
      <c r="X145" s="929" t="str">
        <f>'matrik MISI 4'!X67</f>
        <v>Dinas Pendidikan</v>
      </c>
      <c r="Y145" s="565" t="str">
        <f>'matrik MISI 4'!Y67</f>
        <v>Jumlah SMA/MA terakreditasi A dibagi jumlah SMA/MA kali 100%</v>
      </c>
      <c r="Z145" s="565">
        <f>'matrik MISI 4'!Z67</f>
        <v>0</v>
      </c>
    </row>
    <row r="146" spans="2:26" ht="30">
      <c r="B146" s="940"/>
      <c r="C146" s="941"/>
      <c r="D146" s="940"/>
      <c r="E146" s="940"/>
      <c r="F146" s="940"/>
      <c r="G146" s="940"/>
      <c r="H146" s="164" t="str">
        <f>'matrik MISI 4'!N68</f>
        <v>Persentase SMA/MA Terakreditasi B</v>
      </c>
      <c r="I146" s="164" t="str">
        <f>'matrik MISI 4'!O68</f>
        <v>%</v>
      </c>
      <c r="J146" s="929">
        <f>'matrik MISI 4'!P68</f>
        <v>25.93</v>
      </c>
      <c r="K146" s="929">
        <f>'matrik MISI 4'!Q68</f>
        <v>25.93</v>
      </c>
      <c r="L146" s="929">
        <f>'matrik MISI 4'!R68</f>
        <v>25.93</v>
      </c>
      <c r="M146" s="961"/>
      <c r="N146" s="929">
        <f>'matrik MISI 4'!S68</f>
        <v>25.93</v>
      </c>
      <c r="O146" s="929"/>
      <c r="P146" s="929">
        <f>'matrik MISI 4'!T68</f>
        <v>25.93</v>
      </c>
      <c r="Q146" s="929"/>
      <c r="R146" s="929">
        <f>'matrik MISI 4'!U68</f>
        <v>25.93</v>
      </c>
      <c r="S146" s="929"/>
      <c r="T146" s="929">
        <f>'matrik MISI 4'!V68</f>
        <v>25.93</v>
      </c>
      <c r="U146" s="929"/>
      <c r="V146" s="929">
        <f>'matrik MISI 4'!W68</f>
        <v>25.93</v>
      </c>
      <c r="W146" s="929"/>
      <c r="X146" s="929" t="str">
        <f>'matrik MISI 4'!X68</f>
        <v>Dinas Pendidikan</v>
      </c>
      <c r="Y146" s="565" t="str">
        <f>'matrik MISI 4'!Y68</f>
        <v>Jumlah SMA/MA terakreditasi B dibagi jumlah SMA/MA kali 100%</v>
      </c>
      <c r="Z146" s="565">
        <f>'matrik MISI 4'!Z68</f>
        <v>0</v>
      </c>
    </row>
    <row r="147" spans="2:26" ht="30">
      <c r="B147" s="940"/>
      <c r="C147" s="941"/>
      <c r="D147" s="940"/>
      <c r="E147" s="940"/>
      <c r="F147" s="940"/>
      <c r="G147" s="940"/>
      <c r="H147" s="164" t="str">
        <f>'matrik MISI 4'!N69</f>
        <v>Persentase SMA/MA Terakreditasi C</v>
      </c>
      <c r="I147" s="164" t="str">
        <f>'matrik MISI 4'!O69</f>
        <v>%</v>
      </c>
      <c r="J147" s="929">
        <f>'matrik MISI 4'!P69</f>
        <v>22.22</v>
      </c>
      <c r="K147" s="929">
        <f>'matrik MISI 4'!Q69</f>
        <v>22.22</v>
      </c>
      <c r="L147" s="929">
        <f>'matrik MISI 4'!R69</f>
        <v>22.22</v>
      </c>
      <c r="M147" s="961"/>
      <c r="N147" s="929">
        <f>'matrik MISI 4'!S69</f>
        <v>22.22</v>
      </c>
      <c r="O147" s="929"/>
      <c r="P147" s="929">
        <f>'matrik MISI 4'!T69</f>
        <v>22.22</v>
      </c>
      <c r="Q147" s="929"/>
      <c r="R147" s="929">
        <f>'matrik MISI 4'!U69</f>
        <v>22.22</v>
      </c>
      <c r="S147" s="929"/>
      <c r="T147" s="929">
        <f>'matrik MISI 4'!V69</f>
        <v>22.22</v>
      </c>
      <c r="U147" s="929"/>
      <c r="V147" s="929">
        <f>'matrik MISI 4'!W69</f>
        <v>22.22</v>
      </c>
      <c r="W147" s="929"/>
      <c r="X147" s="929" t="str">
        <f>'matrik MISI 4'!X69</f>
        <v>Dinas Pendidikan</v>
      </c>
      <c r="Y147" s="565" t="str">
        <f>'matrik MISI 4'!Y69</f>
        <v>Jumlah SMA/MA terakreditasi C dibagi jumlah SMA/MA kali 100%</v>
      </c>
      <c r="Z147" s="565" t="str">
        <f>'matrik MISI 4'!Z69</f>
        <v>diharapkan di tahun 2018 tinggal 3,72% yang belum terakreditasi</v>
      </c>
    </row>
    <row r="148" spans="2:26" ht="30">
      <c r="B148" s="940"/>
      <c r="C148" s="941"/>
      <c r="D148" s="940"/>
      <c r="E148" s="940"/>
      <c r="F148" s="940"/>
      <c r="G148" s="940"/>
      <c r="H148" s="164" t="str">
        <f>'matrik MISI 4'!N70</f>
        <v>Persentase Program Keahlian SMK Terakreditasi A</v>
      </c>
      <c r="I148" s="164" t="str">
        <f>'matrik MISI 4'!O70</f>
        <v>%</v>
      </c>
      <c r="J148" s="929">
        <f>'matrik MISI 4'!P70</f>
        <v>15.87</v>
      </c>
      <c r="K148" s="929">
        <f>'matrik MISI 4'!Q70</f>
        <v>15.87</v>
      </c>
      <c r="L148" s="929">
        <f>'matrik MISI 4'!R70</f>
        <v>19.05</v>
      </c>
      <c r="M148" s="961"/>
      <c r="N148" s="929">
        <f>'matrik MISI 4'!S70</f>
        <v>22.23</v>
      </c>
      <c r="O148" s="929"/>
      <c r="P148" s="929">
        <f>'matrik MISI 4'!T70</f>
        <v>25.41</v>
      </c>
      <c r="Q148" s="929"/>
      <c r="R148" s="929">
        <f>'matrik MISI 4'!U70</f>
        <v>28.59</v>
      </c>
      <c r="S148" s="929"/>
      <c r="T148" s="929">
        <f>'matrik MISI 4'!V70</f>
        <v>31.77</v>
      </c>
      <c r="U148" s="929"/>
      <c r="V148" s="929">
        <f>'matrik MISI 4'!W70</f>
        <v>31.77</v>
      </c>
      <c r="W148" s="929"/>
      <c r="X148" s="929" t="str">
        <f>'matrik MISI 4'!X70</f>
        <v>Dinas Pendidikan</v>
      </c>
      <c r="Y148" s="565" t="str">
        <f>'matrik MISI 4'!Y70</f>
        <v>Jumlah Program Keahlian SMK terakreditasi A dibagi jumlah Program Keahlian SMK kali 100%</v>
      </c>
      <c r="Z148" s="565">
        <f>'matrik MISI 4'!Z70</f>
        <v>0</v>
      </c>
    </row>
    <row r="149" spans="2:26" ht="30">
      <c r="B149" s="940"/>
      <c r="C149" s="941"/>
      <c r="D149" s="940"/>
      <c r="E149" s="940"/>
      <c r="F149" s="940"/>
      <c r="G149" s="940"/>
      <c r="H149" s="164" t="str">
        <f>'matrik MISI 4'!N71</f>
        <v>Persentase Program Keahlian SMK Terakreditasi B</v>
      </c>
      <c r="I149" s="164" t="str">
        <f>'matrik MISI 4'!O71</f>
        <v>%</v>
      </c>
      <c r="J149" s="929">
        <f>'matrik MISI 4'!P71</f>
        <v>47.62</v>
      </c>
      <c r="K149" s="929">
        <f>'matrik MISI 4'!Q71</f>
        <v>47.62</v>
      </c>
      <c r="L149" s="929">
        <f>'matrik MISI 4'!R71</f>
        <v>47.62</v>
      </c>
      <c r="M149" s="961"/>
      <c r="N149" s="929">
        <f>'matrik MISI 4'!S71</f>
        <v>47.62</v>
      </c>
      <c r="O149" s="929"/>
      <c r="P149" s="929">
        <f>'matrik MISI 4'!T71</f>
        <v>47.62</v>
      </c>
      <c r="Q149" s="929"/>
      <c r="R149" s="929">
        <f>'matrik MISI 4'!U71</f>
        <v>47.62</v>
      </c>
      <c r="S149" s="929"/>
      <c r="T149" s="929">
        <f>'matrik MISI 4'!V71</f>
        <v>47.62</v>
      </c>
      <c r="U149" s="929"/>
      <c r="V149" s="929">
        <f>'matrik MISI 4'!W71</f>
        <v>47.62</v>
      </c>
      <c r="W149" s="929"/>
      <c r="X149" s="929" t="str">
        <f>'matrik MISI 4'!X71</f>
        <v>Dinas Pendidikan</v>
      </c>
      <c r="Y149" s="565" t="str">
        <f>'matrik MISI 4'!Y71</f>
        <v>Jumlah Program Keahlian SMK terakreditasi B dibagi jumlah Program Keahlian SMK kali 100%</v>
      </c>
      <c r="Z149" s="565">
        <f>'matrik MISI 4'!Z71</f>
        <v>0</v>
      </c>
    </row>
    <row r="150" spans="2:26" ht="30">
      <c r="B150" s="940"/>
      <c r="C150" s="941"/>
      <c r="D150" s="940"/>
      <c r="E150" s="940"/>
      <c r="F150" s="940"/>
      <c r="G150" s="940"/>
      <c r="H150" s="164" t="str">
        <f>'matrik MISI 4'!N72</f>
        <v>Persentase Program Keahlian SMK Terakreditasi C</v>
      </c>
      <c r="I150" s="164" t="str">
        <f>'matrik MISI 4'!O72</f>
        <v>%</v>
      </c>
      <c r="J150" s="929">
        <f>'matrik MISI 4'!P72</f>
        <v>19.05</v>
      </c>
      <c r="K150" s="929">
        <f>'matrik MISI 4'!Q72</f>
        <v>19.05</v>
      </c>
      <c r="L150" s="929">
        <f>'matrik MISI 4'!R72</f>
        <v>19.05</v>
      </c>
      <c r="M150" s="961"/>
      <c r="N150" s="929">
        <f>'matrik MISI 4'!S72</f>
        <v>19.05</v>
      </c>
      <c r="O150" s="929"/>
      <c r="P150" s="929">
        <f>'matrik MISI 4'!T72</f>
        <v>19.05</v>
      </c>
      <c r="Q150" s="929"/>
      <c r="R150" s="929">
        <f>'matrik MISI 4'!U72</f>
        <v>19.05</v>
      </c>
      <c r="S150" s="929"/>
      <c r="T150" s="929">
        <f>'matrik MISI 4'!V72</f>
        <v>19.05</v>
      </c>
      <c r="U150" s="929"/>
      <c r="V150" s="929">
        <f>'matrik MISI 4'!W72</f>
        <v>19.05</v>
      </c>
      <c r="W150" s="929"/>
      <c r="X150" s="929" t="str">
        <f>'matrik MISI 4'!X72</f>
        <v>Dinas Pendidikan</v>
      </c>
      <c r="Y150" s="565" t="str">
        <f>'matrik MISI 4'!Y72</f>
        <v>Jumlah Program Keahlian SMK terakreditasi C dibagi jumlah Program Keahlian SMK kali 100%</v>
      </c>
      <c r="Z150" s="565" t="str">
        <f>'matrik MISI 4'!Z72</f>
        <v>diharapkan di tahun 2018 tinggal 1,56% program keahlian yang belum terakreditasi</v>
      </c>
    </row>
    <row r="151" spans="2:26" ht="30">
      <c r="B151" s="940"/>
      <c r="C151" s="941"/>
      <c r="D151" s="940"/>
      <c r="E151" s="940"/>
      <c r="F151" s="940"/>
      <c r="G151" s="940"/>
      <c r="H151" s="164" t="str">
        <f>'matrik MISI 4'!N73</f>
        <v>Persentase Angka Lulusan SMA/MA/SMK</v>
      </c>
      <c r="I151" s="164" t="str">
        <f>'matrik MISI 4'!O73</f>
        <v>%</v>
      </c>
      <c r="J151" s="929">
        <f>'matrik MISI 4'!P73</f>
        <v>99.320568252007419</v>
      </c>
      <c r="K151" s="929">
        <f>'matrik MISI 4'!Q73</f>
        <v>99.864786555920418</v>
      </c>
      <c r="L151" s="929">
        <f>'matrik MISI 4'!R73</f>
        <v>100</v>
      </c>
      <c r="M151" s="961"/>
      <c r="N151" s="929">
        <f>'matrik MISI 4'!S73</f>
        <v>100</v>
      </c>
      <c r="O151" s="929"/>
      <c r="P151" s="929">
        <f>'matrik MISI 4'!T73</f>
        <v>100</v>
      </c>
      <c r="Q151" s="929"/>
      <c r="R151" s="929">
        <f>'matrik MISI 4'!U73</f>
        <v>100</v>
      </c>
      <c r="S151" s="929"/>
      <c r="T151" s="929">
        <f>'matrik MISI 4'!V73</f>
        <v>100</v>
      </c>
      <c r="U151" s="929"/>
      <c r="V151" s="929">
        <f>'matrik MISI 4'!W73</f>
        <v>100</v>
      </c>
      <c r="W151" s="929"/>
      <c r="X151" s="929" t="str">
        <f>'matrik MISI 4'!X73</f>
        <v>Dinas Pendidikan</v>
      </c>
      <c r="Y151" s="565" t="str">
        <f>'matrik MISI 4'!Y73</f>
        <v>Jumlah lulusan SMA/MA/SMK dibagi jumlah peserta Ujian Nasional SMA/MA/SMK kali 100%</v>
      </c>
      <c r="Z151" s="565">
        <f>'matrik MISI 4'!Z73</f>
        <v>0</v>
      </c>
    </row>
    <row r="152" spans="2:26" ht="45">
      <c r="B152" s="940"/>
      <c r="C152" s="941"/>
      <c r="D152" s="940"/>
      <c r="E152" s="940"/>
      <c r="F152" s="940"/>
      <c r="G152" s="940"/>
      <c r="H152" s="164" t="str">
        <f>'matrik MISI 4'!N74</f>
        <v>Persentase Siswa SMA/MA/SMK yang Memperoleh Rerata Nilai Ujian Nasional ≥ 7,00</v>
      </c>
      <c r="I152" s="164" t="str">
        <f>'matrik MISI 4'!O74</f>
        <v>%</v>
      </c>
      <c r="J152" s="929">
        <f>'matrik MISI 4'!P74</f>
        <v>72.122709491455623</v>
      </c>
      <c r="K152" s="929">
        <f>'matrik MISI 4'!Q74</f>
        <v>57.331009103234557</v>
      </c>
      <c r="L152" s="929">
        <f>'matrik MISI 4'!R74</f>
        <v>57.43</v>
      </c>
      <c r="M152" s="961"/>
      <c r="N152" s="929">
        <f>'matrik MISI 4'!S74</f>
        <v>57.63</v>
      </c>
      <c r="O152" s="929"/>
      <c r="P152" s="929">
        <f>'matrik MISI 4'!T74</f>
        <v>57.78</v>
      </c>
      <c r="Q152" s="929"/>
      <c r="R152" s="929">
        <f>'matrik MISI 4'!U74</f>
        <v>57.93</v>
      </c>
      <c r="S152" s="929"/>
      <c r="T152" s="929">
        <f>'matrik MISI 4'!V74</f>
        <v>58.08</v>
      </c>
      <c r="U152" s="929"/>
      <c r="V152" s="929">
        <f>'matrik MISI 4'!W74</f>
        <v>58.08</v>
      </c>
      <c r="W152" s="929"/>
      <c r="X152" s="929" t="str">
        <f>'matrik MISI 4'!X74</f>
        <v>Dinas Pendidikan</v>
      </c>
      <c r="Y152" s="565" t="str">
        <f>'matrik MISI 4'!Y74</f>
        <v>Jumlah peserta Ujian Nasional SMA/MA/SMK yang memperoleh nilai rata-rata Ujian Nasional ≥ 7,00 dibagi jumlah peserta Ujian Nasional SMA/MA/SMK  kali 100%</v>
      </c>
      <c r="Z152" s="565" t="str">
        <f>'matrik MISI 4'!Z74</f>
        <v>target capaian sangat tergantung dengan kualitas materi ujian.</v>
      </c>
    </row>
    <row r="153" spans="2:26" ht="30">
      <c r="B153" s="940"/>
      <c r="C153" s="941"/>
      <c r="D153" s="940"/>
      <c r="E153" s="940"/>
      <c r="F153" s="940"/>
      <c r="G153" s="940"/>
      <c r="H153" s="164" t="str">
        <f>'matrik MISI 4'!N12</f>
        <v>Persentase angka kenakalan siswa</v>
      </c>
      <c r="I153" s="164" t="str">
        <f>'matrik MISI 4'!O12</f>
        <v>%</v>
      </c>
      <c r="J153" s="929" t="str">
        <f>'matrik MISI 4'!P12</f>
        <v xml:space="preserve"> - </v>
      </c>
      <c r="K153" s="929" t="str">
        <f>'matrik MISI 4'!Q12</f>
        <v xml:space="preserve"> - </v>
      </c>
      <c r="L153" s="929">
        <f>'matrik MISI 4'!R12</f>
        <v>0</v>
      </c>
      <c r="M153" s="961"/>
      <c r="N153" s="929">
        <f>'matrik MISI 4'!S12</f>
        <v>0</v>
      </c>
      <c r="O153" s="929"/>
      <c r="P153" s="929">
        <f>'matrik MISI 4'!T12</f>
        <v>0</v>
      </c>
      <c r="Q153" s="929"/>
      <c r="R153" s="929">
        <f>'matrik MISI 4'!U12</f>
        <v>0</v>
      </c>
      <c r="S153" s="929"/>
      <c r="T153" s="929">
        <f>'matrik MISI 4'!V12</f>
        <v>0</v>
      </c>
      <c r="U153" s="929"/>
      <c r="V153" s="929">
        <f>'matrik MISI 4'!W12</f>
        <v>0</v>
      </c>
      <c r="W153" s="929"/>
      <c r="X153" s="929" t="str">
        <f>'matrik MISI 4'!X12</f>
        <v>Dinas Pendidikan</v>
      </c>
      <c r="Y153" s="565" t="str">
        <f>'matrik MISI 4'!Y12</f>
        <v>Jumlah siswa yang dikembalikan kepada orangtua,  dibagi jumlah seluruh siswa kali 100%</v>
      </c>
      <c r="Z153" s="565" t="str">
        <f>'matrik MISI 4'!Z12</f>
        <v>Dikembalikan karena melanggar disiplin/tata tertib sekolah</v>
      </c>
    </row>
    <row r="154" spans="2:26" ht="45">
      <c r="B154" s="940"/>
      <c r="C154" s="941"/>
      <c r="D154" s="940">
        <f>'matrik MISI 4'!J79</f>
        <v>1.01</v>
      </c>
      <c r="E154" s="940" t="str">
        <f>'matrik MISI 4'!K79</f>
        <v>xx</v>
      </c>
      <c r="F154" s="940">
        <f>'matrik MISI 4'!L79</f>
        <v>20</v>
      </c>
      <c r="G154" s="940" t="str">
        <f>'matrik MISI 4'!M79</f>
        <v>Program peningkatan mutu pendidik dan tenaga kependidikan</v>
      </c>
      <c r="H154" s="164"/>
      <c r="I154" s="164"/>
      <c r="J154" s="929"/>
      <c r="K154" s="929"/>
      <c r="L154" s="929"/>
      <c r="M154" s="961">
        <f>'jangan dihapus 2'!K196</f>
        <v>8234183000</v>
      </c>
      <c r="N154" s="961"/>
      <c r="O154" s="961">
        <f>'jangan dihapus 2'!M196</f>
        <v>8048701500</v>
      </c>
      <c r="P154" s="961"/>
      <c r="Q154" s="961">
        <f>'jangan dihapus 2'!O196</f>
        <v>8135486500</v>
      </c>
      <c r="R154" s="961"/>
      <c r="S154" s="961">
        <f>'jangan dihapus 2'!Q196</f>
        <v>8117086500</v>
      </c>
      <c r="T154" s="961"/>
      <c r="U154" s="961">
        <f>'jangan dihapus 2'!S196</f>
        <v>8178086500</v>
      </c>
      <c r="V154" s="929"/>
      <c r="W154" s="961">
        <f>SUM(M154:U154)</f>
        <v>40713544000</v>
      </c>
      <c r="X154" s="929"/>
      <c r="Y154" s="565"/>
      <c r="Z154" s="565"/>
    </row>
    <row r="155" spans="2:26">
      <c r="B155" s="940"/>
      <c r="C155" s="941"/>
      <c r="D155" s="939"/>
      <c r="E155" s="939"/>
      <c r="F155" s="939"/>
      <c r="G155" s="939"/>
      <c r="H155" s="164" t="str">
        <f>'matrik MISI 4'!N79</f>
        <v>Rasio Siswa per Pendidik TK/RA</v>
      </c>
      <c r="I155" s="164" t="str">
        <f>'matrik MISI 4'!O79</f>
        <v>Rasio</v>
      </c>
      <c r="J155" s="929" t="str">
        <f>'matrik MISI 4'!P79</f>
        <v>1 : 14</v>
      </c>
      <c r="K155" s="929" t="str">
        <f>'matrik MISI 4'!Q79</f>
        <v>1 : 14</v>
      </c>
      <c r="L155" s="929" t="str">
        <f>'matrik MISI 4'!R79</f>
        <v>1 : 14</v>
      </c>
      <c r="M155" s="961"/>
      <c r="N155" s="929" t="str">
        <f>'matrik MISI 4'!S79</f>
        <v>1 : 14</v>
      </c>
      <c r="O155" s="929"/>
      <c r="P155" s="929" t="str">
        <f>'matrik MISI 4'!T79</f>
        <v>1 : 14</v>
      </c>
      <c r="Q155" s="929"/>
      <c r="R155" s="929" t="str">
        <f>'matrik MISI 4'!U79</f>
        <v>1 : 14</v>
      </c>
      <c r="S155" s="929"/>
      <c r="T155" s="929" t="str">
        <f>'matrik MISI 4'!V79</f>
        <v>1 : 14</v>
      </c>
      <c r="U155" s="929"/>
      <c r="V155" s="929" t="str">
        <f>'matrik MISI 4'!W79</f>
        <v>1 : 14</v>
      </c>
      <c r="W155" s="929"/>
      <c r="X155" s="929" t="str">
        <f>'matrik MISI 4'!X79</f>
        <v>Dinas Pendidikan</v>
      </c>
      <c r="Y155" s="565" t="str">
        <f>'matrik MISI 4'!Y79</f>
        <v>Jumlah siswa TK/RA dibagi jumlah pendidik TK/RA</v>
      </c>
      <c r="Z155" s="565">
        <f>'matrik MISI 4'!Z79</f>
        <v>0</v>
      </c>
    </row>
    <row r="156" spans="2:26">
      <c r="B156" s="940"/>
      <c r="C156" s="941"/>
      <c r="D156" s="940"/>
      <c r="E156" s="940"/>
      <c r="F156" s="940"/>
      <c r="G156" s="940"/>
      <c r="H156" s="164" t="str">
        <f>'matrik MISI 4'!N80</f>
        <v>Rasio Siswa per Pendidik SD/MI</v>
      </c>
      <c r="I156" s="164" t="str">
        <f>'matrik MISI 4'!O80</f>
        <v>Rasio</v>
      </c>
      <c r="J156" s="929" t="str">
        <f>'matrik MISI 4'!P80</f>
        <v>1 : 14</v>
      </c>
      <c r="K156" s="929" t="str">
        <f>'matrik MISI 4'!Q80</f>
        <v>1 : 14</v>
      </c>
      <c r="L156" s="929" t="str">
        <f>'matrik MISI 4'!R80</f>
        <v>1 : 14</v>
      </c>
      <c r="M156" s="961"/>
      <c r="N156" s="929" t="str">
        <f>'matrik MISI 4'!S80</f>
        <v>1 : 14</v>
      </c>
      <c r="O156" s="929"/>
      <c r="P156" s="929" t="str">
        <f>'matrik MISI 4'!T80</f>
        <v>1 : 14</v>
      </c>
      <c r="Q156" s="929"/>
      <c r="R156" s="929" t="str">
        <f>'matrik MISI 4'!U80</f>
        <v>1 : 14</v>
      </c>
      <c r="S156" s="929"/>
      <c r="T156" s="929" t="str">
        <f>'matrik MISI 4'!V80</f>
        <v>1 : 14</v>
      </c>
      <c r="U156" s="929"/>
      <c r="V156" s="929" t="str">
        <f>'matrik MISI 4'!W80</f>
        <v>1 : 14</v>
      </c>
      <c r="W156" s="929"/>
      <c r="X156" s="929" t="str">
        <f>'matrik MISI 4'!X80</f>
        <v>Dinas Pendidikan</v>
      </c>
      <c r="Y156" s="565" t="str">
        <f>'matrik MISI 4'!Y80</f>
        <v>Jumlah siswa SD/MI dibagi jumlah pendidik SD/MI</v>
      </c>
      <c r="Z156" s="565">
        <f>'matrik MISI 4'!Z80</f>
        <v>0</v>
      </c>
    </row>
    <row r="157" spans="2:26" ht="30">
      <c r="B157" s="940"/>
      <c r="C157" s="941"/>
      <c r="D157" s="940"/>
      <c r="E157" s="940"/>
      <c r="F157" s="940"/>
      <c r="G157" s="940"/>
      <c r="H157" s="164" t="str">
        <f>'matrik MISI 4'!N81</f>
        <v>Rasio Siswa per Pendidik SMP/MTs</v>
      </c>
      <c r="I157" s="164" t="str">
        <f>'matrik MISI 4'!O81</f>
        <v>Rasio</v>
      </c>
      <c r="J157" s="929" t="str">
        <f>'matrik MISI 4'!P81</f>
        <v>1 : 16</v>
      </c>
      <c r="K157" s="929" t="str">
        <f>'matrik MISI 4'!Q81</f>
        <v>1 : 16</v>
      </c>
      <c r="L157" s="929" t="str">
        <f>'matrik MISI 4'!R81</f>
        <v>1 : 16</v>
      </c>
      <c r="M157" s="961"/>
      <c r="N157" s="929" t="str">
        <f>'matrik MISI 4'!S81</f>
        <v>1:15</v>
      </c>
      <c r="O157" s="929"/>
      <c r="P157" s="929" t="str">
        <f>'matrik MISI 4'!T81</f>
        <v>1:15</v>
      </c>
      <c r="Q157" s="929"/>
      <c r="R157" s="929" t="str">
        <f>'matrik MISI 4'!U81</f>
        <v>1:15</v>
      </c>
      <c r="S157" s="929"/>
      <c r="T157" s="929" t="str">
        <f>'matrik MISI 4'!V81</f>
        <v>1:15</v>
      </c>
      <c r="U157" s="929"/>
      <c r="V157" s="929" t="str">
        <f>'matrik MISI 4'!W81</f>
        <v>1:15</v>
      </c>
      <c r="W157" s="929"/>
      <c r="X157" s="929" t="str">
        <f>'matrik MISI 4'!X81</f>
        <v>Dinas Pendidikan</v>
      </c>
      <c r="Y157" s="565" t="str">
        <f>'matrik MISI 4'!Y81</f>
        <v>Jumlah siswa SMP/MTs dibagi jumlah pendidik SMP/MTs</v>
      </c>
      <c r="Z157" s="565">
        <f>'matrik MISI 4'!Z81</f>
        <v>0</v>
      </c>
    </row>
    <row r="158" spans="2:26" ht="30">
      <c r="B158" s="940"/>
      <c r="C158" s="941"/>
      <c r="D158" s="940"/>
      <c r="E158" s="940"/>
      <c r="F158" s="940"/>
      <c r="G158" s="940"/>
      <c r="H158" s="164" t="str">
        <f>'matrik MISI 4'!N82</f>
        <v>Rasio Siswa per Pendidik SMA/MA</v>
      </c>
      <c r="I158" s="164" t="str">
        <f>'matrik MISI 4'!O82</f>
        <v>Rasio</v>
      </c>
      <c r="J158" s="929" t="str">
        <f>'matrik MISI 4'!P82</f>
        <v>1 : 11</v>
      </c>
      <c r="K158" s="929" t="str">
        <f>'matrik MISI 4'!Q82</f>
        <v>1 : 11</v>
      </c>
      <c r="L158" s="929" t="str">
        <f>'matrik MISI 4'!R82</f>
        <v>1 : 11</v>
      </c>
      <c r="M158" s="961"/>
      <c r="N158" s="929" t="str">
        <f>'matrik MISI 4'!S82</f>
        <v>1 : 11</v>
      </c>
      <c r="O158" s="929"/>
      <c r="P158" s="929" t="str">
        <f>'matrik MISI 4'!T82</f>
        <v>1 : 11</v>
      </c>
      <c r="Q158" s="929"/>
      <c r="R158" s="929" t="str">
        <f>'matrik MISI 4'!U82</f>
        <v>1 : 11</v>
      </c>
      <c r="S158" s="929"/>
      <c r="T158" s="929" t="str">
        <f>'matrik MISI 4'!V82</f>
        <v>1 : 11</v>
      </c>
      <c r="U158" s="929"/>
      <c r="V158" s="929" t="str">
        <f>'matrik MISI 4'!W82</f>
        <v>1 : 11</v>
      </c>
      <c r="W158" s="929"/>
      <c r="X158" s="929" t="str">
        <f>'matrik MISI 4'!X82</f>
        <v>Dinas Pendidikan</v>
      </c>
      <c r="Y158" s="565" t="str">
        <f>'matrik MISI 4'!Y82</f>
        <v>Jumlah siswa SMA/MA dibagi jumlah pendidik SMA/MA</v>
      </c>
      <c r="Z158" s="565">
        <f>'matrik MISI 4'!Z82</f>
        <v>0</v>
      </c>
    </row>
    <row r="159" spans="2:26">
      <c r="B159" s="940"/>
      <c r="C159" s="941"/>
      <c r="D159" s="940"/>
      <c r="E159" s="940"/>
      <c r="F159" s="940"/>
      <c r="G159" s="940"/>
      <c r="H159" s="164" t="str">
        <f>'matrik MISI 4'!N83</f>
        <v>Rasio Siswa per Pendidik SMK</v>
      </c>
      <c r="I159" s="164" t="str">
        <f>'matrik MISI 4'!O83</f>
        <v>Rasio</v>
      </c>
      <c r="J159" s="929" t="str">
        <f>'matrik MISI 4'!P83</f>
        <v>1 : 15</v>
      </c>
      <c r="K159" s="929" t="str">
        <f>'matrik MISI 4'!Q83</f>
        <v>1 : 15</v>
      </c>
      <c r="L159" s="929" t="str">
        <f>'matrik MISI 4'!R83</f>
        <v>1 : 15</v>
      </c>
      <c r="M159" s="961"/>
      <c r="N159" s="929" t="str">
        <f>'matrik MISI 4'!S83</f>
        <v>1:14</v>
      </c>
      <c r="O159" s="929"/>
      <c r="P159" s="929" t="str">
        <f>'matrik MISI 4'!T83</f>
        <v>1:14</v>
      </c>
      <c r="Q159" s="929"/>
      <c r="R159" s="929" t="str">
        <f>'matrik MISI 4'!U83</f>
        <v>1:14</v>
      </c>
      <c r="S159" s="929"/>
      <c r="T159" s="929" t="str">
        <f>'matrik MISI 4'!V83</f>
        <v>1:13</v>
      </c>
      <c r="U159" s="929"/>
      <c r="V159" s="929" t="str">
        <f>'matrik MISI 4'!W83</f>
        <v>1:13</v>
      </c>
      <c r="W159" s="929"/>
      <c r="X159" s="929" t="str">
        <f>'matrik MISI 4'!X83</f>
        <v>Dinas Pendidikan</v>
      </c>
      <c r="Y159" s="565" t="str">
        <f>'matrik MISI 4'!Y83</f>
        <v>Jumlah siswa SMK dibagi jumlah pendidik SMK</v>
      </c>
      <c r="Z159" s="565">
        <f>'matrik MISI 4'!Z83</f>
        <v>0</v>
      </c>
    </row>
    <row r="160" spans="2:26" ht="45">
      <c r="B160" s="940"/>
      <c r="C160" s="941"/>
      <c r="D160" s="940"/>
      <c r="E160" s="940"/>
      <c r="F160" s="940"/>
      <c r="G160" s="940"/>
      <c r="H160" s="164" t="str">
        <f>'matrik MISI 4'!N85</f>
        <v>Persentase Pendidik TK/RA yang memenuhi standar kualifikasi akademik</v>
      </c>
      <c r="I160" s="164" t="str">
        <f>'matrik MISI 4'!O85</f>
        <v>%</v>
      </c>
      <c r="J160" s="929">
        <f>'matrik MISI 4'!P85</f>
        <v>35.14986376021799</v>
      </c>
      <c r="K160" s="929">
        <f>'matrik MISI 4'!Q85</f>
        <v>41.79</v>
      </c>
      <c r="L160" s="929">
        <f>'matrik MISI 4'!R85</f>
        <v>42.34</v>
      </c>
      <c r="M160" s="961"/>
      <c r="N160" s="929">
        <f>'matrik MISI 4'!S85</f>
        <v>42.89</v>
      </c>
      <c r="O160" s="929"/>
      <c r="P160" s="929">
        <f>'matrik MISI 4'!T85</f>
        <v>43.44</v>
      </c>
      <c r="Q160" s="929"/>
      <c r="R160" s="929">
        <f>'matrik MISI 4'!U85</f>
        <v>44.33</v>
      </c>
      <c r="S160" s="929"/>
      <c r="T160" s="929">
        <f>'matrik MISI 4'!V85</f>
        <v>45.22</v>
      </c>
      <c r="U160" s="929"/>
      <c r="V160" s="929">
        <f>'matrik MISI 4'!W85</f>
        <v>45.22</v>
      </c>
      <c r="W160" s="929"/>
      <c r="X160" s="929" t="str">
        <f>'matrik MISI 4'!X85</f>
        <v>Dinas Pendidikan</v>
      </c>
      <c r="Y160" s="565" t="str">
        <f>'matrik MISI 4'!Y85</f>
        <v>Jumlah pendidik TK/RA yang memiliki ijazah ≥ S1/D4 dibagi jumlah pendidik TK/RA kali 100%</v>
      </c>
      <c r="Z160" s="565" t="str">
        <f>'matrik MISI 4'!Z85</f>
        <v>kualifikasi akademik adalah setara dengan S1/D4 dan belum melihat standar kompetensi.</v>
      </c>
    </row>
    <row r="161" spans="2:26" ht="45">
      <c r="B161" s="940"/>
      <c r="C161" s="941"/>
      <c r="D161" s="940"/>
      <c r="E161" s="940"/>
      <c r="F161" s="940"/>
      <c r="G161" s="940"/>
      <c r="H161" s="164" t="str">
        <f>'matrik MISI 4'!N86</f>
        <v>Persentase Pendidik SD/MI yang memenuhi standar kualifikasi akademik</v>
      </c>
      <c r="I161" s="164" t="str">
        <f>'matrik MISI 4'!O86</f>
        <v>%</v>
      </c>
      <c r="J161" s="929">
        <f>'matrik MISI 4'!P86</f>
        <v>63.370350784417418</v>
      </c>
      <c r="K161" s="929">
        <f>'matrik MISI 4'!Q86</f>
        <v>70.510000000000005</v>
      </c>
      <c r="L161" s="929" t="str">
        <f>'matrik MISI 4'!R86</f>
        <v>70,56</v>
      </c>
      <c r="M161" s="961"/>
      <c r="N161" s="929" t="str">
        <f>'matrik MISI 4'!S86</f>
        <v>70,61</v>
      </c>
      <c r="O161" s="929"/>
      <c r="P161" s="929" t="str">
        <f>'matrik MISI 4'!T86</f>
        <v>70,66</v>
      </c>
      <c r="Q161" s="929"/>
      <c r="R161" s="929">
        <f>'matrik MISI 4'!U86</f>
        <v>71.16</v>
      </c>
      <c r="S161" s="929"/>
      <c r="T161" s="929">
        <f>'matrik MISI 4'!V86</f>
        <v>71.66</v>
      </c>
      <c r="U161" s="929"/>
      <c r="V161" s="929">
        <f>'matrik MISI 4'!W86</f>
        <v>71.66</v>
      </c>
      <c r="W161" s="929"/>
      <c r="X161" s="929" t="str">
        <f>'matrik MISI 4'!X86</f>
        <v>Dinas Pendidikan</v>
      </c>
      <c r="Y161" s="565" t="str">
        <f>'matrik MISI 4'!Y86</f>
        <v>Jumlah pendidik SD/MI yang memiliki ijazah ≥ S1/D4 dibagi jumlah pendidik SD/MI kali 100%</v>
      </c>
      <c r="Z161" s="565">
        <f>'matrik MISI 4'!Z86</f>
        <v>0</v>
      </c>
    </row>
    <row r="162" spans="2:26" ht="45">
      <c r="B162" s="940"/>
      <c r="C162" s="941"/>
      <c r="D162" s="940"/>
      <c r="E162" s="940"/>
      <c r="F162" s="940"/>
      <c r="G162" s="940"/>
      <c r="H162" s="164" t="str">
        <f>'matrik MISI 4'!N87</f>
        <v>Persentase Pendidik SMP/MTs yang memenuhi standar kualifikasi akademik</v>
      </c>
      <c r="I162" s="164" t="str">
        <f>'matrik MISI 4'!O87</f>
        <v>%</v>
      </c>
      <c r="J162" s="929">
        <f>'matrik MISI 4'!P87</f>
        <v>83.286516853932582</v>
      </c>
      <c r="K162" s="929">
        <f>'matrik MISI 4'!Q87</f>
        <v>83.34</v>
      </c>
      <c r="L162" s="929">
        <f>'matrik MISI 4'!R87</f>
        <v>83.39</v>
      </c>
      <c r="M162" s="961"/>
      <c r="N162" s="929">
        <f>'matrik MISI 4'!S87</f>
        <v>83.44</v>
      </c>
      <c r="O162" s="929"/>
      <c r="P162" s="929">
        <f>'matrik MISI 4'!T87</f>
        <v>83.49</v>
      </c>
      <c r="Q162" s="929"/>
      <c r="R162" s="929">
        <f>'matrik MISI 4'!U87</f>
        <v>83.54</v>
      </c>
      <c r="S162" s="929"/>
      <c r="T162" s="929">
        <f>'matrik MISI 4'!V87</f>
        <v>83.59</v>
      </c>
      <c r="U162" s="929"/>
      <c r="V162" s="929">
        <f>'matrik MISI 4'!W87</f>
        <v>83.59</v>
      </c>
      <c r="W162" s="929"/>
      <c r="X162" s="929" t="str">
        <f>'matrik MISI 4'!X87</f>
        <v>Dinas Pendidikan</v>
      </c>
      <c r="Y162" s="565" t="str">
        <f>'matrik MISI 4'!Y87</f>
        <v>Jumlah pendidik SMP/MTs yang memiliki ijazah ≥ S1/D4 dibagi jumlah pendidik SMP/MTs kali 100%</v>
      </c>
      <c r="Z162" s="565">
        <f>'matrik MISI 4'!Z87</f>
        <v>0</v>
      </c>
    </row>
    <row r="163" spans="2:26" ht="45">
      <c r="B163" s="940"/>
      <c r="C163" s="941"/>
      <c r="D163" s="940"/>
      <c r="E163" s="940"/>
      <c r="F163" s="940"/>
      <c r="G163" s="940"/>
      <c r="H163" s="164" t="str">
        <f>'matrik MISI 4'!N88</f>
        <v>Persentase Pendidik SMA/MA yang memenuhi standar kualifikasi akademik</v>
      </c>
      <c r="I163" s="164" t="str">
        <f>'matrik MISI 4'!O88</f>
        <v>%</v>
      </c>
      <c r="J163" s="929">
        <f>'matrik MISI 4'!P88</f>
        <v>91.448275862068968</v>
      </c>
      <c r="K163" s="929">
        <f>'matrik MISI 4'!Q88</f>
        <v>91.5</v>
      </c>
      <c r="L163" s="929">
        <f>'matrik MISI 4'!R88</f>
        <v>91.55</v>
      </c>
      <c r="M163" s="961"/>
      <c r="N163" s="929">
        <f>'matrik MISI 4'!S88</f>
        <v>91.6</v>
      </c>
      <c r="O163" s="929"/>
      <c r="P163" s="929">
        <f>'matrik MISI 4'!T88</f>
        <v>91.65</v>
      </c>
      <c r="Q163" s="929"/>
      <c r="R163" s="929">
        <f>'matrik MISI 4'!U88</f>
        <v>91.7</v>
      </c>
      <c r="S163" s="929"/>
      <c r="T163" s="929">
        <f>'matrik MISI 4'!V88</f>
        <v>91.75</v>
      </c>
      <c r="U163" s="929"/>
      <c r="V163" s="929">
        <f>'matrik MISI 4'!W88</f>
        <v>91.75</v>
      </c>
      <c r="W163" s="929"/>
      <c r="X163" s="929" t="str">
        <f>'matrik MISI 4'!X88</f>
        <v>Dinas Pendidikan</v>
      </c>
      <c r="Y163" s="565" t="str">
        <f>'matrik MISI 4'!Y88</f>
        <v>Jumlah pendidik SMA/MA yang memiliki ijazah ≥ S1/D4 dibagi jumlah pendidik SMA/MA kali 100%</v>
      </c>
      <c r="Z163" s="565">
        <f>'matrik MISI 4'!Z88</f>
        <v>0</v>
      </c>
    </row>
    <row r="164" spans="2:26" ht="45">
      <c r="B164" s="940"/>
      <c r="C164" s="941"/>
      <c r="D164" s="940"/>
      <c r="E164" s="940"/>
      <c r="F164" s="940"/>
      <c r="G164" s="940"/>
      <c r="H164" s="164" t="str">
        <f>'matrik MISI 4'!N89</f>
        <v>Persentase Pendidik SMK  yang memenuhi standar kualifikasi akademik</v>
      </c>
      <c r="I164" s="164" t="str">
        <f>'matrik MISI 4'!O89</f>
        <v>%</v>
      </c>
      <c r="J164" s="929">
        <f>'matrik MISI 4'!P89</f>
        <v>90.209790209790214</v>
      </c>
      <c r="K164" s="929">
        <f>'matrik MISI 4'!Q89</f>
        <v>90.26</v>
      </c>
      <c r="L164" s="929">
        <f>'matrik MISI 4'!R89</f>
        <v>90.31</v>
      </c>
      <c r="M164" s="961"/>
      <c r="N164" s="929">
        <f>'matrik MISI 4'!S89</f>
        <v>90.36</v>
      </c>
      <c r="O164" s="929"/>
      <c r="P164" s="929">
        <f>'matrik MISI 4'!T89</f>
        <v>90.41</v>
      </c>
      <c r="Q164" s="929"/>
      <c r="R164" s="929">
        <f>'matrik MISI 4'!U89</f>
        <v>90.46</v>
      </c>
      <c r="S164" s="929"/>
      <c r="T164" s="929">
        <f>'matrik MISI 4'!V89</f>
        <v>90.51</v>
      </c>
      <c r="U164" s="929"/>
      <c r="V164" s="929">
        <f>'matrik MISI 4'!W89</f>
        <v>90.51</v>
      </c>
      <c r="W164" s="929"/>
      <c r="X164" s="929" t="str">
        <f>'matrik MISI 4'!X89</f>
        <v>Dinas Pendidikan</v>
      </c>
      <c r="Y164" s="565" t="str">
        <f>'matrik MISI 4'!Y89</f>
        <v>Jumlah pendidik SMK yang memiliki ijazah ≥ S1/D4 dibagi jumlah pendidik SMK kali 100%</v>
      </c>
      <c r="Z164" s="565">
        <f>'matrik MISI 4'!Z89</f>
        <v>0</v>
      </c>
    </row>
    <row r="165" spans="2:26" ht="60">
      <c r="B165" s="940"/>
      <c r="C165" s="941"/>
      <c r="D165" s="940"/>
      <c r="E165" s="940"/>
      <c r="F165" s="940"/>
      <c r="G165" s="940"/>
      <c r="H165" s="164" t="str">
        <f>'matrik MISI 4'!N90</f>
        <v xml:space="preserve">Cakupan ketersediaan guru  SD/MI. </v>
      </c>
      <c r="I165" s="164" t="str">
        <f>'matrik MISI 4'!O90</f>
        <v>%</v>
      </c>
      <c r="J165" s="929">
        <f>'matrik MISI 4'!P90</f>
        <v>90.87</v>
      </c>
      <c r="K165" s="929">
        <f>'matrik MISI 4'!Q90</f>
        <v>92</v>
      </c>
      <c r="L165" s="929">
        <f>'matrik MISI 4'!R90</f>
        <v>92.6</v>
      </c>
      <c r="M165" s="961"/>
      <c r="N165" s="929">
        <f>'matrik MISI 4'!S90</f>
        <v>93.2</v>
      </c>
      <c r="O165" s="929"/>
      <c r="P165" s="929">
        <f>'matrik MISI 4'!T90</f>
        <v>93.8</v>
      </c>
      <c r="Q165" s="929"/>
      <c r="R165" s="929">
        <f>'matrik MISI 4'!U90</f>
        <v>94.4</v>
      </c>
      <c r="S165" s="929"/>
      <c r="T165" s="929">
        <f>'matrik MISI 4'!V90</f>
        <v>95</v>
      </c>
      <c r="U165" s="929"/>
      <c r="V165" s="929">
        <f>'matrik MISI 4'!W90</f>
        <v>95</v>
      </c>
      <c r="W165" s="929"/>
      <c r="X165" s="929" t="str">
        <f>'matrik MISI 4'!X90</f>
        <v>Dinas Pendidikan</v>
      </c>
      <c r="Y165" s="565" t="str">
        <f>'matrik MISI 4'!Y90</f>
        <v>Rata-rata Jumlah SD/MI yang memiliki satu orang guru untuk setiap 32 peserta didik dibagi jumlah SD/MI kali 100%; dan Jumlah SD/MI yang memiliki 6 (enam) 
orang guru kali jumlah SD/MI kali 100%</v>
      </c>
      <c r="Z165" s="565" t="str">
        <f>'matrik MISI 4'!Z90</f>
        <v>(SPM 5) Di setiap SD/MI tersedia 1 (satu) orang guru untuk setiap 32 peserta didik dan 6 (enam) orang guru untuk setiap satuan pendidikan</v>
      </c>
    </row>
    <row r="166" spans="2:26" ht="45">
      <c r="B166" s="940"/>
      <c r="C166" s="941"/>
      <c r="D166" s="940"/>
      <c r="E166" s="940"/>
      <c r="F166" s="940"/>
      <c r="G166" s="940"/>
      <c r="H166" s="164" t="str">
        <f>'matrik MISI 4'!N91</f>
        <v xml:space="preserve">Cakupan ketersediaan guru  SMP/MTS per Satuan mata pelajaran. </v>
      </c>
      <c r="I166" s="164" t="str">
        <f>'matrik MISI 4'!O91</f>
        <v>%</v>
      </c>
      <c r="J166" s="929">
        <f>'matrik MISI 4'!P91</f>
        <v>78.099999999999994</v>
      </c>
      <c r="K166" s="929">
        <f>'matrik MISI 4'!Q91</f>
        <v>78.5</v>
      </c>
      <c r="L166" s="929">
        <f>'matrik MISI 4'!R91</f>
        <v>79.7</v>
      </c>
      <c r="M166" s="961"/>
      <c r="N166" s="929">
        <f>'matrik MISI 4'!S91</f>
        <v>80.900000000000006</v>
      </c>
      <c r="O166" s="929"/>
      <c r="P166" s="929">
        <f>'matrik MISI 4'!T91</f>
        <v>82.1</v>
      </c>
      <c r="Q166" s="929"/>
      <c r="R166" s="929">
        <f>'matrik MISI 4'!U91</f>
        <v>83.3</v>
      </c>
      <c r="S166" s="929"/>
      <c r="T166" s="929">
        <f>'matrik MISI 4'!V91</f>
        <v>84.5</v>
      </c>
      <c r="U166" s="929"/>
      <c r="V166" s="929">
        <f>'matrik MISI 4'!W91</f>
        <v>84.5</v>
      </c>
      <c r="W166" s="929"/>
      <c r="X166" s="929" t="str">
        <f>'matrik MISI 4'!X91</f>
        <v>Dinas Pendidikan</v>
      </c>
      <c r="Y166" s="565" t="str">
        <f>'matrik MISI 4'!Y91</f>
        <v>Jumlah SMP/MTs yang memiliki guru untuk setiap mata pelajaran dibagi jumlah SMP/MTs kali 100%</v>
      </c>
      <c r="Z166" s="565" t="str">
        <f>'matrik MISI 4'!Z91</f>
        <v>(SPM 6) Di setiap SMP/MTs tersedia 1 (satu) orang guru untuk setiap mata pelajaran</v>
      </c>
    </row>
    <row r="167" spans="2:26" ht="75">
      <c r="B167" s="940"/>
      <c r="C167" s="941"/>
      <c r="D167" s="940"/>
      <c r="E167" s="940"/>
      <c r="F167" s="940"/>
      <c r="G167" s="940"/>
      <c r="H167" s="164" t="str">
        <f>'matrik MISI 4'!N92</f>
        <v>Cakupan ketersediaan Guru SD/MI  yang memenuhi kualifikasi akademik S1 atau D-IV yang telah memiliki sertifikat pendidik</v>
      </c>
      <c r="I167" s="164" t="str">
        <f>'matrik MISI 4'!O92</f>
        <v>%</v>
      </c>
      <c r="J167" s="929">
        <f>'matrik MISI 4'!P92</f>
        <v>81.3</v>
      </c>
      <c r="K167" s="929">
        <f>'matrik MISI 4'!Q92</f>
        <v>81.5</v>
      </c>
      <c r="L167" s="929">
        <f>'matrik MISI 4'!R92</f>
        <v>83</v>
      </c>
      <c r="M167" s="961"/>
      <c r="N167" s="929">
        <f>'matrik MISI 4'!S92</f>
        <v>84.5</v>
      </c>
      <c r="O167" s="929"/>
      <c r="P167" s="929">
        <f>'matrik MISI 4'!T92</f>
        <v>86</v>
      </c>
      <c r="Q167" s="929"/>
      <c r="R167" s="929">
        <f>'matrik MISI 4'!U92</f>
        <v>87.5</v>
      </c>
      <c r="S167" s="929"/>
      <c r="T167" s="929">
        <f>'matrik MISI 4'!V92</f>
        <v>89</v>
      </c>
      <c r="U167" s="929"/>
      <c r="V167" s="929">
        <f>'matrik MISI 4'!W92</f>
        <v>89</v>
      </c>
      <c r="W167" s="929"/>
      <c r="X167" s="929" t="str">
        <f>'matrik MISI 4'!X92</f>
        <v>Dinas Pendidikan</v>
      </c>
      <c r="Y167" s="565" t="str">
        <f>'matrik MISI 4'!Y92</f>
        <v>Rata-rata jumlah SD/MI yang memiliki 2 orang guru yang memenuhi kualifikasi akademik S1 atau D-IV dibagi jumlah SD/Mi kali 100%; dan Jumlah SD/MI yang memiliki 2 orang guru yang telah memiliki sertifikat pendidik dibagi jumlah SD/MI kali 100%</v>
      </c>
      <c r="Z167" s="565" t="str">
        <f>'matrik MISI 4'!Z92</f>
        <v>(SPM 7) Di setiap SD/MI tersedia 2 (dua) orang guru yang memenuhi kualifikasi akademik S1 atau D-IV dan 2 (dua) orang guru yang telah memiliki sertifikat pendidik</v>
      </c>
    </row>
    <row r="168" spans="2:26" ht="60">
      <c r="B168" s="940"/>
      <c r="C168" s="941"/>
      <c r="D168" s="940"/>
      <c r="E168" s="940"/>
      <c r="F168" s="940"/>
      <c r="G168" s="940"/>
      <c r="H168" s="164" t="str">
        <f>'matrik MISI 4'!N93</f>
        <v>Cakupan kualifikasi guru SMP/MTs.</v>
      </c>
      <c r="I168" s="164" t="str">
        <f>'matrik MISI 4'!O93</f>
        <v>%</v>
      </c>
      <c r="J168" s="929">
        <f>'matrik MISI 4'!P93</f>
        <v>72.38</v>
      </c>
      <c r="K168" s="929">
        <f>'matrik MISI 4'!Q93</f>
        <v>72.5</v>
      </c>
      <c r="L168" s="929">
        <f>'matrik MISI 4'!R93</f>
        <v>74.5</v>
      </c>
      <c r="M168" s="961"/>
      <c r="N168" s="929">
        <f>'matrik MISI 4'!S93</f>
        <v>76.5</v>
      </c>
      <c r="O168" s="929"/>
      <c r="P168" s="929">
        <f>'matrik MISI 4'!T93</f>
        <v>78.5</v>
      </c>
      <c r="Q168" s="929"/>
      <c r="R168" s="929">
        <f>'matrik MISI 4'!U93</f>
        <v>80.5</v>
      </c>
      <c r="S168" s="929"/>
      <c r="T168" s="929">
        <f>'matrik MISI 4'!V93</f>
        <v>82.5</v>
      </c>
      <c r="U168" s="929"/>
      <c r="V168" s="929">
        <f>'matrik MISI 4'!W93</f>
        <v>82.5</v>
      </c>
      <c r="W168" s="929"/>
      <c r="X168" s="929" t="str">
        <f>'matrik MISI 4'!X93</f>
        <v>Dinas Pendidikan</v>
      </c>
      <c r="Y168" s="565"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68" s="565" t="str">
        <f>'matrik MISI 4'!Z93</f>
        <v>(SPM 8) Di setiap SMP/MTs tersedia guru dengan kualifikasi akademik S-1 atau D-IV sebanyak 70% dan separuh diantaranya (35% dari keseluruhan guru) telah memiliki sertifikat pendidik</v>
      </c>
    </row>
    <row r="169" spans="2:26" ht="30">
      <c r="B169" s="940"/>
      <c r="C169" s="941"/>
      <c r="D169" s="940"/>
      <c r="E169" s="940"/>
      <c r="F169" s="940"/>
      <c r="G169" s="940"/>
      <c r="H169" s="164" t="str">
        <f>'matrik MISI 4'!N11</f>
        <v>Persentase pendidik yang disiplin</v>
      </c>
      <c r="I169" s="164" t="str">
        <f>'matrik MISI 4'!O11</f>
        <v>%</v>
      </c>
      <c r="J169" s="929" t="str">
        <f>'matrik MISI 4'!P11</f>
        <v xml:space="preserve"> - </v>
      </c>
      <c r="K169" s="929" t="str">
        <f>'matrik MISI 4'!Q11</f>
        <v xml:space="preserve"> - </v>
      </c>
      <c r="L169" s="929">
        <f>'matrik MISI 4'!R11</f>
        <v>100</v>
      </c>
      <c r="M169" s="961"/>
      <c r="N169" s="929">
        <f>'matrik MISI 4'!S11</f>
        <v>100</v>
      </c>
      <c r="O169" s="929"/>
      <c r="P169" s="929">
        <f>'matrik MISI 4'!T11</f>
        <v>100</v>
      </c>
      <c r="Q169" s="929"/>
      <c r="R169" s="929">
        <f>'matrik MISI 4'!U11</f>
        <v>100</v>
      </c>
      <c r="S169" s="929"/>
      <c r="T169" s="929">
        <f>'matrik MISI 4'!V11</f>
        <v>100</v>
      </c>
      <c r="U169" s="929"/>
      <c r="V169" s="929">
        <f>'matrik MISI 4'!W11</f>
        <v>100</v>
      </c>
      <c r="W169" s="929"/>
      <c r="X169" s="929" t="str">
        <f>'matrik MISI 4'!X11</f>
        <v>Dinas Pendidikan</v>
      </c>
      <c r="Y169" s="565" t="str">
        <f>'matrik MISI 4'!Y11</f>
        <v>Jumlah pendidik yang disiplin dibagi jumlah total pendidik kali 100%</v>
      </c>
      <c r="Z169" s="565" t="str">
        <f>'matrik MISI 4'!Z11</f>
        <v>Dengan surat teguran</v>
      </c>
    </row>
    <row r="170" spans="2:26" ht="75">
      <c r="B170" s="940"/>
      <c r="C170" s="941"/>
      <c r="D170" s="940"/>
      <c r="E170" s="940"/>
      <c r="F170" s="940"/>
      <c r="G170" s="940"/>
      <c r="H170" s="164" t="str">
        <f>'matrik MISI 4'!N94</f>
        <v>Cakupan ketersediaan guru SMP/MTs untuk mata pelajaran Matematika, IPA, Bahasa Indonesia, Bahasa Inggris dan PKn.</v>
      </c>
      <c r="I170" s="164" t="str">
        <f>'matrik MISI 4'!O94</f>
        <v>%</v>
      </c>
      <c r="J170" s="929">
        <f>'matrik MISI 4'!P94</f>
        <v>65.709999999999994</v>
      </c>
      <c r="K170" s="929">
        <f>'matrik MISI 4'!Q94</f>
        <v>66</v>
      </c>
      <c r="L170" s="929">
        <f>'matrik MISI 4'!R94</f>
        <v>67.7</v>
      </c>
      <c r="M170" s="961"/>
      <c r="N170" s="929">
        <f>'matrik MISI 4'!S94</f>
        <v>69.400000000000006</v>
      </c>
      <c r="O170" s="929"/>
      <c r="P170" s="929">
        <f>'matrik MISI 4'!T94</f>
        <v>71.099999999999994</v>
      </c>
      <c r="Q170" s="929"/>
      <c r="R170" s="929">
        <f>'matrik MISI 4'!U94</f>
        <v>72.8</v>
      </c>
      <c r="S170" s="929"/>
      <c r="T170" s="929">
        <f>'matrik MISI 4'!V94</f>
        <v>74.5</v>
      </c>
      <c r="U170" s="929"/>
      <c r="V170" s="929">
        <f>'matrik MISI 4'!W94</f>
        <v>74.5</v>
      </c>
      <c r="W170" s="929"/>
      <c r="X170" s="929" t="str">
        <f>'matrik MISI 4'!X94</f>
        <v>Dinas Pendidikan</v>
      </c>
      <c r="Y170" s="565" t="str">
        <f>'matrik MISI 4'!Y94</f>
        <v>Jumlah SMP/MTs yang memiliki guru dengan kualifikasi akademik S1 atau D-IV dan telah memiliki sertifikat pendidik, masing-masing 1 (satu) orang untuk mapel Matematika, IPA, Bahasa Indonesia, Bahasa Inggris dan PKn dibagi jumlah SMP/MTs kali 100%</v>
      </c>
      <c r="Z170" s="565" t="str">
        <f>'matrik MISI 4'!Z94</f>
        <v>(SPM 9) Di setiap SMP/MTs tersedia guru dengan kualifikasi akademik S-1 atau D-IV dan telah memiliki sertifikat pendidik masing-masing satu orang untuk mata pelajaran Matematika, IPA, Bahasa Indonesia, Bahasa Inggris dan PKn.</v>
      </c>
    </row>
    <row r="171" spans="2:26" ht="30">
      <c r="B171" s="940"/>
      <c r="C171" s="941"/>
      <c r="D171" s="940"/>
      <c r="E171" s="940"/>
      <c r="F171" s="940"/>
      <c r="G171" s="940"/>
      <c r="H171" s="164" t="str">
        <f>'matrik MISI 4'!N95</f>
        <v xml:space="preserve">Cakupan kualifikasi akademik Kepala SD/MI. </v>
      </c>
      <c r="I171" s="164" t="str">
        <f>'matrik MISI 4'!O95</f>
        <v>%</v>
      </c>
      <c r="J171" s="929">
        <f>'matrik MISI 4'!P95</f>
        <v>82.96</v>
      </c>
      <c r="K171" s="929">
        <f>'matrik MISI 4'!Q95</f>
        <v>83</v>
      </c>
      <c r="L171" s="929">
        <f>'matrik MISI 4'!R95</f>
        <v>84.2</v>
      </c>
      <c r="M171" s="961"/>
      <c r="N171" s="929">
        <f>'matrik MISI 4'!S95</f>
        <v>85.4</v>
      </c>
      <c r="O171" s="929"/>
      <c r="P171" s="929">
        <f>'matrik MISI 4'!T95</f>
        <v>86.6</v>
      </c>
      <c r="Q171" s="929"/>
      <c r="R171" s="929">
        <f>'matrik MISI 4'!U95</f>
        <v>87.8</v>
      </c>
      <c r="S171" s="929"/>
      <c r="T171" s="929">
        <f>'matrik MISI 4'!V95</f>
        <v>89</v>
      </c>
      <c r="U171" s="929"/>
      <c r="V171" s="929">
        <f>'matrik MISI 4'!W95</f>
        <v>89</v>
      </c>
      <c r="W171" s="929"/>
      <c r="X171" s="929" t="str">
        <f>'matrik MISI 4'!X95</f>
        <v>Dinas Pendidikan</v>
      </c>
      <c r="Y171" s="565" t="str">
        <f>'matrik MISI 4'!Y95</f>
        <v>Jumlah Kepala SD/MI yang berkualifikasi akademik S-1 atau D-IV dan telah bersertifikat pendidik dibagi jumlah SD/MI kali 100%</v>
      </c>
      <c r="Z171" s="565" t="str">
        <f>'matrik MISI 4'!Z95</f>
        <v>(SPM 10) Di setiap kabupaten/kota semua kepala SD/MI berkualifikasi akademik S-1 atau D-IV dan telah memiliki sertifikat pendidik</v>
      </c>
    </row>
    <row r="172" spans="2:26" ht="30">
      <c r="B172" s="940"/>
      <c r="C172" s="941"/>
      <c r="D172" s="940"/>
      <c r="E172" s="940"/>
      <c r="F172" s="940"/>
      <c r="G172" s="940"/>
      <c r="H172" s="164" t="str">
        <f>'matrik MISI 4'!N96</f>
        <v xml:space="preserve">Cakupan Kualifikasi Akademik Kepala SMP/MTs </v>
      </c>
      <c r="I172" s="164" t="str">
        <f>'matrik MISI 4'!O96</f>
        <v>%</v>
      </c>
      <c r="J172" s="929">
        <f>'matrik MISI 4'!P96</f>
        <v>90.48</v>
      </c>
      <c r="K172" s="929">
        <f>'matrik MISI 4'!Q96</f>
        <v>90.5</v>
      </c>
      <c r="L172" s="929">
        <f>'matrik MISI 4'!R96</f>
        <v>92</v>
      </c>
      <c r="M172" s="961"/>
      <c r="N172" s="929">
        <f>'matrik MISI 4'!S96</f>
        <v>93.5</v>
      </c>
      <c r="O172" s="929"/>
      <c r="P172" s="929">
        <f>'matrik MISI 4'!T96</f>
        <v>95</v>
      </c>
      <c r="Q172" s="929"/>
      <c r="R172" s="929">
        <f>'matrik MISI 4'!U96</f>
        <v>96.5</v>
      </c>
      <c r="S172" s="929"/>
      <c r="T172" s="929">
        <f>'matrik MISI 4'!V96</f>
        <v>98</v>
      </c>
      <c r="U172" s="929"/>
      <c r="V172" s="929">
        <f>'matrik MISI 4'!W96</f>
        <v>98</v>
      </c>
      <c r="W172" s="929"/>
      <c r="X172" s="929" t="str">
        <f>'matrik MISI 4'!X96</f>
        <v>Dinas Pendidikan</v>
      </c>
      <c r="Y172" s="565" t="str">
        <f>'matrik MISI 4'!Y96</f>
        <v>Jumlah Kepala SMP/MTs yang berkualifikasi akademik S-1 atau D-IV dan telah bersertifikat pendidik dibagi jumlah SMP/MTs kali 100%</v>
      </c>
      <c r="Z172" s="565" t="str">
        <f>'matrik MISI 4'!Z96</f>
        <v>(SPM 11) Di setiap kabupaten/kota semua kepala SMP/MTs berkualifikasi akademik S-1 atau D-IV dan telah memiliki sertifikat pendidik</v>
      </c>
    </row>
    <row r="173" spans="2:26" ht="45">
      <c r="B173" s="940"/>
      <c r="C173" s="941"/>
      <c r="D173" s="940"/>
      <c r="E173" s="940"/>
      <c r="F173" s="940"/>
      <c r="G173" s="940"/>
      <c r="H173" s="164" t="str">
        <f>'matrik MISI 4'!N97</f>
        <v>Cakupan Kualifikasi Akademik  pengawas sekolah/Madrasah.</v>
      </c>
      <c r="I173" s="164" t="str">
        <f>'matrik MISI 4'!O97</f>
        <v>%</v>
      </c>
      <c r="J173" s="929">
        <f>'matrik MISI 4'!P97</f>
        <v>100</v>
      </c>
      <c r="K173" s="929">
        <f>'matrik MISI 4'!Q97</f>
        <v>95.92</v>
      </c>
      <c r="L173" s="929">
        <f>'matrik MISI 4'!R97</f>
        <v>95.92</v>
      </c>
      <c r="M173" s="961"/>
      <c r="N173" s="929">
        <f>'matrik MISI 4'!S97</f>
        <v>95.92</v>
      </c>
      <c r="O173" s="929"/>
      <c r="P173" s="929">
        <f>'matrik MISI 4'!T97</f>
        <v>95.92</v>
      </c>
      <c r="Q173" s="929"/>
      <c r="R173" s="929">
        <f>'matrik MISI 4'!U97</f>
        <v>95.92</v>
      </c>
      <c r="S173" s="929"/>
      <c r="T173" s="929">
        <f>'matrik MISI 4'!V97</f>
        <v>95.92</v>
      </c>
      <c r="U173" s="929"/>
      <c r="V173" s="929">
        <f>'matrik MISI 4'!W97</f>
        <v>95.92</v>
      </c>
      <c r="W173" s="929"/>
      <c r="X173" s="929" t="str">
        <f>'matrik MISI 4'!X97</f>
        <v>Dinas Pendidikan</v>
      </c>
      <c r="Y173" s="565" t="str">
        <f>'matrik MISI 4'!Y97</f>
        <v>Jumlah pengawas sekolah/madrasah yang berkualifikasi akademik S-1 atau D-IV dan telah bersertifikat pendidik dibagi jumlah pengawas sekolah/madrasah kali 100%</v>
      </c>
      <c r="Z173" s="565" t="str">
        <f>'matrik MISI 4'!Z97</f>
        <v>(SPM 12) Di setiap kabupaten/kota semua pengawas sekolah/ madrasah memiliki kualifikasi akademik S-1 atau D-IV dan telah memiliki sertifikat pendidik</v>
      </c>
    </row>
    <row r="174" spans="2:26" ht="30">
      <c r="B174" s="940"/>
      <c r="C174" s="941"/>
      <c r="D174" s="940"/>
      <c r="E174" s="940"/>
      <c r="F174" s="940"/>
      <c r="G174" s="940"/>
      <c r="H174" s="164" t="str">
        <f>'matrik MISI 4'!N99</f>
        <v xml:space="preserve">Persentase Pendidik TK/RA yang memiliki sertifikat pendidik </v>
      </c>
      <c r="I174" s="164" t="str">
        <f>'matrik MISI 4'!O99</f>
        <v>%</v>
      </c>
      <c r="J174" s="929">
        <f>'matrik MISI 4'!P99</f>
        <v>3.13</v>
      </c>
      <c r="K174" s="929">
        <f>'matrik MISI 4'!Q99</f>
        <v>3.23</v>
      </c>
      <c r="L174" s="929">
        <f>'matrik MISI 4'!R99</f>
        <v>3.33</v>
      </c>
      <c r="M174" s="961"/>
      <c r="N174" s="929">
        <f>'matrik MISI 4'!S99</f>
        <v>3.43</v>
      </c>
      <c r="O174" s="929"/>
      <c r="P174" s="929">
        <f>'matrik MISI 4'!T99</f>
        <v>3.53</v>
      </c>
      <c r="Q174" s="929"/>
      <c r="R174" s="929">
        <f>'matrik MISI 4'!U99</f>
        <v>3.63</v>
      </c>
      <c r="S174" s="929"/>
      <c r="T174" s="929">
        <f>'matrik MISI 4'!V99</f>
        <v>3.73</v>
      </c>
      <c r="U174" s="929"/>
      <c r="V174" s="929">
        <f>'matrik MISI 4'!W99</f>
        <v>3.73</v>
      </c>
      <c r="W174" s="929"/>
      <c r="X174" s="929" t="str">
        <f>'matrik MISI 4'!X99</f>
        <v>Dinas  Pendidikan</v>
      </c>
      <c r="Y174" s="565" t="str">
        <f>'matrik MISI 4'!Y99</f>
        <v>Jumlah pendidik TK/RA yang memiliki sertifikat pendidik dibagi jumlah pendidik TK/RA kali 100%</v>
      </c>
      <c r="Z174" s="565" t="str">
        <f>'matrik MISI 4'!Z99</f>
        <v>Capaian Target Tergantung dengan kebijakan kementerian Pendidikan dan Kebudayaan.</v>
      </c>
    </row>
    <row r="175" spans="2:26" ht="30">
      <c r="B175" s="940"/>
      <c r="C175" s="941"/>
      <c r="D175" s="940"/>
      <c r="E175" s="940"/>
      <c r="F175" s="940"/>
      <c r="G175" s="940"/>
      <c r="H175" s="164" t="str">
        <f>'matrik MISI 4'!N100</f>
        <v xml:space="preserve">Persentase Pendidik SD/MI yang memiliki sertifikat pendidik </v>
      </c>
      <c r="I175" s="164" t="str">
        <f>'matrik MISI 4'!O100</f>
        <v>%</v>
      </c>
      <c r="J175" s="929">
        <f>'matrik MISI 4'!P100</f>
        <v>30.8</v>
      </c>
      <c r="K175" s="929">
        <f>'matrik MISI 4'!Q100</f>
        <v>30.9</v>
      </c>
      <c r="L175" s="929">
        <f>'matrik MISI 4'!R100</f>
        <v>31</v>
      </c>
      <c r="M175" s="961"/>
      <c r="N175" s="929">
        <f>'matrik MISI 4'!S100</f>
        <v>31.1</v>
      </c>
      <c r="O175" s="929"/>
      <c r="P175" s="929">
        <f>'matrik MISI 4'!T100</f>
        <v>31.2</v>
      </c>
      <c r="Q175" s="929"/>
      <c r="R175" s="929">
        <f>'matrik MISI 4'!U100</f>
        <v>31.3</v>
      </c>
      <c r="S175" s="929"/>
      <c r="T175" s="929">
        <f>'matrik MISI 4'!V100</f>
        <v>31.4</v>
      </c>
      <c r="U175" s="929"/>
      <c r="V175" s="929">
        <f>'matrik MISI 4'!W100</f>
        <v>31.4</v>
      </c>
      <c r="W175" s="929"/>
      <c r="X175" s="929" t="str">
        <f>'matrik MISI 4'!X100</f>
        <v>Dinas  Pendidikan</v>
      </c>
      <c r="Y175" s="565" t="str">
        <f>'matrik MISI 4'!Y100</f>
        <v>Jumlah pendidik SD/MI yang memiliki sertifikat pendidik dibagi jumlah pendidik SD/MI kali 100%</v>
      </c>
      <c r="Z175" s="565" t="str">
        <f>'matrik MISI 4'!Z100</f>
        <v>Capaian Target Tergantung dengan kebijakan kementerian Pendidikan dan Kebudayaan.</v>
      </c>
    </row>
    <row r="176" spans="2:26" ht="45">
      <c r="B176" s="940"/>
      <c r="C176" s="941"/>
      <c r="D176" s="940"/>
      <c r="E176" s="940"/>
      <c r="F176" s="940"/>
      <c r="G176" s="940"/>
      <c r="H176" s="164" t="str">
        <f>'matrik MISI 4'!N101</f>
        <v xml:space="preserve">Persentase Pendidik SMP/MTs yang memiliki sertifikat pendidik </v>
      </c>
      <c r="I176" s="164" t="str">
        <f>'matrik MISI 4'!O101</f>
        <v>%</v>
      </c>
      <c r="J176" s="929">
        <f>'matrik MISI 4'!P101</f>
        <v>50.09</v>
      </c>
      <c r="K176" s="929">
        <f>'matrik MISI 4'!Q101</f>
        <v>5019</v>
      </c>
      <c r="L176" s="929">
        <f>'matrik MISI 4'!R101</f>
        <v>50.29</v>
      </c>
      <c r="M176" s="961"/>
      <c r="N176" s="929">
        <f>'matrik MISI 4'!S101</f>
        <v>50.39</v>
      </c>
      <c r="O176" s="929"/>
      <c r="P176" s="929">
        <f>'matrik MISI 4'!T101</f>
        <v>50.49</v>
      </c>
      <c r="Q176" s="929"/>
      <c r="R176" s="929" t="str">
        <f>'matrik MISI 4'!U101</f>
        <v>50..59</v>
      </c>
      <c r="S176" s="929"/>
      <c r="T176" s="929">
        <f>'matrik MISI 4'!V101</f>
        <v>50.69</v>
      </c>
      <c r="U176" s="929"/>
      <c r="V176" s="929">
        <f>'matrik MISI 4'!W101</f>
        <v>50.69</v>
      </c>
      <c r="W176" s="929"/>
      <c r="X176" s="929" t="str">
        <f>'matrik MISI 4'!X101</f>
        <v>Dinas  Pendidikan</v>
      </c>
      <c r="Y176" s="565" t="str">
        <f>'matrik MISI 4'!Y101</f>
        <v>Jumlah pendidik SMP/MTs yang memiliki sertifikat pendidik dibagi jumlah pendidik SMP/MTs kali 100%</v>
      </c>
      <c r="Z176" s="565" t="str">
        <f>'matrik MISI 4'!Z101</f>
        <v>Capaian Target Tergantung dengan kebijakan kementerian Pendidikan dan Kebudayaan.</v>
      </c>
    </row>
    <row r="177" spans="2:26" ht="45">
      <c r="B177" s="940"/>
      <c r="C177" s="941"/>
      <c r="D177" s="940"/>
      <c r="E177" s="940"/>
      <c r="F177" s="940"/>
      <c r="G177" s="940"/>
      <c r="H177" s="164" t="str">
        <f>'matrik MISI 4'!N102</f>
        <v xml:space="preserve">Persentase Pendidik SMA/MA yang memiliki sertifikat pendidik </v>
      </c>
      <c r="I177" s="164" t="str">
        <f>'matrik MISI 4'!O102</f>
        <v>%</v>
      </c>
      <c r="J177" s="929">
        <f>'matrik MISI 4'!P102</f>
        <v>44.79</v>
      </c>
      <c r="K177" s="929">
        <f>'matrik MISI 4'!Q102</f>
        <v>44.89</v>
      </c>
      <c r="L177" s="929">
        <f>'matrik MISI 4'!R102</f>
        <v>44.99</v>
      </c>
      <c r="M177" s="961"/>
      <c r="N177" s="929">
        <f>'matrik MISI 4'!S102</f>
        <v>45.09</v>
      </c>
      <c r="O177" s="929"/>
      <c r="P177" s="929">
        <f>'matrik MISI 4'!T102</f>
        <v>45.19</v>
      </c>
      <c r="Q177" s="929"/>
      <c r="R177" s="929">
        <f>'matrik MISI 4'!U102</f>
        <v>45.29</v>
      </c>
      <c r="S177" s="929"/>
      <c r="T177" s="929">
        <f>'matrik MISI 4'!V102</f>
        <v>45.39</v>
      </c>
      <c r="U177" s="929"/>
      <c r="V177" s="929">
        <f>'matrik MISI 4'!W102</f>
        <v>45.39</v>
      </c>
      <c r="W177" s="929"/>
      <c r="X177" s="929" t="str">
        <f>'matrik MISI 4'!X102</f>
        <v>Dinas  Pendidikan</v>
      </c>
      <c r="Y177" s="565" t="str">
        <f>'matrik MISI 4'!Y102</f>
        <v>Jumlah pendidik SMA/MA yang memiliki sertifikat pendidik dibagi jumlah pendidik SMA/MA kali 100%</v>
      </c>
      <c r="Z177" s="565" t="str">
        <f>'matrik MISI 4'!Z102</f>
        <v>Capaian Target Tergantung dengan kebijakan kementerian Pendidikan dan Kebudayaan.</v>
      </c>
    </row>
    <row r="178" spans="2:26" ht="30">
      <c r="B178" s="940"/>
      <c r="C178" s="941"/>
      <c r="D178" s="940"/>
      <c r="E178" s="940"/>
      <c r="F178" s="940"/>
      <c r="G178" s="940"/>
      <c r="H178" s="164" t="str">
        <f>'matrik MISI 4'!N103</f>
        <v xml:space="preserve">Persentase Pendidik SMK yang memiliki sertifikat pendidik </v>
      </c>
      <c r="I178" s="164" t="str">
        <f>'matrik MISI 4'!O103</f>
        <v>%</v>
      </c>
      <c r="J178" s="929">
        <f>'matrik MISI 4'!P103</f>
        <v>44.79</v>
      </c>
      <c r="K178" s="929">
        <f>'matrik MISI 4'!Q103</f>
        <v>44.89</v>
      </c>
      <c r="L178" s="929">
        <f>'matrik MISI 4'!R103</f>
        <v>44.99</v>
      </c>
      <c r="M178" s="961"/>
      <c r="N178" s="929">
        <f>'matrik MISI 4'!S103</f>
        <v>45.09</v>
      </c>
      <c r="O178" s="929"/>
      <c r="P178" s="929">
        <f>'matrik MISI 4'!T103</f>
        <v>45.19</v>
      </c>
      <c r="Q178" s="929"/>
      <c r="R178" s="929">
        <f>'matrik MISI 4'!U103</f>
        <v>45.29</v>
      </c>
      <c r="S178" s="929"/>
      <c r="T178" s="929">
        <f>'matrik MISI 4'!V103</f>
        <v>45.39</v>
      </c>
      <c r="U178" s="929"/>
      <c r="V178" s="929">
        <f>'matrik MISI 4'!W103</f>
        <v>45.39</v>
      </c>
      <c r="W178" s="929"/>
      <c r="X178" s="929" t="str">
        <f>'matrik MISI 4'!X103</f>
        <v>Dinas  Pendidikan</v>
      </c>
      <c r="Y178" s="565" t="str">
        <f>'matrik MISI 4'!Y103</f>
        <v>Jumlah pendidik SMK yang memiliki sertifikat pendidik dibagi jumlah pendidik SMK kali 100%</v>
      </c>
      <c r="Z178" s="565" t="str">
        <f>'matrik MISI 4'!Z103</f>
        <v>Capaian Target Tergantung dengan kebijakan kementerian Pendidikan dan Kebudayaan.</v>
      </c>
    </row>
    <row r="179" spans="2:26" ht="30">
      <c r="B179" s="940"/>
      <c r="C179" s="941"/>
      <c r="D179" s="940"/>
      <c r="E179" s="940"/>
      <c r="F179" s="940"/>
      <c r="G179" s="940"/>
      <c r="H179" s="164" t="str">
        <f>'matrik MISI 4'!N105</f>
        <v>Besaran Pegawai Administrasi Sekolah</v>
      </c>
      <c r="I179" s="164" t="str">
        <f>'matrik MISI 4'!O105</f>
        <v>Orang</v>
      </c>
      <c r="J179" s="929">
        <f>'matrik MISI 4'!P105</f>
        <v>181</v>
      </c>
      <c r="K179" s="929">
        <f>'matrik MISI 4'!Q105</f>
        <v>181</v>
      </c>
      <c r="L179" s="929">
        <f>'matrik MISI 4'!R105</f>
        <v>181</v>
      </c>
      <c r="M179" s="961"/>
      <c r="N179" s="929">
        <f>'matrik MISI 4'!S105</f>
        <v>181</v>
      </c>
      <c r="O179" s="929"/>
      <c r="P179" s="929">
        <f>'matrik MISI 4'!T105</f>
        <v>181</v>
      </c>
      <c r="Q179" s="929"/>
      <c r="R179" s="929">
        <f>'matrik MISI 4'!U105</f>
        <v>181</v>
      </c>
      <c r="S179" s="929"/>
      <c r="T179" s="929">
        <f>'matrik MISI 4'!V105</f>
        <v>181</v>
      </c>
      <c r="U179" s="929"/>
      <c r="V179" s="929">
        <f>'matrik MISI 4'!W105</f>
        <v>181</v>
      </c>
      <c r="W179" s="929"/>
      <c r="X179" s="929" t="str">
        <f>'matrik MISI 4'!X105</f>
        <v>Dinas Pendidikan</v>
      </c>
      <c r="Y179" s="565" t="str">
        <f>'matrik MISI 4'!Y105</f>
        <v xml:space="preserve">Jumlah tenaga administrasi sekolah </v>
      </c>
      <c r="Z179" s="565">
        <f>'matrik MISI 4'!Z105</f>
        <v>0</v>
      </c>
    </row>
    <row r="180" spans="2:26" ht="30">
      <c r="B180" s="940"/>
      <c r="C180" s="941"/>
      <c r="D180" s="940"/>
      <c r="E180" s="940"/>
      <c r="F180" s="940"/>
      <c r="G180" s="940"/>
      <c r="H180" s="164" t="str">
        <f>'matrik MISI 4'!N106</f>
        <v>Besaran Penilik Pendidikan Nonformal</v>
      </c>
      <c r="I180" s="164" t="str">
        <f>'matrik MISI 4'!O106</f>
        <v>Orang</v>
      </c>
      <c r="J180" s="929">
        <f>'matrik MISI 4'!P106</f>
        <v>18</v>
      </c>
      <c r="K180" s="929">
        <f>'matrik MISI 4'!Q106</f>
        <v>18</v>
      </c>
      <c r="L180" s="929">
        <f>'matrik MISI 4'!R106</f>
        <v>18</v>
      </c>
      <c r="M180" s="961"/>
      <c r="N180" s="929">
        <f>'matrik MISI 4'!S106</f>
        <v>18</v>
      </c>
      <c r="O180" s="929"/>
      <c r="P180" s="929">
        <f>'matrik MISI 4'!T106</f>
        <v>18</v>
      </c>
      <c r="Q180" s="929"/>
      <c r="R180" s="929">
        <f>'matrik MISI 4'!U106</f>
        <v>18</v>
      </c>
      <c r="S180" s="929"/>
      <c r="T180" s="929">
        <f>'matrik MISI 4'!V106</f>
        <v>20</v>
      </c>
      <c r="U180" s="929"/>
      <c r="V180" s="929">
        <f>'matrik MISI 4'!W106</f>
        <v>20</v>
      </c>
      <c r="W180" s="929"/>
      <c r="X180" s="929" t="str">
        <f>'matrik MISI 4'!X106</f>
        <v>Dinas Pendidikan</v>
      </c>
      <c r="Y180" s="565" t="str">
        <f>'matrik MISI 4'!Y106</f>
        <v>Jumlah penilik pendidikan nonformal</v>
      </c>
      <c r="Z180" s="565">
        <f>'matrik MISI 4'!Z106</f>
        <v>0</v>
      </c>
    </row>
    <row r="181" spans="2:26">
      <c r="B181" s="940"/>
      <c r="C181" s="941"/>
      <c r="D181" s="940"/>
      <c r="E181" s="940"/>
      <c r="F181" s="940"/>
      <c r="G181" s="940"/>
      <c r="H181" s="164" t="str">
        <f>'matrik MISI 4'!N107</f>
        <v>Rasio Pengawas Sekolah</v>
      </c>
      <c r="I181" s="164" t="str">
        <f>'matrik MISI 4'!O107</f>
        <v>Rasio</v>
      </c>
      <c r="J181" s="929" t="str">
        <f>'matrik MISI 4'!P107</f>
        <v>1 ; 17</v>
      </c>
      <c r="K181" s="929" t="str">
        <f>'matrik MISI 4'!Q107</f>
        <v>1 ; 17</v>
      </c>
      <c r="L181" s="929" t="str">
        <f>'matrik MISI 4'!R107</f>
        <v>1 ; 17</v>
      </c>
      <c r="M181" s="961"/>
      <c r="N181" s="929" t="str">
        <f>'matrik MISI 4'!S107</f>
        <v>1 ; 17</v>
      </c>
      <c r="O181" s="929"/>
      <c r="P181" s="929" t="str">
        <f>'matrik MISI 4'!T107</f>
        <v>1 ; 17</v>
      </c>
      <c r="Q181" s="929"/>
      <c r="R181" s="929" t="str">
        <f>'matrik MISI 4'!U107</f>
        <v>1 ; 17</v>
      </c>
      <c r="S181" s="929"/>
      <c r="T181" s="929" t="str">
        <f>'matrik MISI 4'!V107</f>
        <v>1 ; 17</v>
      </c>
      <c r="U181" s="929"/>
      <c r="V181" s="929" t="str">
        <f>'matrik MISI 4'!W107</f>
        <v>1 ; 17</v>
      </c>
      <c r="W181" s="929"/>
      <c r="X181" s="929" t="str">
        <f>'matrik MISI 4'!X107</f>
        <v>Dinas Pendidikan</v>
      </c>
      <c r="Y181" s="565" t="str">
        <f>'matrik MISI 4'!Y107</f>
        <v>Jumlah pengawas sekolah dibagi jumlah sekolah</v>
      </c>
      <c r="Z181" s="565">
        <f>'matrik MISI 4'!Z107</f>
        <v>0</v>
      </c>
    </row>
    <row r="182" spans="2:26">
      <c r="B182" s="940"/>
      <c r="C182" s="941"/>
      <c r="D182" s="940"/>
      <c r="E182" s="940"/>
      <c r="F182" s="940"/>
      <c r="G182" s="940"/>
      <c r="H182" s="164" t="str">
        <f>'matrik MISI 4'!N108</f>
        <v>Besaran Pamong Belajar</v>
      </c>
      <c r="I182" s="164" t="str">
        <f>'matrik MISI 4'!O108</f>
        <v>Orang</v>
      </c>
      <c r="J182" s="929">
        <f>'matrik MISI 4'!P108</f>
        <v>3</v>
      </c>
      <c r="K182" s="929">
        <f>'matrik MISI 4'!Q108</f>
        <v>3</v>
      </c>
      <c r="L182" s="929">
        <f>'matrik MISI 4'!R108</f>
        <v>3</v>
      </c>
      <c r="M182" s="961"/>
      <c r="N182" s="929">
        <f>'matrik MISI 4'!S108</f>
        <v>4</v>
      </c>
      <c r="O182" s="929"/>
      <c r="P182" s="929">
        <f>'matrik MISI 4'!T108</f>
        <v>4</v>
      </c>
      <c r="Q182" s="929"/>
      <c r="R182" s="929">
        <f>'matrik MISI 4'!U108</f>
        <v>5</v>
      </c>
      <c r="S182" s="929"/>
      <c r="T182" s="929">
        <f>'matrik MISI 4'!V108</f>
        <v>5</v>
      </c>
      <c r="U182" s="929"/>
      <c r="V182" s="929">
        <f>'matrik MISI 4'!W108</f>
        <v>6</v>
      </c>
      <c r="W182" s="929"/>
      <c r="X182" s="929" t="str">
        <f>'matrik MISI 4'!X108</f>
        <v>Dinas Pendidikan</v>
      </c>
      <c r="Y182" s="565" t="str">
        <f>'matrik MISI 4'!Y108</f>
        <v xml:space="preserve">Jumlah pamong belajar </v>
      </c>
      <c r="Z182" s="565">
        <f>'matrik MISI 4'!Z108</f>
        <v>0</v>
      </c>
    </row>
    <row r="183" spans="2:26" ht="45">
      <c r="B183" s="949">
        <v>2</v>
      </c>
      <c r="C183" s="948" t="str">
        <f>'matrik MISI 5'!B6</f>
        <v>KESEHATAN</v>
      </c>
      <c r="D183" s="949">
        <f>'matrik MISI 5'!J7</f>
        <v>1.02</v>
      </c>
      <c r="E183" s="949" t="str">
        <f>'matrik MISI 5'!K7</f>
        <v>xx</v>
      </c>
      <c r="F183" s="949">
        <f>'matrik MISI 5'!L7</f>
        <v>32</v>
      </c>
      <c r="G183" s="1005" t="str">
        <f>'matrik MISI 5'!M7</f>
        <v>Program peningkatan keselamatan ibu melahirkan dan anak</v>
      </c>
      <c r="H183" s="164"/>
      <c r="I183" s="164"/>
      <c r="J183" s="929"/>
      <c r="K183" s="929"/>
      <c r="L183" s="929"/>
      <c r="M183" s="961">
        <f>'jangan di hapus 1'!K405</f>
        <v>223774500</v>
      </c>
      <c r="N183" s="961"/>
      <c r="O183" s="961">
        <f>'jangan di hapus 1'!M405</f>
        <v>340000000</v>
      </c>
      <c r="P183" s="961"/>
      <c r="Q183" s="961">
        <f>'jangan di hapus 1'!O405</f>
        <v>665000000</v>
      </c>
      <c r="R183" s="961"/>
      <c r="S183" s="961">
        <f>'jangan di hapus 1'!Q405</f>
        <v>740000000</v>
      </c>
      <c r="T183" s="961"/>
      <c r="U183" s="961">
        <f>'jangan di hapus 1'!S405</f>
        <v>815000000</v>
      </c>
      <c r="V183" s="929"/>
      <c r="W183" s="981">
        <f t="shared" ref="W183" si="7">SUM(M183:U183)</f>
        <v>2783774500</v>
      </c>
      <c r="X183" s="929"/>
      <c r="Y183" s="565"/>
      <c r="Z183" s="565"/>
    </row>
    <row r="184" spans="2:26" ht="30">
      <c r="B184" s="939"/>
      <c r="C184" s="939"/>
      <c r="D184" s="939"/>
      <c r="E184" s="939"/>
      <c r="F184" s="939"/>
      <c r="G184" s="965"/>
      <c r="H184" s="164" t="str">
        <f>'matrik MISI 5'!N7</f>
        <v>Cakupan Kunjungan Ibu Hamil K4</v>
      </c>
      <c r="I184" s="164" t="str">
        <f>'matrik MISI 5'!O7</f>
        <v>%</v>
      </c>
      <c r="J184" s="929" t="str">
        <f>'matrik MISI 5'!P7</f>
        <v>92,24</v>
      </c>
      <c r="K184" s="929">
        <f>'matrik MISI 5'!Q7</f>
        <v>95</v>
      </c>
      <c r="L184" s="929">
        <f>'matrik MISI 5'!R7</f>
        <v>95</v>
      </c>
      <c r="M184" s="966"/>
      <c r="N184" s="929">
        <f>'matrik MISI 5'!S7</f>
        <v>95</v>
      </c>
      <c r="O184" s="967"/>
      <c r="P184" s="929">
        <f>'matrik MISI 5'!T7</f>
        <v>95</v>
      </c>
      <c r="Q184" s="967"/>
      <c r="R184" s="929">
        <f>'matrik MISI 5'!U7</f>
        <v>95</v>
      </c>
      <c r="S184" s="929"/>
      <c r="T184" s="929">
        <f>'matrik MISI 5'!V7</f>
        <v>95</v>
      </c>
      <c r="U184" s="929"/>
      <c r="V184" s="929">
        <f>'matrik MISI 5'!W7</f>
        <v>95</v>
      </c>
      <c r="W184" s="929"/>
      <c r="X184" s="929" t="str">
        <f>'matrik MISI 5'!X7</f>
        <v>Dinas Kesehatan</v>
      </c>
      <c r="Y184" s="565" t="str">
        <f>'matrik MISI 5'!Y7</f>
        <v>Jumlah Ibu hamil yang telah memperoleh pelayanan antenatal sesuai standar minimal 4 kali / Jumlah sasaran ibu hamil x 100</v>
      </c>
      <c r="Z184" s="565" t="str">
        <f>'matrik MISI 5'!Z7</f>
        <v>akhir tahun denominator menggunakan jumlah ibu hamil riil</v>
      </c>
    </row>
    <row r="185" spans="2:26" ht="60">
      <c r="B185" s="940"/>
      <c r="C185" s="941"/>
      <c r="D185" s="940"/>
      <c r="E185" s="940"/>
      <c r="F185" s="940"/>
      <c r="G185" s="398"/>
      <c r="H185" s="164" t="str">
        <f>'matrik MISI 5'!N8</f>
        <v>Cakupan Pertolongan Persalinan oleh Bidan atau Tenaga Kesehatan yang Memiliki Kompetensi Kebidanan</v>
      </c>
      <c r="I185" s="164" t="str">
        <f>'matrik MISI 5'!O8</f>
        <v>%</v>
      </c>
      <c r="J185" s="929" t="str">
        <f>'matrik MISI 5'!P8</f>
        <v>99,65</v>
      </c>
      <c r="K185" s="929">
        <f>'matrik MISI 5'!Q8</f>
        <v>95</v>
      </c>
      <c r="L185" s="929">
        <f>'matrik MISI 5'!R8</f>
        <v>95</v>
      </c>
      <c r="M185" s="961"/>
      <c r="N185" s="929">
        <f>'matrik MISI 5'!S8</f>
        <v>95</v>
      </c>
      <c r="O185" s="929"/>
      <c r="P185" s="929">
        <f>'matrik MISI 5'!T8</f>
        <v>95</v>
      </c>
      <c r="Q185" s="929"/>
      <c r="R185" s="929">
        <f>'matrik MISI 5'!U8</f>
        <v>95</v>
      </c>
      <c r="S185" s="929"/>
      <c r="T185" s="929">
        <f>'matrik MISI 5'!V8</f>
        <v>95</v>
      </c>
      <c r="U185" s="929"/>
      <c r="V185" s="929">
        <f>'matrik MISI 5'!W8</f>
        <v>95</v>
      </c>
      <c r="W185" s="929"/>
      <c r="X185" s="929" t="str">
        <f>'matrik MISI 5'!X8</f>
        <v>Dinas Kesehatan</v>
      </c>
      <c r="Y185" s="565" t="str">
        <f>'matrik MISI 5'!Y8</f>
        <v>Jumlah ibu bersalin yang ditolong oleh tenaga kesehatan / Jumlah seluruh sasaran ibu bersalin x 100</v>
      </c>
      <c r="Z185" s="565">
        <f>'matrik MISI 5'!Z8</f>
        <v>0</v>
      </c>
    </row>
    <row r="186" spans="2:26" ht="30">
      <c r="B186" s="940"/>
      <c r="C186" s="941"/>
      <c r="D186" s="940"/>
      <c r="E186" s="940"/>
      <c r="F186" s="940"/>
      <c r="G186" s="398"/>
      <c r="H186" s="164" t="str">
        <f>'matrik MISI 5'!N9</f>
        <v>Cakupan Komplikasi Kebidanan yang Ditangani</v>
      </c>
      <c r="I186" s="164" t="str">
        <f>'matrik MISI 5'!O9</f>
        <v>%</v>
      </c>
      <c r="J186" s="929" t="str">
        <f>'matrik MISI 5'!P9</f>
        <v>100</v>
      </c>
      <c r="K186" s="929">
        <f>'matrik MISI 5'!Q9</f>
        <v>96</v>
      </c>
      <c r="L186" s="929">
        <f>'matrik MISI 5'!R9</f>
        <v>87</v>
      </c>
      <c r="M186" s="961"/>
      <c r="N186" s="929">
        <f>'matrik MISI 5'!S9</f>
        <v>87</v>
      </c>
      <c r="O186" s="929"/>
      <c r="P186" s="929">
        <f>'matrik MISI 5'!T9</f>
        <v>90</v>
      </c>
      <c r="Q186" s="929"/>
      <c r="R186" s="929">
        <f>'matrik MISI 5'!U9</f>
        <v>90</v>
      </c>
      <c r="S186" s="929"/>
      <c r="T186" s="929">
        <f>'matrik MISI 5'!V9</f>
        <v>90</v>
      </c>
      <c r="U186" s="929"/>
      <c r="V186" s="929">
        <f>'matrik MISI 5'!W9</f>
        <v>90</v>
      </c>
      <c r="W186" s="929"/>
      <c r="X186" s="929" t="str">
        <f>'matrik MISI 5'!X9</f>
        <v>Dinas Kesehatan</v>
      </c>
      <c r="Y186" s="565" t="str">
        <f>'matrik MISI 5'!Y9</f>
        <v>Jumlah komplikasi kebidanan yg mendapat penanganan definitif / Jumlah ibu dengan komplikasi kebidanan x 100</v>
      </c>
      <c r="Z186" s="565">
        <f>'matrik MISI 5'!Z9</f>
        <v>0</v>
      </c>
    </row>
    <row r="187" spans="2:26" ht="30">
      <c r="B187" s="940"/>
      <c r="C187" s="941"/>
      <c r="D187" s="940"/>
      <c r="E187" s="940"/>
      <c r="F187" s="940"/>
      <c r="G187" s="398"/>
      <c r="H187" s="164" t="str">
        <f>'matrik MISI 5'!N10</f>
        <v>Cakupan Pelayanan Nifas</v>
      </c>
      <c r="I187" s="164" t="str">
        <f>'matrik MISI 5'!O10</f>
        <v>%</v>
      </c>
      <c r="J187" s="929">
        <f>'matrik MISI 5'!P10</f>
        <v>94.56</v>
      </c>
      <c r="K187" s="929">
        <f>'matrik MISI 5'!Q10</f>
        <v>95</v>
      </c>
      <c r="L187" s="929">
        <f>'matrik MISI 5'!R10</f>
        <v>95</v>
      </c>
      <c r="M187" s="961"/>
      <c r="N187" s="929">
        <f>'matrik MISI 5'!S10</f>
        <v>95</v>
      </c>
      <c r="O187" s="929"/>
      <c r="P187" s="929">
        <f>'matrik MISI 5'!T10</f>
        <v>95</v>
      </c>
      <c r="Q187" s="929"/>
      <c r="R187" s="929">
        <f>'matrik MISI 5'!U10</f>
        <v>95</v>
      </c>
      <c r="S187" s="929"/>
      <c r="T187" s="929">
        <f>'matrik MISI 5'!V10</f>
        <v>95</v>
      </c>
      <c r="U187" s="929"/>
      <c r="V187" s="929">
        <f>'matrik MISI 5'!W10</f>
        <v>95</v>
      </c>
      <c r="W187" s="929"/>
      <c r="X187" s="929" t="str">
        <f>'matrik MISI 5'!X10</f>
        <v>Dinas Kesehatan</v>
      </c>
      <c r="Y187" s="565" t="str">
        <f>'matrik MISI 5'!Y10</f>
        <v>Jumlah ibu nifas yang telah memperoleh 3 kali pelayanan nifas sesuai standar / Jumlah seluruh Ibu nifas x 100</v>
      </c>
      <c r="Z187" s="565">
        <f>'matrik MISI 5'!Z10</f>
        <v>0</v>
      </c>
    </row>
    <row r="188" spans="2:26" ht="45">
      <c r="B188" s="940"/>
      <c r="C188" s="941"/>
      <c r="D188" s="940"/>
      <c r="E188" s="940"/>
      <c r="F188" s="940"/>
      <c r="G188" s="398"/>
      <c r="H188" s="164" t="str">
        <f>'matrik MISI 5'!N11</f>
        <v>Angka Kematian Ibu per 100.000 Kelahiran Hidup</v>
      </c>
      <c r="I188" s="164" t="str">
        <f>'matrik MISI 5'!O11</f>
        <v>perkilomil</v>
      </c>
      <c r="J188" s="929">
        <f>'matrik MISI 5'!P11</f>
        <v>88.92</v>
      </c>
      <c r="K188" s="929">
        <f>'matrik MISI 5'!Q11</f>
        <v>102</v>
      </c>
      <c r="L188" s="929">
        <f>'matrik MISI 5'!R11</f>
        <v>102</v>
      </c>
      <c r="M188" s="961"/>
      <c r="N188" s="929">
        <f>'matrik MISI 5'!S11</f>
        <v>101</v>
      </c>
      <c r="O188" s="929"/>
      <c r="P188" s="929">
        <f>'matrik MISI 5'!T11</f>
        <v>101</v>
      </c>
      <c r="Q188" s="929"/>
      <c r="R188" s="929">
        <f>'matrik MISI 5'!U11</f>
        <v>100</v>
      </c>
      <c r="S188" s="929"/>
      <c r="T188" s="929">
        <f>'matrik MISI 5'!V11</f>
        <v>100</v>
      </c>
      <c r="U188" s="929"/>
      <c r="V188" s="929">
        <f>'matrik MISI 5'!W11</f>
        <v>100</v>
      </c>
      <c r="W188" s="929"/>
      <c r="X188" s="929" t="str">
        <f>'matrik MISI 5'!X11</f>
        <v>Dinas Kesehatan</v>
      </c>
      <c r="Y188" s="565" t="str">
        <f>'matrik MISI 5'!Y11</f>
        <v>Jumlah ibu yang meninggal karena hamil, bersalin dan nifas di suatu wilayah pada kurun waktu tertentu / Jumlah kelahiran hidup di wilayah dan pada kurun waktu yang sama x 100.000</v>
      </c>
      <c r="Z188" s="565">
        <f>'matrik MISI 5'!Z11</f>
        <v>0</v>
      </c>
    </row>
    <row r="189" spans="2:26" ht="30">
      <c r="B189" s="940"/>
      <c r="C189" s="941"/>
      <c r="D189" s="939"/>
      <c r="E189" s="939"/>
      <c r="F189" s="939"/>
      <c r="G189" s="965"/>
      <c r="H189" s="164" t="str">
        <f>'matrik MISI 5'!N12</f>
        <v>Cakupan Kunjungan Bayi</v>
      </c>
      <c r="I189" s="164" t="str">
        <f>'matrik MISI 5'!O12</f>
        <v>%</v>
      </c>
      <c r="J189" s="929" t="str">
        <f>'matrik MISI 5'!P12</f>
        <v>96,9</v>
      </c>
      <c r="K189" s="929">
        <f>'matrik MISI 5'!Q12</f>
        <v>90</v>
      </c>
      <c r="L189" s="929">
        <f>'matrik MISI 5'!R12</f>
        <v>92.5</v>
      </c>
      <c r="M189" s="961"/>
      <c r="N189" s="929">
        <f>'matrik MISI 5'!S12</f>
        <v>95</v>
      </c>
      <c r="O189" s="929"/>
      <c r="P189" s="929">
        <f>'matrik MISI 5'!T12</f>
        <v>97.5</v>
      </c>
      <c r="Q189" s="929"/>
      <c r="R189" s="929">
        <f>'matrik MISI 5'!U12</f>
        <v>98</v>
      </c>
      <c r="S189" s="929"/>
      <c r="T189" s="929">
        <f>'matrik MISI 5'!V12</f>
        <v>99</v>
      </c>
      <c r="U189" s="929"/>
      <c r="V189" s="929">
        <f>'matrik MISI 5'!W12</f>
        <v>99</v>
      </c>
      <c r="W189" s="929"/>
      <c r="X189" s="929" t="str">
        <f>'matrik MISI 5'!X12</f>
        <v>Dinas Kesehatan</v>
      </c>
      <c r="Y189" s="565" t="str">
        <f>'matrik MISI 5'!Y12</f>
        <v>Jumlah bayi memperoleh pelayanan kesehatan sesuai standar / Jumlah seluruh bayi lahir hidup  x 100</v>
      </c>
      <c r="Z189" s="565">
        <f>'matrik MISI 5'!Z12</f>
        <v>0</v>
      </c>
    </row>
    <row r="190" spans="2:26" ht="60">
      <c r="B190" s="940"/>
      <c r="C190" s="941"/>
      <c r="D190" s="940"/>
      <c r="E190" s="940"/>
      <c r="F190" s="940"/>
      <c r="G190" s="398"/>
      <c r="H190" s="164" t="str">
        <f>'matrik MISI 5'!N13</f>
        <v>Cakupan Kunjungan Neonatus (KN1)</v>
      </c>
      <c r="I190" s="164" t="str">
        <f>'matrik MISI 5'!O13</f>
        <v>%</v>
      </c>
      <c r="J190" s="929" t="str">
        <f>'matrik MISI 5'!P13</f>
        <v>96,8</v>
      </c>
      <c r="K190" s="929">
        <f>'matrik MISI 5'!Q13</f>
        <v>96</v>
      </c>
      <c r="L190" s="929">
        <f>'matrik MISI 5'!R13</f>
        <v>99</v>
      </c>
      <c r="M190" s="961"/>
      <c r="N190" s="929">
        <f>'matrik MISI 5'!S13</f>
        <v>99</v>
      </c>
      <c r="O190" s="929"/>
      <c r="P190" s="929">
        <f>'matrik MISI 5'!T13</f>
        <v>99</v>
      </c>
      <c r="Q190" s="929"/>
      <c r="R190" s="929">
        <f>'matrik MISI 5'!U13</f>
        <v>99</v>
      </c>
      <c r="S190" s="929"/>
      <c r="T190" s="929">
        <f>'matrik MISI 5'!V13</f>
        <v>99</v>
      </c>
      <c r="U190" s="929"/>
      <c r="V190" s="929">
        <f>'matrik MISI 5'!W13</f>
        <v>99</v>
      </c>
      <c r="W190" s="929"/>
      <c r="X190" s="929" t="str">
        <f>'matrik MISI 5'!X13</f>
        <v>Dinas Kesehatan</v>
      </c>
      <c r="Y190" s="565" t="str">
        <f>'matrik MISI 5'!Y13</f>
        <v>Jumlah bayi yang memperoleh pelayanan kesehatan sesuai standar, pada kunjungan ke-1 ( 6-24 jam setelah lahir) di satu wilayah kerja pada kurun waktu tertentu / seluruh bayi lahir hidup di satu wilayah kerja pada kurun waktu yang sama x 100</v>
      </c>
      <c r="Z190" s="565">
        <f>'matrik MISI 5'!Z13</f>
        <v>0</v>
      </c>
    </row>
    <row r="191" spans="2:26" ht="45">
      <c r="B191" s="940"/>
      <c r="C191" s="941"/>
      <c r="D191" s="940"/>
      <c r="E191" s="940"/>
      <c r="F191" s="940"/>
      <c r="G191" s="398"/>
      <c r="H191" s="164" t="str">
        <f>'matrik MISI 5'!N14</f>
        <v>Cakupan Pelayanan Anak Balita</v>
      </c>
      <c r="I191" s="164" t="str">
        <f>'matrik MISI 5'!O14</f>
        <v>%</v>
      </c>
      <c r="J191" s="929" t="str">
        <f>'matrik MISI 5'!P14</f>
        <v>89,84</v>
      </c>
      <c r="K191" s="929">
        <f>'matrik MISI 5'!Q14</f>
        <v>90</v>
      </c>
      <c r="L191" s="929">
        <f>'matrik MISI 5'!R14</f>
        <v>90</v>
      </c>
      <c r="M191" s="961"/>
      <c r="N191" s="929">
        <f>'matrik MISI 5'!S14</f>
        <v>90</v>
      </c>
      <c r="O191" s="929"/>
      <c r="P191" s="929">
        <f>'matrik MISI 5'!T14</f>
        <v>90</v>
      </c>
      <c r="Q191" s="929"/>
      <c r="R191" s="929">
        <f>'matrik MISI 5'!U14</f>
        <v>90</v>
      </c>
      <c r="S191" s="929"/>
      <c r="T191" s="929">
        <f>'matrik MISI 5'!V14</f>
        <v>90</v>
      </c>
      <c r="U191" s="929"/>
      <c r="V191" s="929">
        <f>'matrik MISI 5'!W14</f>
        <v>90</v>
      </c>
      <c r="W191" s="929"/>
      <c r="X191" s="929" t="str">
        <f>'matrik MISI 5'!X14</f>
        <v>Dinas Kesehatan</v>
      </c>
      <c r="Y191" s="565" t="str">
        <f>'matrik MISI 5'!Y14</f>
        <v>Jumlah anak balita (12-59 bulan) yang memperoleh pelayanan pemantauan pertumbuhan minimal 8 kali / Jumlah seluruh anak balita (12-59 bulan) x 100</v>
      </c>
      <c r="Z191" s="565">
        <f>'matrik MISI 5'!Z14</f>
        <v>0</v>
      </c>
    </row>
    <row r="192" spans="2:26" ht="30">
      <c r="B192" s="940"/>
      <c r="C192" s="941"/>
      <c r="D192" s="940"/>
      <c r="E192" s="940"/>
      <c r="F192" s="940"/>
      <c r="G192" s="398"/>
      <c r="H192" s="164" t="str">
        <f>'matrik MISI 5'!N15</f>
        <v>Cakupan Neonatal dengan Komplikasi yang Ditangani</v>
      </c>
      <c r="I192" s="164" t="str">
        <f>'matrik MISI 5'!O15</f>
        <v>%</v>
      </c>
      <c r="J192" s="929" t="str">
        <f>'matrik MISI 5'!P15</f>
        <v>100</v>
      </c>
      <c r="K192" s="929">
        <f>'matrik MISI 5'!Q15</f>
        <v>100</v>
      </c>
      <c r="L192" s="929">
        <f>'matrik MISI 5'!R15</f>
        <v>65</v>
      </c>
      <c r="M192" s="961"/>
      <c r="N192" s="929">
        <f>'matrik MISI 5'!S15</f>
        <v>65</v>
      </c>
      <c r="O192" s="929"/>
      <c r="P192" s="929">
        <f>'matrik MISI 5'!T15</f>
        <v>65</v>
      </c>
      <c r="Q192" s="929"/>
      <c r="R192" s="929">
        <f>'matrik MISI 5'!U15</f>
        <v>65</v>
      </c>
      <c r="S192" s="929"/>
      <c r="T192" s="929">
        <f>'matrik MISI 5'!V15</f>
        <v>65</v>
      </c>
      <c r="U192" s="929"/>
      <c r="V192" s="929">
        <f>'matrik MISI 5'!W15</f>
        <v>65</v>
      </c>
      <c r="W192" s="929"/>
      <c r="X192" s="929" t="str">
        <f>'matrik MISI 5'!X15</f>
        <v>Dinas Kesehatan</v>
      </c>
      <c r="Y192" s="565" t="str">
        <f>'matrik MISI 5'!Y15</f>
        <v>Jumlah neonatus dengan komplikasi yang tertangani / Jumlah seluruh neonatus dengan komplikasi yang ada x 100</v>
      </c>
      <c r="Z192" s="565">
        <f>'matrik MISI 5'!Z15</f>
        <v>0</v>
      </c>
    </row>
    <row r="193" spans="2:26">
      <c r="B193" s="940"/>
      <c r="C193" s="941"/>
      <c r="D193" s="940"/>
      <c r="E193" s="940"/>
      <c r="F193" s="940"/>
      <c r="G193" s="398"/>
      <c r="H193" s="164" t="str">
        <f>'matrik MISI 5'!N16</f>
        <v>Angka Kelangsungan Hidup Bayi</v>
      </c>
      <c r="I193" s="164" t="str">
        <f>'matrik MISI 5'!O16</f>
        <v>permil</v>
      </c>
      <c r="J193" s="929">
        <f>'matrik MISI 5'!P16</f>
        <v>0.98699999999999999</v>
      </c>
      <c r="K193" s="929">
        <f>'matrik MISI 5'!Q16</f>
        <v>0.98</v>
      </c>
      <c r="L193" s="929" t="str">
        <f>'matrik MISI 5'!R16</f>
        <v>0,980</v>
      </c>
      <c r="M193" s="961"/>
      <c r="N193" s="929" t="str">
        <f>'matrik MISI 5'!S16</f>
        <v>0,983</v>
      </c>
      <c r="O193" s="929"/>
      <c r="P193" s="929" t="str">
        <f>'matrik MISI 5'!T16</f>
        <v>0,986</v>
      </c>
      <c r="Q193" s="929"/>
      <c r="R193" s="929" t="str">
        <f>'matrik MISI 5'!U16</f>
        <v>0,989</v>
      </c>
      <c r="S193" s="929"/>
      <c r="T193" s="929" t="str">
        <f>'matrik MISI 5'!V16</f>
        <v>0,992</v>
      </c>
      <c r="U193" s="929"/>
      <c r="V193" s="929" t="str">
        <f>'matrik MISI 5'!W16</f>
        <v>0,992</v>
      </c>
      <c r="W193" s="929"/>
      <c r="X193" s="929" t="str">
        <f>'matrik MISI 5'!X16</f>
        <v>Dinas Kesehatan</v>
      </c>
      <c r="Y193" s="565" t="str">
        <f>'matrik MISI 5'!Y16</f>
        <v>1-angka kematian bayi per 1.000 kelahiran hidup</v>
      </c>
      <c r="Z193" s="565">
        <f>'matrik MISI 5'!Z16</f>
        <v>0</v>
      </c>
    </row>
    <row r="194" spans="2:26" ht="45">
      <c r="B194" s="940"/>
      <c r="C194" s="941"/>
      <c r="D194" s="940"/>
      <c r="E194" s="940"/>
      <c r="F194" s="940"/>
      <c r="G194" s="398"/>
      <c r="H194" s="164" t="str">
        <f>'matrik MISI 5'!N17</f>
        <v>Angka Kematian Neonatal per 1.000 Kelahiran Hidup</v>
      </c>
      <c r="I194" s="164" t="str">
        <f>'matrik MISI 5'!O17</f>
        <v>permil</v>
      </c>
      <c r="J194" s="929">
        <f>'matrik MISI 5'!P17</f>
        <v>6</v>
      </c>
      <c r="K194" s="929">
        <f>'matrik MISI 5'!Q17</f>
        <v>9</v>
      </c>
      <c r="L194" s="929">
        <f>'matrik MISI 5'!R17</f>
        <v>8.5</v>
      </c>
      <c r="M194" s="961"/>
      <c r="N194" s="929">
        <f>'matrik MISI 5'!S17</f>
        <v>8.5</v>
      </c>
      <c r="O194" s="929"/>
      <c r="P194" s="929">
        <f>'matrik MISI 5'!T17</f>
        <v>7.3</v>
      </c>
      <c r="Q194" s="929"/>
      <c r="R194" s="929">
        <f>'matrik MISI 5'!U17</f>
        <v>7</v>
      </c>
      <c r="S194" s="929"/>
      <c r="T194" s="929">
        <f>'matrik MISI 5'!V17</f>
        <v>6.8</v>
      </c>
      <c r="U194" s="929"/>
      <c r="V194" s="929">
        <f>'matrik MISI 5'!W17</f>
        <v>6.8</v>
      </c>
      <c r="W194" s="929"/>
      <c r="X194" s="929" t="str">
        <f>'matrik MISI 5'!X17</f>
        <v>Dinas Kesehatan</v>
      </c>
      <c r="Y194" s="565" t="str">
        <f>'matrik MISI 5'!Y17</f>
        <v>Jumlah bayi (berumur 0-28 hari) yang meninggal di suatu wilayah pada kurun waktu tertentu / Jumlah kelahiran hidup di wilayah dan pada kurun waktu yang sama x 1.000</v>
      </c>
      <c r="Z194" s="565">
        <f>'matrik MISI 5'!Z17</f>
        <v>0</v>
      </c>
    </row>
    <row r="195" spans="2:26" ht="45">
      <c r="B195" s="940"/>
      <c r="C195" s="941"/>
      <c r="D195" s="940"/>
      <c r="E195" s="940"/>
      <c r="F195" s="940"/>
      <c r="G195" s="398"/>
      <c r="H195" s="164" t="str">
        <f>'matrik MISI 5'!N18</f>
        <v>Angka Kematian Bayi per 1.000 Kelahiran Hidup</v>
      </c>
      <c r="I195" s="164" t="str">
        <f>'matrik MISI 5'!O18</f>
        <v>permil</v>
      </c>
      <c r="J195" s="929">
        <f>'matrik MISI 5'!P18</f>
        <v>12.21</v>
      </c>
      <c r="K195" s="929">
        <f>'matrik MISI 5'!Q18</f>
        <v>14.2</v>
      </c>
      <c r="L195" s="929">
        <f>'matrik MISI 5'!R18</f>
        <v>14.11</v>
      </c>
      <c r="M195" s="961"/>
      <c r="N195" s="929">
        <f>'matrik MISI 5'!S18</f>
        <v>14</v>
      </c>
      <c r="O195" s="929"/>
      <c r="P195" s="929">
        <f>'matrik MISI 5'!T18</f>
        <v>13</v>
      </c>
      <c r="Q195" s="929"/>
      <c r="R195" s="929">
        <f>'matrik MISI 5'!U18</f>
        <v>12</v>
      </c>
      <c r="S195" s="929"/>
      <c r="T195" s="929">
        <f>'matrik MISI 5'!V18</f>
        <v>11</v>
      </c>
      <c r="U195" s="929"/>
      <c r="V195" s="929">
        <f>'matrik MISI 5'!W18</f>
        <v>11</v>
      </c>
      <c r="W195" s="929"/>
      <c r="X195" s="929" t="str">
        <f>'matrik MISI 5'!X18</f>
        <v>Dinas Kesehatan</v>
      </c>
      <c r="Y195" s="565" t="str">
        <f>'matrik MISI 5'!Y18</f>
        <v>Jumlah bayi (berumur &lt; 1tahun) yang meninggal di suatu wilayah pada kurun waktu tertentu / Jumlah kelahiran hidup di wilayah dan pada kurun waktu yang sama x 1.000</v>
      </c>
      <c r="Z195" s="565">
        <f>'matrik MISI 5'!Z18</f>
        <v>0</v>
      </c>
    </row>
    <row r="196" spans="2:26" ht="45">
      <c r="B196" s="940"/>
      <c r="C196" s="941"/>
      <c r="D196" s="940"/>
      <c r="E196" s="940"/>
      <c r="F196" s="940"/>
      <c r="G196" s="398"/>
      <c r="H196" s="164" t="str">
        <f>'matrik MISI 5'!N19</f>
        <v>Angka Kematian Balita per 1.000 Kelahiran Hidup</v>
      </c>
      <c r="I196" s="164" t="str">
        <f>'matrik MISI 5'!O19</f>
        <v>permil</v>
      </c>
      <c r="J196" s="929">
        <f>'matrik MISI 5'!P19</f>
        <v>13</v>
      </c>
      <c r="K196" s="929">
        <f>'matrik MISI 5'!Q19</f>
        <v>15.5</v>
      </c>
      <c r="L196" s="929">
        <f>'matrik MISI 5'!R19</f>
        <v>15.2</v>
      </c>
      <c r="M196" s="961"/>
      <c r="N196" s="929">
        <f>'matrik MISI 5'!S19</f>
        <v>14.7</v>
      </c>
      <c r="O196" s="929"/>
      <c r="P196" s="929">
        <f>'matrik MISI 5'!T19</f>
        <v>14.5</v>
      </c>
      <c r="Q196" s="929"/>
      <c r="R196" s="929">
        <f>'matrik MISI 5'!U19</f>
        <v>14</v>
      </c>
      <c r="S196" s="929"/>
      <c r="T196" s="929">
        <f>'matrik MISI 5'!V19</f>
        <v>13.8</v>
      </c>
      <c r="U196" s="929"/>
      <c r="V196" s="929">
        <f>'matrik MISI 5'!W19</f>
        <v>13.8</v>
      </c>
      <c r="W196" s="929"/>
      <c r="X196" s="929" t="str">
        <f>'matrik MISI 5'!X19</f>
        <v>Dinas Kesehatan</v>
      </c>
      <c r="Y196" s="565" t="str">
        <f>'matrik MISI 5'!Y19</f>
        <v>Jumlah anak berumur &lt; 5 tahun yang meninggal di suatu wilayah pada kurun waktu tertentu / Jumlah kelahiran hidup di wilayah dan pada kurun waktu yang sama x 1.000</v>
      </c>
      <c r="Z196" s="565">
        <f>'matrik MISI 5'!Z19</f>
        <v>0</v>
      </c>
    </row>
    <row r="197" spans="2:26" ht="60">
      <c r="B197" s="940"/>
      <c r="C197" s="941"/>
      <c r="D197" s="940"/>
      <c r="E197" s="940"/>
      <c r="F197" s="940"/>
      <c r="G197" s="398"/>
      <c r="H197" s="164" t="str">
        <f>'matrik MISI 5'!N20</f>
        <v>Cakupan Layanan Kesehatan Peserta Aktif KB</v>
      </c>
      <c r="I197" s="164" t="str">
        <f>'matrik MISI 5'!O20</f>
        <v>%</v>
      </c>
      <c r="J197" s="929" t="str">
        <f>'matrik MISI 5'!P20</f>
        <v>85,98</v>
      </c>
      <c r="K197" s="929">
        <f>'matrik MISI 5'!Q20</f>
        <v>86</v>
      </c>
      <c r="L197" s="929">
        <f>'matrik MISI 5'!R20</f>
        <v>80</v>
      </c>
      <c r="M197" s="961"/>
      <c r="N197" s="929">
        <f>'matrik MISI 5'!S20</f>
        <v>80</v>
      </c>
      <c r="O197" s="929"/>
      <c r="P197" s="929">
        <f>'matrik MISI 5'!T20</f>
        <v>80</v>
      </c>
      <c r="Q197" s="929"/>
      <c r="R197" s="929">
        <f>'matrik MISI 5'!U20</f>
        <v>80</v>
      </c>
      <c r="S197" s="929"/>
      <c r="T197" s="929">
        <f>'matrik MISI 5'!V20</f>
        <v>80</v>
      </c>
      <c r="U197" s="929"/>
      <c r="V197" s="929">
        <f>'matrik MISI 5'!W20</f>
        <v>80</v>
      </c>
      <c r="W197" s="929"/>
      <c r="X197" s="929" t="str">
        <f>'matrik MISI 5'!X20</f>
        <v>Dinas Kesehatan</v>
      </c>
      <c r="Y197" s="565" t="str">
        <f>'matrik MISI 5'!Y20</f>
        <v>Jumlah Pasangan Usia Subur (PUS) yang memperoleh pelayanan kontrasepsi sesuai standar di suatu wilayah kerja pada kurun waktu tertentu / Jumlah seluruh PUS di suatu wilayah kerja pada kurun waktu yang sama  x 100</v>
      </c>
      <c r="Z197" s="565">
        <f>'matrik MISI 5'!Z20</f>
        <v>0</v>
      </c>
    </row>
    <row r="198" spans="2:26" ht="45">
      <c r="B198" s="940"/>
      <c r="C198" s="941"/>
      <c r="D198" s="940">
        <f>'matrik MISI 5'!J21</f>
        <v>1.02</v>
      </c>
      <c r="E198" s="940" t="str">
        <f>'matrik MISI 5'!K21</f>
        <v>xx</v>
      </c>
      <c r="F198" s="940">
        <f>'matrik MISI 5'!L21</f>
        <v>24</v>
      </c>
      <c r="G198" s="398" t="str">
        <f>'matrik MISI 5'!M21</f>
        <v>Program Pelayanan Kesehatan Penduduk Miskin</v>
      </c>
      <c r="H198" s="164"/>
      <c r="I198" s="164"/>
      <c r="J198" s="929"/>
      <c r="K198" s="929"/>
      <c r="L198" s="929"/>
      <c r="M198" s="961">
        <f>'jangan di hapus 1'!K374</f>
        <v>4665000000</v>
      </c>
      <c r="N198" s="961"/>
      <c r="O198" s="961">
        <f>'jangan di hapus 1'!M374</f>
        <v>4859979670.25</v>
      </c>
      <c r="P198" s="961"/>
      <c r="Q198" s="961">
        <f>'jangan di hapus 1'!O374</f>
        <v>5021501670.25</v>
      </c>
      <c r="R198" s="961"/>
      <c r="S198" s="961">
        <f>'jangan di hapus 1'!Q374</f>
        <v>5071501670.25</v>
      </c>
      <c r="T198" s="961"/>
      <c r="U198" s="961">
        <f>'jangan di hapus 1'!S374</f>
        <v>5121501670.25</v>
      </c>
      <c r="V198" s="929"/>
      <c r="W198" s="961">
        <f>SUM(M198:U198)</f>
        <v>24739484681</v>
      </c>
      <c r="X198" s="929"/>
      <c r="Y198" s="565"/>
      <c r="Z198" s="565"/>
    </row>
    <row r="199" spans="2:26" ht="30">
      <c r="B199" s="940"/>
      <c r="C199" s="941"/>
      <c r="D199" s="939"/>
      <c r="E199" s="939"/>
      <c r="F199" s="939"/>
      <c r="G199" s="965"/>
      <c r="H199" s="164" t="str">
        <f>'matrik MISI 5'!N21</f>
        <v>Cakupan Pelayanan Kesehatan Dasar Masyarakat Miskin</v>
      </c>
      <c r="I199" s="164" t="str">
        <f>'matrik MISI 5'!O21</f>
        <v>%</v>
      </c>
      <c r="J199" s="929" t="str">
        <f>'matrik MISI 5'!P21</f>
        <v>67,23</v>
      </c>
      <c r="K199" s="929">
        <f>'matrik MISI 5'!Q21</f>
        <v>100</v>
      </c>
      <c r="L199" s="929">
        <f>'matrik MISI 5'!R21</f>
        <v>100</v>
      </c>
      <c r="M199" s="961"/>
      <c r="N199" s="929">
        <f>'matrik MISI 5'!S21</f>
        <v>100</v>
      </c>
      <c r="O199" s="929"/>
      <c r="P199" s="929">
        <f>'matrik MISI 5'!T21</f>
        <v>100</v>
      </c>
      <c r="Q199" s="929"/>
      <c r="R199" s="929">
        <f>'matrik MISI 5'!U21</f>
        <v>100</v>
      </c>
      <c r="S199" s="929"/>
      <c r="T199" s="929">
        <f>'matrik MISI 5'!V21</f>
        <v>100</v>
      </c>
      <c r="U199" s="929"/>
      <c r="V199" s="929">
        <f>'matrik MISI 5'!W21</f>
        <v>100</v>
      </c>
      <c r="W199" s="929"/>
      <c r="X199" s="929" t="str">
        <f>'matrik MISI 5'!X21</f>
        <v>Dinas Kesehatan</v>
      </c>
      <c r="Y199" s="565" t="str">
        <f>'matrik MISI 5'!Y21</f>
        <v>Jumlah kunjungan pasien maskin di Sarkes strata 1 selama satu tahun (lama dan baru) / Jumlah seluruh masyarakat miskin sakit x 100</v>
      </c>
      <c r="Z199" s="565">
        <f>'matrik MISI 5'!Z21</f>
        <v>0</v>
      </c>
    </row>
    <row r="200" spans="2:26" ht="45">
      <c r="B200" s="940"/>
      <c r="C200" s="941"/>
      <c r="D200" s="940"/>
      <c r="E200" s="940"/>
      <c r="F200" s="940"/>
      <c r="G200" s="398"/>
      <c r="H200" s="164" t="str">
        <f>'matrik MISI 5'!N22</f>
        <v>Pelayanan kesehatan penduduk miskin di RSUD</v>
      </c>
      <c r="I200" s="164" t="str">
        <f>'matrik MISI 5'!O22</f>
        <v>%</v>
      </c>
      <c r="J200" s="929">
        <f>'matrik MISI 5'!P22</f>
        <v>130.63999999999999</v>
      </c>
      <c r="K200" s="929">
        <f>'matrik MISI 5'!Q22</f>
        <v>100</v>
      </c>
      <c r="L200" s="929">
        <f>'matrik MISI 5'!R22</f>
        <v>100</v>
      </c>
      <c r="M200" s="961"/>
      <c r="N200" s="929">
        <f>'matrik MISI 5'!S22</f>
        <v>100</v>
      </c>
      <c r="O200" s="929"/>
      <c r="P200" s="929">
        <f>'matrik MISI 5'!T22</f>
        <v>100</v>
      </c>
      <c r="Q200" s="929"/>
      <c r="R200" s="929">
        <f>'matrik MISI 5'!U22</f>
        <v>100</v>
      </c>
      <c r="S200" s="929"/>
      <c r="T200" s="929">
        <f>'matrik MISI 5'!V22</f>
        <v>100</v>
      </c>
      <c r="U200" s="929"/>
      <c r="V200" s="929">
        <f>'matrik MISI 5'!W22</f>
        <v>100</v>
      </c>
      <c r="W200" s="929"/>
      <c r="X200" s="929" t="str">
        <f>'matrik MISI 5'!X22</f>
        <v xml:space="preserve">RSUD </v>
      </c>
      <c r="Y200" s="565" t="str">
        <f>'matrik MISI 5'!Y22</f>
        <v>Jumlah kunjungan pasien penduduk miskin yang dilayani Jaminan Kesehatan Temanggung (JKT) selama satu tahun (lama dan baru) / Jumlah seluruh penduduk miskin sakit yang tidak ditanggung Jamkesmas x 100</v>
      </c>
      <c r="Z200" s="565">
        <f>'matrik MISI 5'!Z22</f>
        <v>0</v>
      </c>
    </row>
    <row r="201" spans="2:26" ht="45">
      <c r="B201" s="940"/>
      <c r="C201" s="941"/>
      <c r="D201" s="940">
        <f>'matrik MISI 5'!J23</f>
        <v>1.02</v>
      </c>
      <c r="E201" s="940" t="str">
        <f>'matrik MISI 5'!K23</f>
        <v>xx</v>
      </c>
      <c r="F201" s="940">
        <f>'matrik MISI 5'!L23</f>
        <v>28</v>
      </c>
      <c r="G201" s="398" t="str">
        <f>'matrik MISI 5'!M23</f>
        <v>Program kemitraan peningkatan pelayanan kesehatan</v>
      </c>
      <c r="H201" s="164"/>
      <c r="I201" s="164"/>
      <c r="J201" s="929"/>
      <c r="K201" s="929"/>
      <c r="L201" s="929"/>
      <c r="M201" s="961">
        <f>'jangan di hapus 1'!K402</f>
        <v>9640000</v>
      </c>
      <c r="N201" s="961">
        <f>'jangan di hapus 1'!L402</f>
        <v>0</v>
      </c>
      <c r="O201" s="961">
        <f>'jangan di hapus 1'!M402</f>
        <v>13000000</v>
      </c>
      <c r="P201" s="961">
        <f>'jangan di hapus 1'!N402</f>
        <v>0</v>
      </c>
      <c r="Q201" s="961">
        <f>'jangan di hapus 1'!O402</f>
        <v>25000000</v>
      </c>
      <c r="R201" s="961">
        <f>'jangan di hapus 1'!P402</f>
        <v>0</v>
      </c>
      <c r="S201" s="961">
        <f>'jangan di hapus 1'!Q402</f>
        <v>30000000</v>
      </c>
      <c r="T201" s="961">
        <f>'jangan di hapus 1'!R402</f>
        <v>0</v>
      </c>
      <c r="U201" s="961">
        <f>'jangan di hapus 1'!S402</f>
        <v>35000000</v>
      </c>
      <c r="V201" s="929"/>
      <c r="W201" s="961">
        <f>SUM(M201:U201)</f>
        <v>112640000</v>
      </c>
      <c r="X201" s="929"/>
      <c r="Y201" s="565"/>
      <c r="Z201" s="565"/>
    </row>
    <row r="202" spans="2:26" ht="45">
      <c r="B202" s="940"/>
      <c r="C202" s="941"/>
      <c r="D202" s="939"/>
      <c r="E202" s="939"/>
      <c r="F202" s="939"/>
      <c r="G202" s="965"/>
      <c r="H202" s="164" t="str">
        <f>'matrik MISI 5'!N23</f>
        <v>Cakupan Pelayanan Kesehatan Rujukan Pasien Masyarakat Miskin</v>
      </c>
      <c r="I202" s="164" t="str">
        <f>'matrik MISI 5'!O23</f>
        <v>%</v>
      </c>
      <c r="J202" s="929" t="str">
        <f>'matrik MISI 5'!P23</f>
        <v>100</v>
      </c>
      <c r="K202" s="929">
        <f>'matrik MISI 5'!Q23</f>
        <v>100</v>
      </c>
      <c r="L202" s="929">
        <f>'matrik MISI 5'!R23</f>
        <v>100</v>
      </c>
      <c r="M202" s="961"/>
      <c r="N202" s="929">
        <f>'matrik MISI 5'!S23</f>
        <v>100</v>
      </c>
      <c r="O202" s="929"/>
      <c r="P202" s="929">
        <f>'matrik MISI 5'!T23</f>
        <v>100</v>
      </c>
      <c r="Q202" s="929"/>
      <c r="R202" s="929">
        <f>'matrik MISI 5'!U23</f>
        <v>100</v>
      </c>
      <c r="S202" s="929"/>
      <c r="T202" s="929">
        <f>'matrik MISI 5'!V23</f>
        <v>100</v>
      </c>
      <c r="U202" s="929"/>
      <c r="V202" s="929">
        <f>'matrik MISI 5'!W23</f>
        <v>100</v>
      </c>
      <c r="W202" s="929"/>
      <c r="X202" s="929" t="str">
        <f>'matrik MISI 5'!X23</f>
        <v>Dinas Kesehatan</v>
      </c>
      <c r="Y202" s="565" t="str">
        <f>'matrik MISI 5'!Y23</f>
        <v>Jumlah pasien maskin di  sarkes strata 2 dan strata 3 selama satu tahun / Jumlah masyarakat miskin yang berkunjung ke sarkes strata 2 dan 3 x 100</v>
      </c>
      <c r="Z202" s="565">
        <f>'matrik MISI 5'!Z23</f>
        <v>0</v>
      </c>
    </row>
    <row r="203" spans="2:26" ht="75">
      <c r="B203" s="940"/>
      <c r="C203" s="941"/>
      <c r="D203" s="940"/>
      <c r="E203" s="940"/>
      <c r="F203" s="940"/>
      <c r="G203" s="398"/>
      <c r="H203" s="164" t="str">
        <f>'matrik MISI 5'!N24</f>
        <v>Cakupan Pelayanan Gawat Darurat Level 1 yang harus diberikan Sarana Kesehatan (RS) di Kabupaten</v>
      </c>
      <c r="I203" s="164" t="str">
        <f>'matrik MISI 5'!O24</f>
        <v>%</v>
      </c>
      <c r="J203" s="929">
        <f>'matrik MISI 5'!P24</f>
        <v>100</v>
      </c>
      <c r="K203" s="929">
        <f>'matrik MISI 5'!Q24</f>
        <v>100</v>
      </c>
      <c r="L203" s="929">
        <f>'matrik MISI 5'!R24</f>
        <v>100</v>
      </c>
      <c r="M203" s="961"/>
      <c r="N203" s="929">
        <f>'matrik MISI 5'!S24</f>
        <v>100</v>
      </c>
      <c r="O203" s="929"/>
      <c r="P203" s="929">
        <f>'matrik MISI 5'!T24</f>
        <v>100</v>
      </c>
      <c r="Q203" s="929"/>
      <c r="R203" s="929">
        <f>'matrik MISI 5'!U24</f>
        <v>100</v>
      </c>
      <c r="S203" s="929"/>
      <c r="T203" s="929">
        <f>'matrik MISI 5'!V24</f>
        <v>100</v>
      </c>
      <c r="U203" s="929"/>
      <c r="V203" s="929">
        <f>'matrik MISI 5'!W24</f>
        <v>100</v>
      </c>
      <c r="W203" s="929"/>
      <c r="X203" s="929" t="str">
        <f>'matrik MISI 5'!X24</f>
        <v>Dinas Kesehatan</v>
      </c>
      <c r="Y203" s="565" t="str">
        <f>'matrik MISI 5'!Y24</f>
        <v>Jumlah RS yang mampu memberikan pelayanan gawat darurat level 1 / Jumlah RS kab/kota x 100</v>
      </c>
      <c r="Z203" s="565"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204" spans="2:26" ht="45">
      <c r="B204" s="940"/>
      <c r="C204" s="941"/>
      <c r="D204" s="940">
        <f>'matrik MISI 5'!J26</f>
        <v>1.02</v>
      </c>
      <c r="E204" s="940" t="str">
        <f>'matrik MISI 5'!K26</f>
        <v>xx</v>
      </c>
      <c r="F204" s="940">
        <f>'matrik MISI 5'!L26</f>
        <v>22</v>
      </c>
      <c r="G204" s="398" t="str">
        <f>'matrik MISI 5'!M26</f>
        <v xml:space="preserve">Program Pencegahan dan Penanggulangan Penyakit Menular </v>
      </c>
      <c r="H204" s="164"/>
      <c r="I204" s="164"/>
      <c r="J204" s="929"/>
      <c r="K204" s="929"/>
      <c r="L204" s="929"/>
      <c r="M204" s="961">
        <f>'jangan di hapus 1'!K344</f>
        <v>263428000</v>
      </c>
      <c r="N204" s="961"/>
      <c r="O204" s="961">
        <f>'jangan di hapus 1'!M344</f>
        <v>215000000</v>
      </c>
      <c r="P204" s="961"/>
      <c r="Q204" s="961">
        <f>'jangan di hapus 1'!O344</f>
        <v>450000000</v>
      </c>
      <c r="R204" s="961"/>
      <c r="S204" s="961">
        <f>'jangan di hapus 1'!Q344</f>
        <v>550000000</v>
      </c>
      <c r="T204" s="961"/>
      <c r="U204" s="961">
        <f>'jangan di hapus 1'!S344</f>
        <v>650000000</v>
      </c>
      <c r="V204" s="929"/>
      <c r="W204" s="961">
        <f>SUM(M204:U204)</f>
        <v>2128428000</v>
      </c>
      <c r="X204" s="929"/>
      <c r="Y204" s="565"/>
      <c r="Z204" s="565"/>
    </row>
    <row r="205" spans="2:26" ht="45">
      <c r="B205" s="940"/>
      <c r="C205" s="941"/>
      <c r="D205" s="939"/>
      <c r="E205" s="939"/>
      <c r="F205" s="939"/>
      <c r="G205" s="965"/>
      <c r="H205" s="164" t="str">
        <f>'matrik MISI 5'!N26</f>
        <v xml:space="preserve">Angka Kesembuhan Penderita TBC BTA Positif (CR/Cure Rate) </v>
      </c>
      <c r="I205" s="164" t="str">
        <f>'matrik MISI 5'!O26</f>
        <v>%</v>
      </c>
      <c r="J205" s="929" t="str">
        <f>'matrik MISI 5'!P26</f>
        <v>87,16</v>
      </c>
      <c r="K205" s="929">
        <f>'matrik MISI 5'!Q26</f>
        <v>87</v>
      </c>
      <c r="L205" s="929" t="str">
        <f>'matrik MISI 5'!R26</f>
        <v>&gt;87</v>
      </c>
      <c r="M205" s="961"/>
      <c r="N205" s="929" t="str">
        <f>'matrik MISI 5'!S26</f>
        <v>&gt;87</v>
      </c>
      <c r="O205" s="929"/>
      <c r="P205" s="929" t="str">
        <f>'matrik MISI 5'!T26</f>
        <v>&gt;87</v>
      </c>
      <c r="Q205" s="929"/>
      <c r="R205" s="929" t="str">
        <f>'matrik MISI 5'!U26</f>
        <v>&gt;87</v>
      </c>
      <c r="S205" s="929"/>
      <c r="T205" s="929" t="str">
        <f>'matrik MISI 5'!V26</f>
        <v>&gt;87</v>
      </c>
      <c r="U205" s="929"/>
      <c r="V205" s="929" t="str">
        <f>'matrik MISI 5'!W26</f>
        <v>&gt;87</v>
      </c>
      <c r="W205" s="929"/>
      <c r="X205" s="929" t="str">
        <f>'matrik MISI 5'!X26</f>
        <v>Dinas Kesehatan</v>
      </c>
      <c r="Y205" s="565" t="str">
        <f>'matrik MISI 5'!Y26</f>
        <v>Jumlah penderita TB Paru BTA positif yang diobati di suatu wilayah selama 1 tahun / Jumlah penderita TB paru BTA positif yang sembuh di suatu wilayah dan pada kurun waktu yang sama  x 100</v>
      </c>
      <c r="Z205" s="565">
        <f>'matrik MISI 5'!Z26</f>
        <v>0</v>
      </c>
    </row>
    <row r="206" spans="2:26" ht="45">
      <c r="B206" s="940"/>
      <c r="C206" s="941"/>
      <c r="D206" s="940"/>
      <c r="E206" s="940"/>
      <c r="F206" s="940"/>
      <c r="G206" s="398"/>
      <c r="H206" s="164" t="str">
        <f>'matrik MISI 5'!N27</f>
        <v>Angka Penemuan Kasus TBC BTA Positif (CDR/Case  Detection Rate)</v>
      </c>
      <c r="I206" s="164" t="str">
        <f>'matrik MISI 5'!O27</f>
        <v>%</v>
      </c>
      <c r="J206" s="929">
        <f>'matrik MISI 5'!P27</f>
        <v>38.700000000000003</v>
      </c>
      <c r="K206" s="929">
        <f>'matrik MISI 5'!Q27</f>
        <v>70</v>
      </c>
      <c r="L206" s="929">
        <f>'matrik MISI 5'!R27</f>
        <v>70</v>
      </c>
      <c r="M206" s="961"/>
      <c r="N206" s="929">
        <f>'matrik MISI 5'!S27</f>
        <v>70</v>
      </c>
      <c r="O206" s="929"/>
      <c r="P206" s="929">
        <f>'matrik MISI 5'!T27</f>
        <v>70</v>
      </c>
      <c r="Q206" s="929"/>
      <c r="R206" s="929">
        <f>'matrik MISI 5'!U27</f>
        <v>70</v>
      </c>
      <c r="S206" s="929"/>
      <c r="T206" s="929">
        <f>'matrik MISI 5'!V27</f>
        <v>70</v>
      </c>
      <c r="U206" s="929"/>
      <c r="V206" s="929">
        <f>'matrik MISI 5'!W27</f>
        <v>70</v>
      </c>
      <c r="W206" s="929"/>
      <c r="X206" s="929" t="str">
        <f>'matrik MISI 5'!X27</f>
        <v>Dinas Kesehatan</v>
      </c>
      <c r="Y206" s="565" t="str">
        <f>'matrik MISI 5'!Y27</f>
        <v>Jumlah pasien baru TB Paru BTA positif yang ditemukan dan diobati / Jumlah perkiraan pasien baru TB Paru BTA positif  x 100</v>
      </c>
      <c r="Z206" s="565" t="str">
        <f>'matrik MISI 5'!Z27</f>
        <v>Jumlah perkiraan pasien baru TB =  Insiden rate hasil survey nasional x jumlah penduduk pada wilayah dan kurun waktu yang yang sama</v>
      </c>
    </row>
    <row r="207" spans="2:26" ht="30">
      <c r="B207" s="940"/>
      <c r="C207" s="941"/>
      <c r="D207" s="940"/>
      <c r="E207" s="940"/>
      <c r="F207" s="940"/>
      <c r="G207" s="398"/>
      <c r="H207" s="164" t="str">
        <f>'matrik MISI 5'!N28</f>
        <v>Prevalensi HIV pada Penduduk Usia Dewasa</v>
      </c>
      <c r="I207" s="164" t="str">
        <f>'matrik MISI 5'!O28</f>
        <v>%</v>
      </c>
      <c r="J207" s="929">
        <f>'matrik MISI 5'!P28</f>
        <v>8.7999999999999995E-2</v>
      </c>
      <c r="K207" s="929">
        <f>'matrik MISI 5'!Q28</f>
        <v>3.8999999999999998E-3</v>
      </c>
      <c r="L207" s="929" t="str">
        <f>'matrik MISI 5'!R28</f>
        <v>&lt; 0,05</v>
      </c>
      <c r="M207" s="961"/>
      <c r="N207" s="929" t="str">
        <f>'matrik MISI 5'!S28</f>
        <v>&lt;0,05</v>
      </c>
      <c r="O207" s="929"/>
      <c r="P207" s="929" t="str">
        <f>'matrik MISI 5'!T28</f>
        <v>&lt; 0,05</v>
      </c>
      <c r="Q207" s="929"/>
      <c r="R207" s="929" t="str">
        <f>'matrik MISI 5'!U28</f>
        <v>&lt;0,05</v>
      </c>
      <c r="S207" s="929"/>
      <c r="T207" s="929" t="str">
        <f>'matrik MISI 5'!V28</f>
        <v>&lt; 0,05</v>
      </c>
      <c r="U207" s="929"/>
      <c r="V207" s="929" t="str">
        <f>'matrik MISI 5'!W28</f>
        <v>&lt;0,05</v>
      </c>
      <c r="W207" s="929"/>
      <c r="X207" s="929" t="str">
        <f>'matrik MISI 5'!X28</f>
        <v>Dinas Kesehatan</v>
      </c>
      <c r="Y207" s="565" t="str">
        <f>'matrik MISI 5'!Y28</f>
        <v xml:space="preserve"> Jumlah penderita HIV pada Penduduk Usia Dewasa (15-49 tahun) / Jumlah penduduk usia dewasa (15-49 tahun) x 100</v>
      </c>
      <c r="Z207" s="565">
        <f>'matrik MISI 5'!Z28</f>
        <v>0</v>
      </c>
    </row>
    <row r="208" spans="2:26" ht="60">
      <c r="B208" s="940"/>
      <c r="C208" s="941"/>
      <c r="D208" s="940"/>
      <c r="E208" s="940"/>
      <c r="F208" s="940"/>
      <c r="G208" s="398"/>
      <c r="H208" s="164" t="str">
        <f>'matrik MISI 5'!N29</f>
        <v>Proporsi Penduduk Usia 15 - 24 Tahun yang Memiliki Pengetahuan Komprehensif tentang HIV/AIDS</v>
      </c>
      <c r="I208" s="164" t="str">
        <f>'matrik MISI 5'!O29</f>
        <v>%</v>
      </c>
      <c r="J208" s="929" t="str">
        <f>'matrik MISI 5'!P29</f>
        <v>tda</v>
      </c>
      <c r="K208" s="929">
        <f>'matrik MISI 5'!Q29</f>
        <v>60</v>
      </c>
      <c r="L208" s="929">
        <f>'matrik MISI 5'!R29</f>
        <v>60</v>
      </c>
      <c r="M208" s="961"/>
      <c r="N208" s="929">
        <f>'matrik MISI 5'!S29</f>
        <v>62.5</v>
      </c>
      <c r="O208" s="929"/>
      <c r="P208" s="929">
        <f>'matrik MISI 5'!T29</f>
        <v>65</v>
      </c>
      <c r="Q208" s="929"/>
      <c r="R208" s="929">
        <f>'matrik MISI 5'!U29</f>
        <v>67.5</v>
      </c>
      <c r="S208" s="929"/>
      <c r="T208" s="929">
        <f>'matrik MISI 5'!V29</f>
        <v>70</v>
      </c>
      <c r="U208" s="929"/>
      <c r="V208" s="929">
        <f>'matrik MISI 5'!W29</f>
        <v>70</v>
      </c>
      <c r="W208" s="929"/>
      <c r="X208" s="929" t="str">
        <f>'matrik MISI 5'!X29</f>
        <v>Dinas Kesehatan</v>
      </c>
      <c r="Y208" s="565" t="str">
        <f>'matrik MISI 5'!Y29</f>
        <v>Banyaknya penduduk usia 15-24 tahun belum menikah yang memiliki pengetahuan komprehensif mengenai HIV/AIDS / Penduduk usia 15-24 tahun yang belum menikah x 100</v>
      </c>
      <c r="Z208" s="565">
        <f>'matrik MISI 5'!Z29</f>
        <v>0</v>
      </c>
    </row>
    <row r="209" spans="2:26" ht="30">
      <c r="B209" s="940"/>
      <c r="C209" s="941"/>
      <c r="D209" s="940"/>
      <c r="E209" s="940"/>
      <c r="F209" s="940"/>
      <c r="G209" s="398"/>
      <c r="H209" s="164" t="str">
        <f>'matrik MISI 5'!N30</f>
        <v>Cakupan Penemuan Penderita Pneumonia Balita</v>
      </c>
      <c r="I209" s="164" t="str">
        <f>'matrik MISI 5'!O30</f>
        <v>%</v>
      </c>
      <c r="J209" s="929">
        <f>'matrik MISI 5'!P30</f>
        <v>28.5</v>
      </c>
      <c r="K209" s="929">
        <f>'matrik MISI 5'!Q30</f>
        <v>60</v>
      </c>
      <c r="L209" s="929">
        <f>'matrik MISI 5'!R30</f>
        <v>60</v>
      </c>
      <c r="M209" s="961"/>
      <c r="N209" s="929">
        <f>'matrik MISI 5'!S30</f>
        <v>65</v>
      </c>
      <c r="O209" s="929"/>
      <c r="P209" s="929">
        <f>'matrik MISI 5'!T30</f>
        <v>65</v>
      </c>
      <c r="Q209" s="929"/>
      <c r="R209" s="929">
        <f>'matrik MISI 5'!U30</f>
        <v>70</v>
      </c>
      <c r="S209" s="929"/>
      <c r="T209" s="929">
        <f>'matrik MISI 5'!V30</f>
        <v>70</v>
      </c>
      <c r="U209" s="929"/>
      <c r="V209" s="929">
        <f>'matrik MISI 5'!W30</f>
        <v>70</v>
      </c>
      <c r="W209" s="929"/>
      <c r="X209" s="929" t="str">
        <f>'matrik MISI 5'!X30</f>
        <v>Dinas Kesehatan</v>
      </c>
      <c r="Y209" s="565" t="str">
        <f>'matrik MISI 5'!Y30</f>
        <v>Jumlah penderita pneumonia balita yang ditemukan dan ditangani / Jumlah perkiraan penderita pneumonia balita x 100</v>
      </c>
      <c r="Z209" s="565" t="str">
        <f>'matrik MISI 5'!Z30</f>
        <v>Jumlah perkiraan penderita pneumonia pada balita = 10% dari jumlah balita pada wilayah dan kurun waktu yang yang sama</v>
      </c>
    </row>
    <row r="210" spans="2:26" ht="60">
      <c r="B210" s="940"/>
      <c r="C210" s="941"/>
      <c r="D210" s="940"/>
      <c r="E210" s="940"/>
      <c r="F210" s="940"/>
      <c r="G210" s="398"/>
      <c r="H210" s="164" t="str">
        <f>'matrik MISI 5'!N31</f>
        <v>Cakupan Penemuan Penderita Diare</v>
      </c>
      <c r="I210" s="164" t="str">
        <f>'matrik MISI 5'!O31</f>
        <v>%</v>
      </c>
      <c r="J210" s="929">
        <f>'matrik MISI 5'!P31</f>
        <v>62.9</v>
      </c>
      <c r="K210" s="929">
        <f>'matrik MISI 5'!Q31</f>
        <v>90</v>
      </c>
      <c r="L210" s="929">
        <f>'matrik MISI 5'!R31</f>
        <v>90</v>
      </c>
      <c r="M210" s="961"/>
      <c r="N210" s="929">
        <f>'matrik MISI 5'!S31</f>
        <v>90</v>
      </c>
      <c r="O210" s="929"/>
      <c r="P210" s="929">
        <f>'matrik MISI 5'!T31</f>
        <v>90</v>
      </c>
      <c r="Q210" s="929"/>
      <c r="R210" s="929">
        <f>'matrik MISI 5'!U31</f>
        <v>90</v>
      </c>
      <c r="S210" s="929"/>
      <c r="T210" s="929">
        <f>'matrik MISI 5'!V31</f>
        <v>90</v>
      </c>
      <c r="U210" s="929"/>
      <c r="V210" s="929">
        <f>'matrik MISI 5'!W31</f>
        <v>90</v>
      </c>
      <c r="W210" s="929"/>
      <c r="X210" s="929" t="str">
        <f>'matrik MISI 5'!X31</f>
        <v>Dinas Kesehatan</v>
      </c>
      <c r="Y210" s="565" t="str">
        <f>'matrik MISI 5'!Y31</f>
        <v>Jumlah penderita diare yang datang dan dilayani di sarana Kesehatan dan Kader di suatu wilayah tertentu dalam waktu satu tahun. / Jumlah perkiraan penderita diare pd satu wilayah tertentu dalam waktu yg sama x 100</v>
      </c>
      <c r="Z210" s="565" t="str">
        <f>'matrik MISI 5'!Z31</f>
        <v xml:space="preserve"> Jumlah perkiraan penderita diare  = 10% dari angka kesakitan diare x jumlah penduduk</v>
      </c>
    </row>
    <row r="211" spans="2:26" ht="45">
      <c r="B211" s="940"/>
      <c r="C211" s="941"/>
      <c r="D211" s="940"/>
      <c r="E211" s="940"/>
      <c r="F211" s="940"/>
      <c r="G211" s="398"/>
      <c r="H211" s="164" t="str">
        <f>'matrik MISI 5'!N32</f>
        <v>CFR (Angka Kematian Diare per 10.000 Penduduk)</v>
      </c>
      <c r="I211" s="164">
        <f>'matrik MISI 5'!O32</f>
        <v>0</v>
      </c>
      <c r="J211" s="929">
        <f>'matrik MISI 5'!P32</f>
        <v>0.79</v>
      </c>
      <c r="K211" s="929" t="str">
        <f>'matrik MISI 5'!Q32</f>
        <v>&lt;1</v>
      </c>
      <c r="L211" s="929" t="str">
        <f>'matrik MISI 5'!R32</f>
        <v>&lt; 1</v>
      </c>
      <c r="M211" s="961"/>
      <c r="N211" s="929" t="str">
        <f>'matrik MISI 5'!S32</f>
        <v>&lt; 1</v>
      </c>
      <c r="O211" s="929"/>
      <c r="P211" s="929" t="str">
        <f>'matrik MISI 5'!T32</f>
        <v>&lt; 1</v>
      </c>
      <c r="Q211" s="929"/>
      <c r="R211" s="929" t="str">
        <f>'matrik MISI 5'!U32</f>
        <v>&lt; 1</v>
      </c>
      <c r="S211" s="929"/>
      <c r="T211" s="929" t="str">
        <f>'matrik MISI 5'!V32</f>
        <v>&lt; 1</v>
      </c>
      <c r="U211" s="929"/>
      <c r="V211" s="929" t="str">
        <f>'matrik MISI 5'!W32</f>
        <v>&lt; 1</v>
      </c>
      <c r="W211" s="929"/>
      <c r="X211" s="929" t="str">
        <f>'matrik MISI 5'!X32</f>
        <v>Dinas Kesehatan</v>
      </c>
      <c r="Y211" s="565" t="str">
        <f>'matrik MISI 5'!Y32</f>
        <v>Jumlah kematian yang disebabkan diare di suatu wilayah kerja pada kurun waktu  tahun tertentu / Jumlah penduduk di suatu wilayah kerja pada kurun waktu yang sama x 10.000</v>
      </c>
      <c r="Z211" s="565">
        <f>'matrik MISI 5'!Z32</f>
        <v>0</v>
      </c>
    </row>
    <row r="212" spans="2:26" ht="30">
      <c r="B212" s="940"/>
      <c r="C212" s="941"/>
      <c r="D212" s="940"/>
      <c r="E212" s="940"/>
      <c r="F212" s="940"/>
      <c r="G212" s="398"/>
      <c r="H212" s="164" t="str">
        <f>'matrik MISI 5'!N33</f>
        <v>Angka Penemuan Kasus Malaria per 1.000 Penduduk</v>
      </c>
      <c r="I212" s="164">
        <f>'matrik MISI 5'!O33</f>
        <v>0</v>
      </c>
      <c r="J212" s="929" t="str">
        <f>'matrik MISI 5'!P33</f>
        <v>&lt;1</v>
      </c>
      <c r="K212" s="929" t="str">
        <f>'matrik MISI 5'!Q33</f>
        <v>&lt;1</v>
      </c>
      <c r="L212" s="929" t="str">
        <f>'matrik MISI 5'!R33</f>
        <v>&lt;1</v>
      </c>
      <c r="M212" s="961"/>
      <c r="N212" s="929" t="str">
        <f>'matrik MISI 5'!S33</f>
        <v>&lt;1</v>
      </c>
      <c r="O212" s="929"/>
      <c r="P212" s="929" t="str">
        <f>'matrik MISI 5'!T33</f>
        <v>&lt;1</v>
      </c>
      <c r="Q212" s="929"/>
      <c r="R212" s="929" t="str">
        <f>'matrik MISI 5'!U33</f>
        <v>&lt;1</v>
      </c>
      <c r="S212" s="929"/>
      <c r="T212" s="929" t="str">
        <f>'matrik MISI 5'!V33</f>
        <v>&lt;1</v>
      </c>
      <c r="U212" s="929"/>
      <c r="V212" s="929" t="str">
        <f>'matrik MISI 5'!W33</f>
        <v>&lt;1</v>
      </c>
      <c r="W212" s="929"/>
      <c r="X212" s="929" t="str">
        <f>'matrik MISI 5'!X33</f>
        <v>Dinas Kesehatan</v>
      </c>
      <c r="Y212" s="565" t="str">
        <f>'matrik MISI 5'!Y33</f>
        <v>Banyaknya penduduk yang terdiagnosis
menderita malaria / Jumlah penduduk x 1.000</v>
      </c>
      <c r="Z212" s="565">
        <f>'matrik MISI 5'!Z33</f>
        <v>0</v>
      </c>
    </row>
    <row r="213" spans="2:26" ht="45">
      <c r="B213" s="940"/>
      <c r="C213" s="941"/>
      <c r="D213" s="940"/>
      <c r="E213" s="940"/>
      <c r="F213" s="940"/>
      <c r="G213" s="398"/>
      <c r="H213" s="164" t="str">
        <f>'matrik MISI 5'!N34</f>
        <v>Inciden Rate DBD (Demam Berdarah Dengue) per 10.000 Penduduk</v>
      </c>
      <c r="I213" s="164" t="str">
        <f>'matrik MISI 5'!O34</f>
        <v>%</v>
      </c>
      <c r="J213" s="929">
        <f>'matrik MISI 5'!P34</f>
        <v>0.56999999999999995</v>
      </c>
      <c r="K213" s="929" t="str">
        <f>'matrik MISI 5'!Q34</f>
        <v>&lt;20</v>
      </c>
      <c r="L213" s="929" t="str">
        <f>'matrik MISI 5'!R34</f>
        <v>&lt;20</v>
      </c>
      <c r="M213" s="961"/>
      <c r="N213" s="929" t="str">
        <f>'matrik MISI 5'!S34</f>
        <v>&lt;20</v>
      </c>
      <c r="O213" s="929"/>
      <c r="P213" s="929" t="str">
        <f>'matrik MISI 5'!T34</f>
        <v>&lt;20</v>
      </c>
      <c r="Q213" s="929"/>
      <c r="R213" s="929" t="str">
        <f>'matrik MISI 5'!U34</f>
        <v>&lt;20</v>
      </c>
      <c r="S213" s="929"/>
      <c r="T213" s="929" t="str">
        <f>'matrik MISI 5'!V34</f>
        <v>&lt;20</v>
      </c>
      <c r="U213" s="929"/>
      <c r="V213" s="929" t="str">
        <f>'matrik MISI 5'!W34</f>
        <v>&lt;20</v>
      </c>
      <c r="W213" s="929"/>
      <c r="X213" s="929" t="str">
        <f>'matrik MISI 5'!X34</f>
        <v>Dinas Kesehatan</v>
      </c>
      <c r="Y213" s="565" t="str">
        <f>'matrik MISI 5'!Y34</f>
        <v>Jumlah penderita DBD yang ditangani sesuai SOP / Jumlah penderita DBD yang ditemukan x 100</v>
      </c>
      <c r="Z213" s="565">
        <f>'matrik MISI 5'!Z34</f>
        <v>0</v>
      </c>
    </row>
    <row r="214" spans="2:26" ht="45">
      <c r="B214" s="940"/>
      <c r="C214" s="941"/>
      <c r="D214" s="940"/>
      <c r="E214" s="940"/>
      <c r="F214" s="940"/>
      <c r="G214" s="398"/>
      <c r="H214" s="164" t="str">
        <f>'matrik MISI 5'!N35</f>
        <v>CFR atau Angka Kematian DBD (Demam Berdarah Dengue)</v>
      </c>
      <c r="I214" s="164" t="str">
        <f>'matrik MISI 5'!O35</f>
        <v>%</v>
      </c>
      <c r="J214" s="929">
        <f>'matrik MISI 5'!P35</f>
        <v>0</v>
      </c>
      <c r="K214" s="929" t="str">
        <f>'matrik MISI 5'!Q35</f>
        <v>&lt;2</v>
      </c>
      <c r="L214" s="929" t="str">
        <f>'matrik MISI 5'!R35</f>
        <v>&lt;1</v>
      </c>
      <c r="M214" s="961"/>
      <c r="N214" s="929" t="str">
        <f>'matrik MISI 5'!S35</f>
        <v>&lt;1</v>
      </c>
      <c r="O214" s="929"/>
      <c r="P214" s="929" t="str">
        <f>'matrik MISI 5'!T35</f>
        <v>&lt;1</v>
      </c>
      <c r="Q214" s="929"/>
      <c r="R214" s="929" t="str">
        <f>'matrik MISI 5'!U35</f>
        <v>&lt;1</v>
      </c>
      <c r="S214" s="929"/>
      <c r="T214" s="929" t="str">
        <f>'matrik MISI 5'!V35</f>
        <v>&lt;1</v>
      </c>
      <c r="U214" s="929"/>
      <c r="V214" s="929" t="str">
        <f>'matrik MISI 5'!W35</f>
        <v>&lt;1</v>
      </c>
      <c r="W214" s="929"/>
      <c r="X214" s="929" t="str">
        <f>'matrik MISI 5'!X35</f>
        <v>Dinas Kesehatan</v>
      </c>
      <c r="Y214" s="565" t="str">
        <f>'matrik MISI 5'!Y35</f>
        <v>Jumlah kematian yang disebabkan DBD di suatu wilayah kerja pada kurun waktu  tahun tertentu / Jumlah penderita penyakit DBD yang ditemukan di suatu wilayah kerja pada kurun waktu yang sama x 100</v>
      </c>
      <c r="Z214" s="565">
        <f>'matrik MISI 5'!Z35</f>
        <v>0</v>
      </c>
    </row>
    <row r="215" spans="2:26" ht="45">
      <c r="B215" s="940"/>
      <c r="C215" s="941"/>
      <c r="D215" s="940"/>
      <c r="E215" s="940"/>
      <c r="F215" s="940"/>
      <c r="G215" s="398"/>
      <c r="H215" s="164" t="str">
        <f>'matrik MISI 5'!N36</f>
        <v>Penderita DBD (Demam Berdarah Dengue) yang Ditangani</v>
      </c>
      <c r="I215" s="164" t="str">
        <f>'matrik MISI 5'!O36</f>
        <v>%</v>
      </c>
      <c r="J215" s="929">
        <f>'matrik MISI 5'!P36</f>
        <v>100</v>
      </c>
      <c r="K215" s="929">
        <f>'matrik MISI 5'!Q36</f>
        <v>100</v>
      </c>
      <c r="L215" s="929">
        <f>'matrik MISI 5'!R36</f>
        <v>100</v>
      </c>
      <c r="M215" s="961"/>
      <c r="N215" s="929">
        <f>'matrik MISI 5'!S36</f>
        <v>100</v>
      </c>
      <c r="O215" s="929"/>
      <c r="P215" s="929">
        <f>'matrik MISI 5'!T36</f>
        <v>100</v>
      </c>
      <c r="Q215" s="929"/>
      <c r="R215" s="929">
        <f>'matrik MISI 5'!U36</f>
        <v>100</v>
      </c>
      <c r="S215" s="929"/>
      <c r="T215" s="929">
        <f>'matrik MISI 5'!V36</f>
        <v>100</v>
      </c>
      <c r="U215" s="929"/>
      <c r="V215" s="929">
        <f>'matrik MISI 5'!W36</f>
        <v>100</v>
      </c>
      <c r="W215" s="929"/>
      <c r="X215" s="929" t="str">
        <f>'matrik MISI 5'!X36</f>
        <v>Dinas Kesehatan</v>
      </c>
      <c r="Y215" s="565" t="str">
        <f>'matrik MISI 5'!Y36</f>
        <v>Jumlah penderita DBD yang ditangani sesuai SOP / Jumlah penderita DBD yang ditemukan x100</v>
      </c>
      <c r="Z215" s="565">
        <f>'matrik MISI 5'!Z36</f>
        <v>0</v>
      </c>
    </row>
    <row r="216" spans="2:26" ht="45">
      <c r="B216" s="940"/>
      <c r="C216" s="941"/>
      <c r="D216" s="940"/>
      <c r="E216" s="940"/>
      <c r="F216" s="940"/>
      <c r="G216" s="398"/>
      <c r="H216" s="164" t="str">
        <f>'matrik MISI 5'!N37</f>
        <v>Cakupan Desa atau Kelurahan Universal Child Immunisation (UCI)</v>
      </c>
      <c r="I216" s="164" t="str">
        <f>'matrik MISI 5'!O37</f>
        <v>%</v>
      </c>
      <c r="J216" s="929">
        <f>'matrik MISI 5'!P37</f>
        <v>99.65</v>
      </c>
      <c r="K216" s="929">
        <f>'matrik MISI 5'!Q37</f>
        <v>100</v>
      </c>
      <c r="L216" s="929">
        <f>'matrik MISI 5'!R37</f>
        <v>100</v>
      </c>
      <c r="M216" s="961"/>
      <c r="N216" s="929">
        <f>'matrik MISI 5'!S37</f>
        <v>100</v>
      </c>
      <c r="O216" s="929"/>
      <c r="P216" s="929">
        <f>'matrik MISI 5'!T37</f>
        <v>100</v>
      </c>
      <c r="Q216" s="929"/>
      <c r="R216" s="929">
        <f>'matrik MISI 5'!U37</f>
        <v>100</v>
      </c>
      <c r="S216" s="929"/>
      <c r="T216" s="929">
        <f>'matrik MISI 5'!V37</f>
        <v>100</v>
      </c>
      <c r="U216" s="929"/>
      <c r="V216" s="929">
        <f>'matrik MISI 5'!W37</f>
        <v>100</v>
      </c>
      <c r="W216" s="929"/>
      <c r="X216" s="929" t="str">
        <f>'matrik MISI 5'!X37</f>
        <v>Dinas Kesehatan</v>
      </c>
      <c r="Y216" s="565" t="str">
        <f>'matrik MISI 5'!Y37</f>
        <v>Jumlah desa/kelurahan UCI / Jumlah seluruh desa/kelurahan x 100</v>
      </c>
      <c r="Z216" s="565">
        <f>'matrik MISI 5'!Z37</f>
        <v>0</v>
      </c>
    </row>
    <row r="217" spans="2:26" ht="30">
      <c r="B217" s="940"/>
      <c r="C217" s="941"/>
      <c r="D217" s="940"/>
      <c r="E217" s="940"/>
      <c r="F217" s="940"/>
      <c r="G217" s="398"/>
      <c r="H217" s="164" t="str">
        <f>'matrik MISI 5'!N38</f>
        <v>Proporsi Anak Umur 1 Tahun diimunisasi Campak</v>
      </c>
      <c r="I217" s="164" t="str">
        <f>'matrik MISI 5'!O38</f>
        <v>%</v>
      </c>
      <c r="J217" s="929">
        <f>'matrik MISI 5'!P38</f>
        <v>95</v>
      </c>
      <c r="K217" s="929">
        <f>'matrik MISI 5'!Q38</f>
        <v>95</v>
      </c>
      <c r="L217" s="929">
        <f>'matrik MISI 5'!R38</f>
        <v>95</v>
      </c>
      <c r="M217" s="961"/>
      <c r="N217" s="929">
        <f>'matrik MISI 5'!S38</f>
        <v>95</v>
      </c>
      <c r="O217" s="929"/>
      <c r="P217" s="929">
        <f>'matrik MISI 5'!T38</f>
        <v>95</v>
      </c>
      <c r="Q217" s="929"/>
      <c r="R217" s="929">
        <f>'matrik MISI 5'!U38</f>
        <v>95</v>
      </c>
      <c r="S217" s="929"/>
      <c r="T217" s="929">
        <f>'matrik MISI 5'!V38</f>
        <v>95</v>
      </c>
      <c r="U217" s="929"/>
      <c r="V217" s="929">
        <f>'matrik MISI 5'!W38</f>
        <v>95</v>
      </c>
      <c r="W217" s="929"/>
      <c r="X217" s="929" t="str">
        <f>'matrik MISI 5'!X38</f>
        <v>Dinas Kesehatan</v>
      </c>
      <c r="Y217" s="565" t="str">
        <f>'matrik MISI 5'!Y38</f>
        <v>Banyaknya anak yang pernah diimunisasi campak sekurang-kurangnya 1 kali dan usia 12-23 bulan / Jumlah anak yang berusia 12-23 bulan x 100</v>
      </c>
      <c r="Z217" s="565">
        <f>'matrik MISI 5'!Z38</f>
        <v>0</v>
      </c>
    </row>
    <row r="218" spans="2:26" ht="45">
      <c r="B218" s="940"/>
      <c r="C218" s="941"/>
      <c r="D218" s="940"/>
      <c r="E218" s="940"/>
      <c r="F218" s="940"/>
      <c r="G218" s="398"/>
      <c r="H218" s="164" t="str">
        <f>'matrik MISI 5'!N39</f>
        <v>Acut Flacid Paralysis (AFP) Rate per 100.000  Penduduk Usia &lt; 15 Tahun</v>
      </c>
      <c r="I218" s="164" t="str">
        <f>'matrik MISI 5'!O39</f>
        <v>kasus</v>
      </c>
      <c r="J218" s="929" t="str">
        <f>'matrik MISI 5'!P39</f>
        <v>5 kasus</v>
      </c>
      <c r="K218" s="929" t="str">
        <f>'matrik MISI 5'!Q39</f>
        <v>≥2 (4 kasus)</v>
      </c>
      <c r="L218" s="929" t="str">
        <f>'matrik MISI 5'!R39</f>
        <v>≥2 (4 kasus)</v>
      </c>
      <c r="M218" s="961"/>
      <c r="N218" s="929" t="str">
        <f>'matrik MISI 5'!S39</f>
        <v>≥2 (4 kasus)</v>
      </c>
      <c r="O218" s="929"/>
      <c r="P218" s="929" t="str">
        <f>'matrik MISI 5'!T39</f>
        <v>≥2 (4 kasus)</v>
      </c>
      <c r="Q218" s="929"/>
      <c r="R218" s="929" t="str">
        <f>'matrik MISI 5'!U39</f>
        <v>≥2 (4 kasus)</v>
      </c>
      <c r="S218" s="929"/>
      <c r="T218" s="929" t="str">
        <f>'matrik MISI 5'!V39</f>
        <v>≥2 (4 kasus)</v>
      </c>
      <c r="U218" s="929"/>
      <c r="V218" s="929" t="str">
        <f>'matrik MISI 5'!W39</f>
        <v>≥2 (4 kasus)</v>
      </c>
      <c r="W218" s="929"/>
      <c r="X218" s="929" t="str">
        <f>'matrik MISI 5'!X39</f>
        <v>Dinas Kesehatan</v>
      </c>
      <c r="Y218" s="565" t="str">
        <f>'matrik MISI 5'!Y39</f>
        <v xml:space="preserve">Jumlah kasus AFP non Polio pada penduduk &lt; 15 tahun yang dilaporkan / Jumlah Penduduk &lt; 15 tahun x 100
</v>
      </c>
      <c r="Z218" s="565">
        <f>'matrik MISI 5'!Z39</f>
        <v>0</v>
      </c>
    </row>
    <row r="219" spans="2:26" ht="75">
      <c r="B219" s="940"/>
      <c r="C219" s="941"/>
      <c r="D219" s="940"/>
      <c r="E219" s="940"/>
      <c r="F219" s="940"/>
      <c r="G219" s="398"/>
      <c r="H219" s="164" t="str">
        <f>'matrik MISI 5'!N40</f>
        <v>Cakupan Desa atau Kelurahan Mengalami Kejadian Luar Biasa (KLB) yang dilakukan Penyelidikan Epidemiologi &lt; 24 jam</v>
      </c>
      <c r="I219" s="164" t="str">
        <f>'matrik MISI 5'!O40</f>
        <v>%</v>
      </c>
      <c r="J219" s="929">
        <f>'matrik MISI 5'!P40</f>
        <v>96.15</v>
      </c>
      <c r="K219" s="929">
        <f>'matrik MISI 5'!Q40</f>
        <v>100</v>
      </c>
      <c r="L219" s="929">
        <f>'matrik MISI 5'!R40</f>
        <v>100</v>
      </c>
      <c r="M219" s="961"/>
      <c r="N219" s="929">
        <f>'matrik MISI 5'!S40</f>
        <v>100</v>
      </c>
      <c r="O219" s="929"/>
      <c r="P219" s="929">
        <f>'matrik MISI 5'!T40</f>
        <v>100</v>
      </c>
      <c r="Q219" s="929"/>
      <c r="R219" s="929">
        <f>'matrik MISI 5'!U40</f>
        <v>100</v>
      </c>
      <c r="S219" s="929"/>
      <c r="T219" s="929">
        <f>'matrik MISI 5'!V40</f>
        <v>100</v>
      </c>
      <c r="U219" s="929"/>
      <c r="V219" s="929">
        <f>'matrik MISI 5'!W40</f>
        <v>100</v>
      </c>
      <c r="W219" s="929"/>
      <c r="X219" s="929" t="str">
        <f>'matrik MISI 5'!X40</f>
        <v>Dinas Kesehatan</v>
      </c>
      <c r="Y219" s="565" t="str">
        <f>'matrik MISI 5'!Y40</f>
        <v>Jumlah KLB di desa/kelurahan yang ditangani &lt;24 jam / Jumlah KLB di desa/kelurahan yang terjadi pada wilayah desa/kelurahan x 100</v>
      </c>
      <c r="Z219" s="565">
        <f>'matrik MISI 5'!Z40</f>
        <v>0</v>
      </c>
    </row>
    <row r="220" spans="2:26" ht="30">
      <c r="B220" s="940"/>
      <c r="C220" s="941"/>
      <c r="D220" s="940"/>
      <c r="E220" s="940"/>
      <c r="F220" s="940"/>
      <c r="G220" s="398"/>
      <c r="H220" s="164" t="str">
        <f>'matrik MISI 5'!N41</f>
        <v>Cakupan Penderita diare Yang ditangani</v>
      </c>
      <c r="I220" s="164" t="str">
        <f>'matrik MISI 5'!O41</f>
        <v>%</v>
      </c>
      <c r="J220" s="929">
        <f>'matrik MISI 5'!P41</f>
        <v>100</v>
      </c>
      <c r="K220" s="929">
        <f>'matrik MISI 5'!Q41</f>
        <v>100</v>
      </c>
      <c r="L220" s="929">
        <f>'matrik MISI 5'!R41</f>
        <v>100</v>
      </c>
      <c r="M220" s="961"/>
      <c r="N220" s="929">
        <f>'matrik MISI 5'!S41</f>
        <v>100</v>
      </c>
      <c r="O220" s="929"/>
      <c r="P220" s="929">
        <f>'matrik MISI 5'!T41</f>
        <v>100</v>
      </c>
      <c r="Q220" s="929"/>
      <c r="R220" s="929">
        <f>'matrik MISI 5'!U41</f>
        <v>100</v>
      </c>
      <c r="S220" s="929"/>
      <c r="T220" s="929">
        <f>'matrik MISI 5'!V41</f>
        <v>100</v>
      </c>
      <c r="U220" s="929"/>
      <c r="V220" s="929">
        <f>'matrik MISI 5'!W41</f>
        <v>100</v>
      </c>
      <c r="W220" s="929"/>
      <c r="X220" s="929" t="str">
        <f>'matrik MISI 5'!X41</f>
        <v>Dinas Kesehatan</v>
      </c>
      <c r="Y220" s="565" t="str">
        <f>'matrik MISI 5'!Y41</f>
        <v>Jumlah penderita diare yang datang dan dilayani di sarana Kesehatan dan Kader / Jumlah perkiraan penderita diare   x 100</v>
      </c>
      <c r="Z220" s="565">
        <f>'matrik MISI 5'!Z41</f>
        <v>0</v>
      </c>
    </row>
    <row r="221" spans="2:26" ht="30">
      <c r="B221" s="940"/>
      <c r="C221" s="941"/>
      <c r="D221" s="940">
        <f>'matrik MISI 5'!J43</f>
        <v>1.02</v>
      </c>
      <c r="E221" s="940" t="str">
        <f>'matrik MISI 5'!K43</f>
        <v>xx</v>
      </c>
      <c r="F221" s="940">
        <f>'matrik MISI 5'!L43</f>
        <v>20</v>
      </c>
      <c r="G221" s="398" t="str">
        <f>'matrik MISI 5'!M43</f>
        <v>Perbaikan Gizi Masyarakat</v>
      </c>
      <c r="H221" s="164"/>
      <c r="I221" s="164"/>
      <c r="J221" s="929"/>
      <c r="K221" s="929"/>
      <c r="L221" s="929"/>
      <c r="M221" s="961">
        <f>'jangan di hapus 1'!K315</f>
        <v>250000000</v>
      </c>
      <c r="N221" s="961"/>
      <c r="O221" s="961">
        <f>'jangan di hapus 1'!M315</f>
        <v>612500000</v>
      </c>
      <c r="P221" s="961"/>
      <c r="Q221" s="961">
        <f>'jangan di hapus 1'!O315</f>
        <v>700000000</v>
      </c>
      <c r="R221" s="961"/>
      <c r="S221" s="961">
        <f>'jangan di hapus 1'!Q315</f>
        <v>750000000</v>
      </c>
      <c r="T221" s="961"/>
      <c r="U221" s="961">
        <f>'jangan di hapus 1'!S315</f>
        <v>800000000</v>
      </c>
      <c r="V221" s="929"/>
      <c r="W221" s="961">
        <f>SUM(M221:U221)</f>
        <v>3112500000</v>
      </c>
      <c r="X221" s="929"/>
      <c r="Y221" s="565"/>
      <c r="Z221" s="565"/>
    </row>
    <row r="222" spans="2:26" ht="30">
      <c r="B222" s="940"/>
      <c r="C222" s="941"/>
      <c r="D222" s="939"/>
      <c r="E222" s="939"/>
      <c r="F222" s="939"/>
      <c r="G222" s="965"/>
      <c r="H222" s="164" t="str">
        <f>'matrik MISI 5'!N43</f>
        <v>Prevalensi Gizi Kurang pada Anak Balita (0-60 bulan)</v>
      </c>
      <c r="I222" s="164" t="str">
        <f>'matrik MISI 5'!O43</f>
        <v>%</v>
      </c>
      <c r="J222" s="929">
        <f>'matrik MISI 5'!P43</f>
        <v>11.2</v>
      </c>
      <c r="K222" s="929">
        <f>'matrik MISI 5'!Q43</f>
        <v>15.5</v>
      </c>
      <c r="L222" s="929">
        <f>'matrik MISI 5'!R43</f>
        <v>15.5</v>
      </c>
      <c r="M222" s="961"/>
      <c r="N222" s="929">
        <f>'matrik MISI 5'!S43</f>
        <v>15.5</v>
      </c>
      <c r="O222" s="929"/>
      <c r="P222" s="929">
        <f>'matrik MISI 5'!T43</f>
        <v>15.5</v>
      </c>
      <c r="Q222" s="929"/>
      <c r="R222" s="929">
        <f>'matrik MISI 5'!U43</f>
        <v>15.5</v>
      </c>
      <c r="S222" s="929"/>
      <c r="T222" s="929">
        <f>'matrik MISI 5'!V43</f>
        <v>15.5</v>
      </c>
      <c r="U222" s="929"/>
      <c r="V222" s="929">
        <f>'matrik MISI 5'!W43</f>
        <v>15.5</v>
      </c>
      <c r="W222" s="929"/>
      <c r="X222" s="929" t="str">
        <f>'matrik MISI 5'!X43</f>
        <v>Dinas Kesehatan</v>
      </c>
      <c r="Y222" s="565" t="str">
        <f>'matrik MISI 5'!Y43</f>
        <v>Jumlah Gizi Kurang pada Anak Balita (0-60 bulan) yang ditemukan / Jumlah seluruh anak balita x 100</v>
      </c>
      <c r="Z222" s="565">
        <f>'matrik MISI 5'!Z43</f>
        <v>0</v>
      </c>
    </row>
    <row r="223" spans="2:26" ht="30">
      <c r="B223" s="940"/>
      <c r="C223" s="941"/>
      <c r="D223" s="940"/>
      <c r="E223" s="940"/>
      <c r="F223" s="940"/>
      <c r="G223" s="398"/>
      <c r="H223" s="164" t="str">
        <f>'matrik MISI 5'!N44</f>
        <v>Prevalensi Gizi Buruk pada Anak Balita (0-60 bulan)</v>
      </c>
      <c r="I223" s="164" t="str">
        <f>'matrik MISI 5'!O44</f>
        <v>%</v>
      </c>
      <c r="J223" s="929">
        <f>'matrik MISI 5'!P44</f>
        <v>0.04</v>
      </c>
      <c r="K223" s="929" t="str">
        <f>'matrik MISI 5'!Q44</f>
        <v>&lt;0,5</v>
      </c>
      <c r="L223" s="929" t="str">
        <f>'matrik MISI 5'!R44</f>
        <v>&lt;0,5</v>
      </c>
      <c r="M223" s="961"/>
      <c r="N223" s="929" t="str">
        <f>'matrik MISI 5'!S44</f>
        <v>&lt;0,5</v>
      </c>
      <c r="O223" s="929"/>
      <c r="P223" s="929" t="str">
        <f>'matrik MISI 5'!T44</f>
        <v>&lt;0,5</v>
      </c>
      <c r="Q223" s="929"/>
      <c r="R223" s="929" t="str">
        <f>'matrik MISI 5'!U44</f>
        <v>&lt;0,5</v>
      </c>
      <c r="S223" s="929"/>
      <c r="T223" s="929" t="str">
        <f>'matrik MISI 5'!V44</f>
        <v>&lt;0,5</v>
      </c>
      <c r="U223" s="929"/>
      <c r="V223" s="929" t="str">
        <f>'matrik MISI 5'!W44</f>
        <v>&lt;0,5</v>
      </c>
      <c r="W223" s="929"/>
      <c r="X223" s="929">
        <f>'matrik MISI 5'!X44</f>
        <v>0</v>
      </c>
      <c r="Y223" s="565" t="str">
        <f>'matrik MISI 5'!Y44</f>
        <v>Jumlah Gizi Buruk pada Anak Balita (0-60 bulan) yang ditemukan / Jumlah seluruh anak balita x 100</v>
      </c>
      <c r="Z223" s="565">
        <f>'matrik MISI 5'!Z44</f>
        <v>0</v>
      </c>
    </row>
    <row r="224" spans="2:26" ht="45">
      <c r="B224" s="940"/>
      <c r="C224" s="941"/>
      <c r="D224" s="940"/>
      <c r="E224" s="940"/>
      <c r="F224" s="940"/>
      <c r="G224" s="398"/>
      <c r="H224" s="164" t="str">
        <f>'matrik MISI 5'!N45</f>
        <v>Cakupan Pemberian Makanan Pendamping ASI pada Anak Usia &lt; 24 Bulan dari Keluarga Miskin</v>
      </c>
      <c r="I224" s="164" t="str">
        <f>'matrik MISI 5'!O45</f>
        <v>%</v>
      </c>
      <c r="J224" s="929">
        <f>'matrik MISI 5'!P45</f>
        <v>100</v>
      </c>
      <c r="K224" s="929">
        <f>'matrik MISI 5'!Q45</f>
        <v>100</v>
      </c>
      <c r="L224" s="929">
        <f>'matrik MISI 5'!R45</f>
        <v>100</v>
      </c>
      <c r="M224" s="961"/>
      <c r="N224" s="929">
        <f>'matrik MISI 5'!S45</f>
        <v>100</v>
      </c>
      <c r="O224" s="929"/>
      <c r="P224" s="929">
        <f>'matrik MISI 5'!T45</f>
        <v>100</v>
      </c>
      <c r="Q224" s="929"/>
      <c r="R224" s="929">
        <f>'matrik MISI 5'!U45</f>
        <v>100</v>
      </c>
      <c r="S224" s="929"/>
      <c r="T224" s="929">
        <f>'matrik MISI 5'!V45</f>
        <v>100</v>
      </c>
      <c r="U224" s="929"/>
      <c r="V224" s="929">
        <f>'matrik MISI 5'!W45</f>
        <v>100</v>
      </c>
      <c r="W224" s="929"/>
      <c r="X224" s="929" t="str">
        <f>'matrik MISI 5'!X45</f>
        <v>Dinas Kesehatan</v>
      </c>
      <c r="Y224" s="565" t="str">
        <f>'matrik MISI 5'!Y45</f>
        <v>Jumlah anak usia 6 – 24 bulan dari keluarga miskin yang mendapat MP – ASI / Jumlah seluruh anak usia 6 – 24 bulan dari keluarga miskin x 100</v>
      </c>
      <c r="Z224" s="565">
        <f>'matrik MISI 5'!Z45</f>
        <v>0</v>
      </c>
    </row>
    <row r="225" spans="2:26" ht="30">
      <c r="B225" s="940"/>
      <c r="C225" s="941"/>
      <c r="D225" s="940"/>
      <c r="E225" s="940"/>
      <c r="F225" s="940"/>
      <c r="G225" s="398"/>
      <c r="H225" s="164" t="str">
        <f>'matrik MISI 5'!N46</f>
        <v>Cakupan Balita Gizi Buruk Mendapat Perawatan</v>
      </c>
      <c r="I225" s="164" t="str">
        <f>'matrik MISI 5'!O46</f>
        <v>%</v>
      </c>
      <c r="J225" s="929">
        <f>'matrik MISI 5'!P46</f>
        <v>100</v>
      </c>
      <c r="K225" s="929">
        <f>'matrik MISI 5'!Q46</f>
        <v>100</v>
      </c>
      <c r="L225" s="929">
        <f>'matrik MISI 5'!R46</f>
        <v>100</v>
      </c>
      <c r="M225" s="961"/>
      <c r="N225" s="929">
        <f>'matrik MISI 5'!S46</f>
        <v>100</v>
      </c>
      <c r="O225" s="929"/>
      <c r="P225" s="929">
        <f>'matrik MISI 5'!T46</f>
        <v>100</v>
      </c>
      <c r="Q225" s="929"/>
      <c r="R225" s="929">
        <f>'matrik MISI 5'!U46</f>
        <v>100</v>
      </c>
      <c r="S225" s="929"/>
      <c r="T225" s="929">
        <f>'matrik MISI 5'!V46</f>
        <v>100</v>
      </c>
      <c r="U225" s="929"/>
      <c r="V225" s="929">
        <f>'matrik MISI 5'!W46</f>
        <v>100</v>
      </c>
      <c r="W225" s="929"/>
      <c r="X225" s="929" t="str">
        <f>'matrik MISI 5'!X46</f>
        <v>Dinas Kesehatan</v>
      </c>
      <c r="Y225" s="565" t="str">
        <f>'matrik MISI 5'!Y46</f>
        <v>Jumlah balita gizi buruk yang mendapat perawatan di sarana pelayanan kesehatan / Jumlah seluruh balita gizi buruk yang ditemukan x 100</v>
      </c>
      <c r="Z225" s="565">
        <f>'matrik MISI 5'!Z46</f>
        <v>0</v>
      </c>
    </row>
    <row r="226" spans="2:26" ht="60">
      <c r="B226" s="940"/>
      <c r="C226" s="941"/>
      <c r="D226" s="940">
        <f>'matrik MISI 5'!J48</f>
        <v>1.02</v>
      </c>
      <c r="E226" s="940" t="str">
        <f>'matrik MISI 5'!K48</f>
        <v>xx</v>
      </c>
      <c r="F226" s="940">
        <f>'matrik MISI 5'!L48</f>
        <v>15</v>
      </c>
      <c r="G226" s="398" t="str">
        <f>'matrik MISI 5'!M48</f>
        <v>Penyediaan Obat dan Perbekalan Kesehatan (Program Obat dan Perbekalan Kesehatan)</v>
      </c>
      <c r="H226" s="164"/>
      <c r="I226" s="164"/>
      <c r="J226" s="929"/>
      <c r="K226" s="929"/>
      <c r="L226" s="929"/>
      <c r="M226" s="961">
        <f>'jangan di hapus 1'!K287</f>
        <v>1592079000</v>
      </c>
      <c r="N226" s="961"/>
      <c r="O226" s="961">
        <f>'jangan di hapus 1'!M287</f>
        <v>2610000000</v>
      </c>
      <c r="P226" s="961"/>
      <c r="Q226" s="961">
        <f>'jangan di hapus 1'!O287</f>
        <v>2720000000</v>
      </c>
      <c r="R226" s="961"/>
      <c r="S226" s="961">
        <f>'jangan di hapus 1'!Q287</f>
        <v>2825000000</v>
      </c>
      <c r="T226" s="961"/>
      <c r="U226" s="961">
        <f>'jangan di hapus 1'!S287</f>
        <v>2931000000</v>
      </c>
      <c r="V226" s="929"/>
      <c r="W226" s="961">
        <f>SUM(M226:U226)</f>
        <v>12678079000</v>
      </c>
      <c r="X226" s="929"/>
      <c r="Y226" s="565"/>
      <c r="Z226" s="565"/>
    </row>
    <row r="227" spans="2:26" ht="30">
      <c r="B227" s="940"/>
      <c r="C227" s="941"/>
      <c r="D227" s="940">
        <f>'matrik MISI 5'!J49</f>
        <v>1.02</v>
      </c>
      <c r="E227" s="940" t="str">
        <f>'matrik MISI 5'!K49</f>
        <v>xx</v>
      </c>
      <c r="F227" s="940">
        <f>'matrik MISI 5'!L49</f>
        <v>17</v>
      </c>
      <c r="G227" s="398" t="str">
        <f>'matrik MISI 5'!M49</f>
        <v>Program Pengawasan Obat dan Makanan</v>
      </c>
      <c r="H227" s="164"/>
      <c r="I227" s="164"/>
      <c r="J227" s="929"/>
      <c r="K227" s="929"/>
      <c r="L227" s="929"/>
      <c r="M227" s="961">
        <f>'jangan di hapus 1'!K306</f>
        <v>30000000</v>
      </c>
      <c r="N227" s="961"/>
      <c r="O227" s="961">
        <f>'jangan di hapus 1'!M306</f>
        <v>92500000</v>
      </c>
      <c r="P227" s="961"/>
      <c r="Q227" s="961">
        <f>'jangan di hapus 1'!O306</f>
        <v>120000000</v>
      </c>
      <c r="R227" s="961"/>
      <c r="S227" s="961">
        <f>'jangan di hapus 1'!Q306</f>
        <v>145000000</v>
      </c>
      <c r="T227" s="961"/>
      <c r="U227" s="961">
        <f>'jangan di hapus 1'!S306</f>
        <v>170000000</v>
      </c>
      <c r="V227" s="929"/>
      <c r="W227" s="961">
        <f>SUM(M227:U227)</f>
        <v>557500000</v>
      </c>
      <c r="X227" s="929"/>
      <c r="Y227" s="565"/>
      <c r="Z227" s="565"/>
    </row>
    <row r="228" spans="2:26" ht="30">
      <c r="B228" s="940"/>
      <c r="C228" s="941"/>
      <c r="D228" s="939"/>
      <c r="E228" s="939"/>
      <c r="F228" s="939"/>
      <c r="G228" s="965"/>
      <c r="H228" s="164" t="str">
        <f>'matrik MISI 5'!N48</f>
        <v>Cakupan Ketersediaan Obat sesuai Kebutuhan</v>
      </c>
      <c r="I228" s="164" t="str">
        <f>'matrik MISI 5'!O48</f>
        <v>%</v>
      </c>
      <c r="J228" s="929">
        <f>'matrik MISI 5'!P48</f>
        <v>98.6</v>
      </c>
      <c r="K228" s="929">
        <f>'matrik MISI 5'!Q48</f>
        <v>100</v>
      </c>
      <c r="L228" s="929">
        <f>'matrik MISI 5'!R48</f>
        <v>90</v>
      </c>
      <c r="M228" s="961"/>
      <c r="N228" s="929">
        <f>'matrik MISI 5'!S48</f>
        <v>90</v>
      </c>
      <c r="O228" s="929"/>
      <c r="P228" s="929">
        <f>'matrik MISI 5'!T48</f>
        <v>90</v>
      </c>
      <c r="Q228" s="929"/>
      <c r="R228" s="929">
        <f>'matrik MISI 5'!U48</f>
        <v>90</v>
      </c>
      <c r="S228" s="929"/>
      <c r="T228" s="929">
        <f>'matrik MISI 5'!V48</f>
        <v>90</v>
      </c>
      <c r="U228" s="929"/>
      <c r="V228" s="929">
        <f>'matrik MISI 5'!W48</f>
        <v>90</v>
      </c>
      <c r="W228" s="929"/>
      <c r="X228" s="929" t="str">
        <f>'matrik MISI 5'!X48</f>
        <v>Dinas Kesehatan</v>
      </c>
      <c r="Y228" s="565" t="str">
        <f>'matrik MISI 5'!Y48</f>
        <v>Jumlah obat yang tersedia sesuai kebutuhan / Jumlah obat yang dibutuhkan x 100</v>
      </c>
      <c r="Z228" s="565" t="str">
        <f>'matrik MISI 5'!Z48</f>
        <v xml:space="preserve">Jumlah ob at yang dibutuhkan adalah jumlah obat yang diusulkan pemenuhannya melalui mekanisme pengadaan </v>
      </c>
    </row>
    <row r="229" spans="2:26" ht="60">
      <c r="B229" s="940"/>
      <c r="C229" s="941"/>
      <c r="D229" s="940">
        <f>'matrik MISI 5'!J51</f>
        <v>1.02</v>
      </c>
      <c r="E229" s="940" t="str">
        <f>'matrik MISI 5'!K51</f>
        <v>xx</v>
      </c>
      <c r="F229" s="940">
        <f>'matrik MISI 5'!L51</f>
        <v>23</v>
      </c>
      <c r="G229" s="398" t="str">
        <f>'matrik MISI 5'!M51</f>
        <v>Pengembangan Sumber Daya Kesehatan (Program Standarisasi Pelayanan Kesehatan)</v>
      </c>
      <c r="H229" s="164"/>
      <c r="I229" s="164"/>
      <c r="J229" s="929"/>
      <c r="K229" s="929"/>
      <c r="L229" s="929"/>
      <c r="M229" s="961">
        <f>'jangan di hapus 1'!K364</f>
        <v>374000000</v>
      </c>
      <c r="N229" s="961"/>
      <c r="O229" s="961">
        <f>'jangan di hapus 1'!M364</f>
        <v>537520000</v>
      </c>
      <c r="P229" s="961"/>
      <c r="Q229" s="961">
        <f>'jangan di hapus 1'!O364</f>
        <v>578000000</v>
      </c>
      <c r="R229" s="961"/>
      <c r="S229" s="961">
        <f>'jangan di hapus 1'!Q364</f>
        <v>615000000</v>
      </c>
      <c r="T229" s="961"/>
      <c r="U229" s="961">
        <f>'jangan di hapus 1'!S364</f>
        <v>670000000</v>
      </c>
      <c r="V229" s="929"/>
      <c r="W229" s="961">
        <f>SUM(M229:U229)</f>
        <v>2774520000</v>
      </c>
      <c r="X229" s="929"/>
      <c r="Y229" s="565"/>
      <c r="Z229" s="565"/>
    </row>
    <row r="230" spans="2:26" ht="30">
      <c r="B230" s="940"/>
      <c r="C230" s="941"/>
      <c r="D230" s="939"/>
      <c r="E230" s="939"/>
      <c r="F230" s="939"/>
      <c r="G230" s="965"/>
      <c r="H230" s="164" t="str">
        <f>'matrik MISI 5'!N51</f>
        <v>Cakupan Fasilitas Kesehatan dengan SDM sesuai Standar</v>
      </c>
      <c r="I230" s="164" t="str">
        <f>'matrik MISI 5'!O51</f>
        <v>%</v>
      </c>
      <c r="J230" s="929" t="str">
        <f>'matrik MISI 5'!P51</f>
        <v>tda</v>
      </c>
      <c r="K230" s="929" t="str">
        <f>'matrik MISI 5'!Q51</f>
        <v>tda</v>
      </c>
      <c r="L230" s="929">
        <f>'matrik MISI 5'!R51</f>
        <v>65</v>
      </c>
      <c r="M230" s="961"/>
      <c r="N230" s="929">
        <f>'matrik MISI 5'!S51</f>
        <v>66.25</v>
      </c>
      <c r="O230" s="929"/>
      <c r="P230" s="929">
        <f>'matrik MISI 5'!T51</f>
        <v>67</v>
      </c>
      <c r="Q230" s="929"/>
      <c r="R230" s="929">
        <f>'matrik MISI 5'!U51</f>
        <v>68.5</v>
      </c>
      <c r="S230" s="929"/>
      <c r="T230" s="929">
        <f>'matrik MISI 5'!V51</f>
        <v>70</v>
      </c>
      <c r="U230" s="929"/>
      <c r="V230" s="929">
        <f>'matrik MISI 5'!W51</f>
        <v>70</v>
      </c>
      <c r="W230" s="929"/>
      <c r="X230" s="929" t="str">
        <f>'matrik MISI 5'!X51</f>
        <v>Dinas Kesehatan</v>
      </c>
      <c r="Y230" s="565" t="str">
        <f>'matrik MISI 5'!Y51</f>
        <v xml:space="preserve">Jumlah Fasilitas Kesehatan dengan SDM sesuai Standar/ Jumlah fasilitas kesehatan yang ada x 100 </v>
      </c>
      <c r="Z230" s="565" t="str">
        <f>'matrik MISI 5'!Z51</f>
        <v>SDM terdiri dari tenaga kesehatan dan non kesehatan</v>
      </c>
    </row>
    <row r="231" spans="2:26" ht="30">
      <c r="B231" s="940"/>
      <c r="C231" s="941"/>
      <c r="D231" s="940"/>
      <c r="E231" s="940"/>
      <c r="F231" s="940"/>
      <c r="G231" s="398"/>
      <c r="H231" s="164" t="str">
        <f>'matrik MISI 5'!N52</f>
        <v>Cakupan Tenaga Kesehatan yang Memenuhi Standar Kompetensi</v>
      </c>
      <c r="I231" s="164" t="str">
        <f>'matrik MISI 5'!O52</f>
        <v>%</v>
      </c>
      <c r="J231" s="929" t="str">
        <f>'matrik MISI 5'!P52</f>
        <v>tda</v>
      </c>
      <c r="K231" s="929" t="str">
        <f>'matrik MISI 5'!Q52</f>
        <v>tda</v>
      </c>
      <c r="L231" s="929">
        <f>'matrik MISI 5'!R52</f>
        <v>70</v>
      </c>
      <c r="M231" s="961"/>
      <c r="N231" s="929">
        <f>'matrik MISI 5'!S52</f>
        <v>75</v>
      </c>
      <c r="O231" s="929"/>
      <c r="P231" s="929">
        <f>'matrik MISI 5'!T52</f>
        <v>80</v>
      </c>
      <c r="Q231" s="929"/>
      <c r="R231" s="929">
        <f>'matrik MISI 5'!U52</f>
        <v>85</v>
      </c>
      <c r="S231" s="929"/>
      <c r="T231" s="929">
        <f>'matrik MISI 5'!V52</f>
        <v>90</v>
      </c>
      <c r="U231" s="929"/>
      <c r="V231" s="929">
        <f>'matrik MISI 5'!W52</f>
        <v>90</v>
      </c>
      <c r="W231" s="929"/>
      <c r="X231" s="929" t="str">
        <f>'matrik MISI 5'!X52</f>
        <v>Dinas Kesehatan</v>
      </c>
      <c r="Y231" s="565" t="str">
        <f>'matrik MISI 5'!Y52</f>
        <v>Jumlah tenaga medis dan paramedis aktif yang memenuhi standar kompetensi/Jumlah tenaga medis dan paramedis aktif x 100</v>
      </c>
      <c r="Z231" s="565" t="str">
        <f>'matrik MISI 5'!Z52</f>
        <v>Tenaga medis dan paramedis aktif adalah tenaga medis dan paramedis yang menjalankan praktik profesinya</v>
      </c>
    </row>
    <row r="232" spans="2:26" ht="90">
      <c r="B232" s="940"/>
      <c r="C232" s="941"/>
      <c r="D232" s="940">
        <f>'matrik MISI 5'!J53</f>
        <v>1.02</v>
      </c>
      <c r="E232" s="940" t="str">
        <f>'matrik MISI 5'!K53</f>
        <v>xx</v>
      </c>
      <c r="F232" s="940">
        <f>'matrik MISI 5'!L53</f>
        <v>26</v>
      </c>
      <c r="G232" s="398" t="str">
        <f>'matrik MISI 5'!M53</f>
        <v>Program pengadaan, peningkatan sarana dan prasarana rumah sakit/rumah sakit jiwa/rumah sakit paru-paru/rumah sakit mata</v>
      </c>
      <c r="H232" s="164"/>
      <c r="I232" s="164"/>
      <c r="J232" s="929"/>
      <c r="K232" s="929"/>
      <c r="L232" s="929"/>
      <c r="M232" s="961">
        <f>'jangan di hapus 1'!K382</f>
        <v>32315240000</v>
      </c>
      <c r="N232" s="961"/>
      <c r="O232" s="961">
        <f>'jangan di hapus 1'!M382</f>
        <v>30300000000</v>
      </c>
      <c r="P232" s="961"/>
      <c r="Q232" s="961">
        <f>'jangan di hapus 1'!O382</f>
        <v>21400000000</v>
      </c>
      <c r="R232" s="961"/>
      <c r="S232" s="961">
        <f>'jangan di hapus 1'!Q382</f>
        <v>24583820001</v>
      </c>
      <c r="T232" s="961"/>
      <c r="U232" s="961">
        <f>'jangan di hapus 1'!S382</f>
        <v>20900000000</v>
      </c>
      <c r="V232" s="929"/>
      <c r="W232" s="961">
        <f>SUM(M232:U232)</f>
        <v>129499060001</v>
      </c>
      <c r="X232" s="929"/>
      <c r="Y232" s="565"/>
      <c r="Z232" s="565"/>
    </row>
    <row r="233" spans="2:26" ht="30">
      <c r="B233" s="940"/>
      <c r="C233" s="941"/>
      <c r="D233" s="939"/>
      <c r="E233" s="939"/>
      <c r="F233" s="939"/>
      <c r="G233" s="965"/>
      <c r="H233" s="164" t="str">
        <f>'matrik MISI 5'!N53</f>
        <v>Rasio ketersediaan sarana dan prasarana puskesmas</v>
      </c>
      <c r="I233" s="164" t="str">
        <f>'matrik MISI 5'!O53</f>
        <v>Rasio</v>
      </c>
      <c r="J233" s="929" t="str">
        <f>'matrik MISI 5'!P53</f>
        <v>1 : 32412</v>
      </c>
      <c r="K233" s="929" t="str">
        <f>'matrik MISI 5'!Q53</f>
        <v>1/30.000</v>
      </c>
      <c r="L233" s="929" t="str">
        <f>'matrik MISI 5'!R53</f>
        <v>1/33.000</v>
      </c>
      <c r="M233" s="961"/>
      <c r="N233" s="929" t="str">
        <f>'matrik MISI 5'!S53</f>
        <v>1/33.000</v>
      </c>
      <c r="O233" s="929"/>
      <c r="P233" s="929" t="str">
        <f>'matrik MISI 5'!T53</f>
        <v>1/32.000</v>
      </c>
      <c r="Q233" s="929"/>
      <c r="R233" s="929" t="str">
        <f>'matrik MISI 5'!U53</f>
        <v>1/31.000</v>
      </c>
      <c r="S233" s="929"/>
      <c r="T233" s="929" t="str">
        <f>'matrik MISI 5'!V53</f>
        <v>1/31.000</v>
      </c>
      <c r="U233" s="929"/>
      <c r="V233" s="929" t="str">
        <f>'matrik MISI 5'!W53</f>
        <v>1/30.000</v>
      </c>
      <c r="W233" s="929"/>
      <c r="X233" s="929">
        <f>'matrik MISI 5'!X53</f>
        <v>0</v>
      </c>
      <c r="Y233" s="565" t="str">
        <f>'matrik MISI 5'!Y53</f>
        <v>Jumlah puskesmas dibanding jumlah penduduk</v>
      </c>
      <c r="Z233" s="565" t="str">
        <f>'matrik MISI 5'!Z53</f>
        <v>Rasio ideal : 1 : 30000</v>
      </c>
    </row>
    <row r="234" spans="2:26" ht="30">
      <c r="B234" s="940"/>
      <c r="C234" s="941"/>
      <c r="D234" s="940"/>
      <c r="E234" s="940"/>
      <c r="F234" s="940"/>
      <c r="G234" s="398"/>
      <c r="H234" s="164" t="str">
        <f>'matrik MISI 5'!N54</f>
        <v>Penyediaan Sarana dan Prasarana Rumah Sakit</v>
      </c>
      <c r="I234" s="164" t="str">
        <f>'matrik MISI 5'!O54</f>
        <v>%</v>
      </c>
      <c r="J234" s="929">
        <f>'matrik MISI 5'!P54</f>
        <v>50.63</v>
      </c>
      <c r="K234" s="929">
        <f>'matrik MISI 5'!Q54</f>
        <v>80</v>
      </c>
      <c r="L234" s="929">
        <f>'matrik MISI 5'!R54</f>
        <v>85</v>
      </c>
      <c r="M234" s="961"/>
      <c r="N234" s="929">
        <f>'matrik MISI 5'!S54</f>
        <v>90</v>
      </c>
      <c r="O234" s="929"/>
      <c r="P234" s="929">
        <f>'matrik MISI 5'!T54</f>
        <v>95</v>
      </c>
      <c r="Q234" s="929"/>
      <c r="R234" s="929">
        <f>'matrik MISI 5'!U54</f>
        <v>100</v>
      </c>
      <c r="S234" s="929"/>
      <c r="T234" s="929">
        <f>'matrik MISI 5'!V54</f>
        <v>100</v>
      </c>
      <c r="U234" s="929"/>
      <c r="V234" s="929">
        <f>'matrik MISI 5'!W54</f>
        <v>100</v>
      </c>
      <c r="W234" s="929"/>
      <c r="X234" s="929" t="str">
        <f>'matrik MISI 5'!X54</f>
        <v xml:space="preserve">RSUD </v>
      </c>
      <c r="Y234" s="565" t="str">
        <f>'matrik MISI 5'!Y54</f>
        <v>Jumlah sarana dan prasarana  yang ada / jumlah sarana dan prasarana yang seharusnya  ada x 100</v>
      </c>
      <c r="Z234" s="565" t="str">
        <f>'matrik MISI 5'!Z54</f>
        <v>Untuk memenuhi ketentuan Rumah sakit Tipe B</v>
      </c>
    </row>
    <row r="235" spans="2:26" ht="60">
      <c r="B235" s="940"/>
      <c r="C235" s="941"/>
      <c r="D235" s="940">
        <f>'matrik MISI 5'!J55</f>
        <v>1.02</v>
      </c>
      <c r="E235" s="940" t="str">
        <f>'matrik MISI 5'!K55</f>
        <v>xx</v>
      </c>
      <c r="F235" s="940">
        <f>'matrik MISI 5'!L55</f>
        <v>33</v>
      </c>
      <c r="G235" s="398" t="str">
        <f>'matrik MISI 5'!M55</f>
        <v>Program peningkatan Kualitas pelayanan kesehatan pada BLUD RSUD</v>
      </c>
      <c r="H235" s="164"/>
      <c r="I235" s="164"/>
      <c r="J235" s="929"/>
      <c r="K235" s="929"/>
      <c r="L235" s="929"/>
      <c r="M235" s="961">
        <f>'jangan di hapus 1'!K428</f>
        <v>66213700000</v>
      </c>
      <c r="N235" s="961"/>
      <c r="O235" s="961">
        <f>'jangan di hapus 1'!M428</f>
        <v>63478558000</v>
      </c>
      <c r="P235" s="961"/>
      <c r="Q235" s="961">
        <f>'jangan di hapus 1'!O428</f>
        <v>65000000000</v>
      </c>
      <c r="R235" s="961"/>
      <c r="S235" s="961">
        <f>'jangan di hapus 1'!Q428</f>
        <v>67000000000</v>
      </c>
      <c r="T235" s="961"/>
      <c r="U235" s="961">
        <f>'jangan di hapus 1'!S428</f>
        <v>68000000000</v>
      </c>
      <c r="V235" s="929"/>
      <c r="W235" s="961">
        <f>SUM(M235:U235)</f>
        <v>329692258000</v>
      </c>
      <c r="X235" s="929"/>
      <c r="Y235" s="565"/>
      <c r="Z235" s="565"/>
    </row>
    <row r="236" spans="2:26">
      <c r="B236" s="940"/>
      <c r="C236" s="941"/>
      <c r="D236" s="939"/>
      <c r="E236" s="939"/>
      <c r="F236" s="939"/>
      <c r="G236" s="965"/>
      <c r="H236" s="164" t="str">
        <f>'matrik MISI 5'!N55</f>
        <v xml:space="preserve">Cakupan Pelayanan RSUD: </v>
      </c>
      <c r="I236" s="164"/>
      <c r="J236" s="929"/>
      <c r="K236" s="929"/>
      <c r="L236" s="929"/>
      <c r="M236" s="961"/>
      <c r="N236" s="929"/>
      <c r="O236" s="929"/>
      <c r="P236" s="929"/>
      <c r="Q236" s="929"/>
      <c r="R236" s="929"/>
      <c r="S236" s="929"/>
      <c r="T236" s="929"/>
      <c r="U236" s="929"/>
      <c r="V236" s="929"/>
      <c r="W236" s="929"/>
      <c r="X236" s="929"/>
      <c r="Y236" s="565"/>
      <c r="Z236" s="565"/>
    </row>
    <row r="237" spans="2:26" ht="30">
      <c r="B237" s="940"/>
      <c r="C237" s="941"/>
      <c r="D237" s="940"/>
      <c r="E237" s="940"/>
      <c r="F237" s="940"/>
      <c r="G237" s="398"/>
      <c r="H237" s="164" t="str">
        <f>'matrik MISI 5'!N56</f>
        <v>BOR</v>
      </c>
      <c r="I237" s="164" t="str">
        <f>'matrik MISI 5'!O56</f>
        <v>%</v>
      </c>
      <c r="J237" s="929">
        <f>'matrik MISI 5'!P56</f>
        <v>73.73</v>
      </c>
      <c r="K237" s="929">
        <f>'matrik MISI 5'!Q56</f>
        <v>70</v>
      </c>
      <c r="L237" s="929">
        <f>'matrik MISI 5'!R56</f>
        <v>65</v>
      </c>
      <c r="M237" s="961"/>
      <c r="N237" s="929">
        <f>'matrik MISI 5'!S56</f>
        <v>65</v>
      </c>
      <c r="O237" s="929"/>
      <c r="P237" s="929">
        <f>'matrik MISI 5'!T56</f>
        <v>66</v>
      </c>
      <c r="Q237" s="929"/>
      <c r="R237" s="929">
        <f>'matrik MISI 5'!U56</f>
        <v>68</v>
      </c>
      <c r="S237" s="929"/>
      <c r="T237" s="929">
        <f>'matrik MISI 5'!V56</f>
        <v>70</v>
      </c>
      <c r="U237" s="929"/>
      <c r="V237" s="929">
        <f>'matrik MISI 5'!W56</f>
        <v>70</v>
      </c>
      <c r="W237" s="929"/>
      <c r="X237" s="929">
        <f>'matrik MISI 5'!X56</f>
        <v>0</v>
      </c>
      <c r="Y237" s="565" t="str">
        <f>'matrik MISI 5'!Y56</f>
        <v>BOR = Jumlah hari perawatan rumah sakit / (Jmlh Tempat Tidur x jml hari dalam satu satuan waktu) x 100</v>
      </c>
      <c r="Z237" s="565">
        <f>'matrik MISI 5'!Z56</f>
        <v>0</v>
      </c>
    </row>
    <row r="238" spans="2:26" ht="30">
      <c r="B238" s="940"/>
      <c r="C238" s="941"/>
      <c r="D238" s="940"/>
      <c r="E238" s="940"/>
      <c r="F238" s="940"/>
      <c r="G238" s="398"/>
      <c r="H238" s="164" t="str">
        <f>'matrik MISI 5'!N57</f>
        <v>LOS</v>
      </c>
      <c r="I238" s="164" t="str">
        <f>'matrik MISI 5'!O57</f>
        <v>hari</v>
      </c>
      <c r="J238" s="929">
        <f>'matrik MISI 5'!P57</f>
        <v>4.24</v>
      </c>
      <c r="K238" s="929">
        <f>'matrik MISI 5'!Q57</f>
        <v>4</v>
      </c>
      <c r="L238" s="929">
        <f>'matrik MISI 5'!R57</f>
        <v>4</v>
      </c>
      <c r="M238" s="961"/>
      <c r="N238" s="929">
        <f>'matrik MISI 5'!S57</f>
        <v>4</v>
      </c>
      <c r="O238" s="929"/>
      <c r="P238" s="929">
        <f>'matrik MISI 5'!T57</f>
        <v>5</v>
      </c>
      <c r="Q238" s="929"/>
      <c r="R238" s="929">
        <f>'matrik MISI 5'!U57</f>
        <v>5</v>
      </c>
      <c r="S238" s="929"/>
      <c r="T238" s="929">
        <f>'matrik MISI 5'!V57</f>
        <v>6</v>
      </c>
      <c r="U238" s="929"/>
      <c r="V238" s="929">
        <f>'matrik MISI 5'!W57</f>
        <v>6</v>
      </c>
      <c r="W238" s="929"/>
      <c r="X238" s="929">
        <f>'matrik MISI 5'!X57</f>
        <v>0</v>
      </c>
      <c r="Y238" s="565" t="str">
        <f>'matrik MISI 5'!Y57</f>
        <v>LOS = Jumlah hari lama dirawat pasien keluar / Jumlah pasien keluar (hidup + mati)</v>
      </c>
      <c r="Z238" s="565">
        <f>'matrik MISI 5'!Z57</f>
        <v>0</v>
      </c>
    </row>
    <row r="239" spans="2:26" ht="45">
      <c r="B239" s="940"/>
      <c r="C239" s="941"/>
      <c r="D239" s="940"/>
      <c r="E239" s="940"/>
      <c r="F239" s="940"/>
      <c r="G239" s="398"/>
      <c r="H239" s="164" t="str">
        <f>'matrik MISI 5'!N58</f>
        <v>TOI</v>
      </c>
      <c r="I239" s="164" t="str">
        <f>'matrik MISI 5'!O58</f>
        <v>hari</v>
      </c>
      <c r="J239" s="929">
        <f>'matrik MISI 5'!P58</f>
        <v>1.1599999999999999</v>
      </c>
      <c r="K239" s="929">
        <f>'matrik MISI 5'!Q58</f>
        <v>1</v>
      </c>
      <c r="L239" s="929">
        <f>'matrik MISI 5'!R58</f>
        <v>2</v>
      </c>
      <c r="M239" s="961"/>
      <c r="N239" s="929">
        <f>'matrik MISI 5'!S58</f>
        <v>2</v>
      </c>
      <c r="O239" s="929"/>
      <c r="P239" s="929">
        <f>'matrik MISI 5'!T58</f>
        <v>2</v>
      </c>
      <c r="Q239" s="929"/>
      <c r="R239" s="929">
        <f>'matrik MISI 5'!U58</f>
        <v>2</v>
      </c>
      <c r="S239" s="929"/>
      <c r="T239" s="929">
        <f>'matrik MISI 5'!V58</f>
        <v>2</v>
      </c>
      <c r="U239" s="929"/>
      <c r="V239" s="929">
        <f>'matrik MISI 5'!W58</f>
        <v>2</v>
      </c>
      <c r="W239" s="929"/>
      <c r="X239" s="929">
        <f>'matrik MISI 5'!X58</f>
        <v>0</v>
      </c>
      <c r="Y239" s="565" t="str">
        <f>'matrik MISI 5'!Y58</f>
        <v xml:space="preserve">TOI = (Jumlah TT x hari) - hari perawatan rumah sakit / Jumlah pasien keluar (hidup + mati)
</v>
      </c>
      <c r="Z239" s="565">
        <f>'matrik MISI 5'!Z58</f>
        <v>0</v>
      </c>
    </row>
    <row r="240" spans="2:26" ht="45">
      <c r="B240" s="940"/>
      <c r="C240" s="941"/>
      <c r="D240" s="940"/>
      <c r="E240" s="940"/>
      <c r="F240" s="940"/>
      <c r="G240" s="398"/>
      <c r="H240" s="164" t="str">
        <f>'matrik MISI 5'!N59</f>
        <v>GDR</v>
      </c>
      <c r="I240" s="164" t="str">
        <f>'matrik MISI 5'!O59</f>
        <v>‰</v>
      </c>
      <c r="J240" s="929">
        <f>'matrik MISI 5'!P59</f>
        <v>37.299999999999997</v>
      </c>
      <c r="K240" s="929">
        <f>'matrik MISI 5'!Q59</f>
        <v>37</v>
      </c>
      <c r="L240" s="929">
        <f>'matrik MISI 5'!R59</f>
        <v>37</v>
      </c>
      <c r="M240" s="961"/>
      <c r="N240" s="929">
        <f>'matrik MISI 5'!S59</f>
        <v>37</v>
      </c>
      <c r="O240" s="929"/>
      <c r="P240" s="929">
        <f>'matrik MISI 5'!T59</f>
        <v>36</v>
      </c>
      <c r="Q240" s="929"/>
      <c r="R240" s="929">
        <f>'matrik MISI 5'!U59</f>
        <v>36</v>
      </c>
      <c r="S240" s="929"/>
      <c r="T240" s="929">
        <f>'matrik MISI 5'!V59</f>
        <v>36</v>
      </c>
      <c r="U240" s="929"/>
      <c r="V240" s="929">
        <f>'matrik MISI 5'!W59</f>
        <v>36</v>
      </c>
      <c r="W240" s="929"/>
      <c r="X240" s="929">
        <f>'matrik MISI 5'!X59</f>
        <v>0</v>
      </c>
      <c r="Y240" s="565" t="str">
        <f>'matrik MISI 5'!Y59</f>
        <v xml:space="preserve">GDR = jumlah pasien mati seluruhnya / Jumlah pasien keluar (hidup+mati) x 1000  ‰
</v>
      </c>
      <c r="Z240" s="565">
        <f>'matrik MISI 5'!Z59</f>
        <v>0</v>
      </c>
    </row>
    <row r="241" spans="2:26" ht="45">
      <c r="B241" s="940"/>
      <c r="C241" s="941"/>
      <c r="D241" s="940"/>
      <c r="E241" s="940"/>
      <c r="F241" s="940"/>
      <c r="G241" s="398"/>
      <c r="H241" s="164" t="str">
        <f>'matrik MISI 5'!N60</f>
        <v>NDR</v>
      </c>
      <c r="I241" s="164" t="str">
        <f>'matrik MISI 5'!O60</f>
        <v>‰</v>
      </c>
      <c r="J241" s="929">
        <f>'matrik MISI 5'!P60</f>
        <v>19.059999999999999</v>
      </c>
      <c r="K241" s="929">
        <f>'matrik MISI 5'!Q60</f>
        <v>17</v>
      </c>
      <c r="L241" s="929">
        <f>'matrik MISI 5'!R60</f>
        <v>19</v>
      </c>
      <c r="M241" s="961"/>
      <c r="N241" s="929">
        <f>'matrik MISI 5'!S60</f>
        <v>19</v>
      </c>
      <c r="O241" s="929"/>
      <c r="P241" s="929">
        <f>'matrik MISI 5'!T60</f>
        <v>18</v>
      </c>
      <c r="Q241" s="929"/>
      <c r="R241" s="929">
        <f>'matrik MISI 5'!U60</f>
        <v>18</v>
      </c>
      <c r="S241" s="929"/>
      <c r="T241" s="929">
        <f>'matrik MISI 5'!V60</f>
        <v>18</v>
      </c>
      <c r="U241" s="929"/>
      <c r="V241" s="929">
        <f>'matrik MISI 5'!W60</f>
        <v>18</v>
      </c>
      <c r="W241" s="929"/>
      <c r="X241" s="929">
        <f>'matrik MISI 5'!X60</f>
        <v>0</v>
      </c>
      <c r="Y241" s="565" t="str">
        <f>'matrik MISI 5'!Y60</f>
        <v xml:space="preserve">NDR = Jumlah pasien mati ≥ 48 jam setelah dirawat / Jumlah pasien keluar (hidup + mati) x 1000  ‰
</v>
      </c>
      <c r="Z241" s="565">
        <f>'matrik MISI 5'!Z60</f>
        <v>0</v>
      </c>
    </row>
    <row r="242" spans="2:26">
      <c r="B242" s="940"/>
      <c r="C242" s="941"/>
      <c r="D242" s="940"/>
      <c r="E242" s="940"/>
      <c r="F242" s="940"/>
      <c r="G242" s="398"/>
      <c r="H242" s="164" t="str">
        <f>'matrik MISI 5'!N61</f>
        <v>Kinerja Pelayanan BLUD</v>
      </c>
      <c r="I242" s="164" t="str">
        <f>'matrik MISI 5'!O61</f>
        <v>Strata</v>
      </c>
      <c r="J242" s="929" t="str">
        <f>'matrik MISI 5'!P61</f>
        <v>-</v>
      </c>
      <c r="K242" s="929" t="str">
        <f>'matrik MISI 5'!Q61</f>
        <v>Sehat</v>
      </c>
      <c r="L242" s="929" t="str">
        <f>'matrik MISI 5'!R61</f>
        <v>Sehat</v>
      </c>
      <c r="M242" s="961"/>
      <c r="N242" s="929" t="str">
        <f>'matrik MISI 5'!S61</f>
        <v>Sehat</v>
      </c>
      <c r="O242" s="929"/>
      <c r="P242" s="929" t="str">
        <f>'matrik MISI 5'!T61</f>
        <v>Sehat</v>
      </c>
      <c r="Q242" s="929"/>
      <c r="R242" s="929" t="str">
        <f>'matrik MISI 5'!U61</f>
        <v>Sehat</v>
      </c>
      <c r="S242" s="929"/>
      <c r="T242" s="929" t="str">
        <f>'matrik MISI 5'!V61</f>
        <v>Sehat</v>
      </c>
      <c r="U242" s="929"/>
      <c r="V242" s="929" t="str">
        <f>'matrik MISI 5'!W61</f>
        <v>Sehat</v>
      </c>
      <c r="W242" s="929"/>
      <c r="X242" s="929">
        <f>'matrik MISI 5'!X61</f>
        <v>0</v>
      </c>
      <c r="Y242" s="565">
        <f>'matrik MISI 5'!Y61</f>
        <v>0</v>
      </c>
      <c r="Z242" s="565">
        <f>'matrik MISI 5'!Z61</f>
        <v>0</v>
      </c>
    </row>
    <row r="243" spans="2:26" ht="30">
      <c r="B243" s="940"/>
      <c r="C243" s="941"/>
      <c r="D243" s="940"/>
      <c r="E243" s="940"/>
      <c r="F243" s="940"/>
      <c r="G243" s="398"/>
      <c r="H243" s="164" t="str">
        <f>'matrik MISI 5'!N62</f>
        <v>Standarisasi Pelayanan Kesehatan RSUD</v>
      </c>
      <c r="I243" s="164" t="str">
        <f>'matrik MISI 5'!O62</f>
        <v>-</v>
      </c>
      <c r="J243" s="929" t="str">
        <f>'matrik MISI 5'!P62</f>
        <v>Lulus</v>
      </c>
      <c r="K243" s="929" t="str">
        <f>'matrik MISI 5'!Q62</f>
        <v>Lulus</v>
      </c>
      <c r="L243" s="929" t="str">
        <f>'matrik MISI 5'!R62</f>
        <v>Lulus</v>
      </c>
      <c r="M243" s="961"/>
      <c r="N243" s="929" t="str">
        <f>'matrik MISI 5'!S62</f>
        <v>Lulus</v>
      </c>
      <c r="O243" s="929"/>
      <c r="P243" s="929" t="str">
        <f>'matrik MISI 5'!T62</f>
        <v>Lulus</v>
      </c>
      <c r="Q243" s="929"/>
      <c r="R243" s="929" t="str">
        <f>'matrik MISI 5'!U62</f>
        <v>Lulus</v>
      </c>
      <c r="S243" s="929"/>
      <c r="T243" s="929" t="str">
        <f>'matrik MISI 5'!V62</f>
        <v>Lulus</v>
      </c>
      <c r="U243" s="929"/>
      <c r="V243" s="929" t="str">
        <f>'matrik MISI 5'!W62</f>
        <v>Lulus</v>
      </c>
      <c r="W243" s="929"/>
      <c r="X243" s="929" t="str">
        <f>'matrik MISI 5'!X62</f>
        <v xml:space="preserve">RSUD </v>
      </c>
      <c r="Y243" s="565" t="str">
        <f>'matrik MISI 5'!Y62</f>
        <v>Jumlah pelayanan di RSUD yang sudah terakreditasi/Jumlah pelayanan yang seharusnya diakreditasi x 100</v>
      </c>
      <c r="Z243" s="565" t="str">
        <f>'matrik MISI 5'!Z62</f>
        <v xml:space="preserve">penjelasan layanan wajib akreditasi </v>
      </c>
    </row>
    <row r="244" spans="2:26" ht="30">
      <c r="B244" s="940"/>
      <c r="C244" s="941"/>
      <c r="D244" s="940">
        <f>'matrik MISI 5'!J64</f>
        <v>1.02</v>
      </c>
      <c r="E244" s="940" t="str">
        <f>'matrik MISI 5'!K64</f>
        <v>xx</v>
      </c>
      <c r="F244" s="940">
        <f>'matrik MISI 5'!L64</f>
        <v>21</v>
      </c>
      <c r="G244" s="398" t="str">
        <f>'matrik MISI 5'!M64</f>
        <v>Pengembangan Lingkungan Sehat</v>
      </c>
      <c r="H244" s="164"/>
      <c r="I244" s="164"/>
      <c r="J244" s="929"/>
      <c r="K244" s="929"/>
      <c r="L244" s="929"/>
      <c r="M244" s="961">
        <f>'jangan di hapus 1'!K333</f>
        <v>87396000</v>
      </c>
      <c r="N244" s="961"/>
      <c r="O244" s="961">
        <f>'jangan di hapus 1'!M333</f>
        <v>115000000</v>
      </c>
      <c r="P244" s="961"/>
      <c r="Q244" s="961">
        <f>'jangan di hapus 1'!O333</f>
        <v>125000000</v>
      </c>
      <c r="R244" s="961"/>
      <c r="S244" s="961">
        <f>'jangan di hapus 1'!Q333</f>
        <v>145000000</v>
      </c>
      <c r="T244" s="961"/>
      <c r="U244" s="961">
        <f>'jangan di hapus 1'!S333</f>
        <v>155000000</v>
      </c>
      <c r="V244" s="929"/>
      <c r="W244" s="961">
        <f>SUM(M244:U244)</f>
        <v>627396000</v>
      </c>
      <c r="X244" s="929"/>
      <c r="Y244" s="565"/>
      <c r="Z244" s="565"/>
    </row>
    <row r="245" spans="2:26" ht="45">
      <c r="B245" s="940"/>
      <c r="C245" s="941"/>
      <c r="D245" s="939"/>
      <c r="E245" s="939"/>
      <c r="F245" s="939"/>
      <c r="G245" s="965"/>
      <c r="H245" s="164" t="str">
        <f>'matrik MISI 5'!N64</f>
        <v xml:space="preserve">Proporsi Rumah Tangga dengan Akses Berkelanjutan terhadap Sanitasi Dasar Perkotaan </v>
      </c>
      <c r="I245" s="164" t="str">
        <f>'matrik MISI 5'!O64</f>
        <v>%</v>
      </c>
      <c r="J245" s="929" t="str">
        <f>'matrik MISI 5'!P64</f>
        <v>tda</v>
      </c>
      <c r="K245" s="929" t="str">
        <f>'matrik MISI 5'!Q64</f>
        <v>tda</v>
      </c>
      <c r="L245" s="929">
        <f>'matrik MISI 5'!R64</f>
        <v>65</v>
      </c>
      <c r="M245" s="961"/>
      <c r="N245" s="929">
        <f>'matrik MISI 5'!S64</f>
        <v>67.5</v>
      </c>
      <c r="O245" s="929"/>
      <c r="P245" s="929">
        <f>'matrik MISI 5'!T64</f>
        <v>70</v>
      </c>
      <c r="Q245" s="929"/>
      <c r="R245" s="929">
        <f>'matrik MISI 5'!U64</f>
        <v>72.5</v>
      </c>
      <c r="S245" s="929"/>
      <c r="T245" s="929">
        <f>'matrik MISI 5'!V64</f>
        <v>75</v>
      </c>
      <c r="U245" s="929"/>
      <c r="V245" s="929">
        <f>'matrik MISI 5'!W64</f>
        <v>75</v>
      </c>
      <c r="W245" s="929"/>
      <c r="X245" s="929" t="str">
        <f>'matrik MISI 5'!X64</f>
        <v>Dinas Kesehatan</v>
      </c>
      <c r="Y245" s="565" t="str">
        <f>'matrik MISI 5'!Y64</f>
        <v>Jumlah Rumah Tangga dengan Akses Berkelanjutan terhadap Sanitasi Dasar Perkotaan / Jumlah rumah tangga yang diperiksa x 100</v>
      </c>
      <c r="Z245" s="565">
        <f>'matrik MISI 5'!Z64</f>
        <v>0</v>
      </c>
    </row>
    <row r="246" spans="2:26" ht="45">
      <c r="B246" s="940"/>
      <c r="C246" s="941"/>
      <c r="D246" s="940"/>
      <c r="E246" s="940"/>
      <c r="F246" s="940"/>
      <c r="G246" s="398"/>
      <c r="H246" s="164" t="str">
        <f>'matrik MISI 5'!N65</f>
        <v>Proporsi Rumah Tangga dengan Akses Berkelanjutan terhadap Sanitasi Dasar Pedesaan</v>
      </c>
      <c r="I246" s="164" t="str">
        <f>'matrik MISI 5'!O65</f>
        <v>%</v>
      </c>
      <c r="J246" s="929" t="str">
        <f>'matrik MISI 5'!P65</f>
        <v>tda</v>
      </c>
      <c r="K246" s="929">
        <f>'matrik MISI 5'!Q65</f>
        <v>62.5</v>
      </c>
      <c r="L246" s="929">
        <f>'matrik MISI 5'!R65</f>
        <v>65</v>
      </c>
      <c r="M246" s="961"/>
      <c r="N246" s="929">
        <f>'matrik MISI 5'!S65</f>
        <v>67.5</v>
      </c>
      <c r="O246" s="929"/>
      <c r="P246" s="929">
        <f>'matrik MISI 5'!T65</f>
        <v>70</v>
      </c>
      <c r="Q246" s="929"/>
      <c r="R246" s="929">
        <f>'matrik MISI 5'!U65</f>
        <v>72.5</v>
      </c>
      <c r="S246" s="929"/>
      <c r="T246" s="929">
        <f>'matrik MISI 5'!V65</f>
        <v>75</v>
      </c>
      <c r="U246" s="929"/>
      <c r="V246" s="929">
        <f>'matrik MISI 5'!W65</f>
        <v>75</v>
      </c>
      <c r="W246" s="929"/>
      <c r="X246" s="929" t="str">
        <f>'matrik MISI 5'!X65</f>
        <v>Dinas Kesehatan</v>
      </c>
      <c r="Y246" s="565" t="str">
        <f>'matrik MISI 5'!Y65</f>
        <v>Jumlah Rumah Tangga dengan Akses Berkelanjutan terhadap Sanitasi Dasar Pedesaan / Jumlah rumah tangga yang diperiksa x 100</v>
      </c>
      <c r="Z246" s="565">
        <f>'matrik MISI 5'!Z65</f>
        <v>0</v>
      </c>
    </row>
    <row r="247" spans="2:26" ht="30">
      <c r="B247" s="940"/>
      <c r="C247" s="941"/>
      <c r="D247" s="940"/>
      <c r="E247" s="940"/>
      <c r="F247" s="940"/>
      <c r="G247" s="398"/>
      <c r="H247" s="164" t="str">
        <f>'matrik MISI 5'!N66</f>
        <v>Cakupan Penduduk yang Memanfaatkan Jamban</v>
      </c>
      <c r="I247" s="164" t="str">
        <f>'matrik MISI 5'!O66</f>
        <v>%</v>
      </c>
      <c r="J247" s="929">
        <f>'matrik MISI 5'!P66</f>
        <v>63.2</v>
      </c>
      <c r="K247" s="929">
        <f>'matrik MISI 5'!Q66</f>
        <v>79.3</v>
      </c>
      <c r="L247" s="929">
        <f>'matrik MISI 5'!R66</f>
        <v>80</v>
      </c>
      <c r="M247" s="961"/>
      <c r="N247" s="929">
        <f>'matrik MISI 5'!S66</f>
        <v>80</v>
      </c>
      <c r="O247" s="929"/>
      <c r="P247" s="929">
        <f>'matrik MISI 5'!T66</f>
        <v>80</v>
      </c>
      <c r="Q247" s="929"/>
      <c r="R247" s="929">
        <f>'matrik MISI 5'!U66</f>
        <v>80</v>
      </c>
      <c r="S247" s="929"/>
      <c r="T247" s="929">
        <f>'matrik MISI 5'!V66</f>
        <v>80</v>
      </c>
      <c r="U247" s="929"/>
      <c r="V247" s="929">
        <f>'matrik MISI 5'!W66</f>
        <v>80</v>
      </c>
      <c r="W247" s="929"/>
      <c r="X247" s="929" t="str">
        <f>'matrik MISI 5'!X66</f>
        <v>Dinas Kesehatan</v>
      </c>
      <c r="Y247" s="565" t="str">
        <f>'matrik MISI 5'!Y66</f>
        <v>Jumlah Penduduk yang Memanfaatkan Jamban / Jumlah penduduk yang diperiksa x 100</v>
      </c>
      <c r="Z247" s="565" t="str">
        <f>'matrik MISI 5'!Z66</f>
        <v xml:space="preserve">penyebut distandarkan </v>
      </c>
    </row>
    <row r="248" spans="2:26" ht="45">
      <c r="B248" s="940"/>
      <c r="C248" s="941"/>
      <c r="D248" s="940"/>
      <c r="E248" s="940"/>
      <c r="F248" s="940"/>
      <c r="G248" s="398"/>
      <c r="H248" s="164" t="str">
        <f>'matrik MISI 5'!N67</f>
        <v>Cakupan Rumah Tangga dengan Akses Terhadap Air Bersih yang Layak di Perkotaan</v>
      </c>
      <c r="I248" s="164" t="str">
        <f>'matrik MISI 5'!O67</f>
        <v>%</v>
      </c>
      <c r="J248" s="929" t="str">
        <f>'matrik MISI 5'!P67</f>
        <v>tda</v>
      </c>
      <c r="K248" s="929">
        <f>'matrik MISI 5'!Q67</f>
        <v>62.5</v>
      </c>
      <c r="L248" s="929">
        <f>'matrik MISI 5'!R67</f>
        <v>65</v>
      </c>
      <c r="M248" s="961"/>
      <c r="N248" s="929">
        <f>'matrik MISI 5'!S67</f>
        <v>67.5</v>
      </c>
      <c r="O248" s="929"/>
      <c r="P248" s="929">
        <f>'matrik MISI 5'!T67</f>
        <v>70</v>
      </c>
      <c r="Q248" s="929"/>
      <c r="R248" s="929">
        <f>'matrik MISI 5'!U67</f>
        <v>72.5</v>
      </c>
      <c r="S248" s="929"/>
      <c r="T248" s="929">
        <f>'matrik MISI 5'!V67</f>
        <v>75</v>
      </c>
      <c r="U248" s="929"/>
      <c r="V248" s="929">
        <f>'matrik MISI 5'!W67</f>
        <v>75</v>
      </c>
      <c r="W248" s="929"/>
      <c r="X248" s="929" t="str">
        <f>'matrik MISI 5'!X67</f>
        <v>Dinas Kesehatan</v>
      </c>
      <c r="Y248" s="565" t="str">
        <f>'matrik MISI 5'!Y67</f>
        <v>Jumlah Rumah Tangga dengan Akses Terhadap Air Bersih yang Layak di Perkotaan / Jumlah rumah tangga yang diperiksa x 100</v>
      </c>
      <c r="Z248" s="565">
        <f>'matrik MISI 5'!Z67</f>
        <v>0</v>
      </c>
    </row>
    <row r="249" spans="2:26" ht="45">
      <c r="B249" s="940"/>
      <c r="C249" s="941"/>
      <c r="D249" s="940"/>
      <c r="E249" s="940"/>
      <c r="F249" s="940"/>
      <c r="G249" s="398"/>
      <c r="H249" s="164" t="str">
        <f>'matrik MISI 5'!N68</f>
        <v>Cakupan Rumah Tangga dengan Akses terhadap Air Bersih yang Layak di Pedesaan</v>
      </c>
      <c r="I249" s="164" t="str">
        <f>'matrik MISI 5'!O68</f>
        <v>%</v>
      </c>
      <c r="J249" s="929" t="str">
        <f>'matrik MISI 5'!P68</f>
        <v>tda</v>
      </c>
      <c r="K249" s="929">
        <f>'matrik MISI 5'!Q68</f>
        <v>50</v>
      </c>
      <c r="L249" s="929">
        <f>'matrik MISI 5'!R68</f>
        <v>50</v>
      </c>
      <c r="M249" s="961"/>
      <c r="N249" s="929">
        <f>'matrik MISI 5'!S68</f>
        <v>53</v>
      </c>
      <c r="O249" s="929"/>
      <c r="P249" s="929">
        <f>'matrik MISI 5'!T68</f>
        <v>55</v>
      </c>
      <c r="Q249" s="929"/>
      <c r="R249" s="929">
        <f>'matrik MISI 5'!U68</f>
        <v>58</v>
      </c>
      <c r="S249" s="929"/>
      <c r="T249" s="929">
        <f>'matrik MISI 5'!V68</f>
        <v>60</v>
      </c>
      <c r="U249" s="929"/>
      <c r="V249" s="929">
        <f>'matrik MISI 5'!W68</f>
        <v>60</v>
      </c>
      <c r="W249" s="929"/>
      <c r="X249" s="929" t="str">
        <f>'matrik MISI 5'!X68</f>
        <v>Dinas Kesehatan</v>
      </c>
      <c r="Y249" s="565" t="str">
        <f>'matrik MISI 5'!Y68</f>
        <v>Jumlah Rumah Tangga dengan Akses terhadap Air Bersih yang Layak di Pedesaan / Jumlah rumah tangga diperiksa x 100</v>
      </c>
      <c r="Z249" s="565">
        <f>'matrik MISI 5'!Z68</f>
        <v>0</v>
      </c>
    </row>
    <row r="250" spans="2:26" ht="30">
      <c r="B250" s="940"/>
      <c r="C250" s="941"/>
      <c r="D250" s="940">
        <f>'matrik MISI 5'!J69</f>
        <v>1.02</v>
      </c>
      <c r="E250" s="940" t="str">
        <f>'matrik MISI 5'!K69</f>
        <v>xx</v>
      </c>
      <c r="F250" s="940">
        <f>'matrik MISI 5'!L69</f>
        <v>16</v>
      </c>
      <c r="G250" s="398" t="str">
        <f>'matrik MISI 5'!M69</f>
        <v>Program Upaya Kesehatan Masyarakat</v>
      </c>
      <c r="H250" s="164"/>
      <c r="I250" s="164"/>
      <c r="J250" s="929"/>
      <c r="K250" s="929"/>
      <c r="L250" s="929"/>
      <c r="M250" s="961">
        <f>'jangan di hapus 1'!K297</f>
        <v>140427000</v>
      </c>
      <c r="N250" s="961"/>
      <c r="O250" s="961">
        <f>'jangan di hapus 1'!M297</f>
        <v>257000000</v>
      </c>
      <c r="P250" s="961"/>
      <c r="Q250" s="961">
        <f>'jangan di hapus 1'!O297</f>
        <v>315000000</v>
      </c>
      <c r="R250" s="961"/>
      <c r="S250" s="961">
        <f>'jangan di hapus 1'!Q297</f>
        <v>340000000</v>
      </c>
      <c r="T250" s="961"/>
      <c r="U250" s="961">
        <f>'jangan di hapus 1'!S297</f>
        <v>365000000</v>
      </c>
      <c r="V250" s="929"/>
      <c r="W250" s="961">
        <f>SUM(M250:U250)</f>
        <v>1417427000</v>
      </c>
      <c r="X250" s="929"/>
      <c r="Y250" s="565"/>
      <c r="Z250" s="565"/>
    </row>
    <row r="251" spans="2:26" ht="45">
      <c r="B251" s="940"/>
      <c r="C251" s="941"/>
      <c r="D251" s="939"/>
      <c r="E251" s="939"/>
      <c r="F251" s="939"/>
      <c r="G251" s="965"/>
      <c r="H251" s="164" t="str">
        <f>'matrik MISI 5'!N69</f>
        <v>Cakupan Penjaringan Kesehatan Siswa  Tingkat Dasar</v>
      </c>
      <c r="I251" s="164" t="str">
        <f>'matrik MISI 5'!O69</f>
        <v>%</v>
      </c>
      <c r="J251" s="929">
        <f>'matrik MISI 5'!P69</f>
        <v>99.36</v>
      </c>
      <c r="K251" s="929">
        <f>'matrik MISI 5'!Q69</f>
        <v>100</v>
      </c>
      <c r="L251" s="929">
        <f>'matrik MISI 5'!R69</f>
        <v>100</v>
      </c>
      <c r="M251" s="961"/>
      <c r="N251" s="929">
        <f>'matrik MISI 5'!S69</f>
        <v>100</v>
      </c>
      <c r="O251" s="929"/>
      <c r="P251" s="929">
        <f>'matrik MISI 5'!T69</f>
        <v>100</v>
      </c>
      <c r="Q251" s="929"/>
      <c r="R251" s="929">
        <f>'matrik MISI 5'!U69</f>
        <v>100</v>
      </c>
      <c r="S251" s="929"/>
      <c r="T251" s="929">
        <f>'matrik MISI 5'!V69</f>
        <v>100</v>
      </c>
      <c r="U251" s="929"/>
      <c r="V251" s="929">
        <f>'matrik MISI 5'!W69</f>
        <v>100</v>
      </c>
      <c r="W251" s="929"/>
      <c r="X251" s="929" t="str">
        <f>'matrik MISI 5'!X69</f>
        <v>Dinas Kesehatan</v>
      </c>
      <c r="Y251" s="565" t="str">
        <f>'matrik MISI 5'!Y69</f>
        <v>Jumlah murid  SD dan setingkat yang diperiksa kesehatannya melalui penjaringan kesehatan  oleh tenaga kesehatan atau tenaga terlatih (guru UKS/dokter kecil) / Jumlah murid SD dan setingkat x 100</v>
      </c>
      <c r="Z251" s="565">
        <f>'matrik MISI 5'!Z69</f>
        <v>0</v>
      </c>
    </row>
    <row r="252" spans="2:26" ht="60">
      <c r="B252" s="940"/>
      <c r="C252" s="941"/>
      <c r="D252" s="940">
        <f>'matrik MISI 5'!J70</f>
        <v>1.02</v>
      </c>
      <c r="E252" s="940" t="str">
        <f>'matrik MISI 5'!K70</f>
        <v>xx</v>
      </c>
      <c r="F252" s="940">
        <f>'matrik MISI 5'!L70</f>
        <v>19</v>
      </c>
      <c r="G252" s="398" t="str">
        <f>'matrik MISI 5'!M70</f>
        <v>Program Promosi Kesehatan dan Pemberdayaan masyarakat</v>
      </c>
      <c r="H252" s="164"/>
      <c r="I252" s="164"/>
      <c r="J252" s="929"/>
      <c r="K252" s="929"/>
      <c r="L252" s="929"/>
      <c r="M252" s="961">
        <f>'jangan di hapus 1'!K310</f>
        <v>87327000</v>
      </c>
      <c r="N252" s="961"/>
      <c r="O252" s="961">
        <f>'jangan di hapus 1'!M310</f>
        <v>90000000</v>
      </c>
      <c r="P252" s="961"/>
      <c r="Q252" s="961">
        <f>'jangan di hapus 1'!O310</f>
        <v>105000000</v>
      </c>
      <c r="R252" s="961"/>
      <c r="S252" s="961">
        <f>'jangan di hapus 1'!Q310</f>
        <v>115000000</v>
      </c>
      <c r="T252" s="961"/>
      <c r="U252" s="961">
        <f>'jangan di hapus 1'!S310</f>
        <v>115000000</v>
      </c>
      <c r="V252" s="929"/>
      <c r="W252" s="961">
        <f>SUM(M252:U252)</f>
        <v>512327000</v>
      </c>
      <c r="X252" s="929"/>
      <c r="Y252" s="565"/>
      <c r="Z252" s="565"/>
    </row>
    <row r="253" spans="2:26">
      <c r="B253" s="940"/>
      <c r="C253" s="941"/>
      <c r="D253" s="939"/>
      <c r="E253" s="939"/>
      <c r="F253" s="939"/>
      <c r="G253" s="965"/>
      <c r="H253" s="164" t="str">
        <f>'matrik MISI 5'!N70</f>
        <v>Cakupan Desa Siaga Aktif</v>
      </c>
      <c r="I253" s="164" t="str">
        <f>'matrik MISI 5'!O70</f>
        <v>%</v>
      </c>
      <c r="J253" s="929">
        <f>'matrik MISI 5'!P70</f>
        <v>100</v>
      </c>
      <c r="K253" s="929">
        <f>'matrik MISI 5'!Q70</f>
        <v>100</v>
      </c>
      <c r="L253" s="929">
        <f>'matrik MISI 5'!R70</f>
        <v>100</v>
      </c>
      <c r="M253" s="961"/>
      <c r="N253" s="929">
        <f>'matrik MISI 5'!S70</f>
        <v>100</v>
      </c>
      <c r="O253" s="929"/>
      <c r="P253" s="929">
        <f>'matrik MISI 5'!T70</f>
        <v>100</v>
      </c>
      <c r="Q253" s="929"/>
      <c r="R253" s="929">
        <f>'matrik MISI 5'!U70</f>
        <v>100</v>
      </c>
      <c r="S253" s="929"/>
      <c r="T253" s="929">
        <f>'matrik MISI 5'!V70</f>
        <v>100</v>
      </c>
      <c r="U253" s="929"/>
      <c r="V253" s="929">
        <f>'matrik MISI 5'!W70</f>
        <v>100</v>
      </c>
      <c r="W253" s="929"/>
      <c r="X253" s="929" t="str">
        <f>'matrik MISI 5'!X70</f>
        <v>Dinas Kesehatan</v>
      </c>
      <c r="Y253" s="565" t="str">
        <f>'matrik MISI 5'!Y70</f>
        <v>Jumlah desa siaga yang aktif / Jumlah desa x 100</v>
      </c>
      <c r="Z253" s="565">
        <f>'matrik MISI 5'!Z70</f>
        <v>0</v>
      </c>
    </row>
    <row r="254" spans="2:26" ht="45">
      <c r="B254" s="940"/>
      <c r="C254" s="941"/>
      <c r="D254" s="940"/>
      <c r="E254" s="940"/>
      <c r="F254" s="940"/>
      <c r="G254" s="398"/>
      <c r="H254" s="164" t="str">
        <f>'matrik MISI 5'!N71</f>
        <v>Cakupan Posyandu Purnama dan Mandiri</v>
      </c>
      <c r="I254" s="164" t="str">
        <f>'matrik MISI 5'!O71</f>
        <v>%</v>
      </c>
      <c r="J254" s="929">
        <f>'matrik MISI 5'!P71</f>
        <v>42.6</v>
      </c>
      <c r="K254" s="929">
        <f>'matrik MISI 5'!Q71</f>
        <v>40</v>
      </c>
      <c r="L254" s="929">
        <f>'matrik MISI 5'!R71</f>
        <v>42</v>
      </c>
      <c r="M254" s="961"/>
      <c r="N254" s="929">
        <f>'matrik MISI 5'!S71</f>
        <v>44</v>
      </c>
      <c r="O254" s="929"/>
      <c r="P254" s="929">
        <f>'matrik MISI 5'!T71</f>
        <v>46</v>
      </c>
      <c r="Q254" s="929"/>
      <c r="R254" s="929">
        <f>'matrik MISI 5'!U71</f>
        <v>48</v>
      </c>
      <c r="S254" s="929"/>
      <c r="T254" s="929">
        <f>'matrik MISI 5'!V71</f>
        <v>50</v>
      </c>
      <c r="U254" s="929"/>
      <c r="V254" s="929">
        <f>'matrik MISI 5'!W71</f>
        <v>50</v>
      </c>
      <c r="W254" s="929"/>
      <c r="X254" s="929" t="str">
        <f>'matrik MISI 5'!X71</f>
        <v>Dinas Kesehatan</v>
      </c>
      <c r="Y254" s="565" t="str">
        <f>'matrik MISI 5'!Y71</f>
        <v>Jumlah posyandu (purnama+mandiri) di suatu wilayah pada kurun waktu tertentu / Jumlah seluruh posyandu yang ada di wilayah dan kurun waktu yang sama x 100</v>
      </c>
      <c r="Z254" s="565">
        <f>'matrik MISI 5'!Z71</f>
        <v>0</v>
      </c>
    </row>
    <row r="255" spans="2:26" ht="45">
      <c r="B255" s="950"/>
      <c r="C255" s="951"/>
      <c r="D255" s="950"/>
      <c r="E255" s="950"/>
      <c r="F255" s="950"/>
      <c r="G255" s="399"/>
      <c r="H255" s="164" t="str">
        <f>'matrik MISI 5'!N72</f>
        <v>Cakupan Rumah Tangga Sehat</v>
      </c>
      <c r="I255" s="164" t="str">
        <f>'matrik MISI 5'!O72</f>
        <v>%</v>
      </c>
      <c r="J255" s="929">
        <f>'matrik MISI 5'!P72</f>
        <v>74.099999999999994</v>
      </c>
      <c r="K255" s="929">
        <f>'matrik MISI 5'!Q72</f>
        <v>74.099999999999994</v>
      </c>
      <c r="L255" s="929">
        <f>'matrik MISI 5'!R72</f>
        <v>80</v>
      </c>
      <c r="M255" s="961"/>
      <c r="N255" s="929">
        <f>'matrik MISI 5'!S72</f>
        <v>80</v>
      </c>
      <c r="O255" s="929"/>
      <c r="P255" s="929">
        <f>'matrik MISI 5'!T72</f>
        <v>80</v>
      </c>
      <c r="Q255" s="929"/>
      <c r="R255" s="929">
        <f>'matrik MISI 5'!U72</f>
        <v>80</v>
      </c>
      <c r="S255" s="929"/>
      <c r="T255" s="929">
        <f>'matrik MISI 5'!V72</f>
        <v>80</v>
      </c>
      <c r="U255" s="929"/>
      <c r="V255" s="929">
        <f>'matrik MISI 5'!W72</f>
        <v>80</v>
      </c>
      <c r="W255" s="929"/>
      <c r="X255" s="929" t="str">
        <f>'matrik MISI 5'!X72</f>
        <v>Dinas Kesehatan</v>
      </c>
      <c r="Y255" s="565" t="str">
        <f>'matrik MISI 5'!Y72</f>
        <v>Jumlah rumah tangga yang berperilaku hidup bersih dan sehat di suatu wilayah pada kurun waktu tertentu / jumah rumah tangga yang dipantau/ disurvey di wilayah dan pada kurun waktu yang sama x 100</v>
      </c>
      <c r="Z255" s="565">
        <f>'matrik MISI 5'!Z72</f>
        <v>0</v>
      </c>
    </row>
    <row r="256" spans="2:26" ht="30">
      <c r="B256" s="949">
        <v>3</v>
      </c>
      <c r="C256" s="948" t="str">
        <f>'matrik MISI 3'!B6</f>
        <v>PEKERJAAN UMUM</v>
      </c>
      <c r="D256" s="949">
        <f>'matrik MISI 3'!J7</f>
        <v>1.03</v>
      </c>
      <c r="E256" s="949" t="str">
        <f>'matrik MISI 3'!K7</f>
        <v>xx</v>
      </c>
      <c r="F256" s="949">
        <f>'matrik MISI 3'!L7</f>
        <v>15</v>
      </c>
      <c r="G256" s="949" t="str">
        <f>'matrik MISI 3'!M7</f>
        <v>Program Pembangunan Jalan dan Jembatan</v>
      </c>
      <c r="H256" s="164"/>
      <c r="I256" s="164"/>
      <c r="J256" s="929"/>
      <c r="K256" s="929"/>
      <c r="L256" s="929"/>
      <c r="M256" s="961">
        <f>'jangan dihapus 2'!K288</f>
        <v>39236019300</v>
      </c>
      <c r="N256" s="961">
        <f>'jangan dihapus 2'!L288</f>
        <v>0</v>
      </c>
      <c r="O256" s="961">
        <f>'jangan dihapus 2'!M288</f>
        <v>44618667000</v>
      </c>
      <c r="P256" s="961">
        <f>'jangan dihapus 2'!N288</f>
        <v>0</v>
      </c>
      <c r="Q256" s="961">
        <f>'jangan dihapus 2'!O288</f>
        <v>40111398105</v>
      </c>
      <c r="R256" s="961">
        <f>'jangan dihapus 2'!P288</f>
        <v>0</v>
      </c>
      <c r="S256" s="961">
        <f>'jangan dihapus 2'!Q288</f>
        <v>45633821088</v>
      </c>
      <c r="T256" s="961">
        <f>'jangan dihapus 2'!R288</f>
        <v>0</v>
      </c>
      <c r="U256" s="961">
        <f>'jangan dihapus 2'!S288</f>
        <v>52544000000</v>
      </c>
      <c r="V256" s="929"/>
      <c r="W256" s="961">
        <f>SUM(M256:U256)</f>
        <v>222143905493</v>
      </c>
      <c r="X256" s="929"/>
      <c r="Y256" s="565"/>
      <c r="Z256" s="565"/>
    </row>
    <row r="257" spans="2:29" ht="45">
      <c r="B257" s="939"/>
      <c r="C257" s="939"/>
      <c r="D257" s="939"/>
      <c r="E257" s="939"/>
      <c r="F257" s="939"/>
      <c r="G257" s="939"/>
      <c r="H257" s="164" t="str">
        <f>'matrik MISI 3'!N7</f>
        <v xml:space="preserve">Persentase Jalan yang Menjamin Pengguna Jalan Berkendara dengan Selamat </v>
      </c>
      <c r="I257" s="164" t="str">
        <f>'matrik MISI 3'!O7</f>
        <v>%</v>
      </c>
      <c r="J257" s="929">
        <f>'matrik MISI 3'!P7</f>
        <v>74.7</v>
      </c>
      <c r="K257" s="929">
        <f>'matrik MISI 3'!Q7</f>
        <v>69.7</v>
      </c>
      <c r="L257" s="929">
        <f>'matrik MISI 3'!R7</f>
        <v>70</v>
      </c>
      <c r="M257" s="961"/>
      <c r="N257" s="929">
        <f>'matrik MISI 3'!S7</f>
        <v>73</v>
      </c>
      <c r="O257" s="929"/>
      <c r="P257" s="929">
        <f>'matrik MISI 3'!T7</f>
        <v>76</v>
      </c>
      <c r="Q257" s="929"/>
      <c r="R257" s="929">
        <f>'matrik MISI 3'!U7</f>
        <v>79</v>
      </c>
      <c r="S257" s="929"/>
      <c r="T257" s="929">
        <f>'matrik MISI 3'!V7</f>
        <v>82</v>
      </c>
      <c r="U257" s="929"/>
      <c r="V257" s="929">
        <f>'matrik MISI 3'!W7</f>
        <v>82</v>
      </c>
      <c r="W257" s="929"/>
      <c r="X257" s="929" t="str">
        <f>'matrik MISI 3'!X7</f>
        <v>DPU dan DISHUBKOMINFO</v>
      </c>
      <c r="Y257" s="565" t="str">
        <f>'matrik MISI 3'!Y7</f>
        <v>jumlah panjang jalan kabupaten dalam kondisi baik dan memenuhi standart rambu lalu lintas /panjang jalan kabupaten</v>
      </c>
      <c r="Z257" s="565">
        <f>'matrik MISI 3'!Z7</f>
        <v>0</v>
      </c>
    </row>
    <row r="258" spans="2:29" ht="45">
      <c r="B258" s="940"/>
      <c r="C258" s="941"/>
      <c r="D258" s="940"/>
      <c r="E258" s="940"/>
      <c r="F258" s="940"/>
      <c r="G258" s="940"/>
      <c r="H258" s="164" t="str">
        <f>'matrik MISI 3'!N8</f>
        <v>Persentase Jalan yang Menjamin Kendaraan dapat Berjalan dengan Selamat dan Nyaman</v>
      </c>
      <c r="I258" s="164" t="str">
        <f>'matrik MISI 3'!O8</f>
        <v>%</v>
      </c>
      <c r="J258" s="929">
        <f>'matrik MISI 3'!P8</f>
        <v>74.7</v>
      </c>
      <c r="K258" s="929">
        <f>'matrik MISI 3'!Q8</f>
        <v>69.7</v>
      </c>
      <c r="L258" s="929">
        <f>'matrik MISI 3'!R8</f>
        <v>70</v>
      </c>
      <c r="M258" s="961"/>
      <c r="N258" s="929">
        <f>'matrik MISI 3'!S8</f>
        <v>73</v>
      </c>
      <c r="O258" s="929"/>
      <c r="P258" s="929">
        <f>'matrik MISI 3'!T8</f>
        <v>76</v>
      </c>
      <c r="Q258" s="929"/>
      <c r="R258" s="929">
        <f>'matrik MISI 3'!U8</f>
        <v>79</v>
      </c>
      <c r="S258" s="929"/>
      <c r="T258" s="929">
        <f>'matrik MISI 3'!V8</f>
        <v>82</v>
      </c>
      <c r="U258" s="929"/>
      <c r="V258" s="929">
        <f>'matrik MISI 3'!W8</f>
        <v>82</v>
      </c>
      <c r="W258" s="929"/>
      <c r="X258" s="929" t="str">
        <f>'matrik MISI 3'!X8</f>
        <v>DPU dan DISHUBKOMINFO</v>
      </c>
      <c r="Y258" s="565" t="str">
        <f>'matrik MISI 3'!Y8</f>
        <v>jumlah panjang jalan kabupaten dalam kondisi baik dan memenuhi standart rambu lalu lintas /panjang jalan kabupaten</v>
      </c>
      <c r="Z258" s="565">
        <f>'matrik MISI 3'!Z8</f>
        <v>0</v>
      </c>
    </row>
    <row r="259" spans="2:29" ht="60">
      <c r="B259" s="940"/>
      <c r="C259" s="941"/>
      <c r="D259" s="940"/>
      <c r="E259" s="940"/>
      <c r="F259" s="940"/>
      <c r="G259" s="940"/>
      <c r="H259" s="164" t="str">
        <f>'matrik MISI 3'!N9</f>
        <v>Persentase Jalan yang Menjamin Perjalanan dapat dilakukan Sesuai dengan Kecepatan Rencana</v>
      </c>
      <c r="I259" s="164" t="str">
        <f>'matrik MISI 3'!O9</f>
        <v>%</v>
      </c>
      <c r="J259" s="929">
        <f>'matrik MISI 3'!P9</f>
        <v>74.7</v>
      </c>
      <c r="K259" s="929">
        <f>'matrik MISI 3'!Q9</f>
        <v>69.7</v>
      </c>
      <c r="L259" s="929">
        <f>'matrik MISI 3'!R9</f>
        <v>70</v>
      </c>
      <c r="M259" s="961"/>
      <c r="N259" s="929">
        <f>'matrik MISI 3'!S9</f>
        <v>73</v>
      </c>
      <c r="O259" s="929"/>
      <c r="P259" s="929">
        <f>'matrik MISI 3'!T9</f>
        <v>76</v>
      </c>
      <c r="Q259" s="929"/>
      <c r="R259" s="929">
        <f>'matrik MISI 3'!U9</f>
        <v>79</v>
      </c>
      <c r="S259" s="929"/>
      <c r="T259" s="929">
        <f>'matrik MISI 3'!V9</f>
        <v>82</v>
      </c>
      <c r="U259" s="929"/>
      <c r="V259" s="929">
        <f>'matrik MISI 3'!W9</f>
        <v>82</v>
      </c>
      <c r="W259" s="929"/>
      <c r="X259" s="929" t="str">
        <f>'matrik MISI 3'!X9</f>
        <v>DPU dan DISHUBKOMINFO</v>
      </c>
      <c r="Y259" s="565" t="str">
        <f>'matrik MISI 3'!Y9</f>
        <v>jumlah panjang jalan kabupaten dalam kondisi baik dan memenuhi standart rambu lalu lintas /panjang jalan kabupaten</v>
      </c>
      <c r="Z259" s="565">
        <f>'matrik MISI 3'!Z9</f>
        <v>0</v>
      </c>
    </row>
    <row r="260" spans="2:29" ht="45">
      <c r="B260" s="940"/>
      <c r="C260" s="941"/>
      <c r="D260" s="940"/>
      <c r="E260" s="940"/>
      <c r="F260" s="940"/>
      <c r="G260" s="940"/>
      <c r="H260" s="164" t="str">
        <f>'matrik MISI 3'!N12</f>
        <v>Tersedianya lahan untuk persiapan pembangunan jalan lingkar Kota Parakan</v>
      </c>
      <c r="I260" s="164" t="str">
        <f>'matrik MISI 3'!O12</f>
        <v>Hektar (Ha)</v>
      </c>
      <c r="J260" s="929" t="str">
        <f>'matrik MISI 3'!P12</f>
        <v xml:space="preserve"> -</v>
      </c>
      <c r="K260" s="929" t="str">
        <f>'matrik MISI 3'!Q12</f>
        <v xml:space="preserve"> -</v>
      </c>
      <c r="L260" s="929" t="str">
        <f>'matrik MISI 3'!R12</f>
        <v xml:space="preserve"> -</v>
      </c>
      <c r="M260" s="961"/>
      <c r="N260" s="929">
        <f>'matrik MISI 3'!S12</f>
        <v>2</v>
      </c>
      <c r="O260" s="929"/>
      <c r="P260" s="929">
        <f>'matrik MISI 3'!T12</f>
        <v>6</v>
      </c>
      <c r="Q260" s="929"/>
      <c r="R260" s="929">
        <f>'matrik MISI 3'!U12</f>
        <v>11</v>
      </c>
      <c r="S260" s="929"/>
      <c r="T260" s="929">
        <f>'matrik MISI 3'!V12</f>
        <v>19</v>
      </c>
      <c r="U260" s="929"/>
      <c r="V260" s="929">
        <f>'matrik MISI 3'!W12</f>
        <v>19</v>
      </c>
      <c r="W260" s="929"/>
      <c r="X260" s="929" t="str">
        <f>'matrik MISI 3'!X12</f>
        <v>DPU/ Bagian Pemerintahan Umum</v>
      </c>
      <c r="Y260" s="565" t="str">
        <f>'matrik MISI 3'!Y12</f>
        <v>panjang x lebar jalan yang direncanakan (10Km x 19m)</v>
      </c>
      <c r="Z260" s="565">
        <f>'matrik MISI 3'!Z12</f>
        <v>0</v>
      </c>
    </row>
    <row r="261" spans="2:29" ht="45">
      <c r="B261" s="940"/>
      <c r="C261" s="941"/>
      <c r="D261" s="940">
        <f>'matrik MISI 3'!J10</f>
        <v>1.03</v>
      </c>
      <c r="E261" s="940" t="str">
        <f>'matrik MISI 3'!K10</f>
        <v>xx</v>
      </c>
      <c r="F261" s="940">
        <f>'matrik MISI 3'!L10</f>
        <v>18</v>
      </c>
      <c r="G261" s="940" t="str">
        <f>'matrik MISI 3'!M10</f>
        <v>Program rehabilitasi/ pemeliharaan Jalan dan Jembatan</v>
      </c>
      <c r="H261" s="164"/>
      <c r="I261" s="164"/>
      <c r="J261" s="929"/>
      <c r="K261" s="929"/>
      <c r="L261" s="929"/>
      <c r="M261" s="961">
        <f>'jangan dihapus 2'!K302</f>
        <v>2746202500</v>
      </c>
      <c r="N261" s="961">
        <f>'jangan dihapus 2'!L302</f>
        <v>0</v>
      </c>
      <c r="O261" s="961">
        <f>'jangan dihapus 2'!M302</f>
        <v>4457818954</v>
      </c>
      <c r="P261" s="961">
        <f>'jangan dihapus 2'!N302</f>
        <v>0</v>
      </c>
      <c r="Q261" s="961">
        <f>'jangan dihapus 2'!O302</f>
        <v>4525030000</v>
      </c>
      <c r="R261" s="961">
        <f>'jangan dihapus 2'!P302</f>
        <v>0</v>
      </c>
      <c r="S261" s="961">
        <f>'jangan dihapus 2'!Q302</f>
        <v>4583201000</v>
      </c>
      <c r="T261" s="961">
        <f>'jangan dihapus 2'!R302</f>
        <v>0</v>
      </c>
      <c r="U261" s="961">
        <f>'jangan dihapus 2'!S302</f>
        <v>4837291200</v>
      </c>
      <c r="V261" s="929"/>
      <c r="W261" s="961">
        <f>SUM(M261:U261)</f>
        <v>21149543654</v>
      </c>
      <c r="X261" s="929"/>
      <c r="Y261" s="565"/>
      <c r="Z261" s="565"/>
      <c r="AC261" s="605">
        <f>500000000+O261</f>
        <v>4957818954</v>
      </c>
    </row>
    <row r="262" spans="2:29" ht="30">
      <c r="B262" s="940"/>
      <c r="C262" s="941"/>
      <c r="D262" s="939"/>
      <c r="E262" s="939"/>
      <c r="F262" s="939"/>
      <c r="G262" s="939"/>
      <c r="H262" s="164" t="str">
        <f>'matrik MISI 3'!N10</f>
        <v>Persentase Jalan yang Kondisi Baik</v>
      </c>
      <c r="I262" s="164" t="str">
        <f>'matrik MISI 3'!O10</f>
        <v>%</v>
      </c>
      <c r="J262" s="929">
        <f>'matrik MISI 3'!P10</f>
        <v>65</v>
      </c>
      <c r="K262" s="929">
        <f>'matrik MISI 3'!Q10</f>
        <v>68</v>
      </c>
      <c r="L262" s="929">
        <f>'matrik MISI 3'!R10</f>
        <v>70</v>
      </c>
      <c r="M262" s="961"/>
      <c r="N262" s="929">
        <f>'matrik MISI 3'!S10</f>
        <v>73</v>
      </c>
      <c r="O262" s="929"/>
      <c r="P262" s="929">
        <f>'matrik MISI 3'!T10</f>
        <v>76</v>
      </c>
      <c r="Q262" s="929"/>
      <c r="R262" s="929">
        <f>'matrik MISI 3'!U10</f>
        <v>79</v>
      </c>
      <c r="S262" s="929"/>
      <c r="T262" s="929">
        <f>'matrik MISI 3'!V10</f>
        <v>82</v>
      </c>
      <c r="U262" s="929"/>
      <c r="V262" s="929">
        <f>'matrik MISI 3'!W10</f>
        <v>82</v>
      </c>
      <c r="W262" s="929"/>
      <c r="X262" s="929" t="str">
        <f>'matrik MISI 3'!X10</f>
        <v>DPU</v>
      </c>
      <c r="Y262" s="565" t="str">
        <f>'matrik MISI 3'!Y10</f>
        <v>jumlah jalan kabupaten kondisi baik dan sedang/ jumlah jalan kabupaten yang ada x 100 %</v>
      </c>
      <c r="Z262" s="565">
        <f>'matrik MISI 3'!Z10</f>
        <v>0</v>
      </c>
      <c r="AC262" s="605">
        <f>500000000+Q261</f>
        <v>5025030000</v>
      </c>
    </row>
    <row r="263" spans="2:29" ht="30">
      <c r="B263" s="940"/>
      <c r="C263" s="941"/>
      <c r="D263" s="940"/>
      <c r="E263" s="940"/>
      <c r="F263" s="940"/>
      <c r="G263" s="940"/>
      <c r="H263" s="164" t="str">
        <f>'matrik MISI 3'!N11</f>
        <v>Persentase Jembatan yang Kondisi Baik</v>
      </c>
      <c r="I263" s="164" t="str">
        <f>'matrik MISI 3'!O11</f>
        <v>%</v>
      </c>
      <c r="J263" s="929">
        <f>'matrik MISI 3'!P11</f>
        <v>70</v>
      </c>
      <c r="K263" s="929">
        <f>'matrik MISI 3'!Q11</f>
        <v>71</v>
      </c>
      <c r="L263" s="929">
        <f>'matrik MISI 3'!R11</f>
        <v>76</v>
      </c>
      <c r="M263" s="961"/>
      <c r="N263" s="929">
        <f>'matrik MISI 3'!S11</f>
        <v>81</v>
      </c>
      <c r="O263" s="929"/>
      <c r="P263" s="929">
        <f>'matrik MISI 3'!T11</f>
        <v>84</v>
      </c>
      <c r="Q263" s="929"/>
      <c r="R263" s="929">
        <f>'matrik MISI 3'!U11</f>
        <v>87</v>
      </c>
      <c r="S263" s="929"/>
      <c r="T263" s="929">
        <f>'matrik MISI 3'!V11</f>
        <v>90</v>
      </c>
      <c r="U263" s="929"/>
      <c r="V263" s="929">
        <f>'matrik MISI 3'!W11</f>
        <v>90</v>
      </c>
      <c r="W263" s="929"/>
      <c r="X263" s="929" t="str">
        <f>'matrik MISI 3'!X11</f>
        <v>DPU</v>
      </c>
      <c r="Y263" s="565" t="str">
        <f>'matrik MISI 3'!Y11</f>
        <v>jumlah jalan kondisi baik dan sedang/ jumlah jalan yang ada x 100 %</v>
      </c>
      <c r="Z263" s="565">
        <f>'matrik MISI 3'!Z11</f>
        <v>0</v>
      </c>
    </row>
    <row r="264" spans="2:29" ht="44.25" customHeight="1">
      <c r="B264" s="940"/>
      <c r="C264" s="941"/>
      <c r="D264" s="940" t="str">
        <f>'matrik MISI 3'!J13</f>
        <v>1.03</v>
      </c>
      <c r="E264" s="940" t="str">
        <f>'matrik MISI 3'!K13</f>
        <v>xx</v>
      </c>
      <c r="F264" s="940">
        <f>'matrik MISI 3'!L13</f>
        <v>23</v>
      </c>
      <c r="G264" s="940" t="str">
        <f>'matrik MISI 3'!M13</f>
        <v xml:space="preserve">Program peningkatan sarana dan prasarana kebinamargaan </v>
      </c>
      <c r="H264" s="164"/>
      <c r="I264" s="164"/>
      <c r="J264" s="929"/>
      <c r="K264" s="929"/>
      <c r="L264" s="929"/>
      <c r="M264" s="961">
        <f>'jangan dihapus 2'!K299</f>
        <v>1330500000</v>
      </c>
      <c r="N264" s="961">
        <f>'jangan dihapus 2'!L299</f>
        <v>0</v>
      </c>
      <c r="O264" s="961">
        <f>'jangan dihapus 2'!M299</f>
        <v>1409029000</v>
      </c>
      <c r="P264" s="961">
        <f>'jangan dihapus 2'!N299</f>
        <v>0</v>
      </c>
      <c r="Q264" s="961">
        <f>'jangan dihapus 2'!O299</f>
        <v>1979986800</v>
      </c>
      <c r="R264" s="961">
        <f>'jangan dihapus 2'!P299</f>
        <v>0</v>
      </c>
      <c r="S264" s="961">
        <f>'jangan dihapus 2'!Q299</f>
        <v>2575984160</v>
      </c>
      <c r="T264" s="961">
        <f>'jangan dihapus 2'!R299</f>
        <v>0</v>
      </c>
      <c r="U264" s="961">
        <f>'jangan dihapus 2'!S299</f>
        <v>2691180992</v>
      </c>
      <c r="V264" s="929"/>
      <c r="W264" s="961">
        <f>SUM(M264:U264)</f>
        <v>9986680952</v>
      </c>
      <c r="X264" s="929"/>
      <c r="Y264" s="565"/>
      <c r="Z264" s="565"/>
    </row>
    <row r="265" spans="2:29" ht="49.5" customHeight="1">
      <c r="B265" s="940"/>
      <c r="C265" s="941"/>
      <c r="D265" s="939"/>
      <c r="E265" s="939"/>
      <c r="F265" s="939"/>
      <c r="G265" s="939"/>
      <c r="H265" s="164" t="str">
        <f>'matrik MISI 3'!N13</f>
        <v>Persentase Tersedianya Alat Berat dengan Kondisi Baik</v>
      </c>
      <c r="I265" s="164" t="str">
        <f>'matrik MISI 3'!O13</f>
        <v>%</v>
      </c>
      <c r="J265" s="929">
        <f>'matrik MISI 3'!P13</f>
        <v>67</v>
      </c>
      <c r="K265" s="929">
        <f>'matrik MISI 3'!Q13</f>
        <v>67</v>
      </c>
      <c r="L265" s="929">
        <f>'matrik MISI 3'!R13</f>
        <v>70</v>
      </c>
      <c r="M265" s="961"/>
      <c r="N265" s="929">
        <f>'matrik MISI 3'!S13</f>
        <v>76</v>
      </c>
      <c r="O265" s="929"/>
      <c r="P265" s="929">
        <f>'matrik MISI 3'!T13</f>
        <v>80</v>
      </c>
      <c r="Q265" s="929"/>
      <c r="R265" s="929">
        <f>'matrik MISI 3'!U13</f>
        <v>80</v>
      </c>
      <c r="S265" s="929"/>
      <c r="T265" s="929">
        <f>'matrik MISI 3'!V13</f>
        <v>85</v>
      </c>
      <c r="U265" s="929"/>
      <c r="V265" s="929">
        <f>'matrik MISI 3'!W13</f>
        <v>85</v>
      </c>
      <c r="W265" s="929"/>
      <c r="X265" s="929" t="str">
        <f>'matrik MISI 3'!X13</f>
        <v>DPU</v>
      </c>
      <c r="Y265" s="565" t="str">
        <f>'matrik MISI 3'!Y13</f>
        <v>Jumlah alat berat dalam kondisi baik dibagi jumlah alat berat yang ada x 100</v>
      </c>
      <c r="Z265" s="565">
        <f>'matrik MISI 3'!Z13</f>
        <v>0</v>
      </c>
    </row>
    <row r="266" spans="2:29" ht="49.5" customHeight="1">
      <c r="B266" s="940"/>
      <c r="C266" s="941"/>
      <c r="D266" s="940" t="str">
        <f>'matrik MISI 3'!J14</f>
        <v>1.03</v>
      </c>
      <c r="E266" s="940" t="str">
        <f>'matrik MISI 3'!K14</f>
        <v>xx</v>
      </c>
      <c r="F266" s="940">
        <f>'matrik MISI 3'!L14</f>
        <v>24</v>
      </c>
      <c r="G266" s="940" t="str">
        <f>'matrik MISI 3'!M14</f>
        <v xml:space="preserve">Program pengembangan dan pengelolaan jaringan irigasi, rawa dan jaringan pengairan lainnya </v>
      </c>
      <c r="H266" s="164"/>
      <c r="I266" s="164"/>
      <c r="J266" s="929"/>
      <c r="K266" s="929"/>
      <c r="L266" s="929"/>
      <c r="M266" s="961">
        <f>'jangan dihapus 2'!K312</f>
        <v>6989047900</v>
      </c>
      <c r="N266" s="961">
        <f>'jangan dihapus 2'!L312</f>
        <v>0</v>
      </c>
      <c r="O266" s="961">
        <f>'jangan dihapus 2'!M312</f>
        <v>10609452201</v>
      </c>
      <c r="P266" s="961">
        <f>'jangan dihapus 2'!N312</f>
        <v>0</v>
      </c>
      <c r="Q266" s="961">
        <f>'jangan dihapus 2'!O312</f>
        <v>12566011900</v>
      </c>
      <c r="R266" s="961">
        <f>'jangan dihapus 2'!P312</f>
        <v>0</v>
      </c>
      <c r="S266" s="961">
        <f>'jangan dihapus 2'!Q312</f>
        <v>15281976260</v>
      </c>
      <c r="T266" s="961">
        <f>'jangan dihapus 2'!R312</f>
        <v>0</v>
      </c>
      <c r="U266" s="961">
        <f>'jangan dihapus 2'!S312</f>
        <v>16785519701</v>
      </c>
      <c r="V266" s="929"/>
      <c r="W266" s="961">
        <f>SUM(M266:U266)</f>
        <v>62232007962</v>
      </c>
      <c r="X266" s="929"/>
      <c r="Y266" s="565"/>
      <c r="Z266" s="565"/>
    </row>
    <row r="267" spans="2:29" ht="30">
      <c r="B267" s="940"/>
      <c r="C267" s="941"/>
      <c r="D267" s="939"/>
      <c r="E267" s="939"/>
      <c r="F267" s="939"/>
      <c r="G267" s="939"/>
      <c r="H267" s="164" t="str">
        <f>'matrik MISI 3'!N14</f>
        <v>Tersedianya air irigasi pada sistim irigasi yang sudah ada</v>
      </c>
      <c r="I267" s="164" t="str">
        <f>'matrik MISI 3'!O14</f>
        <v>%</v>
      </c>
      <c r="J267" s="929">
        <f>'matrik MISI 3'!P14</f>
        <v>68</v>
      </c>
      <c r="K267" s="929">
        <f>'matrik MISI 3'!Q14</f>
        <v>68</v>
      </c>
      <c r="L267" s="929">
        <f>'matrik MISI 3'!R14</f>
        <v>70</v>
      </c>
      <c r="M267" s="961"/>
      <c r="N267" s="929">
        <f>'matrik MISI 3'!S14</f>
        <v>72</v>
      </c>
      <c r="O267" s="929"/>
      <c r="P267" s="929">
        <f>'matrik MISI 3'!T14</f>
        <v>75</v>
      </c>
      <c r="Q267" s="929"/>
      <c r="R267" s="929">
        <f>'matrik MISI 3'!U14</f>
        <v>78</v>
      </c>
      <c r="S267" s="929"/>
      <c r="T267" s="929">
        <f>'matrik MISI 3'!V14</f>
        <v>80</v>
      </c>
      <c r="U267" s="929"/>
      <c r="V267" s="929">
        <f>'matrik MISI 3'!W14</f>
        <v>82</v>
      </c>
      <c r="W267" s="929"/>
      <c r="X267" s="929" t="str">
        <f>'matrik MISI 3'!X14</f>
        <v>DPU</v>
      </c>
      <c r="Y267" s="565" t="str">
        <f>'matrik MISI 3'!Y14</f>
        <v>jumlah jaringan irigasi yang kondisi baik dan sedang/ jumlah keseluruhan jaringan irigasi x 100 %</v>
      </c>
      <c r="Z267" s="565">
        <f>'matrik MISI 3'!Z14</f>
        <v>0</v>
      </c>
    </row>
    <row r="268" spans="2:29" ht="30">
      <c r="B268" s="940"/>
      <c r="C268" s="941"/>
      <c r="D268" s="940"/>
      <c r="E268" s="940"/>
      <c r="F268" s="940"/>
      <c r="G268" s="940"/>
      <c r="H268" s="164" t="str">
        <f>'matrik MISI 3'!N15</f>
        <v>Persentase Pembangunan Jaringan Irigasi Partisipatif</v>
      </c>
      <c r="I268" s="164" t="str">
        <f>'matrik MISI 3'!O15</f>
        <v>%</v>
      </c>
      <c r="J268" s="929">
        <f>'matrik MISI 3'!P15</f>
        <v>3.4920634920634921</v>
      </c>
      <c r="K268" s="929">
        <f>'matrik MISI 3'!Q15</f>
        <v>4.6031746031746037</v>
      </c>
      <c r="L268" s="929">
        <f>'matrik MISI 3'!R15</f>
        <v>4.9206349206349209</v>
      </c>
      <c r="M268" s="961"/>
      <c r="N268" s="929">
        <f>'matrik MISI 3'!S15</f>
        <v>5.2380952380952381</v>
      </c>
      <c r="O268" s="929"/>
      <c r="P268" s="929">
        <f>'matrik MISI 3'!T15</f>
        <v>5.5555555555555554</v>
      </c>
      <c r="Q268" s="929"/>
      <c r="R268" s="929">
        <f>'matrik MISI 3'!U15</f>
        <v>5.8730158730158726</v>
      </c>
      <c r="S268" s="929"/>
      <c r="T268" s="929">
        <f>'matrik MISI 3'!V15</f>
        <v>6.1904761904761907</v>
      </c>
      <c r="U268" s="929"/>
      <c r="V268" s="929">
        <f>'matrik MISI 3'!W15</f>
        <v>6.1904761904761907</v>
      </c>
      <c r="W268" s="929"/>
      <c r="X268" s="929" t="str">
        <f>'matrik MISI 3'!X15</f>
        <v>DPU</v>
      </c>
      <c r="Y268" s="565" t="str">
        <f>'matrik MISI 3'!Y15</f>
        <v>Jumlah pembangunan Jaringan Irigasi Partisipatif pada skala DI / Jumlah DI yang ada x 100%</v>
      </c>
      <c r="Z268" s="565">
        <f>'matrik MISI 3'!Z15</f>
        <v>0</v>
      </c>
    </row>
    <row r="269" spans="2:29" ht="45">
      <c r="B269" s="940"/>
      <c r="C269" s="941"/>
      <c r="D269" s="940">
        <f>'matrik MISI 3'!J16</f>
        <v>1.03</v>
      </c>
      <c r="E269" s="940" t="str">
        <f>'matrik MISI 3'!K16</f>
        <v>xx</v>
      </c>
      <c r="F269" s="940">
        <f>'matrik MISI 3'!L16</f>
        <v>16</v>
      </c>
      <c r="G269" s="940" t="str">
        <f>'matrik MISI 3'!M16</f>
        <v>Program Pembangunan saluran drainase/gorong-gorong</v>
      </c>
      <c r="H269" s="164"/>
      <c r="I269" s="164"/>
      <c r="J269" s="929"/>
      <c r="K269" s="929"/>
      <c r="L269" s="929"/>
      <c r="M269" s="961">
        <f>'jangan dihapus 2'!K296</f>
        <v>700000000</v>
      </c>
      <c r="N269" s="961">
        <f>'jangan dihapus 2'!L296</f>
        <v>0</v>
      </c>
      <c r="O269" s="961">
        <f>'jangan dihapus 2'!M296</f>
        <v>1297662500</v>
      </c>
      <c r="P269" s="961">
        <f>'jangan dihapus 2'!N296</f>
        <v>0</v>
      </c>
      <c r="Q269" s="961">
        <f>'jangan dihapus 2'!O296</f>
        <v>3110000000</v>
      </c>
      <c r="R269" s="961">
        <f>'jangan dihapus 2'!P296</f>
        <v>0</v>
      </c>
      <c r="S269" s="961">
        <f>'jangan dihapus 2'!Q296</f>
        <v>2570000000</v>
      </c>
      <c r="T269" s="961">
        <f>'jangan dihapus 2'!R296</f>
        <v>0</v>
      </c>
      <c r="U269" s="961">
        <f>'jangan dihapus 2'!S296</f>
        <v>2642000000</v>
      </c>
      <c r="V269" s="929"/>
      <c r="W269" s="961">
        <f>SUM(M269:U269)</f>
        <v>10319662500</v>
      </c>
      <c r="X269" s="929"/>
      <c r="Y269" s="565"/>
      <c r="Z269" s="565"/>
    </row>
    <row r="270" spans="2:29" ht="45">
      <c r="B270" s="940"/>
      <c r="C270" s="941"/>
      <c r="D270" s="939"/>
      <c r="E270" s="939"/>
      <c r="F270" s="939"/>
      <c r="G270" s="939"/>
      <c r="H270" s="164" t="str">
        <f>'matrik MISI 3'!N16</f>
        <v>Tersedianya sistem jaringan drainase skala kawasan/kota sehingga tidak terjadi genangan</v>
      </c>
      <c r="I270" s="164" t="str">
        <f>'matrik MISI 3'!O16</f>
        <v>%</v>
      </c>
      <c r="J270" s="929">
        <f>'matrik MISI 3'!P16</f>
        <v>30.54</v>
      </c>
      <c r="K270" s="929">
        <f>'matrik MISI 3'!Q16</f>
        <v>30.71</v>
      </c>
      <c r="L270" s="929">
        <f>'matrik MISI 3'!R16</f>
        <v>30.9</v>
      </c>
      <c r="M270" s="961"/>
      <c r="N270" s="929">
        <f>'matrik MISI 3'!S16</f>
        <v>40.1</v>
      </c>
      <c r="O270" s="929"/>
      <c r="P270" s="929">
        <f>'matrik MISI 3'!T16</f>
        <v>40.299999999999997</v>
      </c>
      <c r="Q270" s="929"/>
      <c r="R270" s="929">
        <f>'matrik MISI 3'!U16</f>
        <v>40.5</v>
      </c>
      <c r="S270" s="929"/>
      <c r="T270" s="929">
        <f>'matrik MISI 3'!V16</f>
        <v>40.700000000000003</v>
      </c>
      <c r="U270" s="929"/>
      <c r="V270" s="929">
        <f>'matrik MISI 3'!W16</f>
        <v>40.700000000000003</v>
      </c>
      <c r="W270" s="929"/>
      <c r="X270" s="929" t="str">
        <f>'matrik MISI 3'!X16</f>
        <v>DPU</v>
      </c>
      <c r="Y270" s="565" t="str">
        <f>'matrik MISI 3'!Y16</f>
        <v xml:space="preserve">Data Panjang Jaringan drainase pada skala kawasan/kota yang ada / data panjang jalan kabupaten skala kawasan/kota </v>
      </c>
      <c r="Z270" s="565">
        <f>'matrik MISI 3'!Z16</f>
        <v>0</v>
      </c>
    </row>
    <row r="271" spans="2:29" ht="45">
      <c r="B271" s="940"/>
      <c r="C271" s="941"/>
      <c r="D271" s="940" t="str">
        <f>'matrik MISI 3'!J17</f>
        <v>1.20</v>
      </c>
      <c r="E271" s="940" t="str">
        <f>'matrik MISI 3'!K17</f>
        <v>xx</v>
      </c>
      <c r="F271" s="940">
        <f>'matrik MISI 3'!L17</f>
        <v>0</v>
      </c>
      <c r="G271" s="940" t="str">
        <f>'matrik MISI 3'!M17</f>
        <v>Program Peningkatan Sarana dan Prasarana Aparatur</v>
      </c>
      <c r="H271" s="164"/>
      <c r="I271" s="164"/>
      <c r="J271" s="929"/>
      <c r="K271" s="929"/>
      <c r="L271" s="929"/>
      <c r="M271" s="961">
        <f>'jangan dihapus 2'!K328</f>
        <v>5126836400</v>
      </c>
      <c r="N271" s="961">
        <f>'jangan dihapus 2'!L328</f>
        <v>0</v>
      </c>
      <c r="O271" s="961">
        <f>'jangan dihapus 2'!M328</f>
        <v>5457723500</v>
      </c>
      <c r="P271" s="961">
        <f>'jangan dihapus 2'!N328</f>
        <v>0</v>
      </c>
      <c r="Q271" s="961">
        <f>'jangan dihapus 2'!O328</f>
        <v>3440855000</v>
      </c>
      <c r="R271" s="961">
        <f>'jangan dihapus 2'!P328</f>
        <v>0</v>
      </c>
      <c r="S271" s="961">
        <f>'jangan dihapus 2'!Q328</f>
        <v>5698526000</v>
      </c>
      <c r="T271" s="961">
        <f>'jangan dihapus 2'!R328</f>
        <v>0</v>
      </c>
      <c r="U271" s="961">
        <f>'jangan dihapus 2'!S328</f>
        <v>6177731200</v>
      </c>
      <c r="V271" s="929"/>
      <c r="W271" s="961">
        <f>SUM(M271:U271)</f>
        <v>25901672100</v>
      </c>
      <c r="X271" s="929"/>
      <c r="Y271" s="565"/>
      <c r="Z271" s="565"/>
    </row>
    <row r="272" spans="2:29" ht="30">
      <c r="B272" s="950"/>
      <c r="C272" s="951"/>
      <c r="D272" s="942"/>
      <c r="E272" s="942"/>
      <c r="F272" s="942"/>
      <c r="G272" s="942"/>
      <c r="H272" s="164" t="str">
        <f>'matrik MISI 3'!N17</f>
        <v>Tersedianya bangunan gedung kantor kecamatan yang memadai</v>
      </c>
      <c r="I272" s="164" t="str">
        <f>'matrik MISI 3'!O17</f>
        <v>Unit</v>
      </c>
      <c r="J272" s="929">
        <f>'matrik MISI 3'!P17</f>
        <v>2</v>
      </c>
      <c r="K272" s="929" t="str">
        <f>'matrik MISI 3'!Q17</f>
        <v>-</v>
      </c>
      <c r="L272" s="929">
        <f>'matrik MISI 3'!R17</f>
        <v>1</v>
      </c>
      <c r="M272" s="961"/>
      <c r="N272" s="929" t="str">
        <f>'matrik MISI 3'!S17</f>
        <v>-</v>
      </c>
      <c r="O272" s="929"/>
      <c r="P272" s="929">
        <f>'matrik MISI 3'!T17</f>
        <v>1</v>
      </c>
      <c r="Q272" s="929"/>
      <c r="R272" s="929">
        <f>'matrik MISI 3'!U17</f>
        <v>1</v>
      </c>
      <c r="S272" s="929"/>
      <c r="T272" s="929">
        <f>'matrik MISI 3'!V17</f>
        <v>1</v>
      </c>
      <c r="U272" s="929"/>
      <c r="V272" s="929">
        <f>'matrik MISI 3'!W17</f>
        <v>4</v>
      </c>
      <c r="W272" s="929"/>
      <c r="X272" s="929" t="str">
        <f>'matrik MISI 3'!X17</f>
        <v>DPU/Pemerintahan Umum</v>
      </c>
      <c r="Y272" s="565" t="str">
        <f>'matrik MISI 3'!Y17</f>
        <v>jumlah unit kantor kecamatan yang akan dibangun</v>
      </c>
      <c r="Z272" s="565" t="str">
        <f>'matrik MISI 3'!Z17</f>
        <v>2014: kec.candiroto ; 2016 : kec.parakan ; 2017 : kec.Kaloran ; 2018 : kec.</v>
      </c>
    </row>
    <row r="273" spans="2:26" ht="30">
      <c r="B273" s="949">
        <v>4</v>
      </c>
      <c r="C273" s="948" t="str">
        <f>'matrik MISI 3'!B18</f>
        <v>PERUMAHAN RAKYAT</v>
      </c>
      <c r="D273" s="949">
        <f>'matrik MISI 3'!J18</f>
        <v>1.04</v>
      </c>
      <c r="E273" s="949" t="str">
        <f>'matrik MISI 3'!K18</f>
        <v>xx</v>
      </c>
      <c r="F273" s="949">
        <f>'matrik MISI 3'!L18</f>
        <v>16</v>
      </c>
      <c r="G273" s="949" t="str">
        <f>'matrik MISI 3'!M18</f>
        <v>Program Lingkungan Sehat Perumahan</v>
      </c>
      <c r="H273" s="164"/>
      <c r="I273" s="164"/>
      <c r="J273" s="929"/>
      <c r="K273" s="929"/>
      <c r="L273" s="929"/>
      <c r="M273" s="961">
        <f>'jangan dihapus 2'!K347+'jangan dihapus 2'!K351</f>
        <v>1244068700</v>
      </c>
      <c r="N273" s="961"/>
      <c r="O273" s="961">
        <f>'jangan dihapus 2'!M347+'jangan dihapus 2'!M351</f>
        <v>355912500</v>
      </c>
      <c r="P273" s="961"/>
      <c r="Q273" s="961">
        <f>'jangan dihapus 2'!O347+'jangan dihapus 2'!O351</f>
        <v>340000000</v>
      </c>
      <c r="R273" s="961"/>
      <c r="S273" s="961">
        <f>'jangan dihapus 2'!Q347+'jangan dihapus 2'!Q351</f>
        <v>340000000</v>
      </c>
      <c r="T273" s="961"/>
      <c r="U273" s="961">
        <f>'jangan dihapus 2'!S347+'jangan dihapus 2'!S351</f>
        <v>340000000</v>
      </c>
      <c r="V273" s="929"/>
      <c r="W273" s="961">
        <f>SUM(M273:U273)</f>
        <v>2619981200</v>
      </c>
      <c r="X273" s="929"/>
      <c r="Y273" s="565"/>
      <c r="Z273" s="565"/>
    </row>
    <row r="274" spans="2:26" ht="30">
      <c r="B274" s="939"/>
      <c r="C274" s="939"/>
      <c r="D274" s="939"/>
      <c r="E274" s="939"/>
      <c r="F274" s="939"/>
      <c r="G274" s="939"/>
      <c r="H274" s="164" t="str">
        <f>'matrik MISI 3'!N18</f>
        <v>Cakupan Ketersediaan Rumah Layak Huni</v>
      </c>
      <c r="I274" s="164" t="str">
        <f>'matrik MISI 3'!O18</f>
        <v>%</v>
      </c>
      <c r="J274" s="929" t="str">
        <f>'matrik MISI 3'!P18</f>
        <v>94.3</v>
      </c>
      <c r="K274" s="929" t="str">
        <f>'matrik MISI 3'!Q18</f>
        <v>94.6</v>
      </c>
      <c r="L274" s="929">
        <f>'matrik MISI 3'!R18</f>
        <v>94.92</v>
      </c>
      <c r="M274" s="961"/>
      <c r="N274" s="929">
        <f>'matrik MISI 3'!S18</f>
        <v>95.24</v>
      </c>
      <c r="O274" s="929"/>
      <c r="P274" s="929">
        <f>'matrik MISI 3'!T18</f>
        <v>95.559999999999988</v>
      </c>
      <c r="Q274" s="929"/>
      <c r="R274" s="929">
        <f>'matrik MISI 3'!U18</f>
        <v>95.879999999999981</v>
      </c>
      <c r="S274" s="929"/>
      <c r="T274" s="929">
        <f>'matrik MISI 3'!V18</f>
        <v>96.199999999999974</v>
      </c>
      <c r="U274" s="929"/>
      <c r="V274" s="929">
        <f>'matrik MISI 3'!W18</f>
        <v>96.199999999999974</v>
      </c>
      <c r="W274" s="929"/>
      <c r="X274" s="929" t="str">
        <f>'matrik MISI 3'!X18</f>
        <v>Dinas Sosial, DPU, Bapermades</v>
      </c>
      <c r="Y274" s="565" t="str">
        <f>'matrik MISI 3'!Y18</f>
        <v>jumlah Rumah layak huni  dibagi  jumlah rumah yang ada x 100 %</v>
      </c>
      <c r="Z274" s="565" t="str">
        <f>'matrik MISI 3'!Z18</f>
        <v>penambahan 650 rumah per tahun</v>
      </c>
    </row>
    <row r="275" spans="2:26" ht="45">
      <c r="B275" s="940"/>
      <c r="C275" s="941"/>
      <c r="D275" s="940"/>
      <c r="E275" s="940"/>
      <c r="F275" s="940"/>
      <c r="G275" s="940"/>
      <c r="H275" s="164" t="str">
        <f>'matrik MISI 3'!N19</f>
        <v>berkurangnya Luasan Permukiman Kumuh di kawasan perkotaan</v>
      </c>
      <c r="I275" s="164" t="str">
        <f>'matrik MISI 3'!O19</f>
        <v>Hektar (Ha)</v>
      </c>
      <c r="J275" s="929">
        <f>'matrik MISI 3'!P19</f>
        <v>35.56</v>
      </c>
      <c r="K275" s="929">
        <f>'matrik MISI 3'!Q19</f>
        <v>35.56</v>
      </c>
      <c r="L275" s="929">
        <f>'matrik MISI 3'!R19</f>
        <v>32.36</v>
      </c>
      <c r="M275" s="961"/>
      <c r="N275" s="929">
        <f>'matrik MISI 3'!S19</f>
        <v>28.81</v>
      </c>
      <c r="O275" s="929"/>
      <c r="P275" s="929">
        <f>'matrik MISI 3'!T19</f>
        <v>25.42</v>
      </c>
      <c r="Q275" s="929"/>
      <c r="R275" s="929">
        <f>'matrik MISI 3'!U19</f>
        <v>22.3</v>
      </c>
      <c r="S275" s="929"/>
      <c r="T275" s="929">
        <f>'matrik MISI 3'!V19</f>
        <v>19.91</v>
      </c>
      <c r="U275" s="929"/>
      <c r="V275" s="929">
        <f>'matrik MISI 3'!W19</f>
        <v>19.91</v>
      </c>
      <c r="W275" s="929"/>
      <c r="X275" s="929" t="str">
        <f>'matrik MISI 3'!X19</f>
        <v>DPU</v>
      </c>
      <c r="Y275" s="565" t="str">
        <f>'matrik MISI 3'!Y19</f>
        <v>jumlah luasan kawasan kumuh perkotaan yang ada</v>
      </c>
      <c r="Z275" s="565">
        <f>'matrik MISI 3'!Z19</f>
        <v>0</v>
      </c>
    </row>
    <row r="276" spans="2:26" ht="30">
      <c r="B276" s="940"/>
      <c r="C276" s="941"/>
      <c r="D276" s="940"/>
      <c r="E276" s="940"/>
      <c r="F276" s="940"/>
      <c r="G276" s="940"/>
      <c r="H276" s="164" t="str">
        <f>'matrik MISI 3'!N20</f>
        <v xml:space="preserve">Cakupan Layanan Air Minum yang layak </v>
      </c>
      <c r="I276" s="164" t="str">
        <f>'matrik MISI 3'!O20</f>
        <v>%</v>
      </c>
      <c r="J276" s="929">
        <f>'matrik MISI 3'!P20</f>
        <v>74.48</v>
      </c>
      <c r="K276" s="929">
        <f>'matrik MISI 3'!Q20</f>
        <v>82.48</v>
      </c>
      <c r="L276" s="929">
        <f>'matrik MISI 3'!R20</f>
        <v>84.5</v>
      </c>
      <c r="M276" s="961"/>
      <c r="N276" s="929">
        <f>'matrik MISI 3'!S20</f>
        <v>86.6</v>
      </c>
      <c r="O276" s="929"/>
      <c r="P276" s="929">
        <f>'matrik MISI 3'!T20</f>
        <v>88.1</v>
      </c>
      <c r="Q276" s="929"/>
      <c r="R276" s="929">
        <f>'matrik MISI 3'!U20</f>
        <v>90.2</v>
      </c>
      <c r="S276" s="929"/>
      <c r="T276" s="929">
        <f>'matrik MISI 3'!V20</f>
        <v>91.3</v>
      </c>
      <c r="U276" s="929"/>
      <c r="V276" s="929">
        <f>'matrik MISI 3'!W20</f>
        <v>91.3</v>
      </c>
      <c r="W276" s="929"/>
      <c r="X276" s="929" t="str">
        <f>'matrik MISI 3'!X20</f>
        <v>DPU</v>
      </c>
      <c r="Y276" s="565" t="str">
        <f>'matrik MISI 3'!Y20</f>
        <v>jumlah rumah tangga yang memiliki akses air minum layak / jumlah rumah tangga yang ada x 100%</v>
      </c>
      <c r="Z276" s="565">
        <f>'matrik MISI 3'!Z20</f>
        <v>0</v>
      </c>
    </row>
    <row r="277" spans="2:26" ht="30">
      <c r="B277" s="940"/>
      <c r="C277" s="941"/>
      <c r="D277" s="940"/>
      <c r="E277" s="940"/>
      <c r="F277" s="940"/>
      <c r="G277" s="940"/>
      <c r="H277" s="164" t="str">
        <f>'matrik MISI 3'!N21</f>
        <v>Cakupan sanitasi pemukiman yang layak</v>
      </c>
      <c r="I277" s="164" t="str">
        <f>'matrik MISI 3'!O21</f>
        <v>%</v>
      </c>
      <c r="J277" s="929">
        <f>'matrik MISI 3'!P21</f>
        <v>70.709999999999994</v>
      </c>
      <c r="K277" s="929">
        <f>'matrik MISI 3'!Q21</f>
        <v>74.28</v>
      </c>
      <c r="L277" s="929">
        <f>'matrik MISI 3'!R21</f>
        <v>74.900000000000006</v>
      </c>
      <c r="M277" s="961"/>
      <c r="N277" s="929">
        <f>'matrik MISI 3'!S21</f>
        <v>75.510000000000005</v>
      </c>
      <c r="O277" s="929"/>
      <c r="P277" s="929">
        <f>'matrik MISI 3'!T21</f>
        <v>76.099999999999994</v>
      </c>
      <c r="Q277" s="929"/>
      <c r="R277" s="929">
        <f>'matrik MISI 3'!U21</f>
        <v>77.400000000000006</v>
      </c>
      <c r="S277" s="929"/>
      <c r="T277" s="929">
        <f>'matrik MISI 3'!V21</f>
        <v>78.900000000000006</v>
      </c>
      <c r="U277" s="929"/>
      <c r="V277" s="929">
        <f>'matrik MISI 3'!W21</f>
        <v>78.900000000000006</v>
      </c>
      <c r="W277" s="929"/>
      <c r="X277" s="929" t="str">
        <f>'matrik MISI 3'!X21</f>
        <v>DPU &amp; DINKES</v>
      </c>
      <c r="Y277" s="565" t="str">
        <f>'matrik MISI 3'!Y21</f>
        <v>jumlah rumah tangga yang memiliki sanitasi yang layak / jumlah rumah tangga yang ada x 100%</v>
      </c>
      <c r="Z277" s="565">
        <f>'matrik MISI 3'!Z21</f>
        <v>0</v>
      </c>
    </row>
    <row r="278" spans="2:26" ht="30">
      <c r="B278" s="940"/>
      <c r="C278" s="941"/>
      <c r="D278" s="940"/>
      <c r="E278" s="940"/>
      <c r="F278" s="940"/>
      <c r="G278" s="940"/>
      <c r="H278" s="164" t="str">
        <f>'matrik MISI 3'!N22</f>
        <v>Cakupan Sistem Air limbah Skala Komunitas/ Kawasan/ Kota</v>
      </c>
      <c r="I278" s="164" t="str">
        <f>'matrik MISI 3'!O22</f>
        <v>%</v>
      </c>
      <c r="J278" s="929">
        <f>'matrik MISI 3'!P22</f>
        <v>3.8</v>
      </c>
      <c r="K278" s="929">
        <f>'matrik MISI 3'!Q22</f>
        <v>5.8</v>
      </c>
      <c r="L278" s="929">
        <f>'matrik MISI 3'!R22</f>
        <v>6</v>
      </c>
      <c r="M278" s="961"/>
      <c r="N278" s="929">
        <f>'matrik MISI 3'!S22</f>
        <v>7</v>
      </c>
      <c r="O278" s="929"/>
      <c r="P278" s="929">
        <f>'matrik MISI 3'!T22</f>
        <v>7.5</v>
      </c>
      <c r="Q278" s="929"/>
      <c r="R278" s="929">
        <f>'matrik MISI 3'!U22</f>
        <v>8</v>
      </c>
      <c r="S278" s="929"/>
      <c r="T278" s="929">
        <f>'matrik MISI 3'!V22</f>
        <v>8.1999999999999993</v>
      </c>
      <c r="U278" s="929"/>
      <c r="V278" s="929">
        <f>'matrik MISI 3'!W22</f>
        <v>8.1999999999999993</v>
      </c>
      <c r="W278" s="929"/>
      <c r="X278" s="929" t="str">
        <f>'matrik MISI 3'!X22</f>
        <v>DPU</v>
      </c>
      <c r="Y278" s="565" t="str">
        <f>'matrik MISI 3'!Y22</f>
        <v>jumlah rumah tangga yg terlayani air limbah skala kawasan kota / jumlah rumah tangga pada skala kawasan kota x 100 %</v>
      </c>
      <c r="Z278" s="565">
        <f>'matrik MISI 3'!Z22</f>
        <v>0</v>
      </c>
    </row>
    <row r="279" spans="2:26" ht="60">
      <c r="B279" s="940"/>
      <c r="C279" s="941"/>
      <c r="D279" s="940"/>
      <c r="E279" s="940"/>
      <c r="F279" s="940"/>
      <c r="G279" s="940"/>
      <c r="H279" s="164" t="str">
        <f>'matrik MISI 3'!N23</f>
        <v>Cakupan Lingkungan yang Sehat dan Aman yang Didukung dengan Prasarana dan Sarana Umum</v>
      </c>
      <c r="I279" s="164" t="str">
        <f>'matrik MISI 3'!O23</f>
        <v>%</v>
      </c>
      <c r="J279" s="929" t="str">
        <f>'matrik MISI 3'!P23</f>
        <v>3,46</v>
      </c>
      <c r="K279" s="929" t="str">
        <f>'matrik MISI 3'!Q23</f>
        <v>16,26</v>
      </c>
      <c r="L279" s="929">
        <f>'matrik MISI 3'!R23</f>
        <v>28</v>
      </c>
      <c r="M279" s="961"/>
      <c r="N279" s="929">
        <f>'matrik MISI 3'!S23</f>
        <v>40</v>
      </c>
      <c r="O279" s="929"/>
      <c r="P279" s="929">
        <f>'matrik MISI 3'!T23</f>
        <v>52</v>
      </c>
      <c r="Q279" s="929"/>
      <c r="R279" s="929">
        <f>'matrik MISI 3'!U23</f>
        <v>64</v>
      </c>
      <c r="S279" s="929"/>
      <c r="T279" s="929">
        <f>'matrik MISI 3'!V23</f>
        <v>76</v>
      </c>
      <c r="U279" s="929"/>
      <c r="V279" s="929">
        <f>'matrik MISI 3'!W23</f>
        <v>76</v>
      </c>
      <c r="W279" s="929"/>
      <c r="X279" s="929" t="str">
        <f>'matrik MISI 3'!X23</f>
        <v>DPU</v>
      </c>
      <c r="Y279" s="565" t="str">
        <f>'matrik MISI 3'!Y23</f>
        <v>jumlah lingkungan (desa/ kelurahan) yg sehat dan aman yg didukung prasarana sarana utilitas/ jumlah lingkungan (kelurahan/ desa)</v>
      </c>
      <c r="Z279" s="565">
        <f>'matrik MISI 3'!Z23</f>
        <v>0</v>
      </c>
    </row>
    <row r="280" spans="2:26" ht="60">
      <c r="B280" s="940"/>
      <c r="C280" s="941"/>
      <c r="D280" s="940">
        <f>'matrik MISI 3'!J24</f>
        <v>1.04</v>
      </c>
      <c r="E280" s="940" t="str">
        <f>'matrik MISI 3'!K24</f>
        <v>xx</v>
      </c>
      <c r="F280" s="940">
        <f>'matrik MISI 3'!L24</f>
        <v>18</v>
      </c>
      <c r="G280" s="940" t="str">
        <f>'matrik MISI 3'!M24</f>
        <v>Program peningkatan kesiagaan dan pencegahan bahaya kebakaran</v>
      </c>
      <c r="H280" s="164"/>
      <c r="I280" s="164"/>
      <c r="J280" s="929"/>
      <c r="K280" s="929"/>
      <c r="L280" s="929"/>
      <c r="M280" s="961">
        <f>'jangan dihapus 2'!K356</f>
        <v>220000000</v>
      </c>
      <c r="N280" s="961"/>
      <c r="O280" s="961">
        <f>'jangan dihapus 2'!M356</f>
        <v>1235460000</v>
      </c>
      <c r="P280" s="961"/>
      <c r="Q280" s="961">
        <f>'jangan dihapus 2'!O356</f>
        <v>4665000000</v>
      </c>
      <c r="R280" s="961"/>
      <c r="S280" s="961">
        <f>'jangan dihapus 2'!Q356</f>
        <v>4850000000</v>
      </c>
      <c r="T280" s="961"/>
      <c r="U280" s="961">
        <f>'jangan dihapus 2'!S356</f>
        <v>5235000000</v>
      </c>
      <c r="V280" s="929"/>
      <c r="W280" s="961">
        <f>SUM(M280:U280)</f>
        <v>16205460000</v>
      </c>
      <c r="X280" s="929"/>
      <c r="Y280" s="565"/>
      <c r="Z280" s="565"/>
    </row>
    <row r="281" spans="2:26" ht="30">
      <c r="B281" s="940"/>
      <c r="C281" s="941"/>
      <c r="D281" s="939"/>
      <c r="E281" s="939"/>
      <c r="F281" s="939"/>
      <c r="G281" s="939"/>
      <c r="H281" s="164" t="str">
        <f>'matrik MISI 3'!N24</f>
        <v>Cakupan pelayanan bencana kebakaran kabupaten</v>
      </c>
      <c r="I281" s="164" t="str">
        <f>'matrik MISI 3'!O24</f>
        <v>%</v>
      </c>
      <c r="J281" s="929">
        <f>'matrik MISI 3'!P24</f>
        <v>20</v>
      </c>
      <c r="K281" s="929">
        <f>'matrik MISI 3'!Q24</f>
        <v>20</v>
      </c>
      <c r="L281" s="929">
        <f>'matrik MISI 3'!R24</f>
        <v>20</v>
      </c>
      <c r="M281" s="967"/>
      <c r="N281" s="929">
        <f>'matrik MISI 3'!S24</f>
        <v>40</v>
      </c>
      <c r="O281" s="967"/>
      <c r="P281" s="929">
        <f>'matrik MISI 3'!T24</f>
        <v>60</v>
      </c>
      <c r="Q281" s="967"/>
      <c r="R281" s="929">
        <f>'matrik MISI 3'!U24</f>
        <v>80</v>
      </c>
      <c r="S281" s="967"/>
      <c r="T281" s="929">
        <f>'matrik MISI 3'!V24</f>
        <v>80</v>
      </c>
      <c r="U281" s="929"/>
      <c r="V281" s="929">
        <f>'matrik MISI 3'!W24</f>
        <v>80</v>
      </c>
      <c r="W281" s="929"/>
      <c r="X281" s="929" t="str">
        <f>'matrik MISI 3'!X24</f>
        <v>DPU</v>
      </c>
      <c r="Y281" s="565" t="str">
        <f>'matrik MISI 3'!Y24</f>
        <v>Jangkauan luas WMK/Luas wilayah kabupaten x 100%</v>
      </c>
      <c r="Z281" s="565"/>
    </row>
    <row r="282" spans="2:26" ht="30">
      <c r="B282" s="940"/>
      <c r="C282" s="941"/>
      <c r="D282" s="940"/>
      <c r="E282" s="940"/>
      <c r="F282" s="940"/>
      <c r="G282" s="940"/>
      <c r="H282" s="164" t="str">
        <f>'matrik MISI 3'!N25</f>
        <v>Tingkat Waktu Tanggap (response time rate)</v>
      </c>
      <c r="I282" s="164" t="str">
        <f>'matrik MISI 3'!O25</f>
        <v>%</v>
      </c>
      <c r="J282" s="929">
        <f>'matrik MISI 3'!P25</f>
        <v>39</v>
      </c>
      <c r="K282" s="929">
        <f>'matrik MISI 3'!Q25</f>
        <v>68</v>
      </c>
      <c r="L282" s="929">
        <f>'matrik MISI 3'!R25</f>
        <v>70</v>
      </c>
      <c r="M282" s="967"/>
      <c r="N282" s="929">
        <f>'matrik MISI 3'!S25</f>
        <v>73</v>
      </c>
      <c r="O282" s="967"/>
      <c r="P282" s="929">
        <f>'matrik MISI 3'!T25</f>
        <v>80</v>
      </c>
      <c r="Q282" s="967"/>
      <c r="R282" s="929">
        <f>'matrik MISI 3'!U25</f>
        <v>80</v>
      </c>
      <c r="S282" s="967"/>
      <c r="T282" s="929">
        <f>'matrik MISI 3'!V25</f>
        <v>80</v>
      </c>
      <c r="U282" s="929"/>
      <c r="V282" s="929">
        <f>'matrik MISI 3'!W25</f>
        <v>80</v>
      </c>
      <c r="W282" s="929"/>
      <c r="X282" s="929" t="str">
        <f>'matrik MISI 3'!X25</f>
        <v>DPU</v>
      </c>
      <c r="Y282" s="565" t="str">
        <f>'matrik MISI 3'!Y25</f>
        <v>Jumlah Kasus Kebakaran di WMK yang terangani dalam waktu tingkat tanggap / Jumlah Kasus Kebakaran dalam Jangkauan WMK x 100%</v>
      </c>
      <c r="Z282" s="565"/>
    </row>
    <row r="283" spans="2:26" ht="45">
      <c r="B283" s="940"/>
      <c r="C283" s="941"/>
      <c r="D283" s="940"/>
      <c r="E283" s="940"/>
      <c r="F283" s="940"/>
      <c r="G283" s="940"/>
      <c r="H283" s="164" t="str">
        <f>'matrik MISI 3'!N26</f>
        <v>Persentase Aparatur Pemadam Kebakaran yang Memenuhi Standar Kualifikasi</v>
      </c>
      <c r="I283" s="164" t="str">
        <f>'matrik MISI 3'!O26</f>
        <v>%</v>
      </c>
      <c r="J283" s="929">
        <f>'matrik MISI 3'!P26</f>
        <v>71</v>
      </c>
      <c r="K283" s="929">
        <f>'matrik MISI 3'!Q26</f>
        <v>83</v>
      </c>
      <c r="L283" s="929">
        <f>'matrik MISI 3'!R26</f>
        <v>85</v>
      </c>
      <c r="M283" s="967"/>
      <c r="N283" s="929">
        <f>'matrik MISI 3'!S26</f>
        <v>87</v>
      </c>
      <c r="O283" s="967"/>
      <c r="P283" s="929">
        <f>'matrik MISI 3'!T26</f>
        <v>90</v>
      </c>
      <c r="Q283" s="967"/>
      <c r="R283" s="929">
        <f>'matrik MISI 3'!U26</f>
        <v>93</v>
      </c>
      <c r="S283" s="967"/>
      <c r="T283" s="929">
        <f>'matrik MISI 3'!V26</f>
        <v>95</v>
      </c>
      <c r="U283" s="967"/>
      <c r="V283" s="929">
        <f>'matrik MISI 3'!W26</f>
        <v>95</v>
      </c>
      <c r="W283" s="929"/>
      <c r="X283" s="929" t="str">
        <f>'matrik MISI 3'!X26</f>
        <v>DPU</v>
      </c>
      <c r="Y283" s="565" t="str">
        <f>'matrik MISI 3'!Y26</f>
        <v>Jumlah aparatur pemadam kebakaran yang memenuhi standar kualifikasi/ jumlah aparatur pemadam kebakaran x 100</v>
      </c>
      <c r="Z283" s="565"/>
    </row>
    <row r="284" spans="2:26" ht="60">
      <c r="B284" s="950"/>
      <c r="C284" s="951"/>
      <c r="D284" s="950"/>
      <c r="E284" s="950"/>
      <c r="F284" s="950"/>
      <c r="G284" s="950"/>
      <c r="H284" s="164" t="str">
        <f>'matrik MISI 3'!N27</f>
        <v>Rasio Mobil Pemadam Kebakaran di Atas 3.000 - 5.000 Liter pada Wilayah Manajemen Kebakaran (WMK)</v>
      </c>
      <c r="I284" s="164" t="str">
        <f>'matrik MISI 3'!O27</f>
        <v>%</v>
      </c>
      <c r="J284" s="929" t="str">
        <f>'matrik MISI 3'!P27</f>
        <v>70.6</v>
      </c>
      <c r="K284" s="929">
        <f>'matrik MISI 3'!Q27</f>
        <v>82</v>
      </c>
      <c r="L284" s="929">
        <f>'matrik MISI 3'!R27</f>
        <v>85</v>
      </c>
      <c r="M284" s="967"/>
      <c r="N284" s="929">
        <f>'matrik MISI 3'!S27</f>
        <v>87</v>
      </c>
      <c r="O284" s="967"/>
      <c r="P284" s="929">
        <f>'matrik MISI 3'!T27</f>
        <v>90</v>
      </c>
      <c r="Q284" s="967"/>
      <c r="R284" s="929">
        <f>'matrik MISI 3'!U27</f>
        <v>93</v>
      </c>
      <c r="S284" s="967"/>
      <c r="T284" s="929">
        <f>'matrik MISI 3'!V27</f>
        <v>95</v>
      </c>
      <c r="U284" s="967"/>
      <c r="V284" s="929">
        <f>'matrik MISI 3'!W27</f>
        <v>95</v>
      </c>
      <c r="W284" s="929"/>
      <c r="X284" s="929" t="str">
        <f>'matrik MISI 3'!X27</f>
        <v>DPU</v>
      </c>
      <c r="Y284" s="565" t="str">
        <f>'matrik MISI 3'!Y27</f>
        <v>Jumlah mobil pemadam kebakaran diatas 3000-5000 liter pada wilayah manajemen kebakaran/ mobil kebakaran pada wilayah manajemen kebakaran</v>
      </c>
      <c r="Z284" s="565"/>
    </row>
    <row r="285" spans="2:26" ht="30">
      <c r="B285" s="949">
        <v>5</v>
      </c>
      <c r="C285" s="948" t="str">
        <f>'matrik MISI 3'!B28</f>
        <v>PENATAAN RUANG</v>
      </c>
      <c r="D285" s="949" t="str">
        <f>'matrik MISI 3'!J29</f>
        <v>1.05</v>
      </c>
      <c r="E285" s="949" t="str">
        <f>'matrik MISI 3'!K29</f>
        <v>xx</v>
      </c>
      <c r="F285" s="949">
        <f>'matrik MISI 3'!L29</f>
        <v>15</v>
      </c>
      <c r="G285" s="949" t="str">
        <f>'matrik MISI 3'!M29</f>
        <v>Program Perencanaan Tata Ruang</v>
      </c>
      <c r="H285" s="164"/>
      <c r="I285" s="164"/>
      <c r="J285" s="929"/>
      <c r="K285" s="929"/>
      <c r="L285" s="929"/>
      <c r="M285" s="961">
        <f>'jangan dihapus 2'!K366</f>
        <v>75958000</v>
      </c>
      <c r="N285" s="961"/>
      <c r="O285" s="961">
        <f>'jangan dihapus 2'!M366</f>
        <v>100000000</v>
      </c>
      <c r="P285" s="961"/>
      <c r="Q285" s="961">
        <f>'jangan dihapus 2'!O366</f>
        <v>300000000</v>
      </c>
      <c r="R285" s="961"/>
      <c r="S285" s="961">
        <f>'jangan dihapus 2'!Q366</f>
        <v>200000000</v>
      </c>
      <c r="T285" s="961"/>
      <c r="U285" s="961">
        <f>'jangan dihapus 2'!S366</f>
        <v>100000000</v>
      </c>
      <c r="V285" s="929"/>
      <c r="W285" s="961">
        <f>SUM(M285:U285)</f>
        <v>775958000</v>
      </c>
      <c r="X285" s="929"/>
      <c r="Y285" s="565"/>
      <c r="Z285" s="565"/>
    </row>
    <row r="286" spans="2:26" ht="45">
      <c r="B286" s="939"/>
      <c r="C286" s="939"/>
      <c r="D286" s="939"/>
      <c r="E286" s="939"/>
      <c r="F286" s="939"/>
      <c r="G286" s="939"/>
      <c r="H286" s="164" t="str">
        <f>'matrik MISI 3'!N29</f>
        <v>tersedianya informasi mengenai rencana tata ruang (RTR) beserta rencana rincinya</v>
      </c>
      <c r="I286" s="164" t="str">
        <f>'matrik MISI 3'!O29</f>
        <v>PERDA</v>
      </c>
      <c r="J286" s="929">
        <f>'matrik MISI 3'!P29</f>
        <v>1</v>
      </c>
      <c r="K286" s="929">
        <f>'matrik MISI 3'!Q29</f>
        <v>1</v>
      </c>
      <c r="L286" s="929">
        <f>'matrik MISI 3'!R29</f>
        <v>2</v>
      </c>
      <c r="M286" s="961"/>
      <c r="N286" s="929">
        <f>'matrik MISI 3'!S29</f>
        <v>2</v>
      </c>
      <c r="O286" s="929"/>
      <c r="P286" s="929">
        <f>'matrik MISI 3'!T29</f>
        <v>3</v>
      </c>
      <c r="Q286" s="929"/>
      <c r="R286" s="929">
        <f>'matrik MISI 3'!U29</f>
        <v>3</v>
      </c>
      <c r="S286" s="929"/>
      <c r="T286" s="929">
        <f>'matrik MISI 3'!V29</f>
        <v>3</v>
      </c>
      <c r="U286" s="929"/>
      <c r="V286" s="929">
        <f>'matrik MISI 3'!W29</f>
        <v>3</v>
      </c>
      <c r="W286" s="929"/>
      <c r="X286" s="929" t="str">
        <f>'matrik MISI 3'!X29</f>
        <v>BAPPEDA / DPU</v>
      </c>
      <c r="Y286" s="565" t="str">
        <f>'matrik MISI 3'!Y29</f>
        <v>tersedianya PERDA Rencana Tata Ruang Wilayah (RTRW) dan Rencana Detail Tata Ruang (RDTR)</v>
      </c>
      <c r="Z286" s="565" t="str">
        <f>'matrik MISI 3'!Z29</f>
        <v xml:space="preserve"> - tahun 2012 sudah ada PERDA No 1 Th 2012 tentang RTRW.                - tahun 2014 ditargetkan 1 PERDA RDTR kawasan strategis</v>
      </c>
    </row>
    <row r="287" spans="2:26" ht="60">
      <c r="B287" s="940"/>
      <c r="C287" s="941"/>
      <c r="D287" s="940"/>
      <c r="E287" s="940"/>
      <c r="F287" s="940"/>
      <c r="G287" s="940"/>
      <c r="H287" s="164" t="str">
        <f>'matrik MISI 3'!N30</f>
        <v>terlaksananya penjaringan aspirasi masyarakat dalam proses penyusunan RTRW beserta rencana rinci</v>
      </c>
      <c r="I287" s="164" t="str">
        <f>'matrik MISI 3'!O30</f>
        <v>%</v>
      </c>
      <c r="J287" s="929">
        <f>'matrik MISI 3'!P30</f>
        <v>100</v>
      </c>
      <c r="K287" s="929">
        <f>'matrik MISI 3'!Q30</f>
        <v>100</v>
      </c>
      <c r="L287" s="929">
        <f>'matrik MISI 3'!R30</f>
        <v>100</v>
      </c>
      <c r="M287" s="961"/>
      <c r="N287" s="929">
        <f>'matrik MISI 3'!S30</f>
        <v>100</v>
      </c>
      <c r="O287" s="929"/>
      <c r="P287" s="929">
        <f>'matrik MISI 3'!T30</f>
        <v>100</v>
      </c>
      <c r="Q287" s="929"/>
      <c r="R287" s="929">
        <f>'matrik MISI 3'!U30</f>
        <v>100</v>
      </c>
      <c r="S287" s="929"/>
      <c r="T287" s="929">
        <f>'matrik MISI 3'!V30</f>
        <v>100</v>
      </c>
      <c r="U287" s="929"/>
      <c r="V287" s="929">
        <f>'matrik MISI 3'!W30</f>
        <v>100</v>
      </c>
      <c r="W287" s="929"/>
      <c r="X287" s="929" t="str">
        <f>'matrik MISI 3'!X30</f>
        <v>BAPPEDA / DPU</v>
      </c>
      <c r="Y287" s="565" t="str">
        <f>'matrik MISI 3'!Y30</f>
        <v>jumlah penjaringan aspirasi/konsultasi piblik dalam penyusunan RTR / jumlah penjaringan aspirasi yang seharusnya dilakukan x 100</v>
      </c>
      <c r="Z287" s="565">
        <f>'matrik MISI 3'!Z30</f>
        <v>0</v>
      </c>
    </row>
    <row r="288" spans="2:26" ht="45">
      <c r="B288" s="940"/>
      <c r="C288" s="941"/>
      <c r="D288" s="940"/>
      <c r="E288" s="940"/>
      <c r="F288" s="940"/>
      <c r="G288" s="940"/>
      <c r="H288" s="164" t="str">
        <f>'matrik MISI 3'!N31</f>
        <v>terlayaninya masyarakat dalam pengurusan ijin pemanfaatan ruang</v>
      </c>
      <c r="I288" s="164" t="str">
        <f>'matrik MISI 3'!O31</f>
        <v>%</v>
      </c>
      <c r="J288" s="929">
        <f>'matrik MISI 3'!P31</f>
        <v>100</v>
      </c>
      <c r="K288" s="929">
        <f>'matrik MISI 3'!Q31</f>
        <v>100</v>
      </c>
      <c r="L288" s="929">
        <f>'matrik MISI 3'!R31</f>
        <v>100</v>
      </c>
      <c r="M288" s="961"/>
      <c r="N288" s="929">
        <f>'matrik MISI 3'!S31</f>
        <v>100</v>
      </c>
      <c r="O288" s="929"/>
      <c r="P288" s="929">
        <f>'matrik MISI 3'!T31</f>
        <v>100</v>
      </c>
      <c r="Q288" s="929"/>
      <c r="R288" s="929">
        <f>'matrik MISI 3'!U31</f>
        <v>100</v>
      </c>
      <c r="S288" s="929"/>
      <c r="T288" s="929">
        <f>'matrik MISI 3'!V31</f>
        <v>100</v>
      </c>
      <c r="U288" s="929"/>
      <c r="V288" s="929">
        <f>'matrik MISI 3'!W31</f>
        <v>100</v>
      </c>
      <c r="W288" s="929"/>
      <c r="X288" s="929" t="str">
        <f>'matrik MISI 3'!X31</f>
        <v>KP3M</v>
      </c>
      <c r="Y288" s="565" t="str">
        <f>'matrik MISI 3'!Y31</f>
        <v>jumlah ijin yang di proses / jumlah ijin yang diajukan</v>
      </c>
      <c r="Z288" s="565">
        <f>'matrik MISI 3'!Z31</f>
        <v>0</v>
      </c>
    </row>
    <row r="289" spans="2:26" ht="30">
      <c r="B289" s="940"/>
      <c r="C289" s="941"/>
      <c r="D289" s="940">
        <f>'matrik MISI 3'!J32</f>
        <v>1.05</v>
      </c>
      <c r="E289" s="940" t="str">
        <f>'matrik MISI 3'!K32</f>
        <v>xx</v>
      </c>
      <c r="F289" s="940">
        <f>'matrik MISI 3'!L32</f>
        <v>17</v>
      </c>
      <c r="G289" s="940" t="str">
        <f>'matrik MISI 3'!M32</f>
        <v>Program Pengendalian Pemanfaatan Ruang</v>
      </c>
      <c r="H289" s="164"/>
      <c r="I289" s="164"/>
      <c r="J289" s="929"/>
      <c r="K289" s="929"/>
      <c r="L289" s="929"/>
      <c r="M289" s="961">
        <f>'jangan dihapus 2'!K368</f>
        <v>20000000</v>
      </c>
      <c r="N289" s="961"/>
      <c r="O289" s="961">
        <f>'jangan dihapus 2'!M368</f>
        <v>91140000</v>
      </c>
      <c r="P289" s="961"/>
      <c r="Q289" s="961">
        <f>'jangan dihapus 2'!O368</f>
        <v>30000000</v>
      </c>
      <c r="R289" s="961"/>
      <c r="S289" s="961">
        <f>'jangan dihapus 2'!Q368</f>
        <v>30000000</v>
      </c>
      <c r="T289" s="961"/>
      <c r="U289" s="961">
        <f>'jangan dihapus 2'!S368</f>
        <v>30000000</v>
      </c>
      <c r="V289" s="929"/>
      <c r="W289" s="961">
        <f>SUM(M289:U289)</f>
        <v>201140000</v>
      </c>
      <c r="X289" s="929"/>
      <c r="Y289" s="565"/>
      <c r="Z289" s="565"/>
    </row>
    <row r="290" spans="2:26" ht="30">
      <c r="B290" s="940"/>
      <c r="C290" s="941"/>
      <c r="D290" s="939"/>
      <c r="E290" s="939"/>
      <c r="F290" s="939"/>
      <c r="G290" s="939"/>
      <c r="H290" s="164" t="str">
        <f>'matrik MISI 3'!N32</f>
        <v>Cakupan Pemanfaatan Ruang sesuai Peruntukannya</v>
      </c>
      <c r="I290" s="164" t="str">
        <f>'matrik MISI 3'!O32</f>
        <v>%</v>
      </c>
      <c r="J290" s="929">
        <f>'matrik MISI 3'!P32</f>
        <v>100</v>
      </c>
      <c r="K290" s="929">
        <f>'matrik MISI 3'!Q32</f>
        <v>87.5</v>
      </c>
      <c r="L290" s="929">
        <f>'matrik MISI 3'!R32</f>
        <v>100</v>
      </c>
      <c r="M290" s="961"/>
      <c r="N290" s="929">
        <f>'matrik MISI 3'!S32</f>
        <v>100</v>
      </c>
      <c r="O290" s="929"/>
      <c r="P290" s="929">
        <f>'matrik MISI 3'!T32</f>
        <v>100</v>
      </c>
      <c r="Q290" s="929"/>
      <c r="R290" s="929">
        <f>'matrik MISI 3'!U32</f>
        <v>100</v>
      </c>
      <c r="S290" s="929"/>
      <c r="T290" s="929">
        <f>'matrik MISI 3'!V32</f>
        <v>100</v>
      </c>
      <c r="U290" s="929"/>
      <c r="V290" s="929">
        <f>'matrik MISI 3'!W32</f>
        <v>100</v>
      </c>
      <c r="W290" s="929"/>
      <c r="X290" s="929" t="str">
        <f>'matrik MISI 3'!X32</f>
        <v>DPU/BAPPEDA/KP3M</v>
      </c>
      <c r="Y290" s="565" t="str">
        <f>'matrik MISI 3'!Y32</f>
        <v xml:space="preserve">jumlah izin yang disetujui/ jumlah pemohon izin yang masuk x 100 </v>
      </c>
      <c r="Z290" s="565">
        <f>'matrik MISI 3'!Z32</f>
        <v>0</v>
      </c>
    </row>
    <row r="291" spans="2:26" ht="60">
      <c r="B291" s="940"/>
      <c r="C291" s="941"/>
      <c r="D291" s="940"/>
      <c r="E291" s="940"/>
      <c r="F291" s="940"/>
      <c r="G291" s="940"/>
      <c r="H291" s="164" t="str">
        <f>'matrik MISI 3'!N33</f>
        <v xml:space="preserve">Cakupan tindakan awal terhadap pengaduan Masyarakat tentang Pelanggaran di Bidang Penataan Ruang </v>
      </c>
      <c r="I291" s="164" t="str">
        <f>'matrik MISI 3'!O33</f>
        <v>%</v>
      </c>
      <c r="J291" s="929">
        <f>'matrik MISI 3'!P33</f>
        <v>85</v>
      </c>
      <c r="K291" s="929">
        <f>'matrik MISI 3'!Q33</f>
        <v>90</v>
      </c>
      <c r="L291" s="929">
        <f>'matrik MISI 3'!R33</f>
        <v>95</v>
      </c>
      <c r="M291" s="961"/>
      <c r="N291" s="929">
        <f>'matrik MISI 3'!S33</f>
        <v>100</v>
      </c>
      <c r="O291" s="929"/>
      <c r="P291" s="929">
        <f>'matrik MISI 3'!T33</f>
        <v>100</v>
      </c>
      <c r="Q291" s="929"/>
      <c r="R291" s="929">
        <f>'matrik MISI 3'!U33</f>
        <v>100</v>
      </c>
      <c r="S291" s="929"/>
      <c r="T291" s="929">
        <f>'matrik MISI 3'!V33</f>
        <v>100</v>
      </c>
      <c r="U291" s="929"/>
      <c r="V291" s="929">
        <f>'matrik MISI 3'!W33</f>
        <v>100</v>
      </c>
      <c r="W291" s="929"/>
      <c r="X291" s="929" t="str">
        <f>'matrik MISI 3'!X33</f>
        <v>DPU/BAPPEDA/KP3M/               SATPOL PP</v>
      </c>
      <c r="Y291" s="565" t="str">
        <f>'matrik MISI 3'!Y33</f>
        <v>Jumlah pengaduan yg ditindaklanjuti / jumlah pengaduan  x 100</v>
      </c>
      <c r="Z291" s="565">
        <f>'matrik MISI 3'!Z33</f>
        <v>0</v>
      </c>
    </row>
    <row r="292" spans="2:26" ht="45">
      <c r="B292" s="940"/>
      <c r="C292" s="941"/>
      <c r="D292" s="940" t="str">
        <f>'matrik MISI 3'!J34</f>
        <v>1.08</v>
      </c>
      <c r="E292" s="940" t="str">
        <f>'matrik MISI 3'!K34</f>
        <v>xx</v>
      </c>
      <c r="F292" s="940">
        <f>'matrik MISI 3'!L34</f>
        <v>24</v>
      </c>
      <c r="G292" s="940" t="str">
        <f>'matrik MISI 3'!M34</f>
        <v>Program Pengelolaan ruang terbuka hijau (RTH)</v>
      </c>
      <c r="H292" s="164"/>
      <c r="I292" s="164"/>
      <c r="J292" s="929"/>
      <c r="K292" s="929"/>
      <c r="L292" s="929"/>
      <c r="M292" s="961">
        <f>'jangan dihapus 2'!K490</f>
        <v>1250000000</v>
      </c>
      <c r="N292" s="961"/>
      <c r="O292" s="961">
        <f>'jangan dihapus 2'!M490</f>
        <v>313875000</v>
      </c>
      <c r="P292" s="961"/>
      <c r="Q292" s="961">
        <f>'jangan dihapus 2'!O490</f>
        <v>1600000000</v>
      </c>
      <c r="R292" s="961"/>
      <c r="S292" s="961">
        <f>'jangan dihapus 2'!Q490</f>
        <v>1700000000</v>
      </c>
      <c r="T292" s="961"/>
      <c r="U292" s="961">
        <f>'jangan dihapus 2'!S490</f>
        <v>2300000000</v>
      </c>
      <c r="V292" s="929"/>
      <c r="W292" s="961">
        <f>SUM(M292:U292)</f>
        <v>7163875000</v>
      </c>
      <c r="X292" s="929"/>
      <c r="Y292" s="565"/>
      <c r="Z292" s="565"/>
    </row>
    <row r="293" spans="2:26" ht="45">
      <c r="B293" s="940"/>
      <c r="C293" s="941"/>
      <c r="D293" s="939"/>
      <c r="E293" s="939"/>
      <c r="F293" s="939"/>
      <c r="G293" s="939"/>
      <c r="H293" s="164" t="str">
        <f>'matrik MISI 3'!N34</f>
        <v>Tersedianya luasan ruang terbuka hijau publik pada skala kawasan/kota</v>
      </c>
      <c r="I293" s="164" t="str">
        <f>'matrik MISI 3'!O34</f>
        <v>%</v>
      </c>
      <c r="J293" s="929">
        <f>'matrik MISI 3'!P34</f>
        <v>29.15</v>
      </c>
      <c r="K293" s="929">
        <f>'matrik MISI 3'!Q34</f>
        <v>29.15</v>
      </c>
      <c r="L293" s="929">
        <f>'matrik MISI 3'!R34</f>
        <v>29.15</v>
      </c>
      <c r="M293" s="961"/>
      <c r="N293" s="929">
        <f>'matrik MISI 3'!S34</f>
        <v>30</v>
      </c>
      <c r="O293" s="929"/>
      <c r="P293" s="929">
        <f>'matrik MISI 3'!T34</f>
        <v>30.25</v>
      </c>
      <c r="Q293" s="929"/>
      <c r="R293" s="929">
        <f>'matrik MISI 3'!U34</f>
        <v>30.5</v>
      </c>
      <c r="S293" s="929"/>
      <c r="T293" s="929">
        <f>'matrik MISI 3'!V34</f>
        <v>31.25</v>
      </c>
      <c r="U293" s="929"/>
      <c r="V293" s="929">
        <f>'matrik MISI 3'!W34</f>
        <v>31.25</v>
      </c>
      <c r="W293" s="929"/>
      <c r="X293" s="929" t="str">
        <f>'matrik MISI 3'!X34</f>
        <v>BLH/DPU</v>
      </c>
      <c r="Y293" s="565" t="str">
        <f>'matrik MISI 3'!Y34</f>
        <v>jumlah luasan RTH publik / jumlah luasan perkotaan x 100</v>
      </c>
      <c r="Z293" s="565">
        <f>'matrik MISI 3'!Z34</f>
        <v>0</v>
      </c>
    </row>
    <row r="294" spans="2:26" ht="60">
      <c r="B294" s="940"/>
      <c r="C294" s="941"/>
      <c r="D294" s="940">
        <f>'matrik MISI 3'!J35</f>
        <v>1.03</v>
      </c>
      <c r="E294" s="940" t="str">
        <f>'matrik MISI 3'!K35</f>
        <v>xx</v>
      </c>
      <c r="F294" s="940">
        <f>'matrik MISI 3'!L35</f>
        <v>32</v>
      </c>
      <c r="G294" s="940" t="str">
        <f>'matrik MISI 3'!M35</f>
        <v>Program pembangunan dan rehabilitasi/pemeliharaan trotoar</v>
      </c>
      <c r="H294" s="164"/>
      <c r="I294" s="164"/>
      <c r="J294" s="929"/>
      <c r="K294" s="929"/>
      <c r="L294" s="929"/>
      <c r="M294" s="961">
        <f>'jangan dihapus 2'!K340+'jangan dihapus 2'!K341</f>
        <v>2795000000</v>
      </c>
      <c r="N294" s="961"/>
      <c r="O294" s="961">
        <f>'jangan dihapus 2'!M340+'jangan dihapus 2'!M341</f>
        <v>2548744000</v>
      </c>
      <c r="P294" s="961"/>
      <c r="Q294" s="961">
        <f>'jangan dihapus 2'!O340+'jangan dihapus 2'!O341</f>
        <v>1500000000</v>
      </c>
      <c r="R294" s="961"/>
      <c r="S294" s="961">
        <f>'jangan dihapus 2'!Q340+'jangan dihapus 2'!Q341</f>
        <v>1500000000</v>
      </c>
      <c r="T294" s="961"/>
      <c r="U294" s="961">
        <f>'jangan dihapus 2'!S340+'jangan dihapus 2'!S341</f>
        <v>1500000000</v>
      </c>
      <c r="V294" s="929"/>
      <c r="W294" s="961">
        <f>SUM(M294:U294)</f>
        <v>9843744000</v>
      </c>
      <c r="X294" s="929"/>
      <c r="Y294" s="565"/>
      <c r="Z294" s="565"/>
    </row>
    <row r="295" spans="2:26" ht="30">
      <c r="B295" s="940"/>
      <c r="C295" s="941"/>
      <c r="D295" s="939"/>
      <c r="E295" s="939"/>
      <c r="F295" s="939"/>
      <c r="G295" s="939"/>
      <c r="H295" s="164" t="str">
        <f>'matrik MISI 3'!N35</f>
        <v>Cakupan Tersedianya Jalur Pedestrian</v>
      </c>
      <c r="I295" s="164" t="str">
        <f>'matrik MISI 3'!O35</f>
        <v>%</v>
      </c>
      <c r="J295" s="929">
        <f>'matrik MISI 3'!P35</f>
        <v>15.8</v>
      </c>
      <c r="K295" s="929">
        <f>'matrik MISI 3'!Q35</f>
        <v>16.100000000000001</v>
      </c>
      <c r="L295" s="929">
        <f>'matrik MISI 3'!R35</f>
        <v>16.399999999999999</v>
      </c>
      <c r="M295" s="961"/>
      <c r="N295" s="929">
        <f>'matrik MISI 3'!S35</f>
        <v>16.7</v>
      </c>
      <c r="O295" s="929"/>
      <c r="P295" s="929">
        <f>'matrik MISI 3'!T35</f>
        <v>17</v>
      </c>
      <c r="Q295" s="929"/>
      <c r="R295" s="929">
        <f>'matrik MISI 3'!U35</f>
        <v>17.3</v>
      </c>
      <c r="S295" s="929"/>
      <c r="T295" s="929">
        <f>'matrik MISI 3'!V35</f>
        <v>17.600000000000001</v>
      </c>
      <c r="U295" s="929"/>
      <c r="V295" s="929">
        <f>'matrik MISI 3'!W35</f>
        <v>17.600000000000001</v>
      </c>
      <c r="W295" s="929"/>
      <c r="X295" s="929" t="str">
        <f>'matrik MISI 3'!X35</f>
        <v>DPU</v>
      </c>
      <c r="Y295" s="565" t="str">
        <f>'matrik MISI 3'!Y35</f>
        <v>jumlah ruas pedestrian yang dibangun / jumlah jalur pedestrian yang seharusnya dibangun x 100%</v>
      </c>
      <c r="Z295" s="565">
        <f>'matrik MISI 3'!Z35</f>
        <v>0</v>
      </c>
    </row>
    <row r="296" spans="2:26" ht="60">
      <c r="B296" s="940"/>
      <c r="C296" s="941"/>
      <c r="D296" s="940" t="str">
        <f>'matrik MISI 3'!J36</f>
        <v>1.08</v>
      </c>
      <c r="E296" s="940" t="str">
        <f>'matrik MISI 3'!K36</f>
        <v>xx</v>
      </c>
      <c r="F296" s="940">
        <f>'matrik MISI 3'!L36</f>
        <v>16</v>
      </c>
      <c r="G296" s="940" t="str">
        <f>'matrik MISI 3'!M36</f>
        <v>Program Pengendalian Pencemaran dan Perusakan Lingkungan Hidup</v>
      </c>
      <c r="H296" s="164"/>
      <c r="I296" s="164"/>
      <c r="J296" s="929"/>
      <c r="K296" s="929"/>
      <c r="L296" s="929"/>
      <c r="M296" s="961">
        <f>'jangan dihapus 2'!K452</f>
        <v>2028918500</v>
      </c>
      <c r="N296" s="961"/>
      <c r="O296" s="961">
        <f>'jangan dihapus 2'!M452</f>
        <v>2665580500</v>
      </c>
      <c r="P296" s="961"/>
      <c r="Q296" s="961">
        <f>'jangan dihapus 2'!O452</f>
        <v>3130000000</v>
      </c>
      <c r="R296" s="961"/>
      <c r="S296" s="961">
        <f>'jangan dihapus 2'!Q452</f>
        <v>3230000000</v>
      </c>
      <c r="T296" s="961"/>
      <c r="U296" s="961">
        <f>'jangan dihapus 2'!S452</f>
        <v>3520000000</v>
      </c>
      <c r="V296" s="929"/>
      <c r="W296" s="961">
        <f>SUM(M296:U296)</f>
        <v>14574499000</v>
      </c>
      <c r="X296" s="929"/>
      <c r="Y296" s="565"/>
      <c r="Z296" s="565"/>
    </row>
    <row r="297" spans="2:26" ht="30">
      <c r="B297" s="950"/>
      <c r="C297" s="951"/>
      <c r="D297" s="942"/>
      <c r="E297" s="942"/>
      <c r="F297" s="942"/>
      <c r="G297" s="942"/>
      <c r="H297" s="164" t="str">
        <f>'matrik MISI 3'!N36</f>
        <v>Cakupan Fasilitas Pengurangan Sampah di Perkotaan (TPST 3R)</v>
      </c>
      <c r="I297" s="164" t="str">
        <f>'matrik MISI 3'!O36</f>
        <v>%</v>
      </c>
      <c r="J297" s="929">
        <f>'matrik MISI 3'!P36</f>
        <v>2.21</v>
      </c>
      <c r="K297" s="929">
        <f>'matrik MISI 3'!Q36</f>
        <v>2.9</v>
      </c>
      <c r="L297" s="929">
        <f>'matrik MISI 3'!R36</f>
        <v>4.9000000000000004</v>
      </c>
      <c r="M297" s="961"/>
      <c r="N297" s="929">
        <f>'matrik MISI 3'!S36</f>
        <v>7.5</v>
      </c>
      <c r="O297" s="929"/>
      <c r="P297" s="929">
        <f>'matrik MISI 3'!T36</f>
        <v>9.8000000000000007</v>
      </c>
      <c r="Q297" s="929"/>
      <c r="R297" s="929">
        <f>'matrik MISI 3'!U36</f>
        <v>11.2</v>
      </c>
      <c r="S297" s="929"/>
      <c r="T297" s="929">
        <f>'matrik MISI 3'!V36</f>
        <v>14.5</v>
      </c>
      <c r="U297" s="929"/>
      <c r="V297" s="929">
        <f>'matrik MISI 3'!W36</f>
        <v>14.5</v>
      </c>
      <c r="W297" s="929"/>
      <c r="X297" s="929" t="str">
        <f>'matrik MISI 3'!X36</f>
        <v>DPU/BLH</v>
      </c>
      <c r="Y297" s="565" t="str">
        <f>'matrik MISI 3'!Y36</f>
        <v xml:space="preserve">volume sampah yang direduksi di TPST/ volume sampah yang seharusnya direduksi  x 100 </v>
      </c>
      <c r="Z297" s="565">
        <f>'matrik MISI 3'!Z36</f>
        <v>0</v>
      </c>
    </row>
    <row r="298" spans="2:26" ht="30">
      <c r="B298" s="949">
        <v>6</v>
      </c>
      <c r="C298" s="948" t="str">
        <f>'matrik MISI 6'!B6</f>
        <v>PERENCANAAN PEMBANGUNAN</v>
      </c>
      <c r="D298" s="949">
        <f>'matrik MISI 6'!J7</f>
        <v>1.06</v>
      </c>
      <c r="E298" s="949" t="str">
        <f>'matrik MISI 6'!K7</f>
        <v>xx</v>
      </c>
      <c r="F298" s="949">
        <f>'matrik MISI 6'!L7</f>
        <v>15</v>
      </c>
      <c r="G298" s="949" t="str">
        <f>'matrik MISI 6'!M7</f>
        <v>Program Perencanaan Pembangunan Daerah</v>
      </c>
      <c r="H298" s="164"/>
      <c r="I298" s="164"/>
      <c r="J298" s="929"/>
      <c r="K298" s="929"/>
      <c r="L298" s="929"/>
      <c r="M298" s="961">
        <f>'jangan di hapus 1'!K529-M285</f>
        <v>8802896000</v>
      </c>
      <c r="N298" s="961"/>
      <c r="O298" s="961">
        <f>'jangan di hapus 1'!M529-O285</f>
        <v>5350000000</v>
      </c>
      <c r="P298" s="961"/>
      <c r="Q298" s="961">
        <f>'jangan di hapus 1'!O529-Q285</f>
        <v>5570000000</v>
      </c>
      <c r="R298" s="961"/>
      <c r="S298" s="961">
        <f>'jangan di hapus 1'!Q529-S285</f>
        <v>5800000000</v>
      </c>
      <c r="T298" s="961"/>
      <c r="U298" s="961">
        <f>'jangan di hapus 1'!S529-U285</f>
        <v>6400000000</v>
      </c>
      <c r="V298" s="929"/>
      <c r="W298" s="961">
        <f>SUM(M298:U298)</f>
        <v>31922896000</v>
      </c>
      <c r="X298" s="929"/>
    </row>
    <row r="299" spans="2:26" ht="30">
      <c r="B299" s="939"/>
      <c r="C299" s="939"/>
      <c r="D299" s="939"/>
      <c r="E299" s="939"/>
      <c r="F299" s="939"/>
      <c r="G299" s="939"/>
      <c r="H299" s="164" t="str">
        <f>'matrik MISI 6'!N7</f>
        <v xml:space="preserve">Besaran Penelitian dan Pengembangan </v>
      </c>
      <c r="I299" s="164" t="str">
        <f>'matrik MISI 6'!O7</f>
        <v>dokumen</v>
      </c>
      <c r="J299" s="929">
        <f>'matrik MISI 6'!P7</f>
        <v>0</v>
      </c>
      <c r="K299" s="929">
        <f>'matrik MISI 6'!Q7</f>
        <v>0</v>
      </c>
      <c r="L299" s="929">
        <f>'matrik MISI 6'!R7</f>
        <v>0</v>
      </c>
      <c r="M299" s="961"/>
      <c r="N299" s="929">
        <f>'matrik MISI 6'!S7</f>
        <v>1</v>
      </c>
      <c r="O299" s="929"/>
      <c r="P299" s="929">
        <f>'matrik MISI 6'!T7</f>
        <v>1</v>
      </c>
      <c r="Q299" s="929"/>
      <c r="R299" s="929">
        <f>'matrik MISI 6'!U7</f>
        <v>1</v>
      </c>
      <c r="S299" s="929"/>
      <c r="T299" s="929">
        <f>'matrik MISI 6'!V7</f>
        <v>1</v>
      </c>
      <c r="U299" s="929"/>
      <c r="V299" s="929">
        <f>'matrik MISI 6'!W7</f>
        <v>4</v>
      </c>
      <c r="W299" s="929"/>
      <c r="X299" s="929" t="str">
        <f>'matrik MISI 6'!X7</f>
        <v xml:space="preserve">Bappeda </v>
      </c>
      <c r="Y299" s="565" t="str">
        <f>'matrik MISI 6'!Y7</f>
        <v xml:space="preserve">Jumlah kegiatan penelitian dan pengembangan yang dilaksanakan </v>
      </c>
      <c r="Z299" s="565" t="str">
        <f>'matrik MISI 6'!Z7</f>
        <v xml:space="preserve">Jumlah penelitian dan pengembangan yang dilaksanakan yang menggunakan metodologi penelitian </v>
      </c>
    </row>
    <row r="300" spans="2:26" ht="45">
      <c r="B300" s="940"/>
      <c r="C300" s="941"/>
      <c r="D300" s="940"/>
      <c r="E300" s="940"/>
      <c r="F300" s="940"/>
      <c r="G300" s="940"/>
      <c r="H300" s="164" t="str">
        <f>'matrik MISI 6'!N8</f>
        <v>Persentase Dokumen Perencanaan Pembangunan Daerah yang tepat waktu</v>
      </c>
      <c r="I300" s="164" t="str">
        <f>'matrik MISI 6'!O8</f>
        <v>%</v>
      </c>
      <c r="J300" s="929">
        <f>'matrik MISI 6'!P8</f>
        <v>100</v>
      </c>
      <c r="K300" s="929">
        <f>'matrik MISI 6'!Q8</f>
        <v>100</v>
      </c>
      <c r="L300" s="929">
        <f>'matrik MISI 6'!R8</f>
        <v>100</v>
      </c>
      <c r="M300" s="961"/>
      <c r="N300" s="929">
        <f>'matrik MISI 6'!S8</f>
        <v>100</v>
      </c>
      <c r="O300" s="929"/>
      <c r="P300" s="929">
        <f>'matrik MISI 6'!T8</f>
        <v>100</v>
      </c>
      <c r="Q300" s="929"/>
      <c r="R300" s="929">
        <f>'matrik MISI 6'!U8</f>
        <v>100</v>
      </c>
      <c r="S300" s="929"/>
      <c r="T300" s="929">
        <f>'matrik MISI 6'!V8</f>
        <v>100</v>
      </c>
      <c r="U300" s="929"/>
      <c r="V300" s="929">
        <f>'matrik MISI 6'!W8</f>
        <v>100</v>
      </c>
      <c r="W300" s="929"/>
      <c r="X300" s="929" t="str">
        <f>'matrik MISI 6'!X8</f>
        <v xml:space="preserve">Bappeda </v>
      </c>
      <c r="Y300" s="565" t="str">
        <f>'matrik MISI 6'!Y8</f>
        <v xml:space="preserve">Jumlah Dokumen Perencanaan Pembangunan Daerah yang di susun tepat waktu  dibagi Jumlah Dokumen Perencanaan Pembangunan Daerah </v>
      </c>
      <c r="Z300" s="565">
        <f>'matrik MISI 6'!Z8</f>
        <v>0</v>
      </c>
    </row>
    <row r="301" spans="2:26" ht="45">
      <c r="B301" s="940"/>
      <c r="C301" s="941"/>
      <c r="D301" s="940"/>
      <c r="E301" s="940"/>
      <c r="F301" s="940"/>
      <c r="G301" s="940"/>
      <c r="H301" s="164" t="str">
        <f>'matrik MISI 6'!N10</f>
        <v>Rasio Keterwakilan Perempuan dalam Proses Perencanaan Pembangunan Daerah</v>
      </c>
      <c r="I301" s="164" t="str">
        <f>'matrik MISI 6'!O10</f>
        <v>Rasio</v>
      </c>
      <c r="J301" s="929">
        <f>'matrik MISI 6'!P10</f>
        <v>0.16666666666666666</v>
      </c>
      <c r="K301" s="929">
        <f>'matrik MISI 6'!Q10</f>
        <v>0.16666666666666666</v>
      </c>
      <c r="L301" s="929" t="str">
        <f>'matrik MISI 6'!R10</f>
        <v>0,18</v>
      </c>
      <c r="M301" s="961"/>
      <c r="N301" s="929" t="str">
        <f>'matrik MISI 6'!S10</f>
        <v>0,18</v>
      </c>
      <c r="O301" s="929"/>
      <c r="P301" s="929" t="str">
        <f>'matrik MISI 6'!T10</f>
        <v>0,19</v>
      </c>
      <c r="Q301" s="929"/>
      <c r="R301" s="929" t="str">
        <f>'matrik MISI 6'!U10</f>
        <v>0,19</v>
      </c>
      <c r="S301" s="929"/>
      <c r="T301" s="929" t="str">
        <f>'matrik MISI 6'!V10</f>
        <v>0,2</v>
      </c>
      <c r="U301" s="929"/>
      <c r="V301" s="929" t="str">
        <f>'matrik MISI 6'!W10</f>
        <v>0,2</v>
      </c>
      <c r="W301" s="929"/>
      <c r="X301" s="929" t="str">
        <f>'matrik MISI 6'!X10</f>
        <v>Bappeda</v>
      </c>
      <c r="Y301" s="565" t="str">
        <f>'matrik MISI 6'!Y10</f>
        <v>Jumlah peserta perempuan yang di undang  pada proses perencanaan pembangunan daerah dibagi jumlah peserta</v>
      </c>
      <c r="Z301" s="565" t="str">
        <f>'matrik MISI 6'!Z10</f>
        <v>Musrenbang Desa/Kelurahan, Musrenbang Kecamatan dan Musrenbang Kabupaten</v>
      </c>
    </row>
    <row r="302" spans="2:26" ht="45">
      <c r="B302" s="940"/>
      <c r="C302" s="941"/>
      <c r="D302" s="940"/>
      <c r="E302" s="940"/>
      <c r="F302" s="940"/>
      <c r="G302" s="940"/>
      <c r="H302" s="164" t="str">
        <f>'matrik MISI 6'!N11</f>
        <v>Persentase Keterwakilan Anak dalam Proses Perencanaan Pembangunan Daerah</v>
      </c>
      <c r="I302" s="164" t="str">
        <f>'matrik MISI 6'!O11</f>
        <v>%</v>
      </c>
      <c r="J302" s="929">
        <f>'matrik MISI 6'!P11</f>
        <v>1.6666666666666666E-2</v>
      </c>
      <c r="K302" s="929">
        <f>'matrik MISI 6'!Q11</f>
        <v>1.6666666666666666E-2</v>
      </c>
      <c r="L302" s="929" t="str">
        <f>'matrik MISI 6'!R11</f>
        <v>0,0175</v>
      </c>
      <c r="M302" s="961"/>
      <c r="N302" s="929" t="str">
        <f>'matrik MISI 6'!S11</f>
        <v>0,0175</v>
      </c>
      <c r="O302" s="929"/>
      <c r="P302" s="929" t="str">
        <f>'matrik MISI 6'!T11</f>
        <v>0,018</v>
      </c>
      <c r="Q302" s="929"/>
      <c r="R302" s="929" t="str">
        <f>'matrik MISI 6'!U11</f>
        <v>0,018</v>
      </c>
      <c r="S302" s="929"/>
      <c r="T302" s="929" t="str">
        <f>'matrik MISI 6'!V11</f>
        <v>0,0185</v>
      </c>
      <c r="U302" s="929"/>
      <c r="V302" s="929" t="str">
        <f>'matrik MISI 6'!W11</f>
        <v>0,0185</v>
      </c>
      <c r="W302" s="929"/>
      <c r="X302" s="929" t="str">
        <f>'matrik MISI 6'!X11</f>
        <v>Bappeda</v>
      </c>
      <c r="Y302" s="565" t="str">
        <f>'matrik MISI 6'!Y11</f>
        <v>Jumlah peserta anak yang di undang  pada Musrenbang dibagi jumlah peserta</v>
      </c>
      <c r="Z302" s="565" t="str">
        <f>'matrik MISI 6'!Z11</f>
        <v>perwakilan anak bisa diwakili dari Forum Anak</v>
      </c>
    </row>
    <row r="303" spans="2:26" ht="30">
      <c r="B303" s="940"/>
      <c r="C303" s="941"/>
      <c r="D303" s="940"/>
      <c r="E303" s="940"/>
      <c r="F303" s="940"/>
      <c r="G303" s="940"/>
      <c r="H303" s="164" t="str">
        <f>'matrik MISI 6'!N12</f>
        <v xml:space="preserve">Besaran Dokumen Perencanaan Pembangunan Tematik </v>
      </c>
      <c r="I303" s="164" t="str">
        <f>'matrik MISI 6'!O12</f>
        <v>Dokumen</v>
      </c>
      <c r="J303" s="929">
        <f>'matrik MISI 6'!P12</f>
        <v>0</v>
      </c>
      <c r="K303" s="929">
        <f>'matrik MISI 6'!Q12</f>
        <v>0</v>
      </c>
      <c r="L303" s="929">
        <f>'matrik MISI 6'!R12</f>
        <v>0</v>
      </c>
      <c r="M303" s="961"/>
      <c r="N303" s="929">
        <f>'matrik MISI 6'!S12</f>
        <v>5</v>
      </c>
      <c r="O303" s="929"/>
      <c r="P303" s="929">
        <f>'matrik MISI 6'!T12</f>
        <v>2</v>
      </c>
      <c r="Q303" s="929"/>
      <c r="R303" s="929">
        <f>'matrik MISI 6'!U12</f>
        <v>5</v>
      </c>
      <c r="S303" s="929"/>
      <c r="T303" s="929">
        <f>'matrik MISI 6'!V12</f>
        <v>2</v>
      </c>
      <c r="U303" s="929"/>
      <c r="V303" s="929">
        <f>'matrik MISI 6'!W12</f>
        <v>14</v>
      </c>
      <c r="W303" s="929"/>
      <c r="X303" s="929" t="str">
        <f>'matrik MISI 6'!X12</f>
        <v>Bappeda</v>
      </c>
      <c r="Y303" s="565" t="str">
        <f>'matrik MISI 6'!Y12</f>
        <v>Jumlah Perencanaan Pembangunan Tematik</v>
      </c>
      <c r="Z303" s="565" t="str">
        <f>'matrik MISI 6'!Z12</f>
        <v>meliputi Masterplan, Feasibility Study, Rencana Induk, Rencana Aksi Daerah, Road Map, Perencanaan Kawasan, dan topik tertentu/khusus</v>
      </c>
    </row>
    <row r="304" spans="2:26" ht="45">
      <c r="B304" s="940"/>
      <c r="C304" s="941"/>
      <c r="D304" s="940"/>
      <c r="E304" s="940"/>
      <c r="F304" s="940"/>
      <c r="G304" s="940"/>
      <c r="H304" s="164" t="str">
        <f>'matrik MISI 6'!N13</f>
        <v xml:space="preserve">Persentase Tingkat Capaian Target RPJMD Hasil Pelaksanaan RKPD </v>
      </c>
      <c r="I304" s="164" t="str">
        <f>'matrik MISI 6'!O13</f>
        <v>%</v>
      </c>
      <c r="J304" s="929" t="str">
        <f>'matrik MISI 6'!P13</f>
        <v>n.a</v>
      </c>
      <c r="K304" s="929" t="str">
        <f>'matrik MISI 6'!Q13</f>
        <v>n.a</v>
      </c>
      <c r="L304" s="929">
        <f>'matrik MISI 6'!R13</f>
        <v>100</v>
      </c>
      <c r="M304" s="961"/>
      <c r="N304" s="929">
        <f>'matrik MISI 6'!S13</f>
        <v>100</v>
      </c>
      <c r="O304" s="929"/>
      <c r="P304" s="929">
        <f>'matrik MISI 6'!T13</f>
        <v>100</v>
      </c>
      <c r="Q304" s="929"/>
      <c r="R304" s="929">
        <f>'matrik MISI 6'!U13</f>
        <v>100</v>
      </c>
      <c r="S304" s="929"/>
      <c r="T304" s="929">
        <f>'matrik MISI 6'!V13</f>
        <v>100</v>
      </c>
      <c r="U304" s="929"/>
      <c r="V304" s="929">
        <f>'matrik MISI 6'!W13</f>
        <v>100</v>
      </c>
      <c r="W304" s="929"/>
      <c r="X304" s="929" t="str">
        <f>'matrik MISI 6'!X13</f>
        <v>Bappeda</v>
      </c>
      <c r="Y304" s="565" t="str">
        <f>'matrik MISI 6'!Y13</f>
        <v>Capaian target RPJMD pada RKPD dibagi Target RPJMD pada RKPD dikali 100 %</v>
      </c>
      <c r="Z304" s="565">
        <f>'matrik MISI 6'!Z13</f>
        <v>0</v>
      </c>
    </row>
    <row r="305" spans="2:26" ht="45">
      <c r="B305" s="940"/>
      <c r="C305" s="941"/>
      <c r="D305" s="940"/>
      <c r="E305" s="940"/>
      <c r="F305" s="940"/>
      <c r="G305" s="940"/>
      <c r="H305" s="164" t="str">
        <f>'matrik MISI 6'!N14</f>
        <v>Persentase Tingkat Capaian Kinerja dan Realisasi Anggaran RPJMD</v>
      </c>
      <c r="I305" s="164" t="str">
        <f>'matrik MISI 6'!O14</f>
        <v>%</v>
      </c>
      <c r="J305" s="929" t="str">
        <f>'matrik MISI 6'!P14</f>
        <v>n.a</v>
      </c>
      <c r="K305" s="929" t="str">
        <f>'matrik MISI 6'!Q14</f>
        <v>n.a</v>
      </c>
      <c r="L305" s="929">
        <f>'matrik MISI 6'!R14</f>
        <v>100</v>
      </c>
      <c r="M305" s="961"/>
      <c r="N305" s="929">
        <f>'matrik MISI 6'!S14</f>
        <v>100</v>
      </c>
      <c r="O305" s="929"/>
      <c r="P305" s="929">
        <f>'matrik MISI 6'!T14</f>
        <v>100</v>
      </c>
      <c r="Q305" s="929"/>
      <c r="R305" s="929">
        <f>'matrik MISI 6'!U14</f>
        <v>100</v>
      </c>
      <c r="S305" s="929"/>
      <c r="T305" s="929">
        <f>'matrik MISI 6'!V14</f>
        <v>100</v>
      </c>
      <c r="U305" s="929"/>
      <c r="V305" s="929">
        <f>'matrik MISI 6'!W14</f>
        <v>100</v>
      </c>
      <c r="W305" s="929"/>
      <c r="X305" s="929" t="str">
        <f>'matrik MISI 6'!X14</f>
        <v>Bappeda</v>
      </c>
      <c r="Y305" s="565" t="str">
        <f>'matrik MISI 6'!Y14</f>
        <v>Realisasi kinerja dan anggaran RPJMD dibagi Target RPJMD x 100 %</v>
      </c>
      <c r="Z305" s="565" t="str">
        <f>'matrik MISI 6'!Z14</f>
        <v>Realisasi kinerja dan anggaran RPJMD diperoleh dari realisasi capaian kinerja RPJMD sampai dengan RKPD tahun sebelumnya + realisasi capaian kinerja dan anggaran RKPD yang dievaluasi</v>
      </c>
    </row>
    <row r="306" spans="2:26" ht="45">
      <c r="B306" s="940"/>
      <c r="C306" s="941"/>
      <c r="D306" s="940"/>
      <c r="E306" s="940"/>
      <c r="F306" s="940"/>
      <c r="G306" s="940"/>
      <c r="H306" s="164" t="str">
        <f>'matrik MISI 6'!N15</f>
        <v>Persentase Tingkat Capaian Kinerja dan Realisasi Anggaran Renstra SKPD</v>
      </c>
      <c r="I306" s="164" t="str">
        <f>'matrik MISI 6'!O15</f>
        <v>%</v>
      </c>
      <c r="J306" s="929">
        <f>'matrik MISI 6'!P15</f>
        <v>0</v>
      </c>
      <c r="K306" s="929">
        <f>'matrik MISI 6'!Q15</f>
        <v>0</v>
      </c>
      <c r="L306" s="929">
        <f>'matrik MISI 6'!R15</f>
        <v>100</v>
      </c>
      <c r="M306" s="961"/>
      <c r="N306" s="929">
        <f>'matrik MISI 6'!S15</f>
        <v>100</v>
      </c>
      <c r="O306" s="929"/>
      <c r="P306" s="929">
        <f>'matrik MISI 6'!T15</f>
        <v>100</v>
      </c>
      <c r="Q306" s="929"/>
      <c r="R306" s="929">
        <f>'matrik MISI 6'!U15</f>
        <v>100</v>
      </c>
      <c r="S306" s="929"/>
      <c r="T306" s="929">
        <f>'matrik MISI 6'!V15</f>
        <v>100</v>
      </c>
      <c r="U306" s="929"/>
      <c r="V306" s="929">
        <f>'matrik MISI 6'!W15</f>
        <v>100</v>
      </c>
      <c r="W306" s="929"/>
      <c r="X306" s="929" t="str">
        <f>'matrik MISI 6'!X15</f>
        <v>Bappeda</v>
      </c>
      <c r="Y306" s="565" t="str">
        <f>'matrik MISI 6'!Y15</f>
        <v>Realisasi kinerja  dan anggaran renstra SKPD dibagi target  kinerja dan anggaran renstra SKPD x 100</v>
      </c>
      <c r="Z306" s="565" t="str">
        <f>'matrik MISI 6'!Z15</f>
        <v>Data diperoleh melalui aplikasi pengendalian dan evaluasi pelaksanaan rencana pembangunan daerah dan rumus di IKD di buat menjadi 2 macam .</v>
      </c>
    </row>
    <row r="307" spans="2:26" ht="30">
      <c r="B307" s="940"/>
      <c r="C307" s="941"/>
      <c r="D307" s="940"/>
      <c r="E307" s="940"/>
      <c r="F307" s="940"/>
      <c r="G307" s="940"/>
      <c r="H307" s="164" t="str">
        <f>'matrik MISI 6'!N16</f>
        <v>Persentase program SKPD di Luar RPJMD</v>
      </c>
      <c r="I307" s="164" t="str">
        <f>'matrik MISI 6'!O16</f>
        <v>%</v>
      </c>
      <c r="J307" s="929">
        <f>'matrik MISI 6'!P16</f>
        <v>0</v>
      </c>
      <c r="K307" s="929">
        <f>'matrik MISI 6'!Q16</f>
        <v>0</v>
      </c>
      <c r="L307" s="929">
        <f>'matrik MISI 6'!R16</f>
        <v>0</v>
      </c>
      <c r="M307" s="961"/>
      <c r="N307" s="929">
        <f>'matrik MISI 6'!S16</f>
        <v>0</v>
      </c>
      <c r="O307" s="929"/>
      <c r="P307" s="929">
        <f>'matrik MISI 6'!T16</f>
        <v>0</v>
      </c>
      <c r="Q307" s="929"/>
      <c r="R307" s="929">
        <f>'matrik MISI 6'!U16</f>
        <v>0</v>
      </c>
      <c r="S307" s="929"/>
      <c r="T307" s="929">
        <f>'matrik MISI 6'!V16</f>
        <v>0</v>
      </c>
      <c r="U307" s="929"/>
      <c r="V307" s="929">
        <f>'matrik MISI 6'!W16</f>
        <v>0</v>
      </c>
      <c r="W307" s="929"/>
      <c r="X307" s="929" t="str">
        <f>'matrik MISI 6'!X16</f>
        <v>Bappeda</v>
      </c>
      <c r="Y307" s="565" t="str">
        <f>'matrik MISI 6'!Y16</f>
        <v>Jumlah Program SKPD yang muncul di luar RPJMD dibagi jumlah program SKPD dalam RPJMD</v>
      </c>
      <c r="Z307" s="565" t="str">
        <f>'matrik MISI 6'!Z16</f>
        <v>Data diperoleh melalui aplikasi pengendalian dan evaluasi pelaksanaan rencana pembangunan daerah</v>
      </c>
    </row>
    <row r="308" spans="2:26" ht="30">
      <c r="B308" s="940"/>
      <c r="C308" s="941"/>
      <c r="D308" s="940"/>
      <c r="E308" s="940"/>
      <c r="F308" s="940"/>
      <c r="G308" s="940"/>
      <c r="H308" s="164" t="str">
        <f>'matrik MISI 6'!N17</f>
        <v>Persentase  Kegiatan SKPD di Luar Renstra SKPD</v>
      </c>
      <c r="I308" s="164" t="str">
        <f>'matrik MISI 6'!O17</f>
        <v>%</v>
      </c>
      <c r="J308" s="929">
        <f>'matrik MISI 6'!P17</f>
        <v>0</v>
      </c>
      <c r="K308" s="929">
        <f>'matrik MISI 6'!Q17</f>
        <v>0</v>
      </c>
      <c r="L308" s="929">
        <f>'matrik MISI 6'!R17</f>
        <v>0</v>
      </c>
      <c r="M308" s="961"/>
      <c r="N308" s="929">
        <f>'matrik MISI 6'!S17</f>
        <v>0</v>
      </c>
      <c r="O308" s="929"/>
      <c r="P308" s="929">
        <f>'matrik MISI 6'!T17</f>
        <v>0</v>
      </c>
      <c r="Q308" s="929"/>
      <c r="R308" s="929">
        <f>'matrik MISI 6'!U17</f>
        <v>0</v>
      </c>
      <c r="S308" s="929"/>
      <c r="T308" s="929">
        <f>'matrik MISI 6'!V17</f>
        <v>0</v>
      </c>
      <c r="U308" s="929"/>
      <c r="V308" s="929">
        <f>'matrik MISI 6'!W17</f>
        <v>0</v>
      </c>
      <c r="W308" s="929"/>
      <c r="X308" s="929" t="str">
        <f>'matrik MISI 6'!X17</f>
        <v>Bappeda</v>
      </c>
      <c r="Y308" s="565" t="str">
        <f>'matrik MISI 6'!Y17</f>
        <v>Jumlah Kegiatan SKPD yang muncul di luar Renstra SKPD  dibagi jumlah kegiatan yang tercantum dalam renstra</v>
      </c>
      <c r="Z308" s="565" t="str">
        <f>'matrik MISI 6'!Z17</f>
        <v>Data diperoleh melalui aplikasi pengendalian dan evaluasi pelaksanaan rencana pembangunan daerah</v>
      </c>
    </row>
    <row r="309" spans="2:26" ht="30">
      <c r="B309" s="949">
        <v>7</v>
      </c>
      <c r="C309" s="948" t="str">
        <f>'matrik MISI 3'!B47</f>
        <v>PERHUBUNGAN</v>
      </c>
      <c r="D309" s="949" t="str">
        <f>'matrik MISI 3'!J52</f>
        <v>1.07</v>
      </c>
      <c r="E309" s="949" t="str">
        <f>'matrik MISI 3'!K52</f>
        <v>xx</v>
      </c>
      <c r="F309" s="949">
        <f>'matrik MISI 3'!L52</f>
        <v>17</v>
      </c>
      <c r="G309" s="949" t="str">
        <f>'matrik MISI 3'!M52</f>
        <v>Program peningkatan pelayanan angkutan</v>
      </c>
      <c r="H309" s="164"/>
      <c r="I309" s="164"/>
      <c r="J309" s="929"/>
      <c r="K309" s="929"/>
      <c r="L309" s="929"/>
      <c r="M309" s="961">
        <f>'jangan dihapus 2'!K397</f>
        <v>438440000</v>
      </c>
      <c r="N309" s="961"/>
      <c r="O309" s="961">
        <f>'jangan dihapus 2'!M397</f>
        <v>1064379000</v>
      </c>
      <c r="P309" s="961"/>
      <c r="Q309" s="961">
        <f>'jangan dihapus 2'!O397</f>
        <v>2284000001</v>
      </c>
      <c r="R309" s="961"/>
      <c r="S309" s="961">
        <f>'jangan dihapus 2'!Q397</f>
        <v>1012500001</v>
      </c>
      <c r="T309" s="961"/>
      <c r="U309" s="961">
        <f>'jangan dihapus 2'!S397</f>
        <v>976600000</v>
      </c>
      <c r="V309" s="929"/>
      <c r="W309" s="961">
        <f>SUM(M309:U309)</f>
        <v>5775919002</v>
      </c>
      <c r="X309" s="929"/>
      <c r="Y309" s="565"/>
      <c r="Z309" s="565"/>
    </row>
    <row r="310" spans="2:26" ht="30">
      <c r="B310" s="939"/>
      <c r="C310" s="939"/>
      <c r="D310" s="939"/>
      <c r="E310" s="939"/>
      <c r="F310" s="939"/>
      <c r="G310" s="939"/>
      <c r="H310" s="164" t="str">
        <f>'matrik MISI 3'!N47</f>
        <v>Persentase Kendaraan yang Diuji</v>
      </c>
      <c r="I310" s="164" t="str">
        <f>'matrik MISI 3'!O47</f>
        <v>%</v>
      </c>
      <c r="J310" s="929">
        <f>'matrik MISI 3'!P47</f>
        <v>81.400000000000006</v>
      </c>
      <c r="K310" s="929">
        <f>'matrik MISI 3'!Q47</f>
        <v>90.2</v>
      </c>
      <c r="L310" s="929">
        <f>'matrik MISI 3'!R47</f>
        <v>91.4</v>
      </c>
      <c r="M310" s="961"/>
      <c r="N310" s="929">
        <f>'matrik MISI 3'!S47</f>
        <v>92.3</v>
      </c>
      <c r="O310" s="929"/>
      <c r="P310" s="929">
        <f>'matrik MISI 3'!T47</f>
        <v>93.7</v>
      </c>
      <c r="Q310" s="929"/>
      <c r="R310" s="929">
        <f>'matrik MISI 3'!U47</f>
        <v>94.3</v>
      </c>
      <c r="S310" s="929"/>
      <c r="T310" s="929">
        <f>'matrik MISI 3'!V47</f>
        <v>95</v>
      </c>
      <c r="U310" s="929"/>
      <c r="V310" s="929">
        <f>'matrik MISI 3'!W47</f>
        <v>95</v>
      </c>
      <c r="W310" s="929"/>
      <c r="X310" s="929" t="str">
        <f>'matrik MISI 3'!X47</f>
        <v>DISHUBKOMINFO</v>
      </c>
      <c r="Y310" s="565" t="str">
        <f>'matrik MISI 3'!Y47</f>
        <v>jumlah frequensi pengujian dibagi (jumlah kendaraan yang di uji x 2 )x 100</v>
      </c>
      <c r="Z310" s="565" t="str">
        <f>'matrik MISI 3'!Z47</f>
        <v>Seharusnya setiap unit kendaraan angkutan umum diuji setiap 6 bulan sekali.</v>
      </c>
    </row>
    <row r="311" spans="2:26" ht="45">
      <c r="B311" s="940"/>
      <c r="C311" s="941"/>
      <c r="D311" s="939"/>
      <c r="E311" s="939"/>
      <c r="F311" s="939"/>
      <c r="G311" s="939"/>
      <c r="H311" s="164" t="str">
        <f>'matrik MISI 3'!N52</f>
        <v>Persentase Angkutan Umum yang Melayani Wilayah yang Tersedia Jaringan Jalan</v>
      </c>
      <c r="I311" s="164" t="str">
        <f>'matrik MISI 3'!O52</f>
        <v>%</v>
      </c>
      <c r="J311" s="929">
        <f>'matrik MISI 3'!P52</f>
        <v>70</v>
      </c>
      <c r="K311" s="929">
        <f>'matrik MISI 3'!Q52</f>
        <v>70</v>
      </c>
      <c r="L311" s="929">
        <f>'matrik MISI 3'!R52</f>
        <v>80</v>
      </c>
      <c r="M311" s="961"/>
      <c r="N311" s="929">
        <f>'matrik MISI 3'!S52</f>
        <v>80</v>
      </c>
      <c r="O311" s="929"/>
      <c r="P311" s="929">
        <f>'matrik MISI 3'!T52</f>
        <v>80</v>
      </c>
      <c r="Q311" s="929"/>
      <c r="R311" s="929">
        <f>'matrik MISI 3'!U52</f>
        <v>80</v>
      </c>
      <c r="S311" s="929"/>
      <c r="T311" s="929">
        <f>'matrik MISI 3'!V52</f>
        <v>90</v>
      </c>
      <c r="U311" s="929"/>
      <c r="V311" s="929">
        <f>'matrik MISI 3'!W52</f>
        <v>90</v>
      </c>
      <c r="W311" s="929"/>
      <c r="X311" s="929" t="str">
        <f>'matrik MISI 3'!X52</f>
        <v>DISHUBKOMINFO</v>
      </c>
      <c r="Y311" s="565" t="str">
        <f>'matrik MISI 3'!Y52</f>
        <v>jumlah trayek angkutan umum dibagi jumlah jaringan jalan kabupaten yang tersedia x 100</v>
      </c>
      <c r="Z311" s="565">
        <f>'matrik MISI 3'!Z52</f>
        <v>0</v>
      </c>
    </row>
    <row r="312" spans="2:26" ht="30">
      <c r="B312" s="940"/>
      <c r="C312" s="941"/>
      <c r="D312" s="940"/>
      <c r="E312" s="940"/>
      <c r="F312" s="940"/>
      <c r="G312" s="940"/>
      <c r="H312" s="164" t="str">
        <f>'matrik MISI 3'!N53</f>
        <v xml:space="preserve">Persentase Tersedianya Fasilitas Kelengkapan Jalan </v>
      </c>
      <c r="I312" s="164" t="str">
        <f>'matrik MISI 3'!O53</f>
        <v>%</v>
      </c>
      <c r="J312" s="929">
        <f>'matrik MISI 3'!P53</f>
        <v>50</v>
      </c>
      <c r="K312" s="929">
        <f>'matrik MISI 3'!Q53</f>
        <v>60</v>
      </c>
      <c r="L312" s="929">
        <f>'matrik MISI 3'!R53</f>
        <v>61</v>
      </c>
      <c r="M312" s="961"/>
      <c r="N312" s="929">
        <f>'matrik MISI 3'!S53</f>
        <v>63</v>
      </c>
      <c r="O312" s="929"/>
      <c r="P312" s="929">
        <f>'matrik MISI 3'!T53</f>
        <v>65</v>
      </c>
      <c r="Q312" s="929"/>
      <c r="R312" s="929">
        <f>'matrik MISI 3'!U53</f>
        <v>67</v>
      </c>
      <c r="S312" s="929"/>
      <c r="T312" s="929">
        <f>'matrik MISI 3'!V53</f>
        <v>69</v>
      </c>
      <c r="U312" s="929"/>
      <c r="V312" s="929">
        <f>'matrik MISI 3'!W53</f>
        <v>69</v>
      </c>
      <c r="W312" s="929"/>
      <c r="X312" s="929" t="str">
        <f>'matrik MISI 3'!X53</f>
        <v>DISHUBKOMINFO</v>
      </c>
      <c r="Y312" s="565" t="str">
        <f>'matrik MISI 3'!Y53</f>
        <v>jumlah fasilitas kelengkapan jalan yang ada/ jumlah fasilitas kelengkapan jalan yang seharusnya ada</v>
      </c>
      <c r="Z312" s="565">
        <f>'matrik MISI 3'!Z53</f>
        <v>0</v>
      </c>
    </row>
    <row r="313" spans="2:26" ht="45">
      <c r="B313" s="940"/>
      <c r="C313" s="941"/>
      <c r="D313" s="940"/>
      <c r="E313" s="940"/>
      <c r="F313" s="940"/>
      <c r="G313" s="940"/>
      <c r="H313" s="164" t="str">
        <f>'matrik MISI 3'!N54</f>
        <v>Cakupan  perusahan  Angkutan Umum yang Mempunyai Izin Usaha dan Trayek</v>
      </c>
      <c r="I313" s="164" t="str">
        <f>'matrik MISI 3'!O54</f>
        <v>%</v>
      </c>
      <c r="J313" s="929">
        <f>'matrik MISI 3'!P54</f>
        <v>100</v>
      </c>
      <c r="K313" s="929">
        <f>'matrik MISI 3'!Q54</f>
        <v>100</v>
      </c>
      <c r="L313" s="929">
        <f>'matrik MISI 3'!R54</f>
        <v>100</v>
      </c>
      <c r="M313" s="961"/>
      <c r="N313" s="929">
        <f>'matrik MISI 3'!S54</f>
        <v>100</v>
      </c>
      <c r="O313" s="929"/>
      <c r="P313" s="929">
        <f>'matrik MISI 3'!T54</f>
        <v>100</v>
      </c>
      <c r="Q313" s="929"/>
      <c r="R313" s="929">
        <f>'matrik MISI 3'!U54</f>
        <v>100</v>
      </c>
      <c r="S313" s="929"/>
      <c r="T313" s="929">
        <f>'matrik MISI 3'!V54</f>
        <v>100</v>
      </c>
      <c r="U313" s="929"/>
      <c r="V313" s="929">
        <f>'matrik MISI 3'!W54</f>
        <v>100</v>
      </c>
      <c r="W313" s="929"/>
      <c r="X313" s="929" t="str">
        <f>'matrik MISI 3'!X54</f>
        <v>DISHUBKOMINFO</v>
      </c>
      <c r="Y313" s="565" t="str">
        <f>'matrik MISI 3'!Y54</f>
        <v>jumlah perusahan angkutan umum yang memiliki  ijin usaha dan trayek di bagi jumlah perusahan angkutan umum  yang ada</v>
      </c>
      <c r="Z313" s="565">
        <f>'matrik MISI 3'!Z54</f>
        <v>0</v>
      </c>
    </row>
    <row r="314" spans="2:26" ht="60">
      <c r="B314" s="940"/>
      <c r="C314" s="941"/>
      <c r="D314" s="940" t="str">
        <f>'matrik MISI 3'!J48</f>
        <v>1.07</v>
      </c>
      <c r="E314" s="940" t="str">
        <f>'matrik MISI 3'!K48</f>
        <v>xx</v>
      </c>
      <c r="F314" s="940">
        <f>'matrik MISI 3'!L48</f>
        <v>16</v>
      </c>
      <c r="G314" s="940" t="str">
        <f>'matrik MISI 3'!M48</f>
        <v>Program Rehabilitasi dan Pemeliharaan Prasarana dan Fasilitas LLAJ</v>
      </c>
      <c r="H314" s="164"/>
      <c r="I314" s="164"/>
      <c r="J314" s="929"/>
      <c r="K314" s="929"/>
      <c r="L314" s="929"/>
      <c r="M314" s="961">
        <f>'jangan dihapus 2'!K373</f>
        <v>219820000</v>
      </c>
      <c r="N314" s="961"/>
      <c r="O314" s="961">
        <f>'jangan dihapus 2'!M373</f>
        <v>707981000</v>
      </c>
      <c r="P314" s="961"/>
      <c r="Q314" s="961">
        <f>'jangan dihapus 2'!O373</f>
        <v>8315000000</v>
      </c>
      <c r="R314" s="961"/>
      <c r="S314" s="961">
        <f>'jangan dihapus 2'!Q373</f>
        <v>1405000000</v>
      </c>
      <c r="T314" s="961"/>
      <c r="U314" s="961">
        <f>'jangan dihapus 2'!S373</f>
        <v>1205000000</v>
      </c>
      <c r="V314" s="929"/>
      <c r="W314" s="961">
        <f>SUM(M314:U314)</f>
        <v>11852801000</v>
      </c>
      <c r="X314" s="929"/>
      <c r="Y314" s="565"/>
      <c r="Z314" s="565"/>
    </row>
    <row r="315" spans="2:26" ht="30">
      <c r="B315" s="940"/>
      <c r="C315" s="941"/>
      <c r="D315" s="939"/>
      <c r="E315" s="939"/>
      <c r="F315" s="939"/>
      <c r="G315" s="939"/>
      <c r="H315" s="164" t="str">
        <f>'matrik MISI 3'!N48</f>
        <v>Persentase keselamatan angkutan umum</v>
      </c>
      <c r="I315" s="164" t="str">
        <f>'matrik MISI 3'!O48</f>
        <v>%</v>
      </c>
      <c r="J315" s="929">
        <f>'matrik MISI 3'!P48</f>
        <v>81.400000000000006</v>
      </c>
      <c r="K315" s="929">
        <f>'matrik MISI 3'!Q48</f>
        <v>90.2</v>
      </c>
      <c r="L315" s="929">
        <f>'matrik MISI 3'!R48</f>
        <v>91.4</v>
      </c>
      <c r="M315" s="961"/>
      <c r="N315" s="929">
        <f>'matrik MISI 3'!S48</f>
        <v>92.3</v>
      </c>
      <c r="O315" s="929"/>
      <c r="P315" s="929">
        <f>'matrik MISI 3'!T48</f>
        <v>93.7</v>
      </c>
      <c r="Q315" s="929"/>
      <c r="R315" s="929">
        <f>'matrik MISI 3'!U48</f>
        <v>94.3</v>
      </c>
      <c r="S315" s="929"/>
      <c r="T315" s="929">
        <f>'matrik MISI 3'!V48</f>
        <v>95</v>
      </c>
      <c r="U315" s="929"/>
      <c r="V315" s="929">
        <f>'matrik MISI 3'!W48</f>
        <v>95</v>
      </c>
      <c r="W315" s="929"/>
      <c r="X315" s="929" t="str">
        <f>'matrik MISI 3'!X48</f>
        <v>DISHUBKOMINFO</v>
      </c>
      <c r="Y315" s="565" t="str">
        <f>'matrik MISI 3'!Y48</f>
        <v>Jumlah Angkutan Umum yang Memenuhi Standar Keselamatan : jumlah angkutan umum) X 100%</v>
      </c>
      <c r="Z315" s="565">
        <f>'matrik MISI 3'!Z48</f>
        <v>0</v>
      </c>
    </row>
    <row r="316" spans="2:26" ht="45">
      <c r="B316" s="940"/>
      <c r="C316" s="941"/>
      <c r="D316" s="940" t="str">
        <f>'matrik MISI 3'!J49</f>
        <v>1.07</v>
      </c>
      <c r="E316" s="940" t="str">
        <f>'matrik MISI 3'!K49</f>
        <v>xx</v>
      </c>
      <c r="F316" s="940">
        <f>'matrik MISI 3'!L49</f>
        <v>18</v>
      </c>
      <c r="G316" s="940" t="str">
        <f>'matrik MISI 3'!M49</f>
        <v>Program Pembangunan  Sarana dan Prasarana Perhubungan</v>
      </c>
      <c r="H316" s="164"/>
      <c r="I316" s="164"/>
      <c r="J316" s="929"/>
      <c r="K316" s="929"/>
      <c r="L316" s="929"/>
      <c r="M316" s="961">
        <f>'jangan dihapus 2'!K393</f>
        <v>558176500</v>
      </c>
      <c r="N316" s="961">
        <f>'jangan dihapus 2'!L393</f>
        <v>0</v>
      </c>
      <c r="O316" s="961">
        <f>'jangan dihapus 2'!M393</f>
        <v>610000000</v>
      </c>
      <c r="P316" s="961">
        <f>'jangan dihapus 2'!N393</f>
        <v>0</v>
      </c>
      <c r="Q316" s="961">
        <f>'jangan dihapus 2'!O393</f>
        <v>765000000</v>
      </c>
      <c r="R316" s="961">
        <f>'jangan dihapus 2'!P393</f>
        <v>0</v>
      </c>
      <c r="S316" s="961">
        <f>'jangan dihapus 2'!Q393</f>
        <v>875000000</v>
      </c>
      <c r="T316" s="961">
        <f>'jangan dihapus 2'!R393</f>
        <v>0</v>
      </c>
      <c r="U316" s="961">
        <f>'jangan dihapus 2'!S393</f>
        <v>985000000</v>
      </c>
      <c r="V316" s="929"/>
      <c r="W316" s="961">
        <f>SUM(M316:U316)</f>
        <v>3793176500</v>
      </c>
      <c r="X316" s="929"/>
      <c r="Y316" s="565"/>
      <c r="Z316" s="565"/>
    </row>
    <row r="317" spans="2:26" ht="30">
      <c r="B317" s="940"/>
      <c r="C317" s="941"/>
      <c r="D317" s="939"/>
      <c r="E317" s="939"/>
      <c r="F317" s="939"/>
      <c r="G317" s="939"/>
      <c r="H317" s="164" t="str">
        <f>'matrik MISI 3'!N49</f>
        <v>Tersedianya Fasilitas  Terminal (tipe b)</v>
      </c>
      <c r="I317" s="164" t="str">
        <f>'matrik MISI 3'!O49</f>
        <v>Unit</v>
      </c>
      <c r="J317" s="929">
        <f>'matrik MISI 3'!P49</f>
        <v>1</v>
      </c>
      <c r="K317" s="929">
        <f>'matrik MISI 3'!Q49</f>
        <v>1</v>
      </c>
      <c r="L317" s="929">
        <f>'matrik MISI 3'!R49</f>
        <v>1</v>
      </c>
      <c r="M317" s="961"/>
      <c r="N317" s="929">
        <f>'matrik MISI 3'!S49</f>
        <v>1</v>
      </c>
      <c r="O317" s="929"/>
      <c r="P317" s="929">
        <f>'matrik MISI 3'!T49</f>
        <v>1</v>
      </c>
      <c r="Q317" s="929"/>
      <c r="R317" s="929">
        <f>'matrik MISI 3'!U49</f>
        <v>1</v>
      </c>
      <c r="S317" s="929"/>
      <c r="T317" s="929">
        <f>'matrik MISI 3'!V49</f>
        <v>1</v>
      </c>
      <c r="U317" s="929"/>
      <c r="V317" s="929">
        <f>'matrik MISI 3'!W49</f>
        <v>1</v>
      </c>
      <c r="W317" s="929"/>
      <c r="X317" s="929" t="str">
        <f>'matrik MISI 3'!X49</f>
        <v>DISHUBKOMINFO</v>
      </c>
      <c r="Y317" s="565" t="str">
        <f>'matrik MISI 3'!Y49</f>
        <v>unit</v>
      </c>
      <c r="Z317" s="565">
        <f>'matrik MISI 3'!Z49</f>
        <v>0</v>
      </c>
    </row>
    <row r="318" spans="2:26">
      <c r="B318" s="940"/>
      <c r="C318" s="941"/>
      <c r="D318" s="940"/>
      <c r="E318" s="940"/>
      <c r="F318" s="940"/>
      <c r="G318" s="940"/>
      <c r="H318" s="164" t="str">
        <f>'matrik MISI 3'!N50</f>
        <v>Tersedianya sub terminal (tipe c)</v>
      </c>
      <c r="I318" s="164" t="str">
        <f>'matrik MISI 3'!O50</f>
        <v>Unit</v>
      </c>
      <c r="J318" s="929">
        <f>'matrik MISI 3'!P50</f>
        <v>12</v>
      </c>
      <c r="K318" s="929">
        <f>'matrik MISI 3'!Q50</f>
        <v>12</v>
      </c>
      <c r="L318" s="929">
        <f>'matrik MISI 3'!R50</f>
        <v>12</v>
      </c>
      <c r="M318" s="961"/>
      <c r="N318" s="929">
        <f>'matrik MISI 3'!S50</f>
        <v>12</v>
      </c>
      <c r="O318" s="929"/>
      <c r="P318" s="929">
        <f>'matrik MISI 3'!T50</f>
        <v>12</v>
      </c>
      <c r="Q318" s="929"/>
      <c r="R318" s="929">
        <f>'matrik MISI 3'!U50</f>
        <v>12</v>
      </c>
      <c r="S318" s="929"/>
      <c r="T318" s="929">
        <f>'matrik MISI 3'!V50</f>
        <v>12</v>
      </c>
      <c r="U318" s="929"/>
      <c r="V318" s="929">
        <f>'matrik MISI 3'!W50</f>
        <v>12</v>
      </c>
      <c r="W318" s="929"/>
      <c r="X318" s="929" t="str">
        <f>'matrik MISI 3'!X50</f>
        <v>DISHUBKOMINFO</v>
      </c>
      <c r="Y318" s="565" t="str">
        <f>'matrik MISI 3'!Y50</f>
        <v>unit</v>
      </c>
      <c r="Z318" s="565">
        <f>'matrik MISI 3'!Z50</f>
        <v>0</v>
      </c>
    </row>
    <row r="319" spans="2:26" ht="30">
      <c r="B319" s="940"/>
      <c r="C319" s="941"/>
      <c r="D319" s="940"/>
      <c r="E319" s="940"/>
      <c r="F319" s="940"/>
      <c r="G319" s="940"/>
      <c r="H319" s="164" t="str">
        <f>'matrik MISI 3'!N51</f>
        <v xml:space="preserve">Tersedianya Fasilitas Kelengkapan Jalan </v>
      </c>
      <c r="I319" s="164" t="str">
        <f>'matrik MISI 3'!O51</f>
        <v>%</v>
      </c>
      <c r="J319" s="929">
        <f>'matrik MISI 3'!P51</f>
        <v>50</v>
      </c>
      <c r="K319" s="929">
        <f>'matrik MISI 3'!Q51</f>
        <v>60</v>
      </c>
      <c r="L319" s="929">
        <f>'matrik MISI 3'!R51</f>
        <v>61</v>
      </c>
      <c r="M319" s="961"/>
      <c r="N319" s="929">
        <f>'matrik MISI 3'!S51</f>
        <v>63</v>
      </c>
      <c r="O319" s="929"/>
      <c r="P319" s="929">
        <f>'matrik MISI 3'!T51</f>
        <v>65</v>
      </c>
      <c r="Q319" s="929"/>
      <c r="R319" s="929">
        <f>'matrik MISI 3'!U51</f>
        <v>67</v>
      </c>
      <c r="S319" s="929"/>
      <c r="T319" s="929">
        <f>'matrik MISI 3'!V51</f>
        <v>69</v>
      </c>
      <c r="U319" s="929"/>
      <c r="V319" s="929">
        <f>'matrik MISI 3'!W51</f>
        <v>69</v>
      </c>
      <c r="W319" s="929"/>
      <c r="X319" s="929" t="str">
        <f>'matrik MISI 3'!X51</f>
        <v>DISHUBKOMINFO</v>
      </c>
      <c r="Y319" s="565" t="str">
        <f>'matrik MISI 3'!Y51</f>
        <v>jumlah rambu keselamatan jalan dibagi jumlah rambu yang seharusnya terpasang x 100</v>
      </c>
      <c r="Z319" s="565">
        <f>'matrik MISI 3'!Z51</f>
        <v>0</v>
      </c>
    </row>
    <row r="320" spans="2:26" ht="51" customHeight="1">
      <c r="B320" s="949">
        <v>8</v>
      </c>
      <c r="C320" s="948" t="str">
        <f>'matrik MISI 3'!B36</f>
        <v>LINGKUNGAN HIDUP</v>
      </c>
      <c r="D320" s="949" t="str">
        <f>'matrik MISI 3'!J37</f>
        <v>1.08</v>
      </c>
      <c r="E320" s="949" t="str">
        <f>'matrik MISI 3'!K37</f>
        <v>xx</v>
      </c>
      <c r="F320" s="949">
        <f>'matrik MISI 3'!L37</f>
        <v>15</v>
      </c>
      <c r="G320" s="949" t="str">
        <f>'matrik MISI 3'!M37</f>
        <v>Program Pengembangan Kinerja Pengelolaan Persampahan</v>
      </c>
      <c r="H320" s="164"/>
      <c r="I320" s="164"/>
      <c r="J320" s="929"/>
      <c r="K320" s="929"/>
      <c r="L320" s="929"/>
      <c r="M320" s="961">
        <f>'jangan dihapus 2'!K435</f>
        <v>3648500000</v>
      </c>
      <c r="N320" s="961"/>
      <c r="O320" s="961">
        <f>'jangan dihapus 2'!M435</f>
        <v>2750057500</v>
      </c>
      <c r="P320" s="961"/>
      <c r="Q320" s="961">
        <f>'jangan dihapus 2'!O435</f>
        <v>8650000000</v>
      </c>
      <c r="R320" s="961"/>
      <c r="S320" s="961">
        <f>'jangan dihapus 2'!Q435</f>
        <v>6070000000</v>
      </c>
      <c r="T320" s="961"/>
      <c r="U320" s="961">
        <f>'jangan dihapus 2'!S435</f>
        <v>13120000000</v>
      </c>
      <c r="V320" s="929"/>
      <c r="W320" s="961">
        <f>SUM(M320:U320)</f>
        <v>34238557500</v>
      </c>
      <c r="X320" s="929"/>
      <c r="Y320" s="565"/>
      <c r="Z320" s="565"/>
    </row>
    <row r="321" spans="2:26" ht="45">
      <c r="B321" s="940"/>
      <c r="C321" s="941"/>
      <c r="D321" s="940"/>
      <c r="E321" s="940"/>
      <c r="F321" s="940"/>
      <c r="G321" s="940"/>
      <c r="H321" s="164" t="str">
        <f>'matrik MISI 3'!N37</f>
        <v>Proporsi Sampah Terangkut terhadap Produksi Sampah se-Kab. Temanggung</v>
      </c>
      <c r="I321" s="164" t="str">
        <f>'matrik MISI 3'!O37</f>
        <v>%</v>
      </c>
      <c r="J321" s="929">
        <f>'matrik MISI 3'!P37</f>
        <v>10.38</v>
      </c>
      <c r="K321" s="929">
        <f>'matrik MISI 3'!Q37</f>
        <v>10.35</v>
      </c>
      <c r="L321" s="929" t="str">
        <f>'matrik MISI 3'!R37</f>
        <v>12,50</v>
      </c>
      <c r="M321" s="961"/>
      <c r="N321" s="929">
        <f>'matrik MISI 3'!S37</f>
        <v>13</v>
      </c>
      <c r="O321" s="929"/>
      <c r="P321" s="929" t="str">
        <f>'matrik MISI 3'!T37</f>
        <v>13,50</v>
      </c>
      <c r="Q321" s="929"/>
      <c r="R321" s="929">
        <f>'matrik MISI 3'!U37</f>
        <v>14</v>
      </c>
      <c r="S321" s="929"/>
      <c r="T321" s="929" t="str">
        <f>'matrik MISI 3'!V37</f>
        <v>14,50</v>
      </c>
      <c r="U321" s="929"/>
      <c r="V321" s="929">
        <f>'matrik MISI 3'!W37</f>
        <v>15</v>
      </c>
      <c r="W321" s="929"/>
      <c r="X321" s="929" t="str">
        <f>'matrik MISI 3'!X37</f>
        <v>DPU</v>
      </c>
      <c r="Y321" s="565" t="str">
        <f>'matrik MISI 3'!Y37</f>
        <v>jumlah sampah terangkut / jumlah volume sampah se-kabupaten temanggung x 100 %</v>
      </c>
      <c r="Z321" s="565">
        <f>'matrik MISI 3'!Z37</f>
        <v>0</v>
      </c>
    </row>
    <row r="322" spans="2:26" ht="60">
      <c r="B322" s="940"/>
      <c r="C322" s="941"/>
      <c r="D322" s="940"/>
      <c r="E322" s="940"/>
      <c r="F322" s="940"/>
      <c r="G322" s="940"/>
      <c r="H322" s="164" t="str">
        <f>'matrik MISI 3'!N38</f>
        <v>Proporsi Sampah Terangkut terhadap Produksi Sampah Ibukota Kabupaten          (Kecamatan Temanggung)</v>
      </c>
      <c r="I322" s="164" t="str">
        <f>'matrik MISI 3'!O38</f>
        <v>%</v>
      </c>
      <c r="J322" s="929">
        <f>'matrik MISI 3'!P38</f>
        <v>76</v>
      </c>
      <c r="K322" s="929">
        <f>'matrik MISI 3'!Q38</f>
        <v>80</v>
      </c>
      <c r="L322" s="929">
        <f>'matrik MISI 3'!R38</f>
        <v>80</v>
      </c>
      <c r="M322" s="961"/>
      <c r="N322" s="929">
        <f>'matrik MISI 3'!S38</f>
        <v>83</v>
      </c>
      <c r="O322" s="929"/>
      <c r="P322" s="929">
        <f>'matrik MISI 3'!T38</f>
        <v>85</v>
      </c>
      <c r="Q322" s="929"/>
      <c r="R322" s="929">
        <f>'matrik MISI 3'!U38</f>
        <v>86</v>
      </c>
      <c r="S322" s="929"/>
      <c r="T322" s="929">
        <f>'matrik MISI 3'!V38</f>
        <v>87</v>
      </c>
      <c r="U322" s="929"/>
      <c r="V322" s="929">
        <f>'matrik MISI 3'!W38</f>
        <v>87</v>
      </c>
      <c r="W322" s="929"/>
      <c r="X322" s="929" t="str">
        <f>'matrik MISI 3'!X38</f>
        <v>DPU</v>
      </c>
      <c r="Y322" s="565" t="str">
        <f>'matrik MISI 3'!Y38</f>
        <v>jumlah Kelurahan/ desa terlayani/ jumlah Kelurahan/ Desa yang ada x 100 %</v>
      </c>
      <c r="Z322" s="565">
        <f>'matrik MISI 3'!Z38</f>
        <v>0</v>
      </c>
    </row>
    <row r="323" spans="2:26" ht="60">
      <c r="B323" s="940"/>
      <c r="C323" s="941"/>
      <c r="D323" s="940"/>
      <c r="E323" s="940"/>
      <c r="F323" s="940"/>
      <c r="G323" s="940"/>
      <c r="H323" s="164" t="str">
        <f>'matrik MISI 3'!N39</f>
        <v>Proporsi Sampah Terangkut /tertangani terhadap Produksi Sampah perkotaan (Ibukota kecamatan se-Kab. Temanggung)</v>
      </c>
      <c r="I323" s="164" t="str">
        <f>'matrik MISI 3'!O39</f>
        <v>%</v>
      </c>
      <c r="J323" s="929">
        <f>'matrik MISI 3'!P39</f>
        <v>45</v>
      </c>
      <c r="K323" s="929">
        <f>'matrik MISI 3'!Q39</f>
        <v>50</v>
      </c>
      <c r="L323" s="929">
        <f>'matrik MISI 3'!R39</f>
        <v>55</v>
      </c>
      <c r="M323" s="961"/>
      <c r="N323" s="929">
        <f>'matrik MISI 3'!S39</f>
        <v>55</v>
      </c>
      <c r="O323" s="929"/>
      <c r="P323" s="929">
        <f>'matrik MISI 3'!T39</f>
        <v>60</v>
      </c>
      <c r="Q323" s="929"/>
      <c r="R323" s="929">
        <f>'matrik MISI 3'!U39</f>
        <v>60</v>
      </c>
      <c r="S323" s="929"/>
      <c r="T323" s="929">
        <f>'matrik MISI 3'!V39</f>
        <v>65</v>
      </c>
      <c r="U323" s="929"/>
      <c r="V323" s="929">
        <f>'matrik MISI 3'!W39</f>
        <v>65</v>
      </c>
      <c r="W323" s="929"/>
      <c r="X323" s="929" t="str">
        <f>'matrik MISI 3'!X39</f>
        <v>DPU</v>
      </c>
      <c r="Y323" s="565" t="str">
        <f>'matrik MISI 3'!Y39</f>
        <v>jumlah ikk yang dilayani / jumlah kk yg ada x 100 %</v>
      </c>
      <c r="Z323" s="565" t="str">
        <f>'matrik MISI 3'!Z39</f>
        <v>pada tahun 2013 yang sudah dilayani adalah IKK Candiroto, Ngadirejo, Parakan, Bulu, Kedu, Temanggung, Tlogomulyo, Kranggan, Kandangan, Pringsurat</v>
      </c>
    </row>
    <row r="324" spans="2:26" ht="30">
      <c r="B324" s="940"/>
      <c r="C324" s="941"/>
      <c r="D324" s="940"/>
      <c r="E324" s="940"/>
      <c r="F324" s="940"/>
      <c r="G324" s="940"/>
      <c r="H324" s="164" t="str">
        <f>'matrik MISI 3'!N40</f>
        <v>Terwujudnya TPA Temanggung wilayah Utara</v>
      </c>
      <c r="I324" s="164" t="str">
        <f>'matrik MISI 3'!O40</f>
        <v>unit</v>
      </c>
      <c r="J324" s="929" t="str">
        <f>'matrik MISI 3'!P40</f>
        <v>-</v>
      </c>
      <c r="K324" s="929" t="str">
        <f>'matrik MISI 3'!Q40</f>
        <v>-</v>
      </c>
      <c r="L324" s="929" t="str">
        <f>'matrik MISI 3'!R40</f>
        <v>-</v>
      </c>
      <c r="M324" s="961"/>
      <c r="N324" s="929">
        <f>'matrik MISI 3'!S40</f>
        <v>0</v>
      </c>
      <c r="O324" s="929"/>
      <c r="P324" s="929">
        <f>'matrik MISI 3'!T40</f>
        <v>0</v>
      </c>
      <c r="Q324" s="929"/>
      <c r="R324" s="929">
        <f>'matrik MISI 3'!U40</f>
        <v>1</v>
      </c>
      <c r="S324" s="929"/>
      <c r="T324" s="929">
        <f>'matrik MISI 3'!V40</f>
        <v>1</v>
      </c>
      <c r="U324" s="929"/>
      <c r="V324" s="929">
        <f>'matrik MISI 3'!W40</f>
        <v>1</v>
      </c>
      <c r="W324" s="929"/>
      <c r="X324" s="929" t="str">
        <f>'matrik MISI 3'!X40</f>
        <v>DPU, Pemerintahan Umum, BLH</v>
      </c>
      <c r="Y324" s="565">
        <f>'matrik MISI 3'!Y40</f>
        <v>0</v>
      </c>
      <c r="Z324" s="565" t="str">
        <f>'matrik MISI 3'!Z40</f>
        <v>satuan unit</v>
      </c>
    </row>
    <row r="325" spans="2:26" ht="60">
      <c r="B325" s="940"/>
      <c r="C325" s="941"/>
      <c r="D325" s="940" t="str">
        <f>'matrik MISI 3'!J41</f>
        <v>1.08</v>
      </c>
      <c r="E325" s="940" t="str">
        <f>'matrik MISI 3'!K41</f>
        <v>xx</v>
      </c>
      <c r="F325" s="940">
        <f>'matrik MISI 3'!L41</f>
        <v>15</v>
      </c>
      <c r="G325" s="940" t="str">
        <f>'matrik MISI 3'!M41</f>
        <v>Program Pengendalian Pencemaran dan Perusakan Lingkungan Hidup</v>
      </c>
      <c r="H325" s="164"/>
      <c r="I325" s="164"/>
      <c r="J325" s="929"/>
      <c r="K325" s="929"/>
      <c r="L325" s="929"/>
      <c r="M325" s="961">
        <f>'jangan dihapus 2'!K452+'jangan dihapus 2'!K468+'jangan dihapus 2'!K480+'jangan dihapus 2'!K483+'jangan dihapus 2'!K488</f>
        <v>2889738500</v>
      </c>
      <c r="N325" s="961"/>
      <c r="O325" s="961">
        <f>'jangan dihapus 2'!M452+'jangan dihapus 2'!M468+'jangan dihapus 2'!M480+'jangan dihapus 2'!M483+'jangan dihapus 2'!M488</f>
        <v>4400833500</v>
      </c>
      <c r="P325" s="961"/>
      <c r="Q325" s="961">
        <f>'jangan dihapus 2'!O452+'jangan dihapus 2'!O468+'jangan dihapus 2'!O480+'jangan dihapus 2'!O483+'jangan dihapus 2'!O488</f>
        <v>5100000000</v>
      </c>
      <c r="R325" s="961"/>
      <c r="S325" s="961">
        <f>'jangan dihapus 2'!Q452+'jangan dihapus 2'!Q468+'jangan dihapus 2'!Q480+'jangan dihapus 2'!Q483+'jangan dihapus 2'!Q488</f>
        <v>5315000000</v>
      </c>
      <c r="T325" s="961"/>
      <c r="U325" s="961">
        <f>'jangan dihapus 2'!S452+'jangan dihapus 2'!S468+'jangan dihapus 2'!S480+'jangan dihapus 2'!S483+'jangan dihapus 2'!S488</f>
        <v>5845000000</v>
      </c>
      <c r="V325" s="929"/>
      <c r="W325" s="961">
        <f>SUM(M325:U325)</f>
        <v>23550572000</v>
      </c>
      <c r="X325" s="929"/>
      <c r="Y325" s="565"/>
      <c r="Z325" s="565"/>
    </row>
    <row r="326" spans="2:26" ht="75">
      <c r="B326" s="940"/>
      <c r="C326" s="941"/>
      <c r="D326" s="939"/>
      <c r="E326" s="939"/>
      <c r="F326" s="939"/>
      <c r="G326" s="939"/>
      <c r="H326" s="164" t="str">
        <f>'matrik MISI 3'!N41</f>
        <v>Persentase Usaha dan atau Kegiatan yang Mentaati Persyaratan Administrasi dan Teknis Pencegahan Pencemaran Air</v>
      </c>
      <c r="I326" s="164" t="str">
        <f>'matrik MISI 3'!O41</f>
        <v>%</v>
      </c>
      <c r="J326" s="929">
        <f>'matrik MISI 3'!P41</f>
        <v>100</v>
      </c>
      <c r="K326" s="929">
        <f>'matrik MISI 3'!Q41</f>
        <v>100</v>
      </c>
      <c r="L326" s="929">
        <f>'matrik MISI 3'!R41</f>
        <v>100</v>
      </c>
      <c r="M326" s="961"/>
      <c r="N326" s="929">
        <f>'matrik MISI 3'!S41</f>
        <v>100</v>
      </c>
      <c r="O326" s="929"/>
      <c r="P326" s="929">
        <f>'matrik MISI 3'!T41</f>
        <v>100</v>
      </c>
      <c r="Q326" s="929"/>
      <c r="R326" s="929">
        <f>'matrik MISI 3'!U41</f>
        <v>100</v>
      </c>
      <c r="S326" s="929"/>
      <c r="T326" s="929">
        <f>'matrik MISI 3'!V41</f>
        <v>100</v>
      </c>
      <c r="U326" s="929"/>
      <c r="V326" s="929">
        <f>'matrik MISI 3'!W41</f>
        <v>100</v>
      </c>
      <c r="W326" s="929"/>
      <c r="X326" s="929" t="str">
        <f>'matrik MISI 3'!X41</f>
        <v>BLH</v>
      </c>
      <c r="Y326" s="565" t="str">
        <f>'matrik MISI 3'!Y41</f>
        <v>(Jumlah usaha dan/atau kegiatan yang mentaati   persyaratan administrasi dan teknis pencegahan pencemaran air : jumlah usaha dan/atau kegiatan yang potensial mencemari air ) x 100</v>
      </c>
      <c r="Z326" s="565">
        <f>'matrik MISI 3'!Z41</f>
        <v>0</v>
      </c>
    </row>
    <row r="327" spans="2:26" ht="90">
      <c r="B327" s="940"/>
      <c r="C327" s="941"/>
      <c r="D327" s="940"/>
      <c r="E327" s="940"/>
      <c r="F327" s="940"/>
      <c r="G327" s="940"/>
      <c r="H327" s="164" t="str">
        <f>'matrik MISI 3'!N42</f>
        <v>Persentase Usaha dan atau Kegiatan sumber yang Tidak Bergerak yang Memenuhi Persyaratan Administrasi dan Teknis Pencegahan Pencemaran Udara</v>
      </c>
      <c r="I327" s="164" t="str">
        <f>'matrik MISI 3'!O42</f>
        <v>%</v>
      </c>
      <c r="J327" s="929" t="str">
        <f>'matrik MISI 3'!P42</f>
        <v>87,50</v>
      </c>
      <c r="K327" s="929">
        <f>'matrik MISI 3'!Q42</f>
        <v>100</v>
      </c>
      <c r="L327" s="929">
        <f>'matrik MISI 3'!R42</f>
        <v>100</v>
      </c>
      <c r="M327" s="961"/>
      <c r="N327" s="929">
        <f>'matrik MISI 3'!S42</f>
        <v>100</v>
      </c>
      <c r="O327" s="929"/>
      <c r="P327" s="929">
        <f>'matrik MISI 3'!T42</f>
        <v>100</v>
      </c>
      <c r="Q327" s="929"/>
      <c r="R327" s="929">
        <f>'matrik MISI 3'!U42</f>
        <v>100</v>
      </c>
      <c r="S327" s="929"/>
      <c r="T327" s="929">
        <f>'matrik MISI 3'!V42</f>
        <v>100</v>
      </c>
      <c r="U327" s="929"/>
      <c r="V327" s="929">
        <f>'matrik MISI 3'!W42</f>
        <v>100</v>
      </c>
      <c r="W327" s="929"/>
      <c r="X327" s="929" t="str">
        <f>'matrik MISI 3'!X42</f>
        <v>BLH</v>
      </c>
      <c r="Y327" s="565"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27" s="565">
        <f>'matrik MISI 3'!Z42</f>
        <v>0</v>
      </c>
    </row>
    <row r="328" spans="2:26" ht="75">
      <c r="B328" s="940"/>
      <c r="C328" s="941"/>
      <c r="D328" s="940"/>
      <c r="E328" s="940"/>
      <c r="F328" s="940"/>
      <c r="G328" s="940"/>
      <c r="H328" s="164" t="str">
        <f>'matrik MISI 3'!N43</f>
        <v>Persentase Luas Lahan yang ditetapkan dan diinformasikan status kerusakan lahan atau tanah untuk Produksi Biomassa Kerusakannya</v>
      </c>
      <c r="I328" s="164" t="str">
        <f>'matrik MISI 3'!O43</f>
        <v>%</v>
      </c>
      <c r="J328" s="929" t="str">
        <f>'matrik MISI 3'!P43</f>
        <v>-</v>
      </c>
      <c r="K328" s="929" t="str">
        <f>'matrik MISI 3'!Q43</f>
        <v>-</v>
      </c>
      <c r="L328" s="929">
        <f>'matrik MISI 3'!R43</f>
        <v>20</v>
      </c>
      <c r="M328" s="961"/>
      <c r="N328" s="929">
        <f>'matrik MISI 3'!S43</f>
        <v>40</v>
      </c>
      <c r="O328" s="929"/>
      <c r="P328" s="929">
        <f>'matrik MISI 3'!T43</f>
        <v>60</v>
      </c>
      <c r="Q328" s="929"/>
      <c r="R328" s="929">
        <f>'matrik MISI 3'!U43</f>
        <v>80</v>
      </c>
      <c r="S328" s="929"/>
      <c r="T328" s="929">
        <f>'matrik MISI 3'!V43</f>
        <v>100</v>
      </c>
      <c r="U328" s="929"/>
      <c r="V328" s="929">
        <f>'matrik MISI 3'!W43</f>
        <v>100</v>
      </c>
      <c r="W328" s="929"/>
      <c r="X328" s="929" t="str">
        <f>'matrik MISI 3'!X43</f>
        <v>BLH</v>
      </c>
      <c r="Y328" s="565" t="str">
        <f>'matrik MISI 3'!Y43</f>
        <v>(luas lahan yang ditetapkan dan diinformasikan status kerusakan lahan/ tanah untuk produksi biomassa dibagi luas lahan yang diperuntukan untuk produksi biomassa)x 100</v>
      </c>
      <c r="Z328" s="565">
        <f>'matrik MISI 3'!Z43</f>
        <v>0</v>
      </c>
    </row>
    <row r="329" spans="2:26" ht="75">
      <c r="B329" s="940"/>
      <c r="C329" s="941"/>
      <c r="D329" s="940"/>
      <c r="E329" s="940"/>
      <c r="F329" s="940"/>
      <c r="G329" s="940"/>
      <c r="H329" s="164" t="str">
        <f>'matrik MISI 3'!N44</f>
        <v>Persentase Pengaduan Masyarakat Akibat Adanya Dugaan Pencemaran dan atau Perusakan Lingkungan Hidup yang Ditindaklanjuti</v>
      </c>
      <c r="I329" s="164" t="str">
        <f>'matrik MISI 3'!O44</f>
        <v>%</v>
      </c>
      <c r="J329" s="929">
        <f>'matrik MISI 3'!P44</f>
        <v>100</v>
      </c>
      <c r="K329" s="929">
        <f>'matrik MISI 3'!Q44</f>
        <v>100</v>
      </c>
      <c r="L329" s="929">
        <f>'matrik MISI 3'!R44</f>
        <v>100</v>
      </c>
      <c r="M329" s="961"/>
      <c r="N329" s="929">
        <f>'matrik MISI 3'!S44</f>
        <v>100</v>
      </c>
      <c r="O329" s="929"/>
      <c r="P329" s="929">
        <f>'matrik MISI 3'!T44</f>
        <v>100</v>
      </c>
      <c r="Q329" s="929"/>
      <c r="R329" s="929">
        <f>'matrik MISI 3'!U44</f>
        <v>100</v>
      </c>
      <c r="S329" s="929"/>
      <c r="T329" s="929">
        <f>'matrik MISI 3'!V44</f>
        <v>100</v>
      </c>
      <c r="U329" s="929"/>
      <c r="V329" s="929">
        <f>'matrik MISI 3'!W44</f>
        <v>100</v>
      </c>
      <c r="W329" s="929"/>
      <c r="X329" s="929" t="str">
        <f>'matrik MISI 3'!X44</f>
        <v>BLH</v>
      </c>
      <c r="Y329" s="565" t="str">
        <f>'matrik MISI 3'!Y44</f>
        <v>(Jumlah Pengaduan yang ditindak lanjuti : Jumlah pengaduan yang masuk) x 100</v>
      </c>
      <c r="Z329" s="565" t="str">
        <f>'matrik MISI 3'!Z44</f>
        <v>Yang dimaksud dengan pengaduan adalah  pengaduan secara tertulis  kepada Bupati atau kepala instansi yang membidangi lingkungan hidup.</v>
      </c>
    </row>
    <row r="330" spans="2:26" ht="45">
      <c r="B330" s="940"/>
      <c r="C330" s="941"/>
      <c r="D330" s="940"/>
      <c r="E330" s="940"/>
      <c r="F330" s="940"/>
      <c r="G330" s="940"/>
      <c r="H330" s="164" t="str">
        <f>'matrik MISI 3'!N45</f>
        <v>Persentase Perusahaan yang Memiliki Dokumen UKL, UPL, dan AMDAL</v>
      </c>
      <c r="I330" s="164" t="str">
        <f>'matrik MISI 3'!O45</f>
        <v>%</v>
      </c>
      <c r="J330" s="929">
        <f>'matrik MISI 3'!P45</f>
        <v>100</v>
      </c>
      <c r="K330" s="929">
        <f>'matrik MISI 3'!Q45</f>
        <v>100</v>
      </c>
      <c r="L330" s="929">
        <f>'matrik MISI 3'!R45</f>
        <v>100</v>
      </c>
      <c r="M330" s="961"/>
      <c r="N330" s="929">
        <f>'matrik MISI 3'!S45</f>
        <v>100</v>
      </c>
      <c r="O330" s="929"/>
      <c r="P330" s="929">
        <f>'matrik MISI 3'!T45</f>
        <v>100</v>
      </c>
      <c r="Q330" s="929"/>
      <c r="R330" s="929">
        <f>'matrik MISI 3'!U45</f>
        <v>100</v>
      </c>
      <c r="S330" s="929"/>
      <c r="T330" s="929">
        <f>'matrik MISI 3'!V45</f>
        <v>100</v>
      </c>
      <c r="U330" s="929"/>
      <c r="V330" s="929">
        <f>'matrik MISI 3'!W45</f>
        <v>100</v>
      </c>
      <c r="W330" s="929"/>
      <c r="X330" s="929" t="str">
        <f>'matrik MISI 3'!X45</f>
        <v>BLH</v>
      </c>
      <c r="Y330" s="565" t="str">
        <f>'matrik MISI 3'!Y45</f>
        <v>(Jumlah perusahaan yang memiliki dokumen UKL-UPL dan/atau AMDAL dibagi jumlah perusahaan yang wajib memiliki UKL-UPL dan/atau AMDAL) x 100</v>
      </c>
      <c r="Z330" s="565">
        <f>'matrik MISI 3'!Z45</f>
        <v>0</v>
      </c>
    </row>
    <row r="331" spans="2:26" ht="60">
      <c r="B331" s="949">
        <v>9</v>
      </c>
      <c r="C331" s="948" t="str">
        <f>'matrik MISI 6'!B18</f>
        <v>PERTANAHAN</v>
      </c>
      <c r="D331" s="949">
        <f>'matrik MISI 6'!J19</f>
        <v>1.0900000000000001</v>
      </c>
      <c r="E331" s="949" t="str">
        <f>'matrik MISI 6'!K19</f>
        <v>xx</v>
      </c>
      <c r="F331" s="949">
        <f>'matrik MISI 6'!L19</f>
        <v>16</v>
      </c>
      <c r="G331" s="949" t="str">
        <f>'matrik MISI 6'!M19</f>
        <v>Program Penataan Penguasaan, Pemilikan, Penggunaan, dan Pemanfaatan Tanah</v>
      </c>
      <c r="H331" s="164"/>
      <c r="I331" s="164"/>
      <c r="J331" s="929"/>
      <c r="K331" s="929"/>
      <c r="L331" s="929"/>
      <c r="M331" s="961">
        <f>'jangan di hapus 1'!K656</f>
        <v>2290000000</v>
      </c>
      <c r="N331" s="1006"/>
      <c r="O331" s="1006">
        <f>'jangan di hapus 1'!M656</f>
        <v>3267500000</v>
      </c>
      <c r="P331" s="1006"/>
      <c r="Q331" s="1006">
        <f>'jangan di hapus 1'!O656</f>
        <v>3270000000</v>
      </c>
      <c r="R331" s="1006"/>
      <c r="S331" s="1006">
        <f>'jangan di hapus 1'!Q656</f>
        <v>4272500000</v>
      </c>
      <c r="T331" s="1006"/>
      <c r="U331" s="1006">
        <f>'jangan di hapus 1'!S656</f>
        <v>4275000000</v>
      </c>
      <c r="V331" s="929"/>
      <c r="W331" s="961">
        <f>SUM(M331:U331)</f>
        <v>17375000000</v>
      </c>
      <c r="X331" s="929"/>
    </row>
    <row r="332" spans="2:26" ht="30">
      <c r="B332" s="939"/>
      <c r="C332" s="939"/>
      <c r="D332" s="939"/>
      <c r="E332" s="939"/>
      <c r="F332" s="939"/>
      <c r="G332" s="939"/>
      <c r="H332" s="164" t="str">
        <f>'matrik MISI 6'!N19</f>
        <v>Persentase Aset Tanah Pemerintah yang Bersertifikat</v>
      </c>
      <c r="I332" s="164" t="str">
        <f>'matrik MISI 6'!O19</f>
        <v>%</v>
      </c>
      <c r="J332" s="929" t="str">
        <f>'matrik MISI 6'!P19</f>
        <v>75,6</v>
      </c>
      <c r="K332" s="929" t="str">
        <f>'matrik MISI 6'!Q19</f>
        <v>80,7</v>
      </c>
      <c r="L332" s="929" t="str">
        <f>'matrik MISI 6'!R19</f>
        <v>84,5</v>
      </c>
      <c r="M332" s="961"/>
      <c r="N332" s="929" t="str">
        <f>'matrik MISI 6'!S19</f>
        <v>88,4</v>
      </c>
      <c r="O332" s="929"/>
      <c r="P332" s="929" t="str">
        <f>'matrik MISI 6'!T19</f>
        <v>92,3</v>
      </c>
      <c r="Q332" s="929"/>
      <c r="R332" s="929" t="str">
        <f>'matrik MISI 6'!U19</f>
        <v>96,13</v>
      </c>
      <c r="S332" s="929"/>
      <c r="T332" s="929">
        <f>'matrik MISI 6'!V19</f>
        <v>100</v>
      </c>
      <c r="U332" s="929"/>
      <c r="V332" s="929">
        <f>'matrik MISI 6'!W19</f>
        <v>100</v>
      </c>
      <c r="W332" s="929"/>
      <c r="X332" s="929" t="str">
        <f>'matrik MISI 6'!X19</f>
        <v>Bagian Pemerintahan Umum Setda</v>
      </c>
      <c r="Y332" s="565" t="str">
        <f>'matrik MISI 6'!Y19</f>
        <v>Jumlah tanah pemerintah daerah yang bersertifikat dibagi jumlah tanah pemerintah daerah x 100</v>
      </c>
      <c r="Z332" s="565" t="str">
        <f>'matrik MISI 6'!Z19</f>
        <v>Sertifikasi tanah pemerintah daerah yang didanai dengan dana APBD</v>
      </c>
    </row>
    <row r="333" spans="2:26" ht="45">
      <c r="B333" s="939"/>
      <c r="C333" s="939"/>
      <c r="D333" s="940">
        <f>'matrik MISI 6'!J20</f>
        <v>1.0900000000000001</v>
      </c>
      <c r="E333" s="940" t="str">
        <f>'matrik MISI 6'!K20</f>
        <v>xx</v>
      </c>
      <c r="F333" s="940">
        <f>'matrik MISI 6'!L20</f>
        <v>17</v>
      </c>
      <c r="G333" s="940" t="str">
        <f>'matrik MISI 6'!M20</f>
        <v>Program Penyelesaian Konflik-Konflik Pertanahan</v>
      </c>
      <c r="H333" s="164"/>
      <c r="I333" s="164"/>
      <c r="J333" s="929"/>
      <c r="K333" s="929"/>
      <c r="L333" s="929"/>
      <c r="M333" s="961">
        <f>'jangan di hapus 1'!K661</f>
        <v>20000000</v>
      </c>
      <c r="N333" s="1006"/>
      <c r="O333" s="1006">
        <f>'jangan di hapus 1'!M661</f>
        <v>25000000</v>
      </c>
      <c r="P333" s="1006"/>
      <c r="Q333" s="1006">
        <f>'jangan di hapus 1'!O661</f>
        <v>30000000</v>
      </c>
      <c r="R333" s="1006"/>
      <c r="S333" s="1006">
        <f>'jangan di hapus 1'!Q661</f>
        <v>35000000</v>
      </c>
      <c r="T333" s="1006"/>
      <c r="U333" s="1006">
        <f>'jangan di hapus 1'!S661</f>
        <v>40000000</v>
      </c>
      <c r="V333" s="929"/>
      <c r="W333" s="961">
        <f>SUM(M333:U333)</f>
        <v>150000000</v>
      </c>
      <c r="X333" s="929"/>
      <c r="Y333" s="565"/>
      <c r="Z333" s="565"/>
    </row>
    <row r="334" spans="2:26" ht="60">
      <c r="B334" s="942"/>
      <c r="C334" s="942"/>
      <c r="D334" s="942"/>
      <c r="E334" s="942"/>
      <c r="F334" s="942"/>
      <c r="G334" s="942"/>
      <c r="H334" s="164" t="str">
        <f>'matrik MISI 6'!N20</f>
        <v>Persentase Penggantian Tanah Pemerintah Desa yang Digunakan untuk Kepentingan Pemerintah Kabupaten</v>
      </c>
      <c r="I334" s="164" t="str">
        <f>'matrik MISI 6'!O20</f>
        <v>%</v>
      </c>
      <c r="J334" s="929">
        <f>'matrik MISI 6'!P20</f>
        <v>5</v>
      </c>
      <c r="K334" s="929">
        <f>'matrik MISI 6'!Q20</f>
        <v>7.5</v>
      </c>
      <c r="L334" s="929">
        <f>'matrik MISI 6'!R20</f>
        <v>7.5</v>
      </c>
      <c r="M334" s="961"/>
      <c r="N334" s="929">
        <f>'matrik MISI 6'!S20</f>
        <v>12.5</v>
      </c>
      <c r="O334" s="929"/>
      <c r="P334" s="929">
        <f>'matrik MISI 6'!T20</f>
        <v>15</v>
      </c>
      <c r="Q334" s="929"/>
      <c r="R334" s="929">
        <f>'matrik MISI 6'!U20</f>
        <v>17.5</v>
      </c>
      <c r="S334" s="929"/>
      <c r="T334" s="929">
        <f>'matrik MISI 6'!V20</f>
        <v>20</v>
      </c>
      <c r="U334" s="929"/>
      <c r="V334" s="929">
        <f>'matrik MISI 6'!W20</f>
        <v>20</v>
      </c>
      <c r="W334" s="929"/>
      <c r="X334" s="929" t="str">
        <f>'matrik MISI 6'!X20</f>
        <v>Bagian Pemerintahan Umum Setda</v>
      </c>
      <c r="Y334" s="565"/>
      <c r="Z334" s="565"/>
    </row>
    <row r="335" spans="2:26" ht="45">
      <c r="B335" s="949">
        <v>10</v>
      </c>
      <c r="C335" s="948" t="str">
        <f>'matrik MISI 6'!B78</f>
        <v>KEPENDUDUKAN DAN CATATAN SIPIL</v>
      </c>
      <c r="D335" s="949" t="str">
        <f>'matrik MISI 6'!J79</f>
        <v>1.10</v>
      </c>
      <c r="E335" s="949" t="str">
        <f>'matrik MISI 6'!K79</f>
        <v>xx</v>
      </c>
      <c r="F335" s="949">
        <f>'matrik MISI 6'!L79</f>
        <v>15</v>
      </c>
      <c r="G335" s="949" t="str">
        <f>'matrik MISI 6'!M79</f>
        <v>Program Penataan Administrasi Kependudukan</v>
      </c>
      <c r="H335" s="164"/>
      <c r="I335" s="164"/>
      <c r="J335" s="929"/>
      <c r="K335" s="929"/>
      <c r="L335" s="929"/>
      <c r="M335" s="961">
        <f>'jangan di hapus 1'!K665</f>
        <v>1306713000</v>
      </c>
      <c r="N335" s="961"/>
      <c r="O335" s="961">
        <f>'jangan di hapus 1'!M665</f>
        <v>2726827000</v>
      </c>
      <c r="P335" s="961"/>
      <c r="Q335" s="961">
        <f>'jangan di hapus 1'!O665</f>
        <v>1847481000</v>
      </c>
      <c r="R335" s="961"/>
      <c r="S335" s="961">
        <f>'jangan di hapus 1'!Q665</f>
        <v>2110481000</v>
      </c>
      <c r="T335" s="961"/>
      <c r="U335" s="961">
        <f>'jangan di hapus 1'!S665</f>
        <v>2131981000</v>
      </c>
      <c r="V335" s="929"/>
      <c r="W335" s="961">
        <f>SUM(M335:U335)</f>
        <v>10123483000</v>
      </c>
      <c r="X335" s="929"/>
    </row>
    <row r="336" spans="2:26" ht="30">
      <c r="B336" s="939"/>
      <c r="C336" s="939"/>
      <c r="D336" s="939"/>
      <c r="E336" s="939"/>
      <c r="F336" s="939"/>
      <c r="G336" s="939"/>
      <c r="H336" s="164" t="str">
        <f>'matrik MISI 6'!N79</f>
        <v>Cakupan penerbitan Kartu Keluarga (KK)</v>
      </c>
      <c r="I336" s="164" t="str">
        <f>'matrik MISI 6'!O79</f>
        <v>%</v>
      </c>
      <c r="J336" s="929">
        <f>'matrik MISI 6'!P79</f>
        <v>21.61</v>
      </c>
      <c r="K336" s="929">
        <f>'matrik MISI 6'!Q79</f>
        <v>39.54</v>
      </c>
      <c r="L336" s="929">
        <f>'matrik MISI 6'!R79</f>
        <v>53.18</v>
      </c>
      <c r="M336" s="961"/>
      <c r="N336" s="929">
        <f>'matrik MISI 6'!S79</f>
        <v>65.08</v>
      </c>
      <c r="O336" s="929"/>
      <c r="P336" s="929">
        <f>'matrik MISI 6'!T79</f>
        <v>76.989999999999995</v>
      </c>
      <c r="Q336" s="929"/>
      <c r="R336" s="929">
        <f>'matrik MISI 6'!U79</f>
        <v>88.89</v>
      </c>
      <c r="S336" s="929"/>
      <c r="T336" s="929">
        <f>'matrik MISI 6'!V79</f>
        <v>100</v>
      </c>
      <c r="U336" s="929"/>
      <c r="V336" s="929">
        <f>'matrik MISI 6'!W79</f>
        <v>100</v>
      </c>
      <c r="W336" s="929"/>
      <c r="X336" s="929" t="str">
        <f>'matrik MISI 6'!X79</f>
        <v>Dinas Kependudukan dan Pencatatan Sipil</v>
      </c>
      <c r="Y336" s="565" t="str">
        <f>'matrik MISI 6'!Y79</f>
        <v>jumlah KK yg diterbitkan pada tahun (x) dibagi (:) jumlah kepala keluarga dalam satu wilayah pada tahun (x)  kali (X) 100%.</v>
      </c>
      <c r="Z336" s="565">
        <f>'matrik MISI 6'!Z79</f>
        <v>0</v>
      </c>
    </row>
    <row r="337" spans="2:26" ht="30">
      <c r="B337" s="940"/>
      <c r="C337" s="941"/>
      <c r="D337" s="940"/>
      <c r="E337" s="940"/>
      <c r="F337" s="940"/>
      <c r="G337" s="940"/>
      <c r="H337" s="164" t="str">
        <f>'matrik MISI 6'!N80</f>
        <v>Cakupan Penerbitan Kartu Tanda Penduduk (KTP)</v>
      </c>
      <c r="I337" s="164" t="str">
        <f>'matrik MISI 6'!O80</f>
        <v>%</v>
      </c>
      <c r="J337" s="929">
        <f>'matrik MISI 6'!P80</f>
        <v>86.56</v>
      </c>
      <c r="K337" s="929">
        <f>'matrik MISI 6'!Q80</f>
        <v>2.39</v>
      </c>
      <c r="L337" s="929">
        <f>'matrik MISI 6'!R80</f>
        <v>18.149999999999999</v>
      </c>
      <c r="M337" s="961"/>
      <c r="N337" s="929">
        <f>'matrik MISI 6'!S80</f>
        <v>22.84</v>
      </c>
      <c r="O337" s="929"/>
      <c r="P337" s="929">
        <f>'matrik MISI 6'!T80</f>
        <v>27.65</v>
      </c>
      <c r="Q337" s="929"/>
      <c r="R337" s="929">
        <f>'matrik MISI 6'!U80</f>
        <v>32.58</v>
      </c>
      <c r="S337" s="929"/>
      <c r="T337" s="929">
        <f>'matrik MISI 6'!V80</f>
        <v>37.629999999999995</v>
      </c>
      <c r="U337" s="929"/>
      <c r="V337" s="929">
        <f>'matrik MISI 6'!W80</f>
        <v>37.630000000000003</v>
      </c>
      <c r="W337" s="929"/>
      <c r="X337" s="929" t="str">
        <f>'matrik MISI 6'!X80</f>
        <v>Dinas Kependudukan dan Pencatatan Sipil</v>
      </c>
      <c r="Y337" s="565" t="str">
        <f>'matrik MISI 6'!Y80</f>
        <v>jumlah KTP elektronik yg diterbitkan / jumlah wajib KTP Elektronik x 100</v>
      </c>
      <c r="Z337" s="565" t="str">
        <f>'matrik MISI 6'!Z80</f>
        <v>termasuk penduduk yang baru berusia wajib KTP dan mutasi pindah masuk</v>
      </c>
    </row>
    <row r="338" spans="2:26" ht="30">
      <c r="B338" s="940"/>
      <c r="C338" s="941"/>
      <c r="D338" s="940"/>
      <c r="E338" s="940"/>
      <c r="F338" s="940"/>
      <c r="G338" s="940"/>
      <c r="H338" s="164" t="str">
        <f>'matrik MISI 6'!N81</f>
        <v>Cakupan Penerbitan Kutipan Akta Kelahiran</v>
      </c>
      <c r="I338" s="164" t="str">
        <f>'matrik MISI 6'!O81</f>
        <v>%</v>
      </c>
      <c r="J338" s="929">
        <f>'matrik MISI 6'!P81</f>
        <v>40.43</v>
      </c>
      <c r="K338" s="929">
        <f>'matrik MISI 6'!Q81</f>
        <v>42.65</v>
      </c>
      <c r="L338" s="929">
        <f>'matrik MISI 6'!R81</f>
        <v>47.94</v>
      </c>
      <c r="M338" s="961"/>
      <c r="N338" s="929">
        <f>'matrik MISI 6'!S81</f>
        <v>51.56</v>
      </c>
      <c r="O338" s="929"/>
      <c r="P338" s="929">
        <f>'matrik MISI 6'!T81</f>
        <v>56.13</v>
      </c>
      <c r="Q338" s="929"/>
      <c r="R338" s="929">
        <f>'matrik MISI 6'!U81</f>
        <v>59.79</v>
      </c>
      <c r="S338" s="929"/>
      <c r="T338" s="929">
        <f>'matrik MISI 6'!V81</f>
        <v>63.46</v>
      </c>
      <c r="U338" s="929"/>
      <c r="V338" s="929">
        <f>'matrik MISI 6'!W81</f>
        <v>67.010000000000005</v>
      </c>
      <c r="W338" s="929"/>
      <c r="X338" s="929" t="str">
        <f>'matrik MISI 6'!X81</f>
        <v>Dinas Kependudukan dan Pencatatan Sipil</v>
      </c>
      <c r="Y338" s="565" t="str">
        <f>'matrik MISI 6'!Y81</f>
        <v>Jumlah kutipan akta kelahiran yg diterbitkan sampai dgn tahun (x) dibagi (:) jumlah kelahiran  yg terjadi sampai dengan tahun (x) kali (X) 100%</v>
      </c>
      <c r="Z338" s="565">
        <f>'matrik MISI 6'!Z81</f>
        <v>0</v>
      </c>
    </row>
    <row r="339" spans="2:26" ht="30">
      <c r="B339" s="940"/>
      <c r="C339" s="941"/>
      <c r="D339" s="940"/>
      <c r="E339" s="940"/>
      <c r="F339" s="940"/>
      <c r="G339" s="940"/>
      <c r="H339" s="164" t="str">
        <f>'matrik MISI 6'!N82</f>
        <v>Cakupan kepemilikan Kutipan Akta Kematian</v>
      </c>
      <c r="I339" s="164" t="str">
        <f>'matrik MISI 6'!O82</f>
        <v>%</v>
      </c>
      <c r="J339" s="929">
        <f>'matrik MISI 6'!P82</f>
        <v>1.83</v>
      </c>
      <c r="K339" s="929">
        <f>'matrik MISI 6'!Q82</f>
        <v>1.4</v>
      </c>
      <c r="L339" s="929">
        <f>'matrik MISI 6'!R82</f>
        <v>100</v>
      </c>
      <c r="M339" s="961"/>
      <c r="N339" s="929">
        <f>'matrik MISI 6'!S82</f>
        <v>100</v>
      </c>
      <c r="O339" s="929"/>
      <c r="P339" s="929">
        <f>'matrik MISI 6'!T82</f>
        <v>100</v>
      </c>
      <c r="Q339" s="929"/>
      <c r="R339" s="929">
        <f>'matrik MISI 6'!U82</f>
        <v>100</v>
      </c>
      <c r="S339" s="929"/>
      <c r="T339" s="929">
        <f>'matrik MISI 6'!V82</f>
        <v>100</v>
      </c>
      <c r="U339" s="929"/>
      <c r="V339" s="929">
        <f>'matrik MISI 6'!W82</f>
        <v>100</v>
      </c>
      <c r="W339" s="929"/>
      <c r="X339" s="929" t="str">
        <f>'matrik MISI 6'!X82</f>
        <v>Dinas Kependudukan dan Pencatatan Sipil</v>
      </c>
      <c r="Y339" s="565" t="str">
        <f>'matrik MISI 6'!Y82</f>
        <v>Jumlah kutipan akta kematian yang telah diterbitkan / jumlah kematian  x 100%</v>
      </c>
      <c r="Z339" s="565">
        <f>'matrik MISI 6'!Z82</f>
        <v>0</v>
      </c>
    </row>
    <row r="340" spans="2:26" ht="30">
      <c r="B340" s="940"/>
      <c r="C340" s="941"/>
      <c r="D340" s="940"/>
      <c r="E340" s="940"/>
      <c r="F340" s="940"/>
      <c r="G340" s="940"/>
      <c r="H340" s="164" t="str">
        <f>'matrik MISI 6'!N83</f>
        <v>Persentase Penanganan Pengaduan Masyarakat</v>
      </c>
      <c r="I340" s="164" t="str">
        <f>'matrik MISI 6'!O83</f>
        <v>%</v>
      </c>
      <c r="J340" s="929">
        <f>'matrik MISI 6'!P83</f>
        <v>100</v>
      </c>
      <c r="K340" s="929">
        <f>'matrik MISI 6'!Q83</f>
        <v>100</v>
      </c>
      <c r="L340" s="929">
        <f>'matrik MISI 6'!R83</f>
        <v>100</v>
      </c>
      <c r="M340" s="961"/>
      <c r="N340" s="929">
        <f>'matrik MISI 6'!S83</f>
        <v>100</v>
      </c>
      <c r="O340" s="929"/>
      <c r="P340" s="929">
        <f>'matrik MISI 6'!T83</f>
        <v>100</v>
      </c>
      <c r="Q340" s="929"/>
      <c r="R340" s="929">
        <f>'matrik MISI 6'!U83</f>
        <v>100</v>
      </c>
      <c r="S340" s="929"/>
      <c r="T340" s="929">
        <f>'matrik MISI 6'!V83</f>
        <v>100</v>
      </c>
      <c r="U340" s="929"/>
      <c r="V340" s="929">
        <f>'matrik MISI 6'!W83</f>
        <v>100</v>
      </c>
      <c r="W340" s="929"/>
      <c r="X340" s="929" t="str">
        <f>'matrik MISI 6'!X83</f>
        <v>Dinas Kependudukan dan Pencatatan Sipil</v>
      </c>
      <c r="Y340" s="565" t="str">
        <f>'matrik MISI 6'!Y83</f>
        <v>Jumlah pengaduan masyarakat yang tertangani  pada tahun (x) dibagi (:) jumlah pengaduan masyarakat yang ada pada  thn (x) kali (X) 100%.</v>
      </c>
      <c r="Z340" s="565">
        <f>'matrik MISI 6'!Z83</f>
        <v>0</v>
      </c>
    </row>
    <row r="341" spans="2:26" ht="60">
      <c r="B341" s="949">
        <v>11</v>
      </c>
      <c r="C341" s="948" t="str">
        <f>'matrik MISI 2'!B54</f>
        <v>PEMBERDAYAAN PEREMPUAN DAN PERLINDUNGAN ANAK</v>
      </c>
      <c r="D341" s="949">
        <f>'matrik MISI 2'!J55</f>
        <v>1.1100000000000001</v>
      </c>
      <c r="E341" s="949" t="str">
        <f>'matrik MISI 2'!K55</f>
        <v>xx</v>
      </c>
      <c r="F341" s="949">
        <f>'matrik MISI 2'!L55</f>
        <v>15</v>
      </c>
      <c r="G341" s="949" t="str">
        <f>'matrik MISI 2'!M55</f>
        <v>Program Keserasian Kebijakan Peningkatan Kualitas Anak dan Perempuan</v>
      </c>
      <c r="H341" s="164"/>
      <c r="I341" s="164"/>
      <c r="J341" s="929"/>
      <c r="K341" s="929"/>
      <c r="L341" s="929"/>
      <c r="M341" s="961">
        <f>'jangan di hapus 1'!K675</f>
        <v>76562900</v>
      </c>
      <c r="N341" s="1006"/>
      <c r="O341" s="1006">
        <f>'jangan di hapus 1'!M675</f>
        <v>105000000</v>
      </c>
      <c r="P341" s="1006"/>
      <c r="Q341" s="1006">
        <f>'jangan di hapus 1'!O675</f>
        <v>115500000</v>
      </c>
      <c r="R341" s="1006"/>
      <c r="S341" s="1006">
        <f>'jangan di hapus 1'!Q675</f>
        <v>127050000</v>
      </c>
      <c r="T341" s="1006"/>
      <c r="U341" s="1006">
        <f>'jangan di hapus 1'!S675</f>
        <v>139755000</v>
      </c>
      <c r="V341" s="929"/>
      <c r="W341" s="961">
        <f>SUM(M341:U341)</f>
        <v>563867900</v>
      </c>
      <c r="X341" s="929"/>
    </row>
    <row r="342" spans="2:26" ht="90">
      <c r="B342" s="939"/>
      <c r="C342" s="939"/>
      <c r="D342" s="939"/>
      <c r="E342" s="939"/>
      <c r="F342" s="939"/>
      <c r="G342" s="939"/>
      <c r="H342" s="164" t="str">
        <f>'matrik MISI 2'!N55</f>
        <v>Cakupan Perempuan dan Anak Korban Kekerasan yang Mendapatkan Penanganan Pengaduan Oleh Petugas Terlatih di Dalam Unit Pelayanan Terpadu</v>
      </c>
      <c r="I342" s="164" t="str">
        <f>'matrik MISI 2'!O55</f>
        <v>%</v>
      </c>
      <c r="J342" s="929">
        <f>'matrik MISI 2'!P55</f>
        <v>88</v>
      </c>
      <c r="K342" s="929">
        <f>'matrik MISI 2'!Q55</f>
        <v>90</v>
      </c>
      <c r="L342" s="929">
        <f>'matrik MISI 2'!R55</f>
        <v>100</v>
      </c>
      <c r="M342" s="961"/>
      <c r="N342" s="929">
        <f>'matrik MISI 2'!S55</f>
        <v>100</v>
      </c>
      <c r="O342" s="929"/>
      <c r="P342" s="929">
        <f>'matrik MISI 2'!T55</f>
        <v>100</v>
      </c>
      <c r="Q342" s="929"/>
      <c r="R342" s="929">
        <f>'matrik MISI 2'!U55</f>
        <v>100</v>
      </c>
      <c r="S342" s="929"/>
      <c r="T342" s="929">
        <f>'matrik MISI 2'!V55</f>
        <v>100</v>
      </c>
      <c r="U342" s="929"/>
      <c r="V342" s="929">
        <f>'matrik MISI 2'!W55</f>
        <v>100</v>
      </c>
      <c r="W342" s="929"/>
      <c r="X342" s="929" t="str">
        <f>'matrik MISI 2'!X55</f>
        <v>BKBPP</v>
      </c>
      <c r="Y342" s="565" t="str">
        <f>'matrik MISI 2'!Y55</f>
        <v>Jumlah perempuan dan anak korban kekerasan yang mendapatkan penanganan pengaduan oleh petugas terlatih di dalam unit pelayanan terpadu dibagi jumlah perempuan dan anak korban kekerasan yang dilaporkan x 100</v>
      </c>
      <c r="Z342" s="565">
        <f>'matrik MISI 2'!Z55</f>
        <v>0</v>
      </c>
    </row>
    <row r="343" spans="2:26" ht="105">
      <c r="B343" s="940"/>
      <c r="C343" s="941"/>
      <c r="D343" s="940"/>
      <c r="E343" s="940"/>
      <c r="F343" s="940"/>
      <c r="G343" s="940"/>
      <c r="H343" s="164" t="str">
        <f>'matrik MISI 2'!N56</f>
        <v>Cakupan Perempuan dan Anak Korban Kekerasan yang Mendapatkan Pelayanan Kesehatan oleh Tenaga Terlatih di Pukesmas Mampu Tata Laksana KTP/A dan PPT/PKT di Rumah Sakit</v>
      </c>
      <c r="I343" s="164" t="str">
        <f>'matrik MISI 2'!O56</f>
        <v>%</v>
      </c>
      <c r="J343" s="929">
        <f>'matrik MISI 2'!P56</f>
        <v>100</v>
      </c>
      <c r="K343" s="929">
        <f>'matrik MISI 2'!Q56</f>
        <v>100</v>
      </c>
      <c r="L343" s="929">
        <f>'matrik MISI 2'!R56</f>
        <v>100</v>
      </c>
      <c r="M343" s="961"/>
      <c r="N343" s="929">
        <f>'matrik MISI 2'!S56</f>
        <v>100</v>
      </c>
      <c r="O343" s="929"/>
      <c r="P343" s="929">
        <f>'matrik MISI 2'!T56</f>
        <v>100</v>
      </c>
      <c r="Q343" s="929"/>
      <c r="R343" s="929">
        <f>'matrik MISI 2'!U56</f>
        <v>100</v>
      </c>
      <c r="S343" s="929"/>
      <c r="T343" s="929">
        <f>'matrik MISI 2'!V56</f>
        <v>100</v>
      </c>
      <c r="U343" s="929"/>
      <c r="V343" s="929">
        <f>'matrik MISI 2'!W56</f>
        <v>100</v>
      </c>
      <c r="W343" s="929"/>
      <c r="X343" s="929" t="str">
        <f>'matrik MISI 2'!X56</f>
        <v>BKBPP</v>
      </c>
      <c r="Y343" s="565" t="str">
        <f>'matrik MISI 2'!Y56</f>
        <v>Jumlag perempuan dan anak korban kekerasan yang mendapatkan layanan kesehatan oleh tenaga kesehatan terlatih di puskesmas maupun RS dibagi jumlah perempuan dan anak korban kekerasan yang dilaporkan x 100</v>
      </c>
      <c r="Z343" s="565">
        <f>'matrik MISI 2'!Z56</f>
        <v>0</v>
      </c>
    </row>
    <row r="344" spans="2:26" ht="90">
      <c r="B344" s="940"/>
      <c r="C344" s="941"/>
      <c r="D344" s="940"/>
      <c r="E344" s="940"/>
      <c r="F344" s="940"/>
      <c r="G344" s="940"/>
      <c r="H344" s="164" t="str">
        <f>'matrik MISI 2'!N57</f>
        <v>Cakupan Layanan Rehabilitasi Sosial yang diberikan Oleh Petugas Rehabilitasi Sosial Terlatih bagi Perempuan dan Anak Korban Kekerasan didalam Unit  Pelayanan Terpadu</v>
      </c>
      <c r="I344" s="164" t="str">
        <f>'matrik MISI 2'!O57</f>
        <v>%</v>
      </c>
      <c r="J344" s="929">
        <f>'matrik MISI 2'!P57</f>
        <v>75</v>
      </c>
      <c r="K344" s="929">
        <f>'matrik MISI 2'!Q57</f>
        <v>80</v>
      </c>
      <c r="L344" s="929">
        <f>'matrik MISI 2'!R57</f>
        <v>85</v>
      </c>
      <c r="M344" s="961"/>
      <c r="N344" s="929">
        <f>'matrik MISI 2'!S57</f>
        <v>85</v>
      </c>
      <c r="O344" s="929"/>
      <c r="P344" s="929">
        <f>'matrik MISI 2'!T57</f>
        <v>85</v>
      </c>
      <c r="Q344" s="929"/>
      <c r="R344" s="929">
        <f>'matrik MISI 2'!U57</f>
        <v>85</v>
      </c>
      <c r="S344" s="929"/>
      <c r="T344" s="929">
        <f>'matrik MISI 2'!V57</f>
        <v>90</v>
      </c>
      <c r="U344" s="929"/>
      <c r="V344" s="929">
        <f>'matrik MISI 2'!W57</f>
        <v>90</v>
      </c>
      <c r="W344" s="929"/>
      <c r="X344" s="929" t="str">
        <f>'matrik MISI 2'!X57</f>
        <v>BKBPP</v>
      </c>
      <c r="Y344" s="565" t="str">
        <f>'matrik MISI 2'!Y57</f>
        <v>Jumlah layanan rehabilitasi sosial yang diberikan oleh petugas rehabilitasi sosial terlatih bagi perempuan dan anak korban kekerasan di dalam unit pelayanan terpadu dibagi jumlah perempuan dan anak korban kekerasan yang dilaporkan x 100</v>
      </c>
      <c r="Z344" s="565">
        <f>'matrik MISI 2'!Z57</f>
        <v>0</v>
      </c>
    </row>
    <row r="345" spans="2:26" ht="90">
      <c r="B345" s="940"/>
      <c r="C345" s="941"/>
      <c r="D345" s="940"/>
      <c r="E345" s="940"/>
      <c r="F345" s="940"/>
      <c r="G345" s="940"/>
      <c r="H345" s="164" t="str">
        <f>'matrik MISI 2'!N58</f>
        <v>Cakupan Layanan Bimbingan Rohani yang diberikan oleh Petugas Bimbingan Rohani Terlatih Bagi Perempuan dan Anak Korban Kekerasan di Dalam Unit Pelayanan Terpadu</v>
      </c>
      <c r="I345" s="164" t="str">
        <f>'matrik MISI 2'!O58</f>
        <v>%</v>
      </c>
      <c r="J345" s="929">
        <f>'matrik MISI 2'!P58</f>
        <v>60</v>
      </c>
      <c r="K345" s="929">
        <f>'matrik MISI 2'!Q58</f>
        <v>60</v>
      </c>
      <c r="L345" s="929">
        <f>'matrik MISI 2'!R58</f>
        <v>70</v>
      </c>
      <c r="M345" s="961"/>
      <c r="N345" s="929">
        <f>'matrik MISI 2'!S58</f>
        <v>70</v>
      </c>
      <c r="O345" s="929"/>
      <c r="P345" s="929">
        <f>'matrik MISI 2'!T58</f>
        <v>75</v>
      </c>
      <c r="Q345" s="929"/>
      <c r="R345" s="929">
        <f>'matrik MISI 2'!U58</f>
        <v>75</v>
      </c>
      <c r="S345" s="929"/>
      <c r="T345" s="929">
        <f>'matrik MISI 2'!V58</f>
        <v>80</v>
      </c>
      <c r="U345" s="929"/>
      <c r="V345" s="929">
        <f>'matrik MISI 2'!W58</f>
        <v>80</v>
      </c>
      <c r="W345" s="929"/>
      <c r="X345" s="929" t="str">
        <f>'matrik MISI 2'!X58</f>
        <v>BKBPP</v>
      </c>
      <c r="Y345" s="565" t="str">
        <f>'matrik MISI 2'!Y58</f>
        <v>Jumlah layanan bimbingan rohani yang diberikan oleh petugas bimbingan rohani terlatih bagi perempuan dan anak korban kekerasan di dalam unit pelayanan terpadu dibagi jumlah perempuan dan anak korban kekerasan yang dilaporkan x 100</v>
      </c>
      <c r="Z345" s="565">
        <f>'matrik MISI 2'!Z58</f>
        <v>0</v>
      </c>
    </row>
    <row r="346" spans="2:26" ht="60">
      <c r="B346" s="940"/>
      <c r="C346" s="941"/>
      <c r="D346" s="940"/>
      <c r="E346" s="940"/>
      <c r="F346" s="940"/>
      <c r="G346" s="940"/>
      <c r="H346" s="164" t="str">
        <f>'matrik MISI 2'!N59</f>
        <v>Cakupan Penegakan Hukum dari Tingkat Penyidikan Sampai dengan Putusan Pengadilan atas Kasus-kasus Kekerasan</v>
      </c>
      <c r="I346" s="164" t="str">
        <f>'matrik MISI 2'!O59</f>
        <v>%</v>
      </c>
      <c r="J346" s="929">
        <f>'matrik MISI 2'!P59</f>
        <v>25</v>
      </c>
      <c r="K346" s="929">
        <f>'matrik MISI 2'!Q59</f>
        <v>25</v>
      </c>
      <c r="L346" s="929">
        <f>'matrik MISI 2'!R59</f>
        <v>25</v>
      </c>
      <c r="M346" s="961"/>
      <c r="N346" s="929">
        <f>'matrik MISI 2'!S59</f>
        <v>25</v>
      </c>
      <c r="O346" s="929"/>
      <c r="P346" s="929">
        <f>'matrik MISI 2'!T59</f>
        <v>25</v>
      </c>
      <c r="Q346" s="929"/>
      <c r="R346" s="929">
        <f>'matrik MISI 2'!U59</f>
        <v>25</v>
      </c>
      <c r="S346" s="929"/>
      <c r="T346" s="929">
        <f>'matrik MISI 2'!V59</f>
        <v>25</v>
      </c>
      <c r="U346" s="929"/>
      <c r="V346" s="929">
        <f>'matrik MISI 2'!W59</f>
        <v>25</v>
      </c>
      <c r="W346" s="929"/>
      <c r="X346" s="929" t="str">
        <f>'matrik MISI 2'!X59</f>
        <v>BKBPP</v>
      </c>
      <c r="Y346" s="565" t="str">
        <f>'matrik MISI 2'!Y59</f>
        <v>Jumlah Penegakan Hukum dari Tingkat Penyidikan Sampai dengan Putusan Pengadilan atas Kasus-kasus Kekerasan dibagi jumlah kasus kekerasan x 100</v>
      </c>
      <c r="Z346" s="565">
        <f>'matrik MISI 2'!Z59</f>
        <v>0</v>
      </c>
    </row>
    <row r="347" spans="2:26" ht="60">
      <c r="B347" s="940"/>
      <c r="C347" s="941"/>
      <c r="D347" s="940"/>
      <c r="E347" s="940"/>
      <c r="F347" s="940"/>
      <c r="G347" s="940"/>
      <c r="H347" s="164" t="str">
        <f>'matrik MISI 2'!N60</f>
        <v>Cakupan Perempuan dan Anak Korban Kekerasan yang Mendapat Layanan Bantuan Hukum</v>
      </c>
      <c r="I347" s="164" t="str">
        <f>'matrik MISI 2'!O60</f>
        <v>%</v>
      </c>
      <c r="J347" s="929">
        <f>'matrik MISI 2'!P60</f>
        <v>90</v>
      </c>
      <c r="K347" s="929">
        <f>'matrik MISI 2'!Q60</f>
        <v>94</v>
      </c>
      <c r="L347" s="929">
        <f>'matrik MISI 2'!R60</f>
        <v>98</v>
      </c>
      <c r="M347" s="961"/>
      <c r="N347" s="929">
        <f>'matrik MISI 2'!S60</f>
        <v>98</v>
      </c>
      <c r="O347" s="929"/>
      <c r="P347" s="929">
        <f>'matrik MISI 2'!T60</f>
        <v>98</v>
      </c>
      <c r="Q347" s="929"/>
      <c r="R347" s="929">
        <f>'matrik MISI 2'!U60</f>
        <v>98</v>
      </c>
      <c r="S347" s="929"/>
      <c r="T347" s="929">
        <f>'matrik MISI 2'!V60</f>
        <v>98</v>
      </c>
      <c r="U347" s="929"/>
      <c r="V347" s="929">
        <f>'matrik MISI 2'!W60</f>
        <v>98</v>
      </c>
      <c r="W347" s="929"/>
      <c r="X347" s="929" t="str">
        <f>'matrik MISI 2'!X60</f>
        <v>BKBPP</v>
      </c>
      <c r="Y347" s="565" t="str">
        <f>'matrik MISI 2'!Y60</f>
        <v>Jumlah Perempuan dan Anak Korban Kekerasan yang Mendapat Layanan Bantuan Hukum dibagi jumlah perempuan dan anak korban kekerasan x 100</v>
      </c>
      <c r="Z347" s="565">
        <f>'matrik MISI 2'!Z60</f>
        <v>0</v>
      </c>
    </row>
    <row r="348" spans="2:26" ht="45">
      <c r="B348" s="940"/>
      <c r="C348" s="941"/>
      <c r="D348" s="940"/>
      <c r="E348" s="940"/>
      <c r="F348" s="940"/>
      <c r="G348" s="940"/>
      <c r="H348" s="164" t="str">
        <f>'matrik MISI 2'!N61</f>
        <v xml:space="preserve">Cakupan Layanan Pemulangan bagi Perempuan dan Anak Korban Kekerasan </v>
      </c>
      <c r="I348" s="164" t="str">
        <f>'matrik MISI 2'!O61</f>
        <v>%</v>
      </c>
      <c r="J348" s="929">
        <f>'matrik MISI 2'!P61</f>
        <v>80</v>
      </c>
      <c r="K348" s="929">
        <f>'matrik MISI 2'!Q61</f>
        <v>80</v>
      </c>
      <c r="L348" s="929">
        <f>'matrik MISI 2'!R61</f>
        <v>84</v>
      </c>
      <c r="M348" s="961"/>
      <c r="N348" s="929">
        <f>'matrik MISI 2'!S61</f>
        <v>84</v>
      </c>
      <c r="O348" s="929"/>
      <c r="P348" s="929">
        <f>'matrik MISI 2'!T61</f>
        <v>86</v>
      </c>
      <c r="Q348" s="929"/>
      <c r="R348" s="929">
        <f>'matrik MISI 2'!U61</f>
        <v>86</v>
      </c>
      <c r="S348" s="929"/>
      <c r="T348" s="929">
        <f>'matrik MISI 2'!V61</f>
        <v>86</v>
      </c>
      <c r="U348" s="929"/>
      <c r="V348" s="929">
        <f>'matrik MISI 2'!W61</f>
        <v>86</v>
      </c>
      <c r="W348" s="929"/>
      <c r="X348" s="929" t="str">
        <f>'matrik MISI 2'!X61</f>
        <v>BKBPP</v>
      </c>
      <c r="Y348" s="565" t="str">
        <f>'matrik MISI 2'!Y61</f>
        <v>Jumlah Layanan Pemulangan bagi Perempuan dan Anak Korban Kekerasan dibagi jumlah perempuan dan anak korban kekerasan 1 100</v>
      </c>
      <c r="Z348" s="565">
        <f>'matrik MISI 2'!Z61</f>
        <v>0</v>
      </c>
    </row>
    <row r="349" spans="2:26" ht="45">
      <c r="B349" s="940"/>
      <c r="C349" s="941"/>
      <c r="D349" s="940"/>
      <c r="E349" s="940"/>
      <c r="F349" s="940"/>
      <c r="G349" s="940"/>
      <c r="H349" s="164" t="str">
        <f>'matrik MISI 2'!N62</f>
        <v>Cakupan Layanan Reintegrasi Sosial bagi Perempuan dan Anak Korban Kekerasan</v>
      </c>
      <c r="I349" s="164" t="str">
        <f>'matrik MISI 2'!O62</f>
        <v>%</v>
      </c>
      <c r="J349" s="929">
        <f>'matrik MISI 2'!P62</f>
        <v>40</v>
      </c>
      <c r="K349" s="929">
        <f>'matrik MISI 2'!Q62</f>
        <v>40</v>
      </c>
      <c r="L349" s="929">
        <f>'matrik MISI 2'!R62</f>
        <v>50</v>
      </c>
      <c r="M349" s="961"/>
      <c r="N349" s="929">
        <f>'matrik MISI 2'!S62</f>
        <v>50</v>
      </c>
      <c r="O349" s="929"/>
      <c r="P349" s="929">
        <f>'matrik MISI 2'!T62</f>
        <v>50</v>
      </c>
      <c r="Q349" s="929"/>
      <c r="R349" s="929">
        <f>'matrik MISI 2'!U62</f>
        <v>50</v>
      </c>
      <c r="S349" s="929"/>
      <c r="T349" s="929">
        <f>'matrik MISI 2'!V62</f>
        <v>50</v>
      </c>
      <c r="U349" s="929"/>
      <c r="V349" s="929">
        <f>'matrik MISI 2'!W62</f>
        <v>50</v>
      </c>
      <c r="W349" s="929"/>
      <c r="X349" s="929" t="str">
        <f>'matrik MISI 2'!X62</f>
        <v>BKBPP</v>
      </c>
      <c r="Y349" s="565" t="str">
        <f>'matrik MISI 2'!Y62</f>
        <v>Jumlah Layanan Reintegrasi Sosial bagi Perempuan dan Anak Korban Kekerasan dibagi jumlah perempuan dan anak korban kekerasan x 100</v>
      </c>
      <c r="Z349" s="565">
        <f>'matrik MISI 2'!Z62</f>
        <v>0</v>
      </c>
    </row>
    <row r="350" spans="2:26" ht="30">
      <c r="B350" s="940"/>
      <c r="C350" s="941"/>
      <c r="D350" s="940"/>
      <c r="E350" s="940"/>
      <c r="F350" s="940"/>
      <c r="G350" s="940"/>
      <c r="H350" s="164" t="str">
        <f>'matrik MISI 2'!N63</f>
        <v>Rasio Kekerasan dalam rumah tangga</v>
      </c>
      <c r="I350" s="164" t="str">
        <f>'matrik MISI 2'!O63</f>
        <v>Rasio</v>
      </c>
      <c r="J350" s="929" t="str">
        <f>'matrik MISI 2'!P63</f>
        <v>1 : 2182</v>
      </c>
      <c r="K350" s="929" t="str">
        <f>'matrik MISI 2'!Q63</f>
        <v>1 : 2401</v>
      </c>
      <c r="L350" s="929" t="str">
        <f>'matrik MISI 2'!R63</f>
        <v>1 : 2401</v>
      </c>
      <c r="M350" s="961"/>
      <c r="N350" s="929" t="str">
        <f>'matrik MISI 2'!S63</f>
        <v>1 : 2500</v>
      </c>
      <c r="O350" s="929"/>
      <c r="P350" s="929" t="str">
        <f>'matrik MISI 2'!T63</f>
        <v>1 : 2500</v>
      </c>
      <c r="Q350" s="929"/>
      <c r="R350" s="929" t="str">
        <f>'matrik MISI 2'!U63</f>
        <v>1 : 2600</v>
      </c>
      <c r="S350" s="929"/>
      <c r="T350" s="929" t="str">
        <f>'matrik MISI 2'!V63</f>
        <v>1 : 2600</v>
      </c>
      <c r="U350" s="929"/>
      <c r="V350" s="929" t="str">
        <f>'matrik MISI 2'!W63</f>
        <v>1 : 2600</v>
      </c>
      <c r="W350" s="929"/>
      <c r="X350" s="929" t="str">
        <f>'matrik MISI 2'!X63</f>
        <v>BKBPP</v>
      </c>
      <c r="Y350" s="565" t="str">
        <f>'matrik MISI 2'!Y63</f>
        <v>jumlah kasus Kekerasan Dalam Rumah Tangga yang dilaporkan dibagi jumlah Rumah Tangga x 100</v>
      </c>
      <c r="Z350" s="565">
        <f>'matrik MISI 2'!Z63</f>
        <v>0</v>
      </c>
    </row>
    <row r="351" spans="2:26" ht="60">
      <c r="B351" s="940"/>
      <c r="C351" s="941"/>
      <c r="D351" s="940">
        <f>'matrik MISI 2'!J64</f>
        <v>1.1100000000000001</v>
      </c>
      <c r="E351" s="940" t="str">
        <f>'matrik MISI 2'!K64</f>
        <v>xx</v>
      </c>
      <c r="F351" s="940">
        <f>'matrik MISI 2'!L64</f>
        <v>16</v>
      </c>
      <c r="G351" s="940" t="str">
        <f>'matrik MISI 2'!M64</f>
        <v>Program Penguatan Kelembagaan Pengarustamaan Gender dan Anak</v>
      </c>
      <c r="H351" s="164"/>
      <c r="I351" s="164"/>
      <c r="J351" s="929"/>
      <c r="K351" s="929"/>
      <c r="L351" s="929"/>
      <c r="M351" s="961">
        <f>'jangan di hapus 1'!K679</f>
        <v>98456850</v>
      </c>
      <c r="N351" s="961"/>
      <c r="O351" s="961">
        <f>'jangan di hapus 1'!M679</f>
        <v>210000000</v>
      </c>
      <c r="P351" s="961"/>
      <c r="Q351" s="961">
        <f>'jangan di hapus 1'!O679</f>
        <v>231000000</v>
      </c>
      <c r="R351" s="961"/>
      <c r="S351" s="961">
        <f>'jangan di hapus 1'!Q679</f>
        <v>254100000</v>
      </c>
      <c r="T351" s="961"/>
      <c r="U351" s="961">
        <f>'jangan di hapus 1'!S679</f>
        <v>279510000</v>
      </c>
      <c r="V351" s="929"/>
      <c r="W351" s="961">
        <f>SUM(M351:U351)</f>
        <v>1073066850</v>
      </c>
      <c r="X351" s="929"/>
      <c r="Y351" s="565"/>
      <c r="Z351" s="565"/>
    </row>
    <row r="352" spans="2:26" ht="45">
      <c r="B352" s="940"/>
      <c r="C352" s="941"/>
      <c r="D352" s="939"/>
      <c r="E352" s="939"/>
      <c r="F352" s="939"/>
      <c r="G352" s="939"/>
      <c r="H352" s="164" t="str">
        <f>'matrik MISI 2'!N64</f>
        <v>Meningkatnya Implementasi Anggaran Responsif Gender</v>
      </c>
      <c r="I352" s="164" t="str">
        <f>'matrik MISI 2'!O64</f>
        <v>%</v>
      </c>
      <c r="J352" s="929" t="str">
        <f>'matrik MISI 2'!P64</f>
        <v>4,2</v>
      </c>
      <c r="K352" s="929" t="str">
        <f>'matrik MISI 2'!Q64</f>
        <v>29,2</v>
      </c>
      <c r="L352" s="929">
        <f>'matrik MISI 2'!R64</f>
        <v>30</v>
      </c>
      <c r="M352" s="961"/>
      <c r="N352" s="929">
        <f>'matrik MISI 2'!S64</f>
        <v>40</v>
      </c>
      <c r="O352" s="929"/>
      <c r="P352" s="929">
        <f>'matrik MISI 2'!T64</f>
        <v>50</v>
      </c>
      <c r="Q352" s="929"/>
      <c r="R352" s="929">
        <f>'matrik MISI 2'!U64</f>
        <v>60</v>
      </c>
      <c r="S352" s="929"/>
      <c r="T352" s="929">
        <f>'matrik MISI 2'!V64</f>
        <v>70</v>
      </c>
      <c r="U352" s="929"/>
      <c r="V352" s="929">
        <f>'matrik MISI 2'!W64</f>
        <v>70</v>
      </c>
      <c r="W352" s="929"/>
      <c r="X352" s="929" t="str">
        <f>'matrik MISI 2'!X64</f>
        <v>BKBPP</v>
      </c>
      <c r="Y352" s="565" t="str">
        <f>'matrik MISI 2'!Y64</f>
        <v>Jumlah Daftar Pelaksanaan Anggaran (DPA) SKPD yang sudah dilampiri Anggaran Responsif Gender dibagi jumlah kegiatan SKPD yang diusulkan ber-ARG x 100</v>
      </c>
      <c r="Z352" s="565">
        <f>'matrik MISI 2'!Z64</f>
        <v>0</v>
      </c>
    </row>
    <row r="353" spans="2:26" ht="30">
      <c r="B353" s="940"/>
      <c r="C353" s="941"/>
      <c r="D353" s="940"/>
      <c r="E353" s="940"/>
      <c r="F353" s="940"/>
      <c r="G353" s="940"/>
      <c r="H353" s="164" t="str">
        <f>'matrik MISI 2'!N66</f>
        <v>Cakupan Pencapaian Indikator Klaster Hak Sipil dan Kebebasan</v>
      </c>
      <c r="I353" s="164" t="str">
        <f>'matrik MISI 2'!O66</f>
        <v>%</v>
      </c>
      <c r="J353" s="929">
        <f>'matrik MISI 2'!P66</f>
        <v>60</v>
      </c>
      <c r="K353" s="929">
        <f>'matrik MISI 2'!Q66</f>
        <v>66</v>
      </c>
      <c r="L353" s="929">
        <f>'matrik MISI 2'!R66</f>
        <v>70</v>
      </c>
      <c r="M353" s="961"/>
      <c r="N353" s="929">
        <f>'matrik MISI 2'!S66</f>
        <v>75</v>
      </c>
      <c r="O353" s="929"/>
      <c r="P353" s="929">
        <f>'matrik MISI 2'!T66</f>
        <v>80</v>
      </c>
      <c r="Q353" s="929"/>
      <c r="R353" s="929">
        <f>'matrik MISI 2'!U66</f>
        <v>85</v>
      </c>
      <c r="S353" s="929"/>
      <c r="T353" s="929">
        <f>'matrik MISI 2'!V66</f>
        <v>90</v>
      </c>
      <c r="U353" s="929"/>
      <c r="V353" s="929">
        <f>'matrik MISI 2'!W66</f>
        <v>95</v>
      </c>
      <c r="W353" s="929"/>
      <c r="X353" s="929" t="str">
        <f>'matrik MISI 2'!X66</f>
        <v>BKBPP</v>
      </c>
      <c r="Y353" s="565" t="str">
        <f>'matrik MISI 2'!Y66</f>
        <v>Jumlah Indikator Klaster Hak Sipil dan Kebebasan yang tercapai dibagi jumlah indikator klaster hak sipil kali 100</v>
      </c>
      <c r="Z353" s="565">
        <f>'matrik MISI 2'!Z66</f>
        <v>0</v>
      </c>
    </row>
    <row r="354" spans="2:26" ht="45">
      <c r="B354" s="940"/>
      <c r="C354" s="941"/>
      <c r="D354" s="940"/>
      <c r="E354" s="940"/>
      <c r="F354" s="940"/>
      <c r="G354" s="940"/>
      <c r="H354" s="164" t="str">
        <f>'matrik MISI 2'!N67</f>
        <v>Cakupan Pencapaian Indikator Klaster Lingkungan Keluarga dan Pengasuhan Alternatif</v>
      </c>
      <c r="I354" s="164" t="str">
        <f>'matrik MISI 2'!O67</f>
        <v>%</v>
      </c>
      <c r="J354" s="929">
        <f>'matrik MISI 2'!P67</f>
        <v>60</v>
      </c>
      <c r="K354" s="929">
        <f>'matrik MISI 2'!Q67</f>
        <v>60</v>
      </c>
      <c r="L354" s="929">
        <f>'matrik MISI 2'!R67</f>
        <v>70</v>
      </c>
      <c r="M354" s="961"/>
      <c r="N354" s="929">
        <f>'matrik MISI 2'!S67</f>
        <v>70</v>
      </c>
      <c r="O354" s="929"/>
      <c r="P354" s="929">
        <f>'matrik MISI 2'!T67</f>
        <v>75</v>
      </c>
      <c r="Q354" s="929"/>
      <c r="R354" s="929">
        <f>'matrik MISI 2'!U67</f>
        <v>75</v>
      </c>
      <c r="S354" s="929"/>
      <c r="T354" s="929">
        <f>'matrik MISI 2'!V67</f>
        <v>80</v>
      </c>
      <c r="U354" s="929"/>
      <c r="V354" s="929">
        <f>'matrik MISI 2'!W67</f>
        <v>80</v>
      </c>
      <c r="W354" s="929"/>
      <c r="X354" s="929" t="str">
        <f>'matrik MISI 2'!X67</f>
        <v>BKBPP</v>
      </c>
      <c r="Y354" s="565" t="str">
        <f>'matrik MISI 2'!Y67</f>
        <v>Jumlah Indikator Klaster Lingkungan Keluarga dan Pengasuhan Alternatif yang tercapai dibagi jumlah Indikator Klaster Lingkungan Keluarga dan Pengasuhan Alternatif x 100</v>
      </c>
      <c r="Z354" s="565">
        <f>'matrik MISI 2'!Z67</f>
        <v>0</v>
      </c>
    </row>
    <row r="355" spans="2:26" ht="30">
      <c r="B355" s="940"/>
      <c r="C355" s="941"/>
      <c r="D355" s="940"/>
      <c r="E355" s="940"/>
      <c r="F355" s="940"/>
      <c r="G355" s="940"/>
      <c r="H355" s="164" t="str">
        <f>'matrik MISI 2'!N68</f>
        <v>Cakupan Pencapaian Indikator Klaster Kesehatan Dasar</v>
      </c>
      <c r="I355" s="164" t="str">
        <f>'matrik MISI 2'!O68</f>
        <v>%</v>
      </c>
      <c r="J355" s="929">
        <f>'matrik MISI 2'!P68</f>
        <v>60</v>
      </c>
      <c r="K355" s="929">
        <f>'matrik MISI 2'!Q68</f>
        <v>60</v>
      </c>
      <c r="L355" s="929">
        <f>'matrik MISI 2'!R68</f>
        <v>70</v>
      </c>
      <c r="M355" s="961"/>
      <c r="N355" s="929">
        <f>'matrik MISI 2'!S68</f>
        <v>70</v>
      </c>
      <c r="O355" s="929"/>
      <c r="P355" s="929">
        <f>'matrik MISI 2'!T68</f>
        <v>75</v>
      </c>
      <c r="Q355" s="929"/>
      <c r="R355" s="929">
        <f>'matrik MISI 2'!U68</f>
        <v>75</v>
      </c>
      <c r="S355" s="929"/>
      <c r="T355" s="929">
        <f>'matrik MISI 2'!V68</f>
        <v>80</v>
      </c>
      <c r="U355" s="929"/>
      <c r="V355" s="929">
        <f>'matrik MISI 2'!W68</f>
        <v>80</v>
      </c>
      <c r="W355" s="929"/>
      <c r="X355" s="929" t="str">
        <f>'matrik MISI 2'!X68</f>
        <v>BKBPP</v>
      </c>
      <c r="Y355" s="565" t="str">
        <f>'matrik MISI 2'!Y68</f>
        <v>Jumlah Indikator Klaster Kesehatan Dasar yang tercapai dibagi jumlah indikator klaster kesehatan dasar kali 100</v>
      </c>
      <c r="Z355" s="565">
        <f>'matrik MISI 2'!Z68</f>
        <v>0</v>
      </c>
    </row>
    <row r="356" spans="2:26" ht="60">
      <c r="B356" s="940"/>
      <c r="C356" s="941"/>
      <c r="D356" s="940"/>
      <c r="E356" s="940"/>
      <c r="F356" s="940"/>
      <c r="G356" s="940"/>
      <c r="H356" s="164" t="str">
        <f>'matrik MISI 2'!N69</f>
        <v>Cakupan Pencapaian Indikator Klaster Pendidikan, Pemanfaatan Waktu Luang dan Kegiatan Budaya</v>
      </c>
      <c r="I356" s="164" t="str">
        <f>'matrik MISI 2'!O69</f>
        <v>%</v>
      </c>
      <c r="J356" s="929">
        <f>'matrik MISI 2'!P69</f>
        <v>70</v>
      </c>
      <c r="K356" s="929">
        <f>'matrik MISI 2'!Q69</f>
        <v>70</v>
      </c>
      <c r="L356" s="929">
        <f>'matrik MISI 2'!R69</f>
        <v>75</v>
      </c>
      <c r="M356" s="961"/>
      <c r="N356" s="929">
        <f>'matrik MISI 2'!S69</f>
        <v>75</v>
      </c>
      <c r="O356" s="929"/>
      <c r="P356" s="929">
        <f>'matrik MISI 2'!T69</f>
        <v>80</v>
      </c>
      <c r="Q356" s="929"/>
      <c r="R356" s="929">
        <f>'matrik MISI 2'!U69</f>
        <v>80</v>
      </c>
      <c r="S356" s="929"/>
      <c r="T356" s="929">
        <f>'matrik MISI 2'!V69</f>
        <v>85</v>
      </c>
      <c r="U356" s="929"/>
      <c r="V356" s="929">
        <f>'matrik MISI 2'!W69</f>
        <v>85</v>
      </c>
      <c r="W356" s="929"/>
      <c r="X356" s="929" t="str">
        <f>'matrik MISI 2'!X69</f>
        <v>BKBPP</v>
      </c>
      <c r="Y356" s="565" t="str">
        <f>'matrik MISI 2'!Y69</f>
        <v>Jumlah Indikator Klaster Pendidikan, Pemanfaatan Waktu Luang dan Kegiatan Budaya yang tercapai dibagi jumlah indikator Klaster Pendidikan, Pemanfaatan Waktu Luang dan Kegiatan Budaya kali 100</v>
      </c>
      <c r="Z356" s="565">
        <f>'matrik MISI 2'!Z69</f>
        <v>0</v>
      </c>
    </row>
    <row r="357" spans="2:26" ht="30">
      <c r="B357" s="940"/>
      <c r="C357" s="941"/>
      <c r="D357" s="940"/>
      <c r="E357" s="940"/>
      <c r="F357" s="940"/>
      <c r="G357" s="940"/>
      <c r="H357" s="164" t="str">
        <f>'matrik MISI 2'!N70</f>
        <v>Cakupan Pencapaian Indikator Kluster Perlindungan Khusus</v>
      </c>
      <c r="I357" s="164" t="str">
        <f>'matrik MISI 2'!O70</f>
        <v>%</v>
      </c>
      <c r="J357" s="929">
        <f>'matrik MISI 2'!P70</f>
        <v>55</v>
      </c>
      <c r="K357" s="929">
        <f>'matrik MISI 2'!Q70</f>
        <v>55</v>
      </c>
      <c r="L357" s="929">
        <f>'matrik MISI 2'!R70</f>
        <v>60</v>
      </c>
      <c r="M357" s="961"/>
      <c r="N357" s="929">
        <f>'matrik MISI 2'!S70</f>
        <v>60</v>
      </c>
      <c r="O357" s="929"/>
      <c r="P357" s="929">
        <f>'matrik MISI 2'!T70</f>
        <v>65</v>
      </c>
      <c r="Q357" s="929"/>
      <c r="R357" s="929">
        <f>'matrik MISI 2'!U70</f>
        <v>65</v>
      </c>
      <c r="S357" s="929"/>
      <c r="T357" s="929">
        <f>'matrik MISI 2'!V70</f>
        <v>70</v>
      </c>
      <c r="U357" s="929"/>
      <c r="V357" s="929">
        <f>'matrik MISI 2'!W70</f>
        <v>70</v>
      </c>
      <c r="W357" s="929"/>
      <c r="X357" s="929" t="str">
        <f>'matrik MISI 2'!X70</f>
        <v>BKBPP</v>
      </c>
      <c r="Y357" s="565" t="str">
        <f>'matrik MISI 2'!Y70</f>
        <v>Jumlah Indikator Kluster Perlindungan Khusus yang tercapai dibagi jumlah indikator kluster perlindungan khusus kali 100</v>
      </c>
      <c r="Z357" s="565">
        <f>'matrik MISI 2'!Z70</f>
        <v>0</v>
      </c>
    </row>
    <row r="358" spans="2:26" ht="30">
      <c r="B358" s="949">
        <v>12</v>
      </c>
      <c r="C358" s="948" t="str">
        <f>'matrik MISI 5'!B73</f>
        <v>KELUARGA BERENCANA</v>
      </c>
      <c r="D358" s="949">
        <f>'matrik MISI 5'!J74</f>
        <v>1.1200000000000001</v>
      </c>
      <c r="E358" s="949" t="str">
        <f>'matrik MISI 5'!K74</f>
        <v>xx</v>
      </c>
      <c r="F358" s="949">
        <f>'matrik MISI 5'!L74</f>
        <v>28</v>
      </c>
      <c r="G358" s="949" t="str">
        <f>'matrik MISI 5'!M74</f>
        <v>Program Pembinaan Kesejahteraan Keluarga</v>
      </c>
      <c r="H358" s="164"/>
      <c r="I358" s="164"/>
      <c r="J358" s="929"/>
      <c r="K358" s="929"/>
      <c r="L358" s="929"/>
      <c r="M358" s="961">
        <f>'jangan di hapus 1'!K709</f>
        <v>64999000</v>
      </c>
      <c r="N358" s="961"/>
      <c r="O358" s="961">
        <f>'jangan di hapus 1'!M709</f>
        <v>95000000</v>
      </c>
      <c r="P358" s="961"/>
      <c r="Q358" s="961">
        <f>'jangan di hapus 1'!O709</f>
        <v>111500000</v>
      </c>
      <c r="R358" s="961"/>
      <c r="S358" s="961">
        <f>'jangan di hapus 1'!Q709</f>
        <v>131050000</v>
      </c>
      <c r="T358" s="961"/>
      <c r="U358" s="961">
        <f>'jangan di hapus 1'!S709</f>
        <v>154235000</v>
      </c>
      <c r="V358" s="929"/>
      <c r="W358" s="961">
        <f>SUM(M358:U358)</f>
        <v>556784000</v>
      </c>
      <c r="X358" s="929"/>
    </row>
    <row r="359" spans="2:26" ht="30">
      <c r="B359" s="939"/>
      <c r="C359" s="939"/>
      <c r="D359" s="939"/>
      <c r="E359" s="939"/>
      <c r="F359" s="939"/>
      <c r="G359" s="939"/>
      <c r="H359" s="164" t="str">
        <f>'matrik MISI 5'!N74</f>
        <v>Meningkatnya kualias kesejahteraan keluarga</v>
      </c>
      <c r="I359" s="164"/>
      <c r="J359" s="929"/>
      <c r="K359" s="929"/>
      <c r="L359" s="929"/>
      <c r="M359" s="961"/>
      <c r="N359" s="929"/>
      <c r="O359" s="929"/>
      <c r="P359" s="929"/>
      <c r="Q359" s="929"/>
      <c r="R359" s="929"/>
      <c r="S359" s="929"/>
      <c r="T359" s="929"/>
      <c r="U359" s="929"/>
      <c r="V359" s="929"/>
      <c r="W359" s="929"/>
      <c r="X359" s="929"/>
      <c r="Y359" s="565"/>
      <c r="Z359" s="565"/>
    </row>
    <row r="360" spans="2:26" ht="60">
      <c r="B360" s="940"/>
      <c r="C360" s="941"/>
      <c r="D360" s="940"/>
      <c r="E360" s="940"/>
      <c r="F360" s="940"/>
      <c r="G360" s="940"/>
      <c r="H360" s="164" t="str">
        <f>'matrik MISI 5'!N75</f>
        <v>a. Keluarga Pra Sejahtera</v>
      </c>
      <c r="I360" s="164" t="str">
        <f>'matrik MISI 5'!O75</f>
        <v>%</v>
      </c>
      <c r="J360" s="929" t="str">
        <f>'matrik MISI 5'!P75</f>
        <v>22,86</v>
      </c>
      <c r="K360" s="929" t="str">
        <f>'matrik MISI 5'!Q75</f>
        <v>21,32</v>
      </c>
      <c r="L360" s="929" t="str">
        <f>'matrik MISI 5'!R75</f>
        <v>21,32</v>
      </c>
      <c r="M360" s="961"/>
      <c r="N360" s="929" t="str">
        <f>'matrik MISI 5'!S75</f>
        <v>20,58</v>
      </c>
      <c r="O360" s="929"/>
      <c r="P360" s="929" t="str">
        <f>'matrik MISI 5'!T75</f>
        <v>20,48</v>
      </c>
      <c r="Q360" s="929"/>
      <c r="R360" s="929" t="str">
        <f>'matrik MISI 5'!U75</f>
        <v>20,26</v>
      </c>
      <c r="S360" s="929"/>
      <c r="T360" s="929" t="str">
        <f>'matrik MISI 5'!V75</f>
        <v>20,22</v>
      </c>
      <c r="U360" s="929"/>
      <c r="V360" s="929" t="str">
        <f>'matrik MISI 5'!W75</f>
        <v>20,22</v>
      </c>
      <c r="W360" s="929"/>
      <c r="X360" s="929" t="str">
        <f>'matrik MISI 5'!X75</f>
        <v>BKBPP</v>
      </c>
      <c r="Y360" s="565" t="str">
        <f>'matrik MISI 5'!Y75</f>
        <v>Jumlah keluarga pra sejahtera dibagi jumlah seluruh keluarga kali 100</v>
      </c>
      <c r="Z360" s="565" t="str">
        <f>'matrik MISI 5'!Z75</f>
        <v>keluarga yang belum dapat memenuhi salah satu atau lebih dari 5 kebutuhan dasarnya (basic needs) Sebagai keluarga Sejahtera I, seperti kebutuhan akan pengajaran agama, pangan, papan, sandang dan kesehatan.</v>
      </c>
    </row>
    <row r="361" spans="2:26" ht="195">
      <c r="B361" s="940"/>
      <c r="C361" s="941"/>
      <c r="D361" s="940"/>
      <c r="E361" s="940"/>
      <c r="F361" s="940"/>
      <c r="G361" s="940"/>
      <c r="H361" s="164" t="str">
        <f>'matrik MISI 5'!N76</f>
        <v>b. Keluarga Sejahtera I</v>
      </c>
      <c r="I361" s="164" t="str">
        <f>'matrik MISI 5'!O76</f>
        <v>%</v>
      </c>
      <c r="J361" s="929" t="str">
        <f>'matrik MISI 5'!P76</f>
        <v>11,3</v>
      </c>
      <c r="K361" s="929" t="str">
        <f>'matrik MISI 5'!Q76</f>
        <v>8,05</v>
      </c>
      <c r="L361" s="929" t="str">
        <f>'matrik MISI 5'!R76</f>
        <v>8,05</v>
      </c>
      <c r="M361" s="961"/>
      <c r="N361" s="929" t="str">
        <f>'matrik MISI 5'!S76</f>
        <v>7,87</v>
      </c>
      <c r="O361" s="929"/>
      <c r="P361" s="929" t="str">
        <f>'matrik MISI 5'!T76</f>
        <v>7,15</v>
      </c>
      <c r="Q361" s="929"/>
      <c r="R361" s="929" t="str">
        <f>'matrik MISI 5'!U76</f>
        <v>7,24</v>
      </c>
      <c r="S361" s="929"/>
      <c r="T361" s="929" t="str">
        <f>'matrik MISI 5'!V76</f>
        <v>7,23</v>
      </c>
      <c r="U361" s="929"/>
      <c r="V361" s="929" t="str">
        <f>'matrik MISI 5'!W76</f>
        <v>7,23</v>
      </c>
      <c r="W361" s="929"/>
      <c r="X361" s="929" t="str">
        <f>'matrik MISI 5'!X76</f>
        <v>BKBPP</v>
      </c>
      <c r="Y361" s="565" t="str">
        <f>'matrik MISI 5'!Y76</f>
        <v>Jumlah keluarga sejahtera I dibagi jumlah seluruh keluarga kali 100</v>
      </c>
      <c r="Z361" s="565"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62" spans="2:26" ht="180">
      <c r="B362" s="940"/>
      <c r="C362" s="941"/>
      <c r="D362" s="940"/>
      <c r="E362" s="940"/>
      <c r="F362" s="940"/>
      <c r="G362" s="940"/>
      <c r="H362" s="164" t="str">
        <f>'matrik MISI 5'!N77</f>
        <v>c. Keluarga Sejahtera II</v>
      </c>
      <c r="I362" s="164" t="str">
        <f>'matrik MISI 5'!O77</f>
        <v>%</v>
      </c>
      <c r="J362" s="929" t="str">
        <f>'matrik MISI 5'!P77</f>
        <v>17,33</v>
      </c>
      <c r="K362" s="929" t="str">
        <f>'matrik MISI 5'!Q77</f>
        <v>21,81</v>
      </c>
      <c r="L362" s="929" t="str">
        <f>'matrik MISI 5'!R77</f>
        <v>21,81</v>
      </c>
      <c r="M362" s="961"/>
      <c r="N362" s="929" t="str">
        <f>'matrik MISI 5'!S77</f>
        <v>22,01</v>
      </c>
      <c r="O362" s="929"/>
      <c r="P362" s="929" t="str">
        <f>'matrik MISI 5'!T77</f>
        <v>23,16</v>
      </c>
      <c r="Q362" s="929"/>
      <c r="R362" s="929" t="str">
        <f>'matrik MISI 5'!U77</f>
        <v>23,17</v>
      </c>
      <c r="S362" s="929"/>
      <c r="T362" s="929" t="str">
        <f>'matrik MISI 5'!V77</f>
        <v>23,19</v>
      </c>
      <c r="U362" s="929"/>
      <c r="V362" s="929" t="str">
        <f>'matrik MISI 5'!W77</f>
        <v>23,19</v>
      </c>
      <c r="W362" s="929"/>
      <c r="X362" s="929" t="str">
        <f>'matrik MISI 5'!X77</f>
        <v>BKBPP</v>
      </c>
      <c r="Y362" s="565" t="str">
        <f>'matrik MISI 5'!Y77</f>
        <v>Jumlah keluarga sejahtera II dibagi jumlah seluruh keluarga kali 100</v>
      </c>
      <c r="Z362" s="565"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63" spans="2:26" ht="225">
      <c r="B363" s="940"/>
      <c r="C363" s="941"/>
      <c r="D363" s="940"/>
      <c r="E363" s="940"/>
      <c r="F363" s="940"/>
      <c r="G363" s="940"/>
      <c r="H363" s="164" t="str">
        <f>'matrik MISI 5'!N78</f>
        <v>d. Keluarga Sejahtera III</v>
      </c>
      <c r="I363" s="164" t="str">
        <f>'matrik MISI 5'!O78</f>
        <v>%</v>
      </c>
      <c r="J363" s="929" t="str">
        <f>'matrik MISI 5'!P78</f>
        <v>45,38</v>
      </c>
      <c r="K363" s="929" t="str">
        <f>'matrik MISI 5'!Q78</f>
        <v>45,57</v>
      </c>
      <c r="L363" s="929" t="str">
        <f>'matrik MISI 5'!R78</f>
        <v>45,57</v>
      </c>
      <c r="M363" s="961"/>
      <c r="N363" s="929" t="str">
        <f>'matrik MISI 5'!S78</f>
        <v>44,93</v>
      </c>
      <c r="O363" s="929"/>
      <c r="P363" s="929" t="str">
        <f>'matrik MISI 5'!T78</f>
        <v>45,23</v>
      </c>
      <c r="Q363" s="929"/>
      <c r="R363" s="929" t="str">
        <f>'matrik MISI 5'!U78</f>
        <v>45,21</v>
      </c>
      <c r="S363" s="929"/>
      <c r="T363" s="929" t="str">
        <f>'matrik MISI 5'!V78</f>
        <v>45,22</v>
      </c>
      <c r="U363" s="929"/>
      <c r="V363" s="929" t="str">
        <f>'matrik MISI 5'!W78</f>
        <v>45,22</v>
      </c>
      <c r="W363" s="929"/>
      <c r="X363" s="929" t="str">
        <f>'matrik MISI 5'!X78</f>
        <v>BKBPP</v>
      </c>
      <c r="Y363" s="565" t="str">
        <f>'matrik MISI 5'!Y78</f>
        <v>Jumlah keluarga sejahtera III dibagi jumlah seluruh keluarga kali 100</v>
      </c>
      <c r="Z363" s="565"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64" spans="2:26" ht="120">
      <c r="B364" s="940"/>
      <c r="C364" s="941"/>
      <c r="D364" s="940"/>
      <c r="E364" s="940"/>
      <c r="F364" s="940"/>
      <c r="G364" s="940"/>
      <c r="H364" s="164" t="str">
        <f>'matrik MISI 5'!N79</f>
        <v>e. Keluarga Sejahtera III plus</v>
      </c>
      <c r="I364" s="164" t="str">
        <f>'matrik MISI 5'!O79</f>
        <v>%</v>
      </c>
      <c r="J364" s="929" t="str">
        <f>'matrik MISI 5'!P79</f>
        <v>3,11</v>
      </c>
      <c r="K364" s="929" t="str">
        <f>'matrik MISI 5'!Q79</f>
        <v>3,23</v>
      </c>
      <c r="L364" s="929" t="str">
        <f>'matrik MISI 5'!R79</f>
        <v>3,23</v>
      </c>
      <c r="M364" s="961"/>
      <c r="N364" s="929" t="str">
        <f>'matrik MISI 5'!S79</f>
        <v>3,61</v>
      </c>
      <c r="O364" s="929"/>
      <c r="P364" s="929" t="str">
        <f>'matrik MISI 5'!T79</f>
        <v>3,98</v>
      </c>
      <c r="Q364" s="929"/>
      <c r="R364" s="929" t="str">
        <f>'matrik MISI 5'!U79</f>
        <v>4,12</v>
      </c>
      <c r="S364" s="929"/>
      <c r="T364" s="929" t="str">
        <f>'matrik MISI 5'!V79</f>
        <v>4,14</v>
      </c>
      <c r="U364" s="929"/>
      <c r="V364" s="929" t="str">
        <f>'matrik MISI 5'!W79</f>
        <v>4,14</v>
      </c>
      <c r="W364" s="929"/>
      <c r="X364" s="929" t="str">
        <f>'matrik MISI 5'!X79</f>
        <v>BKBPP</v>
      </c>
      <c r="Y364" s="565" t="str">
        <f>'matrik MISI 5'!Y79</f>
        <v>Jumlah keluarga sejahtera III Plus dibagi jumlah seluruh keluarga kali 100</v>
      </c>
      <c r="Z364" s="565"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5" spans="2:26" ht="45">
      <c r="B365" s="940"/>
      <c r="C365" s="941"/>
      <c r="D365" s="940"/>
      <c r="E365" s="940"/>
      <c r="F365" s="940"/>
      <c r="G365" s="940"/>
      <c r="H365" s="164" t="str">
        <f>'matrik MISI 5'!N80</f>
        <v>Cakupan penyediaan informasi data mikro keluarga di setiap desa/kelurahan setiap tahun</v>
      </c>
      <c r="I365" s="164" t="str">
        <f>'matrik MISI 5'!O80</f>
        <v>%</v>
      </c>
      <c r="J365" s="929">
        <f>'matrik MISI 5'!P80</f>
        <v>100</v>
      </c>
      <c r="K365" s="929">
        <f>'matrik MISI 5'!Q80</f>
        <v>100</v>
      </c>
      <c r="L365" s="929">
        <f>'matrik MISI 5'!R80</f>
        <v>100</v>
      </c>
      <c r="M365" s="961"/>
      <c r="N365" s="929">
        <f>'matrik MISI 5'!S80</f>
        <v>100</v>
      </c>
      <c r="O365" s="929"/>
      <c r="P365" s="929">
        <f>'matrik MISI 5'!T80</f>
        <v>100</v>
      </c>
      <c r="Q365" s="929"/>
      <c r="R365" s="929">
        <f>'matrik MISI 5'!U80</f>
        <v>100</v>
      </c>
      <c r="S365" s="929"/>
      <c r="T365" s="929">
        <f>'matrik MISI 5'!V80</f>
        <v>100</v>
      </c>
      <c r="U365" s="929"/>
      <c r="V365" s="929">
        <f>'matrik MISI 5'!W80</f>
        <v>100</v>
      </c>
      <c r="W365" s="929"/>
      <c r="X365" s="929" t="str">
        <f>'matrik MISI 5'!X80</f>
        <v>BKBPP</v>
      </c>
      <c r="Y365" s="565" t="str">
        <f>'matrik MISI 5'!Y80</f>
        <v>Jumlah dokumen data mikro keluarga yang ada dibagi jumlah desa/kelurahan kali 100</v>
      </c>
      <c r="Z365" s="565">
        <f>'matrik MISI 5'!Z80</f>
        <v>0</v>
      </c>
    </row>
    <row r="366" spans="2:26" ht="30">
      <c r="B366" s="940"/>
      <c r="C366" s="941"/>
      <c r="D366" s="940">
        <f>'matrik MISI 5'!J82</f>
        <v>1.1200000000000001</v>
      </c>
      <c r="E366" s="940" t="str">
        <f>'matrik MISI 5'!K82</f>
        <v>xx</v>
      </c>
      <c r="F366" s="940">
        <f>'matrik MISI 5'!L82</f>
        <v>15</v>
      </c>
      <c r="G366" s="940" t="str">
        <f>'matrik MISI 5'!M82</f>
        <v xml:space="preserve">Program Keluarga Berencana                                               </v>
      </c>
      <c r="H366" s="164"/>
      <c r="I366" s="164"/>
      <c r="J366" s="929"/>
      <c r="K366" s="929"/>
      <c r="L366" s="929"/>
      <c r="M366" s="961">
        <f>'jangan di hapus 1'!K688</f>
        <v>1937642790</v>
      </c>
      <c r="N366" s="961"/>
      <c r="O366" s="961">
        <f>'jangan di hapus 1'!M688</f>
        <v>2272485580</v>
      </c>
      <c r="P366" s="961"/>
      <c r="Q366" s="961">
        <f>'jangan di hapus 1'!O688</f>
        <v>2404131122</v>
      </c>
      <c r="R366" s="961"/>
      <c r="S366" s="961">
        <f>'jangan di hapus 1'!Q688</f>
        <v>2553746414.1999998</v>
      </c>
      <c r="T366" s="961"/>
      <c r="U366" s="961">
        <f>'jangan di hapus 1'!S688</f>
        <v>2724328990.5799994</v>
      </c>
      <c r="V366" s="929"/>
      <c r="W366" s="961">
        <f>SUM(M366:U366)</f>
        <v>11892334896.780001</v>
      </c>
      <c r="X366" s="929"/>
      <c r="Y366" s="565"/>
      <c r="Z366" s="565"/>
    </row>
    <row r="367" spans="2:26" ht="45">
      <c r="B367" s="940"/>
      <c r="C367" s="941"/>
      <c r="D367" s="939"/>
      <c r="E367" s="939"/>
      <c r="F367" s="939"/>
      <c r="G367" s="939"/>
      <c r="H367" s="164" t="str">
        <f>'matrik MISI 5'!N82</f>
        <v>Cakupan Pasangan Usia Subur yang Istrinya dibawah Usia 20 tahun</v>
      </c>
      <c r="I367" s="164" t="str">
        <f>'matrik MISI 5'!O82</f>
        <v>%</v>
      </c>
      <c r="J367" s="929" t="str">
        <f>'matrik MISI 5'!P82</f>
        <v>4,00</v>
      </c>
      <c r="K367" s="929" t="str">
        <f>'matrik MISI 5'!Q82</f>
        <v>3,25</v>
      </c>
      <c r="L367" s="929" t="str">
        <f>'matrik MISI 5'!R82</f>
        <v>3,10</v>
      </c>
      <c r="M367" s="961"/>
      <c r="N367" s="929">
        <f>'matrik MISI 5'!S82</f>
        <v>3</v>
      </c>
      <c r="O367" s="929"/>
      <c r="P367" s="929" t="str">
        <f>'matrik MISI 5'!T82</f>
        <v>2,8</v>
      </c>
      <c r="Q367" s="929"/>
      <c r="R367" s="929" t="str">
        <f>'matrik MISI 5'!U82</f>
        <v>2,7</v>
      </c>
      <c r="S367" s="929"/>
      <c r="T367" s="929" t="str">
        <f>'matrik MISI 5'!V82</f>
        <v>2,6</v>
      </c>
      <c r="U367" s="929"/>
      <c r="V367" s="929" t="str">
        <f>'matrik MISI 5'!W82</f>
        <v>2,6</v>
      </c>
      <c r="W367" s="929"/>
      <c r="X367" s="929" t="str">
        <f>'matrik MISI 5'!X82</f>
        <v>BKBPP</v>
      </c>
      <c r="Y367" s="565" t="str">
        <f>'matrik MISI 5'!Y82</f>
        <v>Jumlah PUS yang usia istrinya di bawah 20 tahun/Jumlah PUS  x 100</v>
      </c>
      <c r="Z367" s="565">
        <f>'matrik MISI 5'!Z82</f>
        <v>0</v>
      </c>
    </row>
    <row r="368" spans="2:26" ht="30">
      <c r="B368" s="940"/>
      <c r="C368" s="941"/>
      <c r="D368" s="940"/>
      <c r="E368" s="940"/>
      <c r="F368" s="940"/>
      <c r="G368" s="940"/>
      <c r="H368" s="164" t="str">
        <f>'matrik MISI 5'!N83</f>
        <v>Cakupan Sasaran Pasangan Usia Subur Menjadi Peserta KB Aktif</v>
      </c>
      <c r="I368" s="164" t="str">
        <f>'matrik MISI 5'!O83</f>
        <v>%</v>
      </c>
      <c r="J368" s="929" t="str">
        <f>'matrik MISI 5'!P83</f>
        <v>83,02</v>
      </c>
      <c r="K368" s="929" t="str">
        <f>'matrik MISI 5'!Q83</f>
        <v>83,00</v>
      </c>
      <c r="L368" s="929" t="str">
        <f>'matrik MISI 5'!R83</f>
        <v>83,2</v>
      </c>
      <c r="M368" s="961"/>
      <c r="N368" s="929" t="str">
        <f>'matrik MISI 5'!S83</f>
        <v>83,4</v>
      </c>
      <c r="O368" s="929"/>
      <c r="P368" s="929" t="str">
        <f>'matrik MISI 5'!T83</f>
        <v>83,6</v>
      </c>
      <c r="Q368" s="929"/>
      <c r="R368" s="929" t="str">
        <f>'matrik MISI 5'!U83</f>
        <v>83,8</v>
      </c>
      <c r="S368" s="929"/>
      <c r="T368" s="929">
        <f>'matrik MISI 5'!V83</f>
        <v>84</v>
      </c>
      <c r="U368" s="929"/>
      <c r="V368" s="929">
        <f>'matrik MISI 5'!W83</f>
        <v>84</v>
      </c>
      <c r="W368" s="929"/>
      <c r="X368" s="929" t="str">
        <f>'matrik MISI 5'!X83</f>
        <v>BKBPP</v>
      </c>
      <c r="Y368" s="565" t="str">
        <f>'matrik MISI 5'!Y83</f>
        <v>Jumlah PUS yang menggunakan kontrasepsi (peserta KB aktif)/Jumlah Pasangan Usia Subur x 100</v>
      </c>
      <c r="Z368" s="565">
        <f>'matrik MISI 5'!Z83</f>
        <v>0</v>
      </c>
    </row>
    <row r="369" spans="2:26" ht="45">
      <c r="B369" s="940"/>
      <c r="C369" s="941"/>
      <c r="D369" s="940"/>
      <c r="E369" s="940"/>
      <c r="F369" s="940"/>
      <c r="G369" s="940"/>
      <c r="H369" s="164" t="str">
        <f>'matrik MISI 5'!N84</f>
        <v>Cakupan Pasangan Usia Subur yang ingin Ber-KB tidak Terpenuhi (Unmet need)</v>
      </c>
      <c r="I369" s="164" t="str">
        <f>'matrik MISI 5'!O84</f>
        <v>%</v>
      </c>
      <c r="J369" s="929" t="str">
        <f>'matrik MISI 5'!P84</f>
        <v>7,55</v>
      </c>
      <c r="K369" s="929" t="str">
        <f>'matrik MISI 5'!Q84</f>
        <v>6,00</v>
      </c>
      <c r="L369" s="929" t="str">
        <f>'matrik MISI 5'!R84</f>
        <v>5,7</v>
      </c>
      <c r="M369" s="961"/>
      <c r="N369" s="929" t="str">
        <f>'matrik MISI 5'!S84</f>
        <v>5,5</v>
      </c>
      <c r="O369" s="929"/>
      <c r="P369" s="929" t="str">
        <f>'matrik MISI 5'!T84</f>
        <v>5,3</v>
      </c>
      <c r="Q369" s="929"/>
      <c r="R369" s="929" t="str">
        <f>'matrik MISI 5'!U84</f>
        <v>5,1</v>
      </c>
      <c r="S369" s="929"/>
      <c r="T369" s="929" t="str">
        <f>'matrik MISI 5'!V84</f>
        <v>5,05</v>
      </c>
      <c r="U369" s="929"/>
      <c r="V369" s="929" t="str">
        <f>'matrik MISI 5'!W84</f>
        <v>5,05</v>
      </c>
      <c r="W369" s="929"/>
      <c r="X369" s="929" t="str">
        <f>'matrik MISI 5'!X84</f>
        <v>BKBPP</v>
      </c>
      <c r="Y369" s="565" t="str">
        <f>'matrik MISI 5'!Y84</f>
        <v>Jumlah PUS yang ingin anak ditunda atau tidak ingin anak lagi dan tidak menggunakan alat kontrasepsi/Jumlah PUS di wilayah tersebutx100</v>
      </c>
      <c r="Z369" s="565">
        <f>'matrik MISI 5'!Z84</f>
        <v>0</v>
      </c>
    </row>
    <row r="370" spans="2:26" ht="30">
      <c r="B370" s="940"/>
      <c r="C370" s="941"/>
      <c r="D370" s="940"/>
      <c r="E370" s="940"/>
      <c r="F370" s="940"/>
      <c r="G370" s="940"/>
      <c r="H370" s="164" t="str">
        <f>'matrik MISI 5'!N85</f>
        <v>Cakupan Anggota Bina Keluarga Balita Ber-KB</v>
      </c>
      <c r="I370" s="164" t="str">
        <f>'matrik MISI 5'!O85</f>
        <v>%</v>
      </c>
      <c r="J370" s="929" t="str">
        <f>'matrik MISI 5'!P85</f>
        <v>80,58</v>
      </c>
      <c r="K370" s="929" t="str">
        <f>'matrik MISI 5'!Q85</f>
        <v>81,00</v>
      </c>
      <c r="L370" s="929" t="str">
        <f>'matrik MISI 5'!R85</f>
        <v>81,05</v>
      </c>
      <c r="M370" s="961"/>
      <c r="N370" s="929" t="str">
        <f>'matrik MISI 5'!S85</f>
        <v>81,1</v>
      </c>
      <c r="O370" s="929"/>
      <c r="P370" s="929" t="str">
        <f>'matrik MISI 5'!T85</f>
        <v>81,16</v>
      </c>
      <c r="Q370" s="929"/>
      <c r="R370" s="929" t="str">
        <f>'matrik MISI 5'!U85</f>
        <v>81,19</v>
      </c>
      <c r="S370" s="929"/>
      <c r="T370" s="929" t="str">
        <f>'matrik MISI 5'!V85</f>
        <v>81,25</v>
      </c>
      <c r="U370" s="929"/>
      <c r="V370" s="929" t="str">
        <f>'matrik MISI 5'!W85</f>
        <v>81,25</v>
      </c>
      <c r="W370" s="929"/>
      <c r="X370" s="929" t="str">
        <f>'matrik MISI 5'!X85</f>
        <v>BKBPP</v>
      </c>
      <c r="Y370" s="565" t="str">
        <f>'matrik MISI 5'!Y85</f>
        <v>Anggota BKB ber-KB/Seluruh PUS anggota BKBx100</v>
      </c>
      <c r="Z370" s="565">
        <f>'matrik MISI 5'!Z85</f>
        <v>0</v>
      </c>
    </row>
    <row r="371" spans="2:26" ht="60">
      <c r="B371" s="940"/>
      <c r="C371" s="941"/>
      <c r="D371" s="940"/>
      <c r="E371" s="940"/>
      <c r="F371" s="940"/>
      <c r="G371" s="940"/>
      <c r="H371" s="164" t="str">
        <f>'matrik MISI 5'!N86</f>
        <v>Cakupan PUS Peserta KB Anggota Usaha Peningkatan Pendapatan Keluarga Sejahtera ( UPPKS ) yang Ber-KB</v>
      </c>
      <c r="I371" s="164" t="str">
        <f>'matrik MISI 5'!O86</f>
        <v>%</v>
      </c>
      <c r="J371" s="929" t="str">
        <f>'matrik MISI 5'!P86</f>
        <v>84,52</v>
      </c>
      <c r="K371" s="929" t="str">
        <f>'matrik MISI 5'!Q86</f>
        <v>85,00</v>
      </c>
      <c r="L371" s="929" t="str">
        <f>'matrik MISI 5'!R86</f>
        <v>85,5</v>
      </c>
      <c r="M371" s="961"/>
      <c r="N371" s="929" t="str">
        <f>'matrik MISI 5'!S86</f>
        <v>85,6</v>
      </c>
      <c r="O371" s="929"/>
      <c r="P371" s="929" t="str">
        <f>'matrik MISI 5'!T86</f>
        <v>85,75</v>
      </c>
      <c r="Q371" s="929"/>
      <c r="R371" s="929" t="str">
        <f>'matrik MISI 5'!U86</f>
        <v>85,8</v>
      </c>
      <c r="S371" s="929"/>
      <c r="T371" s="929">
        <f>'matrik MISI 5'!V86</f>
        <v>86</v>
      </c>
      <c r="U371" s="929"/>
      <c r="V371" s="929">
        <f>'matrik MISI 5'!W86</f>
        <v>86</v>
      </c>
      <c r="W371" s="929"/>
      <c r="X371" s="929" t="str">
        <f>'matrik MISI 5'!X86</f>
        <v>BKBPP</v>
      </c>
      <c r="Y371" s="565" t="str">
        <f>'matrik MISI 5'!Y86</f>
        <v>Anggota UPPKS ber-KB/Seluruh anggota UPPKS peserta KBx100</v>
      </c>
      <c r="Z371" s="565">
        <f>'matrik MISI 5'!Z86</f>
        <v>0</v>
      </c>
    </row>
    <row r="372" spans="2:26" ht="45">
      <c r="B372" s="940"/>
      <c r="C372" s="941"/>
      <c r="D372" s="940"/>
      <c r="E372" s="940"/>
      <c r="F372" s="940"/>
      <c r="G372" s="940"/>
      <c r="H372" s="164" t="str">
        <f>'matrik MISI 5'!N87</f>
        <v>Rasio Petugas Lapangan Keluarga Berencana atau Penyuluh KB Per  Desa atau Kelurahan</v>
      </c>
      <c r="I372" s="164" t="str">
        <f>'matrik MISI 5'!O87</f>
        <v>Rasio</v>
      </c>
      <c r="J372" s="929" t="str">
        <f>'matrik MISI 5'!P87</f>
        <v>1 : 6</v>
      </c>
      <c r="K372" s="929" t="str">
        <f>'matrik MISI 5'!Q87</f>
        <v>1 : 6</v>
      </c>
      <c r="L372" s="929" t="str">
        <f>'matrik MISI 5'!R87</f>
        <v>1 : 5</v>
      </c>
      <c r="M372" s="961"/>
      <c r="N372" s="929" t="str">
        <f>'matrik MISI 5'!S87</f>
        <v>1 : 4</v>
      </c>
      <c r="O372" s="929"/>
      <c r="P372" s="929" t="str">
        <f>'matrik MISI 5'!T87</f>
        <v>1 :4</v>
      </c>
      <c r="Q372" s="929"/>
      <c r="R372" s="929" t="str">
        <f>'matrik MISI 5'!U87</f>
        <v>1 :4</v>
      </c>
      <c r="S372" s="929"/>
      <c r="T372" s="929" t="str">
        <f>'matrik MISI 5'!V87</f>
        <v>1 : 2</v>
      </c>
      <c r="U372" s="929"/>
      <c r="V372" s="929" t="str">
        <f>'matrik MISI 5'!W87</f>
        <v>1 : 2</v>
      </c>
      <c r="W372" s="929"/>
      <c r="X372" s="929" t="str">
        <f>'matrik MISI 5'!X87</f>
        <v>BKBPP</v>
      </c>
      <c r="Y372" s="565" t="str">
        <f>'matrik MISI 5'!Y87</f>
        <v>Jumlah PLKB/PKB dibanding Jumlah Desa/Kelurahan</v>
      </c>
      <c r="Z372" s="565" t="str">
        <f>'matrik MISI 5'!Z87</f>
        <v>(dengan mempertimbangkan 3 aspek: jumlah KK, jumlah desa/kelurahan, luas wilayah dan daerah kepulauan)</v>
      </c>
    </row>
    <row r="373" spans="2:26" ht="45">
      <c r="B373" s="940"/>
      <c r="C373" s="941"/>
      <c r="D373" s="940"/>
      <c r="E373" s="940"/>
      <c r="F373" s="940"/>
      <c r="G373" s="940"/>
      <c r="H373" s="164" t="str">
        <f>'matrik MISI 5'!N88</f>
        <v>Rasio Pembantu Pembina Keluarga Berencana per desa/Kelurahan</v>
      </c>
      <c r="I373" s="164" t="str">
        <f>'matrik MISI 5'!O88</f>
        <v>Rasio</v>
      </c>
      <c r="J373" s="929" t="str">
        <f>'matrik MISI 5'!P88</f>
        <v>1 : 1</v>
      </c>
      <c r="K373" s="929" t="str">
        <f>'matrik MISI 5'!Q88</f>
        <v>1 : 1</v>
      </c>
      <c r="L373" s="929" t="str">
        <f>'matrik MISI 5'!R88</f>
        <v>1 : 1</v>
      </c>
      <c r="M373" s="961"/>
      <c r="N373" s="929" t="str">
        <f>'matrik MISI 5'!S88</f>
        <v>1 : 1</v>
      </c>
      <c r="O373" s="929"/>
      <c r="P373" s="929" t="str">
        <f>'matrik MISI 5'!T88</f>
        <v>1 : 1</v>
      </c>
      <c r="Q373" s="929"/>
      <c r="R373" s="929" t="str">
        <f>'matrik MISI 5'!U88</f>
        <v>1 : 1</v>
      </c>
      <c r="S373" s="929"/>
      <c r="T373" s="929" t="str">
        <f>'matrik MISI 5'!V88</f>
        <v>1 : 1</v>
      </c>
      <c r="U373" s="929"/>
      <c r="V373" s="929" t="str">
        <f>'matrik MISI 5'!W88</f>
        <v>1 : 1</v>
      </c>
      <c r="W373" s="929"/>
      <c r="X373" s="929" t="str">
        <f>'matrik MISI 5'!X88</f>
        <v>BKBPP</v>
      </c>
      <c r="Y373" s="565" t="str">
        <f>'matrik MISI 5'!Y88</f>
        <v>Jumlah PPKBD dibanding Jumlah Desa/Kelurahan</v>
      </c>
      <c r="Z373" s="565">
        <f>'matrik MISI 5'!Z88</f>
        <v>0</v>
      </c>
    </row>
    <row r="374" spans="2:26" ht="30">
      <c r="B374" s="940"/>
      <c r="C374" s="941"/>
      <c r="D374" s="940"/>
      <c r="E374" s="940"/>
      <c r="F374" s="940"/>
      <c r="G374" s="940"/>
      <c r="H374" s="164" t="str">
        <f>'matrik MISI 5'!N89</f>
        <v>Persentase Penggunaan Alat Kontrasepsi Pada Pria</v>
      </c>
      <c r="I374" s="164" t="str">
        <f>'matrik MISI 5'!O89</f>
        <v>%</v>
      </c>
      <c r="J374" s="929" t="str">
        <f>'matrik MISI 5'!P89</f>
        <v>2,89</v>
      </c>
      <c r="K374" s="929" t="str">
        <f>'matrik MISI 5'!Q89</f>
        <v>3,00</v>
      </c>
      <c r="L374" s="929" t="str">
        <f>'matrik MISI 5'!R89</f>
        <v>3,2</v>
      </c>
      <c r="M374" s="961"/>
      <c r="N374" s="929" t="str">
        <f>'matrik MISI 5'!S89</f>
        <v>3,33</v>
      </c>
      <c r="O374" s="929"/>
      <c r="P374" s="929" t="str">
        <f>'matrik MISI 5'!T89</f>
        <v>3,34</v>
      </c>
      <c r="Q374" s="929"/>
      <c r="R374" s="929" t="str">
        <f>'matrik MISI 5'!U89</f>
        <v>3,54</v>
      </c>
      <c r="S374" s="929"/>
      <c r="T374" s="929" t="str">
        <f>'matrik MISI 5'!V89</f>
        <v>3,55</v>
      </c>
      <c r="U374" s="929"/>
      <c r="V374" s="929" t="str">
        <f>'matrik MISI 5'!W89</f>
        <v>3,55</v>
      </c>
      <c r="W374" s="929"/>
      <c r="X374" s="929" t="str">
        <f>'matrik MISI 5'!X89</f>
        <v>BKBPP</v>
      </c>
      <c r="Y374" s="565" t="str">
        <f>'matrik MISI 5'!Y89</f>
        <v>Jumlah Pria yang menggunakan kontrasepsi/Jumlah PUS x 100</v>
      </c>
      <c r="Z374" s="565">
        <f>'matrik MISI 5'!Z89</f>
        <v>0</v>
      </c>
    </row>
    <row r="375" spans="2:26" ht="30">
      <c r="B375" s="940"/>
      <c r="C375" s="941"/>
      <c r="D375" s="940"/>
      <c r="E375" s="940"/>
      <c r="F375" s="940"/>
      <c r="G375" s="940"/>
      <c r="H375" s="164" t="str">
        <f>'matrik MISI 5'!N90</f>
        <v>Terkendalinya Pertumbuhan Jumlah Penduduk</v>
      </c>
      <c r="I375" s="164" t="str">
        <f>'matrik MISI 5'!O90</f>
        <v>%</v>
      </c>
      <c r="J375" s="929" t="str">
        <f>'matrik MISI 5'!P90</f>
        <v>0,67</v>
      </c>
      <c r="K375" s="929" t="str">
        <f>'matrik MISI 5'!Q90</f>
        <v>0,67</v>
      </c>
      <c r="L375" s="929" t="str">
        <f>'matrik MISI 5'!R90</f>
        <v>0,65</v>
      </c>
      <c r="M375" s="961"/>
      <c r="N375" s="929" t="str">
        <f>'matrik MISI 5'!S90</f>
        <v>0,64</v>
      </c>
      <c r="O375" s="929"/>
      <c r="P375" s="929" t="str">
        <f>'matrik MISI 5'!T90</f>
        <v>0,63</v>
      </c>
      <c r="Q375" s="929"/>
      <c r="R375" s="929" t="str">
        <f>'matrik MISI 5'!U90</f>
        <v>0,62</v>
      </c>
      <c r="S375" s="929"/>
      <c r="T375" s="929" t="str">
        <f>'matrik MISI 5'!V90</f>
        <v>0,6</v>
      </c>
      <c r="U375" s="929"/>
      <c r="V375" s="929" t="str">
        <f>'matrik MISI 5'!W90</f>
        <v>0,6</v>
      </c>
      <c r="W375" s="929"/>
      <c r="X375" s="929" t="str">
        <f>'matrik MISI 5'!X90</f>
        <v>BKBPP</v>
      </c>
      <c r="Y375" s="565">
        <f>'matrik MISI 5'!Y90</f>
        <v>0</v>
      </c>
      <c r="Z375" s="565" t="str">
        <f>'matrik MISI 5'!Z90</f>
        <v>Angka laju pertumbuhan penduduk (BPS)</v>
      </c>
    </row>
    <row r="376" spans="2:26" ht="30">
      <c r="B376" s="940"/>
      <c r="C376" s="941"/>
      <c r="D376" s="940"/>
      <c r="E376" s="940"/>
      <c r="F376" s="940"/>
      <c r="G376" s="940"/>
      <c r="H376" s="164" t="str">
        <f>'matrik MISI 5'!N91</f>
        <v>Besaran Sasaran PUS Menjadi Peserta KB Baru</v>
      </c>
      <c r="I376" s="164">
        <f>'matrik MISI 5'!O91</f>
        <v>0</v>
      </c>
      <c r="J376" s="929">
        <f>'matrik MISI 5'!P91</f>
        <v>19.428000000000001</v>
      </c>
      <c r="K376" s="929">
        <f>'matrik MISI 5'!Q91</f>
        <v>17.274000000000001</v>
      </c>
      <c r="L376" s="929">
        <f>'matrik MISI 5'!R91</f>
        <v>14.073</v>
      </c>
      <c r="M376" s="961"/>
      <c r="N376" s="929">
        <f>'matrik MISI 5'!S91</f>
        <v>14.065</v>
      </c>
      <c r="O376" s="929"/>
      <c r="P376" s="929">
        <f>'matrik MISI 5'!T91</f>
        <v>14.058999999999999</v>
      </c>
      <c r="Q376" s="929"/>
      <c r="R376" s="929">
        <f>'matrik MISI 5'!U91</f>
        <v>14.057</v>
      </c>
      <c r="S376" s="929"/>
      <c r="T376" s="929">
        <f>'matrik MISI 5'!V91</f>
        <v>14.055</v>
      </c>
      <c r="U376" s="929"/>
      <c r="V376" s="929">
        <f>'matrik MISI 5'!W91</f>
        <v>14.055</v>
      </c>
      <c r="W376" s="929"/>
      <c r="X376" s="929" t="str">
        <f>'matrik MISI 5'!X91</f>
        <v>BKBPP</v>
      </c>
      <c r="Y376" s="565" t="str">
        <f>'matrik MISI 5'!Y91</f>
        <v>Jumlah sasaran PUS yang menggunakan kontrasepsi (peserta KB baru)</v>
      </c>
      <c r="Z376" s="565">
        <f>'matrik MISI 5'!Z91</f>
        <v>0</v>
      </c>
    </row>
    <row r="377" spans="2:26" ht="45">
      <c r="B377" s="950"/>
      <c r="C377" s="951"/>
      <c r="D377" s="950"/>
      <c r="E377" s="950"/>
      <c r="F377" s="950"/>
      <c r="G377" s="950"/>
      <c r="H377" s="164" t="str">
        <f>'matrik MISI 5'!N92</f>
        <v>Cakupan penyediaan alat dan kontrasepsi untuk memenuhi permintaan masyarakat</v>
      </c>
      <c r="I377" s="164" t="str">
        <f>'matrik MISI 5'!O92</f>
        <v>%</v>
      </c>
      <c r="J377" s="929">
        <f>'matrik MISI 5'!P92</f>
        <v>4</v>
      </c>
      <c r="K377" s="929">
        <f>'matrik MISI 5'!Q92</f>
        <v>4</v>
      </c>
      <c r="L377" s="929">
        <f>'matrik MISI 5'!R92</f>
        <v>3</v>
      </c>
      <c r="M377" s="961"/>
      <c r="N377" s="929">
        <f>'matrik MISI 5'!S92</f>
        <v>3</v>
      </c>
      <c r="O377" s="929"/>
      <c r="P377" s="929">
        <f>'matrik MISI 5'!T92</f>
        <v>3</v>
      </c>
      <c r="Q377" s="929"/>
      <c r="R377" s="929">
        <f>'matrik MISI 5'!U92</f>
        <v>3</v>
      </c>
      <c r="S377" s="929"/>
      <c r="T377" s="929">
        <f>'matrik MISI 5'!V92</f>
        <v>3</v>
      </c>
      <c r="U377" s="929"/>
      <c r="V377" s="929">
        <f>'matrik MISI 5'!W92</f>
        <v>3</v>
      </c>
      <c r="W377" s="929"/>
      <c r="X377" s="929" t="str">
        <f>'matrik MISI 5'!X92</f>
        <v>BKBPP</v>
      </c>
      <c r="Y377" s="565" t="str">
        <f>'matrik MISI 5'!Y92</f>
        <v>Jumlah alat dan obat kontrasepsi yang terpenuhi / Jumlah alat dan obat kontrasepsi yang dibutuhkan x 100</v>
      </c>
      <c r="Z377" s="565">
        <f>'matrik MISI 5'!Z92</f>
        <v>0</v>
      </c>
    </row>
    <row r="378" spans="2:26" ht="45">
      <c r="B378" s="949">
        <v>13</v>
      </c>
      <c r="C378" s="948" t="str">
        <f>'matrik MISI 2'!B6</f>
        <v>SOSIAL</v>
      </c>
      <c r="D378" s="949" t="str">
        <f>'matrik MISI 2'!J7</f>
        <v>1.13</v>
      </c>
      <c r="E378" s="949" t="str">
        <f>'matrik MISI 2'!K7</f>
        <v>xx</v>
      </c>
      <c r="F378" s="949">
        <f>'matrik MISI 2'!L7</f>
        <v>16</v>
      </c>
      <c r="G378" s="949" t="str">
        <f>'matrik MISI 2'!M7</f>
        <v xml:space="preserve">Program Pelayanan dan Rehabilitasi Kesejahteraan Sosial                                  </v>
      </c>
      <c r="H378" s="164"/>
      <c r="I378" s="164"/>
      <c r="J378" s="929"/>
      <c r="K378" s="929"/>
      <c r="L378" s="929"/>
      <c r="M378" s="961">
        <f>'jangan di hapus 1'!K723</f>
        <v>4579662502</v>
      </c>
      <c r="N378" s="961"/>
      <c r="O378" s="961">
        <f>'jangan di hapus 1'!M723</f>
        <v>6282712502</v>
      </c>
      <c r="P378" s="961"/>
      <c r="Q378" s="961">
        <f>'jangan di hapus 1'!O723</f>
        <v>6454712502</v>
      </c>
      <c r="R378" s="961"/>
      <c r="S378" s="961">
        <f>'jangan di hapus 1'!Q723</f>
        <v>6562712502</v>
      </c>
      <c r="T378" s="961"/>
      <c r="U378" s="961">
        <f>'jangan di hapus 1'!S723</f>
        <v>6749712502</v>
      </c>
      <c r="V378" s="929"/>
      <c r="W378" s="961">
        <f>SUM(M378:U378)</f>
        <v>30629512510</v>
      </c>
      <c r="X378" s="929"/>
    </row>
    <row r="379" spans="2:26" ht="60">
      <c r="B379" s="939"/>
      <c r="C379" s="939"/>
      <c r="D379" s="939"/>
      <c r="E379" s="939"/>
      <c r="F379" s="939"/>
      <c r="G379" s="939"/>
      <c r="H379" s="164" t="str">
        <f>'matrik MISI 2'!N7</f>
        <v>Persentase PMKS yang Memperoleh Bantuan Sosial untuk Pemenuhan Kebutuhan Dasar</v>
      </c>
      <c r="I379" s="164" t="str">
        <f>'matrik MISI 2'!O7</f>
        <v>%</v>
      </c>
      <c r="J379" s="929">
        <f>'matrik MISI 2'!P7</f>
        <v>18</v>
      </c>
      <c r="K379" s="929">
        <f>'matrik MISI 2'!Q7</f>
        <v>18</v>
      </c>
      <c r="L379" s="929">
        <f>'matrik MISI 2'!R7</f>
        <v>18</v>
      </c>
      <c r="M379" s="961"/>
      <c r="N379" s="929">
        <f>'matrik MISI 2'!S7</f>
        <v>18</v>
      </c>
      <c r="O379" s="929"/>
      <c r="P379" s="929">
        <f>'matrik MISI 2'!T7</f>
        <v>18</v>
      </c>
      <c r="Q379" s="929"/>
      <c r="R379" s="929">
        <f>'matrik MISI 2'!U7</f>
        <v>18</v>
      </c>
      <c r="S379" s="929"/>
      <c r="T379" s="929">
        <f>'matrik MISI 2'!V7</f>
        <v>18</v>
      </c>
      <c r="U379" s="929"/>
      <c r="V379" s="929">
        <f>'matrik MISI 2'!W7</f>
        <v>18</v>
      </c>
      <c r="W379" s="929"/>
      <c r="X379" s="929" t="str">
        <f>'matrik MISI 2'!X7</f>
        <v>Dinas Sosial</v>
      </c>
      <c r="Y379" s="565" t="str">
        <f>'matrik MISI 2'!Y7</f>
        <v>Jumlah PMKS yang memperoleh bantuan sosial dalam 1 tahun dibagi Jumlah PMKS skala kabupaten dalam 1 tahun yang seharusnya memperoleh bantuan sosial x 100</v>
      </c>
      <c r="Z379" s="565" t="str">
        <f>'matrik MISI 2'!Z7</f>
        <v>sasaran : jumlah Fakir Miskin (FM), Perempuan Rawan Sosial Ekonomi (PRSE),  Anak Terlantar di dalam maupun luar Panti</v>
      </c>
    </row>
    <row r="380" spans="2:26" ht="120">
      <c r="B380" s="940"/>
      <c r="C380" s="941"/>
      <c r="D380" s="940"/>
      <c r="E380" s="940"/>
      <c r="F380" s="940"/>
      <c r="G380" s="940"/>
      <c r="H380" s="164" t="str">
        <f>'matrik MISI 2'!N9</f>
        <v>Cakupan PMKS yang Memperoleh Rehabilitasi Sosial</v>
      </c>
      <c r="I380" s="164" t="str">
        <f>'matrik MISI 2'!O9</f>
        <v>%</v>
      </c>
      <c r="J380" s="929">
        <f>'matrik MISI 2'!P9</f>
        <v>2.7</v>
      </c>
      <c r="K380" s="929">
        <f>'matrik MISI 2'!Q9</f>
        <v>2.7</v>
      </c>
      <c r="L380" s="929">
        <f>'matrik MISI 2'!R9</f>
        <v>2.88</v>
      </c>
      <c r="M380" s="961"/>
      <c r="N380" s="929">
        <f>'matrik MISI 2'!S9</f>
        <v>3.08</v>
      </c>
      <c r="O380" s="929"/>
      <c r="P380" s="929">
        <f>'matrik MISI 2'!T9</f>
        <v>3.18</v>
      </c>
      <c r="Q380" s="929"/>
      <c r="R380" s="929">
        <f>'matrik MISI 2'!U9</f>
        <v>3.18</v>
      </c>
      <c r="S380" s="929"/>
      <c r="T380" s="929">
        <f>'matrik MISI 2'!V9</f>
        <v>3.18</v>
      </c>
      <c r="U380" s="929"/>
      <c r="V380" s="929">
        <f>'matrik MISI 2'!W9</f>
        <v>3.18</v>
      </c>
      <c r="W380" s="929"/>
      <c r="X380" s="929" t="str">
        <f>'matrik MISI 2'!X9</f>
        <v>Dinas Sosial</v>
      </c>
      <c r="Y380" s="565" t="str">
        <f>'matrik MISI 2'!Y9</f>
        <v>Jumlah PMKS yang telah direhabilitasi dalam 1 tahun dibagi Jumlah PMKS yang seharusnya direhabilitasi x 100 %</v>
      </c>
      <c r="Z380" s="565"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81" spans="2:26" ht="60">
      <c r="B381" s="940"/>
      <c r="C381" s="941"/>
      <c r="D381" s="940"/>
      <c r="E381" s="940"/>
      <c r="F381" s="940"/>
      <c r="G381" s="940"/>
      <c r="H381" s="164" t="str">
        <f>'matrik MISI 2'!N13</f>
        <v>Cakupan PMKS yang Memperoleh Perlindungan Sosial</v>
      </c>
      <c r="I381" s="164" t="str">
        <f>'matrik MISI 2'!O13</f>
        <v>%</v>
      </c>
      <c r="J381" s="929">
        <f>'matrik MISI 2'!P13</f>
        <v>100</v>
      </c>
      <c r="K381" s="929">
        <f>'matrik MISI 2'!Q13</f>
        <v>100</v>
      </c>
      <c r="L381" s="929">
        <f>'matrik MISI 2'!R13</f>
        <v>100</v>
      </c>
      <c r="M381" s="961"/>
      <c r="N381" s="929">
        <f>'matrik MISI 2'!S13</f>
        <v>100</v>
      </c>
      <c r="O381" s="929"/>
      <c r="P381" s="929">
        <f>'matrik MISI 2'!T13</f>
        <v>100</v>
      </c>
      <c r="Q381" s="929"/>
      <c r="R381" s="929">
        <f>'matrik MISI 2'!U13</f>
        <v>100</v>
      </c>
      <c r="S381" s="929"/>
      <c r="T381" s="929">
        <f>'matrik MISI 2'!V13</f>
        <v>100</v>
      </c>
      <c r="U381" s="929"/>
      <c r="V381" s="929">
        <f>'matrik MISI 2'!W13</f>
        <v>100</v>
      </c>
      <c r="W381" s="929"/>
      <c r="X381" s="929" t="str">
        <f>'matrik MISI 2'!X13</f>
        <v>Dinas Sosial</v>
      </c>
      <c r="Y381" s="565" t="str">
        <f>'matrik MISI 2'!Y13</f>
        <v xml:space="preserve">Jumlah PMKS yang mendapat program perlindungan Sosial dalam 1 (satu) tahun  dibagi Jumlah PMKS dalam 1 (satu)  tahun yang seharusnya mendapatkan program perlindungan sosial </v>
      </c>
      <c r="Z381" s="565" t="str">
        <f>'matrik MISI 2'!Z13</f>
        <v xml:space="preserve">bentuk perlindungan diluar bantuan sosial Sasaran : Anak dan Balita Terlantar, Anak Berhadapan dengan Hukum, Anak dengan Kedisabilitasan,  Anak yang memerlukan perlindungan Khusus, Migran Bermasalah Korban Tindak Kekerasan </v>
      </c>
    </row>
    <row r="382" spans="2:26" ht="30">
      <c r="B382" s="940"/>
      <c r="C382" s="941"/>
      <c r="D382" s="940"/>
      <c r="E382" s="940"/>
      <c r="F382" s="940"/>
      <c r="G382" s="940"/>
      <c r="H382" s="164" t="str">
        <f>'matrik MISI 2'!N14</f>
        <v xml:space="preserve">Cakupan Bantuan Rumah Tidak Layak Huni </v>
      </c>
      <c r="I382" s="164" t="str">
        <f>'matrik MISI 2'!O14</f>
        <v>%</v>
      </c>
      <c r="J382" s="929" t="str">
        <f>'matrik MISI 2'!P14</f>
        <v>4,32</v>
      </c>
      <c r="K382" s="929" t="str">
        <f>'matrik MISI 2'!Q14</f>
        <v>4,34</v>
      </c>
      <c r="L382" s="929" t="str">
        <f>'matrik MISI 2'!R14</f>
        <v>8,34</v>
      </c>
      <c r="M382" s="961"/>
      <c r="N382" s="929" t="str">
        <f>'matrik MISI 2'!S14</f>
        <v>12,34</v>
      </c>
      <c r="O382" s="929"/>
      <c r="P382" s="929" t="str">
        <f>'matrik MISI 2'!T14</f>
        <v>16,34</v>
      </c>
      <c r="Q382" s="929"/>
      <c r="R382" s="929" t="str">
        <f>'matrik MISI 2'!U14</f>
        <v>20,34</v>
      </c>
      <c r="S382" s="929"/>
      <c r="T382" s="929" t="str">
        <f>'matrik MISI 2'!V14</f>
        <v>24,34</v>
      </c>
      <c r="U382" s="929"/>
      <c r="V382" s="929" t="str">
        <f>'matrik MISI 2'!W14</f>
        <v>24,34</v>
      </c>
      <c r="W382" s="929"/>
      <c r="X382" s="929" t="str">
        <f>'matrik MISI 2'!X14</f>
        <v>Dinas Sosial</v>
      </c>
      <c r="Y382" s="565" t="str">
        <f>'matrik MISI 2'!Y14</f>
        <v xml:space="preserve">Jumlah KK RTLH yang telah menerima bantuan sosial dibagi Jumlah RTLH  yang seharusnya mendapatkan bansos x 100 </v>
      </c>
      <c r="Z382" s="565" t="str">
        <f>'matrik MISI 2'!Z14</f>
        <v>Sasaran : KK RTLH dari Keluarga Fakir Miskin menggunakan basik data RTLH Tahun 2013</v>
      </c>
    </row>
    <row r="383" spans="2:26" ht="75">
      <c r="B383" s="940"/>
      <c r="C383" s="941"/>
      <c r="D383" s="940"/>
      <c r="E383" s="940"/>
      <c r="F383" s="940"/>
      <c r="G383" s="940"/>
      <c r="H383" s="164" t="str">
        <f>'matrik MISI 2'!N16</f>
        <v>Cakupan Lembaga Kesejahteraan sosial/panti sosial yang menyediakan sarana dan prasarana pelayanan kesejahteraan sosial</v>
      </c>
      <c r="I383" s="164">
        <f>'matrik MISI 2'!O16</f>
        <v>0</v>
      </c>
      <c r="J383" s="929">
        <f>'matrik MISI 2'!P16</f>
        <v>100</v>
      </c>
      <c r="K383" s="929">
        <f>'matrik MISI 2'!Q16</f>
        <v>100</v>
      </c>
      <c r="L383" s="929">
        <f>'matrik MISI 2'!R16</f>
        <v>100</v>
      </c>
      <c r="M383" s="961"/>
      <c r="N383" s="929">
        <f>'matrik MISI 2'!S16</f>
        <v>100</v>
      </c>
      <c r="O383" s="929"/>
      <c r="P383" s="929">
        <f>'matrik MISI 2'!T16</f>
        <v>100</v>
      </c>
      <c r="Q383" s="929"/>
      <c r="R383" s="929">
        <f>'matrik MISI 2'!U16</f>
        <v>100</v>
      </c>
      <c r="S383" s="929"/>
      <c r="T383" s="929">
        <f>'matrik MISI 2'!V16</f>
        <v>100</v>
      </c>
      <c r="U383" s="929"/>
      <c r="V383" s="929">
        <f>'matrik MISI 2'!W16</f>
        <v>100</v>
      </c>
      <c r="W383" s="929"/>
      <c r="X383" s="929" t="str">
        <f>'matrik MISI 2'!X16</f>
        <v>Dinas Sosial</v>
      </c>
      <c r="Y383" s="565" t="str">
        <f>'matrik MISI 2'!Y16</f>
        <v>jumlah panti sosial  yang menyediakan sarana prasarana pelayanan kesejahteraan sosial dalam 1 (satu) tahun dibagi Jumlah panti sosial  dalam 1 (satu) tahun yang seharusnya menyediakan sarana prasarana pelayanan kesejahteraan sosial x 100</v>
      </c>
      <c r="Z383" s="565" t="str">
        <f>'matrik MISI 2'!Z16</f>
        <v xml:space="preserve"> Panti Sosial terdiri dari Panti Asuhan Anak dan Rumah Perlindungan Sosial </v>
      </c>
    </row>
    <row r="384" spans="2:26" ht="45">
      <c r="B384" s="940"/>
      <c r="C384" s="941"/>
      <c r="D384" s="940"/>
      <c r="E384" s="940"/>
      <c r="F384" s="940"/>
      <c r="G384" s="940"/>
      <c r="H384" s="164" t="str">
        <f>'matrik MISI 2'!N21</f>
        <v>Persentase Perlindungan Sosial  terhadap Rumah Tangga Sasaran</v>
      </c>
      <c r="I384" s="164" t="str">
        <f>'matrik MISI 2'!O21</f>
        <v>%</v>
      </c>
      <c r="J384" s="929">
        <f>'matrik MISI 2'!P21</f>
        <v>100</v>
      </c>
      <c r="K384" s="929">
        <f>'matrik MISI 2'!Q21</f>
        <v>100</v>
      </c>
      <c r="L384" s="929">
        <f>'matrik MISI 2'!R21</f>
        <v>100</v>
      </c>
      <c r="M384" s="961"/>
      <c r="N384" s="929">
        <f>'matrik MISI 2'!S21</f>
        <v>100</v>
      </c>
      <c r="O384" s="929"/>
      <c r="P384" s="929">
        <f>'matrik MISI 2'!T21</f>
        <v>100</v>
      </c>
      <c r="Q384" s="929"/>
      <c r="R384" s="929">
        <f>'matrik MISI 2'!U21</f>
        <v>100</v>
      </c>
      <c r="S384" s="929"/>
      <c r="T384" s="929">
        <f>'matrik MISI 2'!V21</f>
        <v>100</v>
      </c>
      <c r="U384" s="929"/>
      <c r="V384" s="929">
        <f>'matrik MISI 2'!W21</f>
        <v>100</v>
      </c>
      <c r="W384" s="929"/>
      <c r="X384" s="929" t="str">
        <f>'matrik MISI 2'!X21</f>
        <v>Dinas Sosial, Bapermades, Bag.Perekonomian</v>
      </c>
      <c r="Y384" s="565" t="str">
        <f>'matrik MISI 2'!Y21</f>
        <v>Jumlah Rumah Tangga Sasaran yang mendapatkan perlindungan sosial dibagi Jumlah Rumah Tangga Sasaran x 100</v>
      </c>
      <c r="Z384" s="565">
        <f>'matrik MISI 2'!Z21</f>
        <v>0</v>
      </c>
    </row>
    <row r="385" spans="2:26" ht="30">
      <c r="B385" s="940"/>
      <c r="C385" s="941"/>
      <c r="D385" s="940" t="str">
        <f>'matrik MISI 2'!J8</f>
        <v>1.13</v>
      </c>
      <c r="E385" s="940" t="str">
        <f>'matrik MISI 2'!K8</f>
        <v>xx</v>
      </c>
      <c r="F385" s="940">
        <f>'matrik MISI 2'!L8</f>
        <v>17</v>
      </c>
      <c r="G385" s="940" t="str">
        <f>'matrik MISI 2'!M8</f>
        <v xml:space="preserve">Program pembinaan anak terlantar                             </v>
      </c>
      <c r="H385" s="164"/>
      <c r="I385" s="164"/>
      <c r="J385" s="929"/>
      <c r="K385" s="929"/>
      <c r="L385" s="929"/>
      <c r="M385" s="961">
        <f>'jangan di hapus 1'!K739</f>
        <v>264711000</v>
      </c>
      <c r="N385" s="961"/>
      <c r="O385" s="961">
        <f>'jangan di hapus 1'!M739</f>
        <v>344000000</v>
      </c>
      <c r="P385" s="961"/>
      <c r="Q385" s="961">
        <f>'jangan di hapus 1'!O739</f>
        <v>372000000</v>
      </c>
      <c r="R385" s="961"/>
      <c r="S385" s="961">
        <f>'jangan di hapus 1'!Q739</f>
        <v>414000000</v>
      </c>
      <c r="T385" s="961"/>
      <c r="U385" s="961">
        <f>'jangan di hapus 1'!S739</f>
        <v>444000000</v>
      </c>
      <c r="V385" s="929"/>
      <c r="W385" s="961">
        <f>SUM(M385:U385)</f>
        <v>1838711000</v>
      </c>
      <c r="X385" s="929"/>
      <c r="Y385" s="565"/>
      <c r="Z385" s="565"/>
    </row>
    <row r="386" spans="2:26" ht="30">
      <c r="B386" s="940"/>
      <c r="C386" s="941"/>
      <c r="D386" s="939"/>
      <c r="E386" s="939"/>
      <c r="F386" s="939"/>
      <c r="G386" s="939"/>
      <c r="H386" s="164" t="str">
        <f>'matrik MISI 2'!N8</f>
        <v>Persentase anak terlantar yang tertangani</v>
      </c>
      <c r="I386" s="164" t="str">
        <f>'matrik MISI 2'!O8</f>
        <v>%</v>
      </c>
      <c r="J386" s="929">
        <f>'matrik MISI 2'!P8</f>
        <v>0.76</v>
      </c>
      <c r="K386" s="929">
        <f>'matrik MISI 2'!Q8</f>
        <v>0.93</v>
      </c>
      <c r="L386" s="929">
        <f>'matrik MISI 2'!R8</f>
        <v>0.93</v>
      </c>
      <c r="M386" s="961"/>
      <c r="N386" s="929">
        <f>'matrik MISI 2'!S8</f>
        <v>1.28</v>
      </c>
      <c r="O386" s="929"/>
      <c r="P386" s="929">
        <f>'matrik MISI 2'!T8</f>
        <v>1.28</v>
      </c>
      <c r="Q386" s="929"/>
      <c r="R386" s="929">
        <f>'matrik MISI 2'!U8</f>
        <v>1.28</v>
      </c>
      <c r="S386" s="929"/>
      <c r="T386" s="929">
        <f>'matrik MISI 2'!V8</f>
        <v>1.28</v>
      </c>
      <c r="U386" s="929"/>
      <c r="V386" s="929">
        <f>'matrik MISI 2'!W8</f>
        <v>1.28</v>
      </c>
      <c r="W386" s="929"/>
      <c r="X386" s="929" t="str">
        <f>'matrik MISI 2'!X8</f>
        <v>Dinas Sosial</v>
      </c>
      <c r="Y386" s="565" t="str">
        <f>'matrik MISI 2'!Y8</f>
        <v>Jumlah anak terlantar yang dibina dibagi jumlah anak terlantar yang ada x 100 %</v>
      </c>
      <c r="Z386" s="565">
        <f>'matrik MISI 2'!Z8</f>
        <v>0</v>
      </c>
    </row>
    <row r="387" spans="2:26" ht="45">
      <c r="B387" s="940"/>
      <c r="C387" s="941"/>
      <c r="D387" s="940" t="str">
        <f>'matrik MISI 2'!J10</f>
        <v>1.13</v>
      </c>
      <c r="E387" s="940" t="str">
        <f>'matrik MISI 2'!K10</f>
        <v>xx</v>
      </c>
      <c r="F387" s="940">
        <f>'matrik MISI 2'!L10</f>
        <v>18</v>
      </c>
      <c r="G387" s="940" t="str">
        <f>'matrik MISI 2'!M10</f>
        <v xml:space="preserve">Program pembinaan para penyandang cacat dan trauma                                          </v>
      </c>
      <c r="H387" s="164"/>
      <c r="I387" s="164"/>
      <c r="J387" s="929"/>
      <c r="K387" s="929"/>
      <c r="L387" s="929"/>
      <c r="M387" s="961">
        <f>'jangan di hapus 1'!K746</f>
        <v>612641000</v>
      </c>
      <c r="N387" s="961"/>
      <c r="O387" s="961">
        <f>'jangan di hapus 1'!M746</f>
        <v>755200000</v>
      </c>
      <c r="P387" s="961"/>
      <c r="Q387" s="961">
        <f>'jangan di hapus 1'!O746</f>
        <v>776200000</v>
      </c>
      <c r="R387" s="961"/>
      <c r="S387" s="961">
        <f>'jangan di hapus 1'!Q746</f>
        <v>797200000</v>
      </c>
      <c r="T387" s="961"/>
      <c r="U387" s="961">
        <f>'jangan di hapus 1'!S746</f>
        <v>818200000</v>
      </c>
      <c r="V387" s="929"/>
      <c r="W387" s="961">
        <f>SUM(M387:U387)</f>
        <v>3759441000</v>
      </c>
      <c r="X387" s="929"/>
      <c r="Y387" s="565"/>
      <c r="Z387" s="565"/>
    </row>
    <row r="388" spans="2:26" ht="60">
      <c r="B388" s="940"/>
      <c r="C388" s="941"/>
      <c r="D388" s="939"/>
      <c r="E388" s="939"/>
      <c r="F388" s="939"/>
      <c r="G388" s="939"/>
      <c r="H388" s="164" t="str">
        <f>'matrik MISI 2'!N10</f>
        <v>Persentase Penyandang Cacat Fisik dan Mental Serta Lanjut Usia Tidak Potensial yang Telah Menerima Jaminan Sosial</v>
      </c>
      <c r="I388" s="164" t="str">
        <f>'matrik MISI 2'!O10</f>
        <v>%</v>
      </c>
      <c r="J388" s="929">
        <f>'matrik MISI 2'!P10</f>
        <v>0.94</v>
      </c>
      <c r="K388" s="929">
        <f>'matrik MISI 2'!Q10</f>
        <v>0.94</v>
      </c>
      <c r="L388" s="929">
        <f>'matrik MISI 2'!R10</f>
        <v>2.71</v>
      </c>
      <c r="M388" s="961"/>
      <c r="N388" s="929">
        <f>'matrik MISI 2'!S10</f>
        <v>2.71</v>
      </c>
      <c r="O388" s="929"/>
      <c r="P388" s="929">
        <f>'matrik MISI 2'!T10</f>
        <v>4.5999999999999996</v>
      </c>
      <c r="Q388" s="929"/>
      <c r="R388" s="929">
        <f>'matrik MISI 2'!U10</f>
        <v>4.78</v>
      </c>
      <c r="S388" s="929"/>
      <c r="T388" s="929">
        <f>'matrik MISI 2'!V10</f>
        <v>5.0599999999999996</v>
      </c>
      <c r="U388" s="929"/>
      <c r="V388" s="929">
        <f>'matrik MISI 2'!W10</f>
        <v>5.0599999999999996</v>
      </c>
      <c r="W388" s="929"/>
      <c r="X388" s="929" t="str">
        <f>'matrik MISI 2'!X10</f>
        <v>Dinas Sosial</v>
      </c>
      <c r="Y388" s="565"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88" s="565" t="str">
        <f>'matrik MISI 2'!Z10</f>
        <v xml:space="preserve"> sasaran : Penyandang Cacat Fisik dan Mental serta Lansia Non Potensial Terlantar menggunakan basik data tahun 2013</v>
      </c>
    </row>
    <row r="389" spans="2:26" ht="75">
      <c r="B389" s="940"/>
      <c r="C389" s="941"/>
      <c r="D389" s="940" t="str">
        <f>'matrik MISI 2'!J11</f>
        <v>1.13</v>
      </c>
      <c r="E389" s="940" t="str">
        <f>'matrik MISI 2'!K11</f>
        <v>xx</v>
      </c>
      <c r="F389" s="940">
        <f>'matrik MISI 2'!L11</f>
        <v>20</v>
      </c>
      <c r="G389" s="940" t="str">
        <f>'matrik MISI 2'!M11</f>
        <v>Program pembinaan eks penyandang penyakit sosial (eks narapidana, PSK, narkoba dan penyakit sosial lainnya)</v>
      </c>
      <c r="H389" s="164"/>
      <c r="I389" s="164"/>
      <c r="J389" s="929"/>
      <c r="K389" s="929"/>
      <c r="L389" s="929"/>
      <c r="M389" s="961">
        <f>'jangan di hapus 1'!K753</f>
        <v>41997000</v>
      </c>
      <c r="N389" s="961"/>
      <c r="O389" s="961">
        <f>'jangan di hapus 1'!M753</f>
        <v>50000000</v>
      </c>
      <c r="P389" s="961"/>
      <c r="Q389" s="961">
        <f>'jangan di hapus 1'!O753</f>
        <v>57500000</v>
      </c>
      <c r="R389" s="961"/>
      <c r="S389" s="961">
        <f>'jangan di hapus 1'!Q753</f>
        <v>62500000</v>
      </c>
      <c r="T389" s="961"/>
      <c r="U389" s="961">
        <f>'jangan di hapus 1'!S753</f>
        <v>70000000</v>
      </c>
      <c r="V389" s="929"/>
      <c r="W389" s="961">
        <f>SUM(M389:U389)</f>
        <v>281997000</v>
      </c>
      <c r="X389" s="929"/>
      <c r="Y389" s="565"/>
      <c r="Z389" s="565"/>
    </row>
    <row r="390" spans="2:26" ht="90">
      <c r="B390" s="940"/>
      <c r="C390" s="941"/>
      <c r="D390" s="940" t="str">
        <f>'matrik MISI 2'!J12</f>
        <v>1.13</v>
      </c>
      <c r="E390" s="940" t="str">
        <f>'matrik MISI 2'!K12</f>
        <v>xx</v>
      </c>
      <c r="F390" s="940">
        <f>'matrik MISI 2'!L12</f>
        <v>15</v>
      </c>
      <c r="G390" s="940" t="str">
        <f>'matrik MISI 2'!M12</f>
        <v>Program Pemberdayaan Fakir Miskin, Komunitas Adat Terpencil (KAT) dan Penyandang Masalah Kesejahteraan Sosial (PMKS) Lainnya</v>
      </c>
      <c r="H390" s="164"/>
      <c r="I390" s="164"/>
      <c r="J390" s="929"/>
      <c r="K390" s="929"/>
      <c r="L390" s="929"/>
      <c r="M390" s="961">
        <f>'jangan di hapus 1'!K714</f>
        <v>815000000</v>
      </c>
      <c r="N390" s="961"/>
      <c r="O390" s="961">
        <f>'jangan di hapus 1'!M714</f>
        <v>920000000</v>
      </c>
      <c r="P390" s="961"/>
      <c r="Q390" s="961">
        <f>'jangan di hapus 1'!O714</f>
        <v>1125000000</v>
      </c>
      <c r="R390" s="961"/>
      <c r="S390" s="961">
        <f>'jangan di hapus 1'!Q714</f>
        <v>1275000000</v>
      </c>
      <c r="T390" s="961"/>
      <c r="U390" s="961">
        <f>'jangan di hapus 1'!S714</f>
        <v>1325000000</v>
      </c>
      <c r="V390" s="929"/>
      <c r="W390" s="961">
        <f>SUM(M390:U390)</f>
        <v>5460000000</v>
      </c>
      <c r="X390" s="929"/>
      <c r="Y390" s="565"/>
      <c r="Z390" s="565"/>
    </row>
    <row r="391" spans="2:26" ht="75">
      <c r="B391" s="940"/>
      <c r="C391" s="941"/>
      <c r="D391" s="939"/>
      <c r="E391" s="939"/>
      <c r="F391" s="939"/>
      <c r="G391" s="939"/>
      <c r="H391" s="164" t="str">
        <f>'matrik MISI 2'!N12</f>
        <v>Cakupan PMKS yang Memperoleh Pemberdayaan Sosial melalui KUBE atau kelompok Sosial Ekonomi sejenis</v>
      </c>
      <c r="I391" s="164" t="str">
        <f>'matrik MISI 2'!O12</f>
        <v>%</v>
      </c>
      <c r="J391" s="929">
        <f>'matrik MISI 2'!P12</f>
        <v>0.33</v>
      </c>
      <c r="K391" s="929">
        <f>'matrik MISI 2'!Q12</f>
        <v>0.28999999999999998</v>
      </c>
      <c r="L391" s="929">
        <f>'matrik MISI 2'!R12</f>
        <v>0.34</v>
      </c>
      <c r="M391" s="961"/>
      <c r="N391" s="929">
        <f>'matrik MISI 2'!S12</f>
        <v>1</v>
      </c>
      <c r="O391" s="929"/>
      <c r="P391" s="929">
        <f>'matrik MISI 2'!T12</f>
        <v>1.5</v>
      </c>
      <c r="Q391" s="929"/>
      <c r="R391" s="929">
        <f>'matrik MISI 2'!U12</f>
        <v>2.25</v>
      </c>
      <c r="S391" s="929"/>
      <c r="T391" s="929">
        <f>'matrik MISI 2'!V12</f>
        <v>3</v>
      </c>
      <c r="U391" s="929"/>
      <c r="V391" s="929">
        <f>'matrik MISI 2'!W12</f>
        <v>3</v>
      </c>
      <c r="W391" s="929"/>
      <c r="X391" s="929" t="str">
        <f>'matrik MISI 2'!X12</f>
        <v>Dinas Sosial</v>
      </c>
      <c r="Y391" s="565"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91" s="565" t="str">
        <f>'matrik MISI 2'!Z12</f>
        <v>PMKS yang menjadi sasaran pada IKD ini adalah FM, PRSE, LANSIA Potensial, Penyandang Disabilitas menggunakan basik data tahun 2013</v>
      </c>
    </row>
    <row r="392" spans="2:26" ht="45">
      <c r="B392" s="940"/>
      <c r="C392" s="941"/>
      <c r="D392" s="940">
        <f>'matrik MISI 2'!J17</f>
        <v>1.1299999999999999</v>
      </c>
      <c r="E392" s="940" t="str">
        <f>'matrik MISI 2'!K17</f>
        <v>xx</v>
      </c>
      <c r="F392" s="940">
        <f>'matrik MISI 2'!L17</f>
        <v>21</v>
      </c>
      <c r="G392" s="940" t="str">
        <f>'matrik MISI 2'!M17</f>
        <v>Program Pemberdayaan Kelembagaan Kesejahteraan Sosial</v>
      </c>
      <c r="H392" s="164"/>
      <c r="I392" s="164"/>
      <c r="J392" s="929"/>
      <c r="K392" s="929"/>
      <c r="L392" s="929"/>
      <c r="M392" s="961">
        <f>'jangan di hapus 1'!K756</f>
        <v>777825000</v>
      </c>
      <c r="N392" s="961"/>
      <c r="O392" s="961">
        <f>'jangan di hapus 1'!M756</f>
        <v>2260000000</v>
      </c>
      <c r="P392" s="961"/>
      <c r="Q392" s="961">
        <f>'jangan di hapus 1'!O756</f>
        <v>2450500000</v>
      </c>
      <c r="R392" s="961"/>
      <c r="S392" s="961">
        <f>'jangan di hapus 1'!Q756</f>
        <v>2562000000</v>
      </c>
      <c r="T392" s="961"/>
      <c r="U392" s="961">
        <f>'jangan di hapus 1'!S756</f>
        <v>2626000000</v>
      </c>
      <c r="V392" s="929"/>
      <c r="W392" s="961">
        <f>SUM(M392:U392)</f>
        <v>10676325000</v>
      </c>
      <c r="X392" s="929"/>
      <c r="Y392" s="565"/>
      <c r="Z392" s="565"/>
    </row>
    <row r="393" spans="2:26" ht="75">
      <c r="B393" s="940"/>
      <c r="C393" s="941"/>
      <c r="D393" s="939"/>
      <c r="E393" s="939"/>
      <c r="F393" s="939"/>
      <c r="G393" s="939"/>
      <c r="H393" s="164" t="str">
        <f>'matrik MISI 2'!N17</f>
        <v>Cakupan Dunia Usaha yang mengalokasikan CSR dalam Penanganan PMKS</v>
      </c>
      <c r="I393" s="164" t="str">
        <f>'matrik MISI 2'!O17</f>
        <v>%</v>
      </c>
      <c r="J393" s="929">
        <f>'matrik MISI 2'!P17</f>
        <v>100</v>
      </c>
      <c r="K393" s="929">
        <f>'matrik MISI 2'!Q17</f>
        <v>100</v>
      </c>
      <c r="L393" s="929">
        <f>'matrik MISI 2'!R17</f>
        <v>100</v>
      </c>
      <c r="M393" s="961"/>
      <c r="N393" s="929">
        <f>'matrik MISI 2'!S17</f>
        <v>100</v>
      </c>
      <c r="O393" s="929"/>
      <c r="P393" s="929">
        <f>'matrik MISI 2'!T17</f>
        <v>100</v>
      </c>
      <c r="Q393" s="929"/>
      <c r="R393" s="929">
        <f>'matrik MISI 2'!U17</f>
        <v>100</v>
      </c>
      <c r="S393" s="929"/>
      <c r="T393" s="929">
        <f>'matrik MISI 2'!V17</f>
        <v>100</v>
      </c>
      <c r="U393" s="929"/>
      <c r="V393" s="929">
        <f>'matrik MISI 2'!W17</f>
        <v>100</v>
      </c>
      <c r="W393" s="929"/>
      <c r="X393" s="929" t="str">
        <f>'matrik MISI 2'!X17</f>
        <v>Dinas Sosial</v>
      </c>
      <c r="Y393" s="565" t="str">
        <f>'matrik MISI 2'!Y17</f>
        <v xml:space="preserve">jumlah Dunia Usaha yang melaksanakan CSR  terhadap PMKS dibagi Jumlah Dunia Usaha yang  melaksanakan CSR </v>
      </c>
      <c r="Z393" s="565"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4" spans="2:26" ht="75">
      <c r="B394" s="940"/>
      <c r="C394" s="941"/>
      <c r="D394" s="940"/>
      <c r="E394" s="940"/>
      <c r="F394" s="940"/>
      <c r="G394" s="940"/>
      <c r="H394" s="164" t="str">
        <f>'matrik MISI 2'!N18</f>
        <v>Cakupan Karang Taruna, PSM, dan Organisasi Sosial lainnya dalam Penanganan PMKS</v>
      </c>
      <c r="I394" s="164" t="str">
        <f>'matrik MISI 2'!O18</f>
        <v>%</v>
      </c>
      <c r="J394" s="929">
        <f>'matrik MISI 2'!P18</f>
        <v>100</v>
      </c>
      <c r="K394" s="929">
        <f>'matrik MISI 2'!Q18</f>
        <v>100</v>
      </c>
      <c r="L394" s="929">
        <f>'matrik MISI 2'!R18</f>
        <v>100</v>
      </c>
      <c r="M394" s="961"/>
      <c r="N394" s="929">
        <f>'matrik MISI 2'!S18</f>
        <v>100</v>
      </c>
      <c r="O394" s="929"/>
      <c r="P394" s="929">
        <f>'matrik MISI 2'!T18</f>
        <v>100</v>
      </c>
      <c r="Q394" s="929"/>
      <c r="R394" s="929">
        <f>'matrik MISI 2'!U18</f>
        <v>100</v>
      </c>
      <c r="S394" s="929"/>
      <c r="T394" s="929">
        <f>'matrik MISI 2'!V18</f>
        <v>100</v>
      </c>
      <c r="U394" s="929"/>
      <c r="V394" s="929">
        <f>'matrik MISI 2'!W18</f>
        <v>100</v>
      </c>
      <c r="W394" s="929"/>
      <c r="X394" s="929" t="str">
        <f>'matrik MISI 2'!X18</f>
        <v>Dinas Sosial</v>
      </c>
      <c r="Y394" s="565"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4" s="565" t="str">
        <f>'matrik MISI 2'!Z18</f>
        <v>Orsos lainnnya seperti TKSK, K3S, Komda Lansia, Tagana, LK3</v>
      </c>
    </row>
    <row r="395" spans="2:26" ht="150">
      <c r="B395" s="940"/>
      <c r="C395" s="941"/>
      <c r="D395" s="940"/>
      <c r="E395" s="940"/>
      <c r="F395" s="940"/>
      <c r="G395" s="940"/>
      <c r="H395" s="164" t="str">
        <f>'matrik MISI 2'!N19</f>
        <v>Cakupan Wahana Kesejahteraan Sosial Berbasis Masyarakat (WKSBM) yang Menyediakan Sarana dan Prasarana Pelayanan Kesejahteraan Sosial</v>
      </c>
      <c r="I395" s="164" t="str">
        <f>'matrik MISI 2'!O19</f>
        <v>%</v>
      </c>
      <c r="J395" s="929">
        <f>'matrik MISI 2'!P19</f>
        <v>0</v>
      </c>
      <c r="K395" s="929">
        <f>'matrik MISI 2'!Q19</f>
        <v>0</v>
      </c>
      <c r="L395" s="929">
        <f>'matrik MISI 2'!R19</f>
        <v>0</v>
      </c>
      <c r="M395" s="961"/>
      <c r="N395" s="929">
        <f>'matrik MISI 2'!S19</f>
        <v>24.22</v>
      </c>
      <c r="O395" s="929"/>
      <c r="P395" s="929">
        <f>'matrik MISI 2'!T19</f>
        <v>24.22</v>
      </c>
      <c r="Q395" s="929"/>
      <c r="R395" s="929">
        <f>'matrik MISI 2'!U19</f>
        <v>25.61</v>
      </c>
      <c r="S395" s="929"/>
      <c r="T395" s="929">
        <f>'matrik MISI 2'!V19</f>
        <v>25.95</v>
      </c>
      <c r="U395" s="929"/>
      <c r="V395" s="929">
        <f>'matrik MISI 2'!W19</f>
        <v>25.95</v>
      </c>
      <c r="W395" s="929"/>
      <c r="X395" s="929" t="str">
        <f>'matrik MISI 2'!X19</f>
        <v>Dinas Sosial</v>
      </c>
      <c r="Y395" s="565" t="str">
        <f>'matrik MISI 2'!Y19</f>
        <v>Persentase  WKBSM dalam 1 (satu) tahun yang menyediakan sarana prasarana pelayanan kesejahteraan sosial dibagi Persentase  WKBSM dalam 1 (satu) tahun yang seharusnya menyediakan sarana prasarana pelayanan kesejahteraan sosial x 100</v>
      </c>
      <c r="Z395" s="565"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6" spans="2:26" ht="30">
      <c r="B396" s="940"/>
      <c r="C396" s="941"/>
      <c r="D396" s="940">
        <f>'matrik MISI 2'!J24</f>
        <v>1.1299999999999999</v>
      </c>
      <c r="E396" s="940" t="str">
        <f>'matrik MISI 2'!K24</f>
        <v>xx</v>
      </c>
      <c r="F396" s="940">
        <f>'matrik MISI 2'!L24</f>
        <v>25</v>
      </c>
      <c r="G396" s="940" t="str">
        <f>'matrik MISI 2'!M24</f>
        <v xml:space="preserve">program pencegahan dan kesiapsiagaan </v>
      </c>
      <c r="H396" s="164"/>
      <c r="I396" s="164"/>
      <c r="J396" s="929"/>
      <c r="K396" s="929"/>
      <c r="L396" s="929"/>
      <c r="M396" s="961">
        <f>'jangan di hapus 1'!K784</f>
        <v>223097100</v>
      </c>
      <c r="N396" s="961"/>
      <c r="O396" s="961">
        <f>'jangan di hapus 1'!M784</f>
        <v>665000000</v>
      </c>
      <c r="P396" s="961"/>
      <c r="Q396" s="961">
        <f>'jangan di hapus 1'!O784</f>
        <v>695000000</v>
      </c>
      <c r="R396" s="961"/>
      <c r="S396" s="961">
        <f>'jangan di hapus 1'!Q784</f>
        <v>695000000</v>
      </c>
      <c r="T396" s="961"/>
      <c r="U396" s="961">
        <f>'jangan di hapus 1'!S784</f>
        <v>705000000</v>
      </c>
      <c r="V396" s="929"/>
      <c r="W396" s="961">
        <f>SUM(M396:U396)</f>
        <v>2983097100</v>
      </c>
      <c r="X396" s="929"/>
      <c r="Y396" s="565"/>
      <c r="Z396" s="565"/>
    </row>
    <row r="397" spans="2:26" ht="75">
      <c r="B397" s="940"/>
      <c r="C397" s="941"/>
      <c r="D397" s="939"/>
      <c r="E397" s="939"/>
      <c r="F397" s="939"/>
      <c r="G397" s="939"/>
      <c r="H397" s="164" t="str">
        <f>'matrik MISI 2'!N25</f>
        <v>Persentase Tertanganinya Kerusakan Fisik Akibat Bencana Melalui Rehabilitasi dan Rekonstruksi Pasca Bencana dalam Waktu 1(satu) Tahun</v>
      </c>
      <c r="I397" s="164" t="str">
        <f>'matrik MISI 2'!O25</f>
        <v>%</v>
      </c>
      <c r="J397" s="929">
        <f>'matrik MISI 2'!P25</f>
        <v>100</v>
      </c>
      <c r="K397" s="929">
        <f>'matrik MISI 2'!Q25</f>
        <v>100</v>
      </c>
      <c r="L397" s="929">
        <f>'matrik MISI 2'!R25</f>
        <v>100</v>
      </c>
      <c r="M397" s="961"/>
      <c r="N397" s="929">
        <f>'matrik MISI 2'!S25</f>
        <v>100</v>
      </c>
      <c r="O397" s="929"/>
      <c r="P397" s="929">
        <f>'matrik MISI 2'!T25</f>
        <v>100</v>
      </c>
      <c r="Q397" s="929"/>
      <c r="R397" s="929">
        <f>'matrik MISI 2'!U25</f>
        <v>100</v>
      </c>
      <c r="S397" s="929"/>
      <c r="T397" s="929">
        <f>'matrik MISI 2'!V25</f>
        <v>100</v>
      </c>
      <c r="U397" s="929"/>
      <c r="V397" s="929">
        <f>'matrik MISI 2'!W25</f>
        <v>100</v>
      </c>
      <c r="W397" s="929"/>
      <c r="X397" s="929" t="str">
        <f>'matrik MISI 2'!X25</f>
        <v>DPU</v>
      </c>
      <c r="Y397" s="565"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7" s="565">
        <f>'matrik MISI 2'!Z25</f>
        <v>0</v>
      </c>
    </row>
    <row r="398" spans="2:26" ht="30">
      <c r="B398" s="940"/>
      <c r="C398" s="941"/>
      <c r="D398" s="940">
        <f>'matrik MISI 2'!J25</f>
        <v>1.1299999999999999</v>
      </c>
      <c r="E398" s="940" t="str">
        <f>'matrik MISI 2'!K25</f>
        <v>xx</v>
      </c>
      <c r="F398" s="940">
        <f>'matrik MISI 2'!L25</f>
        <v>26</v>
      </c>
      <c r="G398" s="940" t="str">
        <f>'matrik MISI 2'!M25</f>
        <v>program tanggap darurat dan logistik</v>
      </c>
      <c r="H398" s="164"/>
      <c r="I398" s="164"/>
      <c r="J398" s="929"/>
      <c r="K398" s="929"/>
      <c r="L398" s="929"/>
      <c r="M398" s="961">
        <f>'jangan di hapus 1'!K793</f>
        <v>2795821000</v>
      </c>
      <c r="N398" s="961"/>
      <c r="O398" s="961">
        <f>'jangan di hapus 1'!M793</f>
        <v>2798795000</v>
      </c>
      <c r="P398" s="961"/>
      <c r="Q398" s="961">
        <f>'jangan di hapus 1'!O793</f>
        <v>2850000000</v>
      </c>
      <c r="R398" s="961"/>
      <c r="S398" s="961">
        <f>'jangan di hapus 1'!Q793</f>
        <v>2850000000</v>
      </c>
      <c r="T398" s="961"/>
      <c r="U398" s="961">
        <f>'jangan di hapus 1'!S793</f>
        <v>2850000000</v>
      </c>
      <c r="V398" s="929"/>
      <c r="W398" s="961">
        <f>SUM(M398:U398)</f>
        <v>14144616000</v>
      </c>
      <c r="X398" s="929"/>
      <c r="Y398" s="565"/>
      <c r="Z398" s="565"/>
    </row>
    <row r="399" spans="2:26" ht="75">
      <c r="B399" s="940"/>
      <c r="C399" s="941"/>
      <c r="D399" s="939"/>
      <c r="E399" s="939"/>
      <c r="F399" s="939"/>
      <c r="G399" s="939"/>
      <c r="H399" s="164" t="str">
        <f>'matrik MISI 2'!N26</f>
        <v xml:space="preserve">Persentase Tertanganinya Kerusakan Fisik Akibat Bencana Melalui Rehabilitasi dan Rekonstruksi sementara tanggap darurat Pasca Bencana </v>
      </c>
      <c r="I399" s="164" t="str">
        <f>'matrik MISI 2'!O26</f>
        <v>%</v>
      </c>
      <c r="J399" s="929">
        <f>'matrik MISI 2'!P26</f>
        <v>100</v>
      </c>
      <c r="K399" s="929">
        <f>'matrik MISI 2'!Q26</f>
        <v>100</v>
      </c>
      <c r="L399" s="929">
        <f>'matrik MISI 2'!R26</f>
        <v>100</v>
      </c>
      <c r="M399" s="961"/>
      <c r="N399" s="929">
        <f>'matrik MISI 2'!S26</f>
        <v>100</v>
      </c>
      <c r="O399" s="929"/>
      <c r="P399" s="929">
        <f>'matrik MISI 2'!T26</f>
        <v>100</v>
      </c>
      <c r="Q399" s="929"/>
      <c r="R399" s="929">
        <f>'matrik MISI 2'!U26</f>
        <v>100</v>
      </c>
      <c r="S399" s="929"/>
      <c r="T399" s="929">
        <f>'matrik MISI 2'!V26</f>
        <v>100</v>
      </c>
      <c r="U399" s="929"/>
      <c r="V399" s="929">
        <f>'matrik MISI 2'!W26</f>
        <v>100</v>
      </c>
      <c r="W399" s="929"/>
      <c r="X399" s="929" t="str">
        <f>'matrik MISI 2'!X26</f>
        <v>BPBD</v>
      </c>
      <c r="Y399" s="565" t="str">
        <f>'matrik MISI 2'!Y26</f>
        <v>jumlah kerusakan akibat bencana yang terbangun kembali melalui rahabilitasi dan rekonstruksi sementara tanggap darurat pasca bencana dibagi jumlah kerusakan akibat bencana yang terjadi</v>
      </c>
      <c r="Z399" s="565" t="str">
        <f>'matrik MISI 2'!Z26</f>
        <v>Perbaikan sarana prasarana dalam rangka tangap darurat bencana</v>
      </c>
    </row>
    <row r="400" spans="2:26" ht="45">
      <c r="B400" s="940"/>
      <c r="C400" s="941"/>
      <c r="D400" s="940">
        <f>'matrik MISI 2'!J27</f>
        <v>1.1299999999999999</v>
      </c>
      <c r="E400" s="940" t="str">
        <f>'matrik MISI 2'!K27</f>
        <v>xx</v>
      </c>
      <c r="F400" s="940">
        <f>'matrik MISI 2'!L27</f>
        <v>27</v>
      </c>
      <c r="G400" s="940" t="str">
        <f>'matrik MISI 2'!M27</f>
        <v>program rehabilitasi dan rekonstruksi pasca bencana</v>
      </c>
      <c r="H400" s="164"/>
      <c r="I400" s="164"/>
      <c r="J400" s="929"/>
      <c r="K400" s="929"/>
      <c r="L400" s="929"/>
      <c r="M400" s="961">
        <f>'jangan di hapus 1'!K798</f>
        <v>491367000</v>
      </c>
      <c r="N400" s="961"/>
      <c r="O400" s="961">
        <f>'jangan di hapus 1'!M798</f>
        <v>922500000</v>
      </c>
      <c r="P400" s="961"/>
      <c r="Q400" s="961">
        <f>'jangan di hapus 1'!O798</f>
        <v>1025000000</v>
      </c>
      <c r="R400" s="961"/>
      <c r="S400" s="961">
        <f>'jangan di hapus 1'!Q798</f>
        <v>1125000000</v>
      </c>
      <c r="T400" s="961"/>
      <c r="U400" s="961">
        <f>'jangan di hapus 1'!S798</f>
        <v>1225000000</v>
      </c>
      <c r="V400" s="929"/>
      <c r="W400" s="961">
        <f>SUM(M400:U400)</f>
        <v>4788867000</v>
      </c>
      <c r="X400" s="929"/>
      <c r="Y400" s="565"/>
      <c r="Z400" s="565"/>
    </row>
    <row r="401" spans="2:26" ht="60">
      <c r="B401" s="940"/>
      <c r="C401" s="941"/>
      <c r="D401" s="939"/>
      <c r="E401" s="939"/>
      <c r="F401" s="939"/>
      <c r="G401" s="939"/>
      <c r="H401" s="164" t="str">
        <f>'matrik MISI 2'!N27</f>
        <v>Persentase Korban Bencana Skala Kabupaten yang Menerima Bantuan Sosial Selama Masa Tanggap Darurat</v>
      </c>
      <c r="I401" s="164" t="str">
        <f>'matrik MISI 2'!O27</f>
        <v>%</v>
      </c>
      <c r="J401" s="929">
        <f>'matrik MISI 2'!P27</f>
        <v>100</v>
      </c>
      <c r="K401" s="929">
        <f>'matrik MISI 2'!Q27</f>
        <v>100</v>
      </c>
      <c r="L401" s="929">
        <f>'matrik MISI 2'!R27</f>
        <v>100</v>
      </c>
      <c r="M401" s="961"/>
      <c r="N401" s="929">
        <f>'matrik MISI 2'!S27</f>
        <v>100</v>
      </c>
      <c r="O401" s="929"/>
      <c r="P401" s="929">
        <f>'matrik MISI 2'!T27</f>
        <v>100</v>
      </c>
      <c r="Q401" s="929"/>
      <c r="R401" s="929">
        <f>'matrik MISI 2'!U27</f>
        <v>100</v>
      </c>
      <c r="S401" s="929"/>
      <c r="T401" s="929">
        <f>'matrik MISI 2'!V27</f>
        <v>100</v>
      </c>
      <c r="U401" s="929"/>
      <c r="V401" s="929">
        <f>'matrik MISI 2'!W27</f>
        <v>100</v>
      </c>
      <c r="W401" s="929"/>
      <c r="X401" s="929" t="str">
        <f>'matrik MISI 2'!X27</f>
        <v>BPBD / Dinsos</v>
      </c>
      <c r="Y401" s="565" t="str">
        <f>'matrik MISI 2'!Y27</f>
        <v>jumlah korban bencana dalam 1 tahun yang menerima bantuan sosial selama masa tanggap darurat/ jumlah korban bencana dalam 1 tahun yang seharusnya menerima bantuan sosial selama masa tanggap darurat</v>
      </c>
      <c r="Z401" s="565">
        <f>'matrik MISI 2'!Z27</f>
        <v>0</v>
      </c>
    </row>
    <row r="402" spans="2:26" ht="75">
      <c r="B402" s="950"/>
      <c r="C402" s="951"/>
      <c r="D402" s="950"/>
      <c r="E402" s="950"/>
      <c r="F402" s="950"/>
      <c r="G402" s="950"/>
      <c r="H402" s="164" t="str">
        <f>'matrik MISI 2'!N28</f>
        <v>Persentase Korban Bencana Skala Kabupaten yang di Evakuasi Menggunakan Sarana dan Prasarana Tanggap Darurat Lengkap</v>
      </c>
      <c r="I402" s="164" t="str">
        <f>'matrik MISI 2'!O28</f>
        <v>%</v>
      </c>
      <c r="J402" s="929">
        <f>'matrik MISI 2'!P28</f>
        <v>100</v>
      </c>
      <c r="K402" s="929">
        <f>'matrik MISI 2'!Q28</f>
        <v>100</v>
      </c>
      <c r="L402" s="929">
        <f>'matrik MISI 2'!R28</f>
        <v>100</v>
      </c>
      <c r="M402" s="961"/>
      <c r="N402" s="929">
        <f>'matrik MISI 2'!S28</f>
        <v>100</v>
      </c>
      <c r="O402" s="929"/>
      <c r="P402" s="929">
        <f>'matrik MISI 2'!T28</f>
        <v>100</v>
      </c>
      <c r="Q402" s="929"/>
      <c r="R402" s="929">
        <f>'matrik MISI 2'!U28</f>
        <v>100</v>
      </c>
      <c r="S402" s="929"/>
      <c r="T402" s="929">
        <f>'matrik MISI 2'!V28</f>
        <v>100</v>
      </c>
      <c r="U402" s="929"/>
      <c r="V402" s="929">
        <f>'matrik MISI 2'!W28</f>
        <v>100</v>
      </c>
      <c r="W402" s="929"/>
      <c r="X402" s="929" t="str">
        <f>'matrik MISI 2'!X28</f>
        <v>BPBD / DPU</v>
      </c>
      <c r="Y402" s="565"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402" s="565">
        <f>'matrik MISI 2'!Z28</f>
        <v>0</v>
      </c>
    </row>
    <row r="403" spans="2:26" ht="60">
      <c r="B403" s="949">
        <v>14</v>
      </c>
      <c r="C403" s="948" t="str">
        <f>'matrik MISI 2'!B29</f>
        <v>KETENAGAKERJAAN</v>
      </c>
      <c r="D403" s="949">
        <f>'matrik MISI 2'!J30</f>
        <v>1.1399999999999999</v>
      </c>
      <c r="E403" s="949" t="str">
        <f>'matrik MISI 2'!K30</f>
        <v>xx</v>
      </c>
      <c r="F403" s="949">
        <f>'matrik MISI 2'!L30</f>
        <v>15</v>
      </c>
      <c r="G403" s="1005" t="str">
        <f>'matrik MISI 2'!M30</f>
        <v>Program Peningkatan Kualitas dan Produktivitas Tenaga Kerja</v>
      </c>
      <c r="H403" s="164"/>
      <c r="I403" s="164"/>
      <c r="J403" s="929"/>
      <c r="K403" s="929"/>
      <c r="L403" s="929"/>
      <c r="M403" s="961">
        <f>'jangan di hapus 1'!K806</f>
        <v>2162191600</v>
      </c>
      <c r="N403" s="961"/>
      <c r="O403" s="961">
        <f>'jangan di hapus 1'!M806</f>
        <v>860000000</v>
      </c>
      <c r="P403" s="961"/>
      <c r="Q403" s="961">
        <f>'jangan di hapus 1'!O806</f>
        <v>987500000</v>
      </c>
      <c r="R403" s="961"/>
      <c r="S403" s="961">
        <f>'jangan di hapus 1'!Q806</f>
        <v>1215000000</v>
      </c>
      <c r="T403" s="961"/>
      <c r="U403" s="961">
        <f>'jangan di hapus 1'!S806</f>
        <v>1298000000</v>
      </c>
      <c r="V403" s="929"/>
      <c r="W403" s="961">
        <f>SUM(M403:U403)</f>
        <v>6522691600</v>
      </c>
      <c r="X403" s="929"/>
      <c r="Y403" s="565"/>
      <c r="Z403" s="565"/>
    </row>
    <row r="404" spans="2:26" ht="45">
      <c r="B404" s="939"/>
      <c r="C404" s="939"/>
      <c r="D404" s="939"/>
      <c r="E404" s="939"/>
      <c r="F404" s="939"/>
      <c r="G404" s="965"/>
      <c r="H404" s="164" t="str">
        <f>'matrik MISI 2'!N30</f>
        <v>Persentase Tenaga Kerja yang Mendapatkan Pelatihan Berbasis Kompetensi</v>
      </c>
      <c r="I404" s="164" t="str">
        <f>'matrik MISI 2'!O30</f>
        <v>%</v>
      </c>
      <c r="J404" s="929">
        <f>'matrik MISI 2'!P30</f>
        <v>80</v>
      </c>
      <c r="K404" s="929">
        <f>'matrik MISI 2'!Q30</f>
        <v>80</v>
      </c>
      <c r="L404" s="929">
        <f>'matrik MISI 2'!R30</f>
        <v>80</v>
      </c>
      <c r="M404" s="961"/>
      <c r="N404" s="929">
        <f>'matrik MISI 2'!S30</f>
        <v>80</v>
      </c>
      <c r="O404" s="929"/>
      <c r="P404" s="929">
        <f>'matrik MISI 2'!T30</f>
        <v>80</v>
      </c>
      <c r="Q404" s="929"/>
      <c r="R404" s="929">
        <f>'matrik MISI 2'!U30</f>
        <v>80</v>
      </c>
      <c r="S404" s="929"/>
      <c r="T404" s="929">
        <f>'matrik MISI 2'!V30</f>
        <v>80</v>
      </c>
      <c r="U404" s="929"/>
      <c r="V404" s="929">
        <f>'matrik MISI 2'!W30</f>
        <v>80</v>
      </c>
      <c r="W404" s="929"/>
      <c r="X404" s="929" t="str">
        <f>'matrik MISI 2'!X30</f>
        <v>Disnakertran</v>
      </c>
      <c r="Y404" s="565" t="str">
        <f>'matrik MISI 2'!Y30</f>
        <v xml:space="preserve">jumlah tenaga kerja yang dilatih dibagi jumlah pendaftar pelatihan berbasis kompetensi X 100 </v>
      </c>
      <c r="Z404" s="565">
        <f>'matrik MISI 2'!Z30</f>
        <v>0</v>
      </c>
    </row>
    <row r="405" spans="2:26" ht="45">
      <c r="B405" s="940"/>
      <c r="C405" s="941"/>
      <c r="D405" s="940"/>
      <c r="E405" s="940"/>
      <c r="F405" s="940"/>
      <c r="G405" s="398"/>
      <c r="H405" s="164" t="str">
        <f>'matrik MISI 2'!N31</f>
        <v>Persentase Tenaga Kerja yang Mendapatkan Pelatihan Berbasis Masyarakat</v>
      </c>
      <c r="I405" s="164" t="str">
        <f>'matrik MISI 2'!O31</f>
        <v>%</v>
      </c>
      <c r="J405" s="929" t="str">
        <f>'matrik MISI 2'!P31</f>
        <v xml:space="preserve"> - </v>
      </c>
      <c r="K405" s="929" t="str">
        <f>'matrik MISI 2'!Q31</f>
        <v xml:space="preserve"> - </v>
      </c>
      <c r="L405" s="929" t="str">
        <f>'matrik MISI 2'!R31</f>
        <v xml:space="preserve"> - </v>
      </c>
      <c r="M405" s="961"/>
      <c r="N405" s="929">
        <f>'matrik MISI 2'!S31</f>
        <v>80</v>
      </c>
      <c r="O405" s="929"/>
      <c r="P405" s="929">
        <f>'matrik MISI 2'!T31</f>
        <v>85</v>
      </c>
      <c r="Q405" s="929"/>
      <c r="R405" s="929">
        <f>'matrik MISI 2'!U31</f>
        <v>90</v>
      </c>
      <c r="S405" s="929"/>
      <c r="T405" s="929">
        <f>'matrik MISI 2'!V31</f>
        <v>95</v>
      </c>
      <c r="U405" s="929"/>
      <c r="V405" s="929">
        <f>'matrik MISI 2'!W31</f>
        <v>95</v>
      </c>
      <c r="W405" s="929"/>
      <c r="X405" s="929" t="str">
        <f>'matrik MISI 2'!X31</f>
        <v>Disnakertran</v>
      </c>
      <c r="Y405" s="565" t="str">
        <f>'matrik MISI 2'!Y31</f>
        <v xml:space="preserve">jumlah tenaga kerja yang dilatih dibagi jumlah pendaftar pelatihan berbasis masyarakat X 100 </v>
      </c>
      <c r="Z405" s="565">
        <f>'matrik MISI 2'!Z31</f>
        <v>0</v>
      </c>
    </row>
    <row r="406" spans="2:26" ht="45">
      <c r="B406" s="940"/>
      <c r="C406" s="941"/>
      <c r="D406" s="940"/>
      <c r="E406" s="940"/>
      <c r="F406" s="940"/>
      <c r="G406" s="398"/>
      <c r="H406" s="164" t="str">
        <f>'matrik MISI 2'!N32</f>
        <v>Persentase Tenaga Kerja yang Mendapatkan Pelatihan Berbasis Kewirausahaan</v>
      </c>
      <c r="I406" s="164" t="str">
        <f>'matrik MISI 2'!O32</f>
        <v>%</v>
      </c>
      <c r="J406" s="929" t="str">
        <f>'matrik MISI 2'!P32</f>
        <v xml:space="preserve"> - </v>
      </c>
      <c r="K406" s="929">
        <f>'matrik MISI 2'!Q32</f>
        <v>80</v>
      </c>
      <c r="L406" s="929">
        <f>'matrik MISI 2'!R32</f>
        <v>80</v>
      </c>
      <c r="M406" s="961"/>
      <c r="N406" s="929">
        <f>'matrik MISI 2'!S32</f>
        <v>80</v>
      </c>
      <c r="O406" s="929"/>
      <c r="P406" s="929">
        <f>'matrik MISI 2'!T32</f>
        <v>80</v>
      </c>
      <c r="Q406" s="929"/>
      <c r="R406" s="929">
        <f>'matrik MISI 2'!U32</f>
        <v>80</v>
      </c>
      <c r="S406" s="929"/>
      <c r="T406" s="929">
        <f>'matrik MISI 2'!V32</f>
        <v>80</v>
      </c>
      <c r="U406" s="929"/>
      <c r="V406" s="929">
        <f>'matrik MISI 2'!W32</f>
        <v>80</v>
      </c>
      <c r="W406" s="929"/>
      <c r="X406" s="929" t="str">
        <f>'matrik MISI 2'!X32</f>
        <v>Disnakertran</v>
      </c>
      <c r="Y406" s="565" t="str">
        <f>'matrik MISI 2'!Y32</f>
        <v xml:space="preserve">jumlah tenaga kerja yang dilatih dibagi jumlah pendaftar pelatihan berbasis kewirausahaan X 100 </v>
      </c>
      <c r="Z406" s="565">
        <f>'matrik MISI 2'!Z32</f>
        <v>0</v>
      </c>
    </row>
    <row r="407" spans="2:26" ht="30">
      <c r="B407" s="940"/>
      <c r="C407" s="941"/>
      <c r="D407" s="940">
        <f>'matrik MISI 2'!J34</f>
        <v>1.1399999999999999</v>
      </c>
      <c r="E407" s="940" t="str">
        <f>'matrik MISI 2'!K34</f>
        <v>xx</v>
      </c>
      <c r="F407" s="940">
        <f>'matrik MISI 2'!L34</f>
        <v>16</v>
      </c>
      <c r="G407" s="398" t="str">
        <f>'matrik MISI 2'!M34</f>
        <v>Program Peningkatan Kesempatan Kerja</v>
      </c>
      <c r="H407" s="164"/>
      <c r="I407" s="164"/>
      <c r="J407" s="929"/>
      <c r="K407" s="929"/>
      <c r="L407" s="929"/>
      <c r="M407" s="961">
        <f>'jangan di hapus 1'!K813</f>
        <v>1302699000</v>
      </c>
      <c r="N407" s="961"/>
      <c r="O407" s="961">
        <f>'jangan di hapus 1'!M813</f>
        <v>1745000000</v>
      </c>
      <c r="P407" s="961"/>
      <c r="Q407" s="961">
        <f>'jangan di hapus 1'!O813</f>
        <v>1885000000</v>
      </c>
      <c r="R407" s="961"/>
      <c r="S407" s="961">
        <f>'jangan di hapus 1'!Q813</f>
        <v>2150000000</v>
      </c>
      <c r="T407" s="961"/>
      <c r="U407" s="961">
        <f>'jangan di hapus 1'!S813</f>
        <v>2190000000</v>
      </c>
      <c r="V407" s="929"/>
      <c r="W407" s="961">
        <f>SUM(M407:U407)</f>
        <v>9272699000</v>
      </c>
      <c r="X407" s="929"/>
      <c r="Y407" s="565"/>
      <c r="Z407" s="565"/>
    </row>
    <row r="408" spans="2:26" ht="45">
      <c r="B408" s="940"/>
      <c r="C408" s="941"/>
      <c r="D408" s="939"/>
      <c r="E408" s="939"/>
      <c r="F408" s="939"/>
      <c r="G408" s="965"/>
      <c r="H408" s="164" t="str">
        <f>'matrik MISI 2'!N34</f>
        <v>Persentase Pencari Kerja Terdaftar yang ditempatkan Kerja</v>
      </c>
      <c r="I408" s="164" t="str">
        <f>'matrik MISI 2'!O34</f>
        <v>%</v>
      </c>
      <c r="J408" s="929">
        <f>'matrik MISI 2'!P34</f>
        <v>63</v>
      </c>
      <c r="K408" s="929">
        <f>'matrik MISI 2'!Q34</f>
        <v>21</v>
      </c>
      <c r="L408" s="929">
        <f>'matrik MISI 2'!R34</f>
        <v>65</v>
      </c>
      <c r="M408" s="961"/>
      <c r="N408" s="929">
        <f>'matrik MISI 2'!S34</f>
        <v>67</v>
      </c>
      <c r="O408" s="929"/>
      <c r="P408" s="929">
        <f>'matrik MISI 2'!T34</f>
        <v>70</v>
      </c>
      <c r="Q408" s="929"/>
      <c r="R408" s="929">
        <f>'matrik MISI 2'!U34</f>
        <v>72</v>
      </c>
      <c r="S408" s="929"/>
      <c r="T408" s="929">
        <f>'matrik MISI 2'!V34</f>
        <v>75</v>
      </c>
      <c r="U408" s="929"/>
      <c r="V408" s="929">
        <f>'matrik MISI 2'!W34</f>
        <v>75</v>
      </c>
      <c r="W408" s="929"/>
      <c r="X408" s="929" t="str">
        <f>'matrik MISI 2'!X34</f>
        <v>Disnakertran</v>
      </c>
      <c r="Y408" s="565" t="str">
        <f>'matrik MISI 2'!Y34</f>
        <v xml:space="preserve">jumlah pencari kerja yang ditempatkan dibagi Jumlah pencari kerja terdaftar X 100 </v>
      </c>
      <c r="Z408" s="565">
        <f>'matrik MISI 2'!Z34</f>
        <v>0</v>
      </c>
    </row>
    <row r="409" spans="2:26">
      <c r="B409" s="940"/>
      <c r="C409" s="941"/>
      <c r="D409" s="940"/>
      <c r="E409" s="940"/>
      <c r="F409" s="940"/>
      <c r="G409" s="398"/>
      <c r="H409" s="164" t="str">
        <f>'matrik MISI 2'!N35</f>
        <v>Tingkat Kesempatan Kerja</v>
      </c>
      <c r="I409" s="164" t="str">
        <f>'matrik MISI 2'!O35</f>
        <v>%</v>
      </c>
      <c r="J409" s="929" t="str">
        <f>'matrik MISI 2'!P35</f>
        <v>96,60</v>
      </c>
      <c r="K409" s="929">
        <f>'matrik MISI 2'!Q35</f>
        <v>94.53</v>
      </c>
      <c r="L409" s="929">
        <f>'matrik MISI 2'!R35</f>
        <v>94.75</v>
      </c>
      <c r="M409" s="961"/>
      <c r="N409" s="929">
        <f>'matrik MISI 2'!S35</f>
        <v>95</v>
      </c>
      <c r="O409" s="929"/>
      <c r="P409" s="929">
        <f>'matrik MISI 2'!T35</f>
        <v>95.25</v>
      </c>
      <c r="Q409" s="929"/>
      <c r="R409" s="929">
        <f>'matrik MISI 2'!U35</f>
        <v>95.5</v>
      </c>
      <c r="S409" s="929"/>
      <c r="T409" s="929">
        <f>'matrik MISI 2'!V35</f>
        <v>95.75</v>
      </c>
      <c r="U409" s="929"/>
      <c r="V409" s="929">
        <f>'matrik MISI 2'!W35</f>
        <v>95.75</v>
      </c>
      <c r="W409" s="929"/>
      <c r="X409" s="929" t="str">
        <f>'matrik MISI 2'!X35</f>
        <v>Disnakertran</v>
      </c>
      <c r="Y409" s="565" t="str">
        <f>'matrik MISI 2'!Y35</f>
        <v>jumlah penduduk yang bekerja dibagi jumlah angkatan kerja X 100 %</v>
      </c>
      <c r="Z409" s="565">
        <f>'matrik MISI 2'!Z35</f>
        <v>0</v>
      </c>
    </row>
    <row r="410" spans="2:26" ht="30">
      <c r="B410" s="940"/>
      <c r="C410" s="941"/>
      <c r="D410" s="940"/>
      <c r="E410" s="940"/>
      <c r="F410" s="940"/>
      <c r="G410" s="398"/>
      <c r="H410" s="164" t="str">
        <f>'matrik MISI 2'!N36</f>
        <v>Tingkat Pengangguran Terbuka</v>
      </c>
      <c r="I410" s="164" t="str">
        <f>'matrik MISI 2'!O36</f>
        <v>%</v>
      </c>
      <c r="J410" s="929" t="str">
        <f>'matrik MISI 2'!P36</f>
        <v>3,40</v>
      </c>
      <c r="K410" s="929">
        <f>'matrik MISI 2'!Q36</f>
        <v>5.47</v>
      </c>
      <c r="L410" s="929">
        <f>'matrik MISI 2'!R36</f>
        <v>5.25</v>
      </c>
      <c r="M410" s="961"/>
      <c r="N410" s="929">
        <f>'matrik MISI 2'!S36</f>
        <v>5</v>
      </c>
      <c r="O410" s="929"/>
      <c r="P410" s="929">
        <f>'matrik MISI 2'!T36</f>
        <v>4.75</v>
      </c>
      <c r="Q410" s="929"/>
      <c r="R410" s="929">
        <f>'matrik MISI 2'!U36</f>
        <v>4.5</v>
      </c>
      <c r="S410" s="929"/>
      <c r="T410" s="929">
        <f>'matrik MISI 2'!V36</f>
        <v>4.25</v>
      </c>
      <c r="U410" s="929"/>
      <c r="V410" s="929">
        <f>'matrik MISI 2'!W36</f>
        <v>4.25</v>
      </c>
      <c r="W410" s="929"/>
      <c r="X410" s="929" t="str">
        <f>'matrik MISI 2'!X36</f>
        <v>Disnakertran</v>
      </c>
      <c r="Y410" s="565" t="str">
        <f>'matrik MISI 2'!Y36</f>
        <v>Jumlah Penganggur Terbuka Usia Angkatan Kerja dibagi Jumlah penduduk angkatan kerja X 100</v>
      </c>
      <c r="Z410" s="565">
        <f>'matrik MISI 2'!Z36</f>
        <v>0</v>
      </c>
    </row>
    <row r="411" spans="2:26" ht="30">
      <c r="B411" s="940"/>
      <c r="C411" s="941"/>
      <c r="D411" s="940"/>
      <c r="E411" s="940"/>
      <c r="F411" s="940"/>
      <c r="G411" s="398"/>
      <c r="H411" s="164" t="str">
        <f>'matrik MISI 2'!N37</f>
        <v>Tingkat Partisipasi Angkatan Kerja</v>
      </c>
      <c r="I411" s="164" t="str">
        <f>'matrik MISI 2'!O37</f>
        <v>%</v>
      </c>
      <c r="J411" s="929" t="str">
        <f>'matrik MISI 2'!P37</f>
        <v>77,41</v>
      </c>
      <c r="K411" s="929">
        <f>'matrik MISI 2'!Q37</f>
        <v>76.87</v>
      </c>
      <c r="L411" s="929">
        <f>'matrik MISI 2'!R37</f>
        <v>78</v>
      </c>
      <c r="M411" s="961"/>
      <c r="N411" s="929">
        <f>'matrik MISI 2'!S37</f>
        <v>79</v>
      </c>
      <c r="O411" s="929"/>
      <c r="P411" s="929">
        <f>'matrik MISI 2'!T37</f>
        <v>80</v>
      </c>
      <c r="Q411" s="929"/>
      <c r="R411" s="929">
        <f>'matrik MISI 2'!U37</f>
        <v>81</v>
      </c>
      <c r="S411" s="929"/>
      <c r="T411" s="929">
        <f>'matrik MISI 2'!V37</f>
        <v>82</v>
      </c>
      <c r="U411" s="929"/>
      <c r="V411" s="929">
        <f>'matrik MISI 2'!W37</f>
        <v>82</v>
      </c>
      <c r="W411" s="929"/>
      <c r="X411" s="929" t="str">
        <f>'matrik MISI 2'!X37</f>
        <v>Disnakertran</v>
      </c>
      <c r="Y411" s="565" t="str">
        <f>'matrik MISI 2'!Y37</f>
        <v>Jumlah Penduduk Angkatan Kerja dibagi jumlah penduduk usia kerja  X 100</v>
      </c>
      <c r="Z411" s="565" t="str">
        <f>'matrik MISI 2'!Z37</f>
        <v>Penduduk usia kerja adalah penduduk usia 15-64 tahun</v>
      </c>
    </row>
    <row r="412" spans="2:26" ht="60">
      <c r="B412" s="940"/>
      <c r="C412" s="941"/>
      <c r="D412" s="940">
        <f>'matrik MISI 2'!J39</f>
        <v>1.1399999999999999</v>
      </c>
      <c r="E412" s="940" t="str">
        <f>'matrik MISI 2'!K39</f>
        <v>xx</v>
      </c>
      <c r="F412" s="940">
        <f>'matrik MISI 2'!L39</f>
        <v>17</v>
      </c>
      <c r="G412" s="398" t="str">
        <f>'matrik MISI 2'!M39</f>
        <v>Program Perlindungan dan Pengembangan Lembaga Ketenagakerjaan</v>
      </c>
      <c r="H412" s="164"/>
      <c r="I412" s="164"/>
      <c r="J412" s="929"/>
      <c r="K412" s="929"/>
      <c r="L412" s="929"/>
      <c r="M412" s="961">
        <f>'jangan di hapus 1'!K819</f>
        <v>172494800</v>
      </c>
      <c r="N412" s="961"/>
      <c r="O412" s="961">
        <f>'jangan di hapus 1'!M819</f>
        <v>550000000</v>
      </c>
      <c r="P412" s="961"/>
      <c r="Q412" s="961">
        <f>'jangan di hapus 1'!O819</f>
        <v>610000000</v>
      </c>
      <c r="R412" s="961"/>
      <c r="S412" s="961">
        <f>'jangan di hapus 1'!Q819</f>
        <v>673000000</v>
      </c>
      <c r="T412" s="961"/>
      <c r="U412" s="961">
        <f>'jangan di hapus 1'!S819</f>
        <v>729000000</v>
      </c>
      <c r="V412" s="929"/>
      <c r="W412" s="961">
        <f>SUM(M412:U412)</f>
        <v>2734494800</v>
      </c>
      <c r="X412" s="929"/>
      <c r="Y412" s="565"/>
      <c r="Z412" s="565"/>
    </row>
    <row r="413" spans="2:26" ht="30">
      <c r="B413" s="940"/>
      <c r="C413" s="941"/>
      <c r="D413" s="939"/>
      <c r="E413" s="939"/>
      <c r="F413" s="939"/>
      <c r="G413" s="965"/>
      <c r="H413" s="164" t="str">
        <f>'matrik MISI 2'!N39</f>
        <v>Besaran Pemeriksaan Perusahaan</v>
      </c>
      <c r="I413" s="164" t="str">
        <f>'matrik MISI 2'!O39</f>
        <v>%</v>
      </c>
      <c r="J413" s="929">
        <f>'matrik MISI 2'!P39</f>
        <v>9.3000000000000007</v>
      </c>
      <c r="K413" s="929">
        <f>'matrik MISI 2'!Q39</f>
        <v>9.3000000000000007</v>
      </c>
      <c r="L413" s="929">
        <f>'matrik MISI 2'!R39</f>
        <v>13.3</v>
      </c>
      <c r="M413" s="961"/>
      <c r="N413" s="929">
        <f>'matrik MISI 2'!S39</f>
        <v>14</v>
      </c>
      <c r="O413" s="929"/>
      <c r="P413" s="929">
        <f>'matrik MISI 2'!T39</f>
        <v>16</v>
      </c>
      <c r="Q413" s="929"/>
      <c r="R413" s="929">
        <f>'matrik MISI 2'!U39</f>
        <v>18</v>
      </c>
      <c r="S413" s="929"/>
      <c r="T413" s="929">
        <f>'matrik MISI 2'!V39</f>
        <v>19.399999999999999</v>
      </c>
      <c r="U413" s="929"/>
      <c r="V413" s="929">
        <f>'matrik MISI 2'!W39</f>
        <v>19.399999999999999</v>
      </c>
      <c r="W413" s="929"/>
      <c r="X413" s="929" t="str">
        <f>'matrik MISI 2'!X39</f>
        <v>Disnakertran</v>
      </c>
      <c r="Y413" s="565" t="str">
        <f>'matrik MISI 2'!Y39</f>
        <v>Jumlah perusahaan yang telah diperiksa dibagi Jumlah perusahaan yang terdaftar X 100</v>
      </c>
      <c r="Z413" s="565">
        <f>'matrik MISI 2'!Z39</f>
        <v>0</v>
      </c>
    </row>
    <row r="414" spans="2:26" ht="45">
      <c r="B414" s="940"/>
      <c r="C414" s="941"/>
      <c r="D414" s="940"/>
      <c r="E414" s="940"/>
      <c r="F414" s="940"/>
      <c r="G414" s="398"/>
      <c r="H414" s="164" t="str">
        <f>'matrik MISI 2'!N40</f>
        <v>Cakupan Pekerja atau Buruh yang Menjadi peserta Program Jamsostek/Program Sejenis</v>
      </c>
      <c r="I414" s="164" t="str">
        <f>'matrik MISI 2'!O40</f>
        <v>%</v>
      </c>
      <c r="J414" s="929" t="str">
        <f>'matrik MISI 2'!P40</f>
        <v xml:space="preserve"> - </v>
      </c>
      <c r="K414" s="929">
        <f>'matrik MISI 2'!Q40</f>
        <v>62.4</v>
      </c>
      <c r="L414" s="929">
        <f>'matrik MISI 2'!R40</f>
        <v>65.5</v>
      </c>
      <c r="M414" s="961"/>
      <c r="N414" s="929">
        <f>'matrik MISI 2'!S40</f>
        <v>65.5</v>
      </c>
      <c r="O414" s="929"/>
      <c r="P414" s="929">
        <f>'matrik MISI 2'!T40</f>
        <v>80</v>
      </c>
      <c r="Q414" s="929"/>
      <c r="R414" s="929">
        <f>'matrik MISI 2'!U40</f>
        <v>90</v>
      </c>
      <c r="S414" s="929"/>
      <c r="T414" s="929">
        <f>'matrik MISI 2'!V40</f>
        <v>100</v>
      </c>
      <c r="U414" s="929"/>
      <c r="V414" s="929">
        <f>'matrik MISI 2'!W40</f>
        <v>100</v>
      </c>
      <c r="W414" s="929"/>
      <c r="X414" s="929" t="str">
        <f>'matrik MISI 2'!X40</f>
        <v>Disnakertran</v>
      </c>
      <c r="Y414" s="565" t="str">
        <f>'matrik MISI 2'!Y40</f>
        <v>Jumlah pekerja/buruh peserta program jamsostek dibagi jumlah pekerja/buruh X 100</v>
      </c>
      <c r="Z414" s="565">
        <f>'matrik MISI 2'!Z40</f>
        <v>0</v>
      </c>
    </row>
    <row r="415" spans="2:26" ht="45">
      <c r="B415" s="940"/>
      <c r="C415" s="941"/>
      <c r="D415" s="940"/>
      <c r="E415" s="940"/>
      <c r="F415" s="940"/>
      <c r="G415" s="398"/>
      <c r="H415" s="164" t="str">
        <f>'matrik MISI 2'!N41</f>
        <v>Persentase Kasus yang diselesaikan Dengan Perjanjian Bersama</v>
      </c>
      <c r="I415" s="164" t="str">
        <f>'matrik MISI 2'!O41</f>
        <v>%</v>
      </c>
      <c r="J415" s="929">
        <f>'matrik MISI 2'!P41</f>
        <v>100</v>
      </c>
      <c r="K415" s="929">
        <f>'matrik MISI 2'!Q41</f>
        <v>100</v>
      </c>
      <c r="L415" s="929">
        <f>'matrik MISI 2'!R41</f>
        <v>100</v>
      </c>
      <c r="M415" s="961"/>
      <c r="N415" s="929">
        <f>'matrik MISI 2'!S41</f>
        <v>100</v>
      </c>
      <c r="O415" s="929"/>
      <c r="P415" s="929">
        <f>'matrik MISI 2'!T41</f>
        <v>100</v>
      </c>
      <c r="Q415" s="929"/>
      <c r="R415" s="929">
        <f>'matrik MISI 2'!U41</f>
        <v>100</v>
      </c>
      <c r="S415" s="929"/>
      <c r="T415" s="929">
        <f>'matrik MISI 2'!V41</f>
        <v>100</v>
      </c>
      <c r="U415" s="929"/>
      <c r="V415" s="929">
        <f>'matrik MISI 2'!W41</f>
        <v>100</v>
      </c>
      <c r="W415" s="929"/>
      <c r="X415" s="929" t="str">
        <f>'matrik MISI 2'!X41</f>
        <v>Disnakertran</v>
      </c>
      <c r="Y415" s="565" t="str">
        <f>'matrik MISI 2'!Y41</f>
        <v>Jumlah Kasus yang diselesaikan Dengan Perjanjian Bersama dibagi  Jumlah kasus  yang dicatatkan X 100</v>
      </c>
      <c r="Z415" s="565">
        <f>'matrik MISI 2'!Z41</f>
        <v>0</v>
      </c>
    </row>
    <row r="416" spans="2:26" ht="30">
      <c r="B416" s="950"/>
      <c r="C416" s="951"/>
      <c r="D416" s="950"/>
      <c r="E416" s="950"/>
      <c r="F416" s="950"/>
      <c r="G416" s="399"/>
      <c r="H416" s="164" t="str">
        <f>'matrik MISI 2'!N42</f>
        <v>Persentase Pengujian Peralatan diperusahaan</v>
      </c>
      <c r="I416" s="164" t="str">
        <f>'matrik MISI 2'!O42</f>
        <v>%</v>
      </c>
      <c r="J416" s="929" t="str">
        <f>'matrik MISI 2'!P42</f>
        <v xml:space="preserve"> - </v>
      </c>
      <c r="K416" s="929">
        <f>'matrik MISI 2'!Q42</f>
        <v>64</v>
      </c>
      <c r="L416" s="929">
        <f>'matrik MISI 2'!R42</f>
        <v>67.5</v>
      </c>
      <c r="M416" s="961"/>
      <c r="N416" s="929">
        <f>'matrik MISI 2'!S42</f>
        <v>73</v>
      </c>
      <c r="O416" s="929"/>
      <c r="P416" s="929">
        <f>'matrik MISI 2'!T42</f>
        <v>76</v>
      </c>
      <c r="Q416" s="929"/>
      <c r="R416" s="929">
        <f>'matrik MISI 2'!U42</f>
        <v>78</v>
      </c>
      <c r="S416" s="929"/>
      <c r="T416" s="929">
        <f>'matrik MISI 2'!V42</f>
        <v>82</v>
      </c>
      <c r="U416" s="929"/>
      <c r="V416" s="929">
        <f>'matrik MISI 2'!W42</f>
        <v>82</v>
      </c>
      <c r="W416" s="929"/>
      <c r="X416" s="929" t="str">
        <f>'matrik MISI 2'!X42</f>
        <v>Disnakertran</v>
      </c>
      <c r="Y416" s="565" t="str">
        <f>'matrik MISI 2'!Y42</f>
        <v>Jumlah Peralatan yang diuji dibagi  Jumlah peralatan yang terdaftar X 100</v>
      </c>
      <c r="Z416" s="565">
        <f>'matrik MISI 2'!Z42</f>
        <v>0</v>
      </c>
    </row>
    <row r="417" spans="2:26" ht="30">
      <c r="B417" s="949">
        <v>15</v>
      </c>
      <c r="C417" s="948" t="str">
        <f>'matrik MISI 1'!B93</f>
        <v>KOPERASI DAN UMKM</v>
      </c>
      <c r="D417" s="949" t="str">
        <f>'matrik MISI 1'!J95</f>
        <v>1.15</v>
      </c>
      <c r="E417" s="949" t="str">
        <f>'matrik MISI 1'!K95</f>
        <v>xx</v>
      </c>
      <c r="F417" s="949">
        <f>'matrik MISI 1'!L95</f>
        <v>18</v>
      </c>
      <c r="G417" s="949" t="str">
        <f>'matrik MISI 1'!M95</f>
        <v>Peningkatan kualitas kelembagaan koperasi</v>
      </c>
      <c r="H417" s="164"/>
      <c r="I417" s="164"/>
      <c r="J417" s="929"/>
      <c r="K417" s="929"/>
      <c r="L417" s="929"/>
      <c r="M417" s="961">
        <f>'jangan di hapus 1'!K844</f>
        <v>422151000</v>
      </c>
      <c r="N417" s="961"/>
      <c r="O417" s="961">
        <f>'jangan di hapus 1'!M844</f>
        <v>40000000</v>
      </c>
      <c r="P417" s="961"/>
      <c r="Q417" s="961">
        <f>'jangan di hapus 1'!O844</f>
        <v>240000000</v>
      </c>
      <c r="R417" s="961"/>
      <c r="S417" s="961">
        <f>'jangan di hapus 1'!Q844</f>
        <v>265000000</v>
      </c>
      <c r="T417" s="961"/>
      <c r="U417" s="961">
        <f>'jangan di hapus 1'!S844</f>
        <v>255000000</v>
      </c>
      <c r="V417" s="929"/>
      <c r="W417" s="961">
        <f>SUM(M417:U417)</f>
        <v>1222151000</v>
      </c>
      <c r="X417" s="929"/>
    </row>
    <row r="418" spans="2:26" ht="30">
      <c r="B418" s="940"/>
      <c r="C418" s="941"/>
      <c r="D418" s="940"/>
      <c r="E418" s="940"/>
      <c r="F418" s="940"/>
      <c r="G418" s="940"/>
      <c r="H418" s="164" t="str">
        <f>'matrik MISI 1'!N95</f>
        <v>prosentase jumlah koperasi aktif</v>
      </c>
      <c r="I418" s="164" t="str">
        <f>'matrik MISI 1'!O95</f>
        <v>%</v>
      </c>
      <c r="J418" s="1007">
        <f>'matrik MISI 1'!P95</f>
        <v>79.132231404958674</v>
      </c>
      <c r="K418" s="1007">
        <f>'matrik MISI 1'!Q95</f>
        <v>83.471074380165291</v>
      </c>
      <c r="L418" s="1007">
        <f>'matrik MISI 1'!R95</f>
        <v>86.570247933884289</v>
      </c>
      <c r="M418" s="961"/>
      <c r="N418" s="1007">
        <f>'matrik MISI 1'!S95</f>
        <v>87.603305785123965</v>
      </c>
      <c r="O418" s="1007"/>
      <c r="P418" s="1007">
        <f>'matrik MISI 1'!T95</f>
        <v>88.63636363636364</v>
      </c>
      <c r="Q418" s="1007"/>
      <c r="R418" s="1007">
        <f>'matrik MISI 1'!U95</f>
        <v>89.669421487603302</v>
      </c>
      <c r="S418" s="1007"/>
      <c r="T418" s="1007">
        <f>'matrik MISI 1'!V95</f>
        <v>90.702479338842977</v>
      </c>
      <c r="U418" s="1007"/>
      <c r="V418" s="1007">
        <f>'matrik MISI 1'!W95</f>
        <v>90.702479338842977</v>
      </c>
      <c r="W418" s="1007"/>
      <c r="X418" s="929" t="str">
        <f>'matrik MISI 1'!X95</f>
        <v>DISPERIDAGKOP DAN UMKM</v>
      </c>
      <c r="Y418" s="565" t="str">
        <f>'matrik MISI 1'!Y95</f>
        <v xml:space="preserve">Jumlah Koperasi aktif dibagi jumlah total koperasi kali 100% </v>
      </c>
      <c r="Z418" s="565" t="str">
        <f>'matrik MISI 1'!Z95</f>
        <v>Meningkatnya jumlah koperasi aktif</v>
      </c>
    </row>
    <row r="419" spans="2:26" ht="30">
      <c r="B419" s="940"/>
      <c r="C419" s="941"/>
      <c r="D419" s="940"/>
      <c r="E419" s="940"/>
      <c r="F419" s="940"/>
      <c r="G419" s="940"/>
      <c r="H419" s="164" t="str">
        <f>'matrik MISI 1'!N96</f>
        <v>Besaran jumlah anggota koperasi</v>
      </c>
      <c r="I419" s="164" t="str">
        <f>'matrik MISI 1'!O96</f>
        <v>org</v>
      </c>
      <c r="J419" s="929">
        <f>'matrik MISI 1'!P96</f>
        <v>149906</v>
      </c>
      <c r="K419" s="929">
        <f>'matrik MISI 1'!Q96</f>
        <v>154700</v>
      </c>
      <c r="L419" s="929">
        <f>'matrik MISI 1'!R96</f>
        <v>159670</v>
      </c>
      <c r="M419" s="961"/>
      <c r="N419" s="929">
        <f>'matrik MISI 1'!S96</f>
        <v>165500</v>
      </c>
      <c r="O419" s="929"/>
      <c r="P419" s="929">
        <f>'matrik MISI 1'!T96</f>
        <v>170800</v>
      </c>
      <c r="Q419" s="929"/>
      <c r="R419" s="929">
        <f>'matrik MISI 1'!U96</f>
        <v>174500</v>
      </c>
      <c r="S419" s="929"/>
      <c r="T419" s="929">
        <f>'matrik MISI 1'!V96</f>
        <v>179500</v>
      </c>
      <c r="U419" s="929"/>
      <c r="V419" s="929">
        <f>'matrik MISI 1'!W96</f>
        <v>179500</v>
      </c>
      <c r="W419" s="929"/>
      <c r="X419" s="929" t="str">
        <f>'matrik MISI 1'!X96</f>
        <v>DISPERINDAGKOP DAN UMKM</v>
      </c>
      <c r="Y419" s="565" t="str">
        <f>'matrik MISI 1'!Y96</f>
        <v xml:space="preserve">Jumlah anggota koperasi tahun ke n </v>
      </c>
      <c r="Z419" s="565" t="str">
        <f>'matrik MISI 1'!Z96</f>
        <v>Meningkatnya jumlah anggota koperasi</v>
      </c>
    </row>
    <row r="420" spans="2:26" ht="30">
      <c r="B420" s="940"/>
      <c r="C420" s="941"/>
      <c r="D420" s="940"/>
      <c r="E420" s="940"/>
      <c r="F420" s="940"/>
      <c r="G420" s="940"/>
      <c r="H420" s="164" t="str">
        <f>'matrik MISI 1'!N97</f>
        <v>persentase jumlah pembinaan pengelolaan koperasi</v>
      </c>
      <c r="I420" s="164" t="str">
        <f>'matrik MISI 1'!O97</f>
        <v>%</v>
      </c>
      <c r="J420" s="1007">
        <f>'matrik MISI 1'!P97</f>
        <v>36.776859504132233</v>
      </c>
      <c r="K420" s="1007">
        <f>'matrik MISI 1'!Q97</f>
        <v>38.223140495867767</v>
      </c>
      <c r="L420" s="1007">
        <f>'matrik MISI 1'!R97</f>
        <v>40.289256198347104</v>
      </c>
      <c r="M420" s="961"/>
      <c r="N420" s="1007">
        <f>'matrik MISI 1'!S97</f>
        <v>43.388429752066116</v>
      </c>
      <c r="O420" s="1007"/>
      <c r="P420" s="1007">
        <f>'matrik MISI 1'!T97</f>
        <v>46.487603305785122</v>
      </c>
      <c r="Q420" s="1007"/>
      <c r="R420" s="1007">
        <f>'matrik MISI 1'!U97</f>
        <v>48.553719008264466</v>
      </c>
      <c r="S420" s="1007"/>
      <c r="T420" s="1007">
        <f>'matrik MISI 1'!V97</f>
        <v>53.719008264462808</v>
      </c>
      <c r="U420" s="1007"/>
      <c r="V420" s="1007">
        <f>'matrik MISI 1'!W97</f>
        <v>53.719008264462808</v>
      </c>
      <c r="W420" s="1007"/>
      <c r="X420" s="929" t="str">
        <f>'matrik MISI 1'!X97</f>
        <v>DISPERINDAGKOP DAN UMKM</v>
      </c>
      <c r="Y420" s="565" t="str">
        <f>'matrik MISI 1'!Y97</f>
        <v>Jumlah koperasi yang dibina tahun ke n dibagi jumlah total koperasi kali 100%</v>
      </c>
      <c r="Z420" s="565" t="str">
        <f>'matrik MISI 1'!Z97</f>
        <v>Meningkatnya pengelolaan koperasi</v>
      </c>
    </row>
    <row r="421" spans="2:26" ht="60">
      <c r="B421" s="940"/>
      <c r="C421" s="941"/>
      <c r="D421" s="940" t="str">
        <f>'matrik MISI 1'!J99</f>
        <v>1.15</v>
      </c>
      <c r="E421" s="940" t="str">
        <f>'matrik MISI 1'!K99</f>
        <v>xx</v>
      </c>
      <c r="F421" s="940">
        <f>'matrik MISI 1'!L99</f>
        <v>16</v>
      </c>
      <c r="G421" s="940" t="str">
        <f>'matrik MISI 1'!M99</f>
        <v>Program Pengembangan kewirausahaan dan keunggulan kompetitif UKM</v>
      </c>
      <c r="H421" s="164"/>
      <c r="I421" s="164"/>
      <c r="J421" s="1007"/>
      <c r="K421" s="1007"/>
      <c r="L421" s="1007"/>
      <c r="M421" s="961">
        <f>'jangan di hapus 1'!K829</f>
        <v>1399310500</v>
      </c>
      <c r="N421" s="961"/>
      <c r="O421" s="961">
        <f>'jangan di hapus 1'!M829</f>
        <v>730000000</v>
      </c>
      <c r="P421" s="961"/>
      <c r="Q421" s="961">
        <f>'jangan di hapus 1'!O829</f>
        <v>1020000000</v>
      </c>
      <c r="R421" s="961"/>
      <c r="S421" s="961">
        <f>'jangan di hapus 1'!Q829</f>
        <v>875000000</v>
      </c>
      <c r="T421" s="961"/>
      <c r="U421" s="961">
        <f>'jangan di hapus 1'!S829</f>
        <v>1170000000</v>
      </c>
      <c r="V421" s="1007"/>
      <c r="W421" s="961">
        <f>SUM(M421:U421)</f>
        <v>5194310500</v>
      </c>
      <c r="X421" s="929"/>
      <c r="Y421" s="565"/>
      <c r="Z421" s="565"/>
    </row>
    <row r="422" spans="2:26" ht="45">
      <c r="B422" s="940"/>
      <c r="C422" s="941"/>
      <c r="D422" s="939"/>
      <c r="E422" s="939"/>
      <c r="F422" s="939"/>
      <c r="G422" s="939"/>
      <c r="H422" s="164" t="str">
        <f>'matrik MISI 1'!N99</f>
        <v>Cakupan meningkatnya tertatanya LKM sesuai dengan ketentuan perundang-undangan</v>
      </c>
      <c r="I422" s="164" t="str">
        <f>'matrik MISI 1'!O99</f>
        <v>%</v>
      </c>
      <c r="J422" s="929" t="str">
        <f>'matrik MISI 1'!P99</f>
        <v xml:space="preserve"> - </v>
      </c>
      <c r="K422" s="929" t="str">
        <f>'matrik MISI 1'!Q99</f>
        <v xml:space="preserve"> - </v>
      </c>
      <c r="L422" s="929" t="str">
        <f>'matrik MISI 1'!R99</f>
        <v xml:space="preserve"> - </v>
      </c>
      <c r="M422" s="961"/>
      <c r="N422" s="929">
        <f>'matrik MISI 1'!S99</f>
        <v>25</v>
      </c>
      <c r="O422" s="929"/>
      <c r="P422" s="929">
        <f>'matrik MISI 1'!T99</f>
        <v>50</v>
      </c>
      <c r="Q422" s="929"/>
      <c r="R422" s="929" t="str">
        <f>'matrik MISI 1'!U99</f>
        <v xml:space="preserve"> - </v>
      </c>
      <c r="S422" s="929"/>
      <c r="T422" s="929" t="str">
        <f>'matrik MISI 1'!V99</f>
        <v xml:space="preserve"> - </v>
      </c>
      <c r="U422" s="929"/>
      <c r="V422" s="929">
        <f>'matrik MISI 1'!W99</f>
        <v>50</v>
      </c>
      <c r="W422" s="929"/>
      <c r="X422" s="929" t="str">
        <f>'matrik MISI 1'!X99</f>
        <v>DISPERINDAGKOP DAN UMKM</v>
      </c>
      <c r="Y422" s="565" t="str">
        <f>'matrik MISI 1'!Y99</f>
        <v xml:space="preserve">Jumlah LKM berbadan Hukum dibagi jumlah total LKM </v>
      </c>
      <c r="Z422" s="565" t="str">
        <f>'matrik MISI 1'!Z99</f>
        <v>Meningkatnya LKM berbadan Hukum dan antisipasi UU No 1 tahun 2013 tentang LKM. Dimumgkinkan tidak semua menjadi LKM (kondisi 2013=371)</v>
      </c>
    </row>
    <row r="423" spans="2:26" ht="30">
      <c r="B423" s="940"/>
      <c r="C423" s="941"/>
      <c r="D423" s="940"/>
      <c r="E423" s="940"/>
      <c r="F423" s="940"/>
      <c r="G423" s="940"/>
      <c r="H423" s="164" t="str">
        <f>'matrik MISI 1'!N100</f>
        <v>Besaran jumlah  UKM yang dibina</v>
      </c>
      <c r="I423" s="164" t="str">
        <f>'matrik MISI 1'!O100</f>
        <v>Kelompok</v>
      </c>
      <c r="J423" s="929">
        <f>'matrik MISI 1'!P100</f>
        <v>0</v>
      </c>
      <c r="K423" s="929">
        <f>'matrik MISI 1'!Q100</f>
        <v>63</v>
      </c>
      <c r="L423" s="929">
        <f>'matrik MISI 1'!R100</f>
        <v>132</v>
      </c>
      <c r="M423" s="961"/>
      <c r="N423" s="929">
        <f>'matrik MISI 1'!S100</f>
        <v>204</v>
      </c>
      <c r="O423" s="929"/>
      <c r="P423" s="929">
        <f>'matrik MISI 1'!T100</f>
        <v>281</v>
      </c>
      <c r="Q423" s="929"/>
      <c r="R423" s="929">
        <f>'matrik MISI 1'!U100</f>
        <v>364</v>
      </c>
      <c r="S423" s="929"/>
      <c r="T423" s="929">
        <f>'matrik MISI 1'!V100</f>
        <v>451</v>
      </c>
      <c r="U423" s="929"/>
      <c r="V423" s="929">
        <f>'matrik MISI 1'!W100</f>
        <v>451</v>
      </c>
      <c r="W423" s="929"/>
      <c r="X423" s="929" t="str">
        <f>'matrik MISI 1'!X100</f>
        <v>DISPERINDAGKOP DAN UMKM</v>
      </c>
      <c r="Y423" s="565" t="str">
        <f>'matrik MISI 1'!Y100</f>
        <v xml:space="preserve">Jumlah UKM yang dibina tahun ke n </v>
      </c>
      <c r="Z423" s="565" t="str">
        <f>'matrik MISI 1'!Z100</f>
        <v>Meningkatnya manajemen pengelolaan UMKM</v>
      </c>
    </row>
    <row r="424" spans="2:26" ht="30">
      <c r="B424" s="950"/>
      <c r="C424" s="951"/>
      <c r="D424" s="950"/>
      <c r="E424" s="950"/>
      <c r="F424" s="950"/>
      <c r="G424" s="950"/>
      <c r="H424" s="164" t="str">
        <f>'matrik MISI 1'!N101</f>
        <v>Besaran jumlah akses permodalan bagi UKM</v>
      </c>
      <c r="I424" s="164" t="str">
        <f>'matrik MISI 1'!O101</f>
        <v>Kelompok</v>
      </c>
      <c r="J424" s="929">
        <f>'matrik MISI 1'!P101</f>
        <v>0</v>
      </c>
      <c r="K424" s="929">
        <f>'matrik MISI 1'!Q101</f>
        <v>132</v>
      </c>
      <c r="L424" s="929">
        <f>'matrik MISI 1'!R101</f>
        <v>152</v>
      </c>
      <c r="M424" s="961"/>
      <c r="N424" s="929">
        <f>'matrik MISI 1'!S101</f>
        <v>172</v>
      </c>
      <c r="O424" s="929"/>
      <c r="P424" s="929">
        <f>'matrik MISI 1'!T101</f>
        <v>192</v>
      </c>
      <c r="Q424" s="929"/>
      <c r="R424" s="929">
        <f>'matrik MISI 1'!U101</f>
        <v>212</v>
      </c>
      <c r="S424" s="929"/>
      <c r="T424" s="929">
        <f>'matrik MISI 1'!V101</f>
        <v>232</v>
      </c>
      <c r="U424" s="929"/>
      <c r="V424" s="929">
        <f>'matrik MISI 1'!W101</f>
        <v>232</v>
      </c>
      <c r="W424" s="929"/>
      <c r="X424" s="929" t="str">
        <f>'matrik MISI 1'!X101</f>
        <v>DISPERINDAGKOP DAN UMKM</v>
      </c>
      <c r="Y424" s="565" t="str">
        <f>'matrik MISI 1'!Y101</f>
        <v>Akumulasi Jumlah UKM yang mendapat fasilitasi kredit permodalan tahun ke n</v>
      </c>
      <c r="Z424" s="565" t="str">
        <f>'matrik MISI 1'!Z101</f>
        <v>Meningkatnya akses permodalan UMKM ke lembaga keuangan</v>
      </c>
    </row>
    <row r="425" spans="2:26" ht="30">
      <c r="B425" s="949">
        <v>16</v>
      </c>
      <c r="C425" s="948" t="str">
        <f>'matrik MISI 6'!B84</f>
        <v>PENANAMAN MODAL</v>
      </c>
      <c r="D425" s="949">
        <f>'matrik MISI 6'!J85</f>
        <v>1.1599999999999999</v>
      </c>
      <c r="E425" s="949" t="str">
        <f>'matrik MISI 6'!K85</f>
        <v>xx</v>
      </c>
      <c r="F425" s="949">
        <f>'matrik MISI 6'!L85</f>
        <v>15</v>
      </c>
      <c r="G425" s="949" t="str">
        <f>'matrik MISI 6'!M85</f>
        <v>Program Peningkatan Pelayanan Perizinan</v>
      </c>
      <c r="H425" s="164"/>
      <c r="I425" s="164"/>
      <c r="J425" s="929"/>
      <c r="K425" s="929"/>
      <c r="L425" s="929"/>
      <c r="M425" s="961">
        <f>'jangan di hapus 1'!K857</f>
        <v>135880000</v>
      </c>
      <c r="N425" s="961"/>
      <c r="O425" s="961">
        <f>'jangan di hapus 1'!M857</f>
        <v>300000000</v>
      </c>
      <c r="P425" s="961"/>
      <c r="Q425" s="961">
        <f>'jangan di hapus 1'!O857</f>
        <v>440000000</v>
      </c>
      <c r="R425" s="961"/>
      <c r="S425" s="961">
        <f>'jangan di hapus 1'!Q857</f>
        <v>440000000</v>
      </c>
      <c r="T425" s="961"/>
      <c r="U425" s="961">
        <f>'jangan di hapus 1'!S857</f>
        <v>440000000</v>
      </c>
      <c r="V425" s="929"/>
      <c r="W425" s="961">
        <f>SUM(M425:U425)</f>
        <v>1755880000</v>
      </c>
      <c r="X425" s="929"/>
    </row>
    <row r="426" spans="2:26" ht="60">
      <c r="B426" s="939"/>
      <c r="C426" s="939"/>
      <c r="D426" s="939"/>
      <c r="E426" s="939"/>
      <c r="F426" s="939"/>
      <c r="G426" s="939"/>
      <c r="H426" s="164" t="str">
        <f>'matrik MISI 6'!N85</f>
        <v>Cakupan Jenis Perizinan yang Memiliki Standar Pelayanan Publik atau Standar Operasional Prosedur</v>
      </c>
      <c r="I426" s="164" t="str">
        <f>'matrik MISI 6'!O85</f>
        <v>%</v>
      </c>
      <c r="J426" s="929">
        <f>'matrik MISI 6'!P85</f>
        <v>0</v>
      </c>
      <c r="K426" s="929">
        <f>'matrik MISI 6'!Q85</f>
        <v>25</v>
      </c>
      <c r="L426" s="929">
        <f>'matrik MISI 6'!R85</f>
        <v>75</v>
      </c>
      <c r="M426" s="961"/>
      <c r="N426" s="929">
        <f>'matrik MISI 6'!S85</f>
        <v>100</v>
      </c>
      <c r="O426" s="929"/>
      <c r="P426" s="929">
        <f>'matrik MISI 6'!T85</f>
        <v>100</v>
      </c>
      <c r="Q426" s="929"/>
      <c r="R426" s="929">
        <f>'matrik MISI 6'!U85</f>
        <v>100</v>
      </c>
      <c r="S426" s="929"/>
      <c r="T426" s="929">
        <f>'matrik MISI 6'!V85</f>
        <v>100</v>
      </c>
      <c r="U426" s="929"/>
      <c r="V426" s="929">
        <f>'matrik MISI 6'!W85</f>
        <v>100</v>
      </c>
      <c r="W426" s="929"/>
      <c r="X426" s="929" t="str">
        <f>'matrik MISI 6'!X85</f>
        <v>KP3M</v>
      </c>
      <c r="Y426" s="565" t="str">
        <f>'matrik MISI 6'!Y85</f>
        <v>Jumlah izin yang memiliki SPP/SOP dibagi dengan jenis izin yang ada</v>
      </c>
      <c r="Z426" s="565">
        <f>'matrik MISI 6'!Z85</f>
        <v>0</v>
      </c>
    </row>
    <row r="427" spans="2:26" ht="30">
      <c r="B427" s="940"/>
      <c r="C427" s="941"/>
      <c r="D427" s="940"/>
      <c r="E427" s="940"/>
      <c r="F427" s="940"/>
      <c r="G427" s="940"/>
      <c r="H427" s="164" t="str">
        <f>'matrik MISI 6'!N86</f>
        <v>Persentase perizinan  yang diterbitkan Tepat Waktu</v>
      </c>
      <c r="I427" s="164" t="str">
        <f>'matrik MISI 6'!O86</f>
        <v>%</v>
      </c>
      <c r="J427" s="929">
        <f>'matrik MISI 6'!P86</f>
        <v>95</v>
      </c>
      <c r="K427" s="929">
        <f>'matrik MISI 6'!Q86</f>
        <v>95</v>
      </c>
      <c r="L427" s="929">
        <f>'matrik MISI 6'!R86</f>
        <v>95</v>
      </c>
      <c r="M427" s="961"/>
      <c r="N427" s="929">
        <f>'matrik MISI 6'!S86</f>
        <v>95</v>
      </c>
      <c r="O427" s="929"/>
      <c r="P427" s="929">
        <f>'matrik MISI 6'!T86</f>
        <v>95</v>
      </c>
      <c r="Q427" s="929"/>
      <c r="R427" s="929">
        <f>'matrik MISI 6'!U86</f>
        <v>95</v>
      </c>
      <c r="S427" s="929"/>
      <c r="T427" s="929">
        <f>'matrik MISI 6'!V86</f>
        <v>95</v>
      </c>
      <c r="U427" s="929"/>
      <c r="V427" s="929">
        <f>'matrik MISI 6'!W86</f>
        <v>95</v>
      </c>
      <c r="W427" s="929"/>
      <c r="X427" s="929" t="str">
        <f>'matrik MISI 6'!X86</f>
        <v>KP3M</v>
      </c>
      <c r="Y427" s="565" t="str">
        <f>'matrik MISI 6'!Y86</f>
        <v>Jumlah izin yang diterbitkan tepat waktu dibagi dengan jumlah permohonan izin kali 100</v>
      </c>
      <c r="Z427" s="565">
        <f>'matrik MISI 6'!Z86</f>
        <v>0</v>
      </c>
    </row>
    <row r="428" spans="2:26" ht="30">
      <c r="B428" s="940"/>
      <c r="C428" s="941"/>
      <c r="D428" s="940"/>
      <c r="E428" s="940"/>
      <c r="F428" s="940"/>
      <c r="G428" s="940"/>
      <c r="H428" s="164" t="str">
        <f>'matrik MISI 6'!N87</f>
        <v>Persentase Penanganan Pengaduan Masyarakat</v>
      </c>
      <c r="I428" s="164" t="str">
        <f>'matrik MISI 6'!O87</f>
        <v>%</v>
      </c>
      <c r="J428" s="929">
        <f>'matrik MISI 6'!P87</f>
        <v>100</v>
      </c>
      <c r="K428" s="929">
        <f>'matrik MISI 6'!Q87</f>
        <v>100</v>
      </c>
      <c r="L428" s="929">
        <f>'matrik MISI 6'!R87</f>
        <v>100</v>
      </c>
      <c r="M428" s="961"/>
      <c r="N428" s="929">
        <f>'matrik MISI 6'!S87</f>
        <v>100</v>
      </c>
      <c r="O428" s="929"/>
      <c r="P428" s="929">
        <f>'matrik MISI 6'!T87</f>
        <v>100</v>
      </c>
      <c r="Q428" s="929"/>
      <c r="R428" s="929">
        <f>'matrik MISI 6'!U87</f>
        <v>100</v>
      </c>
      <c r="S428" s="929"/>
      <c r="T428" s="929">
        <f>'matrik MISI 6'!V87</f>
        <v>100</v>
      </c>
      <c r="U428" s="929"/>
      <c r="V428" s="929">
        <f>'matrik MISI 6'!W87</f>
        <v>100</v>
      </c>
      <c r="W428" s="929"/>
      <c r="X428" s="929" t="str">
        <f>'matrik MISI 6'!X87</f>
        <v>KP3M</v>
      </c>
      <c r="Y428" s="565" t="str">
        <f>'matrik MISI 6'!Y87</f>
        <v xml:space="preserve">jumlah pengaduan masyarakat yang ditangani dibagi dengan jumlah pengaduan masyarakat dikalikan 100 </v>
      </c>
      <c r="Z428" s="565">
        <f>'matrik MISI 6'!Z87</f>
        <v>0</v>
      </c>
    </row>
    <row r="429" spans="2:26" ht="60">
      <c r="B429" s="940"/>
      <c r="C429" s="941"/>
      <c r="D429" s="940"/>
      <c r="E429" s="940"/>
      <c r="F429" s="940"/>
      <c r="G429" s="940"/>
      <c r="H429" s="164" t="str">
        <f>'matrik MISI 6'!N88</f>
        <v>Penerbitan Izin Usaha Jasa Konstruksi dalam Waktu 6 (Enam) Hari Kerja setelah Persyaratan Lengkap</v>
      </c>
      <c r="I429" s="164" t="str">
        <f>'matrik MISI 6'!O88</f>
        <v>Hari</v>
      </c>
      <c r="J429" s="929">
        <f>'matrik MISI 6'!P88</f>
        <v>12</v>
      </c>
      <c r="K429" s="929">
        <f>'matrik MISI 6'!Q88</f>
        <v>11</v>
      </c>
      <c r="L429" s="929">
        <f>'matrik MISI 6'!R88</f>
        <v>10</v>
      </c>
      <c r="M429" s="961"/>
      <c r="N429" s="929">
        <f>'matrik MISI 6'!S88</f>
        <v>9</v>
      </c>
      <c r="O429" s="929"/>
      <c r="P429" s="929">
        <f>'matrik MISI 6'!T88</f>
        <v>8</v>
      </c>
      <c r="Q429" s="929"/>
      <c r="R429" s="929">
        <f>'matrik MISI 6'!U88</f>
        <v>7</v>
      </c>
      <c r="S429" s="929"/>
      <c r="T429" s="929">
        <f>'matrik MISI 6'!V88</f>
        <v>6</v>
      </c>
      <c r="U429" s="929"/>
      <c r="V429" s="929">
        <f>'matrik MISI 6'!W88</f>
        <v>6</v>
      </c>
      <c r="W429" s="929"/>
      <c r="X429" s="929" t="str">
        <f>'matrik MISI 6'!X88</f>
        <v>KP3M</v>
      </c>
      <c r="Y429" s="565" t="str">
        <f>'matrik MISI 6'!Y88</f>
        <v>Izin Usaha Jasa Konstruksi diterbitkan dalam Waktu 6 (Enam) Hari Kerja setelah Persyaratan Lengkap</v>
      </c>
      <c r="Z429" s="565">
        <f>'matrik MISI 6'!Z88</f>
        <v>0</v>
      </c>
    </row>
    <row r="430" spans="2:26" ht="75">
      <c r="B430" s="940"/>
      <c r="C430" s="941"/>
      <c r="D430" s="939"/>
      <c r="E430" s="939"/>
      <c r="F430" s="939"/>
      <c r="G430" s="939"/>
      <c r="H430" s="164" t="str">
        <f>'matrik MISI 6'!N97</f>
        <v>Besaran pelayanan perizinan dan non perizinan bidang penanaman modal melalui pelayanan terpadu satu pintu di bidang penanaman modal</v>
      </c>
      <c r="I430" s="164" t="str">
        <f>'matrik MISI 6'!O97</f>
        <v>unit</v>
      </c>
      <c r="J430" s="929">
        <f>'matrik MISI 6'!P97</f>
        <v>17</v>
      </c>
      <c r="K430" s="929">
        <f>'matrik MISI 6'!Q97</f>
        <v>32</v>
      </c>
      <c r="L430" s="929">
        <f>'matrik MISI 6'!R97</f>
        <v>32</v>
      </c>
      <c r="M430" s="961"/>
      <c r="N430" s="929">
        <f>'matrik MISI 6'!S97</f>
        <v>32</v>
      </c>
      <c r="O430" s="929"/>
      <c r="P430" s="929">
        <f>'matrik MISI 6'!T97</f>
        <v>32</v>
      </c>
      <c r="Q430" s="929"/>
      <c r="R430" s="929">
        <f>'matrik MISI 6'!U97</f>
        <v>32</v>
      </c>
      <c r="S430" s="929"/>
      <c r="T430" s="929">
        <f>'matrik MISI 6'!V97</f>
        <v>32</v>
      </c>
      <c r="U430" s="929"/>
      <c r="V430" s="929">
        <f>'matrik MISI 6'!W97</f>
        <v>32</v>
      </c>
      <c r="W430" s="929"/>
      <c r="X430" s="929" t="str">
        <f>'matrik MISI 6'!X97</f>
        <v>KP3M</v>
      </c>
      <c r="Y430" s="565" t="str">
        <f>'matrik MISI 6'!Y97</f>
        <v>Jumlah jenis perizinan dan non perizinan yang dapat dilayani pelayanan terpadu satu pintu perangkat daerah kabupaten bidang penanaman modal dibagi enam</v>
      </c>
      <c r="Z430" s="565"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31" spans="2:26" ht="75">
      <c r="B431" s="940"/>
      <c r="C431" s="941"/>
      <c r="D431" s="940"/>
      <c r="E431" s="940"/>
      <c r="F431" s="940"/>
      <c r="G431" s="940"/>
      <c r="H431" s="164" t="str">
        <f>'matrik MISI 6'!N98</f>
        <v>Besaran implementasi Sistem Pelayanan Informasi dan Perizinan Informasi secara Elektronik</v>
      </c>
      <c r="I431" s="164" t="str">
        <f>'matrik MISI 6'!O98</f>
        <v>%</v>
      </c>
      <c r="J431" s="929">
        <f>'matrik MISI 6'!P98</f>
        <v>0</v>
      </c>
      <c r="K431" s="929">
        <f>'matrik MISI 6'!Q98</f>
        <v>0</v>
      </c>
      <c r="L431" s="929">
        <f>'matrik MISI 6'!R98</f>
        <v>100</v>
      </c>
      <c r="M431" s="961"/>
      <c r="N431" s="929">
        <f>'matrik MISI 6'!S98</f>
        <v>100</v>
      </c>
      <c r="O431" s="929"/>
      <c r="P431" s="929">
        <f>'matrik MISI 6'!T98</f>
        <v>100</v>
      </c>
      <c r="Q431" s="929"/>
      <c r="R431" s="929">
        <f>'matrik MISI 6'!U98</f>
        <v>100</v>
      </c>
      <c r="S431" s="929"/>
      <c r="T431" s="929">
        <f>'matrik MISI 6'!V98</f>
        <v>100</v>
      </c>
      <c r="U431" s="929"/>
      <c r="V431" s="929">
        <f>'matrik MISI 6'!W98</f>
        <v>100</v>
      </c>
      <c r="W431" s="929"/>
      <c r="X431" s="929" t="str">
        <f>'matrik MISI 6'!X98</f>
        <v>KP3M</v>
      </c>
      <c r="Y431" s="565" t="str">
        <f>'matrik MISI 6'!Y98</f>
        <v>Jumlah jenis pelayanan yang dilayani menggunakan SPIPISE di bagi empat kali seratus</v>
      </c>
      <c r="Z431" s="565"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32" spans="2:26" ht="45">
      <c r="B432" s="940"/>
      <c r="C432" s="941"/>
      <c r="D432" s="940">
        <f>'matrik MISI 6'!J90</f>
        <v>1.1599999999999999</v>
      </c>
      <c r="E432" s="940" t="str">
        <f>'matrik MISI 6'!K90</f>
        <v>xx</v>
      </c>
      <c r="F432" s="940">
        <f>'matrik MISI 6'!L90</f>
        <v>16</v>
      </c>
      <c r="G432" s="940" t="str">
        <f>'matrik MISI 6'!M90</f>
        <v>Program Peningkatan Iklim Investasi dan Realisasi Investasi</v>
      </c>
      <c r="H432" s="164"/>
      <c r="I432" s="164"/>
      <c r="J432" s="929"/>
      <c r="K432" s="929"/>
      <c r="L432" s="929"/>
      <c r="M432" s="961">
        <f>'jangan di hapus 1'!K864</f>
        <v>307735000</v>
      </c>
      <c r="N432" s="961"/>
      <c r="O432" s="961">
        <f>'jangan di hapus 1'!M864</f>
        <v>757212500</v>
      </c>
      <c r="P432" s="961"/>
      <c r="Q432" s="961">
        <f>'jangan di hapus 1'!O864</f>
        <v>939860000</v>
      </c>
      <c r="R432" s="961"/>
      <c r="S432" s="961">
        <f>'jangan di hapus 1'!Q864</f>
        <v>740000000</v>
      </c>
      <c r="T432" s="961"/>
      <c r="U432" s="961">
        <f>'jangan di hapus 1'!S864</f>
        <v>895000000</v>
      </c>
      <c r="V432" s="929"/>
      <c r="W432" s="961">
        <f>SUM(M432:U432)</f>
        <v>3639807500</v>
      </c>
      <c r="X432" s="929"/>
      <c r="Y432" s="565"/>
      <c r="Z432" s="565"/>
    </row>
    <row r="433" spans="2:26" ht="30">
      <c r="B433" s="940"/>
      <c r="C433" s="941"/>
      <c r="D433" s="939"/>
      <c r="E433" s="939"/>
      <c r="F433" s="939"/>
      <c r="G433" s="939"/>
      <c r="H433" s="164" t="str">
        <f>'matrik MISI 6'!N90</f>
        <v>Laju Investasi</v>
      </c>
      <c r="I433" s="164" t="str">
        <f>'matrik MISI 6'!O90</f>
        <v>%</v>
      </c>
      <c r="J433" s="929" t="str">
        <f>'matrik MISI 6'!P90</f>
        <v>19,17</v>
      </c>
      <c r="K433" s="929" t="str">
        <f>'matrik MISI 6'!Q90</f>
        <v>11,16</v>
      </c>
      <c r="L433" s="929" t="str">
        <f>'matrik MISI 6'!R90</f>
        <v>18,77</v>
      </c>
      <c r="M433" s="961"/>
      <c r="N433" s="929" t="str">
        <f>'matrik MISI 6'!S90</f>
        <v>16,28</v>
      </c>
      <c r="O433" s="929"/>
      <c r="P433" s="929" t="str">
        <f>'matrik MISI 6'!T90</f>
        <v>14,43</v>
      </c>
      <c r="Q433" s="929"/>
      <c r="R433" s="929" t="str">
        <f>'matrik MISI 6'!U90</f>
        <v>14,43</v>
      </c>
      <c r="S433" s="929"/>
      <c r="T433" s="929" t="str">
        <f>'matrik MISI 6'!V90</f>
        <v>14,43</v>
      </c>
      <c r="U433" s="929"/>
      <c r="V433" s="929" t="str">
        <f>'matrik MISI 6'!W90</f>
        <v>14,43</v>
      </c>
      <c r="W433" s="929"/>
      <c r="X433" s="929" t="str">
        <f>'matrik MISI 6'!X90</f>
        <v>KP3M</v>
      </c>
      <c r="Y433" s="565" t="str">
        <f>'matrik MISI 6'!Y90</f>
        <v>Nilai investasi tahun ke berjalan dikurangi nilai investasi tahun sebelumnya dibagi nilai investasi tahun sebelumnya kali 100</v>
      </c>
      <c r="Z433" s="565">
        <f>'matrik MISI 6'!Z90</f>
        <v>0</v>
      </c>
    </row>
    <row r="434" spans="2:26">
      <c r="B434" s="940"/>
      <c r="C434" s="941"/>
      <c r="D434" s="940"/>
      <c r="E434" s="940"/>
      <c r="F434" s="940"/>
      <c r="G434" s="940"/>
      <c r="H434" s="164" t="str">
        <f>'matrik MISI 6'!N92</f>
        <v>Nilai Investasi</v>
      </c>
      <c r="I434" s="164" t="str">
        <f>'matrik MISI 6'!O92</f>
        <v>Rupiah</v>
      </c>
      <c r="J434" s="929" t="str">
        <f>'matrik MISI 6'!P92</f>
        <v>123,457 M</v>
      </c>
      <c r="K434" s="929" t="str">
        <f>'matrik MISI 6'!Q92</f>
        <v>85,692 M</v>
      </c>
      <c r="L434" s="929" t="str">
        <f>'matrik MISI 6'!R92</f>
        <v>160 M</v>
      </c>
      <c r="M434" s="961"/>
      <c r="N434" s="929" t="str">
        <f>'matrik MISI 6'!S92</f>
        <v>165 M</v>
      </c>
      <c r="O434" s="929"/>
      <c r="P434" s="929" t="str">
        <f>'matrik MISI 6'!T92</f>
        <v>170 M</v>
      </c>
      <c r="Q434" s="929"/>
      <c r="R434" s="929" t="str">
        <f>'matrik MISI 6'!U92</f>
        <v>170 M</v>
      </c>
      <c r="S434" s="929"/>
      <c r="T434" s="929" t="str">
        <f>'matrik MISI 6'!V92</f>
        <v>170 M</v>
      </c>
      <c r="U434" s="929"/>
      <c r="V434" s="929" t="str">
        <f>'matrik MISI 6'!W92</f>
        <v>170 M</v>
      </c>
      <c r="W434" s="929"/>
      <c r="X434" s="929" t="str">
        <f>'matrik MISI 6'!X92</f>
        <v>KP3M</v>
      </c>
      <c r="Y434" s="565" t="str">
        <f>'matrik MISI 6'!Y92</f>
        <v>Nilai investasi pada tahun berjalan</v>
      </c>
      <c r="Z434" s="565" t="str">
        <f>'matrik MISI 6'!Z92</f>
        <v>Investasi meliputi PMDN dan PMA</v>
      </c>
    </row>
    <row r="435" spans="2:26">
      <c r="B435" s="940"/>
      <c r="C435" s="941"/>
      <c r="D435" s="940"/>
      <c r="E435" s="940"/>
      <c r="F435" s="940"/>
      <c r="G435" s="940"/>
      <c r="H435" s="164" t="str">
        <f>'matrik MISI 6'!N94</f>
        <v>Besaran jumlah Investor</v>
      </c>
      <c r="I435" s="164" t="str">
        <f>'matrik MISI 6'!O94</f>
        <v>investor</v>
      </c>
      <c r="J435" s="929">
        <f>'matrik MISI 6'!P94</f>
        <v>503</v>
      </c>
      <c r="K435" s="929">
        <f>'matrik MISI 6'!Q94</f>
        <v>684</v>
      </c>
      <c r="L435" s="929">
        <f>'matrik MISI 6'!R94</f>
        <v>874</v>
      </c>
      <c r="M435" s="961"/>
      <c r="N435" s="929">
        <f>'matrik MISI 6'!S94</f>
        <v>1074</v>
      </c>
      <c r="O435" s="929"/>
      <c r="P435" s="929">
        <f>'matrik MISI 6'!T94</f>
        <v>1284</v>
      </c>
      <c r="Q435" s="929"/>
      <c r="R435" s="929">
        <f>'matrik MISI 6'!U94</f>
        <v>1504</v>
      </c>
      <c r="S435" s="929"/>
      <c r="T435" s="929">
        <f>'matrik MISI 6'!V94</f>
        <v>1734</v>
      </c>
      <c r="U435" s="929"/>
      <c r="V435" s="929">
        <f>'matrik MISI 6'!W94</f>
        <v>1734</v>
      </c>
      <c r="W435" s="929"/>
      <c r="X435" s="929" t="str">
        <f>'matrik MISI 6'!X94</f>
        <v>KP3M</v>
      </c>
      <c r="Y435" s="565" t="str">
        <f>'matrik MISI 6'!Y94</f>
        <v>Jumlah investor pada tahun berjalan</v>
      </c>
      <c r="Z435" s="565" t="str">
        <f>'matrik MISI 6'!Z94</f>
        <v>Investor meliputi PMDN dan PMA</v>
      </c>
    </row>
    <row r="436" spans="2:26" ht="45">
      <c r="B436" s="940"/>
      <c r="C436" s="941"/>
      <c r="D436" s="940"/>
      <c r="E436" s="940"/>
      <c r="F436" s="940"/>
      <c r="G436" s="940"/>
      <c r="H436" s="164" t="str">
        <f>'matrik MISI 6'!N96</f>
        <v xml:space="preserve">Besaran Promosi peluang investasi dan kemitraan dengan dunia usaha </v>
      </c>
      <c r="I436" s="164" t="str">
        <f>'matrik MISI 6'!O96</f>
        <v>Kali/tahun</v>
      </c>
      <c r="J436" s="929">
        <f>'matrik MISI 6'!P96</f>
        <v>3</v>
      </c>
      <c r="K436" s="929">
        <f>'matrik MISI 6'!Q96</f>
        <v>2</v>
      </c>
      <c r="L436" s="929">
        <f>'matrik MISI 6'!R96</f>
        <v>5</v>
      </c>
      <c r="M436" s="961"/>
      <c r="N436" s="929">
        <f>'matrik MISI 6'!S96</f>
        <v>5</v>
      </c>
      <c r="O436" s="929"/>
      <c r="P436" s="929">
        <f>'matrik MISI 6'!T96</f>
        <v>7</v>
      </c>
      <c r="Q436" s="929"/>
      <c r="R436" s="929">
        <f>'matrik MISI 6'!U96</f>
        <v>7</v>
      </c>
      <c r="S436" s="929"/>
      <c r="T436" s="929">
        <f>'matrik MISI 6'!V96</f>
        <v>7</v>
      </c>
      <c r="U436" s="929"/>
      <c r="V436" s="929">
        <f>'matrik MISI 6'!W96</f>
        <v>33</v>
      </c>
      <c r="W436" s="929"/>
      <c r="X436" s="929" t="str">
        <f>'matrik MISI 6'!X96</f>
        <v>KP3M</v>
      </c>
      <c r="Y436" s="565" t="str">
        <f>'matrik MISI 6'!Y96</f>
        <v xml:space="preserve">Frequensi Promosi Peluang Penanaman Modal Kabupaten </v>
      </c>
      <c r="Z436" s="565" t="str">
        <f>'matrik MISI 6'!Z96</f>
        <v>selama 5 tahun di laksanakan 33 kali pameran/promosi</v>
      </c>
    </row>
    <row r="437" spans="2:26" ht="30">
      <c r="B437" s="949">
        <v>17</v>
      </c>
      <c r="C437" s="948" t="str">
        <f>'matrik MISI 2'!B79</f>
        <v>KEBUDAYAAN</v>
      </c>
      <c r="D437" s="949">
        <f>'matrik MISI 2'!J80</f>
        <v>1.17</v>
      </c>
      <c r="E437" s="949" t="str">
        <f>'matrik MISI 2'!K80</f>
        <v>xx</v>
      </c>
      <c r="F437" s="949">
        <f>'matrik MISI 2'!L80</f>
        <v>19</v>
      </c>
      <c r="G437" s="949" t="str">
        <f>'matrik MISI 2'!M80</f>
        <v>Program Pengembangan Nilai Keagamaan</v>
      </c>
      <c r="H437" s="164"/>
      <c r="I437" s="164"/>
      <c r="J437" s="929"/>
      <c r="K437" s="929"/>
      <c r="L437" s="929"/>
      <c r="M437" s="961">
        <f>'jangan di hapus 1'!K900</f>
        <v>843764800</v>
      </c>
      <c r="N437" s="961"/>
      <c r="O437" s="961">
        <f>'jangan di hapus 1'!M900</f>
        <v>1008928500</v>
      </c>
      <c r="P437" s="961"/>
      <c r="Q437" s="961">
        <f>'jangan di hapus 1'!O900</f>
        <v>1060000000</v>
      </c>
      <c r="R437" s="961"/>
      <c r="S437" s="961">
        <f>'jangan di hapus 1'!Q900</f>
        <v>1070000000</v>
      </c>
      <c r="T437" s="961"/>
      <c r="U437" s="961">
        <f>'jangan di hapus 1'!S900</f>
        <v>1080000000</v>
      </c>
      <c r="V437" s="929"/>
      <c r="W437" s="961">
        <f>SUM(M437:U437)</f>
        <v>5062693300</v>
      </c>
      <c r="X437" s="929"/>
    </row>
    <row r="438" spans="2:26" ht="30">
      <c r="B438" s="939"/>
      <c r="C438" s="939"/>
      <c r="D438" s="939"/>
      <c r="E438" s="939"/>
      <c r="F438" s="939"/>
      <c r="G438" s="939"/>
      <c r="H438" s="164" t="str">
        <f>'matrik MISI 2'!N80</f>
        <v>Cakupan Pemberian Bantuan Tempat Ibadah</v>
      </c>
      <c r="I438" s="164" t="str">
        <f>'matrik MISI 2'!O80</f>
        <v>%</v>
      </c>
      <c r="J438" s="929">
        <f>'matrik MISI 2'!P80</f>
        <v>100</v>
      </c>
      <c r="K438" s="929">
        <f>'matrik MISI 2'!Q80</f>
        <v>100</v>
      </c>
      <c r="L438" s="929">
        <f>'matrik MISI 2'!R80</f>
        <v>100</v>
      </c>
      <c r="M438" s="961"/>
      <c r="N438" s="929">
        <f>'matrik MISI 2'!S80</f>
        <v>100</v>
      </c>
      <c r="O438" s="929"/>
      <c r="P438" s="929">
        <f>'matrik MISI 2'!T80</f>
        <v>100</v>
      </c>
      <c r="Q438" s="929"/>
      <c r="R438" s="929">
        <f>'matrik MISI 2'!U80</f>
        <v>100</v>
      </c>
      <c r="S438" s="929"/>
      <c r="T438" s="929">
        <f>'matrik MISI 2'!V80</f>
        <v>100</v>
      </c>
      <c r="U438" s="929"/>
      <c r="V438" s="929">
        <f>'matrik MISI 2'!W80</f>
        <v>100</v>
      </c>
      <c r="W438" s="929"/>
      <c r="X438" s="929">
        <f>'matrik MISI 2'!X80</f>
        <v>0</v>
      </c>
      <c r="Y438" s="565" t="str">
        <f>'matrik MISI 2'!Y80</f>
        <v>Jumlah Tempat Ibadah yang dibantu dibagi Jumlah Tempat Ibadah yang mengajukan proposal</v>
      </c>
      <c r="Z438" s="565">
        <f>'matrik MISI 2'!Z80</f>
        <v>0</v>
      </c>
    </row>
    <row r="439" spans="2:26" ht="30">
      <c r="B439" s="940"/>
      <c r="C439" s="941"/>
      <c r="D439" s="940"/>
      <c r="E439" s="940"/>
      <c r="F439" s="940"/>
      <c r="G439" s="940"/>
      <c r="H439" s="164" t="str">
        <f>'matrik MISI 2'!N81</f>
        <v>Cakupan Pemberian Bantuan Kepada Pondok Pesantren</v>
      </c>
      <c r="I439" s="164" t="str">
        <f>'matrik MISI 2'!O81</f>
        <v>%</v>
      </c>
      <c r="J439" s="929">
        <f>'matrik MISI 2'!P81</f>
        <v>100</v>
      </c>
      <c r="K439" s="929">
        <f>'matrik MISI 2'!Q81</f>
        <v>100</v>
      </c>
      <c r="L439" s="929">
        <f>'matrik MISI 2'!R81</f>
        <v>100</v>
      </c>
      <c r="M439" s="961"/>
      <c r="N439" s="929">
        <f>'matrik MISI 2'!S81</f>
        <v>100</v>
      </c>
      <c r="O439" s="929"/>
      <c r="P439" s="929">
        <f>'matrik MISI 2'!T81</f>
        <v>100</v>
      </c>
      <c r="Q439" s="929"/>
      <c r="R439" s="929">
        <f>'matrik MISI 2'!U81</f>
        <v>100</v>
      </c>
      <c r="S439" s="929"/>
      <c r="T439" s="929">
        <f>'matrik MISI 2'!V81</f>
        <v>100</v>
      </c>
      <c r="U439" s="929"/>
      <c r="V439" s="929">
        <f>'matrik MISI 2'!W81</f>
        <v>100</v>
      </c>
      <c r="W439" s="929"/>
      <c r="X439" s="929">
        <f>'matrik MISI 2'!X81</f>
        <v>0</v>
      </c>
      <c r="Y439" s="565" t="str">
        <f>'matrik MISI 2'!Y81</f>
        <v>Jumlah pondok Pesantren yang dibantu dibagi Jumlah  Pondok Pesantren yang mengajukan proposal x 100</v>
      </c>
      <c r="Z439" s="565" t="str">
        <f>'matrik MISI 2'!Z81</f>
        <v>pondok pesantren yang mengajukan proposaladalah yang memenuhi syarat-syarat yang ditentukan</v>
      </c>
    </row>
    <row r="440" spans="2:26" ht="30">
      <c r="B440" s="940"/>
      <c r="C440" s="941"/>
      <c r="D440" s="940"/>
      <c r="E440" s="940"/>
      <c r="F440" s="940"/>
      <c r="G440" s="940"/>
      <c r="H440" s="164" t="str">
        <f>'matrik MISI 2'!N82</f>
        <v>Cakupan Pemberian Bantuan Kepada TPQ</v>
      </c>
      <c r="I440" s="164" t="str">
        <f>'matrik MISI 2'!O82</f>
        <v>%</v>
      </c>
      <c r="J440" s="929">
        <f>'matrik MISI 2'!P82</f>
        <v>100</v>
      </c>
      <c r="K440" s="929">
        <f>'matrik MISI 2'!Q82</f>
        <v>100</v>
      </c>
      <c r="L440" s="929">
        <f>'matrik MISI 2'!R82</f>
        <v>100</v>
      </c>
      <c r="M440" s="961"/>
      <c r="N440" s="929">
        <f>'matrik MISI 2'!S82</f>
        <v>100</v>
      </c>
      <c r="O440" s="929"/>
      <c r="P440" s="929">
        <f>'matrik MISI 2'!T82</f>
        <v>100</v>
      </c>
      <c r="Q440" s="929"/>
      <c r="R440" s="929">
        <f>'matrik MISI 2'!U82</f>
        <v>100</v>
      </c>
      <c r="S440" s="929"/>
      <c r="T440" s="929">
        <f>'matrik MISI 2'!V82</f>
        <v>100</v>
      </c>
      <c r="U440" s="929"/>
      <c r="V440" s="929">
        <f>'matrik MISI 2'!W82</f>
        <v>100</v>
      </c>
      <c r="W440" s="929"/>
      <c r="X440" s="929">
        <f>'matrik MISI 2'!X82</f>
        <v>0</v>
      </c>
      <c r="Y440" s="565" t="str">
        <f>'matrik MISI 2'!Y82</f>
        <v>Jumlah TPQ yang dibantu dibagi Jumlah TPQ yang mengajukan proposal x 100</v>
      </c>
      <c r="Z440" s="565" t="str">
        <f>'matrik MISI 2'!Z82</f>
        <v>TPQ  yang mengajukan proposal adalah yang memenuhi syarat-syarat yang ditentukan</v>
      </c>
    </row>
    <row r="441" spans="2:26" ht="30">
      <c r="B441" s="940"/>
      <c r="C441" s="941"/>
      <c r="D441" s="940"/>
      <c r="E441" s="940"/>
      <c r="F441" s="940"/>
      <c r="G441" s="940"/>
      <c r="H441" s="164" t="str">
        <f>'matrik MISI 2'!N83</f>
        <v>Cakupan Pemberian Bantuan Kepada Madrasah Diniyah</v>
      </c>
      <c r="I441" s="164" t="str">
        <f>'matrik MISI 2'!O83</f>
        <v>%</v>
      </c>
      <c r="J441" s="929">
        <f>'matrik MISI 2'!P83</f>
        <v>100</v>
      </c>
      <c r="K441" s="929">
        <f>'matrik MISI 2'!Q83</f>
        <v>100</v>
      </c>
      <c r="L441" s="929">
        <f>'matrik MISI 2'!R83</f>
        <v>100</v>
      </c>
      <c r="M441" s="961"/>
      <c r="N441" s="929">
        <f>'matrik MISI 2'!S83</f>
        <v>100</v>
      </c>
      <c r="O441" s="929"/>
      <c r="P441" s="929">
        <f>'matrik MISI 2'!T83</f>
        <v>100</v>
      </c>
      <c r="Q441" s="929"/>
      <c r="R441" s="929">
        <f>'matrik MISI 2'!U83</f>
        <v>100</v>
      </c>
      <c r="S441" s="929"/>
      <c r="T441" s="929">
        <f>'matrik MISI 2'!V83</f>
        <v>100</v>
      </c>
      <c r="U441" s="929"/>
      <c r="V441" s="929">
        <f>'matrik MISI 2'!W83</f>
        <v>100</v>
      </c>
      <c r="W441" s="929"/>
      <c r="X441" s="929">
        <f>'matrik MISI 2'!X83</f>
        <v>0</v>
      </c>
      <c r="Y441" s="565" t="str">
        <f>'matrik MISI 2'!Y83</f>
        <v>Jumlah Madrasah Diniyah yang dibantu dibagi Jumlah Madrasah Diniyah yang mengajukan proposal x 100</v>
      </c>
      <c r="Z441" s="565" t="str">
        <f>'matrik MISI 2'!Z83</f>
        <v>Madrasah Diniyah yang mengajukan proposal adalah yang memenuhi syarat-syarat yang ditentukan</v>
      </c>
    </row>
    <row r="442" spans="2:26" ht="30">
      <c r="B442" s="940"/>
      <c r="C442" s="941"/>
      <c r="D442" s="940">
        <f>'matrik MISI 2'!J85</f>
        <v>1.17</v>
      </c>
      <c r="E442" s="940" t="str">
        <f>'matrik MISI 2'!K85</f>
        <v>xx</v>
      </c>
      <c r="F442" s="940">
        <f>'matrik MISI 2'!L85</f>
        <v>16</v>
      </c>
      <c r="G442" s="940" t="str">
        <f>'matrik MISI 2'!M85</f>
        <v>Program Pengelolaan Kekayaan Budaya</v>
      </c>
      <c r="H442" s="164"/>
      <c r="I442" s="164"/>
      <c r="J442" s="929"/>
      <c r="K442" s="929"/>
      <c r="L442" s="929"/>
      <c r="M442" s="961">
        <f>'jangan di hapus 1'!K879</f>
        <v>260000000</v>
      </c>
      <c r="N442" s="961"/>
      <c r="O442" s="961">
        <f>'jangan di hapus 1'!M879</f>
        <v>230719200</v>
      </c>
      <c r="P442" s="961"/>
      <c r="Q442" s="961">
        <f>'jangan di hapus 1'!O879</f>
        <v>955000000</v>
      </c>
      <c r="R442" s="961"/>
      <c r="S442" s="961">
        <f>'jangan di hapus 1'!Q879</f>
        <v>975000000</v>
      </c>
      <c r="T442" s="961"/>
      <c r="U442" s="961">
        <f>'jangan di hapus 1'!S879</f>
        <v>1050000000</v>
      </c>
      <c r="V442" s="929"/>
      <c r="W442" s="961">
        <f>SUM(M442:U442)</f>
        <v>3470719200</v>
      </c>
      <c r="X442" s="929"/>
      <c r="Y442" s="565"/>
      <c r="Z442" s="565"/>
    </row>
    <row r="443" spans="2:26" ht="30">
      <c r="B443" s="939"/>
      <c r="C443" s="939"/>
      <c r="D443" s="939"/>
      <c r="E443" s="939"/>
      <c r="F443" s="939"/>
      <c r="G443" s="939"/>
      <c r="H443" s="164" t="str">
        <f>'matrik MISI 2'!N85</f>
        <v>Cakupan Pemeliharaan Nilai Tradisi Budaya</v>
      </c>
      <c r="I443" s="164" t="str">
        <f>'matrik MISI 2'!O85</f>
        <v>%</v>
      </c>
      <c r="J443" s="929">
        <f>'matrik MISI 2'!P85</f>
        <v>0.05</v>
      </c>
      <c r="K443" s="929">
        <f>'matrik MISI 2'!Q85</f>
        <v>0.1</v>
      </c>
      <c r="L443" s="929">
        <f>'matrik MISI 2'!R85</f>
        <v>0.15</v>
      </c>
      <c r="M443" s="961"/>
      <c r="N443" s="929">
        <f>'matrik MISI 2'!S85</f>
        <v>0.18</v>
      </c>
      <c r="O443" s="929"/>
      <c r="P443" s="929">
        <f>'matrik MISI 2'!T85</f>
        <v>0.21</v>
      </c>
      <c r="Q443" s="929"/>
      <c r="R443" s="929">
        <f>'matrik MISI 2'!U85</f>
        <v>0.25</v>
      </c>
      <c r="S443" s="929"/>
      <c r="T443" s="929">
        <f>'matrik MISI 2'!V85</f>
        <v>0.28000000000000003</v>
      </c>
      <c r="U443" s="929"/>
      <c r="V443" s="929">
        <f>'matrik MISI 2'!W85</f>
        <v>0.28000000000000003</v>
      </c>
      <c r="W443" s="929"/>
      <c r="X443" s="929" t="str">
        <f>'matrik MISI 2'!X85</f>
        <v>Dinbudparpora</v>
      </c>
      <c r="Y443" s="565" t="str">
        <f>'matrik MISI 2'!Y85</f>
        <v>Jumlah Tradisi Budaya yang dipelihara dibagi Jumlah Tradisi Budaya yang ada X 100</v>
      </c>
      <c r="Z443" s="565">
        <f>'matrik MISI 2'!Z85</f>
        <v>0</v>
      </c>
    </row>
    <row r="444" spans="2:26" ht="30">
      <c r="B444" s="940"/>
      <c r="C444" s="941"/>
      <c r="D444" s="940"/>
      <c r="E444" s="940"/>
      <c r="F444" s="940"/>
      <c r="G444" s="940"/>
      <c r="H444" s="164" t="str">
        <f>'matrik MISI 2'!N86</f>
        <v>Cakupan Pemeliharaan Benda-benda Bersejarah dan Arkeologi</v>
      </c>
      <c r="I444" s="164">
        <f>'matrik MISI 2'!O86</f>
        <v>0</v>
      </c>
      <c r="J444" s="929">
        <f>'matrik MISI 2'!P86</f>
        <v>6.38</v>
      </c>
      <c r="K444" s="929">
        <f>'matrik MISI 2'!Q86</f>
        <v>6.38</v>
      </c>
      <c r="L444" s="929">
        <f>'matrik MISI 2'!R86</f>
        <v>6.38</v>
      </c>
      <c r="M444" s="961"/>
      <c r="N444" s="929">
        <f>'matrik MISI 2'!S86</f>
        <v>6.38</v>
      </c>
      <c r="O444" s="929"/>
      <c r="P444" s="929">
        <f>'matrik MISI 2'!T86</f>
        <v>6.38</v>
      </c>
      <c r="Q444" s="929"/>
      <c r="R444" s="929">
        <f>'matrik MISI 2'!U86</f>
        <v>6.38</v>
      </c>
      <c r="S444" s="929"/>
      <c r="T444" s="929">
        <f>'matrik MISI 2'!V86</f>
        <v>6.38</v>
      </c>
      <c r="U444" s="929"/>
      <c r="V444" s="929">
        <f>'matrik MISI 2'!W86</f>
        <v>6.38</v>
      </c>
      <c r="W444" s="929"/>
      <c r="X444" s="929" t="str">
        <f>'matrik MISI 2'!X86</f>
        <v>Dinbudparpora</v>
      </c>
      <c r="Y444" s="565" t="str">
        <f>'matrik MISI 2'!Y86</f>
        <v>Jumlah Benda-benda Bersejarah dan Arkeologi yang dipelihara dibagi Jumlah seluruh Benda-benda Bersejarah dan Arkeologi yang ada X 100</v>
      </c>
      <c r="Z444" s="565">
        <f>'matrik MISI 2'!Z86</f>
        <v>0</v>
      </c>
    </row>
    <row r="445" spans="2:26">
      <c r="B445" s="940"/>
      <c r="C445" s="941"/>
      <c r="D445" s="940"/>
      <c r="E445" s="940"/>
      <c r="F445" s="940"/>
      <c r="G445" s="940"/>
      <c r="H445" s="164" t="str">
        <f>'matrik MISI 2'!N96</f>
        <v>Cakupan Fasilitas Cagar Budaya</v>
      </c>
      <c r="I445" s="164" t="str">
        <f>'matrik MISI 2'!O96</f>
        <v>%</v>
      </c>
      <c r="J445" s="929">
        <f>'matrik MISI 2'!P96</f>
        <v>2.12</v>
      </c>
      <c r="K445" s="929">
        <f>'matrik MISI 2'!Q96</f>
        <v>2.12</v>
      </c>
      <c r="L445" s="929">
        <f>'matrik MISI 2'!R96</f>
        <v>2.12</v>
      </c>
      <c r="M445" s="961"/>
      <c r="N445" s="929">
        <f>'matrik MISI 2'!S96</f>
        <v>2.12</v>
      </c>
      <c r="O445" s="929"/>
      <c r="P445" s="929">
        <f>'matrik MISI 2'!T96</f>
        <v>2.12</v>
      </c>
      <c r="Q445" s="929"/>
      <c r="R445" s="929">
        <f>'matrik MISI 2'!U96</f>
        <v>2.12</v>
      </c>
      <c r="S445" s="929"/>
      <c r="T445" s="929">
        <f>'matrik MISI 2'!V96</f>
        <v>2.12</v>
      </c>
      <c r="U445" s="929"/>
      <c r="V445" s="929">
        <f>'matrik MISI 2'!W96</f>
        <v>2.12</v>
      </c>
      <c r="W445" s="929"/>
      <c r="X445" s="929" t="str">
        <f>'matrik MISI 2'!X96</f>
        <v>Dinbudparpora</v>
      </c>
      <c r="Y445" s="565" t="str">
        <f>'matrik MISI 2'!Y96</f>
        <v>Jumlah Cagar Budaya yang difasilitasi dibagi Jumlah Cagar Budaya kali 100</v>
      </c>
      <c r="Z445" s="565">
        <f>'matrik MISI 2'!Z96</f>
        <v>0</v>
      </c>
    </row>
    <row r="446" spans="2:26" ht="30">
      <c r="B446" s="940"/>
      <c r="C446" s="941"/>
      <c r="D446" s="940"/>
      <c r="E446" s="940"/>
      <c r="F446" s="940"/>
      <c r="G446" s="940"/>
      <c r="H446" s="164" t="str">
        <f>'matrik MISI 2'!N97</f>
        <v>Cakupan Promosi Cagar Budaya</v>
      </c>
      <c r="I446" s="164" t="str">
        <f>'matrik MISI 2'!O97</f>
        <v>%</v>
      </c>
      <c r="J446" s="929">
        <f>'matrik MISI 2'!P97</f>
        <v>0.02</v>
      </c>
      <c r="K446" s="929">
        <f>'matrik MISI 2'!Q97</f>
        <v>0.02</v>
      </c>
      <c r="L446" s="929">
        <f>'matrik MISI 2'!R97</f>
        <v>0.02</v>
      </c>
      <c r="M446" s="961"/>
      <c r="N446" s="929">
        <f>'matrik MISI 2'!S97</f>
        <v>0.31</v>
      </c>
      <c r="O446" s="929"/>
      <c r="P446" s="929">
        <f>'matrik MISI 2'!T97</f>
        <v>0.42</v>
      </c>
      <c r="Q446" s="929"/>
      <c r="R446" s="929">
        <f>'matrik MISI 2'!U97</f>
        <v>0.53</v>
      </c>
      <c r="S446" s="929"/>
      <c r="T446" s="929">
        <f>'matrik MISI 2'!V97</f>
        <v>0.63</v>
      </c>
      <c r="U446" s="929"/>
      <c r="V446" s="929">
        <f>'matrik MISI 2'!W97</f>
        <v>0.65</v>
      </c>
      <c r="W446" s="929"/>
      <c r="X446" s="929" t="str">
        <f>'matrik MISI 2'!X97</f>
        <v>Dinbudparpora</v>
      </c>
      <c r="Y446" s="565" t="str">
        <f>'matrik MISI 2'!Y97</f>
        <v>Jumlah Cagar Budaya yang dipromosikan dibagi Jumlah cagar Budaya kali 100</v>
      </c>
      <c r="Z446" s="565">
        <f>'matrik MISI 2'!Z97</f>
        <v>0</v>
      </c>
    </row>
    <row r="447" spans="2:26" ht="45">
      <c r="B447" s="940"/>
      <c r="C447" s="941"/>
      <c r="D447" s="940"/>
      <c r="E447" s="940"/>
      <c r="F447" s="940"/>
      <c r="G447" s="940"/>
      <c r="H447" s="164" t="str">
        <f>'matrik MISI 2'!N98</f>
        <v>Cakupan Pengembangan Sarana dan Prasarana Budaya dan Kebudayaan</v>
      </c>
      <c r="I447" s="164" t="str">
        <f>'matrik MISI 2'!O98</f>
        <v>%</v>
      </c>
      <c r="J447" s="929">
        <f>'matrik MISI 2'!P98</f>
        <v>100</v>
      </c>
      <c r="K447" s="929">
        <f>'matrik MISI 2'!Q98</f>
        <v>100</v>
      </c>
      <c r="L447" s="929">
        <f>'matrik MISI 2'!R98</f>
        <v>100</v>
      </c>
      <c r="M447" s="961"/>
      <c r="N447" s="929">
        <f>'matrik MISI 2'!S98</f>
        <v>100</v>
      </c>
      <c r="O447" s="929"/>
      <c r="P447" s="929">
        <f>'matrik MISI 2'!T98</f>
        <v>100</v>
      </c>
      <c r="Q447" s="929"/>
      <c r="R447" s="929">
        <f>'matrik MISI 2'!U98</f>
        <v>100</v>
      </c>
      <c r="S447" s="929"/>
      <c r="T447" s="929">
        <f>'matrik MISI 2'!V98</f>
        <v>100</v>
      </c>
      <c r="U447" s="929"/>
      <c r="V447" s="929">
        <f>'matrik MISI 2'!W98</f>
        <v>100</v>
      </c>
      <c r="W447" s="929"/>
      <c r="X447" s="929" t="str">
        <f>'matrik MISI 2'!X98</f>
        <v>Dinbudparpora</v>
      </c>
      <c r="Y447" s="565" t="str">
        <f>'matrik MISI 2'!Y98</f>
        <v xml:space="preserve">Jumlah Sarana dan Prasarana Budaya dan Kebudayaan yang dikembangkan dibagi Jumlah Sarana dan Prasarana Budaya dan Kebudayaan kali 100 </v>
      </c>
      <c r="Z447" s="565">
        <f>'matrik MISI 2'!Z98</f>
        <v>0</v>
      </c>
    </row>
    <row r="448" spans="2:26" ht="30">
      <c r="B448" s="940"/>
      <c r="C448" s="941"/>
      <c r="D448" s="940">
        <f>'matrik MISI 2'!J88</f>
        <v>1.17</v>
      </c>
      <c r="E448" s="940" t="str">
        <f>'matrik MISI 2'!K88</f>
        <v>xx</v>
      </c>
      <c r="F448" s="940">
        <f>'matrik MISI 2'!L88</f>
        <v>17</v>
      </c>
      <c r="G448" s="940" t="str">
        <f>'matrik MISI 2'!M88</f>
        <v>Program Pengelolaan Keragaman Budaya</v>
      </c>
      <c r="H448" s="164"/>
      <c r="I448" s="164"/>
      <c r="J448" s="929"/>
      <c r="K448" s="929"/>
      <c r="L448" s="929"/>
      <c r="M448" s="961">
        <f>'jangan di hapus 1'!K888</f>
        <v>397750000</v>
      </c>
      <c r="N448" s="961"/>
      <c r="O448" s="961">
        <f>'jangan di hapus 1'!M888</f>
        <v>386062000</v>
      </c>
      <c r="P448" s="961"/>
      <c r="Q448" s="961">
        <f>'jangan di hapus 1'!O888</f>
        <v>547000000</v>
      </c>
      <c r="R448" s="961"/>
      <c r="S448" s="961">
        <f>'jangan di hapus 1'!Q888</f>
        <v>665000000</v>
      </c>
      <c r="T448" s="961"/>
      <c r="U448" s="961">
        <f>'jangan di hapus 1'!S888</f>
        <v>572000000</v>
      </c>
      <c r="V448" s="929"/>
      <c r="W448" s="961">
        <f>SUM(M448:U448)</f>
        <v>2567812000</v>
      </c>
      <c r="X448" s="929"/>
      <c r="Y448" s="565"/>
      <c r="Z448" s="565"/>
    </row>
    <row r="449" spans="2:26" ht="75">
      <c r="B449" s="940"/>
      <c r="C449" s="941"/>
      <c r="D449" s="939"/>
      <c r="E449" s="939"/>
      <c r="F449" s="939"/>
      <c r="G449" s="939"/>
      <c r="H449" s="164" t="str">
        <f>'matrik MISI 2'!N88</f>
        <v>Cakupan Kajian Seni</v>
      </c>
      <c r="I449" s="164" t="str">
        <f>'matrik MISI 2'!O88</f>
        <v>%</v>
      </c>
      <c r="J449" s="929">
        <f>'matrik MISI 2'!P88</f>
        <v>6.6</v>
      </c>
      <c r="K449" s="929">
        <f>'matrik MISI 2'!Q88</f>
        <v>13.3</v>
      </c>
      <c r="L449" s="929">
        <f>'matrik MISI 2'!R88</f>
        <v>20</v>
      </c>
      <c r="M449" s="961"/>
      <c r="N449" s="929">
        <f>'matrik MISI 2'!S88</f>
        <v>26.6</v>
      </c>
      <c r="O449" s="929"/>
      <c r="P449" s="929">
        <f>'matrik MISI 2'!T88</f>
        <v>26.6</v>
      </c>
      <c r="Q449" s="929"/>
      <c r="R449" s="929">
        <f>'matrik MISI 2'!U88</f>
        <v>33.299999999999997</v>
      </c>
      <c r="S449" s="929"/>
      <c r="T449" s="929">
        <f>'matrik MISI 2'!V88</f>
        <v>33.299999999999997</v>
      </c>
      <c r="U449" s="929"/>
      <c r="V449" s="929">
        <f>'matrik MISI 2'!W88</f>
        <v>33.299999999999997</v>
      </c>
      <c r="W449" s="929"/>
      <c r="X449" s="929" t="str">
        <f>'matrik MISI 2'!X88</f>
        <v>Dinbudparpora</v>
      </c>
      <c r="Y449" s="565" t="str">
        <f>'matrik MISI 2'!Y88</f>
        <v>Jumlah kajian kesenian yang dilaksanakan dibagi 15 kali 100</v>
      </c>
      <c r="Z449" s="565"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50" spans="2:26" ht="30">
      <c r="B450" s="940"/>
      <c r="C450" s="941"/>
      <c r="D450" s="940"/>
      <c r="E450" s="940"/>
      <c r="F450" s="940"/>
      <c r="G450" s="940"/>
      <c r="H450" s="164" t="str">
        <f>'matrik MISI 2'!N89</f>
        <v xml:space="preserve">Cakupan Fasilitas Seni </v>
      </c>
      <c r="I450" s="164" t="str">
        <f>'matrik MISI 2'!O89</f>
        <v>%</v>
      </c>
      <c r="J450" s="929">
        <f>'matrik MISI 2'!P89</f>
        <v>42.8</v>
      </c>
      <c r="K450" s="929">
        <f>'matrik MISI 2'!Q89</f>
        <v>42.8</v>
      </c>
      <c r="L450" s="929">
        <f>'matrik MISI 2'!R89</f>
        <v>57.1</v>
      </c>
      <c r="M450" s="961"/>
      <c r="N450" s="929">
        <f>'matrik MISI 2'!S89</f>
        <v>57.1</v>
      </c>
      <c r="O450" s="929"/>
      <c r="P450" s="929">
        <f>'matrik MISI 2'!T89</f>
        <v>71.400000000000006</v>
      </c>
      <c r="Q450" s="929"/>
      <c r="R450" s="929">
        <f>'matrik MISI 2'!U89</f>
        <v>71.400000000000006</v>
      </c>
      <c r="S450" s="929"/>
      <c r="T450" s="929">
        <f>'matrik MISI 2'!V89</f>
        <v>85.7</v>
      </c>
      <c r="U450" s="929"/>
      <c r="V450" s="929">
        <f>'matrik MISI 2'!W89</f>
        <v>85.7</v>
      </c>
      <c r="W450" s="929"/>
      <c r="X450" s="929" t="str">
        <f>'matrik MISI 2'!X89</f>
        <v>Dinbudparpora</v>
      </c>
      <c r="Y450" s="565" t="str">
        <f>'matrik MISI 2'!Y89</f>
        <v>Jumlah fasilitasi kesenian yang dilaksanakan dibagi 7 kali 100</v>
      </c>
      <c r="Z450" s="565" t="str">
        <f>'matrik MISI 2'!Z89</f>
        <v>Jenis fasilitasi kesenian meliputi penyukuhan, pemberian bantuan, bimbingan organisasi, kaderisasi, promosi, penerbitan dan kritik seni</v>
      </c>
    </row>
    <row r="451" spans="2:26">
      <c r="B451" s="940"/>
      <c r="C451" s="941"/>
      <c r="D451" s="940"/>
      <c r="E451" s="940"/>
      <c r="F451" s="940"/>
      <c r="G451" s="940"/>
      <c r="H451" s="164" t="str">
        <f>'matrik MISI 2'!N90</f>
        <v xml:space="preserve">Cakupan Gelar Seni </v>
      </c>
      <c r="I451" s="164" t="str">
        <f>'matrik MISI 2'!O90</f>
        <v>%</v>
      </c>
      <c r="J451" s="929">
        <f>'matrik MISI 2'!P90</f>
        <v>50</v>
      </c>
      <c r="K451" s="929">
        <f>'matrik MISI 2'!Q90</f>
        <v>50</v>
      </c>
      <c r="L451" s="929">
        <f>'matrik MISI 2'!R90</f>
        <v>50</v>
      </c>
      <c r="M451" s="961"/>
      <c r="N451" s="929">
        <f>'matrik MISI 2'!S90</f>
        <v>75</v>
      </c>
      <c r="O451" s="929"/>
      <c r="P451" s="929">
        <f>'matrik MISI 2'!T90</f>
        <v>75</v>
      </c>
      <c r="Q451" s="929"/>
      <c r="R451" s="929">
        <f>'matrik MISI 2'!U90</f>
        <v>100</v>
      </c>
      <c r="S451" s="929"/>
      <c r="T451" s="929">
        <f>'matrik MISI 2'!V90</f>
        <v>100</v>
      </c>
      <c r="U451" s="929"/>
      <c r="V451" s="929">
        <f>'matrik MISI 2'!W90</f>
        <v>100</v>
      </c>
      <c r="W451" s="929"/>
      <c r="X451" s="929" t="str">
        <f>'matrik MISI 2'!X90</f>
        <v>Dinbudparpora</v>
      </c>
      <c r="Y451" s="565" t="str">
        <f>'matrik MISI 2'!Y90</f>
        <v>Jumlah gelar seni yang dilaksanakan dibagi 4 kali 100</v>
      </c>
      <c r="Z451" s="565" t="str">
        <f>'matrik MISI 2'!Z90</f>
        <v>Jenis gelar seni meliputi pergelaran, pameran, festival, lomba</v>
      </c>
    </row>
    <row r="452" spans="2:26">
      <c r="B452" s="940"/>
      <c r="C452" s="941"/>
      <c r="D452" s="940"/>
      <c r="E452" s="940"/>
      <c r="F452" s="940"/>
      <c r="G452" s="940"/>
      <c r="H452" s="164" t="str">
        <f>'matrik MISI 2'!N91</f>
        <v xml:space="preserve">Cakupan Misi Kesenian </v>
      </c>
      <c r="I452" s="164" t="str">
        <f>'matrik MISI 2'!O91</f>
        <v>%</v>
      </c>
      <c r="J452" s="929">
        <f>'matrik MISI 2'!P91</f>
        <v>60</v>
      </c>
      <c r="K452" s="929">
        <f>'matrik MISI 2'!Q91</f>
        <v>65</v>
      </c>
      <c r="L452" s="929">
        <f>'matrik MISI 2'!R91</f>
        <v>75</v>
      </c>
      <c r="M452" s="961"/>
      <c r="N452" s="929">
        <f>'matrik MISI 2'!S91</f>
        <v>80</v>
      </c>
      <c r="O452" s="929"/>
      <c r="P452" s="929">
        <f>'matrik MISI 2'!T91</f>
        <v>85</v>
      </c>
      <c r="Q452" s="929"/>
      <c r="R452" s="929">
        <f>'matrik MISI 2'!U91</f>
        <v>90</v>
      </c>
      <c r="S452" s="929"/>
      <c r="T452" s="929">
        <f>'matrik MISI 2'!V91</f>
        <v>95</v>
      </c>
      <c r="U452" s="929"/>
      <c r="V452" s="929">
        <f>'matrik MISI 2'!W91</f>
        <v>95</v>
      </c>
      <c r="W452" s="929"/>
      <c r="X452" s="929" t="str">
        <f>'matrik MISI 2'!X91</f>
        <v>Dinbudparpora</v>
      </c>
      <c r="Y452" s="565" t="str">
        <f>'matrik MISI 2'!Y91</f>
        <v>Jumlah misi kesenian yang dilaksanakan</v>
      </c>
      <c r="Z452" s="565">
        <f>'matrik MISI 2'!Z91</f>
        <v>0</v>
      </c>
    </row>
    <row r="453" spans="2:26" ht="45">
      <c r="B453" s="940"/>
      <c r="C453" s="941"/>
      <c r="D453" s="940"/>
      <c r="E453" s="940"/>
      <c r="F453" s="940"/>
      <c r="G453" s="940"/>
      <c r="H453" s="164" t="str">
        <f>'matrik MISI 2'!N92</f>
        <v>Cakupan Sumber Daya Manusia Kesenian</v>
      </c>
      <c r="I453" s="164" t="str">
        <f>'matrik MISI 2'!O92</f>
        <v>%</v>
      </c>
      <c r="J453" s="929">
        <f>'matrik MISI 2'!P92</f>
        <v>50</v>
      </c>
      <c r="K453" s="929">
        <f>'matrik MISI 2'!Q92</f>
        <v>50</v>
      </c>
      <c r="L453" s="929">
        <f>'matrik MISI 2'!R92</f>
        <v>50</v>
      </c>
      <c r="M453" s="961"/>
      <c r="N453" s="929">
        <f>'matrik MISI 2'!S92</f>
        <v>62.5</v>
      </c>
      <c r="O453" s="929"/>
      <c r="P453" s="929">
        <f>'matrik MISI 2'!T92</f>
        <v>75</v>
      </c>
      <c r="Q453" s="929"/>
      <c r="R453" s="929">
        <f>'matrik MISI 2'!U92</f>
        <v>75</v>
      </c>
      <c r="S453" s="929"/>
      <c r="T453" s="929">
        <f>'matrik MISI 2'!V92</f>
        <v>87.5</v>
      </c>
      <c r="U453" s="929"/>
      <c r="V453" s="929">
        <f>'matrik MISI 2'!W92</f>
        <v>87.5</v>
      </c>
      <c r="W453" s="929"/>
      <c r="X453" s="929" t="str">
        <f>'matrik MISI 2'!X92</f>
        <v>Dinbudparpora</v>
      </c>
      <c r="Y453" s="565" t="str">
        <f>'matrik MISI 2'!Y92</f>
        <v>Jumlah jenis sumber daya manusia (SDM) kesenian yang ada dibagi 8 kali 100</v>
      </c>
      <c r="Z453" s="565" t="str">
        <f>'matrik MISI 2'!Z92</f>
        <v>Kualifikasi Sumber Daya Manusia Kesenian meliputi sarjana seni, pakar seni, pamong budaya, seniman/budayawan, kritikus, insan media massa, pengusaha, penyandang dana</v>
      </c>
    </row>
    <row r="454" spans="2:26" ht="30">
      <c r="B454" s="940"/>
      <c r="C454" s="941"/>
      <c r="D454" s="940"/>
      <c r="E454" s="940"/>
      <c r="F454" s="940"/>
      <c r="G454" s="940"/>
      <c r="H454" s="164" t="str">
        <f>'matrik MISI 2'!N93</f>
        <v>Cakupan Tempat Kesenian</v>
      </c>
      <c r="I454" s="164" t="str">
        <f>'matrik MISI 2'!O93</f>
        <v>%</v>
      </c>
      <c r="J454" s="929">
        <f>'matrik MISI 2'!P93</f>
        <v>50</v>
      </c>
      <c r="K454" s="929">
        <f>'matrik MISI 2'!Q93</f>
        <v>50</v>
      </c>
      <c r="L454" s="929">
        <f>'matrik MISI 2'!R93</f>
        <v>50</v>
      </c>
      <c r="M454" s="961"/>
      <c r="N454" s="929">
        <f>'matrik MISI 2'!S93</f>
        <v>50</v>
      </c>
      <c r="O454" s="929"/>
      <c r="P454" s="929">
        <f>'matrik MISI 2'!T93</f>
        <v>50</v>
      </c>
      <c r="Q454" s="929"/>
      <c r="R454" s="929">
        <f>'matrik MISI 2'!U93</f>
        <v>50</v>
      </c>
      <c r="S454" s="929"/>
      <c r="T454" s="929">
        <f>'matrik MISI 2'!V93</f>
        <v>50</v>
      </c>
      <c r="U454" s="929"/>
      <c r="V454" s="929">
        <f>'matrik MISI 2'!W93</f>
        <v>50</v>
      </c>
      <c r="W454" s="929"/>
      <c r="X454" s="929" t="str">
        <f>'matrik MISI 2'!X93</f>
        <v>Dinbudparpora</v>
      </c>
      <c r="Y454" s="565" t="str">
        <f>'matrik MISI 2'!Y93</f>
        <v>Jumlah tempat kesenian yang ada dibagi 2 kali 100</v>
      </c>
      <c r="Z454" s="565" t="str">
        <f>'matrik MISI 2'!Z93</f>
        <v>Tempat kesenian meliputi tempat untuk menggelar seni pertunjukan/ pameran, dan tempat memasarkan karya seni</v>
      </c>
    </row>
    <row r="455" spans="2:26" ht="30">
      <c r="B455" s="950"/>
      <c r="C455" s="951"/>
      <c r="D455" s="950"/>
      <c r="E455" s="950"/>
      <c r="F455" s="950"/>
      <c r="G455" s="950"/>
      <c r="H455" s="164" t="str">
        <f>'matrik MISI 2'!N94</f>
        <v>Cakupan Organisasi Kesenian</v>
      </c>
      <c r="I455" s="164" t="str">
        <f>'matrik MISI 2'!O94</f>
        <v>%</v>
      </c>
      <c r="J455" s="929">
        <f>'matrik MISI 2'!P94</f>
        <v>100</v>
      </c>
      <c r="K455" s="929">
        <f>'matrik MISI 2'!Q94</f>
        <v>100</v>
      </c>
      <c r="L455" s="929">
        <f>'matrik MISI 2'!R94</f>
        <v>100</v>
      </c>
      <c r="M455" s="961"/>
      <c r="N455" s="929">
        <f>'matrik MISI 2'!S94</f>
        <v>100</v>
      </c>
      <c r="O455" s="929"/>
      <c r="P455" s="929">
        <f>'matrik MISI 2'!T94</f>
        <v>100</v>
      </c>
      <c r="Q455" s="929"/>
      <c r="R455" s="929">
        <f>'matrik MISI 2'!U94</f>
        <v>100</v>
      </c>
      <c r="S455" s="929"/>
      <c r="T455" s="929">
        <f>'matrik MISI 2'!V94</f>
        <v>100</v>
      </c>
      <c r="U455" s="929"/>
      <c r="V455" s="929">
        <f>'matrik MISI 2'!W94</f>
        <v>100</v>
      </c>
      <c r="W455" s="929"/>
      <c r="X455" s="929" t="str">
        <f>'matrik MISI 2'!X94</f>
        <v>Dinbudparpora</v>
      </c>
      <c r="Y455" s="565" t="str">
        <f>'matrik MISI 2'!Y94</f>
        <v>Jumlah organisasi kesenian yang ada dibagi 2 kali 100</v>
      </c>
      <c r="Z455" s="565" t="str">
        <f>'matrik MISI 2'!Z94</f>
        <v>Organisasi Kesenian meliputi organisasi struktural yang menangani kesenian dan lembaga/dewan kesenian</v>
      </c>
    </row>
    <row r="456" spans="2:26" ht="45">
      <c r="B456" s="949">
        <v>18</v>
      </c>
      <c r="C456" s="948" t="str">
        <f>'matrik MISI 2'!B71</f>
        <v>PEMUDA DAN OLAH RAGA</v>
      </c>
      <c r="D456" s="949">
        <f>'matrik MISI 2'!J72</f>
        <v>1.18</v>
      </c>
      <c r="E456" s="949" t="str">
        <f>'matrik MISI 2'!K72</f>
        <v>xx</v>
      </c>
      <c r="F456" s="949">
        <f>'matrik MISI 2'!L72</f>
        <v>20</v>
      </c>
      <c r="G456" s="949" t="str">
        <f>'matrik MISI 2'!M72</f>
        <v>Program Pembinaan dan Pemasyarakatan Olahraga</v>
      </c>
      <c r="H456" s="164"/>
      <c r="I456" s="164"/>
      <c r="J456" s="929"/>
      <c r="K456" s="929"/>
      <c r="L456" s="929"/>
      <c r="M456" s="961">
        <f>'jangan di hapus 1'!K908</f>
        <v>284259000</v>
      </c>
      <c r="N456" s="961"/>
      <c r="O456" s="961">
        <f>'jangan di hapus 1'!M908</f>
        <v>649790000</v>
      </c>
      <c r="P456" s="961"/>
      <c r="Q456" s="961">
        <f>'jangan di hapus 1'!O908</f>
        <v>700000000</v>
      </c>
      <c r="R456" s="961"/>
      <c r="S456" s="961">
        <f>'jangan di hapus 1'!Q908</f>
        <v>805000000</v>
      </c>
      <c r="T456" s="961"/>
      <c r="U456" s="961">
        <f>'jangan di hapus 1'!S908</f>
        <v>830000000</v>
      </c>
      <c r="V456" s="929"/>
      <c r="W456" s="961">
        <f>SUM(M456:U456)</f>
        <v>3269049000</v>
      </c>
      <c r="X456" s="929"/>
    </row>
    <row r="457" spans="2:26" ht="45">
      <c r="B457" s="939"/>
      <c r="C457" s="939"/>
      <c r="D457" s="939"/>
      <c r="E457" s="939"/>
      <c r="F457" s="939"/>
      <c r="G457" s="939"/>
      <c r="H457" s="164" t="str">
        <f>'matrik MISI 2'!N72</f>
        <v>Besaran kegiatan kepemudaan</v>
      </c>
      <c r="I457" s="164" t="str">
        <f>'matrik MISI 2'!O72</f>
        <v>Kegiatan</v>
      </c>
      <c r="J457" s="929">
        <f>'matrik MISI 2'!P72</f>
        <v>9</v>
      </c>
      <c r="K457" s="929">
        <f>'matrik MISI 2'!Q72</f>
        <v>9</v>
      </c>
      <c r="L457" s="929">
        <f>'matrik MISI 2'!R72</f>
        <v>9</v>
      </c>
      <c r="M457" s="961"/>
      <c r="N457" s="929">
        <f>'matrik MISI 2'!S72</f>
        <v>10</v>
      </c>
      <c r="O457" s="929"/>
      <c r="P457" s="929">
        <f>'matrik MISI 2'!T72</f>
        <v>11</v>
      </c>
      <c r="Q457" s="929"/>
      <c r="R457" s="929">
        <f>'matrik MISI 2'!U72</f>
        <v>12</v>
      </c>
      <c r="S457" s="929"/>
      <c r="T457" s="929">
        <f>'matrik MISI 2'!V72</f>
        <v>13</v>
      </c>
      <c r="U457" s="929"/>
      <c r="V457" s="929">
        <f>'matrik MISI 2'!W72</f>
        <v>13</v>
      </c>
      <c r="W457" s="929"/>
      <c r="X457" s="929" t="str">
        <f>'matrik MISI 2'!X72</f>
        <v>Dinbudparpora</v>
      </c>
      <c r="Y457" s="565" t="str">
        <f>'matrik MISI 2'!Y72</f>
        <v>Jumlah kegiatan kepemudaan dalam satu tahun</v>
      </c>
      <c r="Z457" s="565" t="str">
        <f>'matrik MISI 2'!Z72</f>
        <v>Kegiatan kepemudaan adalah kegiatan atau event kepemudaan yang diselenggarakan dalam bentuk pertandingan, perlombaan dan upacara atau peristiwa sejenis</v>
      </c>
    </row>
    <row r="458" spans="2:26" ht="30">
      <c r="B458" s="940"/>
      <c r="C458" s="941"/>
      <c r="D458" s="940"/>
      <c r="E458" s="940"/>
      <c r="F458" s="940"/>
      <c r="G458" s="940"/>
      <c r="H458" s="164" t="str">
        <f>'matrik MISI 2'!N76</f>
        <v>Kegiatan olah raga</v>
      </c>
      <c r="I458" s="164" t="str">
        <f>'matrik MISI 2'!O76</f>
        <v>Kali</v>
      </c>
      <c r="J458" s="929">
        <f>'matrik MISI 2'!P76</f>
        <v>70</v>
      </c>
      <c r="K458" s="929">
        <f>'matrik MISI 2'!Q76</f>
        <v>80</v>
      </c>
      <c r="L458" s="929">
        <f>'matrik MISI 2'!R76</f>
        <v>80</v>
      </c>
      <c r="M458" s="961"/>
      <c r="N458" s="929">
        <f>'matrik MISI 2'!S76</f>
        <v>81</v>
      </c>
      <c r="O458" s="929"/>
      <c r="P458" s="929">
        <f>'matrik MISI 2'!T76</f>
        <v>80</v>
      </c>
      <c r="Q458" s="929"/>
      <c r="R458" s="929">
        <f>'matrik MISI 2'!U76</f>
        <v>82</v>
      </c>
      <c r="S458" s="929"/>
      <c r="T458" s="929">
        <f>'matrik MISI 2'!V76</f>
        <v>85</v>
      </c>
      <c r="U458" s="929"/>
      <c r="V458" s="929">
        <f>'matrik MISI 2'!W76</f>
        <v>85</v>
      </c>
      <c r="W458" s="929"/>
      <c r="X458" s="929" t="str">
        <f>'matrik MISI 2'!X76</f>
        <v>Dinbudparpora</v>
      </c>
      <c r="Y458" s="565" t="str">
        <f>'matrik MISI 2'!Y76</f>
        <v>Jumlah kegiatan olah raga yang diselenggarakan dalam satu tahun</v>
      </c>
      <c r="Z458" s="565" t="str">
        <f>'matrik MISI 2'!Z76</f>
        <v>Kegiatan olah raga adalah kegiatan atau event olah raga yang diselenggarakan baik oleh pemerintah, swasta dan masyarakat</v>
      </c>
    </row>
    <row r="459" spans="2:26" ht="30">
      <c r="B459" s="940"/>
      <c r="C459" s="941"/>
      <c r="D459" s="940"/>
      <c r="E459" s="940"/>
      <c r="F459" s="940"/>
      <c r="G459" s="940"/>
      <c r="H459" s="164" t="str">
        <f>'matrik MISI 2'!N77</f>
        <v>Besaran Prestasi Olahraga</v>
      </c>
      <c r="I459" s="164" t="str">
        <f>'matrik MISI 2'!O77</f>
        <v>Jumlah Medali</v>
      </c>
      <c r="J459" s="929">
        <f>'matrik MISI 2'!P77</f>
        <v>71</v>
      </c>
      <c r="K459" s="929">
        <f>'matrik MISI 2'!Q77</f>
        <v>65</v>
      </c>
      <c r="L459" s="929">
        <f>'matrik MISI 2'!R77</f>
        <v>70</v>
      </c>
      <c r="M459" s="961"/>
      <c r="N459" s="929">
        <f>'matrik MISI 2'!S77</f>
        <v>75</v>
      </c>
      <c r="O459" s="929"/>
      <c r="P459" s="929">
        <f>'matrik MISI 2'!T77</f>
        <v>80</v>
      </c>
      <c r="Q459" s="929"/>
      <c r="R459" s="929">
        <f>'matrik MISI 2'!U77</f>
        <v>85</v>
      </c>
      <c r="S459" s="929"/>
      <c r="T459" s="929">
        <f>'matrik MISI 2'!V77</f>
        <v>90</v>
      </c>
      <c r="U459" s="929"/>
      <c r="V459" s="929">
        <f>'matrik MISI 2'!W77</f>
        <v>90</v>
      </c>
      <c r="W459" s="929"/>
      <c r="X459" s="929" t="str">
        <f>'matrik MISI 2'!X77</f>
        <v>Dinbudparpora</v>
      </c>
      <c r="Y459" s="565" t="str">
        <f>'matrik MISI 2'!Y77</f>
        <v>Jumlah Medali yang diperoleh dalam jangka waktu 1 Tahun ( Juara I, II, III )</v>
      </c>
      <c r="Z459" s="565" t="str">
        <f>'matrik MISI 2'!Z77</f>
        <v>Tingkat Profinsi dan Nasional</v>
      </c>
    </row>
    <row r="460" spans="2:26" ht="30">
      <c r="B460" s="940"/>
      <c r="C460" s="941"/>
      <c r="D460" s="940"/>
      <c r="E460" s="940"/>
      <c r="F460" s="940"/>
      <c r="G460" s="940"/>
      <c r="H460" s="164" t="str">
        <f>'matrik MISI 2'!N78</f>
        <v>Besaran Prestasi Kegiatan Kepemudaan</v>
      </c>
      <c r="I460" s="164" t="str">
        <f>'matrik MISI 2'!O78</f>
        <v>Jumlah Prestasi</v>
      </c>
      <c r="J460" s="929">
        <f>'matrik MISI 2'!P78</f>
        <v>4</v>
      </c>
      <c r="K460" s="929">
        <f>'matrik MISI 2'!Q78</f>
        <v>5</v>
      </c>
      <c r="L460" s="929">
        <f>'matrik MISI 2'!R78</f>
        <v>5</v>
      </c>
      <c r="M460" s="961"/>
      <c r="N460" s="929">
        <f>'matrik MISI 2'!S78</f>
        <v>6</v>
      </c>
      <c r="O460" s="929"/>
      <c r="P460" s="929">
        <f>'matrik MISI 2'!T78</f>
        <v>6</v>
      </c>
      <c r="Q460" s="929"/>
      <c r="R460" s="929">
        <f>'matrik MISI 2'!U78</f>
        <v>7</v>
      </c>
      <c r="S460" s="929"/>
      <c r="T460" s="929">
        <f>'matrik MISI 2'!V78</f>
        <v>7</v>
      </c>
      <c r="U460" s="929"/>
      <c r="V460" s="929">
        <f>'matrik MISI 2'!W78</f>
        <v>8</v>
      </c>
      <c r="W460" s="929"/>
      <c r="X460" s="929" t="str">
        <f>'matrik MISI 2'!X78</f>
        <v>Dinbudparpora</v>
      </c>
      <c r="Y460" s="565" t="str">
        <f>'matrik MISI 2'!Y78</f>
        <v>Jumlah Kejuaraan yang di peroleh pada Kegiatan Kepemudaanyang dilombakan</v>
      </c>
      <c r="Z460" s="565" t="str">
        <f>'matrik MISI 2'!Z78</f>
        <v xml:space="preserve">ada 9 Kegiatan Kejuaraan </v>
      </c>
    </row>
    <row r="461" spans="2:26" ht="45">
      <c r="B461" s="940"/>
      <c r="C461" s="941"/>
      <c r="D461" s="940">
        <f>'matrik MISI 2'!J74</f>
        <v>1.18</v>
      </c>
      <c r="E461" s="940" t="str">
        <f>'matrik MISI 2'!K74</f>
        <v>xx</v>
      </c>
      <c r="F461" s="940">
        <f>'matrik MISI 2'!L74</f>
        <v>21</v>
      </c>
      <c r="G461" s="940" t="str">
        <f>'matrik MISI 2'!M74</f>
        <v>Program Peningkatan Sarana dan Prasarana Olahraga</v>
      </c>
      <c r="H461" s="164"/>
      <c r="I461" s="164"/>
      <c r="J461" s="929"/>
      <c r="K461" s="929"/>
      <c r="L461" s="929"/>
      <c r="M461" s="961">
        <f>'jangan di hapus 1'!K921</f>
        <v>20000000</v>
      </c>
      <c r="N461" s="961"/>
      <c r="O461" s="961">
        <f>'jangan di hapus 1'!M921</f>
        <v>24762500</v>
      </c>
      <c r="P461" s="961"/>
      <c r="Q461" s="961">
        <f>'jangan di hapus 1'!O921</f>
        <v>75000000</v>
      </c>
      <c r="R461" s="961"/>
      <c r="S461" s="961">
        <f>'jangan di hapus 1'!Q921</f>
        <v>80000000</v>
      </c>
      <c r="T461" s="961"/>
      <c r="U461" s="961">
        <f>'jangan di hapus 1'!S921</f>
        <v>85000000</v>
      </c>
      <c r="V461" s="929"/>
      <c r="W461" s="961">
        <f>SUM(M461:U461)</f>
        <v>284762500</v>
      </c>
      <c r="X461" s="929"/>
      <c r="Y461" s="565"/>
      <c r="Z461" s="565"/>
    </row>
    <row r="462" spans="2:26" ht="30">
      <c r="B462" s="950"/>
      <c r="C462" s="951"/>
      <c r="D462" s="942"/>
      <c r="E462" s="942"/>
      <c r="F462" s="942"/>
      <c r="G462" s="942"/>
      <c r="H462" s="164" t="str">
        <f>'matrik MISI 2'!N74</f>
        <v>Cakupan Bantuan Prasarana Olah Raga Bagi Klub Olah Raga</v>
      </c>
      <c r="I462" s="164" t="str">
        <f>'matrik MISI 2'!O74</f>
        <v>%</v>
      </c>
      <c r="J462" s="929">
        <f>'matrik MISI 2'!P74</f>
        <v>3.992015968063872</v>
      </c>
      <c r="K462" s="929">
        <f>'matrik MISI 2'!Q74</f>
        <v>5.4890219560878242</v>
      </c>
      <c r="L462" s="929">
        <f>'matrik MISI 2'!R74</f>
        <v>7.4850299401197598</v>
      </c>
      <c r="M462" s="961"/>
      <c r="N462" s="929">
        <f>'matrik MISI 2'!S74</f>
        <v>9.9800399201596814</v>
      </c>
      <c r="O462" s="929"/>
      <c r="P462" s="929">
        <f>'matrik MISI 2'!T74</f>
        <v>12.974051896207584</v>
      </c>
      <c r="Q462" s="929"/>
      <c r="R462" s="929">
        <f>'matrik MISI 2'!U74</f>
        <v>16.467065868263472</v>
      </c>
      <c r="S462" s="929"/>
      <c r="T462" s="929">
        <f>'matrik MISI 2'!V74</f>
        <v>20.459081836327346</v>
      </c>
      <c r="U462" s="929"/>
      <c r="V462" s="929">
        <f>'matrik MISI 2'!W74</f>
        <v>20.459081836327346</v>
      </c>
      <c r="W462" s="929"/>
      <c r="X462" s="929" t="str">
        <f>'matrik MISI 2'!X74</f>
        <v>Dinbudparpora</v>
      </c>
      <c r="Y462" s="565" t="str">
        <f>'matrik MISI 2'!Y74</f>
        <v>Jumlah Klub Olah Raga Yang Telah Dibantu dibagi Jumlah Klub Olah raga yang ada x 100 %</v>
      </c>
      <c r="Z462" s="565" t="str">
        <f>'matrik MISI 2'!Z74</f>
        <v>Jumlah Klub Olah Raga : 2004</v>
      </c>
    </row>
    <row r="463" spans="2:26" ht="30">
      <c r="B463" s="949">
        <v>19</v>
      </c>
      <c r="C463" s="948" t="str">
        <f>'matrik MISI 2'!B99</f>
        <v>KESATUAN BANGSA DAN POLITIK DALAM NEGERI</v>
      </c>
      <c r="D463" s="949">
        <f>'matrik MISI 2'!J100</f>
        <v>1.19</v>
      </c>
      <c r="E463" s="949" t="str">
        <f>'matrik MISI 2'!K100</f>
        <v>xx</v>
      </c>
      <c r="F463" s="949">
        <f>'matrik MISI 2'!L100</f>
        <v>21</v>
      </c>
      <c r="G463" s="949" t="str">
        <f>'matrik MISI 2'!M100</f>
        <v>Program pendidikan politik masyarakat</v>
      </c>
      <c r="H463" s="164"/>
      <c r="I463" s="164"/>
      <c r="J463" s="929"/>
      <c r="K463" s="929"/>
      <c r="L463" s="929"/>
      <c r="M463" s="961">
        <f>'jangan di hapus 1'!K963</f>
        <v>1753080000</v>
      </c>
      <c r="N463" s="961"/>
      <c r="O463" s="961">
        <f>'jangan di hapus 1'!M963</f>
        <v>200000000</v>
      </c>
      <c r="P463" s="961"/>
      <c r="Q463" s="961">
        <f>'jangan di hapus 1'!O963</f>
        <v>205000000</v>
      </c>
      <c r="R463" s="961"/>
      <c r="S463" s="961">
        <f>'jangan di hapus 1'!Q963</f>
        <v>425000000</v>
      </c>
      <c r="T463" s="961"/>
      <c r="U463" s="961">
        <f>'jangan di hapus 1'!S963</f>
        <v>570000000</v>
      </c>
      <c r="V463" s="929"/>
      <c r="W463" s="961">
        <f>SUM(M463:U463)</f>
        <v>3153080000</v>
      </c>
      <c r="X463" s="929"/>
      <c r="Y463" s="565"/>
      <c r="Z463" s="565"/>
    </row>
    <row r="464" spans="2:26" ht="30">
      <c r="B464" s="939"/>
      <c r="C464" s="939"/>
      <c r="D464" s="939"/>
      <c r="E464" s="939"/>
      <c r="F464" s="939"/>
      <c r="G464" s="939"/>
      <c r="H464" s="164" t="str">
        <f>'matrik MISI 2'!N100</f>
        <v>Persentase Peserta Kegiatan Politik Masyarakat</v>
      </c>
      <c r="I464" s="164" t="str">
        <f>'matrik MISI 2'!O100</f>
        <v>%</v>
      </c>
      <c r="J464" s="929">
        <f>'matrik MISI 2'!P100</f>
        <v>100</v>
      </c>
      <c r="K464" s="929">
        <f>'matrik MISI 2'!Q100</f>
        <v>100</v>
      </c>
      <c r="L464" s="929">
        <f>'matrik MISI 2'!R100</f>
        <v>100</v>
      </c>
      <c r="M464" s="961"/>
      <c r="N464" s="929">
        <f>'matrik MISI 2'!S100</f>
        <v>100</v>
      </c>
      <c r="O464" s="929"/>
      <c r="P464" s="929">
        <f>'matrik MISI 2'!T100</f>
        <v>100</v>
      </c>
      <c r="Q464" s="929"/>
      <c r="R464" s="929">
        <f>'matrik MISI 2'!U100</f>
        <v>100</v>
      </c>
      <c r="S464" s="929"/>
      <c r="T464" s="929">
        <f>'matrik MISI 2'!V100</f>
        <v>100</v>
      </c>
      <c r="U464" s="929"/>
      <c r="V464" s="929">
        <f>'matrik MISI 2'!W100</f>
        <v>100</v>
      </c>
      <c r="W464" s="929"/>
      <c r="X464" s="929" t="str">
        <f>'matrik MISI 2'!X100</f>
        <v>Kantor KESBANG</v>
      </c>
      <c r="Y464" s="565" t="str">
        <f>'matrik MISI 2'!Y100</f>
        <v>Jumlah peserta kegiatan politik masyarakat dibagi jumlah undangan kegiatan politik masyarakat x 100</v>
      </c>
      <c r="Z464" s="565" t="str">
        <f>'matrik MISI 2'!Z100</f>
        <v>Maksud Kegiatan Politik ??? (ditanyakan Kesbang)</v>
      </c>
    </row>
    <row r="465" spans="2:26" ht="30">
      <c r="B465" s="940"/>
      <c r="C465" s="941"/>
      <c r="D465" s="940"/>
      <c r="E465" s="940"/>
      <c r="F465" s="940"/>
      <c r="G465" s="940"/>
      <c r="H465" s="164" t="str">
        <f>'matrik MISI 2'!N102</f>
        <v xml:space="preserve">Persentase Partisipasi Pemilih </v>
      </c>
      <c r="I465" s="164" t="str">
        <f>'matrik MISI 2'!O102</f>
        <v>%</v>
      </c>
      <c r="J465" s="929" t="str">
        <f>'matrik MISI 2'!P102</f>
        <v xml:space="preserve"> - </v>
      </c>
      <c r="K465" s="929">
        <f>'matrik MISI 2'!Q102</f>
        <v>86</v>
      </c>
      <c r="L465" s="929" t="str">
        <f>'matrik MISI 2'!R102</f>
        <v xml:space="preserve"> - </v>
      </c>
      <c r="M465" s="961"/>
      <c r="N465" s="929" t="str">
        <f>'matrik MISI 2'!S102</f>
        <v xml:space="preserve"> - </v>
      </c>
      <c r="O465" s="929"/>
      <c r="P465" s="929" t="str">
        <f>'matrik MISI 2'!T102</f>
        <v xml:space="preserve"> - </v>
      </c>
      <c r="Q465" s="929"/>
      <c r="R465" s="929" t="str">
        <f>'matrik MISI 2'!U102</f>
        <v xml:space="preserve"> - </v>
      </c>
      <c r="S465" s="929"/>
      <c r="T465" s="929">
        <f>'matrik MISI 2'!V102</f>
        <v>100</v>
      </c>
      <c r="U465" s="929"/>
      <c r="V465" s="929">
        <f>'matrik MISI 2'!W102</f>
        <v>100</v>
      </c>
      <c r="W465" s="929"/>
      <c r="X465" s="929" t="str">
        <f>'matrik MISI 2'!X102</f>
        <v>Kantor KESBANG</v>
      </c>
      <c r="Y465" s="565" t="str">
        <f>'matrik MISI 2'!Y102</f>
        <v>Jumlah pemilih yang menggunakan hak pilih dibagi jumlah pemilih yang terdaftar kali 100</v>
      </c>
      <c r="Z465" s="565">
        <f>'matrik MISI 2'!Z102</f>
        <v>0</v>
      </c>
    </row>
    <row r="466" spans="2:26" ht="45">
      <c r="B466" s="940"/>
      <c r="C466" s="941"/>
      <c r="D466" s="940">
        <f>'matrik MISI 2'!J101</f>
        <v>1.19</v>
      </c>
      <c r="E466" s="940" t="str">
        <f>'matrik MISI 2'!K101</f>
        <v>xx</v>
      </c>
      <c r="F466" s="940">
        <f>'matrik MISI 2'!L101</f>
        <v>20</v>
      </c>
      <c r="G466" s="940" t="str">
        <f>'matrik MISI 2'!M101</f>
        <v>Program peningkatan pemberantasan penyakit masyarakat</v>
      </c>
      <c r="H466" s="164"/>
      <c r="I466" s="164"/>
      <c r="J466" s="929"/>
      <c r="K466" s="929"/>
      <c r="L466" s="929"/>
      <c r="M466" s="961">
        <f>'jangan di hapus 1'!K959</f>
        <v>155445000</v>
      </c>
      <c r="N466" s="961">
        <f>'jangan di hapus 1'!L959</f>
        <v>0</v>
      </c>
      <c r="O466" s="961">
        <f>'jangan di hapus 1'!M959</f>
        <v>195000000</v>
      </c>
      <c r="P466" s="961">
        <f>'jangan di hapus 1'!N959</f>
        <v>0</v>
      </c>
      <c r="Q466" s="961">
        <f>'jangan di hapus 1'!O959</f>
        <v>192000000</v>
      </c>
      <c r="R466" s="961">
        <f>'jangan di hapus 1'!P959</f>
        <v>0</v>
      </c>
      <c r="S466" s="961">
        <f>'jangan di hapus 1'!Q959</f>
        <v>192000000</v>
      </c>
      <c r="T466" s="961">
        <f>'jangan di hapus 1'!R959</f>
        <v>0</v>
      </c>
      <c r="U466" s="961">
        <f>'jangan di hapus 1'!S959</f>
        <v>230000000</v>
      </c>
      <c r="V466" s="929"/>
      <c r="W466" s="961">
        <f>SUM(M466:U466)</f>
        <v>964445000</v>
      </c>
      <c r="X466" s="929"/>
      <c r="Y466" s="565"/>
      <c r="Z466" s="565"/>
    </row>
    <row r="467" spans="2:26" ht="30">
      <c r="B467" s="940"/>
      <c r="C467" s="941"/>
      <c r="D467" s="939"/>
      <c r="E467" s="939"/>
      <c r="F467" s="939"/>
      <c r="G467" s="939"/>
      <c r="H467" s="164" t="str">
        <f>'matrik MISI 2'!N101</f>
        <v>Persentase Kasus Pekat yang Tertangani</v>
      </c>
      <c r="I467" s="164" t="str">
        <f>'matrik MISI 2'!O101</f>
        <v>%</v>
      </c>
      <c r="J467" s="929">
        <f>'matrik MISI 2'!P101</f>
        <v>100</v>
      </c>
      <c r="K467" s="929">
        <f>'matrik MISI 2'!Q101</f>
        <v>100</v>
      </c>
      <c r="L467" s="929">
        <f>'matrik MISI 2'!R101</f>
        <v>100</v>
      </c>
      <c r="M467" s="961"/>
      <c r="N467" s="929">
        <f>'matrik MISI 2'!S101</f>
        <v>100</v>
      </c>
      <c r="O467" s="929"/>
      <c r="P467" s="929">
        <f>'matrik MISI 2'!T101</f>
        <v>100</v>
      </c>
      <c r="Q467" s="929"/>
      <c r="R467" s="929">
        <f>'matrik MISI 2'!U101</f>
        <v>100</v>
      </c>
      <c r="S467" s="929"/>
      <c r="T467" s="929">
        <f>'matrik MISI 2'!V101</f>
        <v>100</v>
      </c>
      <c r="U467" s="929"/>
      <c r="V467" s="929">
        <f>'matrik MISI 2'!W101</f>
        <v>100</v>
      </c>
      <c r="W467" s="929"/>
      <c r="X467" s="929" t="str">
        <f>'matrik MISI 2'!X101</f>
        <v>Kantor KESBANG</v>
      </c>
      <c r="Y467" s="565" t="str">
        <f>'matrik MISI 2'!Y101</f>
        <v>Jumlah kasus pekat yang tertangani dibagi jumlah kasus pekat yang dilaporkan kali 100</v>
      </c>
      <c r="Z467" s="565">
        <f>'matrik MISI 2'!Z101</f>
        <v>0</v>
      </c>
    </row>
    <row r="468" spans="2:26" ht="30">
      <c r="B468" s="940"/>
      <c r="C468" s="941"/>
      <c r="D468" s="940">
        <f>'matrik MISI 2'!J103</f>
        <v>1.19</v>
      </c>
      <c r="E468" s="940" t="str">
        <f>'matrik MISI 2'!K103</f>
        <v>xx</v>
      </c>
      <c r="F468" s="940">
        <f>'matrik MISI 2'!L103</f>
        <v>17</v>
      </c>
      <c r="G468" s="940" t="str">
        <f>'matrik MISI 2'!M103</f>
        <v>Program pengembangan wawasan kebangsaan</v>
      </c>
      <c r="H468" s="164"/>
      <c r="I468" s="164"/>
      <c r="J468" s="929"/>
      <c r="K468" s="929"/>
      <c r="L468" s="929"/>
      <c r="M468" s="961">
        <f>'jangan di hapus 1'!K941</f>
        <v>258000000</v>
      </c>
      <c r="N468" s="961"/>
      <c r="O468" s="961">
        <f>'jangan di hapus 1'!M941</f>
        <v>340000000</v>
      </c>
      <c r="P468" s="961"/>
      <c r="Q468" s="961">
        <f>'jangan di hapus 1'!O941</f>
        <v>367500000</v>
      </c>
      <c r="R468" s="961"/>
      <c r="S468" s="961">
        <f>'jangan di hapus 1'!Q941</f>
        <v>385000000</v>
      </c>
      <c r="T468" s="961"/>
      <c r="U468" s="961">
        <f>'jangan di hapus 1'!S941</f>
        <v>412500000</v>
      </c>
      <c r="V468" s="929"/>
      <c r="W468" s="961">
        <f>SUM(M468:U468)</f>
        <v>1763000000</v>
      </c>
      <c r="X468" s="929"/>
      <c r="Y468" s="565"/>
      <c r="Z468" s="565"/>
    </row>
    <row r="469" spans="2:26">
      <c r="B469" s="940"/>
      <c r="C469" s="941"/>
      <c r="D469" s="939"/>
      <c r="E469" s="939"/>
      <c r="F469" s="939"/>
      <c r="G469" s="939"/>
      <c r="H469" s="164" t="str">
        <f>'matrik MISI 2'!N103</f>
        <v>Penurunan Kasus SARA</v>
      </c>
      <c r="I469" s="164" t="str">
        <f>'matrik MISI 2'!O103</f>
        <v>%</v>
      </c>
      <c r="J469" s="929">
        <f>'matrik MISI 2'!P103</f>
        <v>0</v>
      </c>
      <c r="K469" s="929">
        <f>'matrik MISI 2'!Q103</f>
        <v>100</v>
      </c>
      <c r="L469" s="929">
        <f>'matrik MISI 2'!R103</f>
        <v>100</v>
      </c>
      <c r="M469" s="961"/>
      <c r="N469" s="929">
        <f>'matrik MISI 2'!S103</f>
        <v>100</v>
      </c>
      <c r="O469" s="929"/>
      <c r="P469" s="929">
        <f>'matrik MISI 2'!T103</f>
        <v>100</v>
      </c>
      <c r="Q469" s="929"/>
      <c r="R469" s="929">
        <f>'matrik MISI 2'!U103</f>
        <v>100</v>
      </c>
      <c r="S469" s="929"/>
      <c r="T469" s="929">
        <f>'matrik MISI 2'!V103</f>
        <v>100</v>
      </c>
      <c r="U469" s="929"/>
      <c r="V469" s="929">
        <f>'matrik MISI 2'!W103</f>
        <v>100</v>
      </c>
      <c r="W469" s="929"/>
      <c r="X469" s="929" t="str">
        <f>'matrik MISI 2'!X103</f>
        <v>Kantor KESBANG</v>
      </c>
      <c r="Y469" s="565" t="str">
        <f>'matrik MISI 2'!Y103</f>
        <v>Jumlah kasus Suku Agama Ras Antar Golongan (SARA) yang ada</v>
      </c>
      <c r="Z469" s="565">
        <f>'matrik MISI 2'!Z103</f>
        <v>0</v>
      </c>
    </row>
    <row r="470" spans="2:26" ht="60">
      <c r="B470" s="940"/>
      <c r="C470" s="941"/>
      <c r="D470" s="940">
        <f>'matrik MISI 2'!J104</f>
        <v>1.19</v>
      </c>
      <c r="E470" s="940" t="str">
        <f>'matrik MISI 2'!K104</f>
        <v>xx</v>
      </c>
      <c r="F470" s="940">
        <f>'matrik MISI 2'!L104</f>
        <v>16</v>
      </c>
      <c r="G470" s="940" t="str">
        <f>'matrik MISI 2'!M104</f>
        <v>Program pemeliharaan kantrantibmas dan pencegahan tindak kriminal</v>
      </c>
      <c r="H470" s="164"/>
      <c r="I470" s="164"/>
      <c r="J470" s="929"/>
      <c r="K470" s="929"/>
      <c r="L470" s="929"/>
      <c r="M470" s="961">
        <f>'jangan di hapus 1'!K927</f>
        <v>515000000</v>
      </c>
      <c r="N470" s="961"/>
      <c r="O470" s="961">
        <f>'jangan di hapus 1'!M927</f>
        <v>660000000</v>
      </c>
      <c r="P470" s="961"/>
      <c r="Q470" s="961">
        <f>'jangan di hapus 1'!O927</f>
        <v>712500000</v>
      </c>
      <c r="R470" s="961"/>
      <c r="S470" s="961">
        <f>'jangan di hapus 1'!Q927</f>
        <v>757500000</v>
      </c>
      <c r="T470" s="961"/>
      <c r="U470" s="961">
        <f>'jangan di hapus 1'!S927</f>
        <v>835000000</v>
      </c>
      <c r="V470" s="929"/>
      <c r="W470" s="961">
        <f>SUM(M470:U470)</f>
        <v>3480000000</v>
      </c>
      <c r="X470" s="929"/>
      <c r="Y470" s="565"/>
      <c r="Z470" s="565"/>
    </row>
    <row r="471" spans="2:26" ht="30">
      <c r="B471" s="940"/>
      <c r="C471" s="941"/>
      <c r="D471" s="939"/>
      <c r="E471" s="939"/>
      <c r="F471" s="939"/>
      <c r="G471" s="939"/>
      <c r="H471" s="164" t="str">
        <f>'matrik MISI 2'!N104</f>
        <v>Persentase Penanganan Tindak Penyalahgunaan Narkotika</v>
      </c>
      <c r="I471" s="164" t="str">
        <f>'matrik MISI 2'!O104</f>
        <v>%</v>
      </c>
      <c r="J471" s="929">
        <f>'matrik MISI 2'!P104</f>
        <v>100</v>
      </c>
      <c r="K471" s="929">
        <f>'matrik MISI 2'!Q104</f>
        <v>100</v>
      </c>
      <c r="L471" s="929">
        <f>'matrik MISI 2'!R104</f>
        <v>100</v>
      </c>
      <c r="M471" s="961"/>
      <c r="N471" s="929">
        <f>'matrik MISI 2'!S104</f>
        <v>100</v>
      </c>
      <c r="O471" s="929"/>
      <c r="P471" s="929">
        <f>'matrik MISI 2'!T104</f>
        <v>100</v>
      </c>
      <c r="Q471" s="929"/>
      <c r="R471" s="929">
        <f>'matrik MISI 2'!U104</f>
        <v>100</v>
      </c>
      <c r="S471" s="929"/>
      <c r="T471" s="929">
        <f>'matrik MISI 2'!V104</f>
        <v>100</v>
      </c>
      <c r="U471" s="929"/>
      <c r="V471" s="929">
        <f>'matrik MISI 2'!W104</f>
        <v>100</v>
      </c>
      <c r="W471" s="929"/>
      <c r="X471" s="929" t="str">
        <f>'matrik MISI 2'!X104</f>
        <v>Kantor KESBANG</v>
      </c>
      <c r="Y471" s="565" t="str">
        <f>'matrik MISI 2'!Y104</f>
        <v>Jumlah tindak penyalahgunaan narkotika yang tertangani dibagi jumlah tindak penyalahgunaan narkotika yang dilaporkan kali 100</v>
      </c>
      <c r="Z471" s="565">
        <f>'matrik MISI 2'!Z104</f>
        <v>0</v>
      </c>
    </row>
    <row r="472" spans="2:26" ht="60">
      <c r="B472" s="940"/>
      <c r="C472" s="941"/>
      <c r="D472" s="940"/>
      <c r="E472" s="940"/>
      <c r="F472" s="940"/>
      <c r="G472" s="940"/>
      <c r="H472" s="164" t="str">
        <f>'matrik MISI 2'!N106</f>
        <v>Cakupan Penegakan Perda dan Peraturan Kepala Daerah</v>
      </c>
      <c r="I472" s="164" t="str">
        <f>'matrik MISI 2'!O106</f>
        <v>%</v>
      </c>
      <c r="J472" s="929">
        <f>'matrik MISI 2'!P106</f>
        <v>50</v>
      </c>
      <c r="K472" s="929">
        <f>'matrik MISI 2'!Q106</f>
        <v>50</v>
      </c>
      <c r="L472" s="929">
        <f>'matrik MISI 2'!R106</f>
        <v>100</v>
      </c>
      <c r="M472" s="961"/>
      <c r="N472" s="929">
        <f>'matrik MISI 2'!S106</f>
        <v>100</v>
      </c>
      <c r="O472" s="929"/>
      <c r="P472" s="929">
        <f>'matrik MISI 2'!T106</f>
        <v>100</v>
      </c>
      <c r="Q472" s="929"/>
      <c r="R472" s="929">
        <f>'matrik MISI 2'!U106</f>
        <v>100</v>
      </c>
      <c r="S472" s="929"/>
      <c r="T472" s="929">
        <f>'matrik MISI 2'!V106</f>
        <v>100</v>
      </c>
      <c r="U472" s="929"/>
      <c r="V472" s="929">
        <f>'matrik MISI 2'!W106</f>
        <v>100</v>
      </c>
      <c r="W472" s="929"/>
      <c r="X472" s="929" t="str">
        <f>'matrik MISI 2'!X106</f>
        <v>Satuan Polisi Pamong Praja</v>
      </c>
      <c r="Y472" s="565" t="str">
        <f>'matrik MISI 2'!Y106</f>
        <v>jumlah pelanggaran perda dan atau peraturan kepala daerah yang ditangani di tahun bersangkutan di bagi jumlah pelanggaran perda dan atau peraturan kepala daerah yang dilaporkan dan atau dipantau di tahun bersangkutan kali  100</v>
      </c>
      <c r="Z472" s="565" t="str">
        <f>'matrik MISI 2'!Z106</f>
        <v>Penanganan nya baru sampai tahap non yustisial</v>
      </c>
    </row>
    <row r="473" spans="2:26" ht="30">
      <c r="B473" s="940"/>
      <c r="C473" s="941"/>
      <c r="D473" s="940"/>
      <c r="E473" s="940"/>
      <c r="F473" s="940"/>
      <c r="G473" s="940"/>
      <c r="H473" s="164" t="str">
        <f>'matrik MISI 2'!N107</f>
        <v>Angka Kriminalitas</v>
      </c>
      <c r="I473" s="164" t="str">
        <f>'matrik MISI 2'!O107</f>
        <v>angka</v>
      </c>
      <c r="J473" s="929" t="str">
        <f>'matrik MISI 2'!P107</f>
        <v>0,46</v>
      </c>
      <c r="K473" s="929" t="str">
        <f>'matrik MISI 2'!Q107</f>
        <v>0,40</v>
      </c>
      <c r="L473" s="929" t="str">
        <f>'matrik MISI 2'!R107</f>
        <v>0,5</v>
      </c>
      <c r="M473" s="961"/>
      <c r="N473" s="929" t="str">
        <f>'matrik MISI 2'!S107</f>
        <v>0,48</v>
      </c>
      <c r="O473" s="929"/>
      <c r="P473" s="929" t="str">
        <f>'matrik MISI 2'!T107</f>
        <v>0,47</v>
      </c>
      <c r="Q473" s="929"/>
      <c r="R473" s="929" t="str">
        <f>'matrik MISI 2'!U107</f>
        <v>0,47</v>
      </c>
      <c r="S473" s="929"/>
      <c r="T473" s="929" t="str">
        <f>'matrik MISI 2'!V107</f>
        <v>0,46</v>
      </c>
      <c r="U473" s="929"/>
      <c r="V473" s="929" t="str">
        <f>'matrik MISI 2'!W107</f>
        <v>0,46</v>
      </c>
      <c r="W473" s="929"/>
      <c r="X473" s="929" t="str">
        <f>'matrik MISI 2'!X107</f>
        <v>Satuan Polisi Pamong Praja</v>
      </c>
      <c r="Y473" s="565" t="str">
        <f>'matrik MISI 2'!Y107</f>
        <v>Jumlah tindak kriminal dalam 1 tahun dibagi  jumlah penduduk kali 10.000</v>
      </c>
      <c r="Z473" s="565" t="str">
        <f>'matrik MISI 2'!Z107</f>
        <v>Berkoordinasi dengan kepolisian</v>
      </c>
    </row>
    <row r="474" spans="2:26" ht="30">
      <c r="B474" s="940"/>
      <c r="C474" s="941"/>
      <c r="D474" s="940"/>
      <c r="E474" s="940"/>
      <c r="F474" s="940"/>
      <c r="G474" s="940"/>
      <c r="H474" s="164" t="str">
        <f>'matrik MISI 2'!N108</f>
        <v>Cakupan Penanganan demonstrasi</v>
      </c>
      <c r="I474" s="164" t="str">
        <f>'matrik MISI 2'!O108</f>
        <v>%</v>
      </c>
      <c r="J474" s="929">
        <f>'matrik MISI 2'!P108</f>
        <v>100</v>
      </c>
      <c r="K474" s="929">
        <f>'matrik MISI 2'!Q108</f>
        <v>100</v>
      </c>
      <c r="L474" s="929">
        <f>'matrik MISI 2'!R108</f>
        <v>100</v>
      </c>
      <c r="M474" s="961"/>
      <c r="N474" s="929">
        <f>'matrik MISI 2'!S108</f>
        <v>100</v>
      </c>
      <c r="O474" s="929"/>
      <c r="P474" s="929">
        <f>'matrik MISI 2'!T108</f>
        <v>100</v>
      </c>
      <c r="Q474" s="929"/>
      <c r="R474" s="929">
        <f>'matrik MISI 2'!U108</f>
        <v>100</v>
      </c>
      <c r="S474" s="929"/>
      <c r="T474" s="929">
        <f>'matrik MISI 2'!V108</f>
        <v>100</v>
      </c>
      <c r="U474" s="929"/>
      <c r="V474" s="929">
        <f>'matrik MISI 2'!W108</f>
        <v>100</v>
      </c>
      <c r="W474" s="929"/>
      <c r="X474" s="929" t="str">
        <f>'matrik MISI 2'!X108</f>
        <v>Satuan Polisi Pamong Praja</v>
      </c>
      <c r="Y474" s="565" t="str">
        <f>'matrik MISI 2'!Y108</f>
        <v>Jumlah penanganan demo dibagi jumlah demo yang terjadi x 100%</v>
      </c>
      <c r="Z474" s="565" t="str">
        <f>'matrik MISI 2'!Z108</f>
        <v>Penanganan berkoordinasi dengan kepolisian</v>
      </c>
    </row>
    <row r="475" spans="2:26" ht="45">
      <c r="B475" s="940"/>
      <c r="C475" s="941"/>
      <c r="D475" s="940"/>
      <c r="E475" s="940"/>
      <c r="F475" s="940"/>
      <c r="G475" s="940"/>
      <c r="H475" s="164" t="str">
        <f>'matrik MISI 2'!N109</f>
        <v>Cakupan Patroli Siaga Ketertiban Umum dan Ketentraman Masyarakat</v>
      </c>
      <c r="I475" s="164" t="str">
        <f>'matrik MISI 2'!O109</f>
        <v>kali</v>
      </c>
      <c r="J475" s="929">
        <f>'matrik MISI 2'!P109</f>
        <v>1</v>
      </c>
      <c r="K475" s="929">
        <f>'matrik MISI 2'!Q109</f>
        <v>1</v>
      </c>
      <c r="L475" s="929">
        <f>'matrik MISI 2'!R109</f>
        <v>1</v>
      </c>
      <c r="M475" s="961"/>
      <c r="N475" s="929">
        <f>'matrik MISI 2'!S109</f>
        <v>1</v>
      </c>
      <c r="O475" s="929"/>
      <c r="P475" s="929">
        <f>'matrik MISI 2'!T109</f>
        <v>1</v>
      </c>
      <c r="Q475" s="929"/>
      <c r="R475" s="929">
        <f>'matrik MISI 2'!U109</f>
        <v>2</v>
      </c>
      <c r="S475" s="929"/>
      <c r="T475" s="929">
        <f>'matrik MISI 2'!V109</f>
        <v>3</v>
      </c>
      <c r="U475" s="929"/>
      <c r="V475" s="929">
        <f>'matrik MISI 2'!W109</f>
        <v>3</v>
      </c>
      <c r="W475" s="929"/>
      <c r="X475" s="929" t="str">
        <f>'matrik MISI 2'!X109</f>
        <v>Satuan Polisi Pamong Praja</v>
      </c>
      <c r="Y475" s="565" t="str">
        <f>'matrik MISI 2'!Y109</f>
        <v>Banyaknya patroli dalam satu tahun dibagi banyaknya jumlah kecamatan</v>
      </c>
      <c r="Z475" s="565">
        <f>'matrik MISI 2'!Z109</f>
        <v>0</v>
      </c>
    </row>
    <row r="476" spans="2:26" ht="60">
      <c r="B476" s="940"/>
      <c r="C476" s="941"/>
      <c r="D476" s="940">
        <f>'matrik MISI 2'!J110</f>
        <v>1.19</v>
      </c>
      <c r="E476" s="940" t="str">
        <f>'matrik MISI 2'!K110</f>
        <v>xx</v>
      </c>
      <c r="F476" s="940">
        <f>'matrik MISI 2'!L110</f>
        <v>19</v>
      </c>
      <c r="G476" s="940" t="str">
        <f>'matrik MISI 2'!M110</f>
        <v>Program pemberdayaan masyarakat untuk menjaga ketertiban dan keamanan</v>
      </c>
      <c r="H476" s="164"/>
      <c r="I476" s="164"/>
      <c r="J476" s="929"/>
      <c r="K476" s="929"/>
      <c r="L476" s="929"/>
      <c r="M476" s="961">
        <f>'jangan di hapus 1'!K950</f>
        <v>1915000000</v>
      </c>
      <c r="N476" s="961"/>
      <c r="O476" s="961">
        <f>'jangan di hapus 1'!M950</f>
        <v>235000000</v>
      </c>
      <c r="P476" s="961"/>
      <c r="Q476" s="961">
        <f>'jangan di hapus 1'!O950</f>
        <v>245000000</v>
      </c>
      <c r="R476" s="961"/>
      <c r="S476" s="961">
        <f>'jangan di hapus 1'!Q950</f>
        <v>277500000</v>
      </c>
      <c r="T476" s="961"/>
      <c r="U476" s="961">
        <f>'jangan di hapus 1'!S950</f>
        <v>1285000000</v>
      </c>
      <c r="V476" s="929"/>
      <c r="W476" s="961">
        <f>SUM(M476:U476)</f>
        <v>3957500000</v>
      </c>
      <c r="X476" s="929"/>
      <c r="Y476" s="565"/>
      <c r="Z476" s="565"/>
    </row>
    <row r="477" spans="2:26" ht="30">
      <c r="B477" s="940"/>
      <c r="C477" s="941"/>
      <c r="D477" s="939"/>
      <c r="E477" s="939"/>
      <c r="F477" s="939"/>
      <c r="G477" s="939"/>
      <c r="H477" s="164" t="str">
        <f>'matrik MISI 2'!N110</f>
        <v>Rasio Petugas Perlindungan Masyarakat (linmas)</v>
      </c>
      <c r="I477" s="164" t="str">
        <f>'matrik MISI 2'!O110</f>
        <v>Rasio</v>
      </c>
      <c r="J477" s="929" t="str">
        <f>'matrik MISI 2'!P110</f>
        <v>1,64</v>
      </c>
      <c r="K477" s="929" t="str">
        <f>'matrik MISI 2'!Q110</f>
        <v>1,59</v>
      </c>
      <c r="L477" s="929" t="str">
        <f>'matrik MISI 2'!R110</f>
        <v>1,59</v>
      </c>
      <c r="M477" s="961"/>
      <c r="N477" s="929" t="str">
        <f>'matrik MISI 2'!S110</f>
        <v>1,60</v>
      </c>
      <c r="O477" s="929"/>
      <c r="P477" s="929" t="str">
        <f>'matrik MISI 2'!T110</f>
        <v>1,60</v>
      </c>
      <c r="Q477" s="929"/>
      <c r="R477" s="929" t="str">
        <f>'matrik MISI 2'!U110</f>
        <v>1,62</v>
      </c>
      <c r="S477" s="929"/>
      <c r="T477" s="929" t="str">
        <f>'matrik MISI 2'!V110</f>
        <v>1,62</v>
      </c>
      <c r="U477" s="929"/>
      <c r="V477" s="929" t="str">
        <f>'matrik MISI 2'!W110</f>
        <v>1,62</v>
      </c>
      <c r="W477" s="929"/>
      <c r="X477" s="929" t="str">
        <f>'matrik MISI 2'!X110</f>
        <v>Satuan Polisi Pamong Praja</v>
      </c>
      <c r="Y477" s="565" t="str">
        <f>'matrik MISI 2'!Y110</f>
        <v>Jumlah Anggota linmas yang ada dibagi  jumlah rukun tetangga (RT)</v>
      </c>
      <c r="Z477" s="565" t="str">
        <f>'matrik MISI 2'!Z110</f>
        <v>Rasio ideal 1 Linmas per RT</v>
      </c>
    </row>
    <row r="478" spans="2:26" ht="90">
      <c r="B478" s="949">
        <v>20</v>
      </c>
      <c r="C478" s="948" t="str">
        <f>'matrik MISI 6'!B21</f>
        <v>OTONOMI DAERAH, PEMERINTAHAN UMUM, ADMINISTRASI KEUANGAN DAERAH, PERANGKAT DAERAH, KEPEGAWAIAN, DAN PERSANDIAN</v>
      </c>
      <c r="D478" s="949"/>
      <c r="E478" s="949"/>
      <c r="F478" s="949"/>
      <c r="G478" s="940" t="str">
        <f>'matrik MISI 6'!M22</f>
        <v>Program Peningkatan Kapasitas Sumber Daya Aparatur</v>
      </c>
      <c r="H478" s="164"/>
      <c r="I478" s="164"/>
      <c r="J478" s="929"/>
      <c r="K478" s="929"/>
      <c r="L478" s="929"/>
      <c r="M478" s="961">
        <f>'jangan di hapus 1'!K1107</f>
        <v>31652731200</v>
      </c>
      <c r="N478" s="961">
        <f>'jangan di hapus 1'!L1107</f>
        <v>0</v>
      </c>
      <c r="O478" s="961">
        <f>'jangan di hapus 1'!M1107</f>
        <v>35307891100</v>
      </c>
      <c r="P478" s="961">
        <f>'jangan di hapus 1'!N1107</f>
        <v>0</v>
      </c>
      <c r="Q478" s="961">
        <f>'jangan di hapus 1'!O1107</f>
        <v>35599324100.869995</v>
      </c>
      <c r="R478" s="961">
        <f>'jangan di hapus 1'!P1107</f>
        <v>0</v>
      </c>
      <c r="S478" s="961">
        <f>'jangan di hapus 1'!Q1107</f>
        <v>37110724160.869995</v>
      </c>
      <c r="T478" s="961">
        <f>'jangan di hapus 1'!R1107</f>
        <v>0</v>
      </c>
      <c r="U478" s="961">
        <f>'jangan di hapus 1'!S1107</f>
        <v>38915327726.900002</v>
      </c>
      <c r="V478" s="929"/>
      <c r="W478" s="961">
        <f>SUM(M478:U478)</f>
        <v>178585998288.63998</v>
      </c>
      <c r="X478" s="929"/>
    </row>
    <row r="479" spans="2:26" ht="30">
      <c r="B479" s="939"/>
      <c r="C479" s="939"/>
      <c r="D479" s="939"/>
      <c r="E479" s="939"/>
      <c r="F479" s="939"/>
      <c r="G479" s="939"/>
      <c r="H479" s="164" t="str">
        <f>'matrik MISI 6'!N22</f>
        <v>Persentase PNS yang Mengikuti Diklat Teknis Fungsional</v>
      </c>
      <c r="I479" s="164" t="str">
        <f>'matrik MISI 6'!O22</f>
        <v>%</v>
      </c>
      <c r="J479" s="929">
        <f>'matrik MISI 6'!P22</f>
        <v>1.6</v>
      </c>
      <c r="K479" s="929">
        <f>'matrik MISI 6'!Q22</f>
        <v>1.3</v>
      </c>
      <c r="L479" s="929">
        <f>'matrik MISI 6'!R22</f>
        <v>1.4</v>
      </c>
      <c r="M479" s="961"/>
      <c r="N479" s="929">
        <f>'matrik MISI 6'!S22</f>
        <v>1.5</v>
      </c>
      <c r="O479" s="929"/>
      <c r="P479" s="929">
        <f>'matrik MISI 6'!T22</f>
        <v>1.6</v>
      </c>
      <c r="Q479" s="929"/>
      <c r="R479" s="929">
        <f>'matrik MISI 6'!U22</f>
        <v>1.8</v>
      </c>
      <c r="S479" s="929"/>
      <c r="T479" s="929">
        <f>'matrik MISI 6'!V22</f>
        <v>1.9</v>
      </c>
      <c r="U479" s="929"/>
      <c r="V479" s="929">
        <f>'matrik MISI 6'!W22</f>
        <v>1.9</v>
      </c>
      <c r="W479" s="929"/>
      <c r="X479" s="929" t="str">
        <f>'matrik MISI 6'!X22</f>
        <v>Badan Kepegawaian Daerah (BKD)</v>
      </c>
      <c r="Y479" s="565" t="str">
        <f>'matrik MISI 6'!Y22</f>
        <v>Jumlah PNS yang Mengikuti Diklat Teknis Fungsional dibagi Jumlah PNS x 100</v>
      </c>
      <c r="Z479" s="565">
        <f>'matrik MISI 6'!Z22</f>
        <v>0</v>
      </c>
    </row>
    <row r="480" spans="2:26" ht="45">
      <c r="B480" s="940"/>
      <c r="C480" s="941"/>
      <c r="D480" s="940"/>
      <c r="E480" s="940"/>
      <c r="F480" s="940"/>
      <c r="G480" s="940"/>
      <c r="H480" s="164" t="str">
        <f>'matrik MISI 6'!N23</f>
        <v>Persentase PNS yang Memiliki Sertifikat Pengadaan Barang atau Jasa</v>
      </c>
      <c r="I480" s="164" t="str">
        <f>'matrik MISI 6'!O23</f>
        <v>%</v>
      </c>
      <c r="J480" s="929">
        <f>'matrik MISI 6'!P23</f>
        <v>1.8587360594795539</v>
      </c>
      <c r="K480" s="929">
        <f>'matrik MISI 6'!Q23</f>
        <v>1.9040732706676309</v>
      </c>
      <c r="L480" s="929">
        <f>'matrik MISI 6'!R23</f>
        <v>2.1</v>
      </c>
      <c r="M480" s="961"/>
      <c r="N480" s="929">
        <f>'matrik MISI 6'!S23</f>
        <v>2.4</v>
      </c>
      <c r="O480" s="929"/>
      <c r="P480" s="929">
        <f>'matrik MISI 6'!T23</f>
        <v>2.6</v>
      </c>
      <c r="Q480" s="929"/>
      <c r="R480" s="929">
        <f>'matrik MISI 6'!U23</f>
        <v>2.8</v>
      </c>
      <c r="S480" s="929"/>
      <c r="T480" s="929">
        <f>'matrik MISI 6'!V23</f>
        <v>3</v>
      </c>
      <c r="U480" s="929"/>
      <c r="V480" s="929">
        <f>'matrik MISI 6'!W23</f>
        <v>3</v>
      </c>
      <c r="W480" s="929"/>
      <c r="X480" s="929" t="str">
        <f>'matrik MISI 6'!X23</f>
        <v>Badan Kepegawaian Daerah (BKD)</v>
      </c>
      <c r="Y480" s="565" t="str">
        <f>'matrik MISI 6'!Y23</f>
        <v>Jumlah PNS yang Memiliki Sertifikat Pengadaan Barang atau Jasa dibagi Jumlah PNS x 100</v>
      </c>
      <c r="Z480" s="565">
        <f>'matrik MISI 6'!Z23</f>
        <v>0</v>
      </c>
    </row>
    <row r="481" spans="2:26" ht="33" customHeight="1">
      <c r="B481" s="940"/>
      <c r="C481" s="941"/>
      <c r="D481" s="940" t="str">
        <f>'matrik MISI 6'!J24</f>
        <v>1.20</v>
      </c>
      <c r="E481" s="940" t="str">
        <f>'matrik MISI 6'!K24</f>
        <v>xx</v>
      </c>
      <c r="F481" s="940">
        <f>'matrik MISI 6'!L24</f>
        <v>32</v>
      </c>
      <c r="G481" s="940" t="str">
        <f>'matrik MISI 6'!M24</f>
        <v>Program Pendidikan Kedinasan</v>
      </c>
      <c r="H481" s="164"/>
      <c r="I481" s="164"/>
      <c r="J481" s="929"/>
      <c r="K481" s="929"/>
      <c r="L481" s="929"/>
      <c r="M481" s="961"/>
      <c r="N481" s="929"/>
      <c r="O481" s="929"/>
      <c r="P481" s="929"/>
      <c r="Q481" s="929"/>
      <c r="R481" s="929"/>
      <c r="S481" s="929"/>
      <c r="T481" s="929"/>
      <c r="U481" s="929"/>
      <c r="V481" s="929"/>
      <c r="W481" s="929"/>
      <c r="X481" s="929"/>
      <c r="Y481" s="565"/>
      <c r="Z481" s="565"/>
    </row>
    <row r="482" spans="2:26" ht="45">
      <c r="B482" s="940"/>
      <c r="C482" s="941"/>
      <c r="D482" s="939"/>
      <c r="E482" s="939"/>
      <c r="F482" s="939"/>
      <c r="G482" s="939"/>
      <c r="H482" s="164" t="str">
        <f>'matrik MISI 6'!N24</f>
        <v>Persentase Pejabat Struktural yang Mengikuti Diklat Kepemimpinan</v>
      </c>
      <c r="I482" s="164" t="str">
        <f>'matrik MISI 6'!O24</f>
        <v>%</v>
      </c>
      <c r="J482" s="929">
        <f>'matrik MISI 6'!P24</f>
        <v>50</v>
      </c>
      <c r="K482" s="929">
        <f>'matrik MISI 6'!Q24</f>
        <v>39</v>
      </c>
      <c r="L482" s="929">
        <f>'matrik MISI 6'!R24</f>
        <v>37</v>
      </c>
      <c r="M482" s="961"/>
      <c r="N482" s="929">
        <f>'matrik MISI 6'!S24</f>
        <v>37</v>
      </c>
      <c r="O482" s="929"/>
      <c r="P482" s="929">
        <f>'matrik MISI 6'!T24</f>
        <v>36</v>
      </c>
      <c r="Q482" s="929"/>
      <c r="R482" s="929">
        <f>'matrik MISI 6'!U24</f>
        <v>35</v>
      </c>
      <c r="S482" s="929"/>
      <c r="T482" s="929">
        <f>'matrik MISI 6'!V24</f>
        <v>34</v>
      </c>
      <c r="U482" s="929"/>
      <c r="V482" s="929">
        <f>'matrik MISI 6'!W24</f>
        <v>34</v>
      </c>
      <c r="W482" s="929"/>
      <c r="X482" s="929" t="str">
        <f>'matrik MISI 6'!X24</f>
        <v>Badan Kepegawaian Daerah (BKD)</v>
      </c>
      <c r="Y482" s="565" t="str">
        <f>'matrik MISI 6'!Y24</f>
        <v>Jumlah Pejabat Struktural yang Mengikuti Diklat Kepemimpinan dibagi Jumlah Pejabat Struktural x 100</v>
      </c>
      <c r="Z482" s="565">
        <f>'matrik MISI 6'!Z24</f>
        <v>0</v>
      </c>
    </row>
    <row r="483" spans="2:26" ht="31.5" customHeight="1">
      <c r="B483" s="940"/>
      <c r="C483" s="941"/>
      <c r="D483" s="940" t="str">
        <f>'matrik MISI 6'!J25</f>
        <v>1.20</v>
      </c>
      <c r="E483" s="940" t="str">
        <f>'matrik MISI 6'!K25</f>
        <v>xx</v>
      </c>
      <c r="F483" s="940">
        <f>'matrik MISI 6'!L25</f>
        <v>34</v>
      </c>
      <c r="G483" s="940" t="str">
        <f>'matrik MISI 6'!M25</f>
        <v>Program Pembinaan dan Pengembangan Aparatur</v>
      </c>
      <c r="H483" s="164"/>
      <c r="I483" s="164"/>
      <c r="J483" s="929"/>
      <c r="K483" s="929"/>
      <c r="L483" s="929"/>
      <c r="M483" s="961"/>
      <c r="N483" s="929"/>
      <c r="O483" s="929"/>
      <c r="P483" s="929"/>
      <c r="Q483" s="929"/>
      <c r="R483" s="929"/>
      <c r="S483" s="929"/>
      <c r="T483" s="929"/>
      <c r="U483" s="929"/>
      <c r="V483" s="929"/>
      <c r="W483" s="929"/>
      <c r="X483" s="929"/>
      <c r="Y483" s="565"/>
      <c r="Z483" s="565"/>
    </row>
    <row r="484" spans="2:26" ht="30">
      <c r="B484" s="940"/>
      <c r="C484" s="941"/>
      <c r="D484" s="939"/>
      <c r="E484" s="939"/>
      <c r="F484" s="939"/>
      <c r="G484" s="939"/>
      <c r="H484" s="164" t="str">
        <f>'matrik MISI 6'!N25</f>
        <v>Persentase Penanganan Pelanggaran Disiplin PNS</v>
      </c>
      <c r="I484" s="164" t="str">
        <f>'matrik MISI 6'!O25</f>
        <v>%</v>
      </c>
      <c r="J484" s="929">
        <f>'matrik MISI 6'!P25</f>
        <v>79.411764705882348</v>
      </c>
      <c r="K484" s="929">
        <f>'matrik MISI 6'!Q25</f>
        <v>84.615384615384613</v>
      </c>
      <c r="L484" s="929">
        <f>'matrik MISI 6'!R25</f>
        <v>87</v>
      </c>
      <c r="M484" s="961"/>
      <c r="N484" s="929">
        <f>'matrik MISI 6'!S25</f>
        <v>89</v>
      </c>
      <c r="O484" s="929"/>
      <c r="P484" s="929">
        <f>'matrik MISI 6'!T25</f>
        <v>91</v>
      </c>
      <c r="Q484" s="929"/>
      <c r="R484" s="929">
        <f>'matrik MISI 6'!U25</f>
        <v>93</v>
      </c>
      <c r="S484" s="929"/>
      <c r="T484" s="929">
        <f>'matrik MISI 6'!V25</f>
        <v>95</v>
      </c>
      <c r="U484" s="929"/>
      <c r="V484" s="929">
        <f>'matrik MISI 6'!W25</f>
        <v>95</v>
      </c>
      <c r="W484" s="929"/>
      <c r="X484" s="929" t="str">
        <f>'matrik MISI 6'!X25</f>
        <v>Badan Kepegawaian Daerah (BKD)</v>
      </c>
      <c r="Y484" s="565" t="str">
        <f>'matrik MISI 6'!Y25</f>
        <v>Jumlah SK Hukuman Disiplin PNS dibagi Jumlah Kasus Pelanggaran Disiplin PNS yang masuk  x100</v>
      </c>
      <c r="Z484" s="565">
        <f>'matrik MISI 6'!Z25</f>
        <v>0</v>
      </c>
    </row>
    <row r="485" spans="2:26" ht="30">
      <c r="B485" s="940"/>
      <c r="C485" s="941"/>
      <c r="D485" s="940"/>
      <c r="E485" s="940"/>
      <c r="F485" s="940"/>
      <c r="G485" s="940"/>
      <c r="H485" s="164" t="str">
        <f>'matrik MISI 6'!N26</f>
        <v>Persentase Pengisian Jabatan Struktural PNS yang Kosong</v>
      </c>
      <c r="I485" s="164" t="str">
        <f>'matrik MISI 6'!O26</f>
        <v>%</v>
      </c>
      <c r="J485" s="929">
        <f>'matrik MISI 6'!P26</f>
        <v>81</v>
      </c>
      <c r="K485" s="929">
        <f>'matrik MISI 6'!Q26</f>
        <v>85</v>
      </c>
      <c r="L485" s="929">
        <f>'matrik MISI 6'!R26</f>
        <v>86</v>
      </c>
      <c r="M485" s="961"/>
      <c r="N485" s="929">
        <f>'matrik MISI 6'!S26</f>
        <v>86</v>
      </c>
      <c r="O485" s="929"/>
      <c r="P485" s="929">
        <f>'matrik MISI 6'!T26</f>
        <v>87</v>
      </c>
      <c r="Q485" s="929"/>
      <c r="R485" s="929">
        <f>'matrik MISI 6'!U26</f>
        <v>87</v>
      </c>
      <c r="S485" s="929"/>
      <c r="T485" s="929">
        <f>'matrik MISI 6'!V26</f>
        <v>90</v>
      </c>
      <c r="U485" s="929"/>
      <c r="V485" s="929">
        <f>'matrik MISI 6'!W26</f>
        <v>90</v>
      </c>
      <c r="W485" s="929"/>
      <c r="X485" s="929" t="str">
        <f>'matrik MISI 6'!X26</f>
        <v>Badan Kepegawaian Daerah (BKD)</v>
      </c>
      <c r="Y485" s="565" t="str">
        <f>'matrik MISI 6'!Y26</f>
        <v>Jumlah Jabatan Struktural yang terisi dibagi Jumlah Jabatan Struktural x100</v>
      </c>
      <c r="Z485" s="565" t="str">
        <f>'matrik MISI 6'!Z26</f>
        <v>Jabatan struktural di lingkungan Pemerintah Kabupaten Temanggung</v>
      </c>
    </row>
    <row r="486" spans="2:26" ht="30">
      <c r="B486" s="940"/>
      <c r="C486" s="941"/>
      <c r="D486" s="940"/>
      <c r="E486" s="940"/>
      <c r="F486" s="940"/>
      <c r="G486" s="940"/>
      <c r="H486" s="164" t="str">
        <f>'matrik MISI 6'!N27</f>
        <v>persentase PNS Lulusan S1</v>
      </c>
      <c r="I486" s="164" t="str">
        <f>'matrik MISI 6'!O27</f>
        <v>%</v>
      </c>
      <c r="J486" s="929">
        <f>'matrik MISI 6'!P27</f>
        <v>40</v>
      </c>
      <c r="K486" s="929">
        <f>'matrik MISI 6'!Q27</f>
        <v>42</v>
      </c>
      <c r="L486" s="929">
        <f>'matrik MISI 6'!R27</f>
        <v>46</v>
      </c>
      <c r="M486" s="961"/>
      <c r="N486" s="929">
        <f>'matrik MISI 6'!S27</f>
        <v>49</v>
      </c>
      <c r="O486" s="929"/>
      <c r="P486" s="929">
        <f>'matrik MISI 6'!T27</f>
        <v>52</v>
      </c>
      <c r="Q486" s="929"/>
      <c r="R486" s="929">
        <f>'matrik MISI 6'!U27</f>
        <v>55</v>
      </c>
      <c r="S486" s="929"/>
      <c r="T486" s="929">
        <f>'matrik MISI 6'!V27</f>
        <v>58</v>
      </c>
      <c r="U486" s="929"/>
      <c r="V486" s="929">
        <f>'matrik MISI 6'!W27</f>
        <v>58</v>
      </c>
      <c r="W486" s="929"/>
      <c r="X486" s="929" t="str">
        <f>'matrik MISI 6'!X27</f>
        <v>Badan Kepegawaian Daerah (BKD)</v>
      </c>
      <c r="Y486" s="565" t="str">
        <f>'matrik MISI 6'!Y27</f>
        <v>Jumlah PNS lulusan S1 dibagi Jumlah PNS X 100</v>
      </c>
      <c r="Z486" s="565" t="str">
        <f>'matrik MISI 6'!Z27</f>
        <v>Tanda lulus dibuktikan dengan ijazah</v>
      </c>
    </row>
    <row r="487" spans="2:26" ht="30">
      <c r="B487" s="940"/>
      <c r="C487" s="941"/>
      <c r="D487" s="940"/>
      <c r="E487" s="940"/>
      <c r="F487" s="940"/>
      <c r="G487" s="940"/>
      <c r="H487" s="164" t="str">
        <f>'matrik MISI 6'!N28</f>
        <v>Persentase PNS Lulusan S2/ S3</v>
      </c>
      <c r="I487" s="164" t="str">
        <f>'matrik MISI 6'!O28</f>
        <v>%</v>
      </c>
      <c r="J487" s="929">
        <f>'matrik MISI 6'!P28</f>
        <v>2.7</v>
      </c>
      <c r="K487" s="929">
        <f>'matrik MISI 6'!Q28</f>
        <v>3.4</v>
      </c>
      <c r="L487" s="929">
        <f>'matrik MISI 6'!R28</f>
        <v>3.7</v>
      </c>
      <c r="M487" s="961"/>
      <c r="N487" s="929">
        <f>'matrik MISI 6'!S28</f>
        <v>4.0999999999999996</v>
      </c>
      <c r="O487" s="929"/>
      <c r="P487" s="929">
        <f>'matrik MISI 6'!T28</f>
        <v>4.4000000000000004</v>
      </c>
      <c r="Q487" s="929"/>
      <c r="R487" s="929">
        <f>'matrik MISI 6'!U28</f>
        <v>4.8</v>
      </c>
      <c r="S487" s="929"/>
      <c r="T487" s="929">
        <f>'matrik MISI 6'!V28</f>
        <v>5.0999999999999996</v>
      </c>
      <c r="U487" s="929"/>
      <c r="V487" s="929">
        <f>'matrik MISI 6'!W28</f>
        <v>5.0999999999999996</v>
      </c>
      <c r="W487" s="929"/>
      <c r="X487" s="929" t="str">
        <f>'matrik MISI 6'!X28</f>
        <v>Badan Kepegawaian Daerah (BKD)</v>
      </c>
      <c r="Y487" s="565" t="str">
        <f>'matrik MISI 6'!Y28</f>
        <v>Jumlah PNS lulusan S2 dan S3 dibagi Jumlah PNS x 100</v>
      </c>
      <c r="Z487" s="565" t="str">
        <f>'matrik MISI 6'!Z28</f>
        <v>Tanda lulus dibuktikan dengan ijazah</v>
      </c>
    </row>
    <row r="488" spans="2:26" ht="30">
      <c r="B488" s="940"/>
      <c r="C488" s="941"/>
      <c r="D488" s="940"/>
      <c r="E488" s="940"/>
      <c r="F488" s="940"/>
      <c r="G488" s="940"/>
      <c r="H488" s="164" t="str">
        <f>'matrik MISI 6'!N29</f>
        <v>Persentase Penyelesaian Usulan Kenaikan Pangkat Tepat Waktu</v>
      </c>
      <c r="I488" s="164" t="str">
        <f>'matrik MISI 6'!O29</f>
        <v>%</v>
      </c>
      <c r="J488" s="929">
        <f>'matrik MISI 6'!P29</f>
        <v>50</v>
      </c>
      <c r="K488" s="929">
        <f>'matrik MISI 6'!Q29</f>
        <v>50</v>
      </c>
      <c r="L488" s="929">
        <f>'matrik MISI 6'!R29</f>
        <v>51</v>
      </c>
      <c r="M488" s="961"/>
      <c r="N488" s="929">
        <f>'matrik MISI 6'!S29</f>
        <v>52</v>
      </c>
      <c r="O488" s="929"/>
      <c r="P488" s="929">
        <f>'matrik MISI 6'!T29</f>
        <v>53</v>
      </c>
      <c r="Q488" s="929"/>
      <c r="R488" s="929">
        <f>'matrik MISI 6'!U29</f>
        <v>54</v>
      </c>
      <c r="S488" s="929"/>
      <c r="T488" s="929">
        <f>'matrik MISI 6'!V29</f>
        <v>55</v>
      </c>
      <c r="U488" s="929"/>
      <c r="V488" s="929">
        <f>'matrik MISI 6'!W29</f>
        <v>55</v>
      </c>
      <c r="W488" s="929"/>
      <c r="X488" s="929" t="str">
        <f>'matrik MISI 6'!X29</f>
        <v>Badan Kepegawaian Daerah (BKD)</v>
      </c>
      <c r="Y488" s="565" t="str">
        <f>'matrik MISI 6'!Y29</f>
        <v>Jumlah Penyelesaian Usulan Kenaikan Pangkat Tepat Waktu dibagi Jumlah Usulan Kenaikan Pangkat</v>
      </c>
      <c r="Z488" s="565" t="str">
        <f>'matrik MISI 6'!Z29</f>
        <v>Tepat waktu penyerahan berkas usulan sebelum TMT kenaikan pangkat</v>
      </c>
    </row>
    <row r="489" spans="2:26" ht="30">
      <c r="B489" s="940"/>
      <c r="C489" s="941"/>
      <c r="D489" s="940" t="str">
        <f>'matrik MISI 6'!J30</f>
        <v>1.20</v>
      </c>
      <c r="E489" s="940" t="str">
        <f>'matrik MISI 6'!K30</f>
        <v>xx</v>
      </c>
      <c r="F489" s="940">
        <f>'matrik MISI 6'!L30</f>
        <v>35</v>
      </c>
      <c r="G489" s="940" t="str">
        <f>'matrik MISI 6'!M30</f>
        <v>Program Administrasi Kepegawaian</v>
      </c>
      <c r="H489" s="164"/>
      <c r="I489" s="164"/>
      <c r="J489" s="929"/>
      <c r="K489" s="929"/>
      <c r="L489" s="929"/>
      <c r="M489" s="961"/>
      <c r="N489" s="929"/>
      <c r="O489" s="929"/>
      <c r="P489" s="929"/>
      <c r="Q489" s="929"/>
      <c r="R489" s="929"/>
      <c r="S489" s="929"/>
      <c r="T489" s="929"/>
      <c r="U489" s="929"/>
      <c r="V489" s="929"/>
      <c r="W489" s="929"/>
      <c r="X489" s="929"/>
      <c r="Y489" s="565"/>
      <c r="Z489" s="565"/>
    </row>
    <row r="490" spans="2:26" ht="30">
      <c r="B490" s="940"/>
      <c r="C490" s="941"/>
      <c r="D490" s="939"/>
      <c r="E490" s="939"/>
      <c r="F490" s="939"/>
      <c r="G490" s="939"/>
      <c r="H490" s="164" t="str">
        <f>'matrik MISI 6'!N30</f>
        <v>Persentase Penyelesaian Usulan Pensiun PNS Tepat Waktu</v>
      </c>
      <c r="I490" s="164" t="str">
        <f>'matrik MISI 6'!O30</f>
        <v>%</v>
      </c>
      <c r="J490" s="929">
        <f>'matrik MISI 6'!P30</f>
        <v>100</v>
      </c>
      <c r="K490" s="929">
        <f>'matrik MISI 6'!Q30</f>
        <v>99</v>
      </c>
      <c r="L490" s="929">
        <f>'matrik MISI 6'!R30</f>
        <v>100</v>
      </c>
      <c r="M490" s="961"/>
      <c r="N490" s="929">
        <f>'matrik MISI 6'!S30</f>
        <v>100</v>
      </c>
      <c r="O490" s="929"/>
      <c r="P490" s="929">
        <f>'matrik MISI 6'!T30</f>
        <v>100</v>
      </c>
      <c r="Q490" s="929"/>
      <c r="R490" s="929">
        <f>'matrik MISI 6'!U30</f>
        <v>100</v>
      </c>
      <c r="S490" s="929"/>
      <c r="T490" s="929">
        <f>'matrik MISI 6'!V30</f>
        <v>100</v>
      </c>
      <c r="U490" s="929"/>
      <c r="V490" s="929">
        <f>'matrik MISI 6'!W30</f>
        <v>100</v>
      </c>
      <c r="W490" s="929"/>
      <c r="X490" s="929" t="str">
        <f>'matrik MISI 6'!X30</f>
        <v>Badan Kepegawaian Daerah (BKD)</v>
      </c>
      <c r="Y490" s="565" t="str">
        <f>'matrik MISI 6'!Y30</f>
        <v>Jumlah Penyelesaian Usulan Pensiun PNS Tepat Waktu dibagi Jumlah usulan PNS x 100</v>
      </c>
      <c r="Z490" s="565" t="str">
        <f>'matrik MISI 6'!Z30</f>
        <v xml:space="preserve">Tepat waktu dalam arti penyerahan SK Pensiun 1 bulan sebelum TMT </v>
      </c>
    </row>
    <row r="491" spans="2:26" ht="45">
      <c r="B491" s="940"/>
      <c r="C491" s="941"/>
      <c r="D491" s="940" t="str">
        <f>'matrik MISI 6'!J31</f>
        <v>1.20</v>
      </c>
      <c r="E491" s="940" t="str">
        <f>'matrik MISI 6'!K31</f>
        <v>xx</v>
      </c>
      <c r="F491" s="940">
        <f>'matrik MISI 6'!L31</f>
        <v>28</v>
      </c>
      <c r="G491" s="940" t="str">
        <f>'matrik MISI 6'!M31</f>
        <v>Program Peningkatan Kapasitas Aparatur Pemerintahan Desa</v>
      </c>
      <c r="H491" s="164"/>
      <c r="I491" s="164"/>
      <c r="J491" s="929"/>
      <c r="K491" s="929"/>
      <c r="L491" s="929"/>
      <c r="M491" s="961"/>
      <c r="N491" s="929"/>
      <c r="O491" s="929"/>
      <c r="P491" s="929"/>
      <c r="Q491" s="929"/>
      <c r="R491" s="929"/>
      <c r="S491" s="929"/>
      <c r="T491" s="929"/>
      <c r="U491" s="929"/>
      <c r="V491" s="929"/>
      <c r="W491" s="929"/>
      <c r="X491" s="929"/>
      <c r="Y491" s="565"/>
      <c r="Z491" s="565"/>
    </row>
    <row r="492" spans="2:26" ht="45">
      <c r="B492" s="940"/>
      <c r="C492" s="941"/>
      <c r="D492" s="939"/>
      <c r="E492" s="939"/>
      <c r="F492" s="939"/>
      <c r="G492" s="939"/>
      <c r="H492" s="164" t="str">
        <f>'matrik MISI 6'!N31</f>
        <v>Persentase Penanganan Kepala Desa dan Perangkat Desa yang Mengalami Kasus</v>
      </c>
      <c r="I492" s="164" t="str">
        <f>'matrik MISI 6'!O31</f>
        <v>%</v>
      </c>
      <c r="J492" s="929">
        <f>'matrik MISI 6'!P31</f>
        <v>100</v>
      </c>
      <c r="K492" s="929">
        <f>'matrik MISI 6'!Q31</f>
        <v>100</v>
      </c>
      <c r="L492" s="929">
        <f>'matrik MISI 6'!R31</f>
        <v>100</v>
      </c>
      <c r="M492" s="961"/>
      <c r="N492" s="929">
        <f>'matrik MISI 6'!S31</f>
        <v>100</v>
      </c>
      <c r="O492" s="929"/>
      <c r="P492" s="929">
        <f>'matrik MISI 6'!T31</f>
        <v>100</v>
      </c>
      <c r="Q492" s="929"/>
      <c r="R492" s="929">
        <f>'matrik MISI 6'!U31</f>
        <v>100</v>
      </c>
      <c r="S492" s="929"/>
      <c r="T492" s="929">
        <f>'matrik MISI 6'!V31</f>
        <v>100</v>
      </c>
      <c r="U492" s="929"/>
      <c r="V492" s="929">
        <f>'matrik MISI 6'!W31</f>
        <v>100</v>
      </c>
      <c r="W492" s="929"/>
      <c r="X492" s="929" t="str">
        <f>'matrik MISI 6'!X31</f>
        <v>Bagian Pemerintahan Desa Setda</v>
      </c>
      <c r="Y492" s="565" t="str">
        <f>'matrik MISI 6'!Y31</f>
        <v>Jumlah Penanganan Kepala Desa dan Perangkat Desa yang Mengalami Kasus dibagi Jumlah Kepala Desa dan Perangkat Desa yang mengalami kasus x 100</v>
      </c>
      <c r="Z492" s="565" t="str">
        <f>'matrik MISI 6'!Z31</f>
        <v>Jenis penanganannya antara lain adanya sanksi dari Pemerintah Kabupaten . ( kasus kepala desa  dan perangkat desa di pisahkan dalam kelompok tersendiri )</v>
      </c>
    </row>
    <row r="493" spans="2:26" ht="30">
      <c r="B493" s="940"/>
      <c r="C493" s="941"/>
      <c r="D493" s="940"/>
      <c r="E493" s="940"/>
      <c r="F493" s="940"/>
      <c r="G493" s="940"/>
      <c r="H493" s="164" t="str">
        <f>'matrik MISI 6'!N32</f>
        <v>Persentase Pengisian Jabatan Kepala Desa yang Kosong</v>
      </c>
      <c r="I493" s="164" t="str">
        <f>'matrik MISI 6'!O32</f>
        <v>%</v>
      </c>
      <c r="J493" s="929">
        <f>'matrik MISI 6'!P32</f>
        <v>100</v>
      </c>
      <c r="K493" s="929">
        <f>'matrik MISI 6'!Q32</f>
        <v>100</v>
      </c>
      <c r="L493" s="929">
        <f>'matrik MISI 6'!R32</f>
        <v>92.2</v>
      </c>
      <c r="M493" s="961"/>
      <c r="N493" s="929">
        <f>'matrik MISI 6'!S32</f>
        <v>100</v>
      </c>
      <c r="O493" s="929"/>
      <c r="P493" s="929">
        <f>'matrik MISI 6'!T32</f>
        <v>100</v>
      </c>
      <c r="Q493" s="929"/>
      <c r="R493" s="929">
        <f>'matrik MISI 6'!U32</f>
        <v>100</v>
      </c>
      <c r="S493" s="929"/>
      <c r="T493" s="929">
        <f>'matrik MISI 6'!V32</f>
        <v>100</v>
      </c>
      <c r="U493" s="929"/>
      <c r="V493" s="929">
        <f>'matrik MISI 6'!W32</f>
        <v>100</v>
      </c>
      <c r="W493" s="929"/>
      <c r="X493" s="929" t="str">
        <f>'matrik MISI 6'!X32</f>
        <v>Bagian Pemerintahan Desa Setda</v>
      </c>
      <c r="Y493" s="565" t="str">
        <f>'matrik MISI 6'!Y32</f>
        <v>Jumlah Jabatan Kepala Desa yang terisi dibagi Jumlah Jabatan Kepala Desa x 100</v>
      </c>
      <c r="Z493" s="565" t="str">
        <f>'matrik MISI 6'!Z32</f>
        <v>Pengertian terisi adalah jabatan definitif (bukan Pelaksana Tugas)</v>
      </c>
    </row>
    <row r="494" spans="2:26" ht="30">
      <c r="B494" s="940"/>
      <c r="C494" s="941"/>
      <c r="D494" s="940"/>
      <c r="E494" s="940"/>
      <c r="F494" s="940"/>
      <c r="G494" s="940"/>
      <c r="H494" s="164" t="str">
        <f>'matrik MISI 6'!N33</f>
        <v>Persentase Pengisian Jabatan Perangkat Desa yang Kosong</v>
      </c>
      <c r="I494" s="164" t="str">
        <f>'matrik MISI 6'!O33</f>
        <v>%</v>
      </c>
      <c r="J494" s="929">
        <f>'matrik MISI 6'!P33</f>
        <v>98.1</v>
      </c>
      <c r="K494" s="929">
        <f>'matrik MISI 6'!Q33</f>
        <v>97</v>
      </c>
      <c r="L494" s="929">
        <f>'matrik MISI 6'!R33</f>
        <v>97</v>
      </c>
      <c r="M494" s="961"/>
      <c r="N494" s="929">
        <f>'matrik MISI 6'!S33</f>
        <v>97</v>
      </c>
      <c r="O494" s="929"/>
      <c r="P494" s="929">
        <f>'matrik MISI 6'!T33</f>
        <v>97</v>
      </c>
      <c r="Q494" s="929"/>
      <c r="R494" s="929">
        <f>'matrik MISI 6'!U33</f>
        <v>97</v>
      </c>
      <c r="S494" s="929"/>
      <c r="T494" s="929">
        <f>'matrik MISI 6'!V33</f>
        <v>97</v>
      </c>
      <c r="U494" s="929"/>
      <c r="V494" s="929">
        <f>'matrik MISI 6'!W33</f>
        <v>97</v>
      </c>
      <c r="W494" s="929"/>
      <c r="X494" s="929" t="str">
        <f>'matrik MISI 6'!X33</f>
        <v>Bagian Pemerintahan Desa Setda</v>
      </c>
      <c r="Y494" s="565" t="str">
        <f>'matrik MISI 6'!Y33</f>
        <v>Jumlah Jabatan Perangkat Desa yang terisi dibagi Jumlah Jabatan Perangkat Desa x 100</v>
      </c>
      <c r="Z494" s="565" t="str">
        <f>'matrik MISI 6'!Z33</f>
        <v>Pengertian terisi adalah jabatan definitif (bukan Pelaksana Tugas)</v>
      </c>
    </row>
    <row r="495" spans="2:26" ht="60">
      <c r="B495" s="940"/>
      <c r="C495" s="941"/>
      <c r="D495" s="940" t="str">
        <f>'matrik MISI 6'!J35</f>
        <v>1.20</v>
      </c>
      <c r="E495" s="940" t="str">
        <f>'matrik MISI 6'!K35</f>
        <v>xx</v>
      </c>
      <c r="F495" s="940">
        <f>'matrik MISI 6'!L35</f>
        <v>15</v>
      </c>
      <c r="G495" s="940" t="str">
        <f>'matrik MISI 6'!M35</f>
        <v>Program Peningkatan Kapasitas Lembaga Perwakilan Rakyat Daerah</v>
      </c>
      <c r="H495" s="164"/>
      <c r="I495" s="164"/>
      <c r="J495" s="929"/>
      <c r="K495" s="929"/>
      <c r="L495" s="929"/>
      <c r="M495" s="961"/>
      <c r="N495" s="929"/>
      <c r="O495" s="929"/>
      <c r="P495" s="929"/>
      <c r="Q495" s="929"/>
      <c r="R495" s="929"/>
      <c r="S495" s="929"/>
      <c r="T495" s="929"/>
      <c r="U495" s="929"/>
      <c r="V495" s="929"/>
      <c r="W495" s="929"/>
      <c r="X495" s="929"/>
      <c r="Y495" s="565"/>
      <c r="Z495" s="565"/>
    </row>
    <row r="496" spans="2:26" ht="45">
      <c r="B496" s="940"/>
      <c r="C496" s="941"/>
      <c r="D496" s="939"/>
      <c r="E496" s="939"/>
      <c r="F496" s="939"/>
      <c r="G496" s="939"/>
      <c r="H496" s="164" t="str">
        <f>'matrik MISI 6'!N35</f>
        <v>Persentase Jumlah Peraturan Daerah yang Ditetapkan Terhadap Jumlah Raperda</v>
      </c>
      <c r="I496" s="164" t="str">
        <f>'matrik MISI 6'!O35</f>
        <v>%</v>
      </c>
      <c r="J496" s="929">
        <f>'matrik MISI 6'!P35</f>
        <v>100</v>
      </c>
      <c r="K496" s="929">
        <f>'matrik MISI 6'!Q35</f>
        <v>100</v>
      </c>
      <c r="L496" s="929">
        <f>'matrik MISI 6'!R35</f>
        <v>100</v>
      </c>
      <c r="M496" s="961"/>
      <c r="N496" s="929">
        <f>'matrik MISI 6'!S35</f>
        <v>100</v>
      </c>
      <c r="O496" s="929"/>
      <c r="P496" s="929">
        <f>'matrik MISI 6'!T35</f>
        <v>100</v>
      </c>
      <c r="Q496" s="929"/>
      <c r="R496" s="929">
        <f>'matrik MISI 6'!U35</f>
        <v>100</v>
      </c>
      <c r="S496" s="929"/>
      <c r="T496" s="929">
        <f>'matrik MISI 6'!V35</f>
        <v>100</v>
      </c>
      <c r="U496" s="929"/>
      <c r="V496" s="929">
        <f>'matrik MISI 6'!W35</f>
        <v>100</v>
      </c>
      <c r="W496" s="929"/>
      <c r="X496" s="929" t="str">
        <f>'matrik MISI 6'!X35</f>
        <v>Sekretariat DPRD</v>
      </c>
      <c r="Y496" s="565" t="str">
        <f>'matrik MISI 6'!Y35</f>
        <v>Jumlah Peraturan Daerah yang Ditetapkan dibagi Jumlah prolegda  x 100</v>
      </c>
      <c r="Z496" s="565" t="str">
        <f>'matrik MISI 6'!Z35</f>
        <v xml:space="preserve">Usulan prolegda ditetapkan pada tahun sebelumnya </v>
      </c>
    </row>
    <row r="497" spans="2:26" ht="60">
      <c r="B497" s="940"/>
      <c r="C497" s="941"/>
      <c r="D497" s="940"/>
      <c r="E497" s="940"/>
      <c r="F497" s="940"/>
      <c r="G497" s="940"/>
      <c r="H497" s="164" t="str">
        <f>'matrik MISI 6'!N36</f>
        <v>Persentase Jumlah Keputusan DPRD yang Ditindak Lanjuti Terhadap Keputusan DPRD yang Ditetapkan</v>
      </c>
      <c r="I497" s="164" t="str">
        <f>'matrik MISI 6'!O36</f>
        <v>%</v>
      </c>
      <c r="J497" s="929">
        <f>'matrik MISI 6'!P36</f>
        <v>100</v>
      </c>
      <c r="K497" s="929">
        <f>'matrik MISI 6'!Q36</f>
        <v>100</v>
      </c>
      <c r="L497" s="929">
        <f>'matrik MISI 6'!R36</f>
        <v>100</v>
      </c>
      <c r="M497" s="961"/>
      <c r="N497" s="929">
        <f>'matrik MISI 6'!S36</f>
        <v>100</v>
      </c>
      <c r="O497" s="929"/>
      <c r="P497" s="929">
        <f>'matrik MISI 6'!T36</f>
        <v>100</v>
      </c>
      <c r="Q497" s="929"/>
      <c r="R497" s="929">
        <f>'matrik MISI 6'!U36</f>
        <v>100</v>
      </c>
      <c r="S497" s="929"/>
      <c r="T497" s="929">
        <f>'matrik MISI 6'!V36</f>
        <v>100</v>
      </c>
      <c r="U497" s="929"/>
      <c r="V497" s="929">
        <f>'matrik MISI 6'!W36</f>
        <v>100</v>
      </c>
      <c r="W497" s="929"/>
      <c r="X497" s="929" t="str">
        <f>'matrik MISI 6'!X36</f>
        <v>Sekretariat DPRD</v>
      </c>
      <c r="Y497" s="565" t="str">
        <f>'matrik MISI 6'!Y36</f>
        <v>Jumlah Keputusan DPRD yang Ditindaklanjuti  dibagi Keputusan DPRD yang Ditetapkan x 100</v>
      </c>
      <c r="Z497" s="565">
        <f>'matrik MISI 6'!Z36</f>
        <v>0</v>
      </c>
    </row>
    <row r="498" spans="2:26">
      <c r="B498" s="940"/>
      <c r="C498" s="941"/>
      <c r="D498" s="940"/>
      <c r="E498" s="940"/>
      <c r="F498" s="940"/>
      <c r="G498" s="940"/>
      <c r="H498" s="164"/>
      <c r="I498" s="164"/>
      <c r="J498" s="929"/>
      <c r="K498" s="929"/>
      <c r="L498" s="929"/>
      <c r="M498" s="961"/>
      <c r="N498" s="929"/>
      <c r="O498" s="929"/>
      <c r="P498" s="929"/>
      <c r="Q498" s="929"/>
      <c r="R498" s="929"/>
      <c r="S498" s="929"/>
      <c r="T498" s="929"/>
      <c r="U498" s="929"/>
      <c r="V498" s="929"/>
      <c r="W498" s="929"/>
      <c r="X498" s="929"/>
      <c r="Y498" s="565"/>
      <c r="Z498" s="565"/>
    </row>
    <row r="499" spans="2:26" ht="60">
      <c r="B499" s="940"/>
      <c r="C499" s="941"/>
      <c r="D499" s="940"/>
      <c r="E499" s="940"/>
      <c r="F499" s="940"/>
      <c r="G499" s="940" t="str">
        <f>'matrik MISI 6'!M37</f>
        <v>Program Peningkatan Profesionalisme Tenaga Pemeriksa dan Aparatur Pengawasan</v>
      </c>
      <c r="H499" s="164"/>
      <c r="I499" s="164"/>
      <c r="J499" s="929"/>
      <c r="K499" s="929"/>
      <c r="L499" s="929"/>
      <c r="M499" s="961"/>
      <c r="N499" s="929"/>
      <c r="O499" s="929"/>
      <c r="P499" s="929"/>
      <c r="Q499" s="929"/>
      <c r="R499" s="929"/>
      <c r="S499" s="929"/>
      <c r="T499" s="929"/>
      <c r="U499" s="929"/>
      <c r="V499" s="929"/>
      <c r="W499" s="929"/>
      <c r="X499" s="929"/>
      <c r="Y499" s="565"/>
      <c r="Z499" s="565"/>
    </row>
    <row r="500" spans="2:26" ht="30">
      <c r="B500" s="940"/>
      <c r="C500" s="941"/>
      <c r="D500" s="940" t="str">
        <f>'matrik MISI 6'!J37</f>
        <v>1.20</v>
      </c>
      <c r="E500" s="940" t="str">
        <f>'matrik MISI 6'!K37</f>
        <v>xx</v>
      </c>
      <c r="F500" s="940">
        <f>'matrik MISI 6'!L37</f>
        <v>21</v>
      </c>
      <c r="G500" s="939"/>
      <c r="H500" s="164" t="str">
        <f>'matrik MISI 6'!N37</f>
        <v>Persentase Penanganan Hasil Temuan Pemeriksaan</v>
      </c>
      <c r="I500" s="164" t="str">
        <f>'matrik MISI 6'!O37</f>
        <v>%</v>
      </c>
      <c r="J500" s="929">
        <f>'matrik MISI 6'!P37</f>
        <v>0</v>
      </c>
      <c r="K500" s="929">
        <f>'matrik MISI 6'!Q37</f>
        <v>64</v>
      </c>
      <c r="L500" s="929">
        <f>'matrik MISI 6'!R37</f>
        <v>70</v>
      </c>
      <c r="M500" s="961"/>
      <c r="N500" s="929">
        <f>'matrik MISI 6'!S37</f>
        <v>75</v>
      </c>
      <c r="O500" s="929"/>
      <c r="P500" s="929">
        <f>'matrik MISI 6'!T37</f>
        <v>80</v>
      </c>
      <c r="Q500" s="929"/>
      <c r="R500" s="929">
        <f>'matrik MISI 6'!U37</f>
        <v>85</v>
      </c>
      <c r="S500" s="929"/>
      <c r="T500" s="929">
        <f>'matrik MISI 6'!V37</f>
        <v>90</v>
      </c>
      <c r="U500" s="929"/>
      <c r="V500" s="929">
        <f>'matrik MISI 6'!W37</f>
        <v>90</v>
      </c>
      <c r="W500" s="929"/>
      <c r="X500" s="929" t="str">
        <f>'matrik MISI 6'!X37</f>
        <v>Inspektorat</v>
      </c>
      <c r="Y500" s="565" t="str">
        <f>'matrik MISI 6'!Y37</f>
        <v>Jumlah Penanganan Temuan dibagi Jumlah Temuan x 100</v>
      </c>
      <c r="Z500" s="565" t="str">
        <f>'matrik MISI 6'!Z37</f>
        <v>Pengawasan dilakukan terhadap semua SKPD pada tiap tahunnya</v>
      </c>
    </row>
    <row r="501" spans="2:26" ht="60">
      <c r="B501" s="940"/>
      <c r="C501" s="941"/>
      <c r="D501" s="940" t="str">
        <f>'matrik MISI 6'!J38</f>
        <v>1.20</v>
      </c>
      <c r="E501" s="940" t="str">
        <f>'matrik MISI 6'!K38</f>
        <v>xx</v>
      </c>
      <c r="F501" s="940">
        <f>'matrik MISI 6'!L38</f>
        <v>22</v>
      </c>
      <c r="G501" s="940" t="str">
        <f>'matrik MISI 6'!M38</f>
        <v>Program Penataan dan Penyempurnaan Kebijakan Sistem dan Prosedur Pengawasan</v>
      </c>
      <c r="H501" s="164"/>
      <c r="I501" s="164"/>
      <c r="J501" s="929"/>
      <c r="K501" s="929"/>
      <c r="L501" s="929"/>
      <c r="M501" s="961"/>
      <c r="N501" s="929"/>
      <c r="O501" s="929"/>
      <c r="P501" s="929"/>
      <c r="Q501" s="929"/>
      <c r="R501" s="929"/>
      <c r="S501" s="929"/>
      <c r="T501" s="929"/>
      <c r="U501" s="929"/>
      <c r="V501" s="929"/>
      <c r="W501" s="929"/>
      <c r="X501" s="929"/>
      <c r="Y501" s="565">
        <f>'matrik MISI 6'!Y38</f>
        <v>0</v>
      </c>
      <c r="Z501" s="565">
        <f>'matrik MISI 6'!Z38</f>
        <v>0</v>
      </c>
    </row>
    <row r="502" spans="2:26" ht="60">
      <c r="B502" s="940"/>
      <c r="C502" s="941"/>
      <c r="D502" s="940"/>
      <c r="E502" s="940"/>
      <c r="F502" s="940"/>
      <c r="G502" s="940"/>
      <c r="H502" s="164" t="str">
        <f>'matrik MISI 6'!N39</f>
        <v>Persentase SKPD, Unit Pelayanan, dan Satuan Pendidikan yang Menyusun Standar Pelayanan Publik</v>
      </c>
      <c r="I502" s="164" t="str">
        <f>'matrik MISI 6'!O39</f>
        <v>%</v>
      </c>
      <c r="J502" s="929">
        <f>'matrik MISI 6'!P39</f>
        <v>2.6785714285714284</v>
      </c>
      <c r="K502" s="929">
        <f>'matrik MISI 6'!Q39</f>
        <v>4.1071428571428568</v>
      </c>
      <c r="L502" s="929">
        <f>'matrik MISI 6'!R39</f>
        <v>7</v>
      </c>
      <c r="M502" s="961"/>
      <c r="N502" s="929">
        <f>'matrik MISI 6'!S39</f>
        <v>15</v>
      </c>
      <c r="O502" s="929"/>
      <c r="P502" s="929">
        <f>'matrik MISI 6'!T39</f>
        <v>45</v>
      </c>
      <c r="Q502" s="929"/>
      <c r="R502" s="929">
        <f>'matrik MISI 6'!U39</f>
        <v>70</v>
      </c>
      <c r="S502" s="929"/>
      <c r="T502" s="929">
        <f>'matrik MISI 6'!V39</f>
        <v>100</v>
      </c>
      <c r="U502" s="929"/>
      <c r="V502" s="929">
        <f>'matrik MISI 6'!W39</f>
        <v>100</v>
      </c>
      <c r="W502" s="929"/>
      <c r="X502" s="929" t="str">
        <f>'matrik MISI 6'!X39</f>
        <v>Bagian Organisasi dan Tata Laksana Setda</v>
      </c>
      <c r="Y502" s="565" t="str">
        <f>'matrik MISI 6'!Y39</f>
        <v>Jumlah SKPD yang Menyusun Standar Pelayanan Publik dibagi Jumlah SKPD yang wajib menyusun Standar Pelayanan Publik x 100</v>
      </c>
      <c r="Z502" s="565" t="str">
        <f>'matrik MISI 6'!Z39</f>
        <v>Tahun 2012 Jumlah Unit 560</v>
      </c>
    </row>
    <row r="503" spans="2:26" ht="60">
      <c r="B503" s="940"/>
      <c r="C503" s="941"/>
      <c r="D503" s="940"/>
      <c r="E503" s="940"/>
      <c r="F503" s="940"/>
      <c r="G503" s="940"/>
      <c r="H503" s="164" t="str">
        <f>'matrik MISI 6'!N40</f>
        <v>Persentase SKPD, Unit Pelayanan, dan Satuan Pendidikan yang telah Memiliki SOP</v>
      </c>
      <c r="I503" s="164" t="str">
        <f>'matrik MISI 6'!O40</f>
        <v>%</v>
      </c>
      <c r="J503" s="929">
        <f>'matrik MISI 6'!P40</f>
        <v>1.2403100775193798</v>
      </c>
      <c r="K503" s="929">
        <f>'matrik MISI 6'!Q40</f>
        <v>2.4806201550387597</v>
      </c>
      <c r="L503" s="929">
        <f>'matrik MISI 6'!R40</f>
        <v>8</v>
      </c>
      <c r="M503" s="961"/>
      <c r="N503" s="929">
        <f>'matrik MISI 6'!S40</f>
        <v>25</v>
      </c>
      <c r="O503" s="929"/>
      <c r="P503" s="929">
        <f>'matrik MISI 6'!T40</f>
        <v>50</v>
      </c>
      <c r="Q503" s="929"/>
      <c r="R503" s="929">
        <f>'matrik MISI 6'!U40</f>
        <v>75</v>
      </c>
      <c r="S503" s="929"/>
      <c r="T503" s="929">
        <f>'matrik MISI 6'!V40</f>
        <v>100</v>
      </c>
      <c r="U503" s="929"/>
      <c r="V503" s="929">
        <f>'matrik MISI 6'!W40</f>
        <v>100</v>
      </c>
      <c r="W503" s="929"/>
      <c r="X503" s="929" t="str">
        <f>'matrik MISI 6'!X40</f>
        <v>Bagian Organisasi dan Tata Laksana Setda</v>
      </c>
      <c r="Y503" s="565" t="str">
        <f>'matrik MISI 6'!Y40</f>
        <v>Jumlah SKPD yang Menyusun Standar Operasional Prosedur dibagi Jumlah SKPD x 100</v>
      </c>
      <c r="Z503" s="565" t="str">
        <f>'matrik MISI 6'!Z40</f>
        <v>SOP apa saja yang penetapannya dengan bagian ortala</v>
      </c>
    </row>
    <row r="504" spans="2:26" ht="30">
      <c r="B504" s="940"/>
      <c r="C504" s="941"/>
      <c r="D504" s="940"/>
      <c r="E504" s="940"/>
      <c r="F504" s="940"/>
      <c r="G504" s="940"/>
      <c r="H504" s="164" t="str">
        <f>'matrik MISI 6'!N41</f>
        <v>Meningkatnya Indeks Kepuasan Masyarakat</v>
      </c>
      <c r="I504" s="164" t="str">
        <f>'matrik MISI 6'!O41</f>
        <v>Kriteria</v>
      </c>
      <c r="J504" s="929" t="str">
        <f>'matrik MISI 6'!P41</f>
        <v>B</v>
      </c>
      <c r="K504" s="929" t="str">
        <f>'matrik MISI 6'!Q41</f>
        <v>B</v>
      </c>
      <c r="L504" s="929" t="str">
        <f>'matrik MISI 6'!R41</f>
        <v>B</v>
      </c>
      <c r="M504" s="961"/>
      <c r="N504" s="929" t="str">
        <f>'matrik MISI 6'!S41</f>
        <v>B</v>
      </c>
      <c r="O504" s="929"/>
      <c r="P504" s="929" t="str">
        <f>'matrik MISI 6'!T41</f>
        <v>B</v>
      </c>
      <c r="Q504" s="929"/>
      <c r="R504" s="929" t="str">
        <f>'matrik MISI 6'!U41</f>
        <v>B</v>
      </c>
      <c r="S504" s="929"/>
      <c r="T504" s="929" t="str">
        <f>'matrik MISI 6'!V41</f>
        <v>B</v>
      </c>
      <c r="U504" s="929"/>
      <c r="V504" s="929" t="str">
        <f>'matrik MISI 6'!W41</f>
        <v>B</v>
      </c>
      <c r="W504" s="929"/>
      <c r="X504" s="929" t="str">
        <f>'matrik MISI 6'!X41</f>
        <v>Bagian Organisasi dan Tata Laksana Setda</v>
      </c>
      <c r="Y504" s="565">
        <f>'matrik MISI 6'!Y41</f>
        <v>0</v>
      </c>
      <c r="Z504" s="565">
        <f>'matrik MISI 6'!Z41</f>
        <v>0</v>
      </c>
    </row>
    <row r="505" spans="2:26" ht="30">
      <c r="B505" s="940"/>
      <c r="C505" s="941"/>
      <c r="D505" s="940"/>
      <c r="E505" s="940"/>
      <c r="F505" s="940"/>
      <c r="G505" s="940" t="str">
        <f>'matrik MISI 6'!M42</f>
        <v>Program Perencanaan Pembangunan Daerah</v>
      </c>
      <c r="H505" s="164"/>
      <c r="I505" s="164"/>
      <c r="J505" s="929"/>
      <c r="K505" s="929"/>
      <c r="L505" s="929"/>
      <c r="M505" s="961"/>
      <c r="N505" s="929"/>
      <c r="O505" s="929"/>
      <c r="P505" s="929"/>
      <c r="Q505" s="929"/>
      <c r="R505" s="929"/>
      <c r="S505" s="929"/>
      <c r="T505" s="929"/>
      <c r="U505" s="929"/>
      <c r="V505" s="929"/>
      <c r="W505" s="929"/>
      <c r="X505" s="929"/>
      <c r="Y505" s="565"/>
      <c r="Z505" s="565"/>
    </row>
    <row r="506" spans="2:26" ht="45">
      <c r="B506" s="940"/>
      <c r="C506" s="941"/>
      <c r="D506" s="940">
        <f>'matrik MISI 6'!J42</f>
        <v>1.06</v>
      </c>
      <c r="E506" s="940" t="str">
        <f>'matrik MISI 6'!K42</f>
        <v>xx</v>
      </c>
      <c r="F506" s="940">
        <f>'matrik MISI 6'!L42</f>
        <v>15</v>
      </c>
      <c r="G506" s="939"/>
      <c r="H506" s="164" t="str">
        <f>'matrik MISI 6'!N42</f>
        <v>Peningkatan Nilai Sistem Akuntabilitas Kinerja Instansi Pemerintah (SAKIP)</v>
      </c>
      <c r="I506" s="164" t="str">
        <f>'matrik MISI 6'!O42</f>
        <v>Kriteria</v>
      </c>
      <c r="J506" s="929" t="str">
        <f>'matrik MISI 6'!P42</f>
        <v>C</v>
      </c>
      <c r="K506" s="929" t="str">
        <f>'matrik MISI 6'!Q42</f>
        <v>CC</v>
      </c>
      <c r="L506" s="929" t="str">
        <f>'matrik MISI 6'!R42</f>
        <v>CC</v>
      </c>
      <c r="M506" s="961"/>
      <c r="N506" s="929" t="str">
        <f>'matrik MISI 6'!S42</f>
        <v>B</v>
      </c>
      <c r="O506" s="929"/>
      <c r="P506" s="929" t="str">
        <f>'matrik MISI 6'!T42</f>
        <v>B</v>
      </c>
      <c r="Q506" s="929"/>
      <c r="R506" s="929" t="str">
        <f>'matrik MISI 6'!U42</f>
        <v>B</v>
      </c>
      <c r="S506" s="929"/>
      <c r="T506" s="929" t="str">
        <f>'matrik MISI 6'!V42</f>
        <v>B</v>
      </c>
      <c r="U506" s="929"/>
      <c r="V506" s="929" t="str">
        <f>'matrik MISI 6'!W42</f>
        <v>B</v>
      </c>
      <c r="W506" s="929"/>
      <c r="X506" s="929" t="str">
        <f>'matrik MISI 6'!X42</f>
        <v>Bagian Organisasi dan Tata Laksana Setda</v>
      </c>
      <c r="Y506" s="565" t="str">
        <f>'matrik MISI 6'!Y42</f>
        <v>Nilai SAKIP oleh Kemenpan dan RB</v>
      </c>
      <c r="Z506" s="565" t="str">
        <f>'matrik MISI 6'!Z42</f>
        <v>Serasa perlu digabungkan indikatornya</v>
      </c>
    </row>
    <row r="507" spans="2:26" ht="30">
      <c r="B507" s="940"/>
      <c r="C507" s="941"/>
      <c r="D507" s="940"/>
      <c r="E507" s="940"/>
      <c r="F507" s="940"/>
      <c r="G507" s="940" t="str">
        <f>'matrik MISI 6'!M47</f>
        <v>Program Perencanaan Pembangunan Daerah</v>
      </c>
      <c r="H507" s="164"/>
      <c r="I507" s="164"/>
      <c r="J507" s="929"/>
      <c r="K507" s="929"/>
      <c r="L507" s="929"/>
      <c r="M507" s="961"/>
      <c r="N507" s="929"/>
      <c r="O507" s="929"/>
      <c r="P507" s="929"/>
      <c r="Q507" s="929"/>
      <c r="R507" s="929"/>
      <c r="S507" s="929"/>
      <c r="T507" s="929"/>
      <c r="U507" s="929"/>
      <c r="V507" s="929"/>
      <c r="W507" s="929"/>
      <c r="X507" s="929"/>
      <c r="Y507" s="565"/>
      <c r="Z507" s="565"/>
    </row>
    <row r="508" spans="2:26" ht="60">
      <c r="B508" s="940"/>
      <c r="C508" s="941"/>
      <c r="D508" s="940">
        <f>'matrik MISI 6'!J47</f>
        <v>1.06</v>
      </c>
      <c r="E508" s="940" t="str">
        <f>'matrik MISI 6'!K47</f>
        <v>xx</v>
      </c>
      <c r="F508" s="940">
        <f>'matrik MISI 6'!L47</f>
        <v>15</v>
      </c>
      <c r="G508" s="939"/>
      <c r="H508" s="164" t="str">
        <f>'matrik MISI 6'!N47</f>
        <v>Persentase Ketepatan Waktu SKPD dalam Penyampaian Laporan Kinerja (LAKIP dan TAPKIN)</v>
      </c>
      <c r="I508" s="164" t="str">
        <f>'matrik MISI 6'!O47</f>
        <v>%</v>
      </c>
      <c r="J508" s="929">
        <f>'matrik MISI 6'!P47</f>
        <v>50</v>
      </c>
      <c r="K508" s="929">
        <f>'matrik MISI 6'!Q47</f>
        <v>60</v>
      </c>
      <c r="L508" s="929">
        <f>'matrik MISI 6'!R47</f>
        <v>70</v>
      </c>
      <c r="M508" s="961"/>
      <c r="N508" s="929">
        <f>'matrik MISI 6'!S47</f>
        <v>80</v>
      </c>
      <c r="O508" s="929"/>
      <c r="P508" s="929">
        <f>'matrik MISI 6'!T47</f>
        <v>90</v>
      </c>
      <c r="Q508" s="929"/>
      <c r="R508" s="929">
        <f>'matrik MISI 6'!U47</f>
        <v>95</v>
      </c>
      <c r="S508" s="929"/>
      <c r="T508" s="929">
        <f>'matrik MISI 6'!V47</f>
        <v>95</v>
      </c>
      <c r="U508" s="929"/>
      <c r="V508" s="929">
        <f>'matrik MISI 6'!W47</f>
        <v>95</v>
      </c>
      <c r="W508" s="929"/>
      <c r="X508" s="929" t="str">
        <f>'matrik MISI 6'!X47</f>
        <v>Bagian Organisasi dan Tata Laksana Setda</v>
      </c>
      <c r="Y508" s="565" t="str">
        <f>'matrik MISI 6'!Y47</f>
        <v>Jumlah SKPD dalam Penyampaian Laporan Kinerja (LAKIP dan TAPKIN) tepat waktu dibagi jumlah SKPD x 100 %</v>
      </c>
      <c r="Z508" s="565">
        <f>'matrik MISI 6'!Z47</f>
        <v>0</v>
      </c>
    </row>
    <row r="509" spans="2:26" ht="45">
      <c r="B509" s="940"/>
      <c r="C509" s="941"/>
      <c r="D509" s="940"/>
      <c r="E509" s="940"/>
      <c r="F509" s="940"/>
      <c r="G509" s="940" t="str">
        <f>'matrik MISI 6'!M52</f>
        <v>Program Pengendalian Pelaksanaan Kegiatan APBD</v>
      </c>
      <c r="H509" s="164"/>
      <c r="I509" s="164"/>
      <c r="J509" s="929"/>
      <c r="K509" s="929"/>
      <c r="L509" s="929"/>
      <c r="M509" s="961"/>
      <c r="N509" s="929"/>
      <c r="O509" s="929"/>
      <c r="P509" s="929"/>
      <c r="Q509" s="929"/>
      <c r="R509" s="929"/>
      <c r="S509" s="929"/>
      <c r="T509" s="929"/>
      <c r="U509" s="929"/>
      <c r="V509" s="929"/>
      <c r="W509" s="929"/>
      <c r="X509" s="929"/>
      <c r="Y509" s="565"/>
      <c r="Z509" s="565"/>
    </row>
    <row r="510" spans="2:26" ht="30">
      <c r="B510" s="940"/>
      <c r="C510" s="941"/>
      <c r="D510" s="940" t="str">
        <f>'matrik MISI 6'!J52</f>
        <v>1.20</v>
      </c>
      <c r="E510" s="940" t="str">
        <f>'matrik MISI 6'!K52</f>
        <v>xx</v>
      </c>
      <c r="F510" s="940">
        <f>'matrik MISI 6'!L52</f>
        <v>29</v>
      </c>
      <c r="G510" s="939"/>
      <c r="H510" s="164" t="str">
        <f>'matrik MISI 6'!N52</f>
        <v xml:space="preserve">Persentase Keberhasilan pengadaan barang/jasa  </v>
      </c>
      <c r="I510" s="164" t="str">
        <f>'matrik MISI 6'!O52</f>
        <v>%</v>
      </c>
      <c r="J510" s="929">
        <f>'matrik MISI 6'!P52</f>
        <v>0</v>
      </c>
      <c r="K510" s="929">
        <f>'matrik MISI 6'!Q52</f>
        <v>0</v>
      </c>
      <c r="L510" s="929">
        <f>'matrik MISI 6'!R52</f>
        <v>100</v>
      </c>
      <c r="M510" s="961"/>
      <c r="N510" s="929">
        <f>'matrik MISI 6'!S52</f>
        <v>100</v>
      </c>
      <c r="O510" s="929"/>
      <c r="P510" s="929">
        <f>'matrik MISI 6'!T52</f>
        <v>100</v>
      </c>
      <c r="Q510" s="929"/>
      <c r="R510" s="929">
        <f>'matrik MISI 6'!U52</f>
        <v>100</v>
      </c>
      <c r="S510" s="929"/>
      <c r="T510" s="929">
        <f>'matrik MISI 6'!V52</f>
        <v>100</v>
      </c>
      <c r="U510" s="929"/>
      <c r="V510" s="929">
        <f>'matrik MISI 6'!W52</f>
        <v>100</v>
      </c>
      <c r="W510" s="929"/>
      <c r="X510" s="929" t="str">
        <f>'matrik MISI 6'!X52</f>
        <v>Bagian Pembangunan Setda</v>
      </c>
      <c r="Y510" s="565" t="str">
        <f>'matrik MISI 6'!Y52</f>
        <v>Jumlah pengadaan barang/jasa yang Berhasil dibagi jumlah DURP x 100 %</v>
      </c>
      <c r="Z510" s="565">
        <f>'matrik MISI 6'!Z52</f>
        <v>0</v>
      </c>
    </row>
    <row r="511" spans="2:26" ht="45">
      <c r="B511" s="940"/>
      <c r="C511" s="941"/>
      <c r="D511" s="940"/>
      <c r="E511" s="940"/>
      <c r="F511" s="940"/>
      <c r="G511" s="940" t="str">
        <f>'matrik MISI 6'!M53</f>
        <v>Program Pembinaan dan Fasilitasi Pengelolaan Keuangan Kabupaten</v>
      </c>
      <c r="H511" s="164"/>
      <c r="I511" s="164"/>
      <c r="J511" s="929"/>
      <c r="K511" s="929"/>
      <c r="L511" s="929"/>
      <c r="M511" s="961"/>
      <c r="N511" s="929"/>
      <c r="O511" s="929"/>
      <c r="P511" s="929"/>
      <c r="Q511" s="929"/>
      <c r="R511" s="929"/>
      <c r="S511" s="929"/>
      <c r="T511" s="929"/>
      <c r="U511" s="929"/>
      <c r="V511" s="929"/>
      <c r="W511" s="929"/>
      <c r="X511" s="929"/>
      <c r="Y511" s="565"/>
      <c r="Z511" s="565"/>
    </row>
    <row r="512" spans="2:26" ht="30">
      <c r="B512" s="940"/>
      <c r="C512" s="941"/>
      <c r="D512" s="940" t="str">
        <f>'matrik MISI 6'!J53</f>
        <v>1.20</v>
      </c>
      <c r="E512" s="940" t="str">
        <f>'matrik MISI 6'!K53</f>
        <v>xx</v>
      </c>
      <c r="F512" s="940">
        <f>'matrik MISI 6'!L53</f>
        <v>18</v>
      </c>
      <c r="G512" s="939"/>
      <c r="H512" s="164" t="str">
        <f>'matrik MISI 6'!N53</f>
        <v>Persentase Kegiatan yang dilaksanakan tepat waktu</v>
      </c>
      <c r="I512" s="164" t="str">
        <f>'matrik MISI 6'!O53</f>
        <v>%</v>
      </c>
      <c r="J512" s="929">
        <f>'matrik MISI 6'!P53</f>
        <v>0</v>
      </c>
      <c r="K512" s="929">
        <f>'matrik MISI 6'!Q53</f>
        <v>0</v>
      </c>
      <c r="L512" s="929">
        <f>'matrik MISI 6'!R53</f>
        <v>100</v>
      </c>
      <c r="M512" s="961"/>
      <c r="N512" s="929">
        <f>'matrik MISI 6'!S53</f>
        <v>100</v>
      </c>
      <c r="O512" s="929"/>
      <c r="P512" s="929">
        <f>'matrik MISI 6'!T53</f>
        <v>100</v>
      </c>
      <c r="Q512" s="929"/>
      <c r="R512" s="929">
        <f>'matrik MISI 6'!U53</f>
        <v>100</v>
      </c>
      <c r="S512" s="929"/>
      <c r="T512" s="929">
        <f>'matrik MISI 6'!V53</f>
        <v>100</v>
      </c>
      <c r="U512" s="929"/>
      <c r="V512" s="929">
        <f>'matrik MISI 6'!W53</f>
        <v>100</v>
      </c>
      <c r="W512" s="929"/>
      <c r="X512" s="929" t="str">
        <f>'matrik MISI 6'!X53</f>
        <v>Bagian Pembangunan Setda</v>
      </c>
      <c r="Y512" s="565" t="str">
        <f>'matrik MISI 6'!Y53</f>
        <v>Jumlah Kegiatan yang dilaksanakan tepat waktu oleh Pihak ketiga dibagi jumlah kegiatan oleh pihak ketiga x 100 %</v>
      </c>
      <c r="Z512" s="565">
        <f>'matrik MISI 6'!Z53</f>
        <v>0</v>
      </c>
    </row>
    <row r="513" spans="2:39" ht="45">
      <c r="B513" s="940"/>
      <c r="C513" s="941"/>
      <c r="D513" s="940"/>
      <c r="E513" s="940"/>
      <c r="F513" s="940"/>
      <c r="G513" s="940" t="str">
        <f>'matrik MISI 6'!M54</f>
        <v>Program Penataan Peraturan Perundang-undangan</v>
      </c>
      <c r="H513" s="164"/>
      <c r="I513" s="164"/>
      <c r="J513" s="929"/>
      <c r="K513" s="929"/>
      <c r="L513" s="929"/>
      <c r="M513" s="961"/>
      <c r="N513" s="929"/>
      <c r="O513" s="929"/>
      <c r="P513" s="929"/>
      <c r="Q513" s="929"/>
      <c r="R513" s="929"/>
      <c r="S513" s="929"/>
      <c r="T513" s="929"/>
      <c r="U513" s="929"/>
      <c r="V513" s="929"/>
      <c r="W513" s="929"/>
      <c r="X513" s="929"/>
      <c r="Y513" s="565"/>
      <c r="Z513" s="565"/>
    </row>
    <row r="514" spans="2:39" ht="60">
      <c r="B514" s="940"/>
      <c r="C514" s="941"/>
      <c r="D514" s="940" t="str">
        <f>'matrik MISI 6'!J54</f>
        <v>1.20</v>
      </c>
      <c r="E514" s="940" t="str">
        <f>'matrik MISI 6'!K54</f>
        <v>xx</v>
      </c>
      <c r="F514" s="940">
        <f>'matrik MISI 6'!L54</f>
        <v>26</v>
      </c>
      <c r="G514" s="939"/>
      <c r="H514" s="164" t="str">
        <f>'matrik MISI 6'!N54</f>
        <v>Persentase Jumlah Peraturan Daerah yang Ditindaklanjuti Terhadap Jumlah Total Peraturan Daerah dalam 1 (Satu) Tahun</v>
      </c>
      <c r="I514" s="164" t="str">
        <f>'matrik MISI 6'!O54</f>
        <v>%</v>
      </c>
      <c r="J514" s="929" t="str">
        <f>'matrik MISI 6'!P54</f>
        <v>96,6</v>
      </c>
      <c r="K514" s="929">
        <f>'matrik MISI 6'!Q54</f>
        <v>100</v>
      </c>
      <c r="L514" s="929">
        <f>'matrik MISI 6'!R54</f>
        <v>100</v>
      </c>
      <c r="M514" s="961"/>
      <c r="N514" s="929">
        <f>'matrik MISI 6'!S54</f>
        <v>100</v>
      </c>
      <c r="O514" s="929"/>
      <c r="P514" s="929">
        <f>'matrik MISI 6'!T54</f>
        <v>100</v>
      </c>
      <c r="Q514" s="929"/>
      <c r="R514" s="929">
        <f>'matrik MISI 6'!U54</f>
        <v>100</v>
      </c>
      <c r="S514" s="929"/>
      <c r="T514" s="929">
        <f>'matrik MISI 6'!V54</f>
        <v>100</v>
      </c>
      <c r="U514" s="929"/>
      <c r="V514" s="929">
        <f>'matrik MISI 6'!W54</f>
        <v>100</v>
      </c>
      <c r="W514" s="929"/>
      <c r="X514" s="929" t="str">
        <f>'matrik MISI 6'!X54</f>
        <v>Bagian Hukum Setda</v>
      </c>
      <c r="Y514" s="565" t="str">
        <f>'matrik MISI 6'!Y54</f>
        <v>Jumlah Peraturan Daerah yang Ditindaklanjuti dibagi jumlah Total Peraturan Daerah dalam 1 (Satu) Tahun x 100 %</v>
      </c>
      <c r="Z514" s="565" t="str">
        <f>'matrik MISI 6'!Z54</f>
        <v>Kreteria tindak lanjut perda :Perbup,Juklak Juknis untuk diperjelas</v>
      </c>
    </row>
    <row r="515" spans="2:39">
      <c r="B515" s="940"/>
      <c r="C515" s="941"/>
      <c r="D515" s="940"/>
      <c r="E515" s="940"/>
      <c r="F515" s="940"/>
      <c r="G515" s="940"/>
      <c r="H515" s="164"/>
      <c r="I515" s="164"/>
      <c r="J515" s="929"/>
      <c r="K515" s="929"/>
      <c r="L515" s="929"/>
      <c r="M515" s="961"/>
      <c r="N515" s="929"/>
      <c r="O515" s="929"/>
      <c r="P515" s="929"/>
      <c r="Q515" s="929"/>
      <c r="R515" s="929"/>
      <c r="S515" s="929"/>
      <c r="T515" s="929"/>
      <c r="U515" s="929"/>
      <c r="V515" s="929"/>
      <c r="W515" s="929"/>
      <c r="X515" s="929"/>
      <c r="Y515" s="565"/>
      <c r="Z515" s="565"/>
      <c r="AE515" s="569">
        <v>2014</v>
      </c>
      <c r="AG515" s="569">
        <v>15</v>
      </c>
      <c r="AI515" s="569">
        <v>16</v>
      </c>
      <c r="AK515" s="569">
        <v>17</v>
      </c>
      <c r="AM515" s="569">
        <v>18</v>
      </c>
    </row>
    <row r="516" spans="2:39" ht="60" customHeight="1">
      <c r="B516" s="940"/>
      <c r="C516" s="941"/>
      <c r="D516" s="939"/>
      <c r="E516" s="939"/>
      <c r="F516" s="939"/>
      <c r="G516" s="939"/>
      <c r="H516" s="1008" t="str">
        <f>'matrik MISI 6'!N55</f>
        <v>Persentase Anggaran Penata usahaan SKPD terhadap Total Belanja Langsung SKPD dalam 1 (satu) Tahun</v>
      </c>
      <c r="I516" s="164" t="str">
        <f>'matrik MISI 6'!O55</f>
        <v>%</v>
      </c>
      <c r="J516" s="929">
        <f>'matrik MISI 6'!P55</f>
        <v>26</v>
      </c>
      <c r="K516" s="929">
        <f>'matrik MISI 6'!Q55</f>
        <v>26</v>
      </c>
      <c r="L516" s="929">
        <f>'matrik MISI 6'!R55</f>
        <v>26</v>
      </c>
      <c r="M516" s="961"/>
      <c r="N516" s="929">
        <f>'matrik MISI 6'!S55</f>
        <v>25</v>
      </c>
      <c r="O516" s="929"/>
      <c r="P516" s="929">
        <f>'matrik MISI 6'!T55</f>
        <v>25</v>
      </c>
      <c r="Q516" s="929"/>
      <c r="R516" s="929">
        <f>'matrik MISI 6'!U55</f>
        <v>25</v>
      </c>
      <c r="S516" s="929"/>
      <c r="T516" s="929">
        <f>'matrik MISI 6'!V55</f>
        <v>25</v>
      </c>
      <c r="U516" s="929"/>
      <c r="V516" s="929">
        <f>'matrik MISI 6'!W55</f>
        <v>25</v>
      </c>
      <c r="W516" s="929"/>
      <c r="X516" s="929" t="str">
        <f>'matrik MISI 6'!X55</f>
        <v>DPPKAD</v>
      </c>
      <c r="Y516" s="565" t="str">
        <f>'matrik MISI 6'!Y55</f>
        <v xml:space="preserve">Anggaran Penata usahaan SKPD dibagi Total Belanja Langsung SKPD dalam 1 (satu) Tahun x 100 </v>
      </c>
      <c r="Z516" s="565">
        <f>'matrik MISI 6'!Z55</f>
        <v>0</v>
      </c>
    </row>
    <row r="517" spans="2:39" ht="60" customHeight="1">
      <c r="B517" s="940"/>
      <c r="C517" s="941"/>
      <c r="D517" s="939"/>
      <c r="E517" s="939"/>
      <c r="F517" s="939"/>
      <c r="G517" s="940" t="str">
        <f>'matrik MISI 6'!M58</f>
        <v>Program Peningkatan Pelayanan Kedinasan Kepala Daerah/Wakil Kepala Daerah</v>
      </c>
      <c r="H517" s="1008"/>
      <c r="I517" s="164"/>
      <c r="J517" s="929"/>
      <c r="K517" s="929"/>
      <c r="L517" s="929"/>
      <c r="M517" s="961"/>
      <c r="N517" s="929"/>
      <c r="O517" s="929"/>
      <c r="P517" s="929"/>
      <c r="Q517" s="929"/>
      <c r="R517" s="929"/>
      <c r="S517" s="929"/>
      <c r="T517" s="929"/>
      <c r="U517" s="929"/>
      <c r="V517" s="929"/>
      <c r="W517" s="929"/>
      <c r="X517" s="929"/>
      <c r="Y517" s="565"/>
      <c r="Z517" s="565"/>
    </row>
    <row r="518" spans="2:39" ht="60">
      <c r="B518" s="940"/>
      <c r="C518" s="941"/>
      <c r="D518" s="940" t="str">
        <f>'matrik MISI 6'!J58</f>
        <v>1.20</v>
      </c>
      <c r="E518" s="940" t="str">
        <f>'matrik MISI 6'!K58</f>
        <v>xx</v>
      </c>
      <c r="F518" s="940">
        <f>'matrik MISI 6'!L58</f>
        <v>16</v>
      </c>
      <c r="G518" s="939"/>
      <c r="H518" s="164" t="str">
        <f>'matrik MISI 6'!N58</f>
        <v xml:space="preserve">Besaran Ketersediaan sarana dan prasarana kedinasan kepala Daerah/Wakil Kepala Daerah dan Organisasi Perangkat Daerah </v>
      </c>
      <c r="I518" s="164" t="str">
        <f>'matrik MISI 6'!O58</f>
        <v>%</v>
      </c>
      <c r="J518" s="929" t="str">
        <f>'matrik MISI 6'!P58</f>
        <v xml:space="preserve"> - </v>
      </c>
      <c r="K518" s="929" t="str">
        <f>'matrik MISI 6'!Q58</f>
        <v xml:space="preserve"> - </v>
      </c>
      <c r="L518" s="929">
        <f>'matrik MISI 6'!R58</f>
        <v>100</v>
      </c>
      <c r="M518" s="961"/>
      <c r="N518" s="929">
        <f>'matrik MISI 6'!S58</f>
        <v>100</v>
      </c>
      <c r="O518" s="929"/>
      <c r="P518" s="929">
        <f>'matrik MISI 6'!T58</f>
        <v>100</v>
      </c>
      <c r="Q518" s="929"/>
      <c r="R518" s="929">
        <f>'matrik MISI 6'!U58</f>
        <v>100</v>
      </c>
      <c r="S518" s="929"/>
      <c r="T518" s="929">
        <f>'matrik MISI 6'!V58</f>
        <v>100</v>
      </c>
      <c r="U518" s="929"/>
      <c r="V518" s="929">
        <f>'matrik MISI 6'!W58</f>
        <v>100</v>
      </c>
      <c r="W518" s="929"/>
      <c r="X518" s="929" t="str">
        <f>'matrik MISI 6'!X58</f>
        <v>Bagian Umum Setda</v>
      </c>
      <c r="Y518" s="565">
        <f>'matrik MISI 6'!Y58</f>
        <v>0</v>
      </c>
      <c r="Z518" s="565">
        <f>'matrik MISI 6'!Z58</f>
        <v>0</v>
      </c>
    </row>
    <row r="519" spans="2:39" ht="30">
      <c r="B519" s="940"/>
      <c r="C519" s="941"/>
      <c r="D519" s="940"/>
      <c r="E519" s="940"/>
      <c r="F519" s="940"/>
      <c r="G519" s="940" t="str">
        <f>'matrik MISI 6'!M59</f>
        <v>Program Kerjasama  Daerah</v>
      </c>
      <c r="H519" s="164"/>
      <c r="I519" s="164"/>
      <c r="J519" s="929"/>
      <c r="K519" s="929"/>
      <c r="L519" s="929"/>
      <c r="M519" s="961"/>
      <c r="N519" s="929"/>
      <c r="O519" s="929"/>
      <c r="P519" s="929"/>
      <c r="Q519" s="929"/>
      <c r="R519" s="929"/>
      <c r="S519" s="929"/>
      <c r="T519" s="929"/>
      <c r="U519" s="929"/>
      <c r="V519" s="929"/>
      <c r="W519" s="929"/>
      <c r="X519" s="929"/>
      <c r="Y519" s="565"/>
      <c r="Z519" s="565"/>
    </row>
    <row r="520" spans="2:39" ht="30">
      <c r="B520" s="940"/>
      <c r="C520" s="941"/>
      <c r="D520" s="940" t="str">
        <f>'matrik MISI 6'!J59</f>
        <v>1.20</v>
      </c>
      <c r="E520" s="940" t="str">
        <f>'matrik MISI 6'!K59</f>
        <v>xx</v>
      </c>
      <c r="F520" s="940">
        <f>'matrik MISI 6'!L59</f>
        <v>25</v>
      </c>
      <c r="G520" s="939"/>
      <c r="H520" s="164" t="str">
        <f>'matrik MISI 6'!N59</f>
        <v>Besaran kerjasama daerah</v>
      </c>
      <c r="I520" s="164" t="str">
        <f>'matrik MISI 6'!O59</f>
        <v>Dokumen</v>
      </c>
      <c r="J520" s="929">
        <f>'matrik MISI 6'!P59</f>
        <v>1</v>
      </c>
      <c r="K520" s="929">
        <f>'matrik MISI 6'!Q59</f>
        <v>1</v>
      </c>
      <c r="L520" s="929">
        <f>'matrik MISI 6'!R59</f>
        <v>1</v>
      </c>
      <c r="M520" s="961"/>
      <c r="N520" s="929">
        <f>'matrik MISI 6'!S59</f>
        <v>1</v>
      </c>
      <c r="O520" s="929"/>
      <c r="P520" s="929">
        <f>'matrik MISI 6'!T59</f>
        <v>1</v>
      </c>
      <c r="Q520" s="929"/>
      <c r="R520" s="929">
        <f>'matrik MISI 6'!U59</f>
        <v>1</v>
      </c>
      <c r="S520" s="929"/>
      <c r="T520" s="929">
        <f>'matrik MISI 6'!V59</f>
        <v>1</v>
      </c>
      <c r="U520" s="929"/>
      <c r="V520" s="929">
        <f>'matrik MISI 6'!W59</f>
        <v>1</v>
      </c>
      <c r="W520" s="929"/>
      <c r="X520" s="929" t="str">
        <f>'matrik MISI 6'!X59</f>
        <v>Bagian Pemerintahan Umum Setda</v>
      </c>
      <c r="Y520" s="565" t="str">
        <f>'matrik MISI 6'!Y59</f>
        <v xml:space="preserve">Jumlah kerjasama daerah </v>
      </c>
      <c r="Z520" s="565" t="str">
        <f>'matrik MISI 6'!Z59</f>
        <v>Dokumen Perjanjian Kerjasama</v>
      </c>
    </row>
    <row r="521" spans="2:39" ht="90">
      <c r="B521" s="940"/>
      <c r="C521" s="941"/>
      <c r="D521" s="940" t="str">
        <f>'matrik MISI 6'!J60</f>
        <v>1.20</v>
      </c>
      <c r="E521" s="940" t="str">
        <f>'matrik MISI 6'!K60</f>
        <v>xx</v>
      </c>
      <c r="F521" s="940">
        <f>'matrik MISI 6'!L60</f>
        <v>20</v>
      </c>
      <c r="G521" s="940" t="str">
        <f>'matrik MISI 6'!M60</f>
        <v>Program Peningkatan Sistem Pengawasan  Internal dan Pengendalian Pelaksanaan Kebijakan Daerah</v>
      </c>
      <c r="H521" s="164" t="str">
        <f>'matrik MISI 6'!N60</f>
        <v xml:space="preserve">Cakupan Pelaksanaan SPM </v>
      </c>
      <c r="I521" s="164" t="str">
        <f>'matrik MISI 6'!O60</f>
        <v>%</v>
      </c>
      <c r="J521" s="929" t="str">
        <f>'matrik MISI 6'!P60</f>
        <v>5,8</v>
      </c>
      <c r="K521" s="929" t="str">
        <f>'matrik MISI 6'!Q60</f>
        <v>8,3</v>
      </c>
      <c r="L521" s="929" t="str">
        <f>'matrik MISI 6'!R60</f>
        <v>72,4</v>
      </c>
      <c r="M521" s="961"/>
      <c r="N521" s="929" t="str">
        <f>'matrik MISI 6'!S60</f>
        <v>91,7</v>
      </c>
      <c r="O521" s="929"/>
      <c r="P521" s="929" t="str">
        <f>'matrik MISI 6'!T60</f>
        <v>96,8</v>
      </c>
      <c r="Q521" s="929"/>
      <c r="R521" s="929" t="str">
        <f>'matrik MISI 6'!U60</f>
        <v>96,8</v>
      </c>
      <c r="S521" s="929"/>
      <c r="T521" s="929" t="str">
        <f>'matrik MISI 6'!V60</f>
        <v>96,8</v>
      </c>
      <c r="U521" s="929"/>
      <c r="V521" s="929" t="str">
        <f>'matrik MISI 6'!W60</f>
        <v>96,8</v>
      </c>
      <c r="W521" s="929"/>
      <c r="X521" s="929" t="str">
        <f>'matrik MISI 6'!X60</f>
        <v>Bagian Pemerintahan Umum Setda</v>
      </c>
      <c r="Y521" s="565" t="str">
        <f>'matrik MISI 6'!Y60</f>
        <v>Jumlah indikator SPM yang tercapai di tahun target dibagi jumlah indikator dalam SPM x 100</v>
      </c>
      <c r="Z521" s="565" t="str">
        <f>'matrik MISI 6'!Z60</f>
        <v>Target SPM menyesuaikan target nasional</v>
      </c>
    </row>
    <row r="522" spans="2:39" ht="30">
      <c r="B522" s="940"/>
      <c r="C522" s="941"/>
      <c r="D522" s="940"/>
      <c r="E522" s="940"/>
      <c r="F522" s="940"/>
      <c r="G522" s="940"/>
      <c r="H522" s="164" t="str">
        <f>'matrik MISI 6'!N62</f>
        <v xml:space="preserve">Persentase Tersusunnya dokumen pelaporan daerah </v>
      </c>
      <c r="I522" s="164" t="str">
        <f>'matrik MISI 6'!O62</f>
        <v>%</v>
      </c>
      <c r="J522" s="929">
        <f>'matrik MISI 6'!P62</f>
        <v>100</v>
      </c>
      <c r="K522" s="929">
        <f>'matrik MISI 6'!Q62</f>
        <v>100</v>
      </c>
      <c r="L522" s="929">
        <f>'matrik MISI 6'!R62</f>
        <v>100</v>
      </c>
      <c r="M522" s="961"/>
      <c r="N522" s="929">
        <f>'matrik MISI 6'!S62</f>
        <v>100</v>
      </c>
      <c r="O522" s="929"/>
      <c r="P522" s="929">
        <f>'matrik MISI 6'!T62</f>
        <v>100</v>
      </c>
      <c r="Q522" s="929"/>
      <c r="R522" s="929">
        <f>'matrik MISI 6'!U62</f>
        <v>100</v>
      </c>
      <c r="S522" s="929"/>
      <c r="T522" s="929">
        <f>'matrik MISI 6'!V62</f>
        <v>100</v>
      </c>
      <c r="U522" s="929"/>
      <c r="V522" s="929">
        <f>'matrik MISI 6'!W62</f>
        <v>100</v>
      </c>
      <c r="W522" s="929"/>
      <c r="X522" s="929" t="str">
        <f>'matrik MISI 6'!X62</f>
        <v>Bagian Pemerintahan Umum Setda</v>
      </c>
      <c r="Y522" s="565" t="str">
        <f>'matrik MISI 6'!Y62</f>
        <v>Jumlah dokumen pelaporan daerah dibagi Jumlah dokumen pelaporan yang seharusnya ada</v>
      </c>
      <c r="Z522" s="565" t="str">
        <f>'matrik MISI 6'!Z62</f>
        <v>Dokumen pelaporan Kepala Daerah yang wajib dibuat meliputi LPPD,LKPJ,ILPPD, LPPD AMJ, LKPJ AMJ, Memori Jabatan</v>
      </c>
    </row>
    <row r="523" spans="2:39" ht="45">
      <c r="B523" s="940"/>
      <c r="C523" s="941"/>
      <c r="D523" s="940"/>
      <c r="E523" s="940"/>
      <c r="F523" s="940"/>
      <c r="G523" s="940"/>
      <c r="H523" s="164" t="str">
        <f>'matrik MISI 6'!N51</f>
        <v>Persentase Jumlah SKPD yang Menyampaikan DURP dengan tepat waktu</v>
      </c>
      <c r="I523" s="164" t="str">
        <f>'matrik MISI 6'!O51</f>
        <v>%</v>
      </c>
      <c r="J523" s="929">
        <f>'matrik MISI 6'!P51</f>
        <v>0</v>
      </c>
      <c r="K523" s="929">
        <f>'matrik MISI 6'!Q51</f>
        <v>0</v>
      </c>
      <c r="L523" s="929">
        <f>'matrik MISI 6'!R51</f>
        <v>100</v>
      </c>
      <c r="M523" s="961"/>
      <c r="N523" s="929">
        <f>'matrik MISI 6'!S51</f>
        <v>100</v>
      </c>
      <c r="O523" s="929"/>
      <c r="P523" s="929">
        <f>'matrik MISI 6'!T51</f>
        <v>100</v>
      </c>
      <c r="Q523" s="929"/>
      <c r="R523" s="929">
        <f>'matrik MISI 6'!U51</f>
        <v>100</v>
      </c>
      <c r="S523" s="929"/>
      <c r="T523" s="929">
        <f>'matrik MISI 6'!V51</f>
        <v>100</v>
      </c>
      <c r="U523" s="929"/>
      <c r="V523" s="929">
        <f>'matrik MISI 6'!W51</f>
        <v>100</v>
      </c>
      <c r="W523" s="929"/>
      <c r="X523" s="929" t="str">
        <f>'matrik MISI 6'!X51</f>
        <v>Bagian Pembangunan Setda</v>
      </c>
      <c r="Y523" s="565" t="str">
        <f>'matrik MISI 6'!Y51</f>
        <v>Jumlah SKPD yang melaporkan DURP tepat waktu dibagi jumlah SKPD yang mempunyai DURP x 100 %</v>
      </c>
      <c r="Z523" s="565">
        <f>'matrik MISI 6'!Z51</f>
        <v>0</v>
      </c>
    </row>
    <row r="524" spans="2:39" ht="45">
      <c r="B524" s="940"/>
      <c r="C524" s="941"/>
      <c r="D524" s="940" t="str">
        <f>'matrik MISI 6'!J63</f>
        <v>1.20</v>
      </c>
      <c r="E524" s="940" t="str">
        <f>'matrik MISI 6'!K63</f>
        <v>xx</v>
      </c>
      <c r="F524" s="940">
        <f>'matrik MISI 6'!L63</f>
        <v>33</v>
      </c>
      <c r="G524" s="940" t="str">
        <f>'matrik MISI 6'!M63</f>
        <v>Program Peningkatan Kapasitas Sumber Daya Aparatur</v>
      </c>
      <c r="H524" s="164"/>
      <c r="I524" s="164"/>
      <c r="J524" s="929"/>
      <c r="K524" s="929"/>
      <c r="L524" s="929"/>
      <c r="M524" s="961"/>
      <c r="N524" s="929"/>
      <c r="O524" s="929"/>
      <c r="P524" s="929"/>
      <c r="Q524" s="929"/>
      <c r="R524" s="929"/>
      <c r="S524" s="929"/>
      <c r="T524" s="929"/>
      <c r="U524" s="929"/>
      <c r="V524" s="929"/>
      <c r="W524" s="929"/>
      <c r="X524" s="929"/>
      <c r="Y524" s="565"/>
      <c r="Z524" s="565"/>
    </row>
    <row r="525" spans="2:39" ht="30">
      <c r="B525" s="940"/>
      <c r="C525" s="941"/>
      <c r="D525" s="939"/>
      <c r="E525" s="939"/>
      <c r="F525" s="939"/>
      <c r="G525" s="939"/>
      <c r="H525" s="164" t="str">
        <f>'matrik MISI 6'!N63</f>
        <v>Persentase Tertib Administrasi di tingkat Kelurahan</v>
      </c>
      <c r="I525" s="164" t="str">
        <f>'matrik MISI 6'!O63</f>
        <v>%</v>
      </c>
      <c r="J525" s="929">
        <f>'matrik MISI 6'!P63</f>
        <v>10</v>
      </c>
      <c r="K525" s="929">
        <f>'matrik MISI 6'!Q63</f>
        <v>10</v>
      </c>
      <c r="L525" s="929">
        <f>'matrik MISI 6'!R63</f>
        <v>10</v>
      </c>
      <c r="M525" s="961"/>
      <c r="N525" s="929">
        <f>'matrik MISI 6'!S63</f>
        <v>25</v>
      </c>
      <c r="O525" s="929"/>
      <c r="P525" s="929">
        <f>'matrik MISI 6'!T63</f>
        <v>50</v>
      </c>
      <c r="Q525" s="929"/>
      <c r="R525" s="929">
        <f>'matrik MISI 6'!U63</f>
        <v>75</v>
      </c>
      <c r="S525" s="929"/>
      <c r="T525" s="929">
        <f>'matrik MISI 6'!V63</f>
        <v>100</v>
      </c>
      <c r="U525" s="929"/>
      <c r="V525" s="929">
        <f>'matrik MISI 6'!W63</f>
        <v>100</v>
      </c>
      <c r="W525" s="929"/>
      <c r="X525" s="929" t="str">
        <f>'matrik MISI 6'!X63</f>
        <v>Bagian Pemerintahan Umum Setda</v>
      </c>
      <c r="Y525" s="565" t="str">
        <f>'matrik MISI 6'!Y63</f>
        <v>Jumlah kecamatan yang melaksanakan tertib administrasi dibagi jumalh Kecamatan kali 100</v>
      </c>
      <c r="Z525" s="565">
        <f>'matrik MISI 6'!Z63</f>
        <v>0</v>
      </c>
    </row>
    <row r="526" spans="2:39" ht="45">
      <c r="B526" s="940"/>
      <c r="C526" s="941"/>
      <c r="D526" s="940" t="str">
        <f>'matrik MISI 6'!J64</f>
        <v>1.20</v>
      </c>
      <c r="E526" s="940" t="str">
        <f>'matrik MISI 6'!K64</f>
        <v>xx</v>
      </c>
      <c r="F526" s="940">
        <f>'matrik MISI 6'!L64</f>
        <v>19</v>
      </c>
      <c r="G526" s="940" t="str">
        <f>'matrik MISI 6'!M64</f>
        <v>Program Pembinaan dan Fasilitasi Pengelolaan Keuangan Desa</v>
      </c>
      <c r="H526" s="164"/>
      <c r="I526" s="164"/>
      <c r="J526" s="929"/>
      <c r="K526" s="929"/>
      <c r="L526" s="929"/>
      <c r="M526" s="961"/>
      <c r="N526" s="929"/>
      <c r="O526" s="929"/>
      <c r="P526" s="929"/>
      <c r="Q526" s="929"/>
      <c r="R526" s="929"/>
      <c r="S526" s="929"/>
      <c r="T526" s="929"/>
      <c r="U526" s="929"/>
      <c r="V526" s="929"/>
      <c r="W526" s="929"/>
      <c r="X526" s="929"/>
      <c r="Y526" s="565"/>
      <c r="Z526" s="565"/>
    </row>
    <row r="527" spans="2:39" ht="45">
      <c r="B527" s="940"/>
      <c r="C527" s="941"/>
      <c r="D527" s="940" t="str">
        <f>'matrik MISI 6'!J65</f>
        <v>1.20</v>
      </c>
      <c r="E527" s="940" t="str">
        <f>'matrik MISI 6'!K65</f>
        <v>xx</v>
      </c>
      <c r="F527" s="940">
        <f>'matrik MISI 6'!L65</f>
        <v>28</v>
      </c>
      <c r="G527" s="940" t="str">
        <f>'matrik MISI 6'!M65</f>
        <v>Program Peningkatan Kapasitas Aparatur Pemerintahan Desa</v>
      </c>
      <c r="H527" s="164"/>
      <c r="I527" s="164"/>
      <c r="J527" s="929"/>
      <c r="K527" s="929"/>
      <c r="L527" s="929"/>
      <c r="M527" s="961"/>
      <c r="N527" s="929"/>
      <c r="O527" s="929"/>
      <c r="P527" s="929"/>
      <c r="Q527" s="929"/>
      <c r="R527" s="929"/>
      <c r="S527" s="929"/>
      <c r="T527" s="929"/>
      <c r="U527" s="929"/>
      <c r="V527" s="929"/>
      <c r="W527" s="929"/>
      <c r="X527" s="929"/>
      <c r="Y527" s="565"/>
      <c r="Z527" s="565"/>
    </row>
    <row r="528" spans="2:39" ht="45">
      <c r="B528" s="940"/>
      <c r="C528" s="941"/>
      <c r="D528" s="939"/>
      <c r="E528" s="939"/>
      <c r="F528" s="939"/>
      <c r="G528" s="939"/>
      <c r="H528" s="164" t="str">
        <f>'matrik MISI 6'!N64</f>
        <v>Cakupan Pembinaan Administrasi Desa</v>
      </c>
      <c r="I528" s="164" t="str">
        <f>'matrik MISI 6'!O64</f>
        <v>%</v>
      </c>
      <c r="J528" s="929">
        <f>'matrik MISI 6'!P64</f>
        <v>100</v>
      </c>
      <c r="K528" s="929">
        <f>'matrik MISI 6'!Q64</f>
        <v>100</v>
      </c>
      <c r="L528" s="929">
        <f>'matrik MISI 6'!R64</f>
        <v>100</v>
      </c>
      <c r="M528" s="961"/>
      <c r="N528" s="929">
        <f>'matrik MISI 6'!S64</f>
        <v>100</v>
      </c>
      <c r="O528" s="929"/>
      <c r="P528" s="929">
        <f>'matrik MISI 6'!T64</f>
        <v>100</v>
      </c>
      <c r="Q528" s="929"/>
      <c r="R528" s="929">
        <f>'matrik MISI 6'!U64</f>
        <v>100</v>
      </c>
      <c r="S528" s="929"/>
      <c r="T528" s="929">
        <f>'matrik MISI 6'!V64</f>
        <v>100</v>
      </c>
      <c r="U528" s="929"/>
      <c r="V528" s="929">
        <f>'matrik MISI 6'!W64</f>
        <v>100</v>
      </c>
      <c r="W528" s="929"/>
      <c r="X528" s="929" t="str">
        <f>'matrik MISI 6'!X64</f>
        <v>Bagian Pemerintahan Desa Setda dan Kecamatan</v>
      </c>
      <c r="Y528" s="565" t="str">
        <f>'matrik MISI 6'!Y64</f>
        <v>Jumlah desa yang mengisi buku administrasi secara benar dibagi Jumlah desa</v>
      </c>
      <c r="Z528" s="565">
        <f>'matrik MISI 6'!Z64</f>
        <v>0</v>
      </c>
    </row>
    <row r="529" spans="2:30" ht="60">
      <c r="B529" s="940"/>
      <c r="C529" s="941"/>
      <c r="D529" s="940" t="str">
        <f>'matrik MISI 6'!J67</f>
        <v>1.20</v>
      </c>
      <c r="E529" s="940" t="str">
        <f>'matrik MISI 6'!K67</f>
        <v>xx</v>
      </c>
      <c r="F529" s="940">
        <f>'matrik MISI 6'!L67</f>
        <v>17</v>
      </c>
      <c r="G529" s="940" t="str">
        <f>'matrik MISI 6'!M67</f>
        <v>Program Peningkatan dan Pengembangan Pengelolaan Keuangan Daerah</v>
      </c>
      <c r="H529" s="164"/>
      <c r="I529" s="164"/>
      <c r="J529" s="929"/>
      <c r="K529" s="929"/>
      <c r="L529" s="929"/>
      <c r="M529" s="961"/>
      <c r="N529" s="929"/>
      <c r="O529" s="929"/>
      <c r="P529" s="929"/>
      <c r="Q529" s="929"/>
      <c r="R529" s="929"/>
      <c r="S529" s="929"/>
      <c r="T529" s="929"/>
      <c r="U529" s="929"/>
      <c r="V529" s="929"/>
      <c r="W529" s="929"/>
      <c r="X529" s="929"/>
      <c r="Y529" s="565"/>
      <c r="Z529" s="565"/>
    </row>
    <row r="530" spans="2:30" ht="45">
      <c r="B530" s="940"/>
      <c r="C530" s="941"/>
      <c r="D530" s="939"/>
      <c r="E530" s="939"/>
      <c r="F530" s="939"/>
      <c r="G530" s="939"/>
      <c r="H530" s="164" t="str">
        <f>'matrik MISI 6'!N67</f>
        <v>Rasio Realisasi Pendapatan Daerah Terhadap Potensi Pendapatan Daerah</v>
      </c>
      <c r="I530" s="164" t="str">
        <f>'matrik MISI 6'!O67</f>
        <v>%</v>
      </c>
      <c r="J530" s="929">
        <f>'matrik MISI 6'!P67</f>
        <v>0.87</v>
      </c>
      <c r="K530" s="929">
        <f>'matrik MISI 6'!Q67</f>
        <v>0.85</v>
      </c>
      <c r="L530" s="929">
        <f>'matrik MISI 6'!R67</f>
        <v>0.87</v>
      </c>
      <c r="M530" s="961"/>
      <c r="N530" s="929">
        <f>'matrik MISI 6'!S67</f>
        <v>0.87</v>
      </c>
      <c r="O530" s="929"/>
      <c r="P530" s="929">
        <f>'matrik MISI 6'!T67</f>
        <v>0.87</v>
      </c>
      <c r="Q530" s="929"/>
      <c r="R530" s="929">
        <f>'matrik MISI 6'!U67</f>
        <v>0.87</v>
      </c>
      <c r="S530" s="929"/>
      <c r="T530" s="929">
        <f>'matrik MISI 6'!V67</f>
        <v>0.87</v>
      </c>
      <c r="U530" s="929"/>
      <c r="V530" s="929">
        <f>'matrik MISI 6'!W67</f>
        <v>0.87</v>
      </c>
      <c r="W530" s="929"/>
      <c r="X530" s="929" t="str">
        <f>'matrik MISI 6'!X67</f>
        <v>DPPKAD</v>
      </c>
      <c r="Y530" s="565" t="str">
        <f>'matrik MISI 6'!Y67</f>
        <v>Jumlah Pendapatan Asli Daerah dibagi Jumlah potensi pendapatan daerah</v>
      </c>
      <c r="Z530" s="565">
        <f>'matrik MISI 6'!Z67</f>
        <v>0</v>
      </c>
    </row>
    <row r="531" spans="2:30" ht="30">
      <c r="B531" s="940"/>
      <c r="C531" s="941"/>
      <c r="D531" s="940"/>
      <c r="E531" s="940"/>
      <c r="F531" s="940"/>
      <c r="G531" s="940"/>
      <c r="H531" s="164" t="str">
        <f>'matrik MISI 6'!N69</f>
        <v>Rasio Pendapatan Asli Daerah Terhadap Pendapatan Daerah</v>
      </c>
      <c r="I531" s="164" t="str">
        <f>'matrik MISI 6'!O69</f>
        <v>%</v>
      </c>
      <c r="J531" s="929" t="str">
        <f>'matrik MISI 6'!P69</f>
        <v>8,75</v>
      </c>
      <c r="K531" s="929" t="str">
        <f>'matrik MISI 6'!Q69</f>
        <v>8,9</v>
      </c>
      <c r="L531" s="929">
        <f>'matrik MISI 6'!R69</f>
        <v>9</v>
      </c>
      <c r="M531" s="961"/>
      <c r="N531" s="929">
        <f>'matrik MISI 6'!S69</f>
        <v>9</v>
      </c>
      <c r="O531" s="929"/>
      <c r="P531" s="929">
        <f>'matrik MISI 6'!T69</f>
        <v>9</v>
      </c>
      <c r="Q531" s="929"/>
      <c r="R531" s="929">
        <f>'matrik MISI 6'!U69</f>
        <v>9</v>
      </c>
      <c r="S531" s="929"/>
      <c r="T531" s="929">
        <f>'matrik MISI 6'!V69</f>
        <v>9</v>
      </c>
      <c r="U531" s="929"/>
      <c r="V531" s="929">
        <f>'matrik MISI 6'!W69</f>
        <v>9</v>
      </c>
      <c r="W531" s="929"/>
      <c r="X531" s="929" t="str">
        <f>'matrik MISI 6'!X69</f>
        <v>DPPKAD</v>
      </c>
      <c r="Y531" s="565" t="str">
        <f>'matrik MISI 6'!Y69</f>
        <v>Jumlah Pendapatan Asli Daerah dibagi Jumlah Anggaran Pendapatan  Daerah kali 100 %</v>
      </c>
      <c r="Z531" s="565">
        <f>'matrik MISI 6'!Z69</f>
        <v>0</v>
      </c>
    </row>
    <row r="532" spans="2:30" ht="30">
      <c r="B532" s="940"/>
      <c r="C532" s="941"/>
      <c r="D532" s="940"/>
      <c r="E532" s="940"/>
      <c r="F532" s="940"/>
      <c r="G532" s="940"/>
      <c r="H532" s="164" t="str">
        <f>'matrik MISI 6'!N72</f>
        <v>Persentase Tertib Administrasi Aset Daerah di SKPD</v>
      </c>
      <c r="I532" s="164" t="str">
        <f>'matrik MISI 6'!O72</f>
        <v>%</v>
      </c>
      <c r="J532" s="929">
        <f>'matrik MISI 6'!P72</f>
        <v>70</v>
      </c>
      <c r="K532" s="929">
        <f>'matrik MISI 6'!Q72</f>
        <v>75</v>
      </c>
      <c r="L532" s="929">
        <f>'matrik MISI 6'!R72</f>
        <v>68</v>
      </c>
      <c r="M532" s="961"/>
      <c r="N532" s="929">
        <f>'matrik MISI 6'!S72</f>
        <v>68</v>
      </c>
      <c r="O532" s="929"/>
      <c r="P532" s="929">
        <f>'matrik MISI 6'!T72</f>
        <v>70</v>
      </c>
      <c r="Q532" s="929"/>
      <c r="R532" s="929">
        <f>'matrik MISI 6'!U72</f>
        <v>75</v>
      </c>
      <c r="S532" s="929"/>
      <c r="T532" s="929">
        <f>'matrik MISI 6'!V72</f>
        <v>80</v>
      </c>
      <c r="U532" s="929"/>
      <c r="V532" s="929">
        <f>'matrik MISI 6'!W72</f>
        <v>80</v>
      </c>
      <c r="W532" s="929"/>
      <c r="X532" s="929" t="str">
        <f>'matrik MISI 6'!X72</f>
        <v>DPPKAD</v>
      </c>
      <c r="Y532" s="565" t="str">
        <f>'matrik MISI 6'!Y72</f>
        <v>Jumlah SKPD yang melaporkan aset daerah yang benar dan tepat waktu dibagi Jumlah SKPD</v>
      </c>
      <c r="Z532" s="565">
        <f>'matrik MISI 6'!Z72</f>
        <v>0</v>
      </c>
    </row>
    <row r="533" spans="2:30" ht="60">
      <c r="B533" s="940"/>
      <c r="C533" s="941"/>
      <c r="D533" s="940" t="str">
        <f>'matrik MISI 6'!J68</f>
        <v>1.20</v>
      </c>
      <c r="E533" s="940" t="str">
        <f>'matrik MISI 6'!K68</f>
        <v>xx</v>
      </c>
      <c r="F533" s="940">
        <f>'matrik MISI 6'!L68</f>
        <v>18</v>
      </c>
      <c r="G533" s="940" t="str">
        <f>'matrik MISI 6'!M68</f>
        <v xml:space="preserve">Program Pembinaan dan Fasilitasi Pengelolaan Keuangan Kabupaten/Kota </v>
      </c>
      <c r="H533" s="164"/>
      <c r="I533" s="164"/>
      <c r="J533" s="929"/>
      <c r="K533" s="929"/>
      <c r="L533" s="929"/>
      <c r="M533" s="961"/>
      <c r="N533" s="929"/>
      <c r="O533" s="929"/>
      <c r="P533" s="929"/>
      <c r="Q533" s="929"/>
      <c r="R533" s="929"/>
      <c r="S533" s="929"/>
      <c r="T533" s="929"/>
      <c r="U533" s="929"/>
      <c r="V533" s="929"/>
      <c r="W533" s="929"/>
      <c r="X533" s="929"/>
      <c r="Y533" s="565"/>
      <c r="Z533" s="565"/>
    </row>
    <row r="534" spans="2:30" ht="30">
      <c r="B534" s="940"/>
      <c r="C534" s="941"/>
      <c r="D534" s="939"/>
      <c r="E534" s="939"/>
      <c r="F534" s="939"/>
      <c r="G534" s="939"/>
      <c r="H534" s="164" t="str">
        <f>'matrik MISI 6'!N68</f>
        <v>Akuntabilitas Pengelolaan Keuangan Daerah</v>
      </c>
      <c r="I534" s="164" t="str">
        <f>'matrik MISI 6'!O68</f>
        <v>Kriteria</v>
      </c>
      <c r="J534" s="929" t="str">
        <f>'matrik MISI 6'!P68</f>
        <v>WTP</v>
      </c>
      <c r="K534" s="929" t="str">
        <f>'matrik MISI 6'!Q68</f>
        <v>WTP</v>
      </c>
      <c r="L534" s="929" t="str">
        <f>'matrik MISI 6'!R68</f>
        <v>WTP</v>
      </c>
      <c r="M534" s="961"/>
      <c r="N534" s="929" t="str">
        <f>'matrik MISI 6'!S68</f>
        <v>WTP</v>
      </c>
      <c r="O534" s="929"/>
      <c r="P534" s="929" t="str">
        <f>'matrik MISI 6'!T68</f>
        <v>WTP</v>
      </c>
      <c r="Q534" s="929"/>
      <c r="R534" s="929" t="str">
        <f>'matrik MISI 6'!U68</f>
        <v>WTP</v>
      </c>
      <c r="S534" s="929"/>
      <c r="T534" s="929" t="str">
        <f>'matrik MISI 6'!V68</f>
        <v>WTP</v>
      </c>
      <c r="U534" s="929"/>
      <c r="V534" s="929" t="str">
        <f>'matrik MISI 6'!W68</f>
        <v>WTP</v>
      </c>
      <c r="W534" s="929"/>
      <c r="X534" s="929" t="str">
        <f>'matrik MISI 6'!X68</f>
        <v>DPPKAD</v>
      </c>
      <c r="Y534" s="565">
        <f>'matrik MISI 6'!Y68</f>
        <v>0</v>
      </c>
      <c r="Z534" s="565">
        <f>'matrik MISI 6'!Z68</f>
        <v>0</v>
      </c>
    </row>
    <row r="535" spans="2:30" ht="30">
      <c r="B535" s="949">
        <v>21</v>
      </c>
      <c r="C535" s="948" t="str">
        <f>'matrik MISI 1'!B59</f>
        <v>KETAHANAN PANGAN</v>
      </c>
      <c r="D535" s="949" t="str">
        <f>'matrik MISI 1'!J60</f>
        <v>1.21</v>
      </c>
      <c r="E535" s="949" t="str">
        <f>'matrik MISI 1'!K60</f>
        <v>xx</v>
      </c>
      <c r="F535" s="949">
        <f>'matrik MISI 1'!L60</f>
        <v>16</v>
      </c>
      <c r="G535" s="949" t="str">
        <f>'matrik MISI 1'!M60</f>
        <v>Program peningkatan ketahanan pangan</v>
      </c>
      <c r="H535" s="164"/>
      <c r="I535" s="164"/>
      <c r="J535" s="929"/>
      <c r="K535" s="929"/>
      <c r="L535" s="929"/>
      <c r="M535" s="961">
        <f>'jangan di hapus 1'!K1109</f>
        <v>321997000</v>
      </c>
      <c r="N535" s="961">
        <f>'jangan di hapus 1'!L1109</f>
        <v>0</v>
      </c>
      <c r="O535" s="961">
        <f>'jangan di hapus 1'!M1109</f>
        <v>604000000</v>
      </c>
      <c r="P535" s="961">
        <f>'jangan di hapus 1'!N1109</f>
        <v>0</v>
      </c>
      <c r="Q535" s="961">
        <f>'jangan di hapus 1'!O1109</f>
        <v>646500000</v>
      </c>
      <c r="R535" s="961">
        <f>'jangan di hapus 1'!P1109</f>
        <v>0</v>
      </c>
      <c r="S535" s="961">
        <f>'jangan di hapus 1'!Q1109</f>
        <v>692500000</v>
      </c>
      <c r="T535" s="961">
        <f>'jangan di hapus 1'!R1109</f>
        <v>0</v>
      </c>
      <c r="U535" s="961">
        <f>'jangan di hapus 1'!S1109</f>
        <v>720000000</v>
      </c>
      <c r="V535" s="961"/>
      <c r="W535" s="961">
        <f>SUM(M535:U535)</f>
        <v>2984997000</v>
      </c>
      <c r="X535" s="961"/>
      <c r="Y535" s="793"/>
      <c r="Z535" s="793"/>
      <c r="AA535" s="793"/>
      <c r="AB535" s="793"/>
      <c r="AC535" s="793"/>
      <c r="AD535" s="793"/>
    </row>
    <row r="536" spans="2:30" ht="45">
      <c r="B536" s="939"/>
      <c r="C536" s="939"/>
      <c r="D536" s="939"/>
      <c r="E536" s="939"/>
      <c r="F536" s="939"/>
      <c r="G536" s="939"/>
      <c r="H536" s="164" t="str">
        <f>'matrik MISI 1'!N60</f>
        <v>Cakupan Ketersediaan Energi per Kapita</v>
      </c>
      <c r="I536" s="164" t="str">
        <f>'matrik MISI 1'!O60</f>
        <v>kkal/kap/hr</v>
      </c>
      <c r="J536" s="929">
        <f>'matrik MISI 1'!P60</f>
        <v>2846.55</v>
      </c>
      <c r="K536" s="929">
        <f>'matrik MISI 1'!Q60</f>
        <v>2794.62</v>
      </c>
      <c r="L536" s="929">
        <f>'matrik MISI 1'!R60</f>
        <v>2800</v>
      </c>
      <c r="M536" s="961"/>
      <c r="N536" s="929">
        <f>'matrik MISI 1'!S60</f>
        <v>2850</v>
      </c>
      <c r="O536" s="929"/>
      <c r="P536" s="929">
        <f>'matrik MISI 1'!T60</f>
        <v>2900</v>
      </c>
      <c r="Q536" s="929"/>
      <c r="R536" s="929">
        <f>'matrik MISI 1'!U60</f>
        <v>2940</v>
      </c>
      <c r="S536" s="929"/>
      <c r="T536" s="929">
        <f>'matrik MISI 1'!V60</f>
        <v>2980</v>
      </c>
      <c r="U536" s="929"/>
      <c r="V536" s="929">
        <f>'matrik MISI 1'!W60</f>
        <v>2980</v>
      </c>
      <c r="W536" s="929"/>
      <c r="X536" s="929" t="str">
        <f>'matrik MISI 1'!X60</f>
        <v>KKP</v>
      </c>
      <c r="Y536" s="565" t="str">
        <f>'matrik MISI 1'!Y60</f>
        <v>Ketersediaan pangan per kapita per hari dibagi 100, kali kandungan kalori, kali bagian yang dapat dimakan</v>
      </c>
      <c r="Z536" s="565" t="str">
        <f>'matrik MISI 1'!Z60</f>
        <v>ketersediaan pangan dihitung berdasarkan neraca bahan makanan (NBM) yang menunjukkan ketersediaan seluruh bahan pangan daerah sebagai sumber energi  dalam satuan kkal/kap/hr</v>
      </c>
    </row>
    <row r="537" spans="2:30" ht="45">
      <c r="B537" s="940"/>
      <c r="C537" s="941"/>
      <c r="D537" s="940"/>
      <c r="E537" s="940"/>
      <c r="F537" s="940"/>
      <c r="G537" s="940"/>
      <c r="H537" s="164" t="str">
        <f>'matrik MISI 1'!N61</f>
        <v>Cakupan Ketersediaan protein per Kapita</v>
      </c>
      <c r="I537" s="164" t="str">
        <f>'matrik MISI 1'!O61</f>
        <v>gr/kap/hr</v>
      </c>
      <c r="J537" s="929">
        <f>'matrik MISI 1'!P61</f>
        <v>74.989999999999995</v>
      </c>
      <c r="K537" s="929">
        <f>'matrik MISI 1'!Q61</f>
        <v>70.88</v>
      </c>
      <c r="L537" s="929">
        <f>'matrik MISI 1'!R61</f>
        <v>73.540000000000006</v>
      </c>
      <c r="M537" s="961"/>
      <c r="N537" s="929">
        <f>'matrik MISI 1'!S61</f>
        <v>74</v>
      </c>
      <c r="O537" s="929"/>
      <c r="P537" s="929">
        <f>'matrik MISI 1'!T61</f>
        <v>74.75</v>
      </c>
      <c r="Q537" s="929"/>
      <c r="R537" s="929">
        <f>'matrik MISI 1'!U61</f>
        <v>75.5</v>
      </c>
      <c r="S537" s="929"/>
      <c r="T537" s="929" t="str">
        <f>'matrik MISI 1'!V61</f>
        <v>75,99</v>
      </c>
      <c r="U537" s="929"/>
      <c r="V537" s="929" t="str">
        <f>'matrik MISI 1'!W61</f>
        <v>75,99</v>
      </c>
      <c r="W537" s="929"/>
      <c r="X537" s="929" t="str">
        <f>'matrik MISI 1'!X61</f>
        <v>KKP</v>
      </c>
      <c r="Y537" s="565" t="str">
        <f>'matrik MISI 1'!Y61</f>
        <v>Ketersediaan pangan per kapita per hari dibagi 100, kali kandungan kalori, kali bagian yang dapat dimakan</v>
      </c>
      <c r="Z537" s="565" t="str">
        <f>'matrik MISI 1'!Z61</f>
        <v>ketersediaan pangan dihitung berdasarkan neraca bahan makanan (NBM) yang menunjukkan ketersediaan seluruh bahan pangan daerah sebagai sumber protein dalam satuan gr/kap/hr</v>
      </c>
    </row>
    <row r="538" spans="2:30" ht="30">
      <c r="B538" s="940"/>
      <c r="C538" s="941"/>
      <c r="D538" s="940"/>
      <c r="E538" s="940"/>
      <c r="F538" s="940"/>
      <c r="G538" s="940"/>
      <c r="H538" s="164" t="str">
        <f>'matrik MISI 1'!N62</f>
        <v>Peningkatan cadangan pangan masyarakat</v>
      </c>
      <c r="I538" s="164" t="str">
        <f>'matrik MISI 1'!O62</f>
        <v>unit</v>
      </c>
      <c r="J538" s="929">
        <f>'matrik MISI 1'!P62</f>
        <v>29</v>
      </c>
      <c r="K538" s="929">
        <f>'matrik MISI 1'!Q62</f>
        <v>35</v>
      </c>
      <c r="L538" s="929">
        <f>'matrik MISI 1'!R62</f>
        <v>43</v>
      </c>
      <c r="M538" s="961"/>
      <c r="N538" s="929">
        <f>'matrik MISI 1'!S62</f>
        <v>51</v>
      </c>
      <c r="O538" s="929"/>
      <c r="P538" s="929">
        <f>'matrik MISI 1'!T62</f>
        <v>59</v>
      </c>
      <c r="Q538" s="929"/>
      <c r="R538" s="929">
        <f>'matrik MISI 1'!U62</f>
        <v>67</v>
      </c>
      <c r="S538" s="929"/>
      <c r="T538" s="929">
        <f>'matrik MISI 1'!V62</f>
        <v>75</v>
      </c>
      <c r="U538" s="929"/>
      <c r="V538" s="929">
        <f>'matrik MISI 1'!W62</f>
        <v>75</v>
      </c>
      <c r="W538" s="929"/>
      <c r="X538" s="929" t="str">
        <f>'matrik MISI 1'!X62</f>
        <v>KKP</v>
      </c>
      <c r="Y538" s="565" t="str">
        <f>'matrik MISI 1'!Y62</f>
        <v>Jumlah akumulatif pembinaan/pengembangan kelembagaan cadangan pangan yang telah dilaksanakan pada tahun yang bersangkutan</v>
      </c>
      <c r="Z538" s="565" t="str">
        <f>'matrik MISI 1'!Z62</f>
        <v>sudah jelas</v>
      </c>
    </row>
    <row r="539" spans="2:30" ht="30">
      <c r="B539" s="940"/>
      <c r="C539" s="941"/>
      <c r="D539" s="940"/>
      <c r="E539" s="940"/>
      <c r="F539" s="940"/>
      <c r="G539" s="940"/>
      <c r="H539" s="164" t="str">
        <f>'matrik MISI 1'!N63</f>
        <v>Persentase penguatan cadangan pangan pemerintah</v>
      </c>
      <c r="I539" s="164" t="str">
        <f>'matrik MISI 1'!O63</f>
        <v>%</v>
      </c>
      <c r="J539" s="929">
        <f>'matrik MISI 1'!P63</f>
        <v>2.6</v>
      </c>
      <c r="K539" s="929" t="str">
        <f>'matrik MISI 1'!Q63</f>
        <v>8,8</v>
      </c>
      <c r="L539" s="929">
        <f>'matrik MISI 1'!R63</f>
        <v>10</v>
      </c>
      <c r="M539" s="961"/>
      <c r="N539" s="929">
        <f>'matrik MISI 1'!S63</f>
        <v>10</v>
      </c>
      <c r="O539" s="929"/>
      <c r="P539" s="929">
        <f>'matrik MISI 1'!T63</f>
        <v>10</v>
      </c>
      <c r="Q539" s="929"/>
      <c r="R539" s="929">
        <f>'matrik MISI 1'!U63</f>
        <v>10</v>
      </c>
      <c r="S539" s="929"/>
      <c r="T539" s="929">
        <f>'matrik MISI 1'!V63</f>
        <v>10</v>
      </c>
      <c r="U539" s="929"/>
      <c r="V539" s="929">
        <f>'matrik MISI 1'!W63</f>
        <v>10</v>
      </c>
      <c r="W539" s="929"/>
      <c r="X539" s="929" t="str">
        <f>'matrik MISI 1'!X63</f>
        <v>KKP</v>
      </c>
      <c r="Y539" s="565" t="str">
        <f>'matrik MISI 1'!Y63</f>
        <v>Jumlah cadangan pangan pemerintah per 100 ton kali 100%</v>
      </c>
      <c r="Z539" s="565">
        <f>'matrik MISI 1'!Z63</f>
        <v>0</v>
      </c>
    </row>
    <row r="540" spans="2:30" ht="60">
      <c r="B540" s="940"/>
      <c r="C540" s="941"/>
      <c r="D540" s="940"/>
      <c r="E540" s="940"/>
      <c r="F540" s="940"/>
      <c r="G540" s="940"/>
      <c r="H540" s="164" t="str">
        <f>'matrik MISI 1'!N64</f>
        <v>Cakupan Penanganan Kerawanan Pangan</v>
      </c>
      <c r="I540" s="164" t="str">
        <f>'matrik MISI 1'!O64</f>
        <v>%</v>
      </c>
      <c r="J540" s="929">
        <f>'matrik MISI 1'!P64</f>
        <v>50</v>
      </c>
      <c r="K540" s="929">
        <f>'matrik MISI 1'!Q64</f>
        <v>50</v>
      </c>
      <c r="L540" s="929">
        <f>'matrik MISI 1'!R64</f>
        <v>60</v>
      </c>
      <c r="M540" s="961"/>
      <c r="N540" s="929">
        <f>'matrik MISI 1'!S64</f>
        <v>60</v>
      </c>
      <c r="O540" s="929"/>
      <c r="P540" s="929">
        <f>'matrik MISI 1'!T64</f>
        <v>75</v>
      </c>
      <c r="Q540" s="929"/>
      <c r="R540" s="929">
        <f>'matrik MISI 1'!U64</f>
        <v>75</v>
      </c>
      <c r="S540" s="929"/>
      <c r="T540" s="929">
        <f>'matrik MISI 1'!V64</f>
        <v>85</v>
      </c>
      <c r="U540" s="929"/>
      <c r="V540" s="929">
        <f>'matrik MISI 1'!W64</f>
        <v>85</v>
      </c>
      <c r="W540" s="929"/>
      <c r="X540" s="929" t="str">
        <f>'matrik MISI 1'!X64</f>
        <v>KKP</v>
      </c>
      <c r="Y540" s="565" t="str">
        <f>'matrik MISI 1'!Y64</f>
        <v>Penanganan Kerawanan pangan dibagi jumlah kerawanan pangan yang terjadi kali 100%</v>
      </c>
      <c r="Z540" s="565"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41" spans="2:30" ht="30">
      <c r="B541" s="940"/>
      <c r="C541" s="941"/>
      <c r="D541" s="940"/>
      <c r="E541" s="940"/>
      <c r="F541" s="940"/>
      <c r="G541" s="940"/>
      <c r="H541" s="164" t="str">
        <f>'matrik MISI 1'!N65</f>
        <v>Persentase Meningkatnya Skor Pola Pangan Harapan</v>
      </c>
      <c r="I541" s="164" t="str">
        <f>'matrik MISI 1'!O65</f>
        <v>%</v>
      </c>
      <c r="J541" s="929">
        <f>'matrik MISI 1'!P65</f>
        <v>88</v>
      </c>
      <c r="K541" s="929">
        <f>'matrik MISI 1'!Q65</f>
        <v>88.5</v>
      </c>
      <c r="L541" s="929">
        <f>'matrik MISI 1'!R65</f>
        <v>89</v>
      </c>
      <c r="M541" s="961"/>
      <c r="N541" s="929">
        <f>'matrik MISI 1'!S65</f>
        <v>90</v>
      </c>
      <c r="O541" s="929"/>
      <c r="P541" s="929">
        <f>'matrik MISI 1'!T65</f>
        <v>90.45</v>
      </c>
      <c r="Q541" s="929"/>
      <c r="R541" s="929">
        <f>'matrik MISI 1'!U65</f>
        <v>90.85</v>
      </c>
      <c r="S541" s="929"/>
      <c r="T541" s="929">
        <f>'matrik MISI 1'!V65</f>
        <v>91</v>
      </c>
      <c r="U541" s="929"/>
      <c r="V541" s="929">
        <f>'matrik MISI 1'!W65</f>
        <v>91</v>
      </c>
      <c r="W541" s="929"/>
      <c r="X541" s="929" t="str">
        <f>'matrik MISI 1'!X65</f>
        <v>KKP</v>
      </c>
      <c r="Y541" s="565" t="str">
        <f>'matrik MISI 1'!Y65</f>
        <v>Energi masing-masing komoditas dibagi angka kecukupan gizi kali 100%</v>
      </c>
      <c r="Z541" s="565" t="str">
        <f>'matrik MISI 1'!Z65</f>
        <v>angka dasar adalah capaian skor PPH pada tahun 2013</v>
      </c>
    </row>
    <row r="542" spans="2:30" ht="30">
      <c r="B542" s="940"/>
      <c r="C542" s="941"/>
      <c r="D542" s="940"/>
      <c r="E542" s="940"/>
      <c r="F542" s="940"/>
      <c r="G542" s="940"/>
      <c r="H542" s="164" t="str">
        <f>'matrik MISI 1'!N66</f>
        <v>Cakupan Pengawasan dan Pembinaan Keamanan Pangan</v>
      </c>
      <c r="I542" s="164" t="str">
        <f>'matrik MISI 1'!O66</f>
        <v>%</v>
      </c>
      <c r="J542" s="929" t="str">
        <f>'matrik MISI 1'!P66</f>
        <v>-</v>
      </c>
      <c r="K542" s="929" t="str">
        <f>'matrik MISI 1'!Q66</f>
        <v>-</v>
      </c>
      <c r="L542" s="929">
        <f>'matrik MISI 1'!R66</f>
        <v>60</v>
      </c>
      <c r="M542" s="961"/>
      <c r="N542" s="929">
        <f>'matrik MISI 1'!S66</f>
        <v>80</v>
      </c>
      <c r="O542" s="929"/>
      <c r="P542" s="929">
        <f>'matrik MISI 1'!T66</f>
        <v>80</v>
      </c>
      <c r="Q542" s="929"/>
      <c r="R542" s="929">
        <f>'matrik MISI 1'!U66</f>
        <v>85</v>
      </c>
      <c r="S542" s="929"/>
      <c r="T542" s="929">
        <f>'matrik MISI 1'!V66</f>
        <v>90</v>
      </c>
      <c r="U542" s="929"/>
      <c r="V542" s="929">
        <f>'matrik MISI 1'!W66</f>
        <v>90</v>
      </c>
      <c r="W542" s="929"/>
      <c r="X542" s="929" t="str">
        <f>'matrik MISI 1'!X66</f>
        <v>KKP</v>
      </c>
      <c r="Y542" s="565" t="str">
        <f>'matrik MISI 1'!Y66</f>
        <v xml:space="preserve">jumlah sampel aman dibagi jumlah sampel yang dianalisa kali 100% </v>
      </c>
      <c r="Z542" s="565" t="str">
        <f>'matrik MISI 1'!Z66</f>
        <v>sudah jelas</v>
      </c>
    </row>
    <row r="543" spans="2:30">
      <c r="B543" s="940"/>
      <c r="C543" s="941"/>
      <c r="D543" s="940"/>
      <c r="E543" s="940"/>
      <c r="F543" s="940"/>
      <c r="G543" s="940"/>
      <c r="H543" s="164" t="str">
        <f>'matrik MISI 1'!N67</f>
        <v>Besaran Desa Mandiri Pangan</v>
      </c>
      <c r="I543" s="164" t="str">
        <f>'matrik MISI 1'!O67</f>
        <v>Desa</v>
      </c>
      <c r="J543" s="929">
        <f>'matrik MISI 1'!P67</f>
        <v>6</v>
      </c>
      <c r="K543" s="929">
        <f>'matrik MISI 1'!Q67</f>
        <v>8</v>
      </c>
      <c r="L543" s="929">
        <f>'matrik MISI 1'!R67</f>
        <v>8</v>
      </c>
      <c r="M543" s="961"/>
      <c r="N543" s="929">
        <f>'matrik MISI 1'!S67</f>
        <v>9</v>
      </c>
      <c r="O543" s="929"/>
      <c r="P543" s="929">
        <f>'matrik MISI 1'!T67</f>
        <v>9</v>
      </c>
      <c r="Q543" s="929"/>
      <c r="R543" s="929">
        <f>'matrik MISI 1'!U67</f>
        <v>10</v>
      </c>
      <c r="S543" s="929"/>
      <c r="T543" s="929">
        <f>'matrik MISI 1'!V67</f>
        <v>10</v>
      </c>
      <c r="U543" s="929"/>
      <c r="V543" s="929">
        <f>'matrik MISI 1'!W67</f>
        <v>10</v>
      </c>
      <c r="W543" s="929"/>
      <c r="X543" s="929" t="str">
        <f>'matrik MISI 1'!X67</f>
        <v>KKP</v>
      </c>
      <c r="Y543" s="565" t="str">
        <f>'matrik MISI 1'!Y67</f>
        <v>jumlah desa mandiri pangan</v>
      </c>
      <c r="Z543" s="565">
        <f>'matrik MISI 1'!Z67</f>
        <v>0</v>
      </c>
    </row>
    <row r="544" spans="2:30" ht="45">
      <c r="B544" s="940"/>
      <c r="C544" s="941"/>
      <c r="D544" s="940"/>
      <c r="E544" s="940"/>
      <c r="F544" s="940"/>
      <c r="G544" s="940"/>
      <c r="H544" s="164" t="str">
        <f>'matrik MISI 1'!N68</f>
        <v>Besaran percepatan penganekaragaman konsumsi pangan</v>
      </c>
      <c r="I544" s="164" t="str">
        <f>'matrik MISI 1'!O68</f>
        <v>lokasi</v>
      </c>
      <c r="J544" s="929" t="str">
        <f>'matrik MISI 1'!P68</f>
        <v>-</v>
      </c>
      <c r="K544" s="929">
        <f>'matrik MISI 1'!Q68</f>
        <v>2</v>
      </c>
      <c r="L544" s="929">
        <f>'matrik MISI 1'!R68</f>
        <v>3</v>
      </c>
      <c r="M544" s="961"/>
      <c r="N544" s="929">
        <f>'matrik MISI 1'!S68</f>
        <v>4</v>
      </c>
      <c r="O544" s="929"/>
      <c r="P544" s="929">
        <f>'matrik MISI 1'!T68</f>
        <v>4</v>
      </c>
      <c r="Q544" s="929"/>
      <c r="R544" s="929">
        <f>'matrik MISI 1'!U68</f>
        <v>5</v>
      </c>
      <c r="S544" s="929"/>
      <c r="T544" s="929">
        <f>'matrik MISI 1'!V68</f>
        <v>5</v>
      </c>
      <c r="U544" s="929"/>
      <c r="V544" s="929">
        <f>'matrik MISI 1'!W68</f>
        <v>5</v>
      </c>
      <c r="W544" s="929"/>
      <c r="X544" s="929" t="str">
        <f>'matrik MISI 1'!X68</f>
        <v>KKP</v>
      </c>
      <c r="Y544" s="565" t="str">
        <f>'matrik MISI 1'!Y68</f>
        <v>jumlah lokasi pengembangan</v>
      </c>
      <c r="Z544" s="565">
        <f>'matrik MISI 1'!Z68</f>
        <v>0</v>
      </c>
    </row>
    <row r="545" spans="2:26" ht="45">
      <c r="B545" s="940"/>
      <c r="C545" s="941"/>
      <c r="D545" s="940"/>
      <c r="E545" s="940"/>
      <c r="F545" s="940"/>
      <c r="G545" s="940"/>
      <c r="H545" s="164" t="str">
        <f>'matrik MISI 1'!N69</f>
        <v>Persentase Ketersediaan Informasi Pasokan,  Harga, dan Akses Pangan</v>
      </c>
      <c r="I545" s="164" t="str">
        <f>'matrik MISI 1'!O69</f>
        <v>%</v>
      </c>
      <c r="J545" s="929">
        <f>'matrik MISI 1'!P69</f>
        <v>66.67</v>
      </c>
      <c r="K545" s="929">
        <f>'matrik MISI 1'!Q69</f>
        <v>66.67</v>
      </c>
      <c r="L545" s="929">
        <f>'matrik MISI 1'!R69</f>
        <v>70</v>
      </c>
      <c r="M545" s="961"/>
      <c r="N545" s="929">
        <f>'matrik MISI 1'!S69</f>
        <v>90</v>
      </c>
      <c r="O545" s="929"/>
      <c r="P545" s="929">
        <f>'matrik MISI 1'!T69</f>
        <v>95</v>
      </c>
      <c r="Q545" s="929"/>
      <c r="R545" s="929">
        <f>'matrik MISI 1'!U69</f>
        <v>100</v>
      </c>
      <c r="S545" s="929"/>
      <c r="T545" s="929">
        <f>'matrik MISI 1'!V69</f>
        <v>100</v>
      </c>
      <c r="U545" s="929"/>
      <c r="V545" s="929">
        <f>'matrik MISI 1'!W69</f>
        <v>100</v>
      </c>
      <c r="W545" s="929"/>
      <c r="X545" s="929" t="str">
        <f>'matrik MISI 1'!X69</f>
        <v>KKP</v>
      </c>
      <c r="Y545" s="565" t="str">
        <f>'matrik MISI 1'!Y69</f>
        <v>Jumlah komoditas yang tersedia informasinya dibagi jumlah komoditas yang ditargetkan kali 100%</v>
      </c>
      <c r="Z545" s="565">
        <f>'matrik MISI 1'!Z69</f>
        <v>0</v>
      </c>
    </row>
    <row r="546" spans="2:26" ht="45">
      <c r="B546" s="949">
        <v>22</v>
      </c>
      <c r="C546" s="948" t="str">
        <f>'matrik MISI 2'!B43</f>
        <v>PEMBERDAYAAN MASYARAKAT DAN DESA</v>
      </c>
      <c r="D546" s="949">
        <f>'matrik MISI 2'!J44</f>
        <v>1.22</v>
      </c>
      <c r="E546" s="949" t="str">
        <f>'matrik MISI 2'!K44</f>
        <v>xx</v>
      </c>
      <c r="F546" s="949">
        <f>'matrik MISI 2'!L44</f>
        <v>22</v>
      </c>
      <c r="G546" s="949" t="str">
        <f>'matrik MISI 2'!M44</f>
        <v>Program Peningkatan Ketahanan Masyarakat Desa</v>
      </c>
      <c r="H546" s="164"/>
      <c r="I546" s="164"/>
      <c r="J546" s="929"/>
      <c r="K546" s="929"/>
      <c r="L546" s="929"/>
      <c r="M546" s="961">
        <f>'jangan di hapus 1'!K1169</f>
        <v>194000000</v>
      </c>
      <c r="N546" s="961"/>
      <c r="O546" s="961">
        <f>'jangan di hapus 1'!M1169</f>
        <v>194000000</v>
      </c>
      <c r="P546" s="961"/>
      <c r="Q546" s="961">
        <f>'jangan di hapus 1'!O1169</f>
        <v>194000000</v>
      </c>
      <c r="R546" s="961"/>
      <c r="S546" s="961">
        <f>'jangan di hapus 1'!Q1169</f>
        <v>194000000</v>
      </c>
      <c r="T546" s="961"/>
      <c r="U546" s="961">
        <f>'jangan di hapus 1'!S1169</f>
        <v>194000000</v>
      </c>
      <c r="V546" s="961"/>
      <c r="W546" s="961">
        <f>SUM(M546:U546)</f>
        <v>970000000</v>
      </c>
      <c r="X546" s="929"/>
      <c r="Y546" s="565"/>
      <c r="Z546" s="565"/>
    </row>
    <row r="547" spans="2:26" ht="30">
      <c r="B547" s="939"/>
      <c r="C547" s="939"/>
      <c r="D547" s="939"/>
      <c r="E547" s="939"/>
      <c r="F547" s="939"/>
      <c r="G547" s="939"/>
      <c r="H547" s="164" t="str">
        <f>'matrik MISI 2'!N44</f>
        <v xml:space="preserve">Cakupan peningkatan klasifikasi tipe desa </v>
      </c>
      <c r="I547" s="164" t="str">
        <f>'matrik MISI 2'!O44</f>
        <v>%</v>
      </c>
      <c r="J547" s="929" t="str">
        <f>'matrik MISI 2'!P44</f>
        <v>n.a</v>
      </c>
      <c r="K547" s="929" t="str">
        <f>'matrik MISI 2'!Q44</f>
        <v>n.a</v>
      </c>
      <c r="L547" s="929">
        <f>'matrik MISI 2'!R44</f>
        <v>10</v>
      </c>
      <c r="M547" s="961"/>
      <c r="N547" s="929">
        <f>'matrik MISI 2'!S44</f>
        <v>15</v>
      </c>
      <c r="O547" s="929"/>
      <c r="P547" s="929">
        <f>'matrik MISI 2'!T44</f>
        <v>20</v>
      </c>
      <c r="Q547" s="929"/>
      <c r="R547" s="929">
        <f>'matrik MISI 2'!U44</f>
        <v>25</v>
      </c>
      <c r="S547" s="929"/>
      <c r="T547" s="929">
        <f>'matrik MISI 2'!V44</f>
        <v>30</v>
      </c>
      <c r="U547" s="929"/>
      <c r="V547" s="929">
        <f>'matrik MISI 2'!W44</f>
        <v>30</v>
      </c>
      <c r="W547" s="929"/>
      <c r="X547" s="929" t="str">
        <f>'matrik MISI 2'!X44</f>
        <v>BAPERMADES</v>
      </c>
      <c r="Y547" s="565" t="str">
        <f>'matrik MISI 2'!Y44</f>
        <v>Jumlah peningkatan klasifikasi desa dibagi Jumlah Desa x 100</v>
      </c>
      <c r="Z547" s="565">
        <f>'matrik MISI 2'!Z44</f>
        <v>0</v>
      </c>
    </row>
    <row r="548" spans="2:26" ht="60">
      <c r="B548" s="940"/>
      <c r="C548" s="941"/>
      <c r="D548" s="940">
        <f>'matrik MISI 2'!J45</f>
        <v>1.22</v>
      </c>
      <c r="E548" s="940" t="str">
        <f>'matrik MISI 2'!K45</f>
        <v>xx</v>
      </c>
      <c r="F548" s="940">
        <f>'matrik MISI 2'!L45</f>
        <v>17</v>
      </c>
      <c r="G548" s="940" t="str">
        <f>'matrik MISI 2'!M45</f>
        <v>Program Peningkatan Partisipasi Masyarakat dalam Membangun Desa/Kelurahan</v>
      </c>
      <c r="H548" s="164"/>
      <c r="I548" s="164"/>
      <c r="J548" s="929"/>
      <c r="K548" s="929"/>
      <c r="L548" s="929"/>
      <c r="M548" s="961">
        <f>'jangan di hapus 1'!K1156</f>
        <v>9587000000</v>
      </c>
      <c r="N548" s="961"/>
      <c r="O548" s="961">
        <f>'jangan di hapus 1'!M1156</f>
        <v>9567500000</v>
      </c>
      <c r="P548" s="961"/>
      <c r="Q548" s="961">
        <f>'jangan di hapus 1'!O1156</f>
        <v>9567500000</v>
      </c>
      <c r="R548" s="961"/>
      <c r="S548" s="961">
        <f>'jangan di hapus 1'!Q1156</f>
        <v>9567500000</v>
      </c>
      <c r="T548" s="961"/>
      <c r="U548" s="961">
        <f>'jangan di hapus 1'!S1156</f>
        <v>9567500000</v>
      </c>
      <c r="V548" s="929"/>
      <c r="W548" s="961">
        <f>SUM(M548:U548)</f>
        <v>47857000000</v>
      </c>
      <c r="X548" s="929"/>
      <c r="Y548" s="565"/>
      <c r="Z548" s="565"/>
    </row>
    <row r="549" spans="2:26" ht="45">
      <c r="B549" s="940"/>
      <c r="C549" s="941"/>
      <c r="D549" s="939"/>
      <c r="E549" s="939"/>
      <c r="F549" s="939"/>
      <c r="G549" s="939"/>
      <c r="H549" s="164" t="str">
        <f>'matrik MISI 2'!N45</f>
        <v xml:space="preserve">Cakupan Perencanaan Pembangunan Desa yang Partisipatif </v>
      </c>
      <c r="I549" s="164" t="str">
        <f>'matrik MISI 2'!O45</f>
        <v>%</v>
      </c>
      <c r="J549" s="929">
        <f>'matrik MISI 2'!P45</f>
        <v>100</v>
      </c>
      <c r="K549" s="929">
        <f>'matrik MISI 2'!Q45</f>
        <v>100</v>
      </c>
      <c r="L549" s="929">
        <f>'matrik MISI 2'!R45</f>
        <v>100</v>
      </c>
      <c r="M549" s="961"/>
      <c r="N549" s="929">
        <f>'matrik MISI 2'!S45</f>
        <v>100</v>
      </c>
      <c r="O549" s="929"/>
      <c r="P549" s="929">
        <f>'matrik MISI 2'!T45</f>
        <v>100</v>
      </c>
      <c r="Q549" s="929"/>
      <c r="R549" s="929">
        <f>'matrik MISI 2'!U45</f>
        <v>100</v>
      </c>
      <c r="S549" s="929"/>
      <c r="T549" s="929">
        <f>'matrik MISI 2'!V45</f>
        <v>100</v>
      </c>
      <c r="U549" s="929"/>
      <c r="V549" s="929">
        <f>'matrik MISI 2'!W45</f>
        <v>100</v>
      </c>
      <c r="W549" s="929"/>
      <c r="X549" s="929" t="str">
        <f>'matrik MISI 2'!X45</f>
        <v>BAPERMADES</v>
      </c>
      <c r="Y549" s="565" t="str">
        <f>'matrik MISI 2'!Y45</f>
        <v>Jumlah Desa yang melaksanakan perencanaan pembangunan desa secara partisipatif dibagi jumlah desa x 100</v>
      </c>
      <c r="Z549" s="565" t="str">
        <f>'matrik MISI 2'!Z45</f>
        <v>Perencanaan Partisipatif adalah melibatkan seluruh kelembagaan dan perwakilan masyarakat yang ada di Desa.</v>
      </c>
    </row>
    <row r="550" spans="2:26" ht="60">
      <c r="B550" s="940"/>
      <c r="C550" s="941"/>
      <c r="D550" s="940"/>
      <c r="E550" s="940"/>
      <c r="F550" s="940"/>
      <c r="G550" s="940"/>
      <c r="H550" s="164" t="str">
        <f>'matrik MISI 2'!N50</f>
        <v>Persentase Partisipasi Rumah Tangga Sasaran dalam Musyawarah Perencanaan Pembangunan Desa</v>
      </c>
      <c r="I550" s="164" t="str">
        <f>'matrik MISI 2'!O50</f>
        <v>%</v>
      </c>
      <c r="J550" s="929">
        <f>'matrik MISI 2'!P50</f>
        <v>20</v>
      </c>
      <c r="K550" s="929">
        <f>'matrik MISI 2'!Q50</f>
        <v>20</v>
      </c>
      <c r="L550" s="929">
        <f>'matrik MISI 2'!R50</f>
        <v>20</v>
      </c>
      <c r="M550" s="961"/>
      <c r="N550" s="929">
        <f>'matrik MISI 2'!S50</f>
        <v>20</v>
      </c>
      <c r="O550" s="929"/>
      <c r="P550" s="929">
        <f>'matrik MISI 2'!T50</f>
        <v>20</v>
      </c>
      <c r="Q550" s="929"/>
      <c r="R550" s="929">
        <f>'matrik MISI 2'!U50</f>
        <v>20</v>
      </c>
      <c r="S550" s="929"/>
      <c r="T550" s="929">
        <f>'matrik MISI 2'!V50</f>
        <v>20</v>
      </c>
      <c r="U550" s="929"/>
      <c r="V550" s="929">
        <f>'matrik MISI 2'!W50</f>
        <v>20</v>
      </c>
      <c r="W550" s="929"/>
      <c r="X550" s="929" t="str">
        <f>'matrik MISI 2'!X50</f>
        <v>BAPERMADES</v>
      </c>
      <c r="Y550" s="565" t="str">
        <f>'matrik MISI 2'!Y50</f>
        <v>Jumlah Rumah Tangga Sasaran  yang hadir pada Musrenbang Desa dibagi Jumlah Rumah Tangga Sasaran x 100</v>
      </c>
      <c r="Z550" s="565">
        <f>'matrik MISI 2'!Z50</f>
        <v>0</v>
      </c>
    </row>
    <row r="551" spans="2:26" ht="45">
      <c r="B551" s="940"/>
      <c r="C551" s="941"/>
      <c r="D551" s="940">
        <f>'matrik MISI 2'!J46</f>
        <v>1.22</v>
      </c>
      <c r="E551" s="940" t="str">
        <f>'matrik MISI 2'!K46</f>
        <v>xx</v>
      </c>
      <c r="F551" s="940">
        <f>'matrik MISI 2'!L46</f>
        <v>16</v>
      </c>
      <c r="G551" s="940" t="str">
        <f>'matrik MISI 2'!M46</f>
        <v>Program Pengembangan Lembaga Ekonomi Pedesaan</v>
      </c>
      <c r="H551" s="164"/>
      <c r="I551" s="164"/>
      <c r="J551" s="929"/>
      <c r="K551" s="929"/>
      <c r="L551" s="929"/>
      <c r="M551" s="961">
        <f>'jangan di hapus 1'!K1153</f>
        <v>146500000</v>
      </c>
      <c r="N551" s="961"/>
      <c r="O551" s="961">
        <f>'jangan di hapus 1'!M1153</f>
        <v>153000000</v>
      </c>
      <c r="P551" s="961"/>
      <c r="Q551" s="961">
        <f>'jangan di hapus 1'!O1153</f>
        <v>167500000</v>
      </c>
      <c r="R551" s="961"/>
      <c r="S551" s="961">
        <f>'jangan di hapus 1'!Q1153</f>
        <v>167500000</v>
      </c>
      <c r="T551" s="961"/>
      <c r="U551" s="961">
        <f>'jangan di hapus 1'!S1153</f>
        <v>167500000</v>
      </c>
      <c r="V551" s="929"/>
      <c r="W551" s="961">
        <f>SUM(M551:U551)</f>
        <v>802000000</v>
      </c>
      <c r="X551" s="929"/>
      <c r="Y551" s="565"/>
      <c r="Z551" s="565"/>
    </row>
    <row r="552" spans="2:26" ht="60">
      <c r="B552" s="940"/>
      <c r="C552" s="941"/>
      <c r="D552" s="939"/>
      <c r="E552" s="939"/>
      <c r="F552" s="939"/>
      <c r="G552" s="939"/>
      <c r="H552" s="164" t="str">
        <f>'matrik MISI 2'!N46</f>
        <v xml:space="preserve">Cakupan Lembaga Ekonomi Masyarakat Desa yang Aktif ( BUMDes, Pasar Desa , UED-SP, Lumbung Pangan ) </v>
      </c>
      <c r="I552" s="164" t="str">
        <f>'matrik MISI 2'!O46</f>
        <v>%</v>
      </c>
      <c r="J552" s="929">
        <f>'matrik MISI 2'!P46</f>
        <v>12</v>
      </c>
      <c r="K552" s="929">
        <f>'matrik MISI 2'!Q46</f>
        <v>12</v>
      </c>
      <c r="L552" s="929">
        <f>'matrik MISI 2'!R46</f>
        <v>28</v>
      </c>
      <c r="M552" s="961"/>
      <c r="N552" s="929">
        <f>'matrik MISI 2'!S46</f>
        <v>34</v>
      </c>
      <c r="O552" s="929"/>
      <c r="P552" s="929">
        <f>'matrik MISI 2'!T46</f>
        <v>50</v>
      </c>
      <c r="Q552" s="929"/>
      <c r="R552" s="929">
        <f>'matrik MISI 2'!U46</f>
        <v>65</v>
      </c>
      <c r="S552" s="929"/>
      <c r="T552" s="929">
        <f>'matrik MISI 2'!V46</f>
        <v>80</v>
      </c>
      <c r="U552" s="929"/>
      <c r="V552" s="929">
        <f>'matrik MISI 2'!W46</f>
        <v>80</v>
      </c>
      <c r="W552" s="929"/>
      <c r="X552" s="929" t="str">
        <f>'matrik MISI 2'!X46</f>
        <v>BAPERMADES</v>
      </c>
      <c r="Y552" s="565" t="str">
        <f>'matrik MISI 2'!Y46</f>
        <v>Jumlah lembaga ekonomi masyarakat desa yang aktif dibagi jumlah lembaga ekonomi masyarakat desa yang ada x 100</v>
      </c>
      <c r="Z552" s="565">
        <f>'matrik MISI 2'!Z46</f>
        <v>0</v>
      </c>
    </row>
    <row r="553" spans="2:26" ht="45">
      <c r="B553" s="940"/>
      <c r="C553" s="941"/>
      <c r="D553" s="940">
        <f>'matrik MISI 2'!J47</f>
        <v>1.22</v>
      </c>
      <c r="E553" s="940" t="str">
        <f>'matrik MISI 2'!K47</f>
        <v>xx</v>
      </c>
      <c r="F553" s="940">
        <f>'matrik MISI 2'!L47</f>
        <v>15</v>
      </c>
      <c r="G553" s="940" t="str">
        <f>'matrik MISI 2'!M47</f>
        <v>Program Peningkatan Keberdayaan Masyarakat Desa</v>
      </c>
      <c r="H553" s="164"/>
      <c r="I553" s="164"/>
      <c r="J553" s="929"/>
      <c r="K553" s="929"/>
      <c r="L553" s="929"/>
      <c r="M553" s="961">
        <f>'jangan di hapus 1'!K1140</f>
        <v>3752000000</v>
      </c>
      <c r="N553" s="961"/>
      <c r="O553" s="961">
        <f>'jangan di hapus 1'!M1140</f>
        <v>1374000000</v>
      </c>
      <c r="P553" s="961"/>
      <c r="Q553" s="961">
        <f>'jangan di hapus 1'!O1140</f>
        <v>1394200000</v>
      </c>
      <c r="R553" s="961"/>
      <c r="S553" s="961">
        <f>'jangan di hapus 1'!Q1140</f>
        <v>1437920000</v>
      </c>
      <c r="T553" s="961"/>
      <c r="U553" s="961">
        <f>'jangan di hapus 1'!S1140</f>
        <v>1480512000</v>
      </c>
      <c r="V553" s="961"/>
      <c r="W553" s="961">
        <f>SUM(M553:U553)</f>
        <v>9438632000</v>
      </c>
      <c r="X553" s="929"/>
      <c r="Y553" s="565"/>
      <c r="Z553" s="565"/>
    </row>
    <row r="554" spans="2:26" ht="45">
      <c r="B554" s="940"/>
      <c r="C554" s="941"/>
      <c r="D554" s="939"/>
      <c r="E554" s="939"/>
      <c r="F554" s="939"/>
      <c r="G554" s="939"/>
      <c r="H554" s="164" t="str">
        <f>'matrik MISI 2'!N47</f>
        <v>Persentase Menurunnya Rumah Tangga Sasaran (Angka Kemiskinan)</v>
      </c>
      <c r="I554" s="164" t="str">
        <f>'matrik MISI 2'!O47</f>
        <v>%</v>
      </c>
      <c r="J554" s="929">
        <f>'matrik MISI 2'!P47</f>
        <v>17.79</v>
      </c>
      <c r="K554" s="929" t="str">
        <f>'matrik MISI 2'!Q47</f>
        <v>17,27</v>
      </c>
      <c r="L554" s="929">
        <f>'matrik MISI 2'!R47</f>
        <v>15.6</v>
      </c>
      <c r="M554" s="961"/>
      <c r="N554" s="929">
        <f>'matrik MISI 2'!S47</f>
        <v>14.4</v>
      </c>
      <c r="O554" s="929"/>
      <c r="P554" s="929">
        <f>'matrik MISI 2'!T47</f>
        <v>13.3</v>
      </c>
      <c r="Q554" s="929"/>
      <c r="R554" s="929">
        <f>'matrik MISI 2'!U47</f>
        <v>12.2</v>
      </c>
      <c r="S554" s="929"/>
      <c r="T554" s="929">
        <f>'matrik MISI 2'!V47</f>
        <v>11</v>
      </c>
      <c r="U554" s="929"/>
      <c r="V554" s="929">
        <f>'matrik MISI 2'!W47</f>
        <v>11</v>
      </c>
      <c r="W554" s="929"/>
      <c r="X554" s="929" t="str">
        <f>'matrik MISI 2'!X47</f>
        <v>BAPERMADES</v>
      </c>
      <c r="Y554" s="565" t="str">
        <f>'matrik MISI 2'!Y47</f>
        <v xml:space="preserve">Jumlah Rumah Tangga Sasaran dibagi Jumlah Rumah Tangga X 100 </v>
      </c>
      <c r="Z554" s="565" t="str">
        <f>'matrik MISI 2'!Z47</f>
        <v>Rumah tangga sasaran adalah RT hasil pendataan tahun 2012 hasil PPLS BPS tahun 2008</v>
      </c>
    </row>
    <row r="555" spans="2:26" ht="45">
      <c r="B555" s="940"/>
      <c r="C555" s="941"/>
      <c r="D555" s="940"/>
      <c r="E555" s="940"/>
      <c r="F555" s="940"/>
      <c r="G555" s="940"/>
      <c r="H555" s="164" t="str">
        <f>'matrik MISI 2'!N48</f>
        <v>Cakupan Pemberdayaan masyarakat dalam Teknologi Tepat Guna</v>
      </c>
      <c r="I555" s="164" t="str">
        <f>'matrik MISI 2'!O48</f>
        <v>%</v>
      </c>
      <c r="J555" s="929">
        <f>'matrik MISI 2'!P48</f>
        <v>5</v>
      </c>
      <c r="K555" s="929">
        <f>'matrik MISI 2'!Q48</f>
        <v>9</v>
      </c>
      <c r="L555" s="929">
        <f>'matrik MISI 2'!R48</f>
        <v>14</v>
      </c>
      <c r="M555" s="961"/>
      <c r="N555" s="929">
        <f>'matrik MISI 2'!S48</f>
        <v>19</v>
      </c>
      <c r="O555" s="929"/>
      <c r="P555" s="929">
        <f>'matrik MISI 2'!T48</f>
        <v>23</v>
      </c>
      <c r="Q555" s="929"/>
      <c r="R555" s="929">
        <f>'matrik MISI 2'!U48</f>
        <v>28</v>
      </c>
      <c r="S555" s="929"/>
      <c r="T555" s="929">
        <f>'matrik MISI 2'!V48</f>
        <v>33</v>
      </c>
      <c r="U555" s="929"/>
      <c r="V555" s="929">
        <f>'matrik MISI 2'!W48</f>
        <v>37</v>
      </c>
      <c r="W555" s="929"/>
      <c r="X555" s="929" t="str">
        <f>'matrik MISI 2'!X48</f>
        <v>BAPERMADES</v>
      </c>
      <c r="Y555" s="565" t="str">
        <f>'matrik MISI 2'!Y48</f>
        <v>Jumlah kelompok yang menerapkan  Teknologi Tepat Guna dibagi jumlah kelompok TTG yang ada x 100</v>
      </c>
      <c r="Z555" s="565">
        <f>'matrik MISI 2'!Z48</f>
        <v>0</v>
      </c>
    </row>
    <row r="556" spans="2:26" ht="30">
      <c r="B556" s="940"/>
      <c r="C556" s="941"/>
      <c r="D556" s="940"/>
      <c r="E556" s="940"/>
      <c r="F556" s="940"/>
      <c r="G556" s="940"/>
      <c r="H556" s="164" t="str">
        <f>'matrik MISI 2'!N49</f>
        <v xml:space="preserve">Cakupan bantuan Rumah Layak Huni bagi Rumah Tangga Sasaran </v>
      </c>
      <c r="I556" s="164" t="str">
        <f>'matrik MISI 2'!O49</f>
        <v>%</v>
      </c>
      <c r="J556" s="929">
        <f>'matrik MISI 2'!P49</f>
        <v>0.12</v>
      </c>
      <c r="K556" s="929">
        <f>'matrik MISI 2'!Q49</f>
        <v>0.24</v>
      </c>
      <c r="L556" s="929">
        <f>'matrik MISI 2'!R49</f>
        <v>0.26</v>
      </c>
      <c r="M556" s="961"/>
      <c r="N556" s="929">
        <f>'matrik MISI 2'!S49</f>
        <v>0.26</v>
      </c>
      <c r="O556" s="929"/>
      <c r="P556" s="929">
        <f>'matrik MISI 2'!T49</f>
        <v>0.26</v>
      </c>
      <c r="Q556" s="929"/>
      <c r="R556" s="929">
        <f>'matrik MISI 2'!U49</f>
        <v>0.26</v>
      </c>
      <c r="S556" s="929"/>
      <c r="T556" s="929">
        <f>'matrik MISI 2'!V49</f>
        <v>1.26</v>
      </c>
      <c r="U556" s="929"/>
      <c r="V556" s="929">
        <f>'matrik MISI 2'!W49</f>
        <v>1.35</v>
      </c>
      <c r="W556" s="929"/>
      <c r="X556" s="929" t="str">
        <f>'matrik MISI 2'!X49</f>
        <v>BAPERMADES</v>
      </c>
      <c r="Y556" s="565" t="str">
        <f>'matrik MISI 2'!Y49</f>
        <v>Jumlah  bantuan Rumah Layak Huni dibagi jumlah rumah tangga sasaran x 100</v>
      </c>
      <c r="Z556" s="565" t="str">
        <f>'matrik MISI 2'!Z49</f>
        <v>Rumah tangga sasaran adalah rumah tangga yang mempunyai rumah tipe B dan C</v>
      </c>
    </row>
    <row r="557" spans="2:26" ht="45">
      <c r="B557" s="940"/>
      <c r="C557" s="941"/>
      <c r="D557" s="940">
        <f>'matrik MISI 2'!J51</f>
        <v>1.22</v>
      </c>
      <c r="E557" s="940" t="str">
        <f>'matrik MISI 2'!K51</f>
        <v>xx</v>
      </c>
      <c r="F557" s="940">
        <f>'matrik MISI 2'!L51</f>
        <v>18</v>
      </c>
      <c r="G557" s="940" t="str">
        <f>'matrik MISI 2'!M51</f>
        <v>Program Peningkatan Kapasitas Aparatur Pemerintah Desa</v>
      </c>
      <c r="H557" s="164"/>
      <c r="I557" s="164"/>
      <c r="J557" s="929"/>
      <c r="K557" s="929"/>
      <c r="L557" s="929"/>
      <c r="M557" s="961">
        <f>'jangan di hapus 1'!K1165</f>
        <v>180000000</v>
      </c>
      <c r="N557" s="961"/>
      <c r="O557" s="961">
        <f>'jangan di hapus 1'!M1165</f>
        <v>182500000</v>
      </c>
      <c r="P557" s="961"/>
      <c r="Q557" s="961">
        <f>'jangan di hapus 1'!O1165</f>
        <v>115000000</v>
      </c>
      <c r="R557" s="961"/>
      <c r="S557" s="961">
        <f>'jangan di hapus 1'!Q1165</f>
        <v>137500000</v>
      </c>
      <c r="T557" s="961"/>
      <c r="U557" s="961">
        <f>'jangan di hapus 1'!S1165</f>
        <v>90000000</v>
      </c>
      <c r="V557" s="961"/>
      <c r="W557" s="961">
        <f>SUM(M557:U557)</f>
        <v>705000000</v>
      </c>
      <c r="X557" s="929"/>
    </row>
    <row r="558" spans="2:26" ht="30">
      <c r="B558" s="950"/>
      <c r="C558" s="951"/>
      <c r="D558" s="942"/>
      <c r="E558" s="942"/>
      <c r="F558" s="942"/>
      <c r="G558" s="942"/>
      <c r="H558" s="164" t="str">
        <f>'matrik MISI 2'!N51</f>
        <v>Cakupan Penyusunan Profil Desa/Kelurahan</v>
      </c>
      <c r="I558" s="164" t="str">
        <f>'matrik MISI 2'!O51</f>
        <v>%</v>
      </c>
      <c r="J558" s="929">
        <f>'matrik MISI 2'!P51</f>
        <v>0</v>
      </c>
      <c r="K558" s="929">
        <f>'matrik MISI 2'!Q51</f>
        <v>48</v>
      </c>
      <c r="L558" s="929">
        <f>'matrik MISI 2'!R51</f>
        <v>69</v>
      </c>
      <c r="M558" s="961"/>
      <c r="N558" s="929">
        <f>'matrik MISI 2'!S51</f>
        <v>87</v>
      </c>
      <c r="O558" s="929"/>
      <c r="P558" s="929">
        <f>'matrik MISI 2'!T51</f>
        <v>100</v>
      </c>
      <c r="Q558" s="929"/>
      <c r="R558" s="929">
        <f>'matrik MISI 2'!U51</f>
        <v>100</v>
      </c>
      <c r="S558" s="929"/>
      <c r="T558" s="929">
        <f>'matrik MISI 2'!V51</f>
        <v>100</v>
      </c>
      <c r="U558" s="929"/>
      <c r="V558" s="929">
        <f>'matrik MISI 2'!W51</f>
        <v>100</v>
      </c>
      <c r="W558" s="929"/>
      <c r="X558" s="929" t="str">
        <f>'matrik MISI 2'!X51</f>
        <v>BAPERMADES</v>
      </c>
      <c r="Y558" s="565" t="str">
        <f>'matrik MISI 2'!Y51</f>
        <v>Jumlah Desa dan Kelurahan yang telah menyusun profil secara lengkap dan benar dibagi Jumlah Desa dan Kelurahan x 100</v>
      </c>
      <c r="Z558" s="565">
        <f>'matrik MISI 2'!Z51</f>
        <v>0</v>
      </c>
    </row>
    <row r="559" spans="2:26" ht="45">
      <c r="B559" s="949">
        <v>23</v>
      </c>
      <c r="C559" s="948" t="str">
        <f>'matrik MISI 6'!B104</f>
        <v>STATISTIK</v>
      </c>
      <c r="D559" s="949">
        <f>'matrik MISI 6'!J105</f>
        <v>1.23</v>
      </c>
      <c r="E559" s="949" t="str">
        <f>'matrik MISI 6'!K105</f>
        <v>xx</v>
      </c>
      <c r="F559" s="949">
        <f>'matrik MISI 6'!L105</f>
        <v>15</v>
      </c>
      <c r="G559" s="949" t="str">
        <f>'matrik MISI 6'!M105</f>
        <v>Program Pengembangan Data/Informasi/Statistik Daerah</v>
      </c>
      <c r="H559" s="164"/>
      <c r="I559" s="164"/>
      <c r="J559" s="929"/>
      <c r="K559" s="929"/>
      <c r="L559" s="929"/>
      <c r="M559" s="961">
        <f>'jangan di hapus 1'!K1175</f>
        <v>761542000</v>
      </c>
      <c r="N559" s="961">
        <f>'jangan di hapus 1'!L1175</f>
        <v>0</v>
      </c>
      <c r="O559" s="961">
        <f>'jangan di hapus 1'!M1175</f>
        <v>641029000</v>
      </c>
      <c r="P559" s="961">
        <f>'jangan di hapus 1'!N1175</f>
        <v>0</v>
      </c>
      <c r="Q559" s="961">
        <f>'jangan di hapus 1'!O1175</f>
        <v>688632000</v>
      </c>
      <c r="R559" s="961">
        <f>'jangan di hapus 1'!P1175</f>
        <v>0</v>
      </c>
      <c r="S559" s="961">
        <f>'jangan di hapus 1'!Q1175</f>
        <v>1017995000</v>
      </c>
      <c r="T559" s="961">
        <f>'jangan di hapus 1'!R1175</f>
        <v>0</v>
      </c>
      <c r="U559" s="961">
        <f>'jangan di hapus 1'!S1175</f>
        <v>884294000</v>
      </c>
      <c r="V559" s="961"/>
      <c r="W559" s="961">
        <f>SUM(M559:U559)</f>
        <v>3993492000</v>
      </c>
      <c r="X559" s="929"/>
      <c r="Y559" s="565"/>
      <c r="Z559" s="565"/>
    </row>
    <row r="560" spans="2:26" ht="30">
      <c r="B560" s="942"/>
      <c r="C560" s="942"/>
      <c r="D560" s="942"/>
      <c r="E560" s="942"/>
      <c r="F560" s="942"/>
      <c r="G560" s="942"/>
      <c r="H560" s="164" t="str">
        <f>'matrik MISI 6'!N105</f>
        <v xml:space="preserve">Besaran ketersediaan data statistik </v>
      </c>
      <c r="I560" s="164" t="str">
        <f>'matrik MISI 6'!O105</f>
        <v>dokumen</v>
      </c>
      <c r="J560" s="929">
        <f>'matrik MISI 6'!P105</f>
        <v>9</v>
      </c>
      <c r="K560" s="929">
        <f>'matrik MISI 6'!Q105</f>
        <v>9</v>
      </c>
      <c r="L560" s="929">
        <f>'matrik MISI 6'!R105</f>
        <v>8</v>
      </c>
      <c r="M560" s="961"/>
      <c r="N560" s="929">
        <f>'matrik MISI 6'!S105</f>
        <v>8</v>
      </c>
      <c r="O560" s="929"/>
      <c r="P560" s="929">
        <f>'matrik MISI 6'!T105</f>
        <v>8</v>
      </c>
      <c r="Q560" s="929"/>
      <c r="R560" s="929">
        <f>'matrik MISI 6'!U105</f>
        <v>9</v>
      </c>
      <c r="S560" s="929"/>
      <c r="T560" s="929">
        <f>'matrik MISI 6'!V105</f>
        <v>9</v>
      </c>
      <c r="U560" s="929"/>
      <c r="V560" s="929">
        <f>'matrik MISI 6'!W105</f>
        <v>9</v>
      </c>
      <c r="W560" s="929"/>
      <c r="X560" s="929" t="str">
        <f>'matrik MISI 6'!X105</f>
        <v>Bappeda</v>
      </c>
      <c r="Y560" s="565" t="str">
        <f>'matrik MISI 6'!Y105</f>
        <v xml:space="preserve">Jumlah dokumen data statistik </v>
      </c>
      <c r="Z560" s="565" t="str">
        <f>'matrik MISI 6'!Z105</f>
        <v>meliputi data statistik dasar, sektoral, khusus, dan data daerah</v>
      </c>
    </row>
    <row r="561" spans="2:30" ht="45">
      <c r="B561" s="949">
        <v>24</v>
      </c>
      <c r="C561" s="948" t="str">
        <f>'matrik MISI 6'!B74</f>
        <v>KEARSIPAN</v>
      </c>
      <c r="D561" s="949">
        <f>'matrik MISI 6'!J75</f>
        <v>1.24</v>
      </c>
      <c r="E561" s="949" t="str">
        <f>'matrik MISI 6'!K75</f>
        <v>xx</v>
      </c>
      <c r="F561" s="949">
        <f>'matrik MISI 6'!L75</f>
        <v>15</v>
      </c>
      <c r="G561" s="949" t="str">
        <f>'matrik MISI 6'!M75</f>
        <v>Program Perbaikan Sistem Administrasi Kearsipan Daerah</v>
      </c>
      <c r="H561" s="164"/>
      <c r="I561" s="164"/>
      <c r="J561" s="929"/>
      <c r="K561" s="929"/>
      <c r="L561" s="929"/>
      <c r="M561" s="961">
        <f>'jangan di hapus 1'!K1182</f>
        <v>80000000</v>
      </c>
      <c r="N561" s="961">
        <f>'jangan di hapus 1'!L1182</f>
        <v>0</v>
      </c>
      <c r="O561" s="961">
        <f>'jangan di hapus 1'!M1182</f>
        <v>80000000</v>
      </c>
      <c r="P561" s="961">
        <f>'jangan di hapus 1'!N1182</f>
        <v>0</v>
      </c>
      <c r="Q561" s="961">
        <f>'jangan di hapus 1'!O1182</f>
        <v>80000000</v>
      </c>
      <c r="R561" s="961">
        <f>'jangan di hapus 1'!P1182</f>
        <v>0</v>
      </c>
      <c r="S561" s="961">
        <f>'jangan di hapus 1'!Q1182</f>
        <v>80000000</v>
      </c>
      <c r="T561" s="961">
        <f>'jangan di hapus 1'!R1182</f>
        <v>0</v>
      </c>
      <c r="U561" s="961">
        <f>'jangan di hapus 1'!S1182</f>
        <v>80000000</v>
      </c>
      <c r="V561" s="961"/>
      <c r="W561" s="961">
        <f>SUM(M561:U561)</f>
        <v>400000000</v>
      </c>
      <c r="X561" s="961"/>
      <c r="Y561" s="677"/>
      <c r="Z561" s="677"/>
      <c r="AA561" s="677"/>
      <c r="AB561" s="677"/>
      <c r="AC561" s="677"/>
      <c r="AD561" s="677"/>
    </row>
    <row r="562" spans="2:30" ht="45">
      <c r="B562" s="940"/>
      <c r="C562" s="941"/>
      <c r="D562" s="940">
        <f>'matrik MISI 6'!J76</f>
        <v>1.24</v>
      </c>
      <c r="E562" s="940" t="str">
        <f>'matrik MISI 6'!K76</f>
        <v>xx</v>
      </c>
      <c r="F562" s="940">
        <f>'matrik MISI 6'!L76</f>
        <v>16</v>
      </c>
      <c r="G562" s="940" t="str">
        <f>'matrik MISI 6'!M76</f>
        <v>Program Penyelamatan dan Pelestarian Dokumen/Arsip Daerah</v>
      </c>
      <c r="H562" s="164"/>
      <c r="I562" s="164"/>
      <c r="J562" s="929"/>
      <c r="K562" s="929"/>
      <c r="L562" s="929"/>
      <c r="M562" s="961">
        <f>'jangan di hapus 1'!K1185</f>
        <v>50000000</v>
      </c>
      <c r="N562" s="961"/>
      <c r="O562" s="961">
        <f>'jangan di hapus 1'!M1185</f>
        <v>90000000</v>
      </c>
      <c r="P562" s="961"/>
      <c r="Q562" s="961">
        <f>'jangan di hapus 1'!O1185</f>
        <v>40000000</v>
      </c>
      <c r="R562" s="961"/>
      <c r="S562" s="961">
        <f>'jangan di hapus 1'!Q1185</f>
        <v>95000000</v>
      </c>
      <c r="T562" s="961"/>
      <c r="U562" s="961">
        <f>'jangan di hapus 1'!S1185</f>
        <v>40000000</v>
      </c>
      <c r="V562" s="961"/>
      <c r="W562" s="961">
        <f>SUM(M562:U562)</f>
        <v>315000000</v>
      </c>
      <c r="X562" s="961"/>
      <c r="Y562" s="677"/>
      <c r="Z562" s="677"/>
      <c r="AA562" s="677"/>
      <c r="AB562" s="677"/>
      <c r="AC562" s="677"/>
    </row>
    <row r="563" spans="2:30" ht="45">
      <c r="B563" s="940"/>
      <c r="C563" s="941"/>
      <c r="D563" s="940">
        <f>'matrik MISI 6'!J77</f>
        <v>1.24</v>
      </c>
      <c r="E563" s="940" t="str">
        <f>'matrik MISI 6'!K77</f>
        <v>xx</v>
      </c>
      <c r="F563" s="940">
        <f>'matrik MISI 6'!L77</f>
        <v>17</v>
      </c>
      <c r="G563" s="940" t="str">
        <f>'matrik MISI 6'!M77</f>
        <v>Program Pemeliharaan Rutin/Berkala Sarana dan Prasarana Kearsipan</v>
      </c>
      <c r="H563" s="164"/>
      <c r="I563" s="164"/>
      <c r="J563" s="929"/>
      <c r="K563" s="929"/>
      <c r="L563" s="929"/>
      <c r="M563" s="961">
        <f>'jangan di hapus 1'!K1186</f>
        <v>4200000</v>
      </c>
      <c r="N563" s="961">
        <f>'jangan di hapus 1'!L1186</f>
        <v>0</v>
      </c>
      <c r="O563" s="961">
        <f>'jangan di hapus 1'!M1186</f>
        <v>4200000</v>
      </c>
      <c r="P563" s="961">
        <f>'jangan di hapus 1'!N1186</f>
        <v>0</v>
      </c>
      <c r="Q563" s="961">
        <f>'jangan di hapus 1'!O1186</f>
        <v>4200000</v>
      </c>
      <c r="R563" s="961">
        <f>'jangan di hapus 1'!P1186</f>
        <v>0</v>
      </c>
      <c r="S563" s="961">
        <f>'jangan di hapus 1'!Q1186</f>
        <v>4200000</v>
      </c>
      <c r="T563" s="961">
        <f>'jangan di hapus 1'!R1186</f>
        <v>0</v>
      </c>
      <c r="U563" s="961">
        <f>'jangan di hapus 1'!S1186</f>
        <v>4200000</v>
      </c>
      <c r="V563" s="929"/>
      <c r="W563" s="961">
        <f>SUM(M563:U563)</f>
        <v>21000000</v>
      </c>
      <c r="X563" s="929"/>
      <c r="Y563" s="565"/>
      <c r="Z563" s="565"/>
    </row>
    <row r="564" spans="2:30" ht="45">
      <c r="B564" s="942"/>
      <c r="C564" s="942"/>
      <c r="D564" s="942"/>
      <c r="E564" s="942"/>
      <c r="F564" s="942"/>
      <c r="G564" s="942"/>
      <c r="H564" s="164" t="str">
        <f>'matrik MISI 6'!N75</f>
        <v>Persentase Pengelolaan Arsip Secara Baku</v>
      </c>
      <c r="I564" s="164" t="str">
        <f>'matrik MISI 6'!O75</f>
        <v>%</v>
      </c>
      <c r="J564" s="929">
        <f>'matrik MISI 6'!P75</f>
        <v>63</v>
      </c>
      <c r="K564" s="929">
        <f>'matrik MISI 6'!Q75</f>
        <v>86</v>
      </c>
      <c r="L564" s="929">
        <f>'matrik MISI 6'!R75</f>
        <v>100</v>
      </c>
      <c r="M564" s="961"/>
      <c r="N564" s="929">
        <f>'matrik MISI 6'!S75</f>
        <v>100</v>
      </c>
      <c r="O564" s="929"/>
      <c r="P564" s="929">
        <f>'matrik MISI 6'!T75</f>
        <v>100</v>
      </c>
      <c r="Q564" s="929"/>
      <c r="R564" s="929">
        <f>'matrik MISI 6'!U75</f>
        <v>100</v>
      </c>
      <c r="S564" s="929"/>
      <c r="T564" s="929">
        <f>'matrik MISI 6'!V75</f>
        <v>100</v>
      </c>
      <c r="U564" s="929"/>
      <c r="V564" s="929">
        <f>'matrik MISI 6'!W75</f>
        <v>100</v>
      </c>
      <c r="W564" s="929"/>
      <c r="X564" s="929" t="str">
        <f>'matrik MISI 6'!X75</f>
        <v>Kantor Arsip, Perpustakaan, dan Dokumentasi</v>
      </c>
      <c r="Y564" s="565" t="str">
        <f>'matrik MISI 6'!Y75</f>
        <v>Jumlah SKPD yang melaksanakan arsip secara baku dibagi Jumlah SKPD x 100</v>
      </c>
      <c r="Z564" s="565">
        <f>'matrik MISI 6'!Z75</f>
        <v>0</v>
      </c>
    </row>
    <row r="565" spans="2:30" ht="45">
      <c r="B565" s="949">
        <v>25</v>
      </c>
      <c r="C565" s="948" t="str">
        <f>'matrik MISI 6'!B106</f>
        <v>KOMUNIKASI DAN INFORMATIKA</v>
      </c>
      <c r="D565" s="949">
        <f>'matrik MISI 6'!J107</f>
        <v>1.25</v>
      </c>
      <c r="E565" s="949" t="str">
        <f>'matrik MISI 6'!K107</f>
        <v>xx</v>
      </c>
      <c r="F565" s="949">
        <f>'matrik MISI 6'!L107</f>
        <v>20</v>
      </c>
      <c r="G565" s="949" t="str">
        <f>'matrik MISI 6'!M107</f>
        <v>program pengembangan informasi dan komunikasi</v>
      </c>
      <c r="H565" s="164"/>
      <c r="I565" s="164"/>
      <c r="J565" s="929"/>
      <c r="K565" s="929"/>
      <c r="L565" s="929"/>
      <c r="M565" s="961">
        <f>'jangan di hapus 1'!K1237</f>
        <v>9460000</v>
      </c>
      <c r="N565" s="961">
        <f>'jangan di hapus 1'!L1237</f>
        <v>0</v>
      </c>
      <c r="O565" s="961">
        <f>'jangan di hapus 1'!M1237</f>
        <v>250000000</v>
      </c>
      <c r="P565" s="961">
        <f>'jangan di hapus 1'!N1237</f>
        <v>0</v>
      </c>
      <c r="Q565" s="961">
        <f>'jangan di hapus 1'!O1237</f>
        <v>170000000</v>
      </c>
      <c r="R565" s="961">
        <f>'jangan di hapus 1'!P1237</f>
        <v>0</v>
      </c>
      <c r="S565" s="961">
        <f>'jangan di hapus 1'!Q1237</f>
        <v>175000000</v>
      </c>
      <c r="T565" s="961">
        <f>'jangan di hapus 1'!R1237</f>
        <v>0</v>
      </c>
      <c r="U565" s="961">
        <f>'jangan di hapus 1'!S1237</f>
        <v>180000000</v>
      </c>
      <c r="V565" s="929"/>
      <c r="W565" s="961">
        <f>SUM(M565:U565)</f>
        <v>784460000</v>
      </c>
      <c r="X565" s="929"/>
      <c r="Y565" s="565"/>
      <c r="Z565" s="565"/>
    </row>
    <row r="566" spans="2:30" ht="30">
      <c r="B566" s="939"/>
      <c r="C566" s="939"/>
      <c r="D566" s="939"/>
      <c r="E566" s="939"/>
      <c r="F566" s="939"/>
      <c r="G566" s="939"/>
      <c r="H566" s="164" t="str">
        <f>'matrik MISI 6'!N107</f>
        <v>Rasio Akses Internet di Ruang Publik</v>
      </c>
      <c r="I566" s="164" t="str">
        <f>'matrik MISI 6'!O107</f>
        <v>rasio</v>
      </c>
      <c r="J566" s="929">
        <f>'matrik MISI 6'!P107</f>
        <v>5</v>
      </c>
      <c r="K566" s="929">
        <f>'matrik MISI 6'!Q107</f>
        <v>9</v>
      </c>
      <c r="L566" s="929">
        <f>'matrik MISI 6'!R107</f>
        <v>15</v>
      </c>
      <c r="M566" s="961"/>
      <c r="N566" s="929">
        <f>'matrik MISI 6'!S107</f>
        <v>35</v>
      </c>
      <c r="O566" s="929"/>
      <c r="P566" s="929">
        <f>'matrik MISI 6'!T107</f>
        <v>55</v>
      </c>
      <c r="Q566" s="929"/>
      <c r="R566" s="929">
        <f>'matrik MISI 6'!U107</f>
        <v>75</v>
      </c>
      <c r="S566" s="929"/>
      <c r="T566" s="929">
        <f>'matrik MISI 6'!V107</f>
        <v>100</v>
      </c>
      <c r="U566" s="929"/>
      <c r="V566" s="929">
        <f>'matrik MISI 6'!W107</f>
        <v>100</v>
      </c>
      <c r="W566" s="929"/>
      <c r="X566" s="929" t="str">
        <f>'matrik MISI 6'!X107</f>
        <v>DISHUBKOMINFO</v>
      </c>
      <c r="Y566" s="565" t="str">
        <f>'matrik MISI 6'!Y107</f>
        <v>jumlah akses internet yang ada di ruang publik dibagi jumlah ruang publik</v>
      </c>
      <c r="Z566" s="565">
        <f>'matrik MISI 6'!Z107</f>
        <v>0</v>
      </c>
    </row>
    <row r="567" spans="2:30" ht="60">
      <c r="B567" s="940"/>
      <c r="C567" s="941"/>
      <c r="D567" s="939"/>
      <c r="E567" s="939"/>
      <c r="F567" s="939"/>
      <c r="G567" s="939"/>
      <c r="H567" s="164" t="str">
        <f>'matrik MISI 6'!N113</f>
        <v>Cakupan Pengembangan dan Pemberdayaan Kelompok Informasi Masyarakat di Tingkat Kecamatan</v>
      </c>
      <c r="I567" s="164" t="str">
        <f>'matrik MISI 6'!O113</f>
        <v>%</v>
      </c>
      <c r="J567" s="929">
        <f>'matrik MISI 6'!P113</f>
        <v>5</v>
      </c>
      <c r="K567" s="929">
        <f>'matrik MISI 6'!Q113</f>
        <v>10</v>
      </c>
      <c r="L567" s="929">
        <f>'matrik MISI 6'!R113</f>
        <v>15</v>
      </c>
      <c r="M567" s="961"/>
      <c r="N567" s="929">
        <f>'matrik MISI 6'!S113</f>
        <v>25</v>
      </c>
      <c r="O567" s="929"/>
      <c r="P567" s="929">
        <f>'matrik MISI 6'!T113</f>
        <v>35</v>
      </c>
      <c r="Q567" s="929"/>
      <c r="R567" s="929">
        <f>'matrik MISI 6'!U113</f>
        <v>45</v>
      </c>
      <c r="S567" s="929"/>
      <c r="T567" s="929">
        <f>'matrik MISI 6'!V113</f>
        <v>55</v>
      </c>
      <c r="U567" s="929"/>
      <c r="V567" s="929">
        <f>'matrik MISI 6'!W113</f>
        <v>55</v>
      </c>
      <c r="W567" s="929"/>
      <c r="X567" s="929" t="str">
        <f>'matrik MISI 6'!X113</f>
        <v>DISHUBKOMINFO</v>
      </c>
      <c r="Y567" s="565" t="str">
        <f>'matrik MISI 6'!Y113</f>
        <v>Jumlah Kelompok Informasi Masyarakat di Tingkat Kecamatan dibagi jumlah kecamatan kali 100</v>
      </c>
      <c r="Z567" s="565"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68" spans="2:30" ht="30">
      <c r="B568" s="940"/>
      <c r="C568" s="941"/>
      <c r="D568" s="940"/>
      <c r="E568" s="940"/>
      <c r="F568" s="940"/>
      <c r="G568" s="940"/>
      <c r="H568" s="164" t="str">
        <f>'matrik MISI 6'!N114</f>
        <v>Tersedianya Informasi Jasa Konstruksi setiap Tahun</v>
      </c>
      <c r="I568" s="164" t="str">
        <f>'matrik MISI 6'!O114</f>
        <v>%</v>
      </c>
      <c r="J568" s="929">
        <f>'matrik MISI 6'!P114</f>
        <v>100</v>
      </c>
      <c r="K568" s="929">
        <f>'matrik MISI 6'!Q114</f>
        <v>100</v>
      </c>
      <c r="L568" s="929">
        <f>'matrik MISI 6'!R114</f>
        <v>100</v>
      </c>
      <c r="M568" s="961"/>
      <c r="N568" s="929">
        <f>'matrik MISI 6'!S114</f>
        <v>100</v>
      </c>
      <c r="O568" s="929"/>
      <c r="P568" s="929">
        <f>'matrik MISI 6'!T114</f>
        <v>100</v>
      </c>
      <c r="Q568" s="929"/>
      <c r="R568" s="929">
        <f>'matrik MISI 6'!U114</f>
        <v>100</v>
      </c>
      <c r="S568" s="929"/>
      <c r="T568" s="929">
        <f>'matrik MISI 6'!V114</f>
        <v>100</v>
      </c>
      <c r="U568" s="929"/>
      <c r="V568" s="929">
        <f>'matrik MISI 6'!W114</f>
        <v>100</v>
      </c>
      <c r="W568" s="929"/>
      <c r="X568" s="929" t="str">
        <f>'matrik MISI 6'!X114</f>
        <v>D P U</v>
      </c>
      <c r="Y568" s="565" t="str">
        <f>'matrik MISI 6'!Y114</f>
        <v>jumlah layanan minimal  sistem informasi jasa konstruksi yang terupdate  dibagi jumlah layanan minimal sistem informasi jasa konstruksi x 100</v>
      </c>
      <c r="Z568" s="565" t="str">
        <f>'matrik MISI 6'!Z114</f>
        <v>Layanan minimal sistem informasi jasa konstruksi sesuai Standar Pelayanan Minimal bidang Pekerjaan Umum dan Penataan Ruang</v>
      </c>
    </row>
    <row r="569" spans="2:30" ht="75">
      <c r="B569" s="940"/>
      <c r="C569" s="941"/>
      <c r="D569" s="940"/>
      <c r="E569" s="940"/>
      <c r="F569" s="940"/>
      <c r="G569" s="940"/>
      <c r="H569" s="164" t="str">
        <f>'matrik MISI 6'!N115</f>
        <v xml:space="preserve">Tersedianya Informasi Mengenai Rencana Tata Ruang (RTR) Wilayah Kabupaten Beserta Rencana Rincinya Melalui Peta Analog </v>
      </c>
      <c r="I569" s="164" t="str">
        <f>'matrik MISI 6'!O115</f>
        <v>%</v>
      </c>
      <c r="J569" s="929" t="str">
        <f>'matrik MISI 6'!P115</f>
        <v xml:space="preserve"> - </v>
      </c>
      <c r="K569" s="929" t="str">
        <f>'matrik MISI 6'!Q115</f>
        <v xml:space="preserve"> - </v>
      </c>
      <c r="L569" s="929" t="str">
        <f>'matrik MISI 6'!R115</f>
        <v xml:space="preserve"> - </v>
      </c>
      <c r="M569" s="961"/>
      <c r="N569" s="929" t="str">
        <f>'matrik MISI 6'!S115</f>
        <v xml:space="preserve"> - </v>
      </c>
      <c r="O569" s="929"/>
      <c r="P569" s="929">
        <f>'matrik MISI 6'!T115</f>
        <v>100</v>
      </c>
      <c r="Q569" s="929"/>
      <c r="R569" s="929" t="str">
        <f>'matrik MISI 6'!U115</f>
        <v xml:space="preserve"> - </v>
      </c>
      <c r="S569" s="929"/>
      <c r="T569" s="929" t="str">
        <f>'matrik MISI 6'!V115</f>
        <v xml:space="preserve"> - </v>
      </c>
      <c r="U569" s="929"/>
      <c r="V569" s="929" t="str">
        <f>'matrik MISI 6'!W115</f>
        <v xml:space="preserve"> - </v>
      </c>
      <c r="W569" s="929"/>
      <c r="X569" s="929" t="str">
        <f>'matrik MISI 6'!X115</f>
        <v>Bappeda</v>
      </c>
      <c r="Y569" s="565" t="str">
        <f>'matrik MISI 6'!Y115</f>
        <v>jumlah peta analog yang tersedia dibagi jumlah kumulatif peta analog yang seharusnya tersedia di Kabupaten, Kecamatan, dan Kelurahan</v>
      </c>
      <c r="Z569" s="565" t="str">
        <f>'matrik MISI 6'!Z115</f>
        <v>Peta analog dimaksud adalah informasi tentang Rencana Tata Ruang Wilayah Kabupaten serta rencana rincinya dalam bentuk cetakan</v>
      </c>
    </row>
    <row r="570" spans="2:30" ht="75">
      <c r="B570" s="940"/>
      <c r="C570" s="941"/>
      <c r="D570" s="940"/>
      <c r="E570" s="940"/>
      <c r="F570" s="940"/>
      <c r="G570" s="940"/>
      <c r="H570" s="164" t="str">
        <f>'matrik MISI 6'!N116</f>
        <v>Tersedianya Informasi Mengenai Rencana Tata Ruang (RTR) Wilayah Kabupaten Beserta Rencana Rincinya Melalui Peta Digital</v>
      </c>
      <c r="I570" s="164" t="str">
        <f>'matrik MISI 6'!O116</f>
        <v>%</v>
      </c>
      <c r="J570" s="929" t="str">
        <f>'matrik MISI 6'!P116</f>
        <v xml:space="preserve"> - </v>
      </c>
      <c r="K570" s="929" t="str">
        <f>'matrik MISI 6'!Q116</f>
        <v xml:space="preserve"> - </v>
      </c>
      <c r="L570" s="929" t="str">
        <f>'matrik MISI 6'!R116</f>
        <v xml:space="preserve"> - </v>
      </c>
      <c r="M570" s="961"/>
      <c r="N570" s="929">
        <f>'matrik MISI 6'!S116</f>
        <v>100</v>
      </c>
      <c r="O570" s="929"/>
      <c r="P570" s="929" t="str">
        <f>'matrik MISI 6'!T116</f>
        <v xml:space="preserve"> - </v>
      </c>
      <c r="Q570" s="929"/>
      <c r="R570" s="929" t="str">
        <f>'matrik MISI 6'!U116</f>
        <v xml:space="preserve"> - </v>
      </c>
      <c r="S570" s="929"/>
      <c r="T570" s="929" t="str">
        <f>'matrik MISI 6'!V116</f>
        <v xml:space="preserve"> - </v>
      </c>
      <c r="U570" s="929"/>
      <c r="V570" s="929" t="str">
        <f>'matrik MISI 6'!W116</f>
        <v xml:space="preserve"> - </v>
      </c>
      <c r="W570" s="929"/>
      <c r="X570" s="929" t="str">
        <f>'matrik MISI 6'!X116</f>
        <v>Bappeda</v>
      </c>
      <c r="Y570" s="565" t="str">
        <f>'matrik MISI 6'!Y116</f>
        <v>jumlah peta digital yang tersedia dibagi jumlah kumulatif peta digital yang seharusnya tersedia Kabupaten, Kecamatan, dan Kelurahan</v>
      </c>
      <c r="Z570" s="565" t="str">
        <f>'matrik MISI 6'!Z116</f>
        <v>Peta digital dimaksud adalah informasi tentang Rencana Tata Ruang Wilayah Kabupaten serta rencana rincinya dalam bentuk JPEG</v>
      </c>
    </row>
    <row r="571" spans="2:30" ht="45">
      <c r="B571" s="939"/>
      <c r="C571" s="939"/>
      <c r="D571" s="940">
        <f>'matrik MISI 6'!J108</f>
        <v>1.25</v>
      </c>
      <c r="E571" s="940" t="str">
        <f>'matrik MISI 6'!K108</f>
        <v>xx</v>
      </c>
      <c r="F571" s="940">
        <f>'matrik MISI 6'!L108</f>
        <v>15</v>
      </c>
      <c r="G571" s="940" t="str">
        <f>'matrik MISI 6'!M108</f>
        <v>program pengembangan  komunikasi, informasi dan media massa</v>
      </c>
      <c r="H571" s="164"/>
      <c r="I571" s="164"/>
      <c r="J571" s="929"/>
      <c r="K571" s="929"/>
      <c r="L571" s="929"/>
      <c r="M571" s="961">
        <f>'jangan di hapus 1'!K1190</f>
        <v>1818651040</v>
      </c>
      <c r="N571" s="961"/>
      <c r="O571" s="961">
        <f>'jangan di hapus 1'!M1190</f>
        <v>2384983000</v>
      </c>
      <c r="P571" s="961"/>
      <c r="Q571" s="961">
        <f>'jangan di hapus 1'!O1190</f>
        <v>4202300000</v>
      </c>
      <c r="R571" s="961"/>
      <c r="S571" s="961">
        <f>'jangan di hapus 1'!Q1190</f>
        <v>4769800000</v>
      </c>
      <c r="T571" s="961"/>
      <c r="U571" s="961">
        <f>'jangan di hapus 1'!S1190</f>
        <v>4847300000</v>
      </c>
      <c r="V571" s="929"/>
      <c r="W571" s="961">
        <f>SUM(M571:U571)</f>
        <v>18023034040</v>
      </c>
      <c r="X571" s="929"/>
      <c r="Y571" s="565"/>
      <c r="Z571" s="565"/>
    </row>
    <row r="572" spans="2:30" ht="45">
      <c r="B572" s="940"/>
      <c r="C572" s="941"/>
      <c r="D572" s="939"/>
      <c r="E572" s="939"/>
      <c r="F572" s="939"/>
      <c r="G572" s="939"/>
      <c r="H572" s="164" t="str">
        <f>'matrik MISI 6'!N108</f>
        <v>Pelaksanaan Diseminasi dan Pendistribusian Informasi melalui Media Tradisional</v>
      </c>
      <c r="I572" s="164" t="str">
        <f>'matrik MISI 6'!O108</f>
        <v>kali</v>
      </c>
      <c r="J572" s="929">
        <f>'matrik MISI 6'!P108</f>
        <v>1</v>
      </c>
      <c r="K572" s="929">
        <f>'matrik MISI 6'!Q108</f>
        <v>2</v>
      </c>
      <c r="L572" s="929">
        <f>'matrik MISI 6'!R108</f>
        <v>2</v>
      </c>
      <c r="M572" s="961"/>
      <c r="N572" s="929">
        <f>'matrik MISI 6'!S108</f>
        <v>3</v>
      </c>
      <c r="O572" s="929"/>
      <c r="P572" s="929">
        <f>'matrik MISI 6'!T108</f>
        <v>4</v>
      </c>
      <c r="Q572" s="929"/>
      <c r="R572" s="929">
        <f>'matrik MISI 6'!U108</f>
        <v>5</v>
      </c>
      <c r="S572" s="929"/>
      <c r="T572" s="929">
        <f>'matrik MISI 6'!V108</f>
        <v>6</v>
      </c>
      <c r="U572" s="929"/>
      <c r="V572" s="929">
        <f>'matrik MISI 6'!W108</f>
        <v>6</v>
      </c>
      <c r="W572" s="929"/>
      <c r="X572" s="929" t="str">
        <f>'matrik MISI 6'!X108</f>
        <v>DISHUBKOMINFO</v>
      </c>
      <c r="Y572" s="565" t="str">
        <f>'matrik MISI 6'!Y108</f>
        <v>Jumlah Pelaksanaan Diseminasi dan Pendistribusian Informasi melalui Media Tradisional pada tahun berjalan</v>
      </c>
      <c r="Z572" s="565" t="str">
        <f>'matrik MISI 6'!Z108</f>
        <v>Contoh media tradisional adalah pertunjukan rakyat</v>
      </c>
    </row>
    <row r="573" spans="2:30" ht="45">
      <c r="B573" s="940"/>
      <c r="C573" s="941"/>
      <c r="D573" s="940"/>
      <c r="E573" s="940"/>
      <c r="F573" s="940"/>
      <c r="G573" s="940"/>
      <c r="H573" s="164" t="str">
        <f>'matrik MISI 6'!N109</f>
        <v>Pelaksanaan Diseminasi dan Pendistribusian Informasi melalui Media Interpersonal</v>
      </c>
      <c r="I573" s="164" t="str">
        <f>'matrik MISI 6'!O109</f>
        <v>kali</v>
      </c>
      <c r="J573" s="929">
        <f>'matrik MISI 6'!P109</f>
        <v>1</v>
      </c>
      <c r="K573" s="929">
        <f>'matrik MISI 6'!Q109</f>
        <v>1</v>
      </c>
      <c r="L573" s="929">
        <f>'matrik MISI 6'!R109</f>
        <v>2</v>
      </c>
      <c r="M573" s="961"/>
      <c r="N573" s="929">
        <f>'matrik MISI 6'!S109</f>
        <v>4</v>
      </c>
      <c r="O573" s="929"/>
      <c r="P573" s="929">
        <f>'matrik MISI 6'!T109</f>
        <v>6</v>
      </c>
      <c r="Q573" s="929"/>
      <c r="R573" s="929">
        <f>'matrik MISI 6'!U109</f>
        <v>8</v>
      </c>
      <c r="S573" s="929"/>
      <c r="T573" s="929">
        <f>'matrik MISI 6'!V109</f>
        <v>10</v>
      </c>
      <c r="U573" s="929"/>
      <c r="V573" s="929">
        <f>'matrik MISI 6'!W109</f>
        <v>10</v>
      </c>
      <c r="W573" s="929"/>
      <c r="X573" s="929" t="str">
        <f>'matrik MISI 6'!X109</f>
        <v>DISHUBKOMINFO</v>
      </c>
      <c r="Y573" s="565" t="str">
        <f>'matrik MISI 6'!Y109</f>
        <v>jumlah Pelaksanaan Diseminasi dan Pendistribusian Informasi melalui Media Interpersonal pada tahun berjalan</v>
      </c>
      <c r="Z573" s="565" t="str">
        <f>'matrik MISI 6'!Z109</f>
        <v>Contoh media interpersonal adalah sarasehan, ceramah, diskusi, lokakarya</v>
      </c>
    </row>
    <row r="574" spans="2:30" ht="45">
      <c r="B574" s="940"/>
      <c r="C574" s="941"/>
      <c r="D574" s="940"/>
      <c r="E574" s="940"/>
      <c r="F574" s="940"/>
      <c r="G574" s="940"/>
      <c r="H574" s="164" t="str">
        <f>'matrik MISI 6'!N110</f>
        <v>Pelaksanaan Diseminasi dan Pendistribusian Informasi melalui Media Luar Ruang</v>
      </c>
      <c r="I574" s="164" t="str">
        <f>'matrik MISI 6'!O110</f>
        <v>kali</v>
      </c>
      <c r="J574" s="929">
        <f>'matrik MISI 6'!P110</f>
        <v>1</v>
      </c>
      <c r="K574" s="929">
        <f>'matrik MISI 6'!Q110</f>
        <v>1</v>
      </c>
      <c r="L574" s="929">
        <f>'matrik MISI 6'!R110</f>
        <v>2</v>
      </c>
      <c r="M574" s="961"/>
      <c r="N574" s="929">
        <f>'matrik MISI 6'!S110</f>
        <v>4</v>
      </c>
      <c r="O574" s="929"/>
      <c r="P574" s="929">
        <f>'matrik MISI 6'!T110</f>
        <v>6</v>
      </c>
      <c r="Q574" s="929"/>
      <c r="R574" s="929">
        <f>'matrik MISI 6'!U110</f>
        <v>8</v>
      </c>
      <c r="S574" s="929"/>
      <c r="T574" s="929">
        <f>'matrik MISI 6'!V110</f>
        <v>10</v>
      </c>
      <c r="U574" s="929"/>
      <c r="V574" s="929">
        <f>'matrik MISI 6'!W110</f>
        <v>10</v>
      </c>
      <c r="W574" s="929"/>
      <c r="X574" s="929" t="str">
        <f>'matrik MISI 6'!X110</f>
        <v>DISHUBKOMINFO / Bagian Humas</v>
      </c>
      <c r="Y574" s="565" t="str">
        <f>'matrik MISI 6'!Y110</f>
        <v>jumlah Pelaksanaan Diseminasi dan Pendistribusian Informasi melalui Media Luar Ruang pada tahun berjalan</v>
      </c>
      <c r="Z574" s="565" t="str">
        <f>'matrik MISI 6'!Z110</f>
        <v>Contoh media luar ruang adalah media buletin, leafleat, bookleat, brosur, spanduk, baliho</v>
      </c>
    </row>
    <row r="575" spans="2:30" ht="45">
      <c r="B575" s="940"/>
      <c r="C575" s="941"/>
      <c r="D575" s="940"/>
      <c r="E575" s="940"/>
      <c r="F575" s="940"/>
      <c r="G575" s="940"/>
      <c r="H575" s="164" t="str">
        <f>'matrik MISI 6'!N111</f>
        <v>Pelaksanaan Diseminasi dan Pendistribusian Informasi melalui Media Masa</v>
      </c>
      <c r="I575" s="164" t="str">
        <f>'matrik MISI 6'!O111</f>
        <v>kali</v>
      </c>
      <c r="J575" s="929">
        <f>'matrik MISI 6'!P111</f>
        <v>1</v>
      </c>
      <c r="K575" s="929">
        <f>'matrik MISI 6'!Q111</f>
        <v>1</v>
      </c>
      <c r="L575" s="929">
        <f>'matrik MISI 6'!R111</f>
        <v>2</v>
      </c>
      <c r="M575" s="961"/>
      <c r="N575" s="929">
        <f>'matrik MISI 6'!S111</f>
        <v>4</v>
      </c>
      <c r="O575" s="929"/>
      <c r="P575" s="929">
        <f>'matrik MISI 6'!T111</f>
        <v>6</v>
      </c>
      <c r="Q575" s="929"/>
      <c r="R575" s="929">
        <f>'matrik MISI 6'!U111</f>
        <v>8</v>
      </c>
      <c r="S575" s="929"/>
      <c r="T575" s="929">
        <f>'matrik MISI 6'!V111</f>
        <v>10</v>
      </c>
      <c r="U575" s="929"/>
      <c r="V575" s="929">
        <f>'matrik MISI 6'!W111</f>
        <v>10</v>
      </c>
      <c r="W575" s="929"/>
      <c r="X575" s="929" t="str">
        <f>'matrik MISI 6'!X111</f>
        <v>DISHUBKOMINFO / Bagian Humas</v>
      </c>
      <c r="Y575" s="565" t="str">
        <f>'matrik MISI 6'!Y111</f>
        <v>jumlah Pelaksanaan Diseminasi dan Pendistribusian Informasi melalui Media Massa pada tahun berjalan</v>
      </c>
      <c r="Z575" s="565" t="str">
        <f>'matrik MISI 6'!Z111</f>
        <v>Contoh media massa adalah majalah, radio, dan televisi</v>
      </c>
    </row>
    <row r="576" spans="2:30" ht="45">
      <c r="B576" s="940"/>
      <c r="C576" s="941"/>
      <c r="D576" s="940"/>
      <c r="E576" s="940"/>
      <c r="F576" s="940"/>
      <c r="G576" s="940"/>
      <c r="H576" s="164" t="str">
        <f>'matrik MISI 6'!N112</f>
        <v xml:space="preserve">Pelaksanaan Diseminasi dan Pendistribusian Informasi melalui media baru </v>
      </c>
      <c r="I576" s="164" t="str">
        <f>'matrik MISI 6'!O112</f>
        <v>hari</v>
      </c>
      <c r="J576" s="929">
        <f>'matrik MISI 6'!P112</f>
        <v>1</v>
      </c>
      <c r="K576" s="929">
        <f>'matrik MISI 6'!Q112</f>
        <v>1</v>
      </c>
      <c r="L576" s="929">
        <f>'matrik MISI 6'!R112</f>
        <v>2</v>
      </c>
      <c r="M576" s="961"/>
      <c r="N576" s="929">
        <f>'matrik MISI 6'!S112</f>
        <v>4</v>
      </c>
      <c r="O576" s="929"/>
      <c r="P576" s="929">
        <f>'matrik MISI 6'!T112</f>
        <v>6</v>
      </c>
      <c r="Q576" s="929"/>
      <c r="R576" s="929">
        <f>'matrik MISI 6'!U112</f>
        <v>8</v>
      </c>
      <c r="S576" s="929"/>
      <c r="T576" s="929">
        <f>'matrik MISI 6'!V112</f>
        <v>10</v>
      </c>
      <c r="U576" s="929"/>
      <c r="V576" s="929">
        <f>'matrik MISI 6'!W112</f>
        <v>10</v>
      </c>
      <c r="W576" s="929"/>
      <c r="X576" s="929" t="str">
        <f>'matrik MISI 6'!X112</f>
        <v>Bagian Humas</v>
      </c>
      <c r="Y576" s="565" t="str">
        <f>'matrik MISI 6'!Y112</f>
        <v>jumlah Pelaksanaan Diseminasi dan Pendistribusian Informasi melalui media baru dalam tahun berjalan</v>
      </c>
      <c r="Z576" s="565" t="str">
        <f>'matrik MISI 6'!Z112</f>
        <v>Media baru adalah Website Daerah</v>
      </c>
    </row>
    <row r="577" spans="2:26" ht="45">
      <c r="B577" s="940"/>
      <c r="C577" s="941"/>
      <c r="D577" s="939"/>
      <c r="E577" s="939"/>
      <c r="F577" s="939"/>
      <c r="G577" s="939"/>
      <c r="H577" s="164" t="str">
        <f>'matrik MISI 6'!N118</f>
        <v>Cakupan Jaringan Sistem Informasi e-Government</v>
      </c>
      <c r="I577" s="164" t="str">
        <f>'matrik MISI 6'!O118</f>
        <v>%</v>
      </c>
      <c r="J577" s="929">
        <f>'matrik MISI 6'!P118</f>
        <v>5</v>
      </c>
      <c r="K577" s="929">
        <f>'matrik MISI 6'!Q118</f>
        <v>9</v>
      </c>
      <c r="L577" s="929">
        <f>'matrik MISI 6'!R118</f>
        <v>15</v>
      </c>
      <c r="M577" s="961"/>
      <c r="N577" s="929">
        <f>'matrik MISI 6'!S118</f>
        <v>35</v>
      </c>
      <c r="O577" s="929"/>
      <c r="P577" s="929">
        <f>'matrik MISI 6'!T118</f>
        <v>55</v>
      </c>
      <c r="Q577" s="929"/>
      <c r="R577" s="929">
        <f>'matrik MISI 6'!U118</f>
        <v>75</v>
      </c>
      <c r="S577" s="929"/>
      <c r="T577" s="929">
        <f>'matrik MISI 6'!V118</f>
        <v>100</v>
      </c>
      <c r="U577" s="929"/>
      <c r="V577" s="929">
        <f>'matrik MISI 6'!W118</f>
        <v>100</v>
      </c>
      <c r="W577" s="929"/>
      <c r="X577" s="929" t="str">
        <f>'matrik MISI 6'!X118</f>
        <v>Bagian Santel dan PDE, Dishubkominfo dan Bappeda</v>
      </c>
      <c r="Y577" s="565" t="str">
        <f>'matrik MISI 6'!Y118</f>
        <v>Jumlah Sistem Informasi e-Government yang tersedia dibagi jumlah organisasi perangkat daerah kali 100</v>
      </c>
      <c r="Z577" s="565" t="str">
        <f>'matrik MISI 6'!Z118</f>
        <v>meliputi pemerintah kabupaten dan pemerintah desa</v>
      </c>
    </row>
    <row r="578" spans="2:26" ht="60">
      <c r="B578" s="940"/>
      <c r="C578" s="941"/>
      <c r="D578" s="940">
        <f>'matrik MISI 6'!J121</f>
        <v>1.25</v>
      </c>
      <c r="E578" s="940" t="str">
        <f>'matrik MISI 6'!K121</f>
        <v>xx</v>
      </c>
      <c r="F578" s="940">
        <f>'matrik MISI 6'!L121</f>
        <v>16</v>
      </c>
      <c r="G578" s="940" t="str">
        <f>'matrik MISI 6'!M121</f>
        <v>program pengkajian dan penelitian bidang informasi dan komunikasi</v>
      </c>
      <c r="H578" s="164"/>
      <c r="I578" s="164"/>
      <c r="J578" s="929"/>
      <c r="K578" s="929"/>
      <c r="L578" s="929"/>
      <c r="M578" s="961">
        <f>'jangan di hapus 1'!K1223</f>
        <v>38845000</v>
      </c>
      <c r="N578" s="961"/>
      <c r="O578" s="961">
        <f>'jangan di hapus 1'!M1223</f>
        <v>703460000</v>
      </c>
      <c r="P578" s="961"/>
      <c r="Q578" s="961">
        <f>'jangan di hapus 1'!O1223</f>
        <v>149000000</v>
      </c>
      <c r="R578" s="961"/>
      <c r="S578" s="961">
        <f>'jangan di hapus 1'!Q1223</f>
        <v>180000000</v>
      </c>
      <c r="T578" s="961"/>
      <c r="U578" s="961">
        <f>'jangan di hapus 1'!S1223</f>
        <v>215000000</v>
      </c>
      <c r="V578" s="929"/>
      <c r="W578" s="961">
        <f>SUM(M578:U578)</f>
        <v>1286305000</v>
      </c>
      <c r="X578" s="929"/>
      <c r="Y578" s="565"/>
      <c r="Z578" s="565"/>
    </row>
    <row r="579" spans="2:26" ht="45">
      <c r="B579" s="950"/>
      <c r="C579" s="951"/>
      <c r="D579" s="942"/>
      <c r="E579" s="942"/>
      <c r="F579" s="942"/>
      <c r="G579" s="942"/>
      <c r="H579" s="164" t="str">
        <f>'matrik MISI 6'!N121</f>
        <v>Cakupan terbangunnya Integrasi Jaringan Informasi dan Komunikasi</v>
      </c>
      <c r="I579" s="164" t="str">
        <f>'matrik MISI 6'!O121</f>
        <v>%</v>
      </c>
      <c r="J579" s="929">
        <f>'matrik MISI 6'!P121</f>
        <v>5</v>
      </c>
      <c r="K579" s="929">
        <f>'matrik MISI 6'!Q121</f>
        <v>9</v>
      </c>
      <c r="L579" s="929">
        <f>'matrik MISI 6'!R121</f>
        <v>15</v>
      </c>
      <c r="M579" s="961"/>
      <c r="N579" s="929">
        <f>'matrik MISI 6'!S121</f>
        <v>35</v>
      </c>
      <c r="O579" s="929"/>
      <c r="P579" s="929">
        <f>'matrik MISI 6'!T121</f>
        <v>55</v>
      </c>
      <c r="Q579" s="929"/>
      <c r="R579" s="929">
        <f>'matrik MISI 6'!U121</f>
        <v>75</v>
      </c>
      <c r="S579" s="929"/>
      <c r="T579" s="929">
        <f>'matrik MISI 6'!V121</f>
        <v>100</v>
      </c>
      <c r="U579" s="929"/>
      <c r="V579" s="929">
        <f>'matrik MISI 6'!W121</f>
        <v>100</v>
      </c>
      <c r="W579" s="929"/>
      <c r="X579" s="929" t="str">
        <f>'matrik MISI 6'!X121</f>
        <v>DISHUBKOMINFO / Bagian Santel dan PDE</v>
      </c>
      <c r="Y579" s="565" t="str">
        <f>'matrik MISI 6'!Y121</f>
        <v>Jumlah organisasi perangkat daerah yang jaringannya terintegrasi dibagi jumlah organisasi perangkat daerah kali 100</v>
      </c>
      <c r="Z579" s="565" t="str">
        <f>'matrik MISI 6'!Z121</f>
        <v>meliputi pemerintah kabupaten dan pemerintah desa</v>
      </c>
    </row>
    <row r="580" spans="2:26" ht="60">
      <c r="B580" s="949">
        <v>26</v>
      </c>
      <c r="C580" s="948" t="str">
        <f>'matrik MISI 6'!B100</f>
        <v>PERPUSTAKAAN</v>
      </c>
      <c r="D580" s="949" t="str">
        <f>'matrik MISI 6'!J101</f>
        <v>1.26</v>
      </c>
      <c r="E580" s="949" t="str">
        <f>'matrik MISI 6'!K101</f>
        <v>xx</v>
      </c>
      <c r="F580" s="949">
        <f>'matrik MISI 6'!L101</f>
        <v>21</v>
      </c>
      <c r="G580" s="949" t="str">
        <f>'matrik MISI 6'!M101</f>
        <v>Program Pengembangan Budaya Baca dan Pembinaan Perpustakaan</v>
      </c>
      <c r="H580" s="164"/>
      <c r="I580" s="164"/>
      <c r="J580" s="929"/>
      <c r="K580" s="929"/>
      <c r="L580" s="929"/>
      <c r="M580" s="961">
        <f>'jangan di hapus 1'!K1244</f>
        <v>694000000</v>
      </c>
      <c r="N580" s="929"/>
      <c r="O580" s="961">
        <f>'jangan di hapus 1'!M1244</f>
        <v>988500000</v>
      </c>
      <c r="P580" s="929"/>
      <c r="Q580" s="961">
        <f>'jangan di hapus 1'!O1244</f>
        <v>1174000000</v>
      </c>
      <c r="R580" s="929"/>
      <c r="S580" s="961">
        <f>'jangan di hapus 1'!Q1244</f>
        <v>1330000000</v>
      </c>
      <c r="T580" s="929"/>
      <c r="U580" s="961">
        <f>'jangan di hapus 1'!S1244</f>
        <v>1482500000</v>
      </c>
      <c r="V580" s="929"/>
      <c r="W580" s="961">
        <f>SUM(M580:U580)</f>
        <v>5669000000</v>
      </c>
      <c r="X580" s="929"/>
    </row>
    <row r="581" spans="2:26" ht="45">
      <c r="B581" s="939"/>
      <c r="C581" s="939"/>
      <c r="D581" s="939"/>
      <c r="E581" s="939"/>
      <c r="F581" s="939"/>
      <c r="G581" s="939"/>
      <c r="H581" s="164" t="str">
        <f>'matrik MISI 6'!N101</f>
        <v>Rasio Pengunjung Perpustakaan Terhadap Jumlah Penduduk</v>
      </c>
      <c r="I581" s="164" t="str">
        <f>'matrik MISI 6'!O101</f>
        <v>Rasio</v>
      </c>
      <c r="J581" s="929">
        <f>'matrik MISI 6'!P101</f>
        <v>55</v>
      </c>
      <c r="K581" s="929">
        <f>'matrik MISI 6'!Q101</f>
        <v>60</v>
      </c>
      <c r="L581" s="929">
        <f>'matrik MISI 6'!R101</f>
        <v>64</v>
      </c>
      <c r="M581" s="961"/>
      <c r="N581" s="929">
        <f>'matrik MISI 6'!S101</f>
        <v>72</v>
      </c>
      <c r="O581" s="929"/>
      <c r="P581" s="929">
        <f>'matrik MISI 6'!T101</f>
        <v>76</v>
      </c>
      <c r="Q581" s="929"/>
      <c r="R581" s="929">
        <f>'matrik MISI 6'!U101</f>
        <v>80</v>
      </c>
      <c r="S581" s="929"/>
      <c r="T581" s="929">
        <f>'matrik MISI 6'!V101</f>
        <v>82</v>
      </c>
      <c r="U581" s="929"/>
      <c r="V581" s="929">
        <f>'matrik MISI 6'!W101</f>
        <v>84</v>
      </c>
      <c r="W581" s="929"/>
      <c r="X581" s="929" t="str">
        <f>'matrik MISI 6'!X101</f>
        <v>Kantor Arsip, Perpustakaan, dan Dokumentasi</v>
      </c>
      <c r="Y581" s="565" t="str">
        <f>'matrik MISI 6'!Y101</f>
        <v>Jumlah pengunjung perpustakaan dibagi jumlah penduduk yang harus dilayani</v>
      </c>
      <c r="Z581" s="565" t="str">
        <f>'matrik MISI 6'!Z101</f>
        <v>Pengunjung perpustakaan dihitung berdasarkan pengunjung yang mengisi daftar kehadiran atau berdasarkan data yang diperoleh melalui sistem pendataan pengunjung</v>
      </c>
    </row>
    <row r="582" spans="2:26" ht="45">
      <c r="B582" s="940"/>
      <c r="C582" s="941"/>
      <c r="D582" s="940"/>
      <c r="E582" s="940"/>
      <c r="F582" s="940"/>
      <c r="G582" s="940"/>
      <c r="H582" s="949" t="str">
        <f>'matrik MISI 6'!N102</f>
        <v>Persentase Peminjam Buku Perpustakaan Terhadap Jumlah Pengunjung</v>
      </c>
      <c r="I582" s="949" t="str">
        <f>'matrik MISI 6'!O102</f>
        <v>%</v>
      </c>
      <c r="J582" s="1009">
        <f>'matrik MISI 6'!P102</f>
        <v>35</v>
      </c>
      <c r="K582" s="1009">
        <f>'matrik MISI 6'!Q102</f>
        <v>65</v>
      </c>
      <c r="L582" s="1009">
        <f>'matrik MISI 6'!R102</f>
        <v>70</v>
      </c>
      <c r="M582" s="1010"/>
      <c r="N582" s="1009">
        <f>'matrik MISI 6'!S102</f>
        <v>73</v>
      </c>
      <c r="O582" s="1009"/>
      <c r="P582" s="1009">
        <f>'matrik MISI 6'!T102</f>
        <v>79</v>
      </c>
      <c r="Q582" s="1009"/>
      <c r="R582" s="1009">
        <f>'matrik MISI 6'!U102</f>
        <v>83</v>
      </c>
      <c r="S582" s="1009"/>
      <c r="T582" s="1009">
        <f>'matrik MISI 6'!V102</f>
        <v>87</v>
      </c>
      <c r="U582" s="1009"/>
      <c r="V582" s="1009">
        <f>'matrik MISI 6'!W102</f>
        <v>90</v>
      </c>
      <c r="W582" s="1009"/>
      <c r="X582" s="1009" t="str">
        <f>'matrik MISI 6'!X102</f>
        <v>Kantor Arsip, Perpustakaan, dan Dokumentasi</v>
      </c>
      <c r="Y582" s="565" t="str">
        <f>'matrik MISI 6'!Y102</f>
        <v>Jumlah peminjam buku perpustakaan dibagi jumlah pengunjung perpustakaan</v>
      </c>
      <c r="Z582" s="565" t="str">
        <f>'matrik MISI 6'!Z102</f>
        <v>Pengunjung perpustakaan dihitung berdasarkan pengunjung yang mengisi daftar kehadiran atau berdasarkan data yang diperoleh melalui sistem pendataan pengunjung</v>
      </c>
    </row>
    <row r="583" spans="2:26">
      <c r="B583" s="1011"/>
      <c r="C583" s="1012" t="s">
        <v>1801</v>
      </c>
      <c r="D583" s="269"/>
      <c r="E583" s="269"/>
      <c r="F583" s="269"/>
      <c r="G583" s="269"/>
      <c r="H583" s="269"/>
      <c r="I583" s="269"/>
      <c r="J583" s="1013"/>
      <c r="K583" s="1013"/>
      <c r="L583" s="1013"/>
      <c r="M583" s="1014"/>
      <c r="N583" s="1013"/>
      <c r="O583" s="1013"/>
      <c r="P583" s="1013"/>
      <c r="Q583" s="1013"/>
      <c r="R583" s="1013"/>
      <c r="S583" s="1013"/>
      <c r="T583" s="1013"/>
      <c r="U583" s="1013"/>
      <c r="V583" s="1013"/>
      <c r="W583" s="1013"/>
      <c r="X583" s="1015"/>
    </row>
    <row r="584" spans="2:26" ht="60">
      <c r="B584" s="949">
        <v>1</v>
      </c>
      <c r="C584" s="948" t="str">
        <f>'matrik MISI 1'!B6</f>
        <v>PERTANIAN</v>
      </c>
      <c r="D584" s="949" t="str">
        <f>'matrik MISI 1'!J7</f>
        <v>2.01.</v>
      </c>
      <c r="E584" s="949" t="str">
        <f>'matrik MISI 1'!K7</f>
        <v>xx</v>
      </c>
      <c r="F584" s="949">
        <f>'matrik MISI 1'!L7</f>
        <v>18</v>
      </c>
      <c r="G584" s="949" t="str">
        <f>'matrik MISI 1'!M7</f>
        <v>Program Peningkatan Penerapan Teknologi Pertanian / Peternakan / Perkebunan</v>
      </c>
      <c r="H584" s="164"/>
      <c r="I584" s="164"/>
      <c r="J584" s="929"/>
      <c r="K584" s="929"/>
      <c r="L584" s="929"/>
      <c r="M584" s="961">
        <f>'jangan dihapus 2'!K502</f>
        <v>3060120000</v>
      </c>
      <c r="N584" s="961"/>
      <c r="O584" s="961">
        <f>'jangan dihapus 2'!M502</f>
        <v>2400000000</v>
      </c>
      <c r="P584" s="961"/>
      <c r="Q584" s="961">
        <f>'jangan dihapus 2'!O502</f>
        <v>2420000000</v>
      </c>
      <c r="R584" s="961"/>
      <c r="S584" s="961">
        <f>'jangan dihapus 2'!Q502</f>
        <v>2445000000</v>
      </c>
      <c r="T584" s="961"/>
      <c r="U584" s="961">
        <f>'jangan dihapus 2'!S502</f>
        <v>2465000000</v>
      </c>
      <c r="V584" s="929"/>
      <c r="W584" s="961">
        <f>SUM(M584:U584)</f>
        <v>12790120000</v>
      </c>
      <c r="X584" s="929"/>
    </row>
    <row r="585" spans="2:26" ht="75">
      <c r="B585" s="939"/>
      <c r="C585" s="939"/>
      <c r="D585" s="939"/>
      <c r="E585" s="939"/>
      <c r="F585" s="939"/>
      <c r="G585" s="939"/>
      <c r="H585" s="164" t="str">
        <f>'matrik MISI 1'!N7</f>
        <v xml:space="preserve">Besaran Kelompok Tani yang menerapkan teknologi dan informasi pertanian dan perkebunan melalui sekolah lapang </v>
      </c>
      <c r="I585" s="164" t="str">
        <f>'matrik MISI 1'!O7</f>
        <v>Kelompok</v>
      </c>
      <c r="J585" s="929">
        <f>'matrik MISI 1'!P7</f>
        <v>500</v>
      </c>
      <c r="K585" s="929">
        <f>'matrik MISI 1'!Q7</f>
        <v>600</v>
      </c>
      <c r="L585" s="929">
        <f>'matrik MISI 1'!R7</f>
        <v>720</v>
      </c>
      <c r="M585" s="961"/>
      <c r="N585" s="929">
        <f>'matrik MISI 1'!S7</f>
        <v>850</v>
      </c>
      <c r="O585" s="929"/>
      <c r="P585" s="929">
        <f>'matrik MISI 1'!T7</f>
        <v>990</v>
      </c>
      <c r="Q585" s="929"/>
      <c r="R585" s="929">
        <f>'matrik MISI 1'!U7</f>
        <v>1140</v>
      </c>
      <c r="S585" s="929"/>
      <c r="T585" s="929">
        <f>'matrik MISI 1'!V7</f>
        <v>1300</v>
      </c>
      <c r="U585" s="929"/>
      <c r="V585" s="929">
        <f>'matrik MISI 1'!W7</f>
        <v>1300</v>
      </c>
      <c r="W585" s="929"/>
      <c r="X585" s="929" t="str">
        <f>'matrik MISI 1'!X7</f>
        <v>DINTANBUNHUT</v>
      </c>
      <c r="Y585" s="565" t="str">
        <f>'matrik MISI 1'!Y7</f>
        <v>Cukup Jelas</v>
      </c>
      <c r="Z585" s="565" t="str">
        <f>'matrik MISI 1'!Z7</f>
        <v>Penyelenggaraan SLGHP, SLGAP, SL sayuran ekspor, SLPTT Padi, SL SRI, SLPHT, SL iklim, SLPPHP</v>
      </c>
    </row>
    <row r="586" spans="2:26" ht="45">
      <c r="B586" s="940"/>
      <c r="C586" s="941"/>
      <c r="D586" s="940"/>
      <c r="E586" s="940"/>
      <c r="F586" s="940"/>
      <c r="G586" s="940"/>
      <c r="H586" s="164" t="str">
        <f>'matrik MISI 1'!N8</f>
        <v>Besaran Penerapan Pertanian dan Perkebunan Mengarah Organik untuk Komoditas Utama</v>
      </c>
      <c r="I586" s="164" t="str">
        <f>'matrik MISI 1'!O8</f>
        <v>Ha</v>
      </c>
      <c r="J586" s="929">
        <f>'matrik MISI 1'!P8</f>
        <v>200</v>
      </c>
      <c r="K586" s="929">
        <f>'matrik MISI 1'!Q8</f>
        <v>300</v>
      </c>
      <c r="L586" s="929">
        <f>'matrik MISI 1'!R8</f>
        <v>400</v>
      </c>
      <c r="M586" s="961"/>
      <c r="N586" s="929">
        <f>'matrik MISI 1'!S8</f>
        <v>550</v>
      </c>
      <c r="O586" s="929"/>
      <c r="P586" s="929">
        <f>'matrik MISI 1'!T8</f>
        <v>750</v>
      </c>
      <c r="Q586" s="929"/>
      <c r="R586" s="929">
        <f>'matrik MISI 1'!U8</f>
        <v>1000</v>
      </c>
      <c r="S586" s="929"/>
      <c r="T586" s="929">
        <f>'matrik MISI 1'!V8</f>
        <v>1300</v>
      </c>
      <c r="U586" s="929"/>
      <c r="V586" s="929">
        <f>'matrik MISI 1'!W8</f>
        <v>1300</v>
      </c>
      <c r="W586" s="929"/>
      <c r="X586" s="929" t="str">
        <f>'matrik MISI 1'!X8</f>
        <v>DINTANBUNHUT</v>
      </c>
      <c r="Y586" s="565" t="str">
        <f>'matrik MISI 1'!Y8</f>
        <v>Cukup Jelas</v>
      </c>
      <c r="Z586" s="565" t="str">
        <f>'matrik MISI 1'!Z8</f>
        <v>Luas baku lahan yang siap digunakan untuk pertanian organik untuk komoditas padi, jagung dan kopi</v>
      </c>
    </row>
    <row r="587" spans="2:26" ht="45">
      <c r="B587" s="940"/>
      <c r="C587" s="941"/>
      <c r="D587" s="940"/>
      <c r="E587" s="940"/>
      <c r="F587" s="940"/>
      <c r="G587" s="940"/>
      <c r="H587" s="164" t="str">
        <f>'matrik MISI 1'!N9</f>
        <v>Besaran Peningkatan Jumlah Alat Mesin Pertanian dan Perkebunan</v>
      </c>
      <c r="I587" s="164" t="str">
        <f>'matrik MISI 1'!O9</f>
        <v>Unit</v>
      </c>
      <c r="J587" s="929">
        <f>'matrik MISI 1'!P9</f>
        <v>882</v>
      </c>
      <c r="K587" s="929">
        <f>'matrik MISI 1'!Q9</f>
        <v>1022</v>
      </c>
      <c r="L587" s="929">
        <f>'matrik MISI 1'!R9</f>
        <v>1072</v>
      </c>
      <c r="M587" s="961"/>
      <c r="N587" s="929">
        <f>'matrik MISI 1'!S9</f>
        <v>1122</v>
      </c>
      <c r="O587" s="929"/>
      <c r="P587" s="929">
        <f>'matrik MISI 1'!T9</f>
        <v>1172</v>
      </c>
      <c r="Q587" s="929"/>
      <c r="R587" s="929">
        <f>'matrik MISI 1'!U9</f>
        <v>1222</v>
      </c>
      <c r="S587" s="929"/>
      <c r="T587" s="929">
        <f>'matrik MISI 1'!V9</f>
        <v>1272</v>
      </c>
      <c r="U587" s="929"/>
      <c r="V587" s="929">
        <f>'matrik MISI 1'!W9</f>
        <v>1272</v>
      </c>
      <c r="W587" s="929"/>
      <c r="X587" s="929" t="str">
        <f>'matrik MISI 1'!X9</f>
        <v>DINTANBUNHUT</v>
      </c>
      <c r="Y587" s="565" t="str">
        <f>'matrik MISI 1'!Y9</f>
        <v>Cukup Jelas</v>
      </c>
      <c r="Z587" s="565" t="str">
        <f>'matrik MISI 1'!Z9</f>
        <v xml:space="preserve">*Jenis alat mesin pertanian perkebunan yang dihitung : handtraktor, kultivator, pompa air, pemipil jagung, pengupas kopi, perajang tembakau </v>
      </c>
    </row>
    <row r="588" spans="2:26" ht="45">
      <c r="B588" s="940"/>
      <c r="C588" s="941"/>
      <c r="D588" s="940"/>
      <c r="E588" s="940"/>
      <c r="F588" s="940"/>
      <c r="G588" s="940"/>
      <c r="H588" s="164" t="str">
        <f>'matrik MISI 1'!N10</f>
        <v>Angka Kelahiran anak sapi (pedet)  melalui Inseminasi Buatan</v>
      </c>
      <c r="I588" s="164" t="str">
        <f>'matrik MISI 1'!O10</f>
        <v>%</v>
      </c>
      <c r="J588" s="929" t="str">
        <f>'matrik MISI 1'!P10</f>
        <v>59,76</v>
      </c>
      <c r="K588" s="929">
        <f>'matrik MISI 1'!Q10</f>
        <v>60</v>
      </c>
      <c r="L588" s="929">
        <f>'matrik MISI 1'!R10</f>
        <v>62</v>
      </c>
      <c r="M588" s="961"/>
      <c r="N588" s="929">
        <f>'matrik MISI 1'!S10</f>
        <v>64</v>
      </c>
      <c r="O588" s="929"/>
      <c r="P588" s="929">
        <f>'matrik MISI 1'!T10</f>
        <v>66</v>
      </c>
      <c r="Q588" s="929"/>
      <c r="R588" s="929">
        <f>'matrik MISI 1'!U10</f>
        <v>68</v>
      </c>
      <c r="S588" s="929"/>
      <c r="T588" s="929">
        <f>'matrik MISI 1'!V10</f>
        <v>70</v>
      </c>
      <c r="U588" s="929"/>
      <c r="V588" s="929">
        <f>'matrik MISI 1'!W10</f>
        <v>70</v>
      </c>
      <c r="W588" s="929"/>
      <c r="X588" s="929" t="str">
        <f>'matrik MISI 1'!X10</f>
        <v>DINAKAN</v>
      </c>
      <c r="Y588" s="565" t="str">
        <f>'matrik MISI 1'!Y10</f>
        <v>Jumlah kelahiran anak sapi (pedet) dibagi jumlah penggunaan straw  kali 100%</v>
      </c>
      <c r="Z588" s="565">
        <f>'matrik MISI 1'!Z10</f>
        <v>0</v>
      </c>
    </row>
    <row r="589" spans="2:26" ht="45">
      <c r="B589" s="940"/>
      <c r="C589" s="941"/>
      <c r="D589" s="940"/>
      <c r="E589" s="940"/>
      <c r="F589" s="940"/>
      <c r="G589" s="940"/>
      <c r="H589" s="164" t="str">
        <f>'matrik MISI 1'!N11</f>
        <v>Persentase Peningkatan Penggunaan Bibit dan benih unggul</v>
      </c>
      <c r="I589" s="164" t="str">
        <f>'matrik MISI 1'!O11</f>
        <v>%</v>
      </c>
      <c r="J589" s="929">
        <f>'matrik MISI 1'!P11</f>
        <v>55</v>
      </c>
      <c r="K589" s="929">
        <f>'matrik MISI 1'!Q11</f>
        <v>60</v>
      </c>
      <c r="L589" s="929">
        <f>'matrik MISI 1'!R11</f>
        <v>60</v>
      </c>
      <c r="M589" s="961"/>
      <c r="N589" s="929">
        <f>'matrik MISI 1'!S11</f>
        <v>65</v>
      </c>
      <c r="O589" s="929"/>
      <c r="P589" s="929">
        <f>'matrik MISI 1'!T11</f>
        <v>65</v>
      </c>
      <c r="Q589" s="929"/>
      <c r="R589" s="929">
        <f>'matrik MISI 1'!U11</f>
        <v>70</v>
      </c>
      <c r="S589" s="929"/>
      <c r="T589" s="929">
        <f>'matrik MISI 1'!V11</f>
        <v>70</v>
      </c>
      <c r="U589" s="929"/>
      <c r="V589" s="929">
        <f>'matrik MISI 1'!W11</f>
        <v>70</v>
      </c>
      <c r="W589" s="929"/>
      <c r="X589" s="929" t="str">
        <f>'matrik MISI 1'!X11</f>
        <v>DINTANBUNHUT</v>
      </c>
      <c r="Y589" s="565" t="str">
        <f>'matrik MISI 1'!Y11</f>
        <v>Luas Areal tanam komoditi yang menggunakan benih unggul dibagi total luas tanam komoditi kali 100%</v>
      </c>
      <c r="Z589" s="565" t="str">
        <f>'matrik MISI 1'!Z11</f>
        <v>komoditi padi, jagung, kopi, tembakau</v>
      </c>
    </row>
    <row r="590" spans="2:26" ht="60">
      <c r="B590" s="940"/>
      <c r="C590" s="941"/>
      <c r="D590" s="940" t="str">
        <f>'matrik MISI 1'!J12</f>
        <v>2.01</v>
      </c>
      <c r="E590" s="940" t="str">
        <f>'matrik MISI 1'!K12</f>
        <v>xx</v>
      </c>
      <c r="F590" s="940">
        <f>'matrik MISI 1'!L12</f>
        <v>17</v>
      </c>
      <c r="G590" s="940" t="str">
        <f>'matrik MISI 1'!M12</f>
        <v>Program Peningkatan Pemasaran hasil produksi pertanian/perkebunan</v>
      </c>
      <c r="H590" s="164"/>
      <c r="I590" s="164"/>
      <c r="J590" s="929"/>
      <c r="K590" s="929"/>
      <c r="L590" s="929"/>
      <c r="M590" s="961">
        <f>'jangan dihapus 2'!K498</f>
        <v>340000000</v>
      </c>
      <c r="N590" s="961"/>
      <c r="O590" s="961">
        <f>'jangan dihapus 2'!M498</f>
        <v>370000000</v>
      </c>
      <c r="P590" s="961"/>
      <c r="Q590" s="961">
        <f>'jangan dihapus 2'!O498</f>
        <v>405000000</v>
      </c>
      <c r="R590" s="961"/>
      <c r="S590" s="961">
        <f>'jangan dihapus 2'!Q498</f>
        <v>415000000</v>
      </c>
      <c r="T590" s="961"/>
      <c r="U590" s="961">
        <f>'jangan dihapus 2'!S498</f>
        <v>420000000</v>
      </c>
      <c r="V590" s="961"/>
      <c r="W590" s="961">
        <f>SUM(M590:U590)</f>
        <v>1950000000</v>
      </c>
      <c r="X590" s="929"/>
      <c r="Y590" s="565"/>
      <c r="Z590" s="565"/>
    </row>
    <row r="591" spans="2:26" ht="30">
      <c r="B591" s="940"/>
      <c r="C591" s="941"/>
      <c r="D591" s="939"/>
      <c r="E591" s="939"/>
      <c r="F591" s="939"/>
      <c r="G591" s="939"/>
      <c r="H591" s="164" t="str">
        <f>'matrik MISI 1'!N12</f>
        <v>Besaran Peningkatan Pemasaran Hasil Pertanian</v>
      </c>
      <c r="I591" s="164" t="str">
        <f>'matrik MISI 1'!O12</f>
        <v>Kelompok</v>
      </c>
      <c r="J591" s="929">
        <f>'matrik MISI 1'!P12</f>
        <v>1</v>
      </c>
      <c r="K591" s="929">
        <f>'matrik MISI 1'!Q12</f>
        <v>2</v>
      </c>
      <c r="L591" s="929">
        <f>'matrik MISI 1'!R12</f>
        <v>4</v>
      </c>
      <c r="M591" s="961"/>
      <c r="N591" s="929">
        <f>'matrik MISI 1'!S12</f>
        <v>6</v>
      </c>
      <c r="O591" s="929"/>
      <c r="P591" s="929">
        <f>'matrik MISI 1'!T12</f>
        <v>8</v>
      </c>
      <c r="Q591" s="929"/>
      <c r="R591" s="929">
        <f>'matrik MISI 1'!U12</f>
        <v>10</v>
      </c>
      <c r="S591" s="929"/>
      <c r="T591" s="929">
        <f>'matrik MISI 1'!V12</f>
        <v>12</v>
      </c>
      <c r="U591" s="929"/>
      <c r="V591" s="929">
        <f>'matrik MISI 1'!W12</f>
        <v>12</v>
      </c>
      <c r="W591" s="929"/>
      <c r="X591" s="929" t="str">
        <f>'matrik MISI 1'!X12</f>
        <v>DINTANBUNHUT</v>
      </c>
      <c r="Y591" s="565">
        <f>'matrik MISI 1'!Y12</f>
        <v>0</v>
      </c>
      <c r="Z591" s="565" t="str">
        <f>'matrik MISI 1'!Z12</f>
        <v xml:space="preserve">Komoditas unggulan :  buncis, cabai, sayuran daun, labu siam, kopi, jahe, salak; </v>
      </c>
    </row>
    <row r="592" spans="2:26" ht="45">
      <c r="B592" s="940"/>
      <c r="C592" s="941"/>
      <c r="D592" s="940" t="str">
        <f>'matrik MISI 1'!J13</f>
        <v>2.01</v>
      </c>
      <c r="E592" s="940" t="str">
        <f>'matrik MISI 1'!K13</f>
        <v>xx</v>
      </c>
      <c r="F592" s="940">
        <f>'matrik MISI 1'!L13</f>
        <v>19</v>
      </c>
      <c r="G592" s="940" t="str">
        <f>'matrik MISI 1'!M13</f>
        <v>Program peningkatan produksi pertanian/perkebunan</v>
      </c>
      <c r="H592" s="164"/>
      <c r="I592" s="164"/>
      <c r="J592" s="929"/>
      <c r="K592" s="929"/>
      <c r="L592" s="929"/>
      <c r="M592" s="961">
        <f>'jangan dihapus 2'!K553</f>
        <v>150000000</v>
      </c>
      <c r="N592" s="961"/>
      <c r="O592" s="961">
        <f>'jangan dihapus 2'!M553</f>
        <v>150000000</v>
      </c>
      <c r="P592" s="961"/>
      <c r="Q592" s="961">
        <f>'jangan dihapus 2'!O553</f>
        <v>150000000</v>
      </c>
      <c r="R592" s="961"/>
      <c r="S592" s="961">
        <f>'jangan dihapus 2'!Q553</f>
        <v>150000000</v>
      </c>
      <c r="T592" s="961"/>
      <c r="U592" s="961">
        <f>'jangan dihapus 2'!S553</f>
        <v>150000000</v>
      </c>
      <c r="V592" s="929"/>
      <c r="W592" s="961">
        <f>SUM(M592:U592)</f>
        <v>750000000</v>
      </c>
      <c r="X592" s="929"/>
      <c r="Y592" s="565"/>
      <c r="Z592" s="565"/>
    </row>
    <row r="593" spans="2:26" ht="30">
      <c r="B593" s="940"/>
      <c r="C593" s="941"/>
      <c r="D593" s="939"/>
      <c r="E593" s="939"/>
      <c r="F593" s="939"/>
      <c r="G593" s="939"/>
      <c r="H593" s="164" t="str">
        <f>'matrik MISI 1'!N13</f>
        <v>Persentase Penanganan Serangan Hama Penyakit</v>
      </c>
      <c r="I593" s="164" t="str">
        <f>'matrik MISI 1'!O13</f>
        <v>%</v>
      </c>
      <c r="J593" s="929">
        <f>'matrik MISI 1'!P13</f>
        <v>60</v>
      </c>
      <c r="K593" s="929">
        <f>'matrik MISI 1'!Q13</f>
        <v>60</v>
      </c>
      <c r="L593" s="929">
        <f>'matrik MISI 1'!R13</f>
        <v>75</v>
      </c>
      <c r="M593" s="961"/>
      <c r="N593" s="929">
        <f>'matrik MISI 1'!S13</f>
        <v>75</v>
      </c>
      <c r="O593" s="929"/>
      <c r="P593" s="929">
        <f>'matrik MISI 1'!T13</f>
        <v>80</v>
      </c>
      <c r="Q593" s="929"/>
      <c r="R593" s="929">
        <f>'matrik MISI 1'!U13</f>
        <v>80</v>
      </c>
      <c r="S593" s="929"/>
      <c r="T593" s="929">
        <f>'matrik MISI 1'!V13</f>
        <v>85</v>
      </c>
      <c r="U593" s="929"/>
      <c r="V593" s="929">
        <f>'matrik MISI 1'!W13</f>
        <v>85</v>
      </c>
      <c r="W593" s="929"/>
      <c r="X593" s="929" t="str">
        <f>'matrik MISI 1'!X13</f>
        <v>DINTANBUNHUT</v>
      </c>
      <c r="Y593" s="565" t="str">
        <f>'matrik MISI 1'!Y13</f>
        <v>Luas serangan hama dan penyakit yang tertangani dibagi Luas serangan hama dan penyakit kali 100%</v>
      </c>
      <c r="Z593" s="565" t="str">
        <f>'matrik MISI 1'!Z13</f>
        <v>komoditi padi, jagung</v>
      </c>
    </row>
    <row r="594" spans="2:26" ht="45">
      <c r="B594" s="940"/>
      <c r="C594" s="941"/>
      <c r="D594" s="940" t="str">
        <f>'matrik MISI 1'!J14</f>
        <v>2.01</v>
      </c>
      <c r="E594" s="940" t="str">
        <f>'matrik MISI 1'!K14</f>
        <v>xx</v>
      </c>
      <c r="F594" s="940">
        <f>'matrik MISI 1'!L14</f>
        <v>21</v>
      </c>
      <c r="G594" s="940" t="str">
        <f>'matrik MISI 1'!M14</f>
        <v>Program pencegahan dan penanggulangan penyakit ternak</v>
      </c>
      <c r="H594" s="164"/>
      <c r="I594" s="164"/>
      <c r="J594" s="929"/>
      <c r="K594" s="929"/>
      <c r="L594" s="929"/>
      <c r="M594" s="961">
        <f>'jangan dihapus 2'!K561</f>
        <v>307670000</v>
      </c>
      <c r="N594" s="961"/>
      <c r="O594" s="961">
        <f>'jangan dihapus 2'!M561</f>
        <v>365000000</v>
      </c>
      <c r="P594" s="961"/>
      <c r="Q594" s="961">
        <f>'jangan dihapus 2'!O561</f>
        <v>420000000</v>
      </c>
      <c r="R594" s="961"/>
      <c r="S594" s="961">
        <f>'jangan dihapus 2'!Q561</f>
        <v>470000000</v>
      </c>
      <c r="T594" s="961"/>
      <c r="U594" s="961">
        <f>'jangan dihapus 2'!S561</f>
        <v>525000000</v>
      </c>
      <c r="V594" s="929"/>
      <c r="W594" s="961">
        <f>SUM(M594:U594)</f>
        <v>2087670000</v>
      </c>
      <c r="X594" s="929"/>
      <c r="Y594" s="565"/>
      <c r="Z594" s="565"/>
    </row>
    <row r="595" spans="2:26" ht="30">
      <c r="B595" s="940"/>
      <c r="C595" s="941"/>
      <c r="D595" s="939"/>
      <c r="E595" s="939"/>
      <c r="F595" s="939"/>
      <c r="G595" s="939"/>
      <c r="H595" s="164" t="str">
        <f>'matrik MISI 1'!N14</f>
        <v>Angka Kematian Ternak unggas</v>
      </c>
      <c r="I595" s="164" t="str">
        <f>'matrik MISI 1'!O14</f>
        <v>%</v>
      </c>
      <c r="J595" s="929">
        <f>'matrik MISI 1'!P14</f>
        <v>2</v>
      </c>
      <c r="K595" s="929">
        <f>'matrik MISI 1'!Q14</f>
        <v>2</v>
      </c>
      <c r="L595" s="929">
        <f>'matrik MISI 1'!R14</f>
        <v>2</v>
      </c>
      <c r="M595" s="961"/>
      <c r="N595" s="929">
        <f>'matrik MISI 1'!S14</f>
        <v>2</v>
      </c>
      <c r="O595" s="929"/>
      <c r="P595" s="929">
        <f>'matrik MISI 1'!T14</f>
        <v>2</v>
      </c>
      <c r="Q595" s="929"/>
      <c r="R595" s="929">
        <f>'matrik MISI 1'!U14</f>
        <v>2</v>
      </c>
      <c r="S595" s="929"/>
      <c r="T595" s="929">
        <f>'matrik MISI 1'!V14</f>
        <v>2</v>
      </c>
      <c r="U595" s="929"/>
      <c r="V595" s="929">
        <f>'matrik MISI 1'!W14</f>
        <v>2</v>
      </c>
      <c r="W595" s="929"/>
      <c r="X595" s="929" t="str">
        <f>'matrik MISI 1'!X14</f>
        <v>DINAKAN</v>
      </c>
      <c r="Y595" s="565" t="str">
        <f>'matrik MISI 1'!Y14</f>
        <v>Jumlah hewan yang mati karena penyakit dibagi jumlah total populasi yang bersangkutan kali 100%</v>
      </c>
      <c r="Z595" s="565" t="str">
        <f>'matrik MISI 1'!Z14</f>
        <v>menurunnya angka kematian (unggas, ternak kecil, ternak besar)</v>
      </c>
    </row>
    <row r="596" spans="2:26">
      <c r="B596" s="940"/>
      <c r="C596" s="941"/>
      <c r="D596" s="940"/>
      <c r="E596" s="940"/>
      <c r="F596" s="940"/>
      <c r="G596" s="940"/>
      <c r="H596" s="164" t="str">
        <f>'matrik MISI 1'!N15</f>
        <v>Angka Kematian Ternak kecil</v>
      </c>
      <c r="I596" s="164" t="str">
        <f>'matrik MISI 1'!O15</f>
        <v>%</v>
      </c>
      <c r="J596" s="929">
        <f>'matrik MISI 1'!P15</f>
        <v>0.1</v>
      </c>
      <c r="K596" s="929">
        <f>'matrik MISI 1'!Q15</f>
        <v>0.1</v>
      </c>
      <c r="L596" s="929">
        <f>'matrik MISI 1'!R15</f>
        <v>0.1</v>
      </c>
      <c r="M596" s="961"/>
      <c r="N596" s="929">
        <f>'matrik MISI 1'!S15</f>
        <v>0.1</v>
      </c>
      <c r="O596" s="929"/>
      <c r="P596" s="929">
        <f>'matrik MISI 1'!T15</f>
        <v>0.1</v>
      </c>
      <c r="Q596" s="929"/>
      <c r="R596" s="929">
        <f>'matrik MISI 1'!U15</f>
        <v>0.1</v>
      </c>
      <c r="S596" s="929"/>
      <c r="T596" s="929">
        <f>'matrik MISI 1'!V15</f>
        <v>0.1</v>
      </c>
      <c r="U596" s="929"/>
      <c r="V596" s="929">
        <f>'matrik MISI 1'!W15</f>
        <v>0.1</v>
      </c>
      <c r="W596" s="929"/>
      <c r="X596" s="929">
        <f>'matrik MISI 1'!X15</f>
        <v>0</v>
      </c>
      <c r="Y596" s="565">
        <f>'matrik MISI 1'!Y15</f>
        <v>0</v>
      </c>
      <c r="Z596" s="565">
        <f>'matrik MISI 1'!Z15</f>
        <v>0</v>
      </c>
    </row>
    <row r="597" spans="2:26">
      <c r="B597" s="940"/>
      <c r="C597" s="941"/>
      <c r="D597" s="940"/>
      <c r="E597" s="940"/>
      <c r="F597" s="940"/>
      <c r="G597" s="940"/>
      <c r="H597" s="164" t="str">
        <f>'matrik MISI 1'!N16</f>
        <v>Angka Kematian Ternak besar</v>
      </c>
      <c r="I597" s="164" t="str">
        <f>'matrik MISI 1'!O16</f>
        <v>%</v>
      </c>
      <c r="J597" s="929">
        <f>'matrik MISI 1'!P16</f>
        <v>0.1</v>
      </c>
      <c r="K597" s="929">
        <f>'matrik MISI 1'!Q16</f>
        <v>0.1</v>
      </c>
      <c r="L597" s="929">
        <f>'matrik MISI 1'!R16</f>
        <v>0.1</v>
      </c>
      <c r="M597" s="961"/>
      <c r="N597" s="929">
        <f>'matrik MISI 1'!S16</f>
        <v>0.1</v>
      </c>
      <c r="O597" s="929"/>
      <c r="P597" s="929">
        <f>'matrik MISI 1'!T16</f>
        <v>0.1</v>
      </c>
      <c r="Q597" s="929"/>
      <c r="R597" s="929">
        <f>'matrik MISI 1'!U16</f>
        <v>0.1</v>
      </c>
      <c r="S597" s="929"/>
      <c r="T597" s="929">
        <f>'matrik MISI 1'!V16</f>
        <v>0.1</v>
      </c>
      <c r="U597" s="929"/>
      <c r="V597" s="929">
        <f>'matrik MISI 1'!W16</f>
        <v>0.1</v>
      </c>
      <c r="W597" s="929"/>
      <c r="X597" s="929">
        <f>'matrik MISI 1'!X16</f>
        <v>0</v>
      </c>
      <c r="Y597" s="565">
        <f>'matrik MISI 1'!Y16</f>
        <v>0</v>
      </c>
      <c r="Z597" s="565">
        <f>'matrik MISI 1'!Z16</f>
        <v>0</v>
      </c>
    </row>
    <row r="598" spans="2:26" ht="60">
      <c r="B598" s="940"/>
      <c r="C598" s="941"/>
      <c r="D598" s="940" t="str">
        <f>'matrik MISI 1'!J18</f>
        <v>2.01</v>
      </c>
      <c r="E598" s="940" t="str">
        <f>'matrik MISI 1'!K18</f>
        <v>xx</v>
      </c>
      <c r="F598" s="940">
        <f>'matrik MISI 1'!L18</f>
        <v>19</v>
      </c>
      <c r="G598" s="940" t="str">
        <f>'matrik MISI 1'!M18</f>
        <v>Program Peningkatan Produksi Pertanian/Perkebunan/peternakan</v>
      </c>
      <c r="H598" s="164"/>
      <c r="I598" s="164"/>
      <c r="J598" s="929"/>
      <c r="K598" s="929"/>
      <c r="L598" s="929"/>
      <c r="M598" s="961">
        <f>'jangan dihapus 2'!K524-'tabel BAB VIII'!M624-'tabel BAB VIII'!M592</f>
        <v>5256000000</v>
      </c>
      <c r="N598" s="961"/>
      <c r="O598" s="961">
        <f>'jangan dihapus 2'!M524-'tabel BAB VIII'!O624-'tabel BAB VIII'!O592</f>
        <v>6040000000</v>
      </c>
      <c r="P598" s="961"/>
      <c r="Q598" s="961">
        <f>'jangan dihapus 2'!O524-'tabel BAB VIII'!Q624-'tabel BAB VIII'!Q592</f>
        <v>6192500000</v>
      </c>
      <c r="R598" s="961">
        <f>'jangan dihapus 2'!P524</f>
        <v>0</v>
      </c>
      <c r="S598" s="961">
        <f>'jangan dihapus 2'!Q524-'tabel BAB VIII'!S624-'tabel BAB VIII'!S592</f>
        <v>6482500000</v>
      </c>
      <c r="T598" s="961">
        <f>'jangan dihapus 2'!R524</f>
        <v>0</v>
      </c>
      <c r="U598" s="961">
        <f>'jangan dihapus 2'!S524-'tabel BAB VIII'!U624-'tabel BAB VIII'!U592</f>
        <v>6587500000</v>
      </c>
      <c r="V598" s="929"/>
      <c r="W598" s="961">
        <f>SUM(M598:U598)</f>
        <v>30558500000</v>
      </c>
      <c r="X598" s="929"/>
      <c r="Y598" s="565"/>
      <c r="Z598" s="565"/>
    </row>
    <row r="599" spans="2:26">
      <c r="B599" s="940"/>
      <c r="C599" s="941"/>
      <c r="D599" s="939"/>
      <c r="E599" s="939"/>
      <c r="F599" s="939"/>
      <c r="G599" s="939"/>
      <c r="H599" s="164" t="str">
        <f>'matrik MISI 1'!N18</f>
        <v xml:space="preserve">Peningkatan produktifitas Padi </v>
      </c>
      <c r="I599" s="164" t="str">
        <f>'matrik MISI 1'!O18</f>
        <v>Ton/Ha</v>
      </c>
      <c r="J599" s="929" t="str">
        <f>'matrik MISI 1'!P18</f>
        <v>6,15</v>
      </c>
      <c r="K599" s="929">
        <f>'matrik MISI 1'!Q18</f>
        <v>5.67</v>
      </c>
      <c r="L599" s="929" t="str">
        <f>'matrik MISI 1'!R18</f>
        <v>6,19</v>
      </c>
      <c r="M599" s="961"/>
      <c r="N599" s="929" t="str">
        <f>'matrik MISI 1'!S18</f>
        <v>6,38</v>
      </c>
      <c r="O599" s="929"/>
      <c r="P599" s="929" t="str">
        <f>'matrik MISI 1'!T18</f>
        <v>6,58</v>
      </c>
      <c r="Q599" s="929"/>
      <c r="R599" s="929" t="str">
        <f>'matrik MISI 1'!U18</f>
        <v>6,78</v>
      </c>
      <c r="S599" s="929"/>
      <c r="T599" s="929" t="str">
        <f>'matrik MISI 1'!V18</f>
        <v>6,99</v>
      </c>
      <c r="U599" s="929"/>
      <c r="V599" s="929" t="str">
        <f>'matrik MISI 1'!W18</f>
        <v>6,99</v>
      </c>
      <c r="W599" s="929"/>
      <c r="X599" s="929" t="str">
        <f>'matrik MISI 1'!X18</f>
        <v>DINTANBUNHUT</v>
      </c>
      <c r="Y599" s="565" t="str">
        <f>'matrik MISI 1'!Y18</f>
        <v>Total Produksi dibagi Luas Panen</v>
      </c>
      <c r="Z599" s="565">
        <f>'matrik MISI 1'!Z18</f>
        <v>0</v>
      </c>
    </row>
    <row r="600" spans="2:26" ht="30">
      <c r="B600" s="940"/>
      <c r="C600" s="941"/>
      <c r="D600" s="940"/>
      <c r="E600" s="940"/>
      <c r="F600" s="940"/>
      <c r="G600" s="940"/>
      <c r="H600" s="164" t="str">
        <f>'matrik MISI 1'!N19</f>
        <v>Peningkatan produktifitas Jagung</v>
      </c>
      <c r="I600" s="164" t="str">
        <f>'matrik MISI 1'!O19</f>
        <v>Ton/Ha</v>
      </c>
      <c r="J600" s="929" t="str">
        <f>'matrik MISI 1'!P19</f>
        <v>5,6</v>
      </c>
      <c r="K600" s="929" t="str">
        <f>'matrik MISI 1'!Q19</f>
        <v>5,6</v>
      </c>
      <c r="L600" s="929" t="str">
        <f>'matrik MISI 1'!R19</f>
        <v>5,77</v>
      </c>
      <c r="M600" s="961"/>
      <c r="N600" s="929" t="str">
        <f>'matrik MISI 1'!S19</f>
        <v>6,03</v>
      </c>
      <c r="O600" s="929"/>
      <c r="P600" s="929" t="str">
        <f>'matrik MISI 1'!T19</f>
        <v>6,30</v>
      </c>
      <c r="Q600" s="929"/>
      <c r="R600" s="929" t="str">
        <f>'matrik MISI 1'!U19</f>
        <v>6,58</v>
      </c>
      <c r="S600" s="929"/>
      <c r="T600" s="929" t="str">
        <f>'matrik MISI 1'!V19</f>
        <v>6,88</v>
      </c>
      <c r="U600" s="929"/>
      <c r="V600" s="929" t="str">
        <f>'matrik MISI 1'!W19</f>
        <v>6,88</v>
      </c>
      <c r="W600" s="929"/>
      <c r="X600" s="929" t="str">
        <f>'matrik MISI 1'!X19</f>
        <v>DINTANBUNHUT</v>
      </c>
      <c r="Y600" s="565" t="str">
        <f>'matrik MISI 1'!Y19</f>
        <v>Total Produksi dibagi Luas Panen</v>
      </c>
      <c r="Z600" s="565">
        <f>'matrik MISI 1'!Z19</f>
        <v>0</v>
      </c>
    </row>
    <row r="601" spans="2:26" ht="30">
      <c r="B601" s="940"/>
      <c r="C601" s="941"/>
      <c r="D601" s="940"/>
      <c r="E601" s="940"/>
      <c r="F601" s="940"/>
      <c r="G601" s="940"/>
      <c r="H601" s="164" t="str">
        <f>'matrik MISI 1'!N20</f>
        <v>Peningkatan produktifitas Ubi kayu</v>
      </c>
      <c r="I601" s="164" t="str">
        <f>'matrik MISI 1'!O20</f>
        <v>Ton/Ha</v>
      </c>
      <c r="J601" s="929" t="str">
        <f>'matrik MISI 1'!P20</f>
        <v>24,48</v>
      </c>
      <c r="K601" s="929" t="str">
        <f>'matrik MISI 1'!Q20</f>
        <v>25,01</v>
      </c>
      <c r="L601" s="929" t="str">
        <f>'matrik MISI 1'!R20</f>
        <v>25,51</v>
      </c>
      <c r="M601" s="961"/>
      <c r="N601" s="929" t="str">
        <f>'matrik MISI 1'!S20</f>
        <v>26,02</v>
      </c>
      <c r="O601" s="929"/>
      <c r="P601" s="929" t="str">
        <f>'matrik MISI 1'!T20</f>
        <v>26,54</v>
      </c>
      <c r="Q601" s="929"/>
      <c r="R601" s="929" t="str">
        <f>'matrik MISI 1'!U20</f>
        <v>27,07</v>
      </c>
      <c r="S601" s="929"/>
      <c r="T601" s="929" t="str">
        <f>'matrik MISI 1'!V20</f>
        <v>27,61</v>
      </c>
      <c r="U601" s="929"/>
      <c r="V601" s="929" t="str">
        <f>'matrik MISI 1'!W20</f>
        <v>27,61</v>
      </c>
      <c r="W601" s="929"/>
      <c r="X601" s="929" t="str">
        <f>'matrik MISI 1'!X20</f>
        <v>DINTANBUNHUT</v>
      </c>
      <c r="Y601" s="565" t="str">
        <f>'matrik MISI 1'!Y20</f>
        <v>Total Produksi dibagi Luas Panen</v>
      </c>
      <c r="Z601" s="565">
        <f>'matrik MISI 1'!Z20</f>
        <v>0</v>
      </c>
    </row>
    <row r="602" spans="2:26" ht="30">
      <c r="B602" s="940"/>
      <c r="C602" s="941"/>
      <c r="D602" s="940"/>
      <c r="E602" s="940"/>
      <c r="F602" s="940"/>
      <c r="G602" s="940"/>
      <c r="H602" s="164" t="str">
        <f>'matrik MISI 1'!N21</f>
        <v>Peningkatan produktifitas Cabai</v>
      </c>
      <c r="I602" s="164" t="str">
        <f>'matrik MISI 1'!O21</f>
        <v>Ton/Ha</v>
      </c>
      <c r="J602" s="929" t="str">
        <f>'matrik MISI 1'!P21</f>
        <v>4,02</v>
      </c>
      <c r="K602" s="929">
        <f>'matrik MISI 1'!Q21</f>
        <v>6.15</v>
      </c>
      <c r="L602" s="929">
        <f>'matrik MISI 1'!R21</f>
        <v>6.16</v>
      </c>
      <c r="M602" s="961"/>
      <c r="N602" s="929">
        <f>'matrik MISI 1'!S21</f>
        <v>6.2</v>
      </c>
      <c r="O602" s="929"/>
      <c r="P602" s="929" t="str">
        <f>'matrik MISI 1'!T21</f>
        <v>6,30</v>
      </c>
      <c r="Q602" s="929"/>
      <c r="R602" s="929" t="str">
        <f>'matrik MISI 1'!U21</f>
        <v>6,50</v>
      </c>
      <c r="S602" s="929"/>
      <c r="T602" s="929" t="str">
        <f>'matrik MISI 1'!V21</f>
        <v>6,70</v>
      </c>
      <c r="U602" s="929"/>
      <c r="V602" s="929" t="str">
        <f>'matrik MISI 1'!W21</f>
        <v>6,70</v>
      </c>
      <c r="W602" s="929"/>
      <c r="X602" s="929" t="str">
        <f>'matrik MISI 1'!X21</f>
        <v>DINTANBUNHUT</v>
      </c>
      <c r="Y602" s="565" t="str">
        <f>'matrik MISI 1'!Y21</f>
        <v>Produktivitas kali luas panen</v>
      </c>
      <c r="Z602" s="565" t="str">
        <f>'matrik MISI 1'!Z21</f>
        <v>Peningkatan produksi 2% pertahun *produksi tahun 2013 merupakan angka estimasi</v>
      </c>
    </row>
    <row r="603" spans="2:26">
      <c r="B603" s="940"/>
      <c r="C603" s="941"/>
      <c r="D603" s="940"/>
      <c r="E603" s="940"/>
      <c r="F603" s="940"/>
      <c r="G603" s="940"/>
      <c r="H603" s="164" t="str">
        <f>'matrik MISI 1'!N22</f>
        <v>Peningkatan produktifitas Kobis</v>
      </c>
      <c r="I603" s="164" t="str">
        <f>'matrik MISI 1'!O22</f>
        <v>Ton/Ha</v>
      </c>
      <c r="J603" s="929" t="str">
        <f>'matrik MISI 1'!P22</f>
        <v>23,90</v>
      </c>
      <c r="K603" s="929" t="str">
        <f>'matrik MISI 1'!Q22</f>
        <v>24,50</v>
      </c>
      <c r="L603" s="929" t="str">
        <f>'matrik MISI 1'!R22</f>
        <v>24,99</v>
      </c>
      <c r="M603" s="961"/>
      <c r="N603" s="929" t="str">
        <f>'matrik MISI 1'!S22</f>
        <v>25,49</v>
      </c>
      <c r="O603" s="929"/>
      <c r="P603" s="929" t="str">
        <f>'matrik MISI 1'!T22</f>
        <v>26,00</v>
      </c>
      <c r="Q603" s="929"/>
      <c r="R603" s="929" t="str">
        <f>'matrik MISI 1'!U22</f>
        <v>26,52</v>
      </c>
      <c r="S603" s="929"/>
      <c r="T603" s="929" t="str">
        <f>'matrik MISI 1'!V22</f>
        <v>27,05</v>
      </c>
      <c r="U603" s="929"/>
      <c r="V603" s="929" t="str">
        <f>'matrik MISI 1'!W22</f>
        <v>27,05</v>
      </c>
      <c r="W603" s="929"/>
      <c r="X603" s="929" t="str">
        <f>'matrik MISI 1'!X22</f>
        <v>DINTANBUNHUT</v>
      </c>
      <c r="Y603" s="565" t="str">
        <f>'matrik MISI 1'!Y22</f>
        <v>Total Produksi dibagi Luas Panen</v>
      </c>
      <c r="Z603" s="565">
        <f>'matrik MISI 1'!Z22</f>
        <v>0</v>
      </c>
    </row>
    <row r="604" spans="2:26" ht="30">
      <c r="B604" s="940"/>
      <c r="C604" s="941"/>
      <c r="D604" s="940"/>
      <c r="E604" s="940"/>
      <c r="F604" s="940"/>
      <c r="G604" s="940"/>
      <c r="H604" s="164" t="str">
        <f>'matrik MISI 1'!N23</f>
        <v>Peningkatan produktifitas Tembakau</v>
      </c>
      <c r="I604" s="164" t="str">
        <f>'matrik MISI 1'!O23</f>
        <v>Ton/Ha</v>
      </c>
      <c r="J604" s="929" t="str">
        <f>'matrik MISI 1'!P23</f>
        <v>0,64</v>
      </c>
      <c r="K604" s="929" t="str">
        <f>'matrik MISI 1'!Q23</f>
        <v>0,64</v>
      </c>
      <c r="L604" s="929" t="str">
        <f>'matrik MISI 1'!R23</f>
        <v>0,66</v>
      </c>
      <c r="M604" s="961"/>
      <c r="N604" s="929" t="str">
        <f>'matrik MISI 1'!S23</f>
        <v>0,69</v>
      </c>
      <c r="O604" s="929"/>
      <c r="P604" s="929" t="str">
        <f>'matrik MISI 1'!T23</f>
        <v>0,72</v>
      </c>
      <c r="Q604" s="929"/>
      <c r="R604" s="929" t="str">
        <f>'matrik MISI 1'!U23</f>
        <v>0,75</v>
      </c>
      <c r="S604" s="929"/>
      <c r="T604" s="929" t="str">
        <f>'matrik MISI 1'!V23</f>
        <v>0,79</v>
      </c>
      <c r="U604" s="929"/>
      <c r="V604" s="929" t="str">
        <f>'matrik MISI 1'!W23</f>
        <v>0,79</v>
      </c>
      <c r="W604" s="929"/>
      <c r="X604" s="929" t="str">
        <f>'matrik MISI 1'!X23</f>
        <v>DINTANBUNHUT</v>
      </c>
      <c r="Y604" s="565" t="str">
        <f>'matrik MISI 1'!Y23</f>
        <v>Total Produksi dibagi Luas Panen</v>
      </c>
      <c r="Z604" s="565">
        <f>'matrik MISI 1'!Z23</f>
        <v>0</v>
      </c>
    </row>
    <row r="605" spans="2:26" ht="30">
      <c r="B605" s="940"/>
      <c r="C605" s="941"/>
      <c r="D605" s="940"/>
      <c r="E605" s="940"/>
      <c r="F605" s="940"/>
      <c r="G605" s="940"/>
      <c r="H605" s="164" t="str">
        <f>'matrik MISI 1'!N24</f>
        <v>Peningkatan produktifitas Kopi Robusta</v>
      </c>
      <c r="I605" s="164" t="str">
        <f>'matrik MISI 1'!O24</f>
        <v>Ton/Ha</v>
      </c>
      <c r="J605" s="929" t="str">
        <f>'matrik MISI 1'!P24</f>
        <v>1,1</v>
      </c>
      <c r="K605" s="929" t="str">
        <f>'matrik MISI 1'!Q24</f>
        <v>0,91</v>
      </c>
      <c r="L605" s="929" t="str">
        <f>'matrik MISI 1'!R24</f>
        <v>0,95</v>
      </c>
      <c r="M605" s="961"/>
      <c r="N605" s="929" t="str">
        <f>'matrik MISI 1'!S24</f>
        <v>0,97</v>
      </c>
      <c r="O605" s="929"/>
      <c r="P605" s="929" t="str">
        <f>'matrik MISI 1'!T24</f>
        <v>0,99</v>
      </c>
      <c r="Q605" s="929"/>
      <c r="R605" s="929" t="str">
        <f>'matrik MISI 1'!U24</f>
        <v>1,00</v>
      </c>
      <c r="S605" s="929"/>
      <c r="T605" s="929" t="str">
        <f>'matrik MISI 1'!V24</f>
        <v>1,10</v>
      </c>
      <c r="U605" s="929"/>
      <c r="V605" s="929" t="str">
        <f>'matrik MISI 1'!W24</f>
        <v>1,10</v>
      </c>
      <c r="W605" s="929"/>
      <c r="X605" s="929" t="str">
        <f>'matrik MISI 1'!X24</f>
        <v>DINTANBUNHUT</v>
      </c>
      <c r="Y605" s="565" t="str">
        <f>'matrik MISI 1'!Y24</f>
        <v>Total Produksi dibagi Luas Panen</v>
      </c>
      <c r="Z605" s="565">
        <f>'matrik MISI 1'!Z24</f>
        <v>0</v>
      </c>
    </row>
    <row r="606" spans="2:26" ht="30">
      <c r="B606" s="940"/>
      <c r="C606" s="941"/>
      <c r="D606" s="940"/>
      <c r="E606" s="940"/>
      <c r="F606" s="940"/>
      <c r="G606" s="940"/>
      <c r="H606" s="164" t="str">
        <f>'matrik MISI 1'!N25</f>
        <v>Peningkatan produktifitas Kopi Arabika</v>
      </c>
      <c r="I606" s="164" t="str">
        <f>'matrik MISI 1'!O25</f>
        <v>Ton/Ha</v>
      </c>
      <c r="J606" s="929" t="str">
        <f>'matrik MISI 1'!P25</f>
        <v>0,95</v>
      </c>
      <c r="K606" s="929" t="str">
        <f>'matrik MISI 1'!Q25</f>
        <v>0,75</v>
      </c>
      <c r="L606" s="929" t="str">
        <f>'matrik MISI 1'!R25</f>
        <v>0,80</v>
      </c>
      <c r="M606" s="961"/>
      <c r="N606" s="929" t="str">
        <f>'matrik MISI 1'!S25</f>
        <v>0,82</v>
      </c>
      <c r="O606" s="929"/>
      <c r="P606" s="929" t="str">
        <f>'matrik MISI 1'!T25</f>
        <v>0,85</v>
      </c>
      <c r="Q606" s="929"/>
      <c r="R606" s="929" t="str">
        <f>'matrik MISI 1'!U25</f>
        <v>0,87</v>
      </c>
      <c r="S606" s="929"/>
      <c r="T606" s="929" t="str">
        <f>'matrik MISI 1'!V25</f>
        <v>0,90</v>
      </c>
      <c r="U606" s="929"/>
      <c r="V606" s="929" t="str">
        <f>'matrik MISI 1'!W25</f>
        <v>0,90</v>
      </c>
      <c r="W606" s="929"/>
      <c r="X606" s="929" t="str">
        <f>'matrik MISI 1'!X25</f>
        <v>DINTANBUNHUT</v>
      </c>
      <c r="Y606" s="565" t="str">
        <f>'matrik MISI 1'!Y25</f>
        <v>Produktivitas kali luas Panen</v>
      </c>
      <c r="Z606" s="565">
        <f>'matrik MISI 1'!Z25</f>
        <v>0</v>
      </c>
    </row>
    <row r="607" spans="2:26" ht="45">
      <c r="B607" s="940"/>
      <c r="C607" s="941"/>
      <c r="D607" s="940" t="str">
        <f>'matrik MISI 1'!J26</f>
        <v>2.01</v>
      </c>
      <c r="E607" s="940" t="str">
        <f>'matrik MISI 1'!K26</f>
        <v>xx</v>
      </c>
      <c r="F607" s="940">
        <f>'matrik MISI 1'!L26</f>
        <v>22</v>
      </c>
      <c r="G607" s="940" t="str">
        <f>'matrik MISI 1'!M26</f>
        <v>Program Peningkatan Produksi Hasil peternakan</v>
      </c>
      <c r="H607" s="164"/>
      <c r="I607" s="164"/>
      <c r="J607" s="929"/>
      <c r="K607" s="929"/>
      <c r="L607" s="929"/>
      <c r="M607" s="961">
        <f>'jangan dihapus 2'!K567</f>
        <v>40000000</v>
      </c>
      <c r="N607" s="929"/>
      <c r="O607" s="961">
        <f>'jangan dihapus 2'!M567</f>
        <v>75000000</v>
      </c>
      <c r="P607" s="929"/>
      <c r="Q607" s="961">
        <f>'jangan dihapus 2'!O567</f>
        <v>85000000</v>
      </c>
      <c r="R607" s="929"/>
      <c r="S607" s="961">
        <f>'jangan dihapus 2'!Q567</f>
        <v>85000000</v>
      </c>
      <c r="T607" s="929"/>
      <c r="U607" s="961">
        <f>'jangan dihapus 2'!S567</f>
        <v>90000000</v>
      </c>
      <c r="V607" s="929"/>
      <c r="W607" s="961">
        <f>SUM(M607:U607)</f>
        <v>375000000</v>
      </c>
      <c r="X607" s="929"/>
      <c r="Y607" s="565"/>
      <c r="Z607" s="565"/>
    </row>
    <row r="608" spans="2:26" ht="30">
      <c r="B608" s="940"/>
      <c r="C608" s="941"/>
      <c r="D608" s="939"/>
      <c r="E608" s="939"/>
      <c r="F608" s="939"/>
      <c r="G608" s="939"/>
      <c r="H608" s="164" t="str">
        <f>'matrik MISI 1'!N26</f>
        <v>Peningkatan Produktivitas daging Sapi</v>
      </c>
      <c r="I608" s="164" t="str">
        <f>'matrik MISI 1'!O26</f>
        <v>Kg/Ekor</v>
      </c>
      <c r="J608" s="929">
        <f>'matrik MISI 1'!P26</f>
        <v>159</v>
      </c>
      <c r="K608" s="929">
        <f>'matrik MISI 1'!Q26</f>
        <v>160</v>
      </c>
      <c r="L608" s="929" t="str">
        <f>'matrik MISI 1'!R26</f>
        <v xml:space="preserve">163,20 </v>
      </c>
      <c r="M608" s="961"/>
      <c r="N608" s="929" t="str">
        <f>'matrik MISI 1'!S26</f>
        <v>166,46</v>
      </c>
      <c r="O608" s="929"/>
      <c r="P608" s="929" t="str">
        <f>'matrik MISI 1'!T26</f>
        <v>169,79</v>
      </c>
      <c r="Q608" s="929"/>
      <c r="R608" s="929" t="str">
        <f>'matrik MISI 1'!U26</f>
        <v>173,19</v>
      </c>
      <c r="S608" s="929"/>
      <c r="T608" s="929" t="str">
        <f>'matrik MISI 1'!V26</f>
        <v>176,65</v>
      </c>
      <c r="U608" s="929"/>
      <c r="V608" s="929">
        <f>'matrik MISI 1'!W26</f>
        <v>176.65</v>
      </c>
      <c r="W608" s="929"/>
      <c r="X608" s="929" t="str">
        <f>'matrik MISI 1'!X26</f>
        <v>DINAKAN</v>
      </c>
      <c r="Y608" s="565" t="str">
        <f>'matrik MISI 1'!Y26</f>
        <v>Produktifitas sapi per ekor</v>
      </c>
      <c r="Z608" s="565" t="str">
        <f>'matrik MISI 1'!Z26</f>
        <v>produkstivitas adalah bobot daging yang dihasilkan per ekor</v>
      </c>
    </row>
    <row r="609" spans="2:26" ht="30">
      <c r="B609" s="940"/>
      <c r="C609" s="941"/>
      <c r="D609" s="940"/>
      <c r="E609" s="940"/>
      <c r="F609" s="940"/>
      <c r="G609" s="940"/>
      <c r="H609" s="164" t="str">
        <f>'matrik MISI 1'!N27</f>
        <v>Peningkatan Produktivitas daging Kambing</v>
      </c>
      <c r="I609" s="164" t="str">
        <f>'matrik MISI 1'!O27</f>
        <v>Kg/Ekor</v>
      </c>
      <c r="J609" s="929">
        <f>'matrik MISI 1'!P27</f>
        <v>12.5</v>
      </c>
      <c r="K609" s="929">
        <f>'matrik MISI 1'!Q27</f>
        <v>13</v>
      </c>
      <c r="L609" s="929" t="str">
        <f>'matrik MISI 1'!R27</f>
        <v>13,13</v>
      </c>
      <c r="M609" s="961"/>
      <c r="N609" s="929" t="str">
        <f>'matrik MISI 1'!S27</f>
        <v>13,26</v>
      </c>
      <c r="O609" s="929"/>
      <c r="P609" s="929" t="str">
        <f>'matrik MISI 1'!T27</f>
        <v>13,39</v>
      </c>
      <c r="Q609" s="929"/>
      <c r="R609" s="929" t="str">
        <f>'matrik MISI 1'!U27</f>
        <v>13,53</v>
      </c>
      <c r="S609" s="929"/>
      <c r="T609" s="929" t="str">
        <f>'matrik MISI 1'!V27</f>
        <v>13,66</v>
      </c>
      <c r="U609" s="929"/>
      <c r="V609" s="929" t="str">
        <f>'matrik MISI 1'!W27</f>
        <v>13,66</v>
      </c>
      <c r="W609" s="929"/>
      <c r="X609" s="929" t="str">
        <f>'matrik MISI 1'!X27</f>
        <v>DINAKAN</v>
      </c>
      <c r="Y609" s="565" t="str">
        <f>'matrik MISI 1'!Y27</f>
        <v>Produktifitas Kambing per ekor</v>
      </c>
      <c r="Z609" s="565" t="str">
        <f>'matrik MISI 1'!Z27</f>
        <v>produkstivitas adalah bobot daging yang dihasilkan per ekor</v>
      </c>
    </row>
    <row r="610" spans="2:26" ht="30">
      <c r="B610" s="940"/>
      <c r="C610" s="941"/>
      <c r="D610" s="940"/>
      <c r="E610" s="940"/>
      <c r="F610" s="940"/>
      <c r="G610" s="940"/>
      <c r="H610" s="164" t="str">
        <f>'matrik MISI 1'!N28</f>
        <v>Peningkatan Produktivitas daging Domba</v>
      </c>
      <c r="I610" s="164" t="str">
        <f>'matrik MISI 1'!O28</f>
        <v>Kg/Ekor</v>
      </c>
      <c r="J610" s="929">
        <f>'matrik MISI 1'!P28</f>
        <v>12.5</v>
      </c>
      <c r="K610" s="929">
        <f>'matrik MISI 1'!Q28</f>
        <v>13</v>
      </c>
      <c r="L610" s="929" t="str">
        <f>'matrik MISI 1'!R28</f>
        <v>13,13</v>
      </c>
      <c r="M610" s="961"/>
      <c r="N610" s="929" t="str">
        <f>'matrik MISI 1'!S28</f>
        <v>13,26</v>
      </c>
      <c r="O610" s="929"/>
      <c r="P610" s="929" t="str">
        <f>'matrik MISI 1'!T28</f>
        <v>13,39</v>
      </c>
      <c r="Q610" s="929"/>
      <c r="R610" s="929" t="str">
        <f>'matrik MISI 1'!U28</f>
        <v>13,53</v>
      </c>
      <c r="S610" s="929"/>
      <c r="T610" s="929" t="str">
        <f>'matrik MISI 1'!V28</f>
        <v>13,66</v>
      </c>
      <c r="U610" s="929"/>
      <c r="V610" s="929" t="str">
        <f>'matrik MISI 1'!W28</f>
        <v>13,66</v>
      </c>
      <c r="W610" s="929"/>
      <c r="X610" s="929" t="str">
        <f>'matrik MISI 1'!X28</f>
        <v>DINAKAN</v>
      </c>
      <c r="Y610" s="565" t="str">
        <f>'matrik MISI 1'!Y28</f>
        <v>Produktifitas domba per ekor</v>
      </c>
      <c r="Z610" s="565" t="str">
        <f>'matrik MISI 1'!Z28</f>
        <v>produkstivitas adalah bobot daging yang dihasilkan per ekor</v>
      </c>
    </row>
    <row r="611" spans="2:26" ht="30">
      <c r="B611" s="940"/>
      <c r="C611" s="941"/>
      <c r="D611" s="940"/>
      <c r="E611" s="940"/>
      <c r="F611" s="940"/>
      <c r="G611" s="940"/>
      <c r="H611" s="164" t="str">
        <f>'matrik MISI 1'!N29</f>
        <v>Peningkatan produksi telur ayam ras petelur</v>
      </c>
      <c r="I611" s="164" t="str">
        <f>'matrik MISI 1'!O29</f>
        <v>Butir</v>
      </c>
      <c r="J611" s="929" t="str">
        <f>'matrik MISI 1'!P29</f>
        <v xml:space="preserve">75.335.043 </v>
      </c>
      <c r="K611" s="929" t="str">
        <f>'matrik MISI 1'!Q29</f>
        <v>75.408.960</v>
      </c>
      <c r="L611" s="929" t="str">
        <f>'matrik MISI 1'!R29</f>
        <v>76.163.949</v>
      </c>
      <c r="M611" s="961"/>
      <c r="N611" s="929" t="str">
        <f>'matrik MISI 1'!S29</f>
        <v>76.924.680</v>
      </c>
      <c r="O611" s="929"/>
      <c r="P611" s="929" t="str">
        <f>'matrik MISI 1'!T29</f>
        <v>77.693.926</v>
      </c>
      <c r="Q611" s="929"/>
      <c r="R611" s="929" t="str">
        <f>'matrik MISI 1'!U29</f>
        <v>78.470.866</v>
      </c>
      <c r="S611" s="929"/>
      <c r="T611" s="929" t="str">
        <f>'matrik MISI 1'!V29</f>
        <v>79.255.574</v>
      </c>
      <c r="U611" s="929"/>
      <c r="V611" s="929" t="str">
        <f>'matrik MISI 1'!W29</f>
        <v>79.255.574</v>
      </c>
      <c r="W611" s="929"/>
      <c r="X611" s="929" t="str">
        <f>'matrik MISI 1'!X29</f>
        <v>DINAKAN</v>
      </c>
      <c r="Y611" s="565" t="str">
        <f>'matrik MISI 1'!Y29</f>
        <v>Jumlah produksi telor</v>
      </c>
      <c r="Z611" s="565">
        <f>'matrik MISI 1'!Z29</f>
        <v>0</v>
      </c>
    </row>
    <row r="612" spans="2:26">
      <c r="B612" s="940"/>
      <c r="C612" s="941"/>
      <c r="D612" s="940"/>
      <c r="E612" s="940"/>
      <c r="F612" s="940"/>
      <c r="G612" s="940"/>
      <c r="H612" s="164" t="str">
        <f>'matrik MISI 1'!N30</f>
        <v>Peningkatan populasi sapi</v>
      </c>
      <c r="I612" s="164" t="str">
        <f>'matrik MISI 1'!O30</f>
        <v>Ekor</v>
      </c>
      <c r="J612" s="929">
        <f>'matrik MISI 1'!P30</f>
        <v>43515</v>
      </c>
      <c r="K612" s="929">
        <f>'matrik MISI 1'!Q30</f>
        <v>26946</v>
      </c>
      <c r="L612" s="929">
        <f>'matrik MISI 1'!R30</f>
        <v>27484</v>
      </c>
      <c r="M612" s="961"/>
      <c r="N612" s="929">
        <f>'matrik MISI 1'!S30</f>
        <v>28034</v>
      </c>
      <c r="O612" s="929"/>
      <c r="P612" s="929">
        <f>'matrik MISI 1'!T30</f>
        <v>28595</v>
      </c>
      <c r="Q612" s="929"/>
      <c r="R612" s="929">
        <f>'matrik MISI 1'!U30</f>
        <v>29167</v>
      </c>
      <c r="S612" s="929"/>
      <c r="T612" s="929">
        <f>'matrik MISI 1'!V30</f>
        <v>29750</v>
      </c>
      <c r="U612" s="929"/>
      <c r="V612" s="929">
        <f>'matrik MISI 1'!W30</f>
        <v>29750</v>
      </c>
      <c r="W612" s="929"/>
      <c r="X612" s="929" t="str">
        <f>'matrik MISI 1'!X30</f>
        <v>DINAKAN</v>
      </c>
      <c r="Y612" s="565" t="str">
        <f>'matrik MISI 1'!Y30</f>
        <v>Jumlah Populasi Sapi</v>
      </c>
      <c r="Z612" s="565">
        <f>'matrik MISI 1'!Z30</f>
        <v>0</v>
      </c>
    </row>
    <row r="613" spans="2:26">
      <c r="B613" s="940"/>
      <c r="C613" s="941"/>
      <c r="D613" s="940"/>
      <c r="E613" s="940"/>
      <c r="F613" s="940"/>
      <c r="G613" s="940"/>
      <c r="H613" s="164" t="str">
        <f>'matrik MISI 1'!N31</f>
        <v>Peningkatan populasi domba</v>
      </c>
      <c r="I613" s="164" t="str">
        <f>'matrik MISI 1'!O31</f>
        <v>Ekor</v>
      </c>
      <c r="J613" s="929">
        <f>'matrik MISI 1'!P31</f>
        <v>270497</v>
      </c>
      <c r="K613" s="929">
        <f>'matrik MISI 1'!Q31</f>
        <v>275055</v>
      </c>
      <c r="L613" s="929">
        <f>'matrik MISI 1'!R31</f>
        <v>286057</v>
      </c>
      <c r="M613" s="961"/>
      <c r="N613" s="929">
        <f>'matrik MISI 1'!S31</f>
        <v>297499</v>
      </c>
      <c r="O613" s="929"/>
      <c r="P613" s="929">
        <f>'matrik MISI 1'!T31</f>
        <v>309399</v>
      </c>
      <c r="Q613" s="929"/>
      <c r="R613" s="929">
        <f>'matrik MISI 1'!U31</f>
        <v>321775</v>
      </c>
      <c r="S613" s="929"/>
      <c r="T613" s="929">
        <f>'matrik MISI 1'!V31</f>
        <v>334646</v>
      </c>
      <c r="U613" s="929"/>
      <c r="V613" s="929">
        <f>'matrik MISI 1'!W31</f>
        <v>334646</v>
      </c>
      <c r="W613" s="929"/>
      <c r="X613" s="929" t="str">
        <f>'matrik MISI 1'!X31</f>
        <v>DINAKAN</v>
      </c>
      <c r="Y613" s="565" t="str">
        <f>'matrik MISI 1'!Y31</f>
        <v>Jumlah Populasi Domba</v>
      </c>
      <c r="Z613" s="565">
        <f>'matrik MISI 1'!Z31</f>
        <v>0</v>
      </c>
    </row>
    <row r="614" spans="2:26">
      <c r="B614" s="940"/>
      <c r="C614" s="941"/>
      <c r="D614" s="940"/>
      <c r="E614" s="940"/>
      <c r="F614" s="940"/>
      <c r="G614" s="940"/>
      <c r="H614" s="164" t="str">
        <f>'matrik MISI 1'!N32</f>
        <v>Peningkatan populasi kambing</v>
      </c>
      <c r="I614" s="164" t="str">
        <f>'matrik MISI 1'!O32</f>
        <v>Ekor</v>
      </c>
      <c r="J614" s="929">
        <f>'matrik MISI 1'!P32</f>
        <v>58732</v>
      </c>
      <c r="K614" s="929">
        <f>'matrik MISI 1'!Q32</f>
        <v>59769</v>
      </c>
      <c r="L614" s="929">
        <f>'matrik MISI 1'!R32</f>
        <v>60665</v>
      </c>
      <c r="M614" s="961"/>
      <c r="N614" s="929">
        <f>'matrik MISI 1'!S32</f>
        <v>61575</v>
      </c>
      <c r="O614" s="929"/>
      <c r="P614" s="929">
        <f>'matrik MISI 1'!T32</f>
        <v>62499</v>
      </c>
      <c r="Q614" s="929"/>
      <c r="R614" s="929">
        <f>'matrik MISI 1'!U32</f>
        <v>63436</v>
      </c>
      <c r="S614" s="929"/>
      <c r="T614" s="929">
        <f>'matrik MISI 1'!V32</f>
        <v>64388</v>
      </c>
      <c r="U614" s="929"/>
      <c r="V614" s="929">
        <f>'matrik MISI 1'!W32</f>
        <v>64388</v>
      </c>
      <c r="W614" s="929"/>
      <c r="X614" s="929" t="str">
        <f>'matrik MISI 1'!X32</f>
        <v>DINAKAN</v>
      </c>
      <c r="Y614" s="565" t="str">
        <f>'matrik MISI 1'!Y32</f>
        <v>Jumlah Populasi Kambing</v>
      </c>
      <c r="Z614" s="565">
        <f>'matrik MISI 1'!Z32</f>
        <v>0</v>
      </c>
    </row>
    <row r="615" spans="2:26" ht="30">
      <c r="B615" s="940"/>
      <c r="C615" s="941"/>
      <c r="D615" s="940"/>
      <c r="E615" s="940"/>
      <c r="F615" s="940"/>
      <c r="G615" s="940"/>
      <c r="H615" s="164" t="str">
        <f>'matrik MISI 1'!N33</f>
        <v>Peningkatan populasi ayam buras</v>
      </c>
      <c r="I615" s="164" t="str">
        <f>'matrik MISI 1'!O33</f>
        <v>Ekor</v>
      </c>
      <c r="J615" s="929">
        <f>'matrik MISI 1'!P33</f>
        <v>1658993</v>
      </c>
      <c r="K615" s="929">
        <f>'matrik MISI 1'!Q33</f>
        <v>1659079</v>
      </c>
      <c r="L615" s="929">
        <f>'matrik MISI 1'!R33</f>
        <v>1662397</v>
      </c>
      <c r="M615" s="961"/>
      <c r="N615" s="929">
        <f>'matrik MISI 1'!S33</f>
        <v>1665721</v>
      </c>
      <c r="O615" s="929"/>
      <c r="P615" s="929">
        <f>'matrik MISI 1'!T33</f>
        <v>1669053</v>
      </c>
      <c r="Q615" s="929"/>
      <c r="R615" s="929">
        <f>'matrik MISI 1'!U33</f>
        <v>1672391</v>
      </c>
      <c r="S615" s="929"/>
      <c r="T615" s="929">
        <f>'matrik MISI 1'!V33</f>
        <v>1675736</v>
      </c>
      <c r="U615" s="929"/>
      <c r="V615" s="929">
        <f>'matrik MISI 1'!W33</f>
        <v>1675736</v>
      </c>
      <c r="W615" s="929"/>
      <c r="X615" s="929" t="str">
        <f>'matrik MISI 1'!X33</f>
        <v>DINAKAN</v>
      </c>
      <c r="Y615" s="565" t="str">
        <f>'matrik MISI 1'!Y33</f>
        <v>Jumlah Populasi Ayam Buras</v>
      </c>
      <c r="Z615" s="565">
        <f>'matrik MISI 1'!Z33</f>
        <v>0</v>
      </c>
    </row>
    <row r="616" spans="2:26" ht="60">
      <c r="B616" s="940"/>
      <c r="C616" s="941"/>
      <c r="D616" s="940" t="str">
        <f>'matrik MISI 1'!J35</f>
        <v>2.01.</v>
      </c>
      <c r="E616" s="940" t="str">
        <f>'matrik MISI 1'!K35</f>
        <v>xx</v>
      </c>
      <c r="F616" s="940">
        <f>'matrik MISI 1'!L35</f>
        <v>20</v>
      </c>
      <c r="G616" s="940" t="str">
        <f>'matrik MISI 1'!M35</f>
        <v>Program Pemberdayaan Penyuluh Pertanian, Perikanan dan Kehutanan</v>
      </c>
      <c r="H616" s="164"/>
      <c r="I616" s="164"/>
      <c r="J616" s="929"/>
      <c r="K616" s="929"/>
      <c r="L616" s="929"/>
      <c r="M616" s="961">
        <f>'jangan dihapus 2'!K557</f>
        <v>373074800</v>
      </c>
      <c r="N616" s="929"/>
      <c r="O616" s="961">
        <f>'jangan dihapus 2'!M557</f>
        <v>544474800</v>
      </c>
      <c r="P616" s="929"/>
      <c r="Q616" s="961">
        <f>'jangan dihapus 2'!O557</f>
        <v>552541040</v>
      </c>
      <c r="R616" s="929"/>
      <c r="S616" s="961">
        <f>'jangan dihapus 2'!Q557</f>
        <v>584394352</v>
      </c>
      <c r="T616" s="929"/>
      <c r="U616" s="961">
        <f>'jangan dihapus 2'!S557</f>
        <v>596664517.60000002</v>
      </c>
      <c r="V616" s="929"/>
      <c r="W616" s="961">
        <f>SUM(M616:U616)</f>
        <v>2651149509.5999999</v>
      </c>
      <c r="X616" s="929"/>
      <c r="Y616" s="565"/>
      <c r="Z616" s="565"/>
    </row>
    <row r="617" spans="2:26" ht="30">
      <c r="B617" s="940"/>
      <c r="C617" s="941"/>
      <c r="D617" s="940"/>
      <c r="E617" s="940"/>
      <c r="F617" s="940"/>
      <c r="G617" s="940"/>
      <c r="H617" s="164" t="str">
        <f>'matrik MISI 1'!N35</f>
        <v>Jumlah materi penyuluhan yang dipublikasikasi</v>
      </c>
      <c r="I617" s="164" t="str">
        <f>'matrik MISI 1'!O35</f>
        <v>kali/tahun</v>
      </c>
      <c r="J617" s="929">
        <f>'matrik MISI 1'!P35</f>
        <v>0</v>
      </c>
      <c r="K617" s="929">
        <f>'matrik MISI 1'!Q35</f>
        <v>0</v>
      </c>
      <c r="L617" s="929">
        <f>'matrik MISI 1'!R35</f>
        <v>5</v>
      </c>
      <c r="M617" s="961"/>
      <c r="N617" s="929">
        <f>'matrik MISI 1'!S35</f>
        <v>5</v>
      </c>
      <c r="O617" s="929"/>
      <c r="P617" s="929">
        <f>'matrik MISI 1'!T35</f>
        <v>7</v>
      </c>
      <c r="Q617" s="929"/>
      <c r="R617" s="929">
        <f>'matrik MISI 1'!U35</f>
        <v>10</v>
      </c>
      <c r="S617" s="929"/>
      <c r="T617" s="929">
        <f>'matrik MISI 1'!V35</f>
        <v>10</v>
      </c>
      <c r="U617" s="929"/>
      <c r="V617" s="929">
        <f>'matrik MISI 1'!W35</f>
        <v>10</v>
      </c>
      <c r="W617" s="929"/>
      <c r="X617" s="929" t="str">
        <f>'matrik MISI 1'!X35</f>
        <v>BAPELUH</v>
      </c>
      <c r="Y617" s="565" t="str">
        <f>'matrik MISI 1'!Y35</f>
        <v>Jumlah materi penyuluhan yang dipublikasikasi</v>
      </c>
      <c r="Z617" s="565" t="str">
        <f>'matrik MISI 1'!Z35</f>
        <v>Publikasi materi penyuluhan dilakukan dalam media massa skala nasional</v>
      </c>
    </row>
    <row r="618" spans="2:26" ht="30">
      <c r="B618" s="940"/>
      <c r="C618" s="941"/>
      <c r="D618" s="940"/>
      <c r="E618" s="940"/>
      <c r="F618" s="940"/>
      <c r="G618" s="940"/>
      <c r="H618" s="164" t="str">
        <f>'matrik MISI 1'!N36</f>
        <v>Jumlah peningkatan kapasitas SDM Penyuluh</v>
      </c>
      <c r="I618" s="164" t="str">
        <f>'matrik MISI 1'!O36</f>
        <v>orang/thn</v>
      </c>
      <c r="J618" s="929">
        <f>'matrik MISI 1'!P36</f>
        <v>4</v>
      </c>
      <c r="K618" s="929">
        <f>'matrik MISI 1'!Q36</f>
        <v>2</v>
      </c>
      <c r="L618" s="929">
        <f>'matrik MISI 1'!R36</f>
        <v>3</v>
      </c>
      <c r="M618" s="961"/>
      <c r="N618" s="929">
        <f>'matrik MISI 1'!S36</f>
        <v>3</v>
      </c>
      <c r="O618" s="929"/>
      <c r="P618" s="929">
        <f>'matrik MISI 1'!T36</f>
        <v>3</v>
      </c>
      <c r="Q618" s="929"/>
      <c r="R618" s="929">
        <f>'matrik MISI 1'!U36</f>
        <v>3</v>
      </c>
      <c r="S618" s="929"/>
      <c r="T618" s="929">
        <f>'matrik MISI 1'!V36</f>
        <v>3</v>
      </c>
      <c r="U618" s="929"/>
      <c r="V618" s="929">
        <f>'matrik MISI 1'!W36</f>
        <v>3</v>
      </c>
      <c r="W618" s="929"/>
      <c r="X618" s="929" t="str">
        <f>'matrik MISI 1'!X36</f>
        <v>BAPELUH</v>
      </c>
      <c r="Y618" s="565" t="str">
        <f>'matrik MISI 1'!Y36</f>
        <v>cukup jelas</v>
      </c>
      <c r="Z618" s="565" t="str">
        <f>'matrik MISI 1'!Z36</f>
        <v>Meningkatnya kompetensi penyuluh</v>
      </c>
    </row>
    <row r="619" spans="2:26" ht="30">
      <c r="B619" s="940"/>
      <c r="C619" s="941"/>
      <c r="D619" s="940" t="str">
        <f>'matrik MISI 1'!J37</f>
        <v>2.01.</v>
      </c>
      <c r="E619" s="940" t="str">
        <f>'matrik MISI 1'!K37</f>
        <v>xx</v>
      </c>
      <c r="F619" s="940">
        <f>'matrik MISI 1'!L37</f>
        <v>25</v>
      </c>
      <c r="G619" s="940" t="str">
        <f>'matrik MISI 1'!M37</f>
        <v>Program Pemberdayaan Petani</v>
      </c>
      <c r="H619" s="164"/>
      <c r="I619" s="164"/>
      <c r="J619" s="929"/>
      <c r="K619" s="929"/>
      <c r="L619" s="929"/>
      <c r="M619" s="961">
        <f>'jangan dihapus 2'!K574</f>
        <v>698955000</v>
      </c>
      <c r="N619" s="929"/>
      <c r="O619" s="961">
        <f>'jangan dihapus 2'!M574</f>
        <v>988781500</v>
      </c>
      <c r="P619" s="929"/>
      <c r="Q619" s="961">
        <f>'jangan dihapus 2'!O574</f>
        <v>1027395650</v>
      </c>
      <c r="R619" s="929"/>
      <c r="S619" s="961">
        <f>'jangan dihapus 2'!Q574</f>
        <v>978485215</v>
      </c>
      <c r="T619" s="929"/>
      <c r="U619" s="961">
        <f>'jangan dihapus 2'!S574</f>
        <v>985123736.5</v>
      </c>
      <c r="V619" s="929"/>
      <c r="W619" s="961">
        <f>SUM(M619:U619)</f>
        <v>4678741101.5</v>
      </c>
      <c r="X619" s="929"/>
      <c r="Y619" s="565"/>
      <c r="Z619" s="565"/>
    </row>
    <row r="620" spans="2:26" ht="45">
      <c r="B620" s="940"/>
      <c r="C620" s="941"/>
      <c r="D620" s="939"/>
      <c r="E620" s="939"/>
      <c r="F620" s="939"/>
      <c r="G620" s="939"/>
      <c r="H620" s="164" t="str">
        <f>'matrik MISI 1'!N37</f>
        <v xml:space="preserve">Rasio jumlah kelompok tani maju </v>
      </c>
      <c r="I620" s="164" t="str">
        <f>'matrik MISI 1'!O37</f>
        <v>%</v>
      </c>
      <c r="J620" s="929">
        <f>'matrik MISI 1'!P37</f>
        <v>7.1428571428571423</v>
      </c>
      <c r="K620" s="929">
        <f>'matrik MISI 1'!Q37</f>
        <v>7.1428571428571423</v>
      </c>
      <c r="L620" s="929">
        <f>'matrik MISI 1'!R37</f>
        <v>8.0519480519480524</v>
      </c>
      <c r="M620" s="961"/>
      <c r="N620" s="929">
        <f>'matrik MISI 1'!S37</f>
        <v>8.0519480519480524</v>
      </c>
      <c r="O620" s="929"/>
      <c r="P620" s="929">
        <f>'matrik MISI 1'!T37</f>
        <v>8.0519480519480524</v>
      </c>
      <c r="Q620" s="929"/>
      <c r="R620" s="929">
        <f>'matrik MISI 1'!U37</f>
        <v>8.0519480519480524</v>
      </c>
      <c r="S620" s="929"/>
      <c r="T620" s="929">
        <f>'matrik MISI 1'!V37</f>
        <v>8.0519480519480524</v>
      </c>
      <c r="U620" s="929"/>
      <c r="V620" s="929">
        <f>'matrik MISI 1'!W37</f>
        <v>8.0519480519480524</v>
      </c>
      <c r="W620" s="929"/>
      <c r="X620" s="929" t="str">
        <f>'matrik MISI 1'!X37</f>
        <v>BAPELUH</v>
      </c>
      <c r="Y620" s="565" t="str">
        <f>'matrik MISI 1'!Y37</f>
        <v>Rasio jumlah kelompok tani maju dengan jumlah total kelompok tani kali 100 %</v>
      </c>
      <c r="Z620" s="565" t="str">
        <f>'matrik MISI 1'!Z37</f>
        <v>Peningkatan kelas poktan dari pemula-lanjut
lanjut-madya
madya-utama</v>
      </c>
    </row>
    <row r="621" spans="2:26" ht="30">
      <c r="B621" s="940"/>
      <c r="C621" s="941"/>
      <c r="D621" s="940"/>
      <c r="E621" s="940"/>
      <c r="F621" s="940"/>
      <c r="G621" s="940"/>
      <c r="H621" s="164" t="str">
        <f>'matrik MISI 1'!N38</f>
        <v>Jumlah peningkatan kapasitas SDM Petani</v>
      </c>
      <c r="I621" s="164" t="str">
        <f>'matrik MISI 1'!O38</f>
        <v>orang/thn</v>
      </c>
      <c r="J621" s="929">
        <f>'matrik MISI 1'!P38</f>
        <v>0</v>
      </c>
      <c r="K621" s="929">
        <f>'matrik MISI 1'!Q38</f>
        <v>0</v>
      </c>
      <c r="L621" s="929">
        <f>'matrik MISI 1'!R38</f>
        <v>2480</v>
      </c>
      <c r="M621" s="961"/>
      <c r="N621" s="929">
        <f>'matrik MISI 1'!S38</f>
        <v>4960</v>
      </c>
      <c r="O621" s="929"/>
      <c r="P621" s="929">
        <f>'matrik MISI 1'!T38</f>
        <v>7440</v>
      </c>
      <c r="Q621" s="929"/>
      <c r="R621" s="929">
        <f>'matrik MISI 1'!U38</f>
        <v>9920</v>
      </c>
      <c r="S621" s="929"/>
      <c r="T621" s="929">
        <f>'matrik MISI 1'!V38</f>
        <v>12400</v>
      </c>
      <c r="U621" s="929"/>
      <c r="V621" s="929">
        <f>'matrik MISI 1'!W38</f>
        <v>12400</v>
      </c>
      <c r="W621" s="929"/>
      <c r="X621" s="929" t="str">
        <f>'matrik MISI 1'!X38</f>
        <v>BAPELUH</v>
      </c>
      <c r="Y621" s="565" t="str">
        <f>'matrik MISI 1'!Y38</f>
        <v xml:space="preserve">Jumlah petani anggota kelompok yang meningkat </v>
      </c>
      <c r="Z621" s="565" t="str">
        <f>'matrik MISI 1'!Z38</f>
        <v>Peningkatan kapasitas petani (pengetahuan, sikap, keterampilan) dalam penerapan teknologi</v>
      </c>
    </row>
    <row r="622" spans="2:26" ht="45">
      <c r="B622" s="940"/>
      <c r="C622" s="941"/>
      <c r="D622" s="940"/>
      <c r="E622" s="940"/>
      <c r="F622" s="940"/>
      <c r="G622" s="940"/>
      <c r="H622" s="164" t="str">
        <f>'matrik MISI 1'!N39</f>
        <v>Cakupan Pertumbuhan dan peningkatan kapasitas Pos Penyuluhan Desa (Posluhdes)</v>
      </c>
      <c r="I622" s="164" t="str">
        <f>'matrik MISI 1'!O39</f>
        <v>%</v>
      </c>
      <c r="J622" s="929">
        <f>'matrik MISI 1'!P39</f>
        <v>16.260000000000002</v>
      </c>
      <c r="K622" s="929">
        <f>'matrik MISI 1'!Q39</f>
        <v>27.34</v>
      </c>
      <c r="L622" s="929">
        <f>'matrik MISI 1'!R39</f>
        <v>35.99</v>
      </c>
      <c r="M622" s="961"/>
      <c r="N622" s="929">
        <f>'matrik MISI 1'!S39</f>
        <v>46.37</v>
      </c>
      <c r="O622" s="929"/>
      <c r="P622" s="929">
        <f>'matrik MISI 1'!T39</f>
        <v>58.46</v>
      </c>
      <c r="Q622" s="929"/>
      <c r="R622" s="929">
        <f>'matrik MISI 1'!U39</f>
        <v>72.319999999999993</v>
      </c>
      <c r="S622" s="929"/>
      <c r="T622" s="929">
        <f>'matrik MISI 1'!V39</f>
        <v>87.89</v>
      </c>
      <c r="U622" s="929"/>
      <c r="V622" s="929">
        <f>'matrik MISI 1'!W39</f>
        <v>87.89</v>
      </c>
      <c r="W622" s="929"/>
      <c r="X622" s="929" t="str">
        <f>'matrik MISI 1'!X39</f>
        <v>BAPELUH</v>
      </c>
      <c r="Y622" s="565" t="str">
        <f>'matrik MISI 1'!Y39</f>
        <v>Jumlah Desa/Kelurahan yang memiliki Posluhdes dibagi jumlah keseluruhan desa/kelurahan kali 100%</v>
      </c>
      <c r="Z622" s="565" t="str">
        <f>'matrik MISI 1'!Z39</f>
        <v>Tumbuh dan meningkatnya Posluhdes (1 desa 1 Posluhdes). Pada akhir 2018 diharapkan terbentuk 254 (88%) posluhdes dari 289 desa/kelurahan yang ada</v>
      </c>
    </row>
    <row r="623" spans="2:26" ht="45">
      <c r="B623" s="940"/>
      <c r="C623" s="941"/>
      <c r="D623" s="940"/>
      <c r="E623" s="940"/>
      <c r="F623" s="940"/>
      <c r="G623" s="940"/>
      <c r="H623" s="164" t="str">
        <f>'matrik MISI 1'!N40</f>
        <v xml:space="preserve">Besaran pertumbuhan dan peningkatan Kapasitas Lembaga Ekonomi Petani </v>
      </c>
      <c r="I623" s="164" t="str">
        <f>'matrik MISI 1'!O40</f>
        <v>unit/thn</v>
      </c>
      <c r="J623" s="929">
        <f>'matrik MISI 1'!P40</f>
        <v>3</v>
      </c>
      <c r="K623" s="929">
        <f>'matrik MISI 1'!Q40</f>
        <v>1</v>
      </c>
      <c r="L623" s="929">
        <f>'matrik MISI 1'!R40</f>
        <v>10</v>
      </c>
      <c r="M623" s="961"/>
      <c r="N623" s="929">
        <f>'matrik MISI 1'!S40</f>
        <v>25</v>
      </c>
      <c r="O623" s="929"/>
      <c r="P623" s="929">
        <f>'matrik MISI 1'!T40</f>
        <v>40</v>
      </c>
      <c r="Q623" s="929"/>
      <c r="R623" s="929">
        <f>'matrik MISI 1'!U40</f>
        <v>55</v>
      </c>
      <c r="S623" s="929"/>
      <c r="T623" s="929">
        <f>'matrik MISI 1'!V40</f>
        <v>70</v>
      </c>
      <c r="U623" s="929"/>
      <c r="V623" s="929">
        <f>'matrik MISI 1'!W40</f>
        <v>70</v>
      </c>
      <c r="W623" s="929"/>
      <c r="X623" s="929" t="str">
        <f>'matrik MISI 1'!X40</f>
        <v>BAPELUH</v>
      </c>
      <c r="Y623" s="565" t="str">
        <f>'matrik MISI 1'!Y40</f>
        <v>Penambahan jumlah BUMPper tahun</v>
      </c>
      <c r="Z623" s="565" t="str">
        <f>'matrik MISI 1'!Z40</f>
        <v>Badan Umum Milik Petani (BUMP) berbentuk pra koperasi/koperasi/asosiasi</v>
      </c>
    </row>
    <row r="624" spans="2:26" ht="60">
      <c r="B624" s="940"/>
      <c r="C624" s="941"/>
      <c r="D624" s="940" t="str">
        <f>'matrik MISI 1'!J42</f>
        <v>2.01</v>
      </c>
      <c r="E624" s="940" t="str">
        <f>'matrik MISI 1'!K42</f>
        <v>xx</v>
      </c>
      <c r="F624" s="940">
        <f>'matrik MISI 1'!L42</f>
        <v>19</v>
      </c>
      <c r="G624" s="940" t="str">
        <f>'matrik MISI 1'!M42</f>
        <v>Program Peningkatan Produksi Pertanian/Perkebunan/peternakan</v>
      </c>
      <c r="H624" s="164"/>
      <c r="I624" s="164"/>
      <c r="J624" s="929"/>
      <c r="K624" s="929"/>
      <c r="L624" s="929"/>
      <c r="M624" s="961">
        <f>'jangan dihapus 2'!K555+'jangan dihapus 2'!K552+'jangan dihapus 2'!K525</f>
        <v>5514230050</v>
      </c>
      <c r="N624" s="929"/>
      <c r="O624" s="961">
        <f>'jangan dihapus 2'!M555+'jangan dihapus 2'!M552+'jangan dihapus 2'!M525</f>
        <v>5704230000</v>
      </c>
      <c r="P624" s="929"/>
      <c r="Q624" s="961">
        <f>'jangan dihapus 2'!O555+'jangan dihapus 2'!O552+'jangan dihapus 2'!O525</f>
        <v>5704230000</v>
      </c>
      <c r="R624" s="929"/>
      <c r="S624" s="961">
        <f>'jangan dihapus 2'!Q555+'jangan dihapus 2'!Q552+'jangan dihapus 2'!Q525</f>
        <v>5704230000</v>
      </c>
      <c r="T624" s="929"/>
      <c r="U624" s="961">
        <f>'jangan dihapus 2'!S555+'jangan dihapus 2'!S552+'jangan dihapus 2'!S525</f>
        <v>5704230000</v>
      </c>
      <c r="V624" s="929"/>
      <c r="W624" s="961">
        <f>SUM(M624:U624)</f>
        <v>28331150050</v>
      </c>
      <c r="X624" s="929"/>
      <c r="Y624" s="565"/>
      <c r="Z624" s="565"/>
    </row>
    <row r="625" spans="2:26" ht="30">
      <c r="B625" s="940"/>
      <c r="C625" s="941"/>
      <c r="D625" s="939"/>
      <c r="E625" s="939"/>
      <c r="F625" s="939"/>
      <c r="G625" s="939"/>
      <c r="H625" s="164" t="str">
        <f>'matrik MISI 1'!N42</f>
        <v>Persentase meningkatnya pengelolaan kawasan embung</v>
      </c>
      <c r="I625" s="164" t="str">
        <f>'matrik MISI 1'!O42</f>
        <v>%</v>
      </c>
      <c r="J625" s="929">
        <f>'matrik MISI 1'!P42</f>
        <v>17</v>
      </c>
      <c r="K625" s="929">
        <f>'matrik MISI 1'!Q42</f>
        <v>33</v>
      </c>
      <c r="L625" s="929">
        <f>'matrik MISI 1'!R42</f>
        <v>50</v>
      </c>
      <c r="M625" s="967"/>
      <c r="N625" s="929">
        <f>'matrik MISI 1'!S42</f>
        <v>67</v>
      </c>
      <c r="O625" s="929"/>
      <c r="P625" s="929">
        <f>'matrik MISI 1'!T42</f>
        <v>83</v>
      </c>
      <c r="Q625" s="929"/>
      <c r="R625" s="929">
        <f>'matrik MISI 1'!U42</f>
        <v>100</v>
      </c>
      <c r="S625" s="929"/>
      <c r="T625" s="929">
        <f>'matrik MISI 1'!V42</f>
        <v>100</v>
      </c>
      <c r="U625" s="929"/>
      <c r="V625" s="929">
        <f>'matrik MISI 1'!W42</f>
        <v>100</v>
      </c>
      <c r="W625" s="929"/>
      <c r="X625" s="929" t="str">
        <f>'matrik MISI 1'!X42</f>
        <v>DINTANBUNHUT</v>
      </c>
      <c r="Y625" s="565" t="str">
        <f>'matrik MISI 1'!Y42</f>
        <v>Jumlah kawasan embung yang dikelola dibagi jumlah total embung kali 100%</v>
      </c>
      <c r="Z625" s="565" t="str">
        <f>'matrik MISI 1'!Z42</f>
        <v>Embung : Kledung, Nglarangan, Tlogopucang, Ngropoh, Soropadan, Jetis</v>
      </c>
    </row>
    <row r="626" spans="2:26" ht="30">
      <c r="B626" s="940"/>
      <c r="C626" s="941"/>
      <c r="D626" s="940"/>
      <c r="E626" s="940"/>
      <c r="F626" s="940"/>
      <c r="G626" s="940"/>
      <c r="H626" s="164" t="str">
        <f>'matrik MISI 1'!N43</f>
        <v>Besaran jumlah jaringan irigasi usaha tani terbangun</v>
      </c>
      <c r="I626" s="164" t="str">
        <f>'matrik MISI 1'!O43</f>
        <v>unit</v>
      </c>
      <c r="J626" s="929">
        <f>'matrik MISI 1'!P43</f>
        <v>119</v>
      </c>
      <c r="K626" s="929">
        <f>'matrik MISI 1'!Q43</f>
        <v>219</v>
      </c>
      <c r="L626" s="929">
        <f>'matrik MISI 1'!R43</f>
        <v>269</v>
      </c>
      <c r="M626" s="961"/>
      <c r="N626" s="929">
        <f>'matrik MISI 1'!S43</f>
        <v>319</v>
      </c>
      <c r="O626" s="929"/>
      <c r="P626" s="929">
        <f>'matrik MISI 1'!T43</f>
        <v>369</v>
      </c>
      <c r="Q626" s="929"/>
      <c r="R626" s="929">
        <f>'matrik MISI 1'!U43</f>
        <v>419</v>
      </c>
      <c r="S626" s="929"/>
      <c r="T626" s="929">
        <f>'matrik MISI 1'!V43</f>
        <v>469</v>
      </c>
      <c r="U626" s="929"/>
      <c r="V626" s="929">
        <f>'matrik MISI 1'!W43</f>
        <v>469</v>
      </c>
      <c r="W626" s="929"/>
      <c r="X626" s="929" t="str">
        <f>'matrik MISI 1'!X43</f>
        <v>DINTANBUNHUT</v>
      </c>
      <c r="Y626" s="565">
        <f>'matrik MISI 1'!Y43</f>
        <v>0</v>
      </c>
      <c r="Z626" s="565" t="str">
        <f>'matrik MISI 1'!Z43</f>
        <v>Irigasi usahatani adalah irigasi yang menjadi tanggungjawab desa/ kelompok tani</v>
      </c>
    </row>
    <row r="627" spans="2:26" ht="30">
      <c r="B627" s="940"/>
      <c r="C627" s="941"/>
      <c r="D627" s="940"/>
      <c r="E627" s="940"/>
      <c r="F627" s="940"/>
      <c r="G627" s="940"/>
      <c r="H627" s="164" t="str">
        <f>'matrik MISI 1'!N44</f>
        <v>Besaran jumlah jalan usaha tani</v>
      </c>
      <c r="I627" s="164" t="str">
        <f>'matrik MISI 1'!O44</f>
        <v>unit</v>
      </c>
      <c r="J627" s="929">
        <f>'matrik MISI 1'!P44</f>
        <v>100</v>
      </c>
      <c r="K627" s="929">
        <f>'matrik MISI 1'!Q44</f>
        <v>160</v>
      </c>
      <c r="L627" s="929">
        <f>'matrik MISI 1'!R44</f>
        <v>210</v>
      </c>
      <c r="M627" s="961"/>
      <c r="N627" s="929">
        <f>'matrik MISI 1'!S44</f>
        <v>260</v>
      </c>
      <c r="O627" s="929"/>
      <c r="P627" s="929">
        <f>'matrik MISI 1'!T44</f>
        <v>310</v>
      </c>
      <c r="Q627" s="929"/>
      <c r="R627" s="929">
        <f>'matrik MISI 1'!U44</f>
        <v>360</v>
      </c>
      <c r="S627" s="929"/>
      <c r="T627" s="929">
        <f>'matrik MISI 1'!V44</f>
        <v>410</v>
      </c>
      <c r="U627" s="929"/>
      <c r="V627" s="929">
        <f>'matrik MISI 1'!W44</f>
        <v>410</v>
      </c>
      <c r="W627" s="929"/>
      <c r="X627" s="929" t="str">
        <f>'matrik MISI 1'!X44</f>
        <v>DINTANBUNHUT</v>
      </c>
      <c r="Y627" s="565">
        <f>'matrik MISI 1'!Y44</f>
        <v>0</v>
      </c>
      <c r="Z627" s="565" t="str">
        <f>'matrik MISI 1'!Z44</f>
        <v>Jalan usahatani adalah jalan yang digunakan untuk pengangkutan sarana dan hasil produksi pertanian</v>
      </c>
    </row>
    <row r="628" spans="2:26" ht="30">
      <c r="B628" s="940"/>
      <c r="C628" s="941"/>
      <c r="D628" s="940" t="str">
        <f>'matrik MISI 1'!J46</f>
        <v>2.01</v>
      </c>
      <c r="E628" s="940" t="str">
        <f>'matrik MISI 1'!K46</f>
        <v>xx</v>
      </c>
      <c r="F628" s="940">
        <f>'matrik MISI 1'!L46</f>
        <v>27</v>
      </c>
      <c r="G628" s="940" t="str">
        <f>'matrik MISI 1'!M46</f>
        <v>Program Pengembangan Agribisnis</v>
      </c>
      <c r="H628" s="164"/>
      <c r="I628" s="164"/>
      <c r="J628" s="929"/>
      <c r="K628" s="929"/>
      <c r="L628" s="929"/>
      <c r="M628" s="961">
        <f>'jangan dihapus 2'!K604</f>
        <v>125000000</v>
      </c>
      <c r="N628" s="929"/>
      <c r="O628" s="961">
        <f>'jangan dihapus 2'!M604</f>
        <v>550000000</v>
      </c>
      <c r="P628" s="929"/>
      <c r="Q628" s="961">
        <f>'jangan dihapus 2'!O604</f>
        <v>550000000</v>
      </c>
      <c r="R628" s="929"/>
      <c r="S628" s="961">
        <f>'jangan dihapus 2'!Q604</f>
        <v>550000000</v>
      </c>
      <c r="T628" s="929"/>
      <c r="U628" s="961">
        <f>'jangan dihapus 2'!S604</f>
        <v>540000000</v>
      </c>
      <c r="V628" s="929"/>
      <c r="W628" s="961">
        <f>SUM(M628:U628)</f>
        <v>2315000000</v>
      </c>
      <c r="X628" s="929"/>
      <c r="Y628" s="565"/>
      <c r="Z628" s="565"/>
    </row>
    <row r="629" spans="2:26" ht="30">
      <c r="B629" s="950"/>
      <c r="C629" s="951"/>
      <c r="D629" s="942"/>
      <c r="E629" s="942"/>
      <c r="F629" s="942"/>
      <c r="G629" s="942"/>
      <c r="H629" s="164" t="str">
        <f>'matrik MISI 1'!N46</f>
        <v>Persentase Perkembangan Kawasan Agropolitan</v>
      </c>
      <c r="I629" s="164" t="str">
        <f>'matrik MISI 1'!O46</f>
        <v>%</v>
      </c>
      <c r="J629" s="929">
        <f>'matrik MISI 1'!P46</f>
        <v>50</v>
      </c>
      <c r="K629" s="929">
        <f>'matrik MISI 1'!Q46</f>
        <v>75</v>
      </c>
      <c r="L629" s="929">
        <f>'matrik MISI 1'!R46</f>
        <v>100</v>
      </c>
      <c r="M629" s="961"/>
      <c r="N629" s="929">
        <f>'matrik MISI 1'!S46</f>
        <v>100</v>
      </c>
      <c r="O629" s="929"/>
      <c r="P629" s="929">
        <f>'matrik MISI 1'!T46</f>
        <v>100</v>
      </c>
      <c r="Q629" s="929"/>
      <c r="R629" s="929">
        <f>'matrik MISI 1'!U46</f>
        <v>100</v>
      </c>
      <c r="S629" s="929"/>
      <c r="T629" s="929">
        <f>'matrik MISI 1'!V46</f>
        <v>100</v>
      </c>
      <c r="U629" s="929"/>
      <c r="V629" s="929">
        <f>'matrik MISI 1'!W46</f>
        <v>100</v>
      </c>
      <c r="W629" s="929"/>
      <c r="X629" s="929" t="str">
        <f>'matrik MISI 1'!X46</f>
        <v>DINTANBUNHUT</v>
      </c>
      <c r="Y629" s="565" t="str">
        <f>'matrik MISI 1'!Y46</f>
        <v>Jumlah Kawasan Agropolitan yang di kembangkan : Jumlah Kawasan Agropolitan yang ditetapkan x 100%</v>
      </c>
      <c r="Z629" s="565" t="str">
        <f>'matrik MISI 1'!Z46</f>
        <v>Kawasan Agropolitan meliputi : Selopampang, Kledung, Gemawang, dan Pringsurat</v>
      </c>
    </row>
    <row r="630" spans="2:26" ht="30">
      <c r="B630" s="949">
        <v>2</v>
      </c>
      <c r="C630" s="948" t="str">
        <f>'matrik MISI 1'!B102</f>
        <v>KEHUTANAN</v>
      </c>
      <c r="D630" s="949" t="str">
        <f>'matrik MISI 1'!J103</f>
        <v>2.02</v>
      </c>
      <c r="E630" s="949" t="str">
        <f>'matrik MISI 1'!K103</f>
        <v>xx</v>
      </c>
      <c r="F630" s="949">
        <f>'matrik MISI 1'!L103</f>
        <v>16</v>
      </c>
      <c r="G630" s="949" t="str">
        <f>'matrik MISI 1'!M103</f>
        <v>Program Rehabilitasi Hutan dan Lahan</v>
      </c>
      <c r="H630" s="164"/>
      <c r="I630" s="164"/>
      <c r="J630" s="929"/>
      <c r="K630" s="929"/>
      <c r="L630" s="929"/>
      <c r="M630" s="961">
        <f>'jangan dihapus 2'!K609</f>
        <v>907640000</v>
      </c>
      <c r="N630" s="929"/>
      <c r="O630" s="961">
        <f>'jangan dihapus 2'!M609</f>
        <v>977640000</v>
      </c>
      <c r="P630" s="929"/>
      <c r="Q630" s="961">
        <f>'jangan dihapus 2'!O609</f>
        <v>882640000</v>
      </c>
      <c r="R630" s="929"/>
      <c r="S630" s="961">
        <f>'jangan dihapus 2'!Q609</f>
        <v>907640000</v>
      </c>
      <c r="T630" s="929"/>
      <c r="U630" s="961">
        <f>'jangan dihapus 2'!S609</f>
        <v>797640000</v>
      </c>
      <c r="V630" s="929"/>
      <c r="W630" s="961">
        <f>SUM(M630:U630)</f>
        <v>4473200000</v>
      </c>
      <c r="X630" s="929"/>
      <c r="Y630" s="565"/>
      <c r="Z630" s="565"/>
    </row>
    <row r="631" spans="2:26" ht="60">
      <c r="B631" s="939"/>
      <c r="C631" s="939"/>
      <c r="D631" s="939"/>
      <c r="E631" s="939"/>
      <c r="F631" s="939"/>
      <c r="G631" s="939"/>
      <c r="H631" s="164" t="str">
        <f>'matrik MISI 1'!N103</f>
        <v xml:space="preserve">Besaran Penanganan Lahan kritis </v>
      </c>
      <c r="I631" s="164" t="str">
        <f>'matrik MISI 1'!O103</f>
        <v>Ha</v>
      </c>
      <c r="J631" s="929">
        <f>'matrik MISI 1'!P103</f>
        <v>18619</v>
      </c>
      <c r="K631" s="929">
        <f>'matrik MISI 1'!Q103</f>
        <v>26581</v>
      </c>
      <c r="L631" s="929">
        <f>'matrik MISI 1'!R103</f>
        <v>23581</v>
      </c>
      <c r="M631" s="961"/>
      <c r="N631" s="929">
        <f>'matrik MISI 1'!S103</f>
        <v>20581</v>
      </c>
      <c r="O631" s="929"/>
      <c r="P631" s="929">
        <f>'matrik MISI 1'!T103</f>
        <v>17581</v>
      </c>
      <c r="Q631" s="929"/>
      <c r="R631" s="929">
        <f>'matrik MISI 1'!U103</f>
        <v>14581</v>
      </c>
      <c r="S631" s="929"/>
      <c r="T631" s="929">
        <f>'matrik MISI 1'!V103</f>
        <v>11581</v>
      </c>
      <c r="U631" s="929"/>
      <c r="V631" s="929">
        <f>'matrik MISI 1'!W103</f>
        <v>11581</v>
      </c>
      <c r="W631" s="929"/>
      <c r="X631" s="929" t="str">
        <f>'matrik MISI 1'!X103</f>
        <v>DINTANBUNHUT</v>
      </c>
      <c r="Y631" s="565" t="str">
        <f>'matrik MISI 1'!Y103</f>
        <v>Luas lahan kritis dikurangi luas lahan kritis yang ditangani</v>
      </c>
      <c r="Z631" s="565" t="str">
        <f>'matrik MISI 1'!Z103</f>
        <v>*Penanganan lahan krittis meliputi kegiatan kegiatan vegetasi dan bangunan sipil teknis **Data Lahan Kritis 2013 adalah data hasil review lahan kritis oleh BP DAS SOP tahun 2013 ***Target penanganan 3.000 ha per tahun</v>
      </c>
    </row>
    <row r="632" spans="2:26" ht="45">
      <c r="B632" s="939"/>
      <c r="C632" s="939"/>
      <c r="D632" s="940" t="str">
        <f>'matrik MISI 1'!J105</f>
        <v>2.02</v>
      </c>
      <c r="E632" s="940" t="str">
        <f>'matrik MISI 1'!K105</f>
        <v>xx</v>
      </c>
      <c r="F632" s="940">
        <f>'matrik MISI 1'!L105</f>
        <v>17</v>
      </c>
      <c r="G632" s="940" t="str">
        <f>'matrik MISI 1'!M105</f>
        <v>Program Perlindungan dan Konservasi Sumber Daya Hutan</v>
      </c>
      <c r="H632" s="164"/>
      <c r="I632" s="164"/>
      <c r="J632" s="929"/>
      <c r="K632" s="929"/>
      <c r="L632" s="929"/>
      <c r="M632" s="961">
        <f>'jangan dihapus 2'!K616</f>
        <v>0</v>
      </c>
      <c r="N632" s="929"/>
      <c r="O632" s="961">
        <f>'jangan dihapus 2'!M616</f>
        <v>75000000</v>
      </c>
      <c r="P632" s="929"/>
      <c r="Q632" s="961">
        <f>'jangan dihapus 2'!O616</f>
        <v>50000000</v>
      </c>
      <c r="R632" s="929"/>
      <c r="S632" s="961">
        <f>'jangan dihapus 2'!Q616</f>
        <v>50000000</v>
      </c>
      <c r="T632" s="929"/>
      <c r="U632" s="961">
        <f>'jangan dihapus 2'!S616</f>
        <v>50000000</v>
      </c>
      <c r="V632" s="929"/>
      <c r="W632" s="961">
        <f>SUM(M632:U632)</f>
        <v>225000000</v>
      </c>
      <c r="X632" s="929"/>
      <c r="Y632" s="565"/>
      <c r="Z632" s="565"/>
    </row>
    <row r="633" spans="2:26" ht="45">
      <c r="B633" s="940"/>
      <c r="C633" s="941"/>
      <c r="D633" s="939"/>
      <c r="E633" s="939"/>
      <c r="F633" s="939"/>
      <c r="G633" s="939"/>
      <c r="H633" s="164" t="str">
        <f>'matrik MISI 1'!N105</f>
        <v>Persentase Peningkatan Kesadaran Masyarakat dalam Pelestarian Lingkungan Hidup</v>
      </c>
      <c r="I633" s="164" t="str">
        <f>'matrik MISI 1'!O105</f>
        <v>%</v>
      </c>
      <c r="J633" s="929">
        <f>'matrik MISI 1'!P105</f>
        <v>0</v>
      </c>
      <c r="K633" s="929">
        <f>'matrik MISI 1'!Q105</f>
        <v>0</v>
      </c>
      <c r="L633" s="929">
        <f>'matrik MISI 1'!R105</f>
        <v>25</v>
      </c>
      <c r="M633" s="961"/>
      <c r="N633" s="929">
        <f>'matrik MISI 1'!S105</f>
        <v>50</v>
      </c>
      <c r="O633" s="929"/>
      <c r="P633" s="929">
        <f>'matrik MISI 1'!T105</f>
        <v>75</v>
      </c>
      <c r="Q633" s="929"/>
      <c r="R633" s="929">
        <f>'matrik MISI 1'!U105</f>
        <v>100</v>
      </c>
      <c r="S633" s="929"/>
      <c r="T633" s="929">
        <f>'matrik MISI 1'!V105</f>
        <v>100</v>
      </c>
      <c r="U633" s="929"/>
      <c r="V633" s="929">
        <f>'matrik MISI 1'!W105</f>
        <v>100</v>
      </c>
      <c r="W633" s="929"/>
      <c r="X633" s="929" t="str">
        <f>'matrik MISI 1'!X105</f>
        <v>DINTANBUNHUT</v>
      </c>
      <c r="Y633" s="565" t="str">
        <f>'matrik MISI 1'!Y105</f>
        <v>Jumlah Lembaga Masyarakat Desa Hutan (LMDH) dan kelompok konservasi yang diberdayakan dibagi jumlah total LMDH (40 kelompok) dan kelompok konservasi yang ada kali 100%</v>
      </c>
      <c r="Z633" s="565" t="str">
        <f>'matrik MISI 1'!Z105</f>
        <v>*LMDH merupakan kelompok masyarakat yang mengelola hutan negara selain tanaman pokok **Kelompok konservasi adalah kelompok masyarakat yang peduli dan aktif bergerak dalam konservasi lahan</v>
      </c>
    </row>
    <row r="634" spans="2:26" ht="45">
      <c r="B634" s="940"/>
      <c r="C634" s="941"/>
      <c r="D634" s="940" t="str">
        <f>'matrik MISI 1'!J106</f>
        <v>2.02</v>
      </c>
      <c r="E634" s="940" t="str">
        <f>'matrik MISI 1'!K106</f>
        <v>xx</v>
      </c>
      <c r="F634" s="940">
        <f>'matrik MISI 1'!L106</f>
        <v>19</v>
      </c>
      <c r="G634" s="940" t="str">
        <f>'matrik MISI 1'!M106</f>
        <v>Program Pembinaan dan Penertiban Industri Hasil Hutan</v>
      </c>
      <c r="H634" s="164"/>
      <c r="I634" s="164"/>
      <c r="J634" s="929"/>
      <c r="K634" s="929"/>
      <c r="L634" s="929"/>
      <c r="M634" s="961">
        <f>'jangan dihapus 2'!K618</f>
        <v>100000000</v>
      </c>
      <c r="N634" s="929"/>
      <c r="O634" s="961">
        <f>'jangan dihapus 2'!M618</f>
        <v>100000000</v>
      </c>
      <c r="P634" s="929"/>
      <c r="Q634" s="961">
        <f>'jangan dihapus 2'!O618</f>
        <v>110000000</v>
      </c>
      <c r="R634" s="929"/>
      <c r="S634" s="961">
        <f>'jangan dihapus 2'!Q618</f>
        <v>110000000</v>
      </c>
      <c r="T634" s="929"/>
      <c r="U634" s="961">
        <f>'jangan dihapus 2'!S618</f>
        <v>0</v>
      </c>
      <c r="V634" s="929"/>
      <c r="W634" s="961">
        <f>SUM(M634:U634)</f>
        <v>420000000</v>
      </c>
      <c r="X634" s="929"/>
      <c r="Y634" s="565"/>
      <c r="Z634" s="565"/>
    </row>
    <row r="635" spans="2:26" ht="45">
      <c r="B635" s="940"/>
      <c r="C635" s="941"/>
      <c r="D635" s="939"/>
      <c r="E635" s="939"/>
      <c r="F635" s="939"/>
      <c r="G635" s="939"/>
      <c r="H635" s="164" t="str">
        <f>'matrik MISI 1'!N106</f>
        <v>Besaran Peningkatan Kemitraan dalam Pengelolaan Hasil Hutan</v>
      </c>
      <c r="I635" s="164" t="str">
        <f>'matrik MISI 1'!O106</f>
        <v>Kelompok</v>
      </c>
      <c r="J635" s="929">
        <f>'matrik MISI 1'!P106</f>
        <v>0</v>
      </c>
      <c r="K635" s="929">
        <f>'matrik MISI 1'!Q106</f>
        <v>2</v>
      </c>
      <c r="L635" s="929">
        <f>'matrik MISI 1'!R106</f>
        <v>4</v>
      </c>
      <c r="M635" s="961"/>
      <c r="N635" s="929">
        <f>'matrik MISI 1'!S106</f>
        <v>6</v>
      </c>
      <c r="O635" s="929"/>
      <c r="P635" s="929">
        <f>'matrik MISI 1'!T106</f>
        <v>8</v>
      </c>
      <c r="Q635" s="929"/>
      <c r="R635" s="929">
        <f>'matrik MISI 1'!U106</f>
        <v>10</v>
      </c>
      <c r="S635" s="929"/>
      <c r="T635" s="929">
        <f>'matrik MISI 1'!V106</f>
        <v>12</v>
      </c>
      <c r="U635" s="929"/>
      <c r="V635" s="929">
        <f>'matrik MISI 1'!W106</f>
        <v>12</v>
      </c>
      <c r="W635" s="929"/>
      <c r="X635" s="929" t="str">
        <f>'matrik MISI 1'!X106</f>
        <v>DINTANBUNHUT</v>
      </c>
      <c r="Y635" s="565">
        <f>'matrik MISI 1'!Y106</f>
        <v>0</v>
      </c>
      <c r="Z635" s="565" t="str">
        <f>'matrik MISI 1'!Z106</f>
        <v>*APHR merupakan gabungan kelompok tani hutan rakyat yang dilegalisasi sebagai kelompok tani kemitraan perusahaan kayu **syarat luasan hutan rakyat untuk diproses legalisasi (SVLK) sebesar 500 Ha.</v>
      </c>
    </row>
    <row r="636" spans="2:26" ht="45">
      <c r="B636" s="940"/>
      <c r="C636" s="941"/>
      <c r="D636" s="940" t="str">
        <f>'matrik MISI 1'!J107</f>
        <v>2.02</v>
      </c>
      <c r="E636" s="940" t="str">
        <f>'matrik MISI 1'!K107</f>
        <v>xx</v>
      </c>
      <c r="F636" s="940">
        <f>'matrik MISI 1'!L107</f>
        <v>17</v>
      </c>
      <c r="G636" s="940" t="str">
        <f>'matrik MISI 1'!M107</f>
        <v>Program Perlindungan dan Konservasi Sumber Daya Hutan</v>
      </c>
      <c r="H636" s="164"/>
      <c r="I636" s="164"/>
      <c r="J636" s="929"/>
      <c r="K636" s="929"/>
      <c r="L636" s="929"/>
      <c r="M636" s="961">
        <f>'jangan dihapus 2'!M617</f>
        <v>150000000</v>
      </c>
      <c r="N636" s="929"/>
      <c r="O636" s="961">
        <f>'jangan dihapus 2'!O617</f>
        <v>150000000</v>
      </c>
      <c r="P636" s="929"/>
      <c r="Q636" s="961">
        <f>'jangan dihapus 2'!Q617</f>
        <v>150000000</v>
      </c>
      <c r="R636" s="929"/>
      <c r="S636" s="961">
        <f>'jangan dihapus 2'!S617</f>
        <v>150000000</v>
      </c>
      <c r="T636" s="929"/>
      <c r="U636" s="961">
        <f>'jangan dihapus 2'!U617</f>
        <v>150000000</v>
      </c>
      <c r="V636" s="929"/>
      <c r="W636" s="961">
        <f>SUM(M636:U636)</f>
        <v>750000000</v>
      </c>
      <c r="X636" s="929"/>
      <c r="Y636" s="565"/>
      <c r="Z636" s="565"/>
    </row>
    <row r="637" spans="2:26" ht="30">
      <c r="B637" s="950"/>
      <c r="C637" s="951"/>
      <c r="D637" s="942"/>
      <c r="E637" s="942"/>
      <c r="F637" s="942"/>
      <c r="G637" s="942"/>
      <c r="H637" s="164" t="str">
        <f>'matrik MISI 1'!N107</f>
        <v>Besaran Meningkatnya konservasi hutan dan lahan</v>
      </c>
      <c r="I637" s="164" t="str">
        <f>'matrik MISI 1'!O107</f>
        <v>unit</v>
      </c>
      <c r="J637" s="929">
        <f>'matrik MISI 1'!P107</f>
        <v>80</v>
      </c>
      <c r="K637" s="929">
        <f>'matrik MISI 1'!Q107</f>
        <v>120</v>
      </c>
      <c r="L637" s="929">
        <f>'matrik MISI 1'!R107</f>
        <v>170</v>
      </c>
      <c r="M637" s="961"/>
      <c r="N637" s="929">
        <f>'matrik MISI 1'!S107</f>
        <v>220</v>
      </c>
      <c r="O637" s="929"/>
      <c r="P637" s="929">
        <f>'matrik MISI 1'!T107</f>
        <v>270</v>
      </c>
      <c r="Q637" s="929"/>
      <c r="R637" s="929">
        <f>'matrik MISI 1'!U107</f>
        <v>320</v>
      </c>
      <c r="S637" s="929"/>
      <c r="T637" s="929">
        <f>'matrik MISI 1'!V107</f>
        <v>370</v>
      </c>
      <c r="U637" s="929"/>
      <c r="V637" s="929">
        <f>'matrik MISI 1'!W107</f>
        <v>370</v>
      </c>
      <c r="W637" s="929"/>
      <c r="X637" s="929" t="str">
        <f>'matrik MISI 1'!X107</f>
        <v>DINTANBUNHUT</v>
      </c>
      <c r="Y637" s="565" t="str">
        <f>'matrik MISI 1'!Y107</f>
        <v>Jumlah bangunan sipil teknis yang dibangun</v>
      </c>
      <c r="Z637" s="565" t="str">
        <f>'matrik MISI 1'!Z107</f>
        <v>*Bangunan sipil teknis meliputi pengendali jurang, sumur resapan, dam penahan **Target pembangunan 50 unit per tahun</v>
      </c>
    </row>
    <row r="638" spans="2:26">
      <c r="B638" s="949">
        <v>3</v>
      </c>
      <c r="C638" s="948" t="str">
        <f>'matrik MISI 3'!B46</f>
        <v>ENERGI DAN ESDM</v>
      </c>
      <c r="D638" s="949">
        <f>'matrik MISI 3'!J46</f>
        <v>2.0299999999999998</v>
      </c>
      <c r="E638" s="949" t="str">
        <f>'matrik MISI 3'!K46</f>
        <v>xx</v>
      </c>
      <c r="F638" s="949">
        <f>'matrik MISI 3'!L46</f>
        <v>17</v>
      </c>
      <c r="G638" s="949"/>
      <c r="H638" s="164"/>
      <c r="I638" s="164"/>
      <c r="J638" s="929"/>
      <c r="K638" s="929"/>
      <c r="L638" s="929"/>
      <c r="M638" s="961">
        <f>'jangan dihapus 2'!K622</f>
        <v>39220000</v>
      </c>
      <c r="N638" s="929"/>
      <c r="O638" s="961">
        <f>'jangan dihapus 2'!M622</f>
        <v>48415000</v>
      </c>
      <c r="P638" s="929"/>
      <c r="Q638" s="961">
        <f>'jangan dihapus 2'!O622</f>
        <v>48415000</v>
      </c>
      <c r="R638" s="929"/>
      <c r="S638" s="961">
        <f>'jangan dihapus 2'!Q622</f>
        <v>53256500.000000007</v>
      </c>
      <c r="T638" s="929"/>
      <c r="U638" s="961">
        <f>'jangan dihapus 2'!S622</f>
        <v>58582150.000000015</v>
      </c>
      <c r="V638" s="929"/>
      <c r="W638" s="961">
        <f>SUM(M638:U638)</f>
        <v>247888650</v>
      </c>
      <c r="X638" s="929"/>
      <c r="Y638" s="565"/>
      <c r="Z638" s="565"/>
    </row>
    <row r="639" spans="2:26" ht="45">
      <c r="B639" s="942"/>
      <c r="C639" s="942"/>
      <c r="D639" s="942"/>
      <c r="E639" s="942"/>
      <c r="F639" s="942"/>
      <c r="G639" s="950" t="str">
        <f>'matrik MISI 3'!M46</f>
        <v>Program pembinaan dan pengembangan bidang ketenagalistrikan</v>
      </c>
      <c r="H639" s="164" t="str">
        <f>'matrik MISI 3'!N46</f>
        <v>terbangunnya sumber energi alternatif terbarukan</v>
      </c>
      <c r="I639" s="164" t="str">
        <f>'matrik MISI 3'!O46</f>
        <v>unit</v>
      </c>
      <c r="J639" s="929">
        <f>'matrik MISI 3'!P46</f>
        <v>5</v>
      </c>
      <c r="K639" s="929">
        <f>'matrik MISI 3'!Q46</f>
        <v>5</v>
      </c>
      <c r="L639" s="929">
        <f>'matrik MISI 3'!R46</f>
        <v>6</v>
      </c>
      <c r="M639" s="961"/>
      <c r="N639" s="929">
        <f>'matrik MISI 3'!S46</f>
        <v>6</v>
      </c>
      <c r="O639" s="929"/>
      <c r="P639" s="929">
        <f>'matrik MISI 3'!T46</f>
        <v>7</v>
      </c>
      <c r="Q639" s="929"/>
      <c r="R639" s="929">
        <f>'matrik MISI 3'!U46</f>
        <v>7</v>
      </c>
      <c r="S639" s="929"/>
      <c r="T639" s="929">
        <f>'matrik MISI 3'!V46</f>
        <v>8</v>
      </c>
      <c r="U639" s="929"/>
      <c r="V639" s="929">
        <f>'matrik MISI 3'!W46</f>
        <v>8</v>
      </c>
      <c r="W639" s="929"/>
      <c r="X639" s="929" t="str">
        <f>'matrik MISI 3'!X46</f>
        <v>DPU, BLH</v>
      </c>
      <c r="Y639" s="565" t="str">
        <f>'matrik MISI 3'!Y46</f>
        <v>jumlah fasilitas sumber energi alternatif yang terbangun</v>
      </c>
      <c r="Z639" s="565">
        <f>'matrik MISI 3'!Z46</f>
        <v>0</v>
      </c>
    </row>
    <row r="640" spans="2:26" ht="30">
      <c r="B640" s="949">
        <v>4</v>
      </c>
      <c r="C640" s="948" t="str">
        <f>'matrik MISI 1'!B70</f>
        <v>PARIWISATA</v>
      </c>
      <c r="D640" s="949">
        <f>'matrik MISI 1'!J71</f>
        <v>0</v>
      </c>
      <c r="E640" s="949">
        <f>'matrik MISI 1'!K71</f>
        <v>0</v>
      </c>
      <c r="F640" s="949">
        <f>'matrik MISI 1'!L71</f>
        <v>0</v>
      </c>
      <c r="G640" s="949" t="str">
        <f>'jangan dihapus 2'!F628</f>
        <v xml:space="preserve">Program Pengembangan destinasi Wisata </v>
      </c>
      <c r="H640" s="164"/>
      <c r="I640" s="164"/>
      <c r="J640" s="929"/>
      <c r="K640" s="929"/>
      <c r="L640" s="929"/>
      <c r="M640" s="961">
        <f>'jangan dihapus 2'!K628</f>
        <v>96655300</v>
      </c>
      <c r="N640" s="929"/>
      <c r="O640" s="961">
        <f>'jangan dihapus 2'!M628</f>
        <v>1372308000</v>
      </c>
      <c r="P640" s="929"/>
      <c r="Q640" s="961">
        <f>'jangan dihapus 2'!O628</f>
        <v>1100000000</v>
      </c>
      <c r="R640" s="929"/>
      <c r="S640" s="961">
        <f>'jangan dihapus 2'!Q628</f>
        <v>1200000000</v>
      </c>
      <c r="T640" s="929"/>
      <c r="U640" s="961">
        <f>'jangan dihapus 2'!S628</f>
        <v>9600000000</v>
      </c>
      <c r="V640" s="929"/>
      <c r="W640" s="961">
        <f>SUM(M640:U640)</f>
        <v>13368963300</v>
      </c>
      <c r="X640" s="929"/>
      <c r="Y640" s="565"/>
      <c r="Z640" s="565"/>
    </row>
    <row r="641" spans="2:26" ht="75">
      <c r="B641" s="939"/>
      <c r="C641" s="939"/>
      <c r="D641" s="939"/>
      <c r="E641" s="939"/>
      <c r="F641" s="939"/>
      <c r="G641" s="940"/>
      <c r="H641" s="164" t="str">
        <f>'matrik MISI 1'!N71</f>
        <v xml:space="preserve">besaran Berkembangnya Kawasan wisata </v>
      </c>
      <c r="I641" s="164" t="str">
        <f>'matrik MISI 1'!O71</f>
        <v>unit</v>
      </c>
      <c r="J641" s="929">
        <f>'matrik MISI 1'!P71</f>
        <v>8</v>
      </c>
      <c r="K641" s="929">
        <f>'matrik MISI 1'!Q71</f>
        <v>8</v>
      </c>
      <c r="L641" s="929">
        <f>'matrik MISI 1'!R71</f>
        <v>9</v>
      </c>
      <c r="M641" s="961"/>
      <c r="N641" s="929">
        <f>'matrik MISI 1'!S71</f>
        <v>10</v>
      </c>
      <c r="O641" s="929"/>
      <c r="P641" s="929">
        <f>'matrik MISI 1'!T71</f>
        <v>10</v>
      </c>
      <c r="Q641" s="929"/>
      <c r="R641" s="929">
        <f>'matrik MISI 1'!U71</f>
        <v>11</v>
      </c>
      <c r="S641" s="929"/>
      <c r="T641" s="929">
        <f>'matrik MISI 1'!V71</f>
        <v>11</v>
      </c>
      <c r="U641" s="929"/>
      <c r="V641" s="929">
        <f>'matrik MISI 1'!W71</f>
        <v>11</v>
      </c>
      <c r="W641" s="929"/>
      <c r="X641" s="929" t="str">
        <f>'matrik MISI 1'!X71</f>
        <v>DISBUDPARPORA</v>
      </c>
      <c r="Y641" s="565" t="str">
        <f>'matrik MISI 1'!Y71</f>
        <v>jumlah kawasan potensi wisata yang akan dikelola dan dikembangkan menjadi obyek wisata</v>
      </c>
      <c r="Z641" s="565"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42" spans="2:26">
      <c r="B642" s="940"/>
      <c r="C642" s="941"/>
      <c r="D642" s="939"/>
      <c r="E642" s="939"/>
      <c r="F642" s="939"/>
      <c r="G642" s="939"/>
      <c r="H642" s="164" t="str">
        <f>'matrik MISI 1'!N72</f>
        <v>Besaran lama tinggal wisatawan</v>
      </c>
      <c r="I642" s="164" t="str">
        <f>'matrik MISI 1'!O72</f>
        <v>jam</v>
      </c>
      <c r="J642" s="929">
        <f>'matrik MISI 1'!P72</f>
        <v>2</v>
      </c>
      <c r="K642" s="929">
        <f>'matrik MISI 1'!Q72</f>
        <v>2</v>
      </c>
      <c r="L642" s="929">
        <f>'matrik MISI 1'!R72</f>
        <v>4</v>
      </c>
      <c r="M642" s="961"/>
      <c r="N642" s="929">
        <f>'matrik MISI 1'!S72</f>
        <v>6</v>
      </c>
      <c r="O642" s="929"/>
      <c r="P642" s="929">
        <f>'matrik MISI 1'!T72</f>
        <v>8</v>
      </c>
      <c r="Q642" s="929"/>
      <c r="R642" s="929">
        <f>'matrik MISI 1'!U72</f>
        <v>10</v>
      </c>
      <c r="S642" s="929"/>
      <c r="T642" s="929">
        <f>'matrik MISI 1'!V72</f>
        <v>12</v>
      </c>
      <c r="U642" s="929"/>
      <c r="V642" s="929">
        <f>'matrik MISI 1'!W72</f>
        <v>12</v>
      </c>
      <c r="W642" s="929"/>
      <c r="X642" s="929" t="str">
        <f>'matrik MISI 1'!X72</f>
        <v>DISBUDPARPORA</v>
      </c>
      <c r="Y642" s="565" t="str">
        <f>'matrik MISI 1'!Y72</f>
        <v>Besaran lama  tinggal wisatawan (jam)</v>
      </c>
      <c r="Z642" s="565" t="str">
        <f>'matrik MISI 1'!Z72</f>
        <v>lamanya wisatawan berkunjung</v>
      </c>
    </row>
    <row r="643" spans="2:26" ht="30">
      <c r="B643" s="940"/>
      <c r="C643" s="941"/>
      <c r="D643" s="940"/>
      <c r="E643" s="940"/>
      <c r="F643" s="940"/>
      <c r="G643" s="940"/>
      <c r="H643" s="164" t="str">
        <f>'matrik MISI 1'!N73</f>
        <v>Persentase meningkatnya kunjungan wisatawan</v>
      </c>
      <c r="I643" s="164" t="str">
        <f>'matrik MISI 1'!O73</f>
        <v>%</v>
      </c>
      <c r="J643" s="929" t="str">
        <f>'matrik MISI 1'!P73</f>
        <v>n.a</v>
      </c>
      <c r="K643" s="929" t="str">
        <f>'matrik MISI 1'!Q73</f>
        <v>n.a</v>
      </c>
      <c r="L643" s="929">
        <f>'matrik MISI 1'!R73</f>
        <v>10</v>
      </c>
      <c r="M643" s="961"/>
      <c r="N643" s="929">
        <f>'matrik MISI 1'!S73</f>
        <v>15</v>
      </c>
      <c r="O643" s="929"/>
      <c r="P643" s="929">
        <f>'matrik MISI 1'!T73</f>
        <v>20</v>
      </c>
      <c r="Q643" s="929"/>
      <c r="R643" s="929">
        <f>'matrik MISI 1'!U73</f>
        <v>25</v>
      </c>
      <c r="S643" s="929"/>
      <c r="T643" s="929">
        <f>'matrik MISI 1'!V73</f>
        <v>30</v>
      </c>
      <c r="U643" s="929"/>
      <c r="V643" s="929">
        <f>'matrik MISI 1'!W73</f>
        <v>30</v>
      </c>
      <c r="W643" s="929"/>
      <c r="X643" s="929" t="str">
        <f>'matrik MISI 1'!X73</f>
        <v>DISBUDPARPORA</v>
      </c>
      <c r="Y643" s="565" t="str">
        <f>'matrik MISI 1'!Y73</f>
        <v>jumlah wisatawan yang berkunjung per tahun dibandinkan tahun sebelumnya dan data dasar</v>
      </c>
      <c r="Z643" s="565" t="str">
        <f>'matrik MISI 1'!Z73</f>
        <v>data dasar : wisatawan nusantara: 360.061 orang;  wisatawan mancanegara 77 orang</v>
      </c>
    </row>
    <row r="644" spans="2:26" ht="30">
      <c r="B644" s="940"/>
      <c r="C644" s="941"/>
      <c r="D644" s="940" t="str">
        <f>'matrik MISI 1'!J74</f>
        <v>2.04</v>
      </c>
      <c r="E644" s="940" t="str">
        <f>'matrik MISI 1'!K74</f>
        <v>xx</v>
      </c>
      <c r="F644" s="940">
        <f>'matrik MISI 1'!L74</f>
        <v>0</v>
      </c>
      <c r="G644" s="940" t="str">
        <f>'matrik MISI 1'!M74</f>
        <v xml:space="preserve">Program Pengembangan Produk Wisata </v>
      </c>
      <c r="H644" s="164"/>
      <c r="I644" s="164"/>
      <c r="J644" s="929"/>
      <c r="K644" s="929"/>
      <c r="L644" s="929"/>
      <c r="M644" s="961">
        <f>'jangan dihapus 2'!K642</f>
        <v>60000000</v>
      </c>
      <c r="N644" s="929"/>
      <c r="O644" s="961">
        <f>'jangan dihapus 2'!M642</f>
        <v>125000000</v>
      </c>
      <c r="P644" s="929"/>
      <c r="Q644" s="961">
        <f>'jangan dihapus 2'!O642</f>
        <v>110000000</v>
      </c>
      <c r="R644" s="929"/>
      <c r="S644" s="961">
        <f>'jangan dihapus 2'!Q642</f>
        <v>110000000</v>
      </c>
      <c r="T644" s="929"/>
      <c r="U644" s="961">
        <f>'jangan dihapus 2'!S642</f>
        <v>110000000</v>
      </c>
      <c r="V644" s="929"/>
      <c r="W644" s="961">
        <f>SUM(M644:U644)</f>
        <v>515000000</v>
      </c>
      <c r="X644" s="929"/>
      <c r="Y644" s="565"/>
      <c r="Z644" s="565"/>
    </row>
    <row r="645" spans="2:26" ht="45">
      <c r="B645" s="940"/>
      <c r="C645" s="941"/>
      <c r="D645" s="939"/>
      <c r="E645" s="939"/>
      <c r="F645" s="939"/>
      <c r="G645" s="939"/>
      <c r="H645" s="164" t="str">
        <f>'matrik MISI 1'!N74</f>
        <v xml:space="preserve">Besaran meningkatnya Pengembangan Produk/event/atraksi Wisata </v>
      </c>
      <c r="I645" s="164" t="str">
        <f>'matrik MISI 1'!O74</f>
        <v>paket</v>
      </c>
      <c r="J645" s="929">
        <f>'matrik MISI 1'!P74</f>
        <v>4</v>
      </c>
      <c r="K645" s="929">
        <f>'matrik MISI 1'!Q74</f>
        <v>4</v>
      </c>
      <c r="L645" s="929">
        <f>'matrik MISI 1'!R74</f>
        <v>5</v>
      </c>
      <c r="M645" s="961"/>
      <c r="N645" s="929">
        <f>'matrik MISI 1'!S74</f>
        <v>6</v>
      </c>
      <c r="O645" s="929"/>
      <c r="P645" s="929">
        <f>'matrik MISI 1'!T74</f>
        <v>7</v>
      </c>
      <c r="Q645" s="929"/>
      <c r="R645" s="929">
        <f>'matrik MISI 1'!U74</f>
        <v>8</v>
      </c>
      <c r="S645" s="929"/>
      <c r="T645" s="929">
        <f>'matrik MISI 1'!V74</f>
        <v>9</v>
      </c>
      <c r="U645" s="929"/>
      <c r="V645" s="929">
        <f>'matrik MISI 1'!W74</f>
        <v>9</v>
      </c>
      <c r="W645" s="929"/>
      <c r="X645" s="929" t="str">
        <f>'matrik MISI 1'!X74</f>
        <v>DISBUDPARPORA</v>
      </c>
      <c r="Y645" s="565" t="str">
        <f>'matrik MISI 1'!Y74</f>
        <v>Besaran event wisata (budaya) dilaksanakan</v>
      </c>
      <c r="Z645" s="565" t="str">
        <f>'matrik MISI 1'!Z74</f>
        <v>Pekan Syawalan, Pemilihan Mas dan Mbak, Festival Budaya, Suran Traji, Ruwat Rigen</v>
      </c>
    </row>
    <row r="646" spans="2:26" ht="30">
      <c r="B646" s="940"/>
      <c r="C646" s="941"/>
      <c r="D646" s="940"/>
      <c r="E646" s="940"/>
      <c r="F646" s="940"/>
      <c r="G646" s="940"/>
      <c r="H646" s="164" t="str">
        <f>'matrik MISI 1'!N75</f>
        <v xml:space="preserve">Besaran Meningkatnya Pengelolaan Wisata </v>
      </c>
      <c r="I646" s="164" t="str">
        <f>'matrik MISI 1'!O75</f>
        <v>unit</v>
      </c>
      <c r="J646" s="929">
        <f>'matrik MISI 1'!P75</f>
        <v>5</v>
      </c>
      <c r="K646" s="929">
        <f>'matrik MISI 1'!Q75</f>
        <v>5</v>
      </c>
      <c r="L646" s="929">
        <f>'matrik MISI 1'!R75</f>
        <v>5</v>
      </c>
      <c r="M646" s="961"/>
      <c r="N646" s="929">
        <f>'matrik MISI 1'!S75</f>
        <v>6</v>
      </c>
      <c r="O646" s="929"/>
      <c r="P646" s="929">
        <f>'matrik MISI 1'!T75</f>
        <v>6</v>
      </c>
      <c r="Q646" s="929"/>
      <c r="R646" s="929">
        <f>'matrik MISI 1'!U75</f>
        <v>7</v>
      </c>
      <c r="S646" s="929"/>
      <c r="T646" s="929">
        <f>'matrik MISI 1'!V75</f>
        <v>7</v>
      </c>
      <c r="U646" s="929"/>
      <c r="V646" s="929">
        <f>'matrik MISI 1'!W75</f>
        <v>7</v>
      </c>
      <c r="W646" s="929"/>
      <c r="X646" s="929" t="str">
        <f>'matrik MISI 1'!X75</f>
        <v>DISBUDPARPORA</v>
      </c>
      <c r="Y646" s="565" t="str">
        <f>'matrik MISI 1'!Y75</f>
        <v>jumlah obyek wisata yang dikelola</v>
      </c>
      <c r="Z646" s="565" t="str">
        <f>'matrik MISI 1'!Z75</f>
        <v>Pikatan water park, Rest Area Kledung, monumen meteorit, kawasan wisata posong, jumprit, curug lawe, curug surodipo/curug lawe</v>
      </c>
    </row>
    <row r="647" spans="2:26" ht="30">
      <c r="B647" s="940"/>
      <c r="C647" s="941"/>
      <c r="D647" s="940" t="str">
        <f>'matrik MISI 1'!J76</f>
        <v>2.04</v>
      </c>
      <c r="E647" s="940" t="str">
        <f>'matrik MISI 1'!K76</f>
        <v>xx</v>
      </c>
      <c r="F647" s="940">
        <f>'matrik MISI 1'!L76</f>
        <v>17</v>
      </c>
      <c r="G647" s="940" t="str">
        <f>'matrik MISI 1'!M76</f>
        <v xml:space="preserve">Program Pengembangan Kemitraan </v>
      </c>
      <c r="H647" s="164"/>
      <c r="I647" s="164"/>
      <c r="J647" s="929"/>
      <c r="K647" s="929"/>
      <c r="L647" s="929"/>
      <c r="M647" s="961">
        <f>'jangan dihapus 2'!K637</f>
        <v>155000000</v>
      </c>
      <c r="N647" s="929"/>
      <c r="O647" s="961">
        <f>'jangan dihapus 2'!M637</f>
        <v>229295000</v>
      </c>
      <c r="P647" s="929"/>
      <c r="Q647" s="961">
        <f>'jangan dihapus 2'!O637</f>
        <v>360000000</v>
      </c>
      <c r="R647" s="929"/>
      <c r="S647" s="961">
        <f>'jangan dihapus 2'!Q637</f>
        <v>290000000</v>
      </c>
      <c r="T647" s="929"/>
      <c r="U647" s="961">
        <f>'jangan dihapus 2'!S637</f>
        <v>290000000</v>
      </c>
      <c r="V647" s="929"/>
      <c r="W647" s="961">
        <f>SUM(M647:U647)</f>
        <v>1324295000</v>
      </c>
      <c r="X647" s="929"/>
      <c r="Y647" s="565"/>
      <c r="Z647" s="565"/>
    </row>
    <row r="648" spans="2:26" ht="60">
      <c r="B648" s="950"/>
      <c r="C648" s="951"/>
      <c r="D648" s="942"/>
      <c r="E648" s="942"/>
      <c r="F648" s="942"/>
      <c r="G648" s="942"/>
      <c r="H648" s="164" t="str">
        <f>'matrik MISI 1'!N76</f>
        <v>Besaran Pengembangan Kemitraan Pariwisata</v>
      </c>
      <c r="I648" s="164" t="str">
        <f>'matrik MISI 1'!O76</f>
        <v>paket</v>
      </c>
      <c r="J648" s="929">
        <f>'matrik MISI 1'!P76</f>
        <v>3</v>
      </c>
      <c r="K648" s="929">
        <f>'matrik MISI 1'!Q76</f>
        <v>3</v>
      </c>
      <c r="L648" s="929">
        <f>'matrik MISI 1'!R76</f>
        <v>5</v>
      </c>
      <c r="M648" s="961"/>
      <c r="N648" s="929">
        <f>'matrik MISI 1'!S76</f>
        <v>7</v>
      </c>
      <c r="O648" s="929"/>
      <c r="P648" s="929">
        <f>'matrik MISI 1'!T76</f>
        <v>8</v>
      </c>
      <c r="Q648" s="929"/>
      <c r="R648" s="929">
        <f>'matrik MISI 1'!U76</f>
        <v>9</v>
      </c>
      <c r="S648" s="929"/>
      <c r="T648" s="929">
        <f>'matrik MISI 1'!V76</f>
        <v>10</v>
      </c>
      <c r="U648" s="929"/>
      <c r="V648" s="929">
        <f>'matrik MISI 1'!W76</f>
        <v>11</v>
      </c>
      <c r="W648" s="929"/>
      <c r="X648" s="929" t="str">
        <f>'matrik MISI 1'!X76</f>
        <v>DISBUDPARPORA</v>
      </c>
      <c r="Y648" s="565" t="str">
        <f>'matrik MISI 1'!Y76</f>
        <v xml:space="preserve">Jumlah Kemitraan yang terjalin </v>
      </c>
      <c r="Z648" s="565"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49" spans="2:26" ht="30">
      <c r="B649" s="949">
        <v>5</v>
      </c>
      <c r="C649" s="948" t="str">
        <f>'matrik MISI 1'!B47</f>
        <v>KELAUTAN DAN PERIKANAN</v>
      </c>
      <c r="D649" s="949" t="str">
        <f>'matrik MISI 1'!J48</f>
        <v>2.05</v>
      </c>
      <c r="E649" s="949" t="str">
        <f>'matrik MISI 1'!K48</f>
        <v>xx</v>
      </c>
      <c r="F649" s="949">
        <f>'matrik MISI 1'!L48</f>
        <v>20</v>
      </c>
      <c r="G649" s="949" t="str">
        <f>'matrik MISI 1'!M48</f>
        <v>Program Pengembangan Budidaya Perikanan</v>
      </c>
      <c r="H649" s="164"/>
      <c r="I649" s="164"/>
      <c r="J649" s="929"/>
      <c r="K649" s="929"/>
      <c r="L649" s="929"/>
      <c r="M649" s="961">
        <f>'jangan dihapus 2'!K649</f>
        <v>3060868000</v>
      </c>
      <c r="N649" s="929"/>
      <c r="O649" s="961">
        <f>'jangan dihapus 2'!M649</f>
        <v>3050000000</v>
      </c>
      <c r="P649" s="929"/>
      <c r="Q649" s="961">
        <f>'jangan dihapus 2'!O649</f>
        <v>2600000000</v>
      </c>
      <c r="R649" s="929"/>
      <c r="S649" s="961">
        <f>'jangan dihapus 2'!Q649</f>
        <v>3550000000</v>
      </c>
      <c r="T649" s="929"/>
      <c r="U649" s="961">
        <f>'jangan dihapus 2'!S649</f>
        <v>3050000000</v>
      </c>
      <c r="V649" s="929"/>
      <c r="W649" s="961">
        <f>SUM(M649:U649)</f>
        <v>15310868000</v>
      </c>
      <c r="X649" s="929"/>
      <c r="Y649" s="565"/>
      <c r="Z649" s="565"/>
    </row>
    <row r="650" spans="2:26" ht="30">
      <c r="B650" s="939"/>
      <c r="C650" s="939"/>
      <c r="D650" s="939"/>
      <c r="E650" s="939"/>
      <c r="F650" s="939"/>
      <c r="G650" s="939"/>
      <c r="H650" s="164" t="str">
        <f>'matrik MISI 1'!N48</f>
        <v xml:space="preserve">Penggunaan induk ikan unggul  </v>
      </c>
      <c r="I650" s="164" t="str">
        <f>'matrik MISI 1'!O48</f>
        <v>%</v>
      </c>
      <c r="J650" s="929">
        <f>'matrik MISI 1'!P48</f>
        <v>10</v>
      </c>
      <c r="K650" s="929">
        <f>'matrik MISI 1'!Q48</f>
        <v>20</v>
      </c>
      <c r="L650" s="929">
        <f>'matrik MISI 1'!R48</f>
        <v>25</v>
      </c>
      <c r="M650" s="961"/>
      <c r="N650" s="929">
        <f>'matrik MISI 1'!S48</f>
        <v>30</v>
      </c>
      <c r="O650" s="929"/>
      <c r="P650" s="929">
        <f>'matrik MISI 1'!T48</f>
        <v>40</v>
      </c>
      <c r="Q650" s="929"/>
      <c r="R650" s="929">
        <f>'matrik MISI 1'!U48</f>
        <v>50</v>
      </c>
      <c r="S650" s="929"/>
      <c r="T650" s="929">
        <f>'matrik MISI 1'!V48</f>
        <v>60</v>
      </c>
      <c r="U650" s="929"/>
      <c r="V650" s="929">
        <f>'matrik MISI 1'!W48</f>
        <v>60</v>
      </c>
      <c r="W650" s="929"/>
      <c r="X650" s="929" t="str">
        <f>'matrik MISI 1'!X48</f>
        <v>DINAKAN</v>
      </c>
      <c r="Y650" s="565" t="str">
        <f>'matrik MISI 1'!Y48</f>
        <v>Jumlah induk unggul yang digunakan dibagi jumlah total  penggunaan induk ikan untuk keg.pembenihan kali 100%</v>
      </c>
      <c r="Z650" s="565">
        <f>'matrik MISI 1'!Z48</f>
        <v>0</v>
      </c>
    </row>
    <row r="651" spans="2:26">
      <c r="B651" s="940"/>
      <c r="C651" s="941"/>
      <c r="D651" s="940"/>
      <c r="E651" s="940"/>
      <c r="F651" s="940"/>
      <c r="G651" s="940"/>
      <c r="H651" s="164" t="str">
        <f>'matrik MISI 1'!N49</f>
        <v>Peningkatan produksi benih ikan</v>
      </c>
      <c r="I651" s="164" t="str">
        <f>'matrik MISI 1'!O49</f>
        <v>Ekor</v>
      </c>
      <c r="J651" s="929">
        <f>'matrik MISI 1'!P49</f>
        <v>53088000</v>
      </c>
      <c r="K651" s="929">
        <f>'matrik MISI 1'!Q49</f>
        <v>69200000</v>
      </c>
      <c r="L651" s="929">
        <f>'matrik MISI 1'!R49</f>
        <v>76120000</v>
      </c>
      <c r="M651" s="961"/>
      <c r="N651" s="929">
        <f>'matrik MISI 1'!S49</f>
        <v>83732000</v>
      </c>
      <c r="O651" s="929"/>
      <c r="P651" s="929">
        <f>'matrik MISI 1'!T49</f>
        <v>92105200</v>
      </c>
      <c r="Q651" s="929"/>
      <c r="R651" s="929">
        <f>'matrik MISI 1'!U49</f>
        <v>102236750</v>
      </c>
      <c r="S651" s="929"/>
      <c r="T651" s="929">
        <f>'matrik MISI 1'!V49</f>
        <v>113482800</v>
      </c>
      <c r="U651" s="929"/>
      <c r="V651" s="929">
        <f>'matrik MISI 1'!W49</f>
        <v>113482800</v>
      </c>
      <c r="W651" s="929"/>
      <c r="X651" s="929" t="str">
        <f>'matrik MISI 1'!X49</f>
        <v>DINAKAN</v>
      </c>
      <c r="Y651" s="565" t="str">
        <f>'matrik MISI 1'!Y49</f>
        <v xml:space="preserve">Jumlah produksi benih ikan </v>
      </c>
      <c r="Z651" s="565">
        <f>'matrik MISI 1'!Z49</f>
        <v>0</v>
      </c>
    </row>
    <row r="652" spans="2:26" ht="30">
      <c r="B652" s="940"/>
      <c r="C652" s="941"/>
      <c r="D652" s="940"/>
      <c r="E652" s="940"/>
      <c r="F652" s="940"/>
      <c r="G652" s="940"/>
      <c r="H652" s="164" t="str">
        <f>'matrik MISI 1'!N50</f>
        <v>Peningkatan produksi ikan konsumsi (kolam)</v>
      </c>
      <c r="I652" s="164" t="str">
        <f>'matrik MISI 1'!O50</f>
        <v>Ekor</v>
      </c>
      <c r="J652" s="929" t="str">
        <f>'matrik MISI 1'!P50</f>
        <v xml:space="preserve">1.864,08 </v>
      </c>
      <c r="K652" s="929" t="str">
        <f>'matrik MISI 1'!Q50</f>
        <v xml:space="preserve">2.302,14 </v>
      </c>
      <c r="L652" s="929">
        <f>'matrik MISI 1'!R50</f>
        <v>2854.65</v>
      </c>
      <c r="M652" s="961"/>
      <c r="N652" s="929">
        <f>'matrik MISI 1'!S50</f>
        <v>3539.77</v>
      </c>
      <c r="O652" s="929"/>
      <c r="P652" s="929">
        <f>'matrik MISI 1'!T50</f>
        <v>4389.32</v>
      </c>
      <c r="Q652" s="929"/>
      <c r="R652" s="929">
        <f>'matrik MISI 1'!U50</f>
        <v>5442.75</v>
      </c>
      <c r="S652" s="929"/>
      <c r="T652" s="929">
        <f>'matrik MISI 1'!V50</f>
        <v>6749.01</v>
      </c>
      <c r="U652" s="929"/>
      <c r="V652" s="929">
        <f>'matrik MISI 1'!W50</f>
        <v>6749.01</v>
      </c>
      <c r="W652" s="929"/>
      <c r="X652" s="929" t="str">
        <f>'matrik MISI 1'!X50</f>
        <v>DINAKAN</v>
      </c>
      <c r="Y652" s="565" t="str">
        <f>'matrik MISI 1'!Y50</f>
        <v>Jumlah produksi ikan konsumsi tahun n-(n-1) dibagi jumlah produksi ikan konsumsi tahun ke n-1 kali 100%</v>
      </c>
      <c r="Z652" s="565" t="str">
        <f>'matrik MISI 1'!Z50</f>
        <v>cukup jelas</v>
      </c>
    </row>
    <row r="653" spans="2:26" ht="30">
      <c r="B653" s="940"/>
      <c r="C653" s="941"/>
      <c r="D653" s="940"/>
      <c r="E653" s="940"/>
      <c r="F653" s="940"/>
      <c r="G653" s="940"/>
      <c r="H653" s="164" t="str">
        <f>'matrik MISI 1'!N51</f>
        <v>Peningkatan produksi mina padi</v>
      </c>
      <c r="I653" s="164" t="str">
        <f>'matrik MISI 1'!O51</f>
        <v>Ekor</v>
      </c>
      <c r="J653" s="929">
        <f>'matrik MISI 1'!P51</f>
        <v>1152.26</v>
      </c>
      <c r="K653" s="929">
        <f>'matrik MISI 1'!Q51</f>
        <v>1423.99</v>
      </c>
      <c r="L653" s="929">
        <f>'matrik MISI 1'!R51</f>
        <v>1765.75</v>
      </c>
      <c r="M653" s="961"/>
      <c r="N653" s="929">
        <f>'matrik MISI 1'!S51</f>
        <v>2189.5300000000002</v>
      </c>
      <c r="O653" s="929"/>
      <c r="P653" s="929">
        <f>'matrik MISI 1'!T51</f>
        <v>2715.01</v>
      </c>
      <c r="Q653" s="929"/>
      <c r="R653" s="929">
        <f>'matrik MISI 1'!U51</f>
        <v>3366.62</v>
      </c>
      <c r="S653" s="929"/>
      <c r="T653" s="929">
        <f>'matrik MISI 1'!V51</f>
        <v>4174.6000000000004</v>
      </c>
      <c r="U653" s="929"/>
      <c r="V653" s="929">
        <f>'matrik MISI 1'!W51</f>
        <v>4174.6000000000004</v>
      </c>
      <c r="W653" s="929"/>
      <c r="X653" s="929" t="str">
        <f>'matrik MISI 1'!X51</f>
        <v>DINAKAN</v>
      </c>
      <c r="Y653" s="565" t="str">
        <f>'matrik MISI 1'!Y51</f>
        <v>Jumlah produksi mina padi tahun n-(n-1) dibagi jumlah produksi mina padi tahun ke n-1 kali 100%</v>
      </c>
      <c r="Z653" s="565" t="str">
        <f>'matrik MISI 1'!Z51</f>
        <v>cukup jelas</v>
      </c>
    </row>
    <row r="654" spans="2:26">
      <c r="B654" s="940"/>
      <c r="C654" s="941"/>
      <c r="D654" s="940"/>
      <c r="E654" s="940"/>
      <c r="F654" s="940"/>
      <c r="G654" s="940"/>
      <c r="H654" s="164" t="str">
        <f>'matrik MISI 1'!N52</f>
        <v>Produktivitas benih ikan</v>
      </c>
      <c r="I654" s="164" t="str">
        <f>'matrik MISI 1'!O52</f>
        <v>ekor/m2</v>
      </c>
      <c r="J654" s="929">
        <f>'matrik MISI 1'!P52</f>
        <v>70</v>
      </c>
      <c r="K654" s="929">
        <f>'matrik MISI 1'!Q52</f>
        <v>80</v>
      </c>
      <c r="L654" s="929">
        <f>'matrik MISI 1'!R52</f>
        <v>90</v>
      </c>
      <c r="M654" s="961"/>
      <c r="N654" s="929">
        <f>'matrik MISI 1'!S52</f>
        <v>100</v>
      </c>
      <c r="O654" s="929"/>
      <c r="P654" s="929">
        <f>'matrik MISI 1'!T52</f>
        <v>110</v>
      </c>
      <c r="Q654" s="929"/>
      <c r="R654" s="929">
        <f>'matrik MISI 1'!U52</f>
        <v>120</v>
      </c>
      <c r="S654" s="929"/>
      <c r="T654" s="929">
        <f>'matrik MISI 1'!V52</f>
        <v>130</v>
      </c>
      <c r="U654" s="929"/>
      <c r="V654" s="929">
        <f>'matrik MISI 1'!W52</f>
        <v>130</v>
      </c>
      <c r="W654" s="929"/>
      <c r="X654" s="929" t="str">
        <f>'matrik MISI 1'!X52</f>
        <v>DINAKAN</v>
      </c>
      <c r="Y654" s="565" t="str">
        <f>'matrik MISI 1'!Y52</f>
        <v>Jumlah produksi benih ikan (ekor ) per luas kolam (m2)</v>
      </c>
      <c r="Z654" s="565">
        <f>'matrik MISI 1'!Z52</f>
        <v>0</v>
      </c>
    </row>
    <row r="655" spans="2:26">
      <c r="B655" s="940"/>
      <c r="C655" s="941"/>
      <c r="D655" s="940"/>
      <c r="E655" s="940"/>
      <c r="F655" s="940"/>
      <c r="G655" s="940"/>
      <c r="H655" s="164" t="str">
        <f>'matrik MISI 1'!N53</f>
        <v>Produktivitas ikan konsumsi</v>
      </c>
      <c r="I655" s="164" t="str">
        <f>'matrik MISI 1'!O53</f>
        <v>kg/m2</v>
      </c>
      <c r="J655" s="929" t="str">
        <f>'matrik MISI 1'!P53</f>
        <v xml:space="preserve">1,58 </v>
      </c>
      <c r="K655" s="929" t="str">
        <f>'matrik MISI 1'!Q53</f>
        <v xml:space="preserve">1,93 </v>
      </c>
      <c r="L655" s="929">
        <f>'matrik MISI 1'!R53</f>
        <v>2.36</v>
      </c>
      <c r="M655" s="961"/>
      <c r="N655" s="929">
        <f>'matrik MISI 1'!S53</f>
        <v>2.89</v>
      </c>
      <c r="O655" s="929"/>
      <c r="P655" s="929">
        <f>'matrik MISI 1'!T53</f>
        <v>3.54</v>
      </c>
      <c r="Q655" s="929"/>
      <c r="R655" s="929">
        <f>'matrik MISI 1'!U53</f>
        <v>4.33</v>
      </c>
      <c r="S655" s="929"/>
      <c r="T655" s="929">
        <f>'matrik MISI 1'!V53</f>
        <v>5.29</v>
      </c>
      <c r="U655" s="929"/>
      <c r="V655" s="929" t="str">
        <f>'matrik MISI 1'!W53</f>
        <v xml:space="preserve">5,29 </v>
      </c>
      <c r="W655" s="929"/>
      <c r="X655" s="929" t="str">
        <f>'matrik MISI 1'!X53</f>
        <v>DINAKAN</v>
      </c>
      <c r="Y655" s="565" t="str">
        <f>'matrik MISI 1'!Y53</f>
        <v>Jumlah produksi ikan konsumsi (kg ) per luas kolam (m2)</v>
      </c>
      <c r="Z655" s="565">
        <f>'matrik MISI 1'!Z53</f>
        <v>0</v>
      </c>
    </row>
    <row r="656" spans="2:26">
      <c r="B656" s="940"/>
      <c r="C656" s="941"/>
      <c r="D656" s="940"/>
      <c r="E656" s="940"/>
      <c r="F656" s="940"/>
      <c r="G656" s="940"/>
      <c r="H656" s="164" t="str">
        <f>'matrik MISI 1'!N54</f>
        <v>Produktivitas mina padi</v>
      </c>
      <c r="I656" s="164" t="str">
        <f>'matrik MISI 1'!O54</f>
        <v>kg/Ha/tahun</v>
      </c>
      <c r="J656" s="929" t="str">
        <f>'matrik MISI 1'!P54</f>
        <v xml:space="preserve">375,76 </v>
      </c>
      <c r="K656" s="929" t="str">
        <f>'matrik MISI 1'!Q54</f>
        <v xml:space="preserve">455,26 </v>
      </c>
      <c r="L656" s="929">
        <f>'matrik MISI 1'!R54</f>
        <v>551.58000000000004</v>
      </c>
      <c r="M656" s="961"/>
      <c r="N656" s="929">
        <f>'matrik MISI 1'!S54</f>
        <v>668.28</v>
      </c>
      <c r="O656" s="929"/>
      <c r="P656" s="929">
        <f>'matrik MISI 1'!T54</f>
        <v>809.67</v>
      </c>
      <c r="Q656" s="929"/>
      <c r="R656" s="929">
        <f>'matrik MISI 1'!U54</f>
        <v>980.97</v>
      </c>
      <c r="S656" s="929"/>
      <c r="T656" s="929">
        <f>'matrik MISI 1'!V54</f>
        <v>1188.51</v>
      </c>
      <c r="U656" s="929"/>
      <c r="V656" s="929" t="str">
        <f>'matrik MISI 1'!W54</f>
        <v xml:space="preserve">1188,51 </v>
      </c>
      <c r="W656" s="929"/>
      <c r="X656" s="929" t="str">
        <f>'matrik MISI 1'!X54</f>
        <v>DINAKAN</v>
      </c>
      <c r="Y656" s="565" t="str">
        <f>'matrik MISI 1'!Y54</f>
        <v xml:space="preserve">Jumlah produksi ikan (kg ) per luas lahan budidaya minapadi (Ha) </v>
      </c>
      <c r="Z656" s="565">
        <f>'matrik MISI 1'!Z54</f>
        <v>0</v>
      </c>
    </row>
    <row r="657" spans="2:26" ht="60">
      <c r="B657" s="940"/>
      <c r="C657" s="941"/>
      <c r="D657" s="940" t="str">
        <f>'matrik MISI 1'!J55</f>
        <v>2.05</v>
      </c>
      <c r="E657" s="940" t="str">
        <f>'matrik MISI 1'!K55</f>
        <v>xx</v>
      </c>
      <c r="F657" s="940">
        <f>'matrik MISI 1'!L55</f>
        <v>23</v>
      </c>
      <c r="G657" s="940" t="str">
        <f>'matrik MISI 1'!M55</f>
        <v>Program Optimalisasi pengelolaan dan Pemasaran Produksi Perikanan</v>
      </c>
      <c r="H657" s="164"/>
      <c r="I657" s="164"/>
      <c r="J657" s="929"/>
      <c r="K657" s="929"/>
      <c r="L657" s="929"/>
      <c r="M657" s="961">
        <f>'jangan dihapus 2'!K661</f>
        <v>876128000</v>
      </c>
      <c r="N657" s="929"/>
      <c r="O657" s="961">
        <f>'jangan dihapus 2'!M661</f>
        <v>1065000000</v>
      </c>
      <c r="P657" s="929"/>
      <c r="Q657" s="961">
        <f>'jangan dihapus 2'!O661</f>
        <v>1200000000</v>
      </c>
      <c r="R657" s="929"/>
      <c r="S657" s="961">
        <f>'jangan dihapus 2'!Q661</f>
        <v>1475000000</v>
      </c>
      <c r="T657" s="929"/>
      <c r="U657" s="961">
        <f>'jangan dihapus 2'!S661</f>
        <v>1535000000</v>
      </c>
      <c r="V657" s="929"/>
      <c r="W657" s="961">
        <f>SUM(M657:U657)</f>
        <v>6151128000</v>
      </c>
      <c r="X657" s="929"/>
      <c r="Y657" s="565"/>
      <c r="Z657" s="565"/>
    </row>
    <row r="658" spans="2:26" ht="30">
      <c r="B658" s="940"/>
      <c r="C658" s="941"/>
      <c r="D658" s="939"/>
      <c r="E658" s="939"/>
      <c r="F658" s="939"/>
      <c r="G658" s="939"/>
      <c r="H658" s="164" t="str">
        <f>'matrik MISI 1'!N55</f>
        <v>Peningkatan produksi pengolahan hasil perikanan</v>
      </c>
      <c r="I658" s="164" t="str">
        <f>'matrik MISI 1'!O55</f>
        <v>Kg</v>
      </c>
      <c r="J658" s="929">
        <f>'matrik MISI 1'!P55</f>
        <v>183</v>
      </c>
      <c r="K658" s="929">
        <f>'matrik MISI 1'!Q55</f>
        <v>196</v>
      </c>
      <c r="L658" s="929">
        <f>'matrik MISI 1'!R55</f>
        <v>210</v>
      </c>
      <c r="M658" s="961"/>
      <c r="N658" s="929">
        <f>'matrik MISI 1'!S55</f>
        <v>224</v>
      </c>
      <c r="O658" s="929"/>
      <c r="P658" s="929">
        <f>'matrik MISI 1'!T55</f>
        <v>240</v>
      </c>
      <c r="Q658" s="929"/>
      <c r="R658" s="929">
        <f>'matrik MISI 1'!U55</f>
        <v>258</v>
      </c>
      <c r="S658" s="929"/>
      <c r="T658" s="929">
        <f>'matrik MISI 1'!V55</f>
        <v>277</v>
      </c>
      <c r="U658" s="929"/>
      <c r="V658" s="929">
        <f>'matrik MISI 1'!W55</f>
        <v>277</v>
      </c>
      <c r="W658" s="929"/>
      <c r="X658" s="929" t="str">
        <f>'matrik MISI 1'!X55</f>
        <v>DINAKAN</v>
      </c>
      <c r="Y658" s="565" t="str">
        <f>'matrik MISI 1'!Y55</f>
        <v xml:space="preserve">Jumlah hasil produksi pengolahan ikan per tahun </v>
      </c>
      <c r="Z658" s="565">
        <f>'matrik MISI 1'!Z55</f>
        <v>0</v>
      </c>
    </row>
    <row r="659" spans="2:26" ht="30">
      <c r="B659" s="940"/>
      <c r="C659" s="941"/>
      <c r="D659" s="940"/>
      <c r="E659" s="940"/>
      <c r="F659" s="940"/>
      <c r="G659" s="940"/>
      <c r="H659" s="164" t="str">
        <f>'matrik MISI 1'!N56</f>
        <v xml:space="preserve">Tingkat Konsumsi Ikan </v>
      </c>
      <c r="I659" s="164" t="str">
        <f>'matrik MISI 1'!O56</f>
        <v>kg/kapita/tahun</v>
      </c>
      <c r="J659" s="929">
        <f>'matrik MISI 1'!P56</f>
        <v>14.96</v>
      </c>
      <c r="K659" s="929">
        <f>'matrik MISI 1'!Q56</f>
        <v>15.25</v>
      </c>
      <c r="L659" s="929">
        <f>'matrik MISI 1'!R56</f>
        <v>15.56</v>
      </c>
      <c r="M659" s="961"/>
      <c r="N659" s="929">
        <f>'matrik MISI 1'!S56</f>
        <v>15.87</v>
      </c>
      <c r="O659" s="929"/>
      <c r="P659" s="929">
        <f>'matrik MISI 1'!T56</f>
        <v>16.190000000000001</v>
      </c>
      <c r="Q659" s="929"/>
      <c r="R659" s="929">
        <f>'matrik MISI 1'!U56</f>
        <v>16.53</v>
      </c>
      <c r="S659" s="929"/>
      <c r="T659" s="929">
        <f>'matrik MISI 1'!V56</f>
        <v>16.87</v>
      </c>
      <c r="U659" s="929"/>
      <c r="V659" s="929" t="str">
        <f>'matrik MISI 1'!W56</f>
        <v xml:space="preserve">16,87 </v>
      </c>
      <c r="W659" s="929"/>
      <c r="X659" s="929" t="str">
        <f>'matrik MISI 1'!X56</f>
        <v>DINAKAN</v>
      </c>
      <c r="Y659" s="565" t="str">
        <f>'matrik MISI 1'!Y56</f>
        <v>Jumlah ikan yang dikonsumsi (kg) setiap orang dalam jangka waktu 1 tahun</v>
      </c>
      <c r="Z659" s="565">
        <f>'matrik MISI 1'!Z56</f>
        <v>0</v>
      </c>
    </row>
    <row r="660" spans="2:26" ht="45">
      <c r="B660" s="940"/>
      <c r="C660" s="941"/>
      <c r="D660" s="940" t="str">
        <f>'matrik MISI 1'!J57</f>
        <v>2.05</v>
      </c>
      <c r="E660" s="940" t="str">
        <f>'matrik MISI 1'!K57</f>
        <v>xx</v>
      </c>
      <c r="F660" s="940">
        <f>'matrik MISI 1'!L57</f>
        <v>24</v>
      </c>
      <c r="G660" s="940" t="str">
        <f>'matrik MISI 1'!M57</f>
        <v>Program Pengembangan Kawasan budidaya air tawar</v>
      </c>
      <c r="H660" s="164"/>
      <c r="I660" s="164"/>
      <c r="J660" s="929"/>
      <c r="K660" s="929"/>
      <c r="L660" s="929"/>
      <c r="M660" s="961">
        <f>'jangan dihapus 2'!K666</f>
        <v>456495000</v>
      </c>
      <c r="N660" s="929"/>
      <c r="O660" s="961">
        <f>'jangan dihapus 2'!M666</f>
        <v>685440000</v>
      </c>
      <c r="P660" s="929"/>
      <c r="Q660" s="961">
        <f>'jangan dihapus 2'!O666</f>
        <v>930000000</v>
      </c>
      <c r="R660" s="929"/>
      <c r="S660" s="961">
        <f>'jangan dihapus 2'!Q666</f>
        <v>825000000</v>
      </c>
      <c r="T660" s="929"/>
      <c r="U660" s="961">
        <f>'jangan dihapus 2'!S666</f>
        <v>870000000</v>
      </c>
      <c r="V660" s="929"/>
      <c r="W660" s="961">
        <f>SUM(M660:U660)</f>
        <v>3766935000</v>
      </c>
      <c r="X660" s="929"/>
      <c r="Y660" s="565"/>
      <c r="Z660" s="565"/>
    </row>
    <row r="661" spans="2:26" ht="30">
      <c r="B661" s="940"/>
      <c r="C661" s="941"/>
      <c r="D661" s="939"/>
      <c r="E661" s="939"/>
      <c r="F661" s="939"/>
      <c r="G661" s="939"/>
      <c r="H661" s="164" t="str">
        <f>'matrik MISI 1'!N57</f>
        <v>Peningkatan luas lahan budidaya ikan</v>
      </c>
      <c r="I661" s="164" t="str">
        <f>'matrik MISI 1'!O57</f>
        <v>Ha</v>
      </c>
      <c r="J661" s="929" t="str">
        <f>'matrik MISI 1'!P57</f>
        <v xml:space="preserve">117,88 </v>
      </c>
      <c r="K661" s="929" t="str">
        <f>'matrik MISI 1'!Q57</f>
        <v xml:space="preserve">119,17 </v>
      </c>
      <c r="L661" s="929" t="str">
        <f>'matrik MISI 1'!R57</f>
        <v>120,19</v>
      </c>
      <c r="M661" s="961"/>
      <c r="N661" s="929" t="str">
        <f>'matrik MISI 1'!S57</f>
        <v>121,39</v>
      </c>
      <c r="O661" s="929"/>
      <c r="P661" s="929" t="str">
        <f>'matrik MISI 1'!T57</f>
        <v>122,61</v>
      </c>
      <c r="Q661" s="929"/>
      <c r="R661" s="929" t="str">
        <f>'matrik MISI 1'!U57</f>
        <v>123,83</v>
      </c>
      <c r="S661" s="929"/>
      <c r="T661" s="929" t="str">
        <f>'matrik MISI 1'!V57</f>
        <v>125,07</v>
      </c>
      <c r="U661" s="929"/>
      <c r="V661" s="929" t="str">
        <f>'matrik MISI 1'!W57</f>
        <v>125,07</v>
      </c>
      <c r="W661" s="929"/>
      <c r="X661" s="929" t="str">
        <f>'matrik MISI 1'!X57</f>
        <v>DINAKAN</v>
      </c>
      <c r="Y661" s="565" t="str">
        <f>'matrik MISI 1'!Y57</f>
        <v xml:space="preserve">Luas lahan budidaya ikan </v>
      </c>
      <c r="Z661" s="565">
        <f>'matrik MISI 1'!Z57</f>
        <v>0</v>
      </c>
    </row>
    <row r="662" spans="2:26" ht="30">
      <c r="B662" s="940"/>
      <c r="C662" s="941"/>
      <c r="D662" s="940" t="str">
        <f>'matrik MISI 1'!J58</f>
        <v>2.05</v>
      </c>
      <c r="E662" s="940" t="str">
        <f>'matrik MISI 1'!K58</f>
        <v>xx</v>
      </c>
      <c r="F662" s="940">
        <f>'matrik MISI 1'!L58</f>
        <v>21</v>
      </c>
      <c r="G662" s="940" t="str">
        <f>'matrik MISI 1'!M58</f>
        <v>Program Pengembangan Perikanan Tangkap</v>
      </c>
      <c r="H662" s="164"/>
      <c r="I662" s="164"/>
      <c r="J662" s="929"/>
      <c r="K662" s="929"/>
      <c r="L662" s="929"/>
      <c r="M662" s="961">
        <f>'jangan dihapus 2'!K659</f>
        <v>0</v>
      </c>
      <c r="N662" s="929"/>
      <c r="O662" s="961">
        <f>'jangan dihapus 2'!M659</f>
        <v>50000000</v>
      </c>
      <c r="P662" s="929"/>
      <c r="Q662" s="961">
        <f>'jangan dihapus 2'!O659</f>
        <v>65000000</v>
      </c>
      <c r="R662" s="929"/>
      <c r="S662" s="961">
        <f>'jangan dihapus 2'!Q659</f>
        <v>75000000</v>
      </c>
      <c r="T662" s="929"/>
      <c r="U662" s="961">
        <f>'jangan dihapus 2'!S659</f>
        <v>95000000</v>
      </c>
      <c r="V662" s="929"/>
      <c r="W662" s="961">
        <f>SUM(M662:U662)</f>
        <v>285000000</v>
      </c>
      <c r="X662" s="929"/>
      <c r="Y662" s="565"/>
      <c r="Z662" s="565"/>
    </row>
    <row r="663" spans="2:26" ht="30">
      <c r="B663" s="950"/>
      <c r="C663" s="951"/>
      <c r="D663" s="942"/>
      <c r="E663" s="942"/>
      <c r="F663" s="942"/>
      <c r="G663" s="942"/>
      <c r="H663" s="164" t="str">
        <f>'matrik MISI 1'!N58</f>
        <v>Peningkatan produksi perikanan tangkap di perairan umum</v>
      </c>
      <c r="I663" s="164" t="str">
        <f>'matrik MISI 1'!O58</f>
        <v>Ton</v>
      </c>
      <c r="J663" s="929">
        <f>'matrik MISI 1'!P58</f>
        <v>121.28</v>
      </c>
      <c r="K663" s="929" t="str">
        <f>'matrik MISI 1'!Q58</f>
        <v xml:space="preserve">166,16 </v>
      </c>
      <c r="L663" s="929">
        <f>'matrik MISI 1'!R58</f>
        <v>227.64</v>
      </c>
      <c r="M663" s="961"/>
      <c r="N663" s="929">
        <f>'matrik MISI 1'!S58</f>
        <v>311.87</v>
      </c>
      <c r="O663" s="929"/>
      <c r="P663" s="929">
        <f>'matrik MISI 1'!T58</f>
        <v>427.26</v>
      </c>
      <c r="Q663" s="929"/>
      <c r="R663" s="929">
        <f>'matrik MISI 1'!U58</f>
        <v>585.34</v>
      </c>
      <c r="S663" s="929"/>
      <c r="T663" s="929">
        <f>'matrik MISI 1'!V58</f>
        <v>801.92</v>
      </c>
      <c r="U663" s="929"/>
      <c r="V663" s="929">
        <f>'matrik MISI 1'!W58</f>
        <v>801.92</v>
      </c>
      <c r="W663" s="929"/>
      <c r="X663" s="929" t="str">
        <f>'matrik MISI 1'!X58</f>
        <v>DINAKAN</v>
      </c>
      <c r="Y663" s="565" t="str">
        <f>'matrik MISI 1'!Y58</f>
        <v>Jumlah produksi perikanan tangkap tahun n-(n-1) dibagi jumlah hasil produksi perikanan tangkap tahun ke n-1 kali 100%</v>
      </c>
      <c r="Z663" s="565" t="str">
        <f>'matrik MISI 1'!Z58</f>
        <v>cukup jelas</v>
      </c>
    </row>
    <row r="664" spans="2:26" ht="45">
      <c r="B664" s="949">
        <v>6</v>
      </c>
      <c r="C664" s="948" t="str">
        <f>'matrik MISI 1'!B81</f>
        <v>PERDAGANGAN</v>
      </c>
      <c r="D664" s="949" t="str">
        <f>'matrik MISI 1'!J82</f>
        <v>2.06</v>
      </c>
      <c r="E664" s="949" t="str">
        <f>'matrik MISI 1'!K82</f>
        <v>xx</v>
      </c>
      <c r="F664" s="949">
        <f>'matrik MISI 1'!L82</f>
        <v>21</v>
      </c>
      <c r="G664" s="949" t="str">
        <f>'matrik MISI 1'!M82</f>
        <v>Program Peningkatan Sarana dan Prasarana Lainnya</v>
      </c>
      <c r="H664" s="164"/>
      <c r="I664" s="164"/>
      <c r="J664" s="929"/>
      <c r="K664" s="929"/>
      <c r="L664" s="929"/>
      <c r="M664" s="961">
        <f>'jangan dihapus 2'!K700</f>
        <v>79140626600</v>
      </c>
      <c r="N664" s="929"/>
      <c r="O664" s="961">
        <f>'jangan dihapus 2'!M700</f>
        <v>20739763000</v>
      </c>
      <c r="P664" s="929"/>
      <c r="Q664" s="961">
        <f>'jangan dihapus 2'!O700</f>
        <v>250000000</v>
      </c>
      <c r="R664" s="929"/>
      <c r="S664" s="961">
        <f>'jangan dihapus 2'!Q700</f>
        <v>500000000</v>
      </c>
      <c r="T664" s="929"/>
      <c r="U664" s="961">
        <f>'jangan dihapus 2'!S700</f>
        <v>700000000</v>
      </c>
      <c r="V664" s="929"/>
      <c r="W664" s="961">
        <f>SUM(M664:U664)</f>
        <v>101330389600</v>
      </c>
      <c r="X664" s="929"/>
      <c r="Y664" s="565"/>
      <c r="Z664" s="565"/>
    </row>
    <row r="665" spans="2:26" ht="45">
      <c r="B665" s="939"/>
      <c r="C665" s="939"/>
      <c r="D665" s="939"/>
      <c r="E665" s="939"/>
      <c r="F665" s="939"/>
      <c r="G665" s="939"/>
      <c r="H665" s="164" t="str">
        <f>'matrik MISI 1'!N82</f>
        <v>Besaran meningkatnya  Sarana dan Prasarana Perdagangan</v>
      </c>
      <c r="I665" s="164" t="str">
        <f>'matrik MISI 1'!O82</f>
        <v>unit</v>
      </c>
      <c r="J665" s="929">
        <f>'matrik MISI 1'!P82</f>
        <v>2</v>
      </c>
      <c r="K665" s="929">
        <f>'matrik MISI 1'!Q82</f>
        <v>2</v>
      </c>
      <c r="L665" s="929">
        <f>'matrik MISI 1'!R82</f>
        <v>1</v>
      </c>
      <c r="M665" s="961"/>
      <c r="N665" s="929">
        <f>'matrik MISI 1'!S82</f>
        <v>1</v>
      </c>
      <c r="O665" s="929"/>
      <c r="P665" s="929">
        <f>'matrik MISI 1'!T82</f>
        <v>1</v>
      </c>
      <c r="Q665" s="929"/>
      <c r="R665" s="929">
        <f>'matrik MISI 1'!U82</f>
        <v>1</v>
      </c>
      <c r="S665" s="929"/>
      <c r="T665" s="929">
        <f>'matrik MISI 1'!V82</f>
        <v>1</v>
      </c>
      <c r="U665" s="929"/>
      <c r="V665" s="929">
        <f>'matrik MISI 1'!W82</f>
        <v>5</v>
      </c>
      <c r="W665" s="929"/>
      <c r="X665" s="929" t="str">
        <f>'matrik MISI 1'!X82</f>
        <v>DISPERINDAGKOP DAN UMKM</v>
      </c>
      <c r="Y665" s="565" t="str">
        <f>'matrik MISI 1'!Y82</f>
        <v>Bertambahnya pasar yang di revitalisasi</v>
      </c>
      <c r="Z665" s="565" t="str">
        <f>'matrik MISI 1'!Z82</f>
        <v>pasar dimaksud diluar pasar desa dan Pasar BUMD (Pasar Kranggan, Candiroto, Pingit, Pasar Burung Kerkof, Penataan Kios Komplek Alun alun, Pasar Hewan Temanggung )</v>
      </c>
    </row>
    <row r="666" spans="2:26" ht="30">
      <c r="B666" s="940"/>
      <c r="C666" s="941"/>
      <c r="D666" s="940" t="str">
        <f>'matrik MISI 1'!J83</f>
        <v>2.06</v>
      </c>
      <c r="E666" s="940" t="str">
        <f>'matrik MISI 1'!K83</f>
        <v>xx</v>
      </c>
      <c r="F666" s="940">
        <f>'matrik MISI 1'!L83</f>
        <v>20</v>
      </c>
      <c r="G666" s="940" t="str">
        <f>'matrik MISI 1'!M83</f>
        <v>Program Pengelolaan Pasar Daerah</v>
      </c>
      <c r="H666" s="164"/>
      <c r="I666" s="164"/>
      <c r="J666" s="929"/>
      <c r="K666" s="929"/>
      <c r="L666" s="929"/>
      <c r="M666" s="961">
        <f>'jangan dihapus 2'!K691</f>
        <v>374730000</v>
      </c>
      <c r="N666" s="929"/>
      <c r="O666" s="961">
        <f>'jangan dihapus 2'!M691</f>
        <v>285000000</v>
      </c>
      <c r="P666" s="929"/>
      <c r="Q666" s="961">
        <f>'jangan dihapus 2'!O691</f>
        <v>285000000</v>
      </c>
      <c r="R666" s="929"/>
      <c r="S666" s="961">
        <f>'jangan dihapus 2'!Q691</f>
        <v>335000000</v>
      </c>
      <c r="T666" s="929"/>
      <c r="U666" s="961">
        <f>'jangan dihapus 2'!S691</f>
        <v>355000000</v>
      </c>
      <c r="V666" s="929"/>
      <c r="W666" s="961">
        <f>SUM(M666:U666)</f>
        <v>1634730000</v>
      </c>
      <c r="X666" s="929"/>
      <c r="Y666" s="565"/>
      <c r="Z666" s="565"/>
    </row>
    <row r="667" spans="2:26" ht="30">
      <c r="B667" s="940"/>
      <c r="C667" s="941"/>
      <c r="D667" s="939"/>
      <c r="E667" s="939"/>
      <c r="F667" s="939"/>
      <c r="G667" s="939"/>
      <c r="H667" s="164" t="str">
        <f>'matrik MISI 1'!N83</f>
        <v>Cakupan pengelolaan sarana dan prasarana pasar</v>
      </c>
      <c r="I667" s="164" t="str">
        <f>'matrik MISI 1'!O83</f>
        <v>%</v>
      </c>
      <c r="J667" s="929">
        <f>'matrik MISI 1'!P83</f>
        <v>100</v>
      </c>
      <c r="K667" s="929">
        <f>'matrik MISI 1'!Q83</f>
        <v>100</v>
      </c>
      <c r="L667" s="929">
        <f>'matrik MISI 1'!R83</f>
        <v>100</v>
      </c>
      <c r="M667" s="961"/>
      <c r="N667" s="929">
        <f>'matrik MISI 1'!S83</f>
        <v>100</v>
      </c>
      <c r="O667" s="929"/>
      <c r="P667" s="929">
        <f>'matrik MISI 1'!T83</f>
        <v>100</v>
      </c>
      <c r="Q667" s="929"/>
      <c r="R667" s="929">
        <f>'matrik MISI 1'!U83</f>
        <v>100</v>
      </c>
      <c r="S667" s="929"/>
      <c r="T667" s="929">
        <f>'matrik MISI 1'!V83</f>
        <v>100</v>
      </c>
      <c r="U667" s="929"/>
      <c r="V667" s="929">
        <f>'matrik MISI 1'!W83</f>
        <v>100</v>
      </c>
      <c r="W667" s="929"/>
      <c r="X667" s="929" t="str">
        <f>'matrik MISI 1'!X83</f>
        <v>DISPERINDAGKOP DAN UMKM</v>
      </c>
      <c r="Y667" s="565" t="str">
        <f>'matrik MISI 1'!Y83</f>
        <v>jumlah pasar yang dikelola pemerintah dibagi jumlah pasar yang ada kali 100 %</v>
      </c>
      <c r="Z667" s="565">
        <f>'matrik MISI 1'!Z83</f>
        <v>0</v>
      </c>
    </row>
    <row r="668" spans="2:26" ht="45">
      <c r="B668" s="940"/>
      <c r="C668" s="941"/>
      <c r="D668" s="940" t="str">
        <f>'matrik MISI 1'!J85</f>
        <v>2.06</v>
      </c>
      <c r="E668" s="940" t="str">
        <f>'matrik MISI 1'!K85</f>
        <v>xx</v>
      </c>
      <c r="F668" s="940">
        <f>'matrik MISI 1'!L85</f>
        <v>17</v>
      </c>
      <c r="G668" s="940" t="str">
        <f>'matrik MISI 1'!M85</f>
        <v>Program Peningkatan dan pengembangan  ekspor</v>
      </c>
      <c r="H668" s="164"/>
      <c r="I668" s="164"/>
      <c r="J668" s="929"/>
      <c r="K668" s="929"/>
      <c r="L668" s="929"/>
      <c r="M668" s="961">
        <f>'jangan dihapus 2'!K685</f>
        <v>110000000</v>
      </c>
      <c r="N668" s="929"/>
      <c r="O668" s="961">
        <f>'jangan dihapus 2'!M685</f>
        <v>54000000</v>
      </c>
      <c r="P668" s="929"/>
      <c r="Q668" s="961">
        <f>'jangan dihapus 2'!O685</f>
        <v>255000000</v>
      </c>
      <c r="R668" s="929"/>
      <c r="S668" s="961">
        <f>'jangan dihapus 2'!Q685</f>
        <v>260000000</v>
      </c>
      <c r="T668" s="929"/>
      <c r="U668" s="961">
        <f>'jangan dihapus 2'!S685</f>
        <v>282000000</v>
      </c>
      <c r="V668" s="929"/>
      <c r="W668" s="961">
        <f>SUM(M668:U668)</f>
        <v>961000000</v>
      </c>
      <c r="X668" s="929"/>
      <c r="Y668" s="565"/>
      <c r="Z668" s="565"/>
    </row>
    <row r="669" spans="2:26" ht="30">
      <c r="B669" s="940"/>
      <c r="C669" s="941"/>
      <c r="D669" s="939"/>
      <c r="E669" s="939"/>
      <c r="F669" s="939"/>
      <c r="G669" s="939"/>
      <c r="H669" s="164" t="str">
        <f>'matrik MISI 1'!N85</f>
        <v>Cakupan  Nilai Ekspor produk daerah</v>
      </c>
      <c r="I669" s="164" t="str">
        <f>'matrik MISI 1'!O85</f>
        <v>($)</v>
      </c>
      <c r="J669" s="929">
        <f>'matrik MISI 1'!P85</f>
        <v>108406133.59999999</v>
      </c>
      <c r="K669" s="929">
        <f>'matrik MISI 1'!Q85</f>
        <v>150927864.90000001</v>
      </c>
      <c r="L669" s="929">
        <f>'matrik MISI 1'!R85</f>
        <v>155000000</v>
      </c>
      <c r="M669" s="961"/>
      <c r="N669" s="929">
        <f>'matrik MISI 1'!S85</f>
        <v>160000000</v>
      </c>
      <c r="O669" s="929"/>
      <c r="P669" s="929">
        <f>'matrik MISI 1'!T85</f>
        <v>165000000</v>
      </c>
      <c r="Q669" s="929"/>
      <c r="R669" s="929">
        <f>'matrik MISI 1'!U85</f>
        <v>170000000</v>
      </c>
      <c r="S669" s="929"/>
      <c r="T669" s="929">
        <f>'matrik MISI 1'!V85</f>
        <v>175000000</v>
      </c>
      <c r="U669" s="929"/>
      <c r="V669" s="929">
        <f>'matrik MISI 1'!W85</f>
        <v>175000000</v>
      </c>
      <c r="W669" s="929"/>
      <c r="X669" s="929" t="str">
        <f>'matrik MISI 1'!X85</f>
        <v>DISPERINDAGKOP DAN UMKM</v>
      </c>
      <c r="Y669" s="565" t="str">
        <f>'matrik MISI 1'!Y85</f>
        <v>Jumlah nilai ekspor pada tahun ke n</v>
      </c>
      <c r="Z669" s="565" t="str">
        <f>'matrik MISI 1'!Z85</f>
        <v>Persentase kenaikan nilai dan volume ekspor pada setiap tahunnya (Kayu olahan, radio kayu)</v>
      </c>
    </row>
    <row r="670" spans="2:26" ht="30">
      <c r="B670" s="940"/>
      <c r="C670" s="941"/>
      <c r="D670" s="940"/>
      <c r="E670" s="940"/>
      <c r="F670" s="940"/>
      <c r="G670" s="940"/>
      <c r="H670" s="164" t="str">
        <f>'matrik MISI 1'!N86</f>
        <v>Cakupan promosi produk unggulan daerah</v>
      </c>
      <c r="I670" s="164" t="str">
        <f>'matrik MISI 1'!O86</f>
        <v>kali</v>
      </c>
      <c r="J670" s="929">
        <f>'matrik MISI 1'!P86</f>
        <v>5</v>
      </c>
      <c r="K670" s="929">
        <f>'matrik MISI 1'!Q86</f>
        <v>3</v>
      </c>
      <c r="L670" s="929">
        <f>'matrik MISI 1'!R86</f>
        <v>3</v>
      </c>
      <c r="M670" s="961"/>
      <c r="N670" s="929">
        <f>'matrik MISI 1'!S86</f>
        <v>3</v>
      </c>
      <c r="O670" s="929"/>
      <c r="P670" s="929">
        <f>'matrik MISI 1'!T86</f>
        <v>3</v>
      </c>
      <c r="Q670" s="929"/>
      <c r="R670" s="929">
        <f>'matrik MISI 1'!U86</f>
        <v>3</v>
      </c>
      <c r="S670" s="929"/>
      <c r="T670" s="929">
        <f>'matrik MISI 1'!V86</f>
        <v>3</v>
      </c>
      <c r="U670" s="929"/>
      <c r="V670" s="929">
        <f>'matrik MISI 1'!W86</f>
        <v>3</v>
      </c>
      <c r="W670" s="929"/>
      <c r="X670" s="929" t="str">
        <f>'matrik MISI 1'!X86</f>
        <v>DISPERINDAGKOP DAN UMKM</v>
      </c>
      <c r="Y670" s="565" t="str">
        <f>'matrik MISI 1'!Y86</f>
        <v>jumlah pameran produk unggulan daerah pada tahun n</v>
      </c>
      <c r="Z670" s="565">
        <f>'matrik MISI 1'!Z86</f>
        <v>0</v>
      </c>
    </row>
    <row r="671" spans="2:26" ht="30">
      <c r="B671" s="940"/>
      <c r="C671" s="941"/>
      <c r="D671" s="940" t="str">
        <f>'matrik MISI 1'!J87</f>
        <v>2.06</v>
      </c>
      <c r="E671" s="940" t="str">
        <f>'matrik MISI 1'!K87</f>
        <v>xx</v>
      </c>
      <c r="F671" s="940">
        <f>'matrik MISI 1'!L87</f>
        <v>19</v>
      </c>
      <c r="G671" s="940" t="str">
        <f>'matrik MISI 1'!M87</f>
        <v>Pembinaan pedagang Kaki lima dan Asongan</v>
      </c>
      <c r="H671" s="164"/>
      <c r="I671" s="164"/>
      <c r="J671" s="929"/>
      <c r="K671" s="929"/>
      <c r="L671" s="929"/>
      <c r="M671" s="961">
        <f>'jangan dihapus 2'!K689</f>
        <v>40000000</v>
      </c>
      <c r="N671" s="929"/>
      <c r="O671" s="961">
        <f>'jangan dihapus 2'!M689</f>
        <v>32500000</v>
      </c>
      <c r="P671" s="929"/>
      <c r="Q671" s="961">
        <f>'jangan dihapus 2'!O689</f>
        <v>50000000</v>
      </c>
      <c r="R671" s="929"/>
      <c r="S671" s="961">
        <f>'jangan dihapus 2'!Q689</f>
        <v>60000000</v>
      </c>
      <c r="T671" s="929"/>
      <c r="U671" s="961">
        <f>'jangan dihapus 2'!S689</f>
        <v>65000000</v>
      </c>
      <c r="V671" s="929"/>
      <c r="W671" s="961">
        <f>SUM(M671:U671)</f>
        <v>247500000</v>
      </c>
      <c r="X671" s="929"/>
      <c r="Y671" s="565"/>
      <c r="Z671" s="565"/>
    </row>
    <row r="672" spans="2:26" ht="30">
      <c r="B672" s="940"/>
      <c r="C672" s="941"/>
      <c r="D672" s="939"/>
      <c r="E672" s="939"/>
      <c r="F672" s="939"/>
      <c r="G672" s="939"/>
      <c r="H672" s="164" t="str">
        <f>'matrik MISI 1'!N87</f>
        <v>Cakupan Bina Kelompok Pedagang/ Usaha Informal</v>
      </c>
      <c r="I672" s="164" t="str">
        <f>'matrik MISI 1'!O87</f>
        <v>org</v>
      </c>
      <c r="J672" s="929">
        <f>'matrik MISI 1'!P87</f>
        <v>120</v>
      </c>
      <c r="K672" s="929">
        <f>'matrik MISI 1'!Q87</f>
        <v>120</v>
      </c>
      <c r="L672" s="929">
        <f>'matrik MISI 1'!R87</f>
        <v>120</v>
      </c>
      <c r="M672" s="961"/>
      <c r="N672" s="929">
        <f>'matrik MISI 1'!S87</f>
        <v>240</v>
      </c>
      <c r="O672" s="929"/>
      <c r="P672" s="929">
        <f>'matrik MISI 1'!T87</f>
        <v>360</v>
      </c>
      <c r="Q672" s="929"/>
      <c r="R672" s="929">
        <f>'matrik MISI 1'!U87</f>
        <v>480</v>
      </c>
      <c r="S672" s="929"/>
      <c r="T672" s="929">
        <f>'matrik MISI 1'!V87</f>
        <v>600</v>
      </c>
      <c r="U672" s="929"/>
      <c r="V672" s="929">
        <f>'matrik MISI 1'!W87</f>
        <v>600</v>
      </c>
      <c r="W672" s="929"/>
      <c r="X672" s="929" t="str">
        <f>'matrik MISI 1'!X87</f>
        <v>DISPERINDAGKOP DAN UMKM</v>
      </c>
      <c r="Y672" s="565" t="str">
        <f>'matrik MISI 1'!Y87</f>
        <v>Jumlah pedagang/pelaku usaha kecil yg dibina pada tahun n</v>
      </c>
      <c r="Z672" s="565">
        <f>'matrik MISI 1'!Z87</f>
        <v>0</v>
      </c>
    </row>
    <row r="673" spans="2:29" ht="30">
      <c r="B673" s="940"/>
      <c r="C673" s="941"/>
      <c r="D673" s="940" t="str">
        <f>'matrik MISI 1'!J89</f>
        <v>2.06</v>
      </c>
      <c r="E673" s="940" t="str">
        <f>'matrik MISI 1'!K89</f>
        <v>xx</v>
      </c>
      <c r="F673" s="940">
        <f>'matrik MISI 1'!L89</f>
        <v>15</v>
      </c>
      <c r="G673" s="940" t="str">
        <f>'matrik MISI 1'!M89</f>
        <v>Perlindungan Konsumen</v>
      </c>
      <c r="H673" s="164"/>
      <c r="I673" s="164"/>
      <c r="J673" s="929"/>
      <c r="K673" s="929"/>
      <c r="L673" s="929"/>
      <c r="M673" s="961">
        <f>'jangan dihapus 2'!K675</f>
        <v>229168500</v>
      </c>
      <c r="N673" s="929"/>
      <c r="O673" s="961">
        <f>'jangan dihapus 2'!M675</f>
        <v>379630000</v>
      </c>
      <c r="P673" s="929"/>
      <c r="Q673" s="961">
        <f>'jangan dihapus 2'!O675</f>
        <v>413500000</v>
      </c>
      <c r="R673" s="929"/>
      <c r="S673" s="961">
        <f>'jangan dihapus 2'!Q675</f>
        <v>500500000</v>
      </c>
      <c r="T673" s="929"/>
      <c r="U673" s="961">
        <f>'jangan dihapus 2'!S675</f>
        <v>537500000</v>
      </c>
      <c r="V673" s="929"/>
      <c r="W673" s="961">
        <f>SUM(M673:U673)</f>
        <v>2060298500</v>
      </c>
      <c r="X673" s="929"/>
      <c r="Y673" s="565"/>
      <c r="Z673" s="565"/>
    </row>
    <row r="674" spans="2:29" ht="45">
      <c r="B674" s="940"/>
      <c r="C674" s="941"/>
      <c r="D674" s="939"/>
      <c r="E674" s="939"/>
      <c r="F674" s="939"/>
      <c r="G674" s="939"/>
      <c r="H674" s="164" t="str">
        <f>'matrik MISI 1'!N89</f>
        <v>Cakupan Meningkatnya Ketersediaan informasi harga bahan pokok dan bahan lainnya</v>
      </c>
      <c r="I674" s="164" t="str">
        <f>'matrik MISI 1'!O89</f>
        <v>laporan</v>
      </c>
      <c r="J674" s="929">
        <f>'matrik MISI 1'!P89</f>
        <v>96</v>
      </c>
      <c r="K674" s="929">
        <f>'matrik MISI 1'!Q89</f>
        <v>96</v>
      </c>
      <c r="L674" s="929">
        <f>'matrik MISI 1'!R89</f>
        <v>96</v>
      </c>
      <c r="M674" s="961"/>
      <c r="N674" s="929">
        <f>'matrik MISI 1'!S89</f>
        <v>96</v>
      </c>
      <c r="O674" s="929"/>
      <c r="P674" s="929">
        <f>'matrik MISI 1'!T89</f>
        <v>96</v>
      </c>
      <c r="Q674" s="929"/>
      <c r="R674" s="929">
        <f>'matrik MISI 1'!U89</f>
        <v>96</v>
      </c>
      <c r="S674" s="929"/>
      <c r="T674" s="929">
        <f>'matrik MISI 1'!V89</f>
        <v>96</v>
      </c>
      <c r="U674" s="929"/>
      <c r="V674" s="929">
        <f>'matrik MISI 1'!W89</f>
        <v>96</v>
      </c>
      <c r="W674" s="929"/>
      <c r="X674" s="929" t="str">
        <f>'matrik MISI 1'!X89</f>
        <v>DISPERINDAGKOP DAN UMKM</v>
      </c>
      <c r="Y674" s="565" t="str">
        <f>'matrik MISI 1'!Y89</f>
        <v>Tersedianya jumlah laporan informasi harga dan ketersedian bahan pokok dan bahan lainnya pada setiap minggu</v>
      </c>
      <c r="Z674" s="565" t="str">
        <f>'matrik MISI 1'!Z89</f>
        <v>Meningkatnya ketersediaan informasi harga kebutuhan pokok menjadi bahan utk kebijakan penyelenggaran OP</v>
      </c>
    </row>
    <row r="675" spans="2:29" ht="30">
      <c r="B675" s="940"/>
      <c r="C675" s="941"/>
      <c r="D675" s="940"/>
      <c r="E675" s="940"/>
      <c r="F675" s="940"/>
      <c r="G675" s="940"/>
      <c r="H675" s="164" t="str">
        <f>'matrik MISI 1'!N90</f>
        <v>Cakupan Meningkatnya Jaminan Keamanan Produk yang Beredar</v>
      </c>
      <c r="I675" s="164" t="str">
        <f>'matrik MISI 1'!O90</f>
        <v>produk</v>
      </c>
      <c r="J675" s="929">
        <f>'matrik MISI 1'!P90</f>
        <v>14</v>
      </c>
      <c r="K675" s="929">
        <f>'matrik MISI 1'!Q90</f>
        <v>10</v>
      </c>
      <c r="L675" s="929">
        <f>'matrik MISI 1'!R90</f>
        <v>8</v>
      </c>
      <c r="M675" s="961"/>
      <c r="N675" s="929">
        <f>'matrik MISI 1'!S90</f>
        <v>6</v>
      </c>
      <c r="O675" s="929"/>
      <c r="P675" s="929">
        <f>'matrik MISI 1'!T90</f>
        <v>4</v>
      </c>
      <c r="Q675" s="929"/>
      <c r="R675" s="929">
        <f>'matrik MISI 1'!U90</f>
        <v>2</v>
      </c>
      <c r="S675" s="929"/>
      <c r="T675" s="929">
        <f>'matrik MISI 1'!V90</f>
        <v>2</v>
      </c>
      <c r="U675" s="929"/>
      <c r="V675" s="929">
        <f>'matrik MISI 1'!W90</f>
        <v>2</v>
      </c>
      <c r="W675" s="929"/>
      <c r="X675" s="929" t="str">
        <f>'matrik MISI 1'!X90</f>
        <v>DISPERINDAGKOP DAN UMKM</v>
      </c>
      <c r="Y675" s="565" t="str">
        <f>'matrik MISI 1'!Y90</f>
        <v>jumlah temuan produk tidak layak edar</v>
      </c>
      <c r="Z675" s="565" t="str">
        <f>'matrik MISI 1'!Z90</f>
        <v>Berkurangnya jumlah produk tidak layak edar dari tahun ketahun</v>
      </c>
    </row>
    <row r="676" spans="2:29" ht="60">
      <c r="B676" s="940"/>
      <c r="C676" s="941"/>
      <c r="D676" s="940"/>
      <c r="E676" s="940"/>
      <c r="F676" s="940"/>
      <c r="G676" s="940"/>
      <c r="H676" s="164" t="str">
        <f>'matrik MISI 1'!N91</f>
        <v xml:space="preserve">Cakupan meningkatnya alat Ukur Takar Timbang dan Perlengkapannya yang ditera ulang </v>
      </c>
      <c r="I676" s="164" t="str">
        <f>'matrik MISI 1'!O91</f>
        <v>unit</v>
      </c>
      <c r="J676" s="929">
        <f>'matrik MISI 1'!P91</f>
        <v>16601</v>
      </c>
      <c r="K676" s="929">
        <f>'matrik MISI 1'!Q91</f>
        <v>16.77</v>
      </c>
      <c r="L676" s="929">
        <f>'matrik MISI 1'!R91</f>
        <v>18823</v>
      </c>
      <c r="M676" s="961"/>
      <c r="N676" s="929">
        <f>'matrik MISI 1'!S91</f>
        <v>18879</v>
      </c>
      <c r="O676" s="929"/>
      <c r="P676" s="929">
        <f>'matrik MISI 1'!T91</f>
        <v>18936</v>
      </c>
      <c r="Q676" s="929"/>
      <c r="R676" s="929">
        <f>'matrik MISI 1'!U91</f>
        <v>18993</v>
      </c>
      <c r="S676" s="929"/>
      <c r="T676" s="929">
        <f>'matrik MISI 1'!V91</f>
        <v>19050</v>
      </c>
      <c r="U676" s="929"/>
      <c r="V676" s="929">
        <f>'matrik MISI 1'!W91</f>
        <v>19050</v>
      </c>
      <c r="W676" s="929"/>
      <c r="X676" s="929" t="str">
        <f>'matrik MISI 1'!X91</f>
        <v>DISPERINDAGKOP DAN UMKM</v>
      </c>
      <c r="Y676" s="565" t="str">
        <f>'matrik MISI 1'!Y91</f>
        <v>jumlah alat UTTP yang ditera ulang tahun ke n</v>
      </c>
      <c r="Z676" s="565">
        <f>'matrik MISI 1'!Z91</f>
        <v>0</v>
      </c>
    </row>
    <row r="677" spans="2:29" ht="30">
      <c r="B677" s="950"/>
      <c r="C677" s="951"/>
      <c r="D677" s="950"/>
      <c r="E677" s="950"/>
      <c r="F677" s="950"/>
      <c r="G677" s="950"/>
      <c r="H677" s="164" t="str">
        <f>'matrik MISI 1'!N92</f>
        <v>Persentase penyelesaian sengketa konsumen</v>
      </c>
      <c r="I677" s="164" t="str">
        <f>'matrik MISI 1'!O92</f>
        <v>%</v>
      </c>
      <c r="J677" s="929" t="str">
        <f>'matrik MISI 1'!P92</f>
        <v>-</v>
      </c>
      <c r="K677" s="929" t="str">
        <f>'matrik MISI 1'!Q92</f>
        <v>-</v>
      </c>
      <c r="L677" s="929">
        <f>'matrik MISI 1'!R92</f>
        <v>50</v>
      </c>
      <c r="M677" s="961"/>
      <c r="N677" s="929">
        <f>'matrik MISI 1'!S92</f>
        <v>60</v>
      </c>
      <c r="O677" s="929"/>
      <c r="P677" s="929">
        <f>'matrik MISI 1'!T92</f>
        <v>75</v>
      </c>
      <c r="Q677" s="929"/>
      <c r="R677" s="929">
        <f>'matrik MISI 1'!U92</f>
        <v>80</v>
      </c>
      <c r="S677" s="929"/>
      <c r="T677" s="929">
        <f>'matrik MISI 1'!V92</f>
        <v>85</v>
      </c>
      <c r="U677" s="929"/>
      <c r="V677" s="929">
        <f>'matrik MISI 1'!W92</f>
        <v>85</v>
      </c>
      <c r="W677" s="929"/>
      <c r="X677" s="929" t="str">
        <f>'matrik MISI 1'!X92</f>
        <v>DISPERINDAGKOP DAN UMKM</v>
      </c>
      <c r="Y677" s="565" t="str">
        <f>'matrik MISI 1'!Y92</f>
        <v>Jumlah sengketa yang diselesaikan dibagi total jumlah sengketa yang dilaporkan</v>
      </c>
      <c r="Z677" s="565" t="str">
        <f>'matrik MISI 1'!Z92</f>
        <v>Meningkatnya penyelesaian sengketa</v>
      </c>
    </row>
    <row r="678" spans="2:29" ht="30">
      <c r="B678" s="949">
        <v>7</v>
      </c>
      <c r="C678" s="948" t="str">
        <f>'matrik MISI 1'!B77</f>
        <v>PERINDUSTRIAN</v>
      </c>
      <c r="D678" s="949" t="str">
        <f>'matrik MISI 1'!J78</f>
        <v>2.07</v>
      </c>
      <c r="E678" s="949" t="str">
        <f>'matrik MISI 1'!K78</f>
        <v>xx</v>
      </c>
      <c r="F678" s="949">
        <f>'matrik MISI 1'!L78</f>
        <v>16</v>
      </c>
      <c r="G678" s="949" t="str">
        <f>'matrik MISI 1'!M78</f>
        <v>Program Industri Kecil dan Menengah</v>
      </c>
      <c r="H678" s="164"/>
      <c r="I678" s="164"/>
      <c r="J678" s="929"/>
      <c r="K678" s="929"/>
      <c r="L678" s="929"/>
      <c r="M678" s="961">
        <f>'jangan dihapus 2'!K710</f>
        <v>1249310500</v>
      </c>
      <c r="N678" s="929"/>
      <c r="O678" s="961">
        <f>'jangan dihapus 2'!M710</f>
        <v>1665000000</v>
      </c>
      <c r="P678" s="929"/>
      <c r="Q678" s="961">
        <f>'jangan dihapus 2'!O710</f>
        <v>1795000000</v>
      </c>
      <c r="R678" s="929"/>
      <c r="S678" s="961">
        <f>'jangan dihapus 2'!Q710</f>
        <v>1790000000</v>
      </c>
      <c r="T678" s="929"/>
      <c r="U678" s="961">
        <f>'jangan dihapus 2'!S710</f>
        <v>1925000000</v>
      </c>
      <c r="V678" s="929"/>
      <c r="W678" s="961">
        <f>SUM(M678:U678)</f>
        <v>8424310500</v>
      </c>
      <c r="X678" s="929"/>
      <c r="Y678" s="565"/>
      <c r="Z678" s="565"/>
    </row>
    <row r="679" spans="2:29" ht="60">
      <c r="B679" s="939"/>
      <c r="C679" s="939"/>
      <c r="D679" s="939"/>
      <c r="E679" s="939"/>
      <c r="F679" s="939"/>
      <c r="G679" s="939"/>
      <c r="H679" s="164" t="str">
        <f>'matrik MISI 1'!N78</f>
        <v>Cakupan Meningkatnya prosentase Agroindustri yang Berbasis pada Komoditas Unggulan Daerah</v>
      </c>
      <c r="I679" s="164" t="str">
        <f>'matrik MISI 1'!O78</f>
        <v>%</v>
      </c>
      <c r="J679" s="929">
        <f>'matrik MISI 1'!P78</f>
        <v>54.837478531900011</v>
      </c>
      <c r="K679" s="929">
        <f>'matrik MISI 1'!Q78</f>
        <v>54.837478531900011</v>
      </c>
      <c r="L679" s="929">
        <f>'matrik MISI 1'!R78</f>
        <v>54.87341772151899</v>
      </c>
      <c r="M679" s="961"/>
      <c r="N679" s="929">
        <f>'matrik MISI 1'!S78</f>
        <v>55.242902208201897</v>
      </c>
      <c r="O679" s="929"/>
      <c r="P679" s="929">
        <f>'matrik MISI 1'!T78</f>
        <v>55.283018867924525</v>
      </c>
      <c r="Q679" s="929"/>
      <c r="R679" s="929">
        <f>'matrik MISI 1'!U78</f>
        <v>55.510971786833849</v>
      </c>
      <c r="S679" s="929"/>
      <c r="T679" s="929">
        <f>'matrik MISI 1'!V78</f>
        <v>55.600000000000009</v>
      </c>
      <c r="U679" s="929"/>
      <c r="V679" s="929">
        <f>'matrik MISI 1'!W78</f>
        <v>55.600000000000009</v>
      </c>
      <c r="W679" s="929"/>
      <c r="X679" s="929" t="str">
        <f>'matrik MISI 1'!X78</f>
        <v>DISPERINDAGKOP DAN UMKM</v>
      </c>
      <c r="Y679" s="565" t="str">
        <f>'matrik MISI 1'!Y78</f>
        <v>Jumlah Agroindustri berbasis Komoditas Unggulan daerah dibagi Jumlah Komoditas unggulan Daerah x 100%</v>
      </c>
      <c r="Z679" s="565" t="str">
        <f>'matrik MISI 1'!Z78</f>
        <v>Komoditas Unggulan adalah Tembakau, Kopi , dll (sesuai MP3ET) ditambah Komoditas lain yang ada di analisa IO</v>
      </c>
    </row>
    <row r="680" spans="2:29" ht="45">
      <c r="B680" s="950"/>
      <c r="C680" s="951"/>
      <c r="D680" s="942"/>
      <c r="E680" s="942"/>
      <c r="F680" s="942"/>
      <c r="G680" s="942"/>
      <c r="H680" s="164" t="str">
        <f>'matrik MISI 1'!N80</f>
        <v>Persentase Meningkatnya Struktur Industri Berbahan Baku Lokal yang Tangguh</v>
      </c>
      <c r="I680" s="164" t="str">
        <f>'matrik MISI 1'!O80</f>
        <v>%</v>
      </c>
      <c r="J680" s="929">
        <f>'matrik MISI 1'!P80</f>
        <v>99.484765600152656</v>
      </c>
      <c r="K680" s="929">
        <f>'matrik MISI 1'!Q80</f>
        <v>99.548374785318998</v>
      </c>
      <c r="L680" s="929">
        <f>'matrik MISI 1'!R80</f>
        <v>99.620253164556956</v>
      </c>
      <c r="M680" s="961"/>
      <c r="N680" s="929">
        <f>'matrik MISI 1'!S80</f>
        <v>99.684542586750794</v>
      </c>
      <c r="O680" s="929"/>
      <c r="P680" s="929">
        <f>'matrik MISI 1'!T80</f>
        <v>99.685534591194966</v>
      </c>
      <c r="Q680" s="929"/>
      <c r="R680" s="929">
        <f>'matrik MISI 1'!U80</f>
        <v>99.717868338557992</v>
      </c>
      <c r="S680" s="929"/>
      <c r="T680" s="929">
        <f>'matrik MISI 1'!V80</f>
        <v>99.75</v>
      </c>
      <c r="U680" s="929"/>
      <c r="V680" s="929">
        <f>'matrik MISI 1'!W80</f>
        <v>99.75</v>
      </c>
      <c r="W680" s="929"/>
      <c r="X680" s="929" t="str">
        <f>'matrik MISI 1'!X80</f>
        <v>DISPERINDAGKOP DAN UMKM</v>
      </c>
      <c r="Y680" s="565" t="str">
        <f>'matrik MISI 1'!Y80</f>
        <v>Jumlah industri berbahan baku lokal dibagi Jumlah seluruh industri x 100%</v>
      </c>
      <c r="Z680" s="565" t="str">
        <f>'matrik MISI 1'!Z80</f>
        <v>asumsi industri kecil dan menengah 100% lokal dicari bahan baku luar utk industri besar</v>
      </c>
    </row>
    <row r="681" spans="2:29" ht="30">
      <c r="B681" s="949">
        <v>8</v>
      </c>
      <c r="C681" s="948" t="str">
        <f>'matrik MISI 2'!B52</f>
        <v>TRANSMIGRASI</v>
      </c>
      <c r="D681" s="949">
        <f>'matrik MISI 2'!J53</f>
        <v>2.08</v>
      </c>
      <c r="E681" s="949" t="str">
        <f>'matrik MISI 2'!K53</f>
        <v>xx</v>
      </c>
      <c r="F681" s="949">
        <f>'matrik MISI 2'!L53</f>
        <v>15</v>
      </c>
      <c r="G681" s="949" t="str">
        <f>'matrik MISI 2'!M53</f>
        <v>Program Pengembangan Wilayah Transmigrasi</v>
      </c>
      <c r="H681" s="164"/>
      <c r="I681" s="164"/>
      <c r="J681" s="929"/>
      <c r="K681" s="929"/>
      <c r="L681" s="929"/>
      <c r="M681" s="961">
        <f>'jangan dihapus 2'!K725</f>
        <v>99789000</v>
      </c>
      <c r="N681" s="929"/>
      <c r="O681" s="961">
        <f>'jangan dihapus 2'!M725</f>
        <v>150000000</v>
      </c>
      <c r="P681" s="929"/>
      <c r="Q681" s="961">
        <f>'jangan dihapus 2'!O725</f>
        <v>200000000</v>
      </c>
      <c r="R681" s="929"/>
      <c r="S681" s="961">
        <f>'jangan dihapus 2'!Q725</f>
        <v>250000000</v>
      </c>
      <c r="T681" s="929"/>
      <c r="U681" s="961">
        <f>'jangan dihapus 2'!S725</f>
        <v>300000000</v>
      </c>
      <c r="V681" s="929"/>
      <c r="W681" s="961">
        <f>SUM(M681:U681)</f>
        <v>999789000</v>
      </c>
      <c r="X681" s="929"/>
      <c r="Y681" s="565"/>
      <c r="Z681" s="565"/>
    </row>
    <row r="682" spans="2:29" ht="30">
      <c r="B682" s="942"/>
      <c r="C682" s="942"/>
      <c r="D682" s="942"/>
      <c r="E682" s="942"/>
      <c r="F682" s="942"/>
      <c r="G682" s="942"/>
      <c r="H682" s="164" t="str">
        <f>'matrik MISI 2'!N53</f>
        <v>Persentase Penempatan Transmigran</v>
      </c>
      <c r="I682" s="164" t="str">
        <f>'matrik MISI 2'!O53</f>
        <v>%</v>
      </c>
      <c r="J682" s="929">
        <f>'matrik MISI 2'!P53</f>
        <v>80</v>
      </c>
      <c r="K682" s="929">
        <f>'matrik MISI 2'!Q53</f>
        <v>80</v>
      </c>
      <c r="L682" s="929">
        <f>'matrik MISI 2'!R53</f>
        <v>80</v>
      </c>
      <c r="M682" s="961"/>
      <c r="N682" s="929">
        <f>'matrik MISI 2'!S53</f>
        <v>80</v>
      </c>
      <c r="O682" s="929"/>
      <c r="P682" s="929">
        <f>'matrik MISI 2'!T53</f>
        <v>80</v>
      </c>
      <c r="Q682" s="929"/>
      <c r="R682" s="929">
        <f>'matrik MISI 2'!U53</f>
        <v>80</v>
      </c>
      <c r="S682" s="929"/>
      <c r="T682" s="929">
        <f>'matrik MISI 2'!V53</f>
        <v>80</v>
      </c>
      <c r="U682" s="929"/>
      <c r="V682" s="929">
        <f>'matrik MISI 2'!W53</f>
        <v>80</v>
      </c>
      <c r="W682" s="929"/>
      <c r="X682" s="929" t="str">
        <f>'matrik MISI 2'!X53</f>
        <v>Disnakertran</v>
      </c>
      <c r="Y682" s="565" t="str">
        <f>'matrik MISI 2'!Y53</f>
        <v xml:space="preserve">Jumlah transmigran yang ditempatkan dibagi jumlah calon transmigran X 100 </v>
      </c>
      <c r="Z682" s="565">
        <f>'matrik MISI 2'!Z53</f>
        <v>0</v>
      </c>
    </row>
    <row r="683" spans="2:29">
      <c r="B683" s="1076"/>
      <c r="C683" s="1077"/>
      <c r="D683" s="942"/>
      <c r="E683" s="942"/>
      <c r="F683" s="942"/>
      <c r="G683" s="942"/>
      <c r="H683" s="164"/>
      <c r="I683" s="164"/>
      <c r="J683" s="929"/>
      <c r="K683" s="929"/>
      <c r="L683" s="929"/>
      <c r="M683" s="961"/>
      <c r="N683" s="929"/>
      <c r="O683" s="929"/>
      <c r="P683" s="929"/>
      <c r="Q683" s="929"/>
      <c r="R683" s="929"/>
      <c r="S683" s="929"/>
      <c r="T683" s="929"/>
      <c r="U683" s="929"/>
      <c r="V683" s="929"/>
      <c r="W683" s="929"/>
      <c r="X683" s="929"/>
      <c r="Y683" s="565"/>
      <c r="Z683" s="565"/>
    </row>
    <row r="684" spans="2:29" s="560" customFormat="1">
      <c r="B684" s="1249" t="s">
        <v>5035</v>
      </c>
      <c r="C684" s="1250"/>
      <c r="D684" s="1066"/>
      <c r="E684" s="1066"/>
      <c r="F684" s="1066"/>
      <c r="G684" s="1066"/>
      <c r="H684" s="1066"/>
      <c r="I684" s="1066"/>
      <c r="J684" s="1067"/>
      <c r="K684" s="1067"/>
      <c r="L684" s="1067"/>
      <c r="M684" s="1068">
        <f>M17-M18</f>
        <v>-99022418350</v>
      </c>
      <c r="N684" s="1068">
        <f>N17-N18</f>
        <v>0</v>
      </c>
      <c r="O684" s="1068">
        <f>O17-O18-1000</f>
        <v>-17500000000.25</v>
      </c>
      <c r="P684" s="1068">
        <f t="shared" ref="P684:W684" si="8">P17-P18</f>
        <v>0</v>
      </c>
      <c r="Q684" s="1068">
        <f t="shared" si="8"/>
        <v>9499999999.8798828</v>
      </c>
      <c r="R684" s="1068">
        <f t="shared" si="8"/>
        <v>0</v>
      </c>
      <c r="S684" s="1068">
        <f t="shared" si="8"/>
        <v>9499999999.6799316</v>
      </c>
      <c r="T684" s="1068">
        <f t="shared" si="8"/>
        <v>0</v>
      </c>
      <c r="U684" s="1068">
        <f t="shared" si="8"/>
        <v>-13999999999.830078</v>
      </c>
      <c r="V684" s="1068">
        <f t="shared" si="8"/>
        <v>0</v>
      </c>
      <c r="W684" s="1068">
        <f t="shared" si="8"/>
        <v>-111522417349.52051</v>
      </c>
      <c r="X684" s="1068"/>
      <c r="Y684" s="559"/>
      <c r="Z684" s="559"/>
      <c r="AC684" s="1069"/>
    </row>
    <row r="685" spans="2:29" s="560" customFormat="1">
      <c r="B685" s="1249" t="s">
        <v>5037</v>
      </c>
      <c r="C685" s="1250"/>
      <c r="D685" s="1066"/>
      <c r="E685" s="1066"/>
      <c r="F685" s="1066"/>
      <c r="G685" s="1066"/>
      <c r="H685" s="1066"/>
      <c r="I685" s="1066"/>
      <c r="J685" s="1067"/>
      <c r="K685" s="1067"/>
      <c r="L685" s="1067"/>
      <c r="M685" s="1068">
        <f>M18-M17</f>
        <v>99022418350</v>
      </c>
      <c r="N685" s="1068">
        <f>N18-N17</f>
        <v>0</v>
      </c>
      <c r="O685" s="1068">
        <f>O18-O17+1000</f>
        <v>17500000000.25</v>
      </c>
      <c r="P685" s="1068">
        <f t="shared" ref="P685:W685" si="9">P18-P17</f>
        <v>0</v>
      </c>
      <c r="Q685" s="1068">
        <f t="shared" si="9"/>
        <v>-9499999999.8798828</v>
      </c>
      <c r="R685" s="1068">
        <f t="shared" si="9"/>
        <v>0</v>
      </c>
      <c r="S685" s="1068">
        <f t="shared" si="9"/>
        <v>-9499999999.6799316</v>
      </c>
      <c r="T685" s="1068">
        <f t="shared" si="9"/>
        <v>0</v>
      </c>
      <c r="U685" s="1068">
        <f t="shared" si="9"/>
        <v>13999999999.830078</v>
      </c>
      <c r="V685" s="1068">
        <f t="shared" si="9"/>
        <v>0</v>
      </c>
      <c r="W685" s="1068">
        <f t="shared" si="9"/>
        <v>111522417349.52051</v>
      </c>
      <c r="X685" s="1068"/>
      <c r="Y685" s="559"/>
      <c r="Z685" s="559"/>
      <c r="AC685" s="1069"/>
    </row>
    <row r="686" spans="2:29" s="566" customFormat="1" ht="30">
      <c r="B686" s="1078"/>
      <c r="C686" s="1079" t="s">
        <v>5039</v>
      </c>
      <c r="D686" s="1080"/>
      <c r="E686" s="946"/>
      <c r="F686" s="946"/>
      <c r="G686" s="946"/>
      <c r="H686" s="946"/>
      <c r="I686" s="946"/>
      <c r="J686" s="975"/>
      <c r="K686" s="975"/>
      <c r="L686" s="975"/>
      <c r="M686" s="976">
        <f>SUM(M687:M690)</f>
        <v>107522418350</v>
      </c>
      <c r="N686" s="976">
        <f t="shared" ref="N686:U686" si="10">SUM(N687:N690)</f>
        <v>0</v>
      </c>
      <c r="O686" s="976">
        <f t="shared" si="10"/>
        <v>44500000000</v>
      </c>
      <c r="P686" s="976">
        <f t="shared" si="10"/>
        <v>0</v>
      </c>
      <c r="Q686" s="976">
        <f t="shared" si="10"/>
        <v>31000000000</v>
      </c>
      <c r="R686" s="976">
        <f t="shared" si="10"/>
        <v>0</v>
      </c>
      <c r="S686" s="976">
        <f t="shared" si="10"/>
        <v>31000000000</v>
      </c>
      <c r="T686" s="976">
        <f t="shared" si="10"/>
        <v>0</v>
      </c>
      <c r="U686" s="976">
        <f t="shared" si="10"/>
        <v>47000000000</v>
      </c>
      <c r="V686" s="976"/>
      <c r="W686" s="976">
        <f>SUM(M686:U686)</f>
        <v>261022418350</v>
      </c>
      <c r="X686" s="976"/>
      <c r="Y686" s="983"/>
      <c r="Z686" s="983"/>
      <c r="AC686" s="778"/>
    </row>
    <row r="687" spans="2:29" s="566" customFormat="1" ht="45">
      <c r="B687" s="1045"/>
      <c r="C687" s="1081" t="s">
        <v>5040</v>
      </c>
      <c r="D687" s="946"/>
      <c r="E687" s="946"/>
      <c r="F687" s="946"/>
      <c r="G687" s="946"/>
      <c r="H687" s="946"/>
      <c r="I687" s="946"/>
      <c r="J687" s="975"/>
      <c r="K687" s="975"/>
      <c r="L687" s="975"/>
      <c r="M687" s="1082">
        <f>15022418350+12000000000</f>
        <v>27022418350</v>
      </c>
      <c r="N687" s="1082"/>
      <c r="O687" s="1082">
        <v>27000000000</v>
      </c>
      <c r="P687" s="1082"/>
      <c r="Q687" s="1082">
        <v>27000000000</v>
      </c>
      <c r="R687" s="1082"/>
      <c r="S687" s="1082">
        <v>27000000000</v>
      </c>
      <c r="T687" s="1082"/>
      <c r="U687" s="1082">
        <v>27000000000</v>
      </c>
      <c r="V687" s="976"/>
      <c r="W687" s="976"/>
      <c r="X687" s="976"/>
      <c r="Y687" s="983"/>
      <c r="Z687" s="983"/>
      <c r="AC687" s="778"/>
    </row>
    <row r="688" spans="2:29" s="566" customFormat="1">
      <c r="B688" s="1045"/>
      <c r="C688" s="1081" t="s">
        <v>5041</v>
      </c>
      <c r="D688" s="946"/>
      <c r="E688" s="946"/>
      <c r="F688" s="946"/>
      <c r="G688" s="946"/>
      <c r="H688" s="946"/>
      <c r="I688" s="946"/>
      <c r="J688" s="975"/>
      <c r="K688" s="975"/>
      <c r="L688" s="975"/>
      <c r="M688" s="1082">
        <v>0</v>
      </c>
      <c r="N688" s="1082"/>
      <c r="O688" s="1082"/>
      <c r="P688" s="1082"/>
      <c r="Q688" s="1082"/>
      <c r="R688" s="1082"/>
      <c r="S688" s="1082">
        <v>0</v>
      </c>
      <c r="T688" s="1082"/>
      <c r="U688" s="1082">
        <v>16000000000</v>
      </c>
      <c r="V688" s="976"/>
      <c r="W688" s="976"/>
      <c r="X688" s="976"/>
      <c r="Y688" s="983"/>
      <c r="Z688" s="983"/>
      <c r="AC688" s="778"/>
    </row>
    <row r="689" spans="2:29" s="566" customFormat="1" ht="30">
      <c r="B689" s="1045"/>
      <c r="C689" s="1081" t="s">
        <v>5042</v>
      </c>
      <c r="D689" s="946"/>
      <c r="E689" s="946"/>
      <c r="F689" s="946"/>
      <c r="G689" s="946"/>
      <c r="H689" s="946"/>
      <c r="I689" s="946"/>
      <c r="J689" s="975"/>
      <c r="K689" s="975"/>
      <c r="L689" s="975"/>
      <c r="M689" s="1082">
        <v>4000000000</v>
      </c>
      <c r="N689" s="1082"/>
      <c r="O689" s="1082">
        <v>4000000000</v>
      </c>
      <c r="P689" s="1082"/>
      <c r="Q689" s="1082">
        <v>4000000000</v>
      </c>
      <c r="R689" s="1082"/>
      <c r="S689" s="1082">
        <v>4000000000</v>
      </c>
      <c r="T689" s="1082"/>
      <c r="U689" s="1082">
        <v>4000000000</v>
      </c>
      <c r="V689" s="976"/>
      <c r="W689" s="976"/>
      <c r="X689" s="976"/>
      <c r="Y689" s="983"/>
      <c r="Z689" s="983"/>
      <c r="AC689" s="778"/>
    </row>
    <row r="690" spans="2:29" s="566" customFormat="1" ht="30">
      <c r="B690" s="1045"/>
      <c r="C690" s="1081" t="s">
        <v>5043</v>
      </c>
      <c r="D690" s="946"/>
      <c r="E690" s="946"/>
      <c r="F690" s="946"/>
      <c r="G690" s="946"/>
      <c r="H690" s="946"/>
      <c r="I690" s="946"/>
      <c r="J690" s="975"/>
      <c r="K690" s="975"/>
      <c r="L690" s="975"/>
      <c r="M690" s="1082">
        <v>76500000000</v>
      </c>
      <c r="N690" s="1082"/>
      <c r="O690" s="1082">
        <v>13500000000</v>
      </c>
      <c r="P690" s="1082"/>
      <c r="Q690" s="1082">
        <v>0</v>
      </c>
      <c r="R690" s="1082"/>
      <c r="S690" s="1082">
        <v>0</v>
      </c>
      <c r="T690" s="1082"/>
      <c r="U690" s="1082">
        <v>0</v>
      </c>
      <c r="V690" s="976"/>
      <c r="W690" s="976"/>
      <c r="X690" s="976"/>
      <c r="Y690" s="983"/>
      <c r="Z690" s="983"/>
      <c r="AC690" s="778"/>
    </row>
    <row r="691" spans="2:29" s="566" customFormat="1" ht="30">
      <c r="B691" s="1045"/>
      <c r="C691" s="1081" t="s">
        <v>5044</v>
      </c>
      <c r="D691" s="946"/>
      <c r="E691" s="946"/>
      <c r="F691" s="946"/>
      <c r="G691" s="946"/>
      <c r="H691" s="946"/>
      <c r="I691" s="946"/>
      <c r="J691" s="975"/>
      <c r="K691" s="975"/>
      <c r="L691" s="975"/>
      <c r="M691" s="976"/>
      <c r="N691" s="976"/>
      <c r="O691" s="976"/>
      <c r="P691" s="976"/>
      <c r="Q691" s="976"/>
      <c r="R691" s="976"/>
      <c r="S691" s="976"/>
      <c r="T691" s="976"/>
      <c r="U691" s="976"/>
      <c r="V691" s="976"/>
      <c r="W691" s="976"/>
      <c r="X691" s="976"/>
      <c r="Y691" s="983"/>
      <c r="Z691" s="983"/>
      <c r="AC691" s="778"/>
    </row>
    <row r="692" spans="2:29" s="566" customFormat="1" ht="30">
      <c r="B692" s="1045"/>
      <c r="C692" s="1079" t="s">
        <v>5045</v>
      </c>
      <c r="D692" s="946"/>
      <c r="E692" s="946"/>
      <c r="F692" s="946"/>
      <c r="G692" s="946"/>
      <c r="H692" s="946"/>
      <c r="I692" s="946"/>
      <c r="J692" s="975"/>
      <c r="K692" s="975"/>
      <c r="L692" s="975"/>
      <c r="M692" s="976">
        <f>SUM(M694:M697)</f>
        <v>8500000000</v>
      </c>
      <c r="N692" s="976">
        <f t="shared" ref="N692:U692" si="11">SUM(N694:N697)</f>
        <v>0</v>
      </c>
      <c r="O692" s="976">
        <f t="shared" si="11"/>
        <v>27000000000</v>
      </c>
      <c r="P692" s="976">
        <f t="shared" si="11"/>
        <v>0</v>
      </c>
      <c r="Q692" s="976">
        <f t="shared" si="11"/>
        <v>33000000000</v>
      </c>
      <c r="R692" s="976">
        <f t="shared" si="11"/>
        <v>0</v>
      </c>
      <c r="S692" s="976">
        <f t="shared" si="11"/>
        <v>33000000000</v>
      </c>
      <c r="T692" s="976">
        <f t="shared" si="11"/>
        <v>0</v>
      </c>
      <c r="U692" s="976">
        <f t="shared" si="11"/>
        <v>33000000000</v>
      </c>
      <c r="V692" s="976"/>
      <c r="W692" s="976">
        <f>SUM(M692:U692)</f>
        <v>134500000000</v>
      </c>
      <c r="X692" s="976"/>
      <c r="Y692" s="983"/>
      <c r="Z692" s="983"/>
      <c r="AC692" s="778"/>
    </row>
    <row r="693" spans="2:29" s="566" customFormat="1" ht="30">
      <c r="B693" s="1045"/>
      <c r="C693" s="1081" t="s">
        <v>5046</v>
      </c>
      <c r="D693" s="946"/>
      <c r="E693" s="946"/>
      <c r="F693" s="946"/>
      <c r="G693" s="946"/>
      <c r="H693" s="946"/>
      <c r="I693" s="946"/>
      <c r="J693" s="975"/>
      <c r="K693" s="975"/>
      <c r="L693" s="975"/>
      <c r="M693" s="1082"/>
      <c r="N693" s="1082"/>
      <c r="O693" s="1082"/>
      <c r="P693" s="1082"/>
      <c r="Q693" s="1082">
        <v>7500000000</v>
      </c>
      <c r="R693" s="1082"/>
      <c r="S693" s="1082">
        <v>7500000000</v>
      </c>
      <c r="T693" s="1082"/>
      <c r="U693" s="1082">
        <v>0</v>
      </c>
      <c r="V693" s="976"/>
      <c r="W693" s="976"/>
      <c r="X693" s="976"/>
      <c r="Y693" s="983"/>
      <c r="Z693" s="983"/>
      <c r="AC693" s="778"/>
    </row>
    <row r="694" spans="2:29" s="566" customFormat="1" ht="45">
      <c r="B694" s="1045"/>
      <c r="C694" s="1081" t="s">
        <v>5047</v>
      </c>
      <c r="D694" s="946"/>
      <c r="E694" s="946"/>
      <c r="F694" s="946"/>
      <c r="G694" s="946"/>
      <c r="H694" s="946"/>
      <c r="I694" s="946"/>
      <c r="J694" s="975"/>
      <c r="K694" s="975"/>
      <c r="L694" s="975"/>
      <c r="M694" s="1082">
        <v>4500000000</v>
      </c>
      <c r="N694" s="1082"/>
      <c r="O694" s="1082">
        <v>5000000000</v>
      </c>
      <c r="P694" s="1082"/>
      <c r="Q694" s="1082">
        <v>5000000000</v>
      </c>
      <c r="R694" s="1082"/>
      <c r="S694" s="1082">
        <v>5000000000</v>
      </c>
      <c r="T694" s="1082"/>
      <c r="U694" s="1082">
        <v>5000000000</v>
      </c>
      <c r="V694" s="976"/>
      <c r="W694" s="976"/>
      <c r="X694" s="976"/>
      <c r="Y694" s="983"/>
      <c r="Z694" s="983"/>
      <c r="AC694" s="778"/>
    </row>
    <row r="695" spans="2:29" s="566" customFormat="1" ht="30">
      <c r="B695" s="1045"/>
      <c r="C695" s="1081" t="s">
        <v>5048</v>
      </c>
      <c r="D695" s="946"/>
      <c r="E695" s="946"/>
      <c r="F695" s="946"/>
      <c r="G695" s="946"/>
      <c r="H695" s="946"/>
      <c r="I695" s="946"/>
      <c r="J695" s="975"/>
      <c r="K695" s="975"/>
      <c r="L695" s="975"/>
      <c r="M695" s="1082"/>
      <c r="N695" s="1082"/>
      <c r="O695" s="1082">
        <v>18000000000</v>
      </c>
      <c r="P695" s="1082"/>
      <c r="Q695" s="1082">
        <v>24000000000</v>
      </c>
      <c r="R695" s="1082"/>
      <c r="S695" s="1082">
        <v>24000000000</v>
      </c>
      <c r="T695" s="1082"/>
      <c r="U695" s="1082">
        <v>24000000000</v>
      </c>
      <c r="V695" s="976"/>
      <c r="W695" s="976"/>
      <c r="X695" s="976"/>
      <c r="Y695" s="983"/>
      <c r="Z695" s="983"/>
      <c r="AC695" s="778"/>
    </row>
    <row r="696" spans="2:29" s="566" customFormat="1" ht="30">
      <c r="B696" s="1045"/>
      <c r="C696" s="1081" t="s">
        <v>5049</v>
      </c>
      <c r="D696" s="946"/>
      <c r="E696" s="946"/>
      <c r="F696" s="946"/>
      <c r="G696" s="946"/>
      <c r="H696" s="946"/>
      <c r="I696" s="946"/>
      <c r="J696" s="975"/>
      <c r="K696" s="975"/>
      <c r="L696" s="975"/>
      <c r="M696" s="1082"/>
      <c r="N696" s="1082"/>
      <c r="O696" s="1082"/>
      <c r="P696" s="1082"/>
      <c r="Q696" s="1082"/>
      <c r="R696" s="1082"/>
      <c r="S696" s="1082"/>
      <c r="T696" s="1082"/>
      <c r="U696" s="1082"/>
      <c r="V696" s="976"/>
      <c r="W696" s="976"/>
      <c r="X696" s="976"/>
      <c r="Y696" s="983"/>
      <c r="Z696" s="983"/>
      <c r="AC696" s="778"/>
    </row>
    <row r="697" spans="2:29" s="566" customFormat="1" ht="30">
      <c r="B697" s="1045"/>
      <c r="C697" s="1081" t="s">
        <v>5050</v>
      </c>
      <c r="D697" s="946"/>
      <c r="E697" s="946"/>
      <c r="F697" s="946"/>
      <c r="G697" s="946"/>
      <c r="H697" s="946"/>
      <c r="I697" s="946"/>
      <c r="J697" s="975"/>
      <c r="K697" s="975"/>
      <c r="L697" s="975"/>
      <c r="M697" s="1082">
        <v>4000000000</v>
      </c>
      <c r="N697" s="1082"/>
      <c r="O697" s="1082">
        <v>4000000000</v>
      </c>
      <c r="P697" s="1082"/>
      <c r="Q697" s="1082">
        <v>4000000000</v>
      </c>
      <c r="R697" s="1082"/>
      <c r="S697" s="1082">
        <v>4000000000</v>
      </c>
      <c r="T697" s="1082"/>
      <c r="U697" s="1082">
        <v>4000000000</v>
      </c>
      <c r="V697" s="976"/>
      <c r="W697" s="976"/>
      <c r="X697" s="976"/>
      <c r="Y697" s="983"/>
      <c r="Z697" s="983"/>
      <c r="AC697" s="778"/>
    </row>
    <row r="698" spans="2:29" s="560" customFormat="1" ht="15" customHeight="1">
      <c r="B698" s="1249" t="s">
        <v>5038</v>
      </c>
      <c r="C698" s="1251"/>
      <c r="D698" s="1250"/>
      <c r="E698" s="1066"/>
      <c r="F698" s="1066"/>
      <c r="G698" s="1066"/>
      <c r="H698" s="1066"/>
      <c r="I698" s="1066"/>
      <c r="J698" s="1067"/>
      <c r="K698" s="1067"/>
      <c r="L698" s="1067"/>
      <c r="M698" s="1075">
        <v>0</v>
      </c>
      <c r="N698" s="1075"/>
      <c r="O698" s="1075">
        <v>0</v>
      </c>
      <c r="P698" s="1075"/>
      <c r="Q698" s="1075">
        <v>0</v>
      </c>
      <c r="R698" s="1075"/>
      <c r="S698" s="1075">
        <v>0</v>
      </c>
      <c r="T698" s="1075"/>
      <c r="U698" s="1075">
        <v>0</v>
      </c>
      <c r="V698" s="1075"/>
      <c r="W698" s="1075">
        <v>0</v>
      </c>
      <c r="X698" s="1068"/>
      <c r="Y698" s="559"/>
      <c r="Z698" s="559"/>
      <c r="AC698" s="1069"/>
    </row>
  </sheetData>
  <mergeCells count="25">
    <mergeCell ref="X3:X5"/>
    <mergeCell ref="Y3:Y5"/>
    <mergeCell ref="Z3:Z5"/>
    <mergeCell ref="J4:J5"/>
    <mergeCell ref="K4:K5"/>
    <mergeCell ref="L4:M4"/>
    <mergeCell ref="N4:O4"/>
    <mergeCell ref="P4:Q4"/>
    <mergeCell ref="J3:K3"/>
    <mergeCell ref="R4:S4"/>
    <mergeCell ref="T4:U4"/>
    <mergeCell ref="V4:W4"/>
    <mergeCell ref="V3:W3"/>
    <mergeCell ref="D3:G5"/>
    <mergeCell ref="B18:C18"/>
    <mergeCell ref="L3:U3"/>
    <mergeCell ref="B3:C5"/>
    <mergeCell ref="H3:H5"/>
    <mergeCell ref="I3:I5"/>
    <mergeCell ref="B17:C17"/>
    <mergeCell ref="B684:C684"/>
    <mergeCell ref="B685:C685"/>
    <mergeCell ref="B698:D698"/>
    <mergeCell ref="B6:C6"/>
    <mergeCell ref="D6:G6"/>
  </mergeCells>
  <pageMargins left="0.7" right="0.7" top="0.75" bottom="0.75" header="0.3" footer="0.3"/>
  <pageSetup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sheetPr>
    <tabColor rgb="FFFFFF00"/>
  </sheetPr>
  <dimension ref="B3:AM690"/>
  <sheetViews>
    <sheetView showGridLines="0" zoomScale="90" zoomScaleNormal="90" workbookViewId="0"/>
  </sheetViews>
  <sheetFormatPr defaultRowHeight="15"/>
  <cols>
    <col min="1" max="1" width="4.7109375" style="569" customWidth="1"/>
    <col min="2" max="2" width="5.7109375" style="267" customWidth="1"/>
    <col min="3" max="3" width="25.85546875" style="561" customWidth="1"/>
    <col min="4" max="6" width="4.7109375" style="565" hidden="1" customWidth="1"/>
    <col min="7" max="7" width="23" style="267" hidden="1" customWidth="1"/>
    <col min="8" max="8" width="30.7109375" style="267" customWidth="1"/>
    <col min="9" max="9" width="12.5703125" style="267" customWidth="1"/>
    <col min="10" max="12" width="10.7109375" style="958" customWidth="1"/>
    <col min="13" max="13" width="20.7109375" style="959" hidden="1" customWidth="1"/>
    <col min="14" max="14" width="10.7109375" style="958" customWidth="1"/>
    <col min="15" max="15" width="20.7109375" style="958" hidden="1" customWidth="1"/>
    <col min="16" max="16" width="10.7109375" style="958" customWidth="1"/>
    <col min="17" max="17" width="20.7109375" style="958" hidden="1" customWidth="1"/>
    <col min="18" max="18" width="10.7109375" style="958" customWidth="1"/>
    <col min="19" max="19" width="20.7109375" style="958" hidden="1" customWidth="1"/>
    <col min="20" max="20" width="10.7109375" style="958" customWidth="1"/>
    <col min="21" max="21" width="20.7109375" style="958" hidden="1" customWidth="1"/>
    <col min="22" max="22" width="10.7109375" style="958" customWidth="1"/>
    <col min="23" max="23" width="20.7109375" style="958" hidden="1" customWidth="1"/>
    <col min="24" max="24" width="20.7109375" style="958" customWidth="1"/>
    <col min="25" max="26" width="20.7109375" style="582" customWidth="1"/>
    <col min="27" max="28" width="9.140625" style="569"/>
    <col min="29" max="29" width="21.85546875" style="569" customWidth="1"/>
    <col min="30" max="30" width="9.140625" style="569"/>
    <col min="31" max="31" width="17.42578125" style="569" bestFit="1" customWidth="1"/>
    <col min="32" max="32" width="17.42578125" style="569" customWidth="1"/>
    <col min="33" max="33" width="17.42578125" style="569" bestFit="1" customWidth="1"/>
    <col min="34" max="34" width="17.42578125" style="569" customWidth="1"/>
    <col min="35" max="35" width="17.42578125" style="569" bestFit="1" customWidth="1"/>
    <col min="36" max="36" width="17.42578125" style="569" customWidth="1"/>
    <col min="37" max="37" width="17.42578125" style="569" bestFit="1" customWidth="1"/>
    <col min="38" max="38" width="17.42578125" style="569" customWidth="1"/>
    <col min="39" max="39" width="17.42578125" style="569" bestFit="1" customWidth="1"/>
    <col min="40" max="16384" width="9.140625" style="569"/>
  </cols>
  <sheetData>
    <row r="3" spans="2:29" s="634" customFormat="1" ht="45" customHeight="1">
      <c r="B3" s="1253" t="s">
        <v>6</v>
      </c>
      <c r="C3" s="1253"/>
      <c r="D3" s="1253" t="s">
        <v>54</v>
      </c>
      <c r="E3" s="1253"/>
      <c r="F3" s="1253"/>
      <c r="G3" s="1253"/>
      <c r="H3" s="1253" t="s">
        <v>4634</v>
      </c>
      <c r="I3" s="1253" t="s">
        <v>132</v>
      </c>
      <c r="J3" s="1266" t="s">
        <v>133</v>
      </c>
      <c r="K3" s="1266"/>
      <c r="L3" s="1266" t="s">
        <v>4635</v>
      </c>
      <c r="M3" s="1266"/>
      <c r="N3" s="1266"/>
      <c r="O3" s="1266"/>
      <c r="P3" s="1266"/>
      <c r="Q3" s="1266"/>
      <c r="R3" s="1266"/>
      <c r="S3" s="1266"/>
      <c r="T3" s="1266"/>
      <c r="U3" s="960"/>
      <c r="V3" s="1266" t="s">
        <v>136</v>
      </c>
      <c r="W3" s="1266"/>
      <c r="X3" s="1266" t="str">
        <f>'[1]matrik 4_ok'!AE5</f>
        <v>SKPD</v>
      </c>
      <c r="Y3" s="1253" t="s">
        <v>137</v>
      </c>
      <c r="Z3" s="1253" t="s">
        <v>138</v>
      </c>
      <c r="AA3" s="645"/>
      <c r="AB3" s="645"/>
      <c r="AC3" s="645"/>
    </row>
    <row r="4" spans="2:29" s="634" customFormat="1">
      <c r="B4" s="1253"/>
      <c r="C4" s="1253"/>
      <c r="D4" s="1253"/>
      <c r="E4" s="1253"/>
      <c r="F4" s="1253"/>
      <c r="G4" s="1253"/>
      <c r="H4" s="1259"/>
      <c r="I4" s="1253"/>
      <c r="J4" s="1266">
        <v>2012</v>
      </c>
      <c r="K4" s="1266">
        <v>2013</v>
      </c>
      <c r="L4" s="1019">
        <v>2014</v>
      </c>
      <c r="M4" s="1020"/>
      <c r="N4" s="1019">
        <v>2015</v>
      </c>
      <c r="O4" s="1020"/>
      <c r="P4" s="1019">
        <v>2016</v>
      </c>
      <c r="Q4" s="1020"/>
      <c r="R4" s="1019">
        <v>2017</v>
      </c>
      <c r="S4" s="1020"/>
      <c r="T4" s="1019">
        <v>2018</v>
      </c>
      <c r="U4" s="1020"/>
      <c r="V4" s="1019">
        <f>T4</f>
        <v>2018</v>
      </c>
      <c r="W4" s="1020"/>
      <c r="X4" s="1266"/>
      <c r="Y4" s="1253"/>
      <c r="Z4" s="1253"/>
      <c r="AA4" s="645"/>
      <c r="AB4" s="645"/>
      <c r="AC4" s="645"/>
    </row>
    <row r="5" spans="2:29" s="634" customFormat="1">
      <c r="B5" s="1253"/>
      <c r="C5" s="1253"/>
      <c r="D5" s="1253"/>
      <c r="E5" s="1253"/>
      <c r="F5" s="1253"/>
      <c r="G5" s="1253"/>
      <c r="H5" s="1259"/>
      <c r="I5" s="1253"/>
      <c r="J5" s="1266"/>
      <c r="K5" s="1266"/>
      <c r="L5" s="960" t="s">
        <v>1799</v>
      </c>
      <c r="M5" s="973" t="s">
        <v>1802</v>
      </c>
      <c r="N5" s="960" t="s">
        <v>1799</v>
      </c>
      <c r="O5" s="960" t="s">
        <v>1802</v>
      </c>
      <c r="P5" s="960" t="s">
        <v>1799</v>
      </c>
      <c r="Q5" s="960" t="s">
        <v>1802</v>
      </c>
      <c r="R5" s="960" t="s">
        <v>1799</v>
      </c>
      <c r="S5" s="960" t="s">
        <v>1802</v>
      </c>
      <c r="T5" s="960" t="s">
        <v>1799</v>
      </c>
      <c r="U5" s="960" t="s">
        <v>1802</v>
      </c>
      <c r="V5" s="960" t="s">
        <v>1799</v>
      </c>
      <c r="W5" s="960" t="s">
        <v>1802</v>
      </c>
      <c r="X5" s="1266"/>
      <c r="Y5" s="1253"/>
      <c r="Z5" s="1253"/>
      <c r="AA5" s="645"/>
      <c r="AB5" s="645"/>
      <c r="AC5" s="645"/>
    </row>
    <row r="6" spans="2:29" s="635" customFormat="1">
      <c r="B6" s="1252">
        <v>1</v>
      </c>
      <c r="C6" s="1252"/>
      <c r="D6" s="1252">
        <v>2</v>
      </c>
      <c r="E6" s="1252"/>
      <c r="F6" s="1252"/>
      <c r="G6" s="1252"/>
      <c r="H6" s="974">
        <v>3</v>
      </c>
      <c r="I6" s="974">
        <v>4</v>
      </c>
      <c r="J6" s="975">
        <v>5</v>
      </c>
      <c r="K6" s="975">
        <v>6</v>
      </c>
      <c r="L6" s="975">
        <v>7</v>
      </c>
      <c r="M6" s="976">
        <v>8</v>
      </c>
      <c r="N6" s="975">
        <v>9</v>
      </c>
      <c r="O6" s="975">
        <v>10</v>
      </c>
      <c r="P6" s="975">
        <v>11</v>
      </c>
      <c r="Q6" s="975">
        <v>12</v>
      </c>
      <c r="R6" s="975">
        <v>13</v>
      </c>
      <c r="S6" s="975">
        <v>14</v>
      </c>
      <c r="T6" s="975">
        <v>15</v>
      </c>
      <c r="U6" s="975">
        <v>16</v>
      </c>
      <c r="V6" s="975">
        <v>17</v>
      </c>
      <c r="W6" s="975">
        <v>18</v>
      </c>
      <c r="X6" s="975">
        <v>19</v>
      </c>
      <c r="Y6" s="974"/>
      <c r="Z6" s="974"/>
      <c r="AA6" s="646"/>
      <c r="AB6" s="646"/>
      <c r="AC6" s="646"/>
    </row>
    <row r="7" spans="2:29" s="636" customFormat="1" ht="15.75" hidden="1">
      <c r="B7" s="943"/>
      <c r="C7" s="943"/>
      <c r="D7" s="944"/>
      <c r="E7" s="944"/>
      <c r="F7" s="944"/>
      <c r="G7" s="944"/>
      <c r="H7" s="944"/>
      <c r="I7" s="944"/>
      <c r="J7" s="978"/>
      <c r="K7" s="978"/>
      <c r="L7" s="978" t="s">
        <v>4660</v>
      </c>
      <c r="M7" s="979">
        <v>537633992530</v>
      </c>
      <c r="N7" s="980"/>
      <c r="O7" s="979">
        <v>503510419757</v>
      </c>
      <c r="P7" s="980"/>
      <c r="Q7" s="979">
        <v>503354573041</v>
      </c>
      <c r="R7" s="978"/>
      <c r="S7" s="979">
        <v>522847942474</v>
      </c>
      <c r="T7" s="978"/>
      <c r="U7" s="979">
        <v>575555798537</v>
      </c>
      <c r="V7" s="978"/>
      <c r="W7" s="981">
        <f t="shared" ref="W7" si="0">SUM(M7:U7)</f>
        <v>2642902726339</v>
      </c>
      <c r="X7" s="978"/>
      <c r="Y7" s="982"/>
      <c r="Z7" s="982"/>
    </row>
    <row r="8" spans="2:29" s="636" customFormat="1" ht="15.75" hidden="1">
      <c r="B8" s="943"/>
      <c r="C8" s="943"/>
      <c r="D8" s="944"/>
      <c r="E8" s="944"/>
      <c r="F8" s="944"/>
      <c r="G8" s="944"/>
      <c r="H8" s="944"/>
      <c r="I8" s="944"/>
      <c r="J8" s="978"/>
      <c r="K8" s="978"/>
      <c r="L8" s="975" t="s">
        <v>4658</v>
      </c>
      <c r="M8" s="976">
        <f>M12</f>
        <v>121238639000</v>
      </c>
      <c r="N8" s="980"/>
      <c r="O8" s="976">
        <f>O12</f>
        <v>131488639000</v>
      </c>
      <c r="P8" s="980"/>
      <c r="Q8" s="976">
        <f>Q12</f>
        <v>131488639000</v>
      </c>
      <c r="R8" s="978"/>
      <c r="S8" s="976">
        <f>S12</f>
        <v>135738639000</v>
      </c>
      <c r="T8" s="978"/>
      <c r="U8" s="976">
        <f>U12</f>
        <v>158238639000</v>
      </c>
      <c r="V8" s="978"/>
      <c r="W8" s="961">
        <f>SUM(M8:U8)</f>
        <v>678193195000</v>
      </c>
      <c r="X8" s="978"/>
      <c r="Y8" s="982"/>
      <c r="Z8" s="982"/>
    </row>
    <row r="9" spans="2:29" s="566" customFormat="1" ht="30" hidden="1">
      <c r="B9" s="945"/>
      <c r="C9" s="945"/>
      <c r="D9" s="946"/>
      <c r="E9" s="946"/>
      <c r="F9" s="946"/>
      <c r="G9" s="946"/>
      <c r="H9" s="946"/>
      <c r="I9" s="946"/>
      <c r="J9" s="975"/>
      <c r="K9" s="975"/>
      <c r="L9" s="975" t="s">
        <v>4659</v>
      </c>
      <c r="M9" s="976">
        <f>SUM(M96:M659)</f>
        <v>415594591530</v>
      </c>
      <c r="N9" s="976"/>
      <c r="O9" s="976">
        <f>SUM(O96:O659)</f>
        <v>371332336757.25</v>
      </c>
      <c r="P9" s="976"/>
      <c r="Q9" s="976">
        <f>SUM(Q96:Q659)</f>
        <v>371128887041.12</v>
      </c>
      <c r="R9" s="976"/>
      <c r="S9" s="976">
        <f>SUM(S96:S659)</f>
        <v>386038051974.32001</v>
      </c>
      <c r="T9" s="976"/>
      <c r="U9" s="976">
        <f>SUM(U96:U659)</f>
        <v>416374283386.83002</v>
      </c>
      <c r="V9" s="975"/>
      <c r="W9" s="961">
        <f>SUM(M9:U9)</f>
        <v>1960468150689.5203</v>
      </c>
      <c r="X9" s="975"/>
      <c r="Y9" s="983"/>
      <c r="Z9" s="983"/>
    </row>
    <row r="10" spans="2:29" s="566" customFormat="1" ht="30" hidden="1">
      <c r="B10" s="945"/>
      <c r="C10" s="945" t="s">
        <v>4901</v>
      </c>
      <c r="D10" s="946"/>
      <c r="E10" s="946"/>
      <c r="F10" s="946"/>
      <c r="G10" s="946"/>
      <c r="H10" s="946"/>
      <c r="I10" s="946"/>
      <c r="J10" s="975"/>
      <c r="K10" s="975"/>
      <c r="L10" s="975" t="s">
        <v>4664</v>
      </c>
      <c r="M10" s="976">
        <f>SUM(M8:M9)</f>
        <v>536833230530</v>
      </c>
      <c r="N10" s="976"/>
      <c r="O10" s="976">
        <f>SUM(O8:O9)</f>
        <v>502820975757.25</v>
      </c>
      <c r="P10" s="976"/>
      <c r="Q10" s="976">
        <f>SUM(Q8:Q9)</f>
        <v>502617526041.12</v>
      </c>
      <c r="R10" s="976"/>
      <c r="S10" s="976">
        <f>SUM(S8:S9)</f>
        <v>521776690974.32001</v>
      </c>
      <c r="T10" s="976"/>
      <c r="U10" s="976">
        <f>SUM(U8:U9)</f>
        <v>574612922386.83008</v>
      </c>
      <c r="V10" s="975"/>
      <c r="W10" s="976">
        <f>SUM(W8:W9)</f>
        <v>2638661345689.5205</v>
      </c>
      <c r="X10" s="975"/>
      <c r="Y10" s="983"/>
      <c r="Z10" s="983"/>
    </row>
    <row r="11" spans="2:29" s="726" customFormat="1" ht="15.75" hidden="1">
      <c r="B11" s="984"/>
      <c r="C11" s="984"/>
      <c r="D11" s="985"/>
      <c r="E11" s="985"/>
      <c r="F11" s="985"/>
      <c r="G11" s="985"/>
      <c r="H11" s="985"/>
      <c r="I11" s="985"/>
      <c r="J11" s="986"/>
      <c r="K11" s="986"/>
      <c r="L11" s="986" t="s">
        <v>4638</v>
      </c>
      <c r="M11" s="987">
        <f>M7-M10</f>
        <v>800762000</v>
      </c>
      <c r="N11" s="988"/>
      <c r="O11" s="987">
        <f>O7-O10</f>
        <v>689443999.75</v>
      </c>
      <c r="P11" s="988"/>
      <c r="Q11" s="987">
        <f>Q7-Q10</f>
        <v>737046999.88000488</v>
      </c>
      <c r="R11" s="988"/>
      <c r="S11" s="987">
        <f>S7-S10</f>
        <v>1071251499.6799927</v>
      </c>
      <c r="T11" s="988"/>
      <c r="U11" s="987">
        <f>U7-U10</f>
        <v>942876150.16992187</v>
      </c>
      <c r="V11" s="986"/>
      <c r="W11" s="987"/>
      <c r="X11" s="986"/>
      <c r="Y11" s="989"/>
      <c r="Z11" s="989"/>
      <c r="AC11" s="777">
        <f>U11+S11+O11</f>
        <v>2703571649.5999146</v>
      </c>
    </row>
    <row r="12" spans="2:29" s="566" customFormat="1" hidden="1">
      <c r="B12" s="945"/>
      <c r="C12" s="945" t="s">
        <v>4902</v>
      </c>
      <c r="D12" s="946"/>
      <c r="E12" s="946"/>
      <c r="F12" s="946"/>
      <c r="G12" s="946"/>
      <c r="H12" s="946"/>
      <c r="I12" s="946"/>
      <c r="J12" s="975"/>
      <c r="K12" s="975"/>
      <c r="L12" s="975"/>
      <c r="M12" s="976">
        <v>121238639000</v>
      </c>
      <c r="N12" s="975"/>
      <c r="O12" s="976">
        <v>131488639000</v>
      </c>
      <c r="P12" s="975"/>
      <c r="Q12" s="976">
        <v>131488639000</v>
      </c>
      <c r="R12" s="975"/>
      <c r="S12" s="976">
        <v>135738639000</v>
      </c>
      <c r="T12" s="975"/>
      <c r="U12" s="976">
        <v>158238639000</v>
      </c>
      <c r="V12" s="975"/>
      <c r="W12" s="976"/>
      <c r="X12" s="975"/>
      <c r="Y12" s="983"/>
      <c r="Z12" s="983"/>
    </row>
    <row r="13" spans="2:29" s="566" customFormat="1" hidden="1">
      <c r="B13" s="945"/>
      <c r="C13" s="945"/>
      <c r="D13" s="946"/>
      <c r="E13" s="946"/>
      <c r="F13" s="946"/>
      <c r="G13" s="946"/>
      <c r="H13" s="946"/>
      <c r="I13" s="946"/>
      <c r="J13" s="975"/>
      <c r="K13" s="975"/>
      <c r="L13" s="975"/>
      <c r="M13" s="976">
        <f>M18+M36+M46+M50</f>
        <v>121238639000</v>
      </c>
      <c r="N13" s="975"/>
      <c r="O13" s="976">
        <f>O18+O36+O46+O50</f>
        <v>131488639000</v>
      </c>
      <c r="P13" s="975"/>
      <c r="Q13" s="976">
        <f>Q18+Q36+Q46+Q50</f>
        <v>132237889000</v>
      </c>
      <c r="R13" s="975"/>
      <c r="S13" s="976">
        <f>S18+S36+S46+S50</f>
        <v>135738639000</v>
      </c>
      <c r="T13" s="975"/>
      <c r="U13" s="976">
        <f>U18+U36+U46+U50</f>
        <v>158238639000</v>
      </c>
      <c r="V13" s="975"/>
      <c r="W13" s="975"/>
      <c r="X13" s="975"/>
      <c r="Y13" s="983"/>
      <c r="Z13" s="983"/>
      <c r="AC13" s="778">
        <f>Q11</f>
        <v>737046999.88000488</v>
      </c>
    </row>
    <row r="14" spans="2:29" s="566" customFormat="1" hidden="1">
      <c r="B14" s="945"/>
      <c r="C14" s="945"/>
      <c r="D14" s="946"/>
      <c r="E14" s="946"/>
      <c r="F14" s="946"/>
      <c r="G14" s="946"/>
      <c r="H14" s="946"/>
      <c r="I14" s="946"/>
      <c r="J14" s="975"/>
      <c r="K14" s="975"/>
      <c r="L14" s="975"/>
      <c r="M14" s="976"/>
      <c r="N14" s="975"/>
      <c r="O14" s="976"/>
      <c r="P14" s="975"/>
      <c r="Q14" s="976"/>
      <c r="R14" s="975"/>
      <c r="S14" s="976"/>
      <c r="T14" s="975"/>
      <c r="U14" s="976"/>
      <c r="V14" s="975"/>
      <c r="W14" s="975"/>
      <c r="X14" s="975"/>
      <c r="Y14" s="983"/>
      <c r="Z14" s="983"/>
      <c r="AC14" s="778"/>
    </row>
    <row r="15" spans="2:29" s="872" customFormat="1" hidden="1">
      <c r="B15" s="990"/>
      <c r="C15" s="990" t="s">
        <v>4899</v>
      </c>
      <c r="D15" s="991"/>
      <c r="E15" s="991"/>
      <c r="F15" s="991"/>
      <c r="G15" s="991"/>
      <c r="H15" s="991"/>
      <c r="I15" s="991"/>
      <c r="J15" s="992"/>
      <c r="K15" s="992"/>
      <c r="L15" s="992"/>
      <c r="M15" s="993">
        <f>L4</f>
        <v>2014</v>
      </c>
      <c r="N15" s="993"/>
      <c r="O15" s="993">
        <v>2015</v>
      </c>
      <c r="P15" s="993"/>
      <c r="Q15" s="993">
        <v>2016</v>
      </c>
      <c r="R15" s="993"/>
      <c r="S15" s="993">
        <v>2017</v>
      </c>
      <c r="T15" s="993"/>
      <c r="U15" s="993">
        <v>2018</v>
      </c>
      <c r="V15" s="993"/>
      <c r="W15" s="993" t="s">
        <v>4900</v>
      </c>
      <c r="X15" s="992"/>
      <c r="Y15" s="994"/>
      <c r="Z15" s="994"/>
      <c r="AC15" s="877"/>
    </row>
    <row r="16" spans="2:29" s="872" customFormat="1" hidden="1">
      <c r="B16" s="1264" t="s">
        <v>5017</v>
      </c>
      <c r="C16" s="1265"/>
      <c r="D16" s="991"/>
      <c r="E16" s="991"/>
      <c r="F16" s="991"/>
      <c r="G16" s="991"/>
      <c r="H16" s="991"/>
      <c r="I16" s="991"/>
      <c r="J16" s="992"/>
      <c r="K16" s="992"/>
      <c r="L16" s="992"/>
      <c r="M16" s="995">
        <f>M7</f>
        <v>537633992530</v>
      </c>
      <c r="N16" s="995">
        <f t="shared" ref="N16:X16" si="1">N7</f>
        <v>0</v>
      </c>
      <c r="O16" s="995">
        <f t="shared" si="1"/>
        <v>503510419757</v>
      </c>
      <c r="P16" s="995">
        <f t="shared" si="1"/>
        <v>0</v>
      </c>
      <c r="Q16" s="995">
        <f t="shared" si="1"/>
        <v>503354573041</v>
      </c>
      <c r="R16" s="995">
        <f t="shared" si="1"/>
        <v>0</v>
      </c>
      <c r="S16" s="995">
        <f t="shared" si="1"/>
        <v>522847942474</v>
      </c>
      <c r="T16" s="995">
        <f t="shared" si="1"/>
        <v>0</v>
      </c>
      <c r="U16" s="995">
        <f t="shared" si="1"/>
        <v>575555798537</v>
      </c>
      <c r="V16" s="995">
        <f t="shared" si="1"/>
        <v>0</v>
      </c>
      <c r="W16" s="995">
        <f t="shared" si="1"/>
        <v>2642902726339</v>
      </c>
      <c r="X16" s="995">
        <f t="shared" si="1"/>
        <v>0</v>
      </c>
      <c r="Y16" s="994"/>
      <c r="Z16" s="994"/>
      <c r="AC16" s="877"/>
    </row>
    <row r="17" spans="2:29" s="566" customFormat="1" ht="30" hidden="1">
      <c r="B17" s="945" t="s">
        <v>4662</v>
      </c>
      <c r="C17" s="945" t="s">
        <v>4663</v>
      </c>
      <c r="D17" s="946"/>
      <c r="E17" s="946"/>
      <c r="F17" s="946"/>
      <c r="G17" s="946"/>
      <c r="H17" s="946"/>
      <c r="I17" s="946"/>
      <c r="J17" s="975"/>
      <c r="K17" s="975"/>
      <c r="L17" s="975"/>
      <c r="M17" s="976">
        <f>M12</f>
        <v>121238639000</v>
      </c>
      <c r="N17" s="976">
        <f t="shared" ref="N17:X17" si="2">N12</f>
        <v>0</v>
      </c>
      <c r="O17" s="976">
        <f t="shared" si="2"/>
        <v>131488639000</v>
      </c>
      <c r="P17" s="976">
        <f t="shared" si="2"/>
        <v>0</v>
      </c>
      <c r="Q17" s="976">
        <f t="shared" si="2"/>
        <v>131488639000</v>
      </c>
      <c r="R17" s="976">
        <f t="shared" si="2"/>
        <v>0</v>
      </c>
      <c r="S17" s="976">
        <f t="shared" si="2"/>
        <v>135738639000</v>
      </c>
      <c r="T17" s="976">
        <f t="shared" si="2"/>
        <v>0</v>
      </c>
      <c r="U17" s="976">
        <f t="shared" si="2"/>
        <v>158238639000</v>
      </c>
      <c r="V17" s="976">
        <f t="shared" si="2"/>
        <v>0</v>
      </c>
      <c r="W17" s="976">
        <f t="shared" si="2"/>
        <v>0</v>
      </c>
      <c r="X17" s="976">
        <f t="shared" si="2"/>
        <v>0</v>
      </c>
      <c r="Y17" s="983"/>
      <c r="Z17" s="983"/>
      <c r="AC17" s="778">
        <f>AC11+AC13</f>
        <v>3440618649.4799194</v>
      </c>
    </row>
    <row r="18" spans="2:29" s="566" customFormat="1" hidden="1">
      <c r="B18" s="931">
        <v>1</v>
      </c>
      <c r="C18" s="947" t="str">
        <f>BTL!B3</f>
        <v>BELANJA HIBAH</v>
      </c>
      <c r="D18" s="946"/>
      <c r="E18" s="946"/>
      <c r="F18" s="946"/>
      <c r="G18" s="946"/>
      <c r="H18" s="946"/>
      <c r="I18" s="946"/>
      <c r="J18" s="975"/>
      <c r="K18" s="975"/>
      <c r="L18" s="975"/>
      <c r="M18" s="961">
        <f>BTL!D3</f>
        <v>59294840000</v>
      </c>
      <c r="N18" s="961">
        <f>BTL!E3</f>
        <v>0</v>
      </c>
      <c r="O18" s="961">
        <f>BTL!F3</f>
        <v>64879340000</v>
      </c>
      <c r="P18" s="961">
        <f>BTL!G3</f>
        <v>0</v>
      </c>
      <c r="Q18" s="961">
        <f>BTL!H3</f>
        <v>65628590000</v>
      </c>
      <c r="R18" s="961">
        <f>BTL!I3</f>
        <v>0</v>
      </c>
      <c r="S18" s="961">
        <f>BTL!J3</f>
        <v>68457340000</v>
      </c>
      <c r="T18" s="961">
        <f>BTL!K3</f>
        <v>0</v>
      </c>
      <c r="U18" s="961">
        <f>BTL!L3</f>
        <v>90007340000</v>
      </c>
      <c r="V18" s="929"/>
      <c r="W18" s="929"/>
      <c r="X18" s="929"/>
      <c r="Y18" s="853"/>
      <c r="Z18" s="853"/>
      <c r="AA18" s="569"/>
      <c r="AB18" s="569"/>
      <c r="AC18" s="849"/>
    </row>
    <row r="19" spans="2:29" s="848" customFormat="1" ht="30" hidden="1">
      <c r="B19" s="929" t="s">
        <v>4884</v>
      </c>
      <c r="C19" s="197" t="str">
        <f>BTL!B4</f>
        <v>Belanja Hibah Urusan Pendidikan</v>
      </c>
      <c r="D19" s="930"/>
      <c r="E19" s="930"/>
      <c r="F19" s="930"/>
      <c r="G19" s="930"/>
      <c r="H19" s="930"/>
      <c r="I19" s="930"/>
      <c r="J19" s="960"/>
      <c r="K19" s="960"/>
      <c r="L19" s="960"/>
      <c r="M19" s="961">
        <f>BTL!D4</f>
        <v>3030000000</v>
      </c>
      <c r="N19" s="961">
        <f>BTL!E4</f>
        <v>0</v>
      </c>
      <c r="O19" s="961">
        <f>BTL!F4</f>
        <v>4030000000</v>
      </c>
      <c r="P19" s="961">
        <f>BTL!G4</f>
        <v>0</v>
      </c>
      <c r="Q19" s="961">
        <f>BTL!H4</f>
        <v>4030000000</v>
      </c>
      <c r="R19" s="961">
        <f>BTL!I4</f>
        <v>0</v>
      </c>
      <c r="S19" s="961">
        <f>BTL!J4</f>
        <v>4030000000</v>
      </c>
      <c r="T19" s="961">
        <f>BTL!K4</f>
        <v>0</v>
      </c>
      <c r="U19" s="961">
        <f>BTL!L4</f>
        <v>4030000000</v>
      </c>
      <c r="V19" s="929"/>
      <c r="W19" s="929"/>
      <c r="X19" s="929"/>
      <c r="Y19" s="853"/>
      <c r="Z19" s="853"/>
      <c r="AA19" s="569"/>
      <c r="AB19" s="569"/>
      <c r="AC19" s="849"/>
    </row>
    <row r="20" spans="2:29" s="848" customFormat="1" ht="30" hidden="1">
      <c r="B20" s="929" t="s">
        <v>4885</v>
      </c>
      <c r="C20" s="197" t="str">
        <f>BTL!B5</f>
        <v>Belanja Hibah Urusan Kesehatan</v>
      </c>
      <c r="D20" s="930"/>
      <c r="E20" s="930"/>
      <c r="F20" s="930"/>
      <c r="G20" s="930"/>
      <c r="H20" s="930"/>
      <c r="I20" s="930"/>
      <c r="J20" s="960"/>
      <c r="K20" s="960"/>
      <c r="L20" s="960"/>
      <c r="M20" s="961">
        <f>BTL!D5</f>
        <v>600000000</v>
      </c>
      <c r="N20" s="961">
        <f>BTL!E5</f>
        <v>0</v>
      </c>
      <c r="O20" s="961">
        <f>BTL!F5</f>
        <v>600000000</v>
      </c>
      <c r="P20" s="961">
        <f>BTL!G5</f>
        <v>0</v>
      </c>
      <c r="Q20" s="961">
        <f>BTL!H5</f>
        <v>600000000</v>
      </c>
      <c r="R20" s="961">
        <f>BTL!I5</f>
        <v>0</v>
      </c>
      <c r="S20" s="961">
        <f>BTL!J5</f>
        <v>600000000</v>
      </c>
      <c r="T20" s="961">
        <f>BTL!K5</f>
        <v>0</v>
      </c>
      <c r="U20" s="961">
        <f>BTL!L5</f>
        <v>600000000</v>
      </c>
      <c r="V20" s="929"/>
      <c r="W20" s="929"/>
      <c r="X20" s="929"/>
      <c r="Y20" s="853"/>
      <c r="Z20" s="853"/>
      <c r="AA20" s="569"/>
      <c r="AB20" s="569"/>
      <c r="AC20" s="849"/>
    </row>
    <row r="21" spans="2:29" s="848" customFormat="1" ht="30" hidden="1">
      <c r="B21" s="929" t="s">
        <v>4886</v>
      </c>
      <c r="C21" s="197" t="str">
        <f>BTL!B6</f>
        <v>Belanja Hibah Urusan Pekerjaan Umum</v>
      </c>
      <c r="D21" s="930"/>
      <c r="E21" s="930"/>
      <c r="F21" s="930"/>
      <c r="G21" s="930"/>
      <c r="H21" s="930"/>
      <c r="I21" s="930"/>
      <c r="J21" s="960"/>
      <c r="K21" s="960"/>
      <c r="L21" s="960"/>
      <c r="M21" s="961">
        <f>BTL!D6</f>
        <v>32494760000</v>
      </c>
      <c r="N21" s="961">
        <f>BTL!E6</f>
        <v>0</v>
      </c>
      <c r="O21" s="961">
        <f>BTL!F6</f>
        <v>35656260000</v>
      </c>
      <c r="P21" s="961">
        <f>BTL!G6</f>
        <v>0</v>
      </c>
      <c r="Q21" s="961">
        <f>BTL!H6</f>
        <v>35656260000</v>
      </c>
      <c r="R21" s="961">
        <f>BTL!I6</f>
        <v>0</v>
      </c>
      <c r="S21" s="961">
        <f>BTL!J6</f>
        <v>36656260000</v>
      </c>
      <c r="T21" s="961">
        <f>BTL!K6</f>
        <v>0</v>
      </c>
      <c r="U21" s="961">
        <f>BTL!L6</f>
        <v>37656260000</v>
      </c>
      <c r="V21" s="929"/>
      <c r="W21" s="929"/>
      <c r="X21" s="929"/>
      <c r="Y21" s="853"/>
      <c r="Z21" s="853"/>
      <c r="AA21" s="569"/>
      <c r="AB21" s="569"/>
      <c r="AC21" s="849"/>
    </row>
    <row r="22" spans="2:29" s="848" customFormat="1" ht="45" hidden="1">
      <c r="B22" s="929" t="s">
        <v>4887</v>
      </c>
      <c r="C22" s="197" t="str">
        <f>BTL!B7</f>
        <v>Belanja Hibah Urusan Pemberdayaan Perempuan dan Perlindungan Anak</v>
      </c>
      <c r="D22" s="930"/>
      <c r="E22" s="930"/>
      <c r="F22" s="930"/>
      <c r="G22" s="930"/>
      <c r="H22" s="930"/>
      <c r="I22" s="930"/>
      <c r="J22" s="960"/>
      <c r="K22" s="960"/>
      <c r="L22" s="960"/>
      <c r="M22" s="961">
        <f>BTL!D7</f>
        <v>475000000</v>
      </c>
      <c r="N22" s="961">
        <f>BTL!E7</f>
        <v>0</v>
      </c>
      <c r="O22" s="961">
        <f>BTL!F7</f>
        <v>475000000</v>
      </c>
      <c r="P22" s="961">
        <f>BTL!G7</f>
        <v>0</v>
      </c>
      <c r="Q22" s="961">
        <f>BTL!H7</f>
        <v>475000000</v>
      </c>
      <c r="R22" s="961">
        <f>BTL!I7</f>
        <v>0</v>
      </c>
      <c r="S22" s="961">
        <f>BTL!J7</f>
        <v>475000000</v>
      </c>
      <c r="T22" s="961">
        <f>BTL!K7</f>
        <v>0</v>
      </c>
      <c r="U22" s="961">
        <f>BTL!L7</f>
        <v>475000000</v>
      </c>
      <c r="V22" s="929"/>
      <c r="W22" s="929"/>
      <c r="X22" s="929"/>
      <c r="Y22" s="853"/>
      <c r="Z22" s="853"/>
      <c r="AA22" s="569"/>
      <c r="AB22" s="569"/>
      <c r="AC22" s="849"/>
    </row>
    <row r="23" spans="2:29" s="848" customFormat="1" ht="20.25" hidden="1" customHeight="1">
      <c r="B23" s="929" t="s">
        <v>4888</v>
      </c>
      <c r="C23" s="197" t="str">
        <f>BTL!B8</f>
        <v>Belanja Hibah Urusan Sosial</v>
      </c>
      <c r="D23" s="930"/>
      <c r="E23" s="930"/>
      <c r="F23" s="930"/>
      <c r="G23" s="930"/>
      <c r="H23" s="930"/>
      <c r="I23" s="930"/>
      <c r="J23" s="960"/>
      <c r="K23" s="960"/>
      <c r="L23" s="960"/>
      <c r="M23" s="961">
        <f>BTL!D8</f>
        <v>305000000</v>
      </c>
      <c r="N23" s="961">
        <f>BTL!E8</f>
        <v>0</v>
      </c>
      <c r="O23" s="961">
        <f>BTL!F8</f>
        <v>305000000</v>
      </c>
      <c r="P23" s="961">
        <f>BTL!G8</f>
        <v>0</v>
      </c>
      <c r="Q23" s="961">
        <f>BTL!H8</f>
        <v>305000000</v>
      </c>
      <c r="R23" s="961">
        <f>BTL!I8</f>
        <v>0</v>
      </c>
      <c r="S23" s="961">
        <f>BTL!J8</f>
        <v>305000000</v>
      </c>
      <c r="T23" s="961">
        <f>BTL!K8</f>
        <v>0</v>
      </c>
      <c r="U23" s="961">
        <f>BTL!L8</f>
        <v>305000000</v>
      </c>
      <c r="V23" s="929"/>
      <c r="W23" s="929"/>
      <c r="X23" s="929"/>
      <c r="Y23" s="853"/>
      <c r="Z23" s="853"/>
      <c r="AA23" s="569"/>
      <c r="AB23" s="569"/>
      <c r="AC23" s="849"/>
    </row>
    <row r="24" spans="2:29" s="848" customFormat="1" ht="30" hidden="1">
      <c r="B24" s="929" t="s">
        <v>4889</v>
      </c>
      <c r="C24" s="197" t="str">
        <f>BTL!B9</f>
        <v>Belanja Hibah Urusan Ketenagakerjaan</v>
      </c>
      <c r="D24" s="930"/>
      <c r="E24" s="930"/>
      <c r="F24" s="930"/>
      <c r="G24" s="930"/>
      <c r="H24" s="930"/>
      <c r="I24" s="930"/>
      <c r="J24" s="960"/>
      <c r="K24" s="960"/>
      <c r="L24" s="960"/>
      <c r="M24" s="961">
        <f>BTL!D9</f>
        <v>360000000</v>
      </c>
      <c r="N24" s="961">
        <f>BTL!E9</f>
        <v>0</v>
      </c>
      <c r="O24" s="961">
        <f>BTL!F9</f>
        <v>360000000</v>
      </c>
      <c r="P24" s="961">
        <f>BTL!G9</f>
        <v>0</v>
      </c>
      <c r="Q24" s="961">
        <f>BTL!H9</f>
        <v>360000000</v>
      </c>
      <c r="R24" s="961">
        <f>BTL!I9</f>
        <v>0</v>
      </c>
      <c r="S24" s="961">
        <f>BTL!J9</f>
        <v>360000000</v>
      </c>
      <c r="T24" s="961">
        <f>BTL!K9</f>
        <v>0</v>
      </c>
      <c r="U24" s="961">
        <f>BTL!L9</f>
        <v>360000000</v>
      </c>
      <c r="V24" s="929"/>
      <c r="W24" s="929"/>
      <c r="X24" s="929"/>
      <c r="Y24" s="853"/>
      <c r="Z24" s="853"/>
      <c r="AA24" s="569"/>
      <c r="AB24" s="569"/>
      <c r="AC24" s="849"/>
    </row>
    <row r="25" spans="2:29" s="848" customFormat="1" ht="45" hidden="1">
      <c r="B25" s="929" t="s">
        <v>4890</v>
      </c>
      <c r="C25" s="197" t="str">
        <f>BTL!B10</f>
        <v>Belanja Hibah Urusan Koperasi dan Usaha Menengah</v>
      </c>
      <c r="D25" s="930"/>
      <c r="E25" s="930"/>
      <c r="F25" s="930"/>
      <c r="G25" s="930"/>
      <c r="H25" s="930"/>
      <c r="I25" s="930"/>
      <c r="J25" s="960"/>
      <c r="K25" s="960"/>
      <c r="L25" s="960"/>
      <c r="M25" s="961">
        <f>BTL!D10</f>
        <v>45000000</v>
      </c>
      <c r="N25" s="961">
        <f>BTL!E10</f>
        <v>0</v>
      </c>
      <c r="O25" s="961">
        <f>BTL!F10</f>
        <v>100000000</v>
      </c>
      <c r="P25" s="961">
        <f>BTL!G10</f>
        <v>0</v>
      </c>
      <c r="Q25" s="961">
        <f>BTL!H10</f>
        <v>125000000</v>
      </c>
      <c r="R25" s="961">
        <f>BTL!I10</f>
        <v>0</v>
      </c>
      <c r="S25" s="961">
        <f>BTL!J10</f>
        <v>150000000</v>
      </c>
      <c r="T25" s="961">
        <f>BTL!K10</f>
        <v>0</v>
      </c>
      <c r="U25" s="961">
        <f>BTL!L10</f>
        <v>200000000</v>
      </c>
      <c r="V25" s="929"/>
      <c r="W25" s="929"/>
      <c r="X25" s="929"/>
      <c r="Y25" s="853"/>
      <c r="Z25" s="853"/>
      <c r="AA25" s="569"/>
      <c r="AB25" s="569"/>
      <c r="AC25" s="849"/>
    </row>
    <row r="26" spans="2:29" s="848" customFormat="1" ht="30" hidden="1">
      <c r="B26" s="929" t="s">
        <v>4641</v>
      </c>
      <c r="C26" s="197" t="str">
        <f>BTL!B11</f>
        <v>Belanja Hibah Urusan Kebudayaan</v>
      </c>
      <c r="D26" s="930"/>
      <c r="E26" s="930"/>
      <c r="F26" s="930"/>
      <c r="G26" s="930"/>
      <c r="H26" s="930"/>
      <c r="I26" s="930"/>
      <c r="J26" s="960"/>
      <c r="K26" s="960"/>
      <c r="L26" s="960"/>
      <c r="M26" s="961">
        <f>BTL!D11</f>
        <v>350000000</v>
      </c>
      <c r="N26" s="961">
        <f>BTL!E11</f>
        <v>0</v>
      </c>
      <c r="O26" s="961">
        <f>BTL!F11</f>
        <v>1000000000</v>
      </c>
      <c r="P26" s="961">
        <f>BTL!G11</f>
        <v>0</v>
      </c>
      <c r="Q26" s="961">
        <f>BTL!H11</f>
        <v>1250000000</v>
      </c>
      <c r="R26" s="961">
        <f>BTL!I11</f>
        <v>0</v>
      </c>
      <c r="S26" s="961">
        <f>BTL!J11</f>
        <v>1250000000</v>
      </c>
      <c r="T26" s="961">
        <f>BTL!K11</f>
        <v>0</v>
      </c>
      <c r="U26" s="961">
        <f>BTL!L11</f>
        <v>1500000000</v>
      </c>
      <c r="V26" s="929"/>
      <c r="W26" s="929"/>
      <c r="X26" s="929"/>
      <c r="Y26" s="853"/>
      <c r="Z26" s="853"/>
      <c r="AA26" s="569"/>
      <c r="AB26" s="569"/>
      <c r="AC26" s="849"/>
    </row>
    <row r="27" spans="2:29" s="848" customFormat="1" ht="45" hidden="1">
      <c r="B27" s="929" t="s">
        <v>4891</v>
      </c>
      <c r="C27" s="197" t="str">
        <f>BTL!B12</f>
        <v>Belanja Hibah Urusan Kepemudaan dan Olah Raga</v>
      </c>
      <c r="D27" s="930"/>
      <c r="E27" s="930"/>
      <c r="F27" s="930"/>
      <c r="G27" s="930"/>
      <c r="H27" s="930"/>
      <c r="I27" s="930"/>
      <c r="J27" s="960"/>
      <c r="K27" s="960"/>
      <c r="L27" s="960"/>
      <c r="M27" s="961">
        <f>BTL!D12</f>
        <v>4350000000</v>
      </c>
      <c r="N27" s="961">
        <f>BTL!E12</f>
        <v>0</v>
      </c>
      <c r="O27" s="961">
        <f>BTL!F12</f>
        <v>4350000000</v>
      </c>
      <c r="P27" s="961">
        <f>BTL!G12</f>
        <v>0</v>
      </c>
      <c r="Q27" s="961">
        <f>BTL!H12</f>
        <v>4350000000</v>
      </c>
      <c r="R27" s="961">
        <f>BTL!I12</f>
        <v>0</v>
      </c>
      <c r="S27" s="961">
        <f>BTL!J12</f>
        <v>4350000000</v>
      </c>
      <c r="T27" s="961">
        <f>BTL!K12</f>
        <v>0</v>
      </c>
      <c r="U27" s="961">
        <f>BTL!L12</f>
        <v>4350000000</v>
      </c>
      <c r="V27" s="929"/>
      <c r="W27" s="929"/>
      <c r="X27" s="929"/>
      <c r="Y27" s="853"/>
      <c r="Z27" s="853"/>
      <c r="AA27" s="569"/>
      <c r="AB27" s="569"/>
      <c r="AC27" s="849"/>
    </row>
    <row r="28" spans="2:29" s="848" customFormat="1" ht="45" hidden="1">
      <c r="B28" s="929" t="s">
        <v>4892</v>
      </c>
      <c r="C28" s="197" t="str">
        <f>BTL!B13</f>
        <v>Belanja Hibah Urusan Kesatuan Bangsa dan Politik Dalam Negeri</v>
      </c>
      <c r="D28" s="930"/>
      <c r="E28" s="930"/>
      <c r="F28" s="930"/>
      <c r="G28" s="930"/>
      <c r="H28" s="930"/>
      <c r="I28" s="930"/>
      <c r="J28" s="960"/>
      <c r="K28" s="960"/>
      <c r="L28" s="960"/>
      <c r="M28" s="961">
        <f>BTL!D13</f>
        <v>1375000000</v>
      </c>
      <c r="N28" s="961">
        <f>BTL!E13</f>
        <v>0</v>
      </c>
      <c r="O28" s="961">
        <f>BTL!F13</f>
        <v>25000000</v>
      </c>
      <c r="P28" s="961">
        <f>BTL!G13</f>
        <v>0</v>
      </c>
      <c r="Q28" s="961">
        <f>BTL!H13</f>
        <v>25000000</v>
      </c>
      <c r="R28" s="961">
        <f>BTL!I13</f>
        <v>0</v>
      </c>
      <c r="S28" s="961">
        <f>BTL!J13</f>
        <v>25000000</v>
      </c>
      <c r="T28" s="961">
        <f>BTL!K13</f>
        <v>0</v>
      </c>
      <c r="U28" s="961">
        <f>BTL!L13</f>
        <v>1275000000</v>
      </c>
      <c r="V28" s="929"/>
      <c r="W28" s="929"/>
      <c r="X28" s="929"/>
      <c r="Y28" s="853"/>
      <c r="Z28" s="853"/>
      <c r="AA28" s="569"/>
      <c r="AB28" s="569"/>
      <c r="AC28" s="849"/>
    </row>
    <row r="29" spans="2:29" s="848" customFormat="1" ht="105" hidden="1">
      <c r="B29" s="929" t="s">
        <v>4893</v>
      </c>
      <c r="C29" s="197" t="str">
        <f>BTL!B14</f>
        <v>Belanja Hibah Urusan Otonomi Daerah, Pemerintahan Umum, Adminstrasi Keuangan Daerah, Perangkat Daerah, Kepegawaian, dan Persandan</v>
      </c>
      <c r="D29" s="930"/>
      <c r="E29" s="930"/>
      <c r="F29" s="930"/>
      <c r="G29" s="930"/>
      <c r="H29" s="930"/>
      <c r="I29" s="930"/>
      <c r="J29" s="960"/>
      <c r="K29" s="960"/>
      <c r="L29" s="960"/>
      <c r="M29" s="961">
        <f>BTL!D14</f>
        <v>8286000000</v>
      </c>
      <c r="N29" s="961">
        <f>BTL!E14</f>
        <v>0</v>
      </c>
      <c r="O29" s="961">
        <f>BTL!F14</f>
        <v>9960000000</v>
      </c>
      <c r="P29" s="961">
        <f>BTL!G14</f>
        <v>0</v>
      </c>
      <c r="Q29" s="961">
        <f>BTL!H14</f>
        <v>9960000000</v>
      </c>
      <c r="R29" s="961">
        <f>BTL!I14</f>
        <v>0</v>
      </c>
      <c r="S29" s="961">
        <f>BTL!J14</f>
        <v>11460000000</v>
      </c>
      <c r="T29" s="961">
        <f>BTL!K14</f>
        <v>0</v>
      </c>
      <c r="U29" s="961">
        <f>BTL!L14</f>
        <v>29960000000</v>
      </c>
      <c r="V29" s="929"/>
      <c r="W29" s="929"/>
      <c r="X29" s="929"/>
      <c r="Y29" s="853"/>
      <c r="Z29" s="853"/>
      <c r="AA29" s="569"/>
      <c r="AB29" s="569"/>
      <c r="AC29" s="849"/>
    </row>
    <row r="30" spans="2:29" s="848" customFormat="1" ht="45" hidden="1">
      <c r="B30" s="929" t="s">
        <v>4894</v>
      </c>
      <c r="C30" s="197" t="str">
        <f>BTL!B15</f>
        <v>Belanja Hibah Urusan Pemberdayaan Masyarakat dan Desa</v>
      </c>
      <c r="D30" s="930"/>
      <c r="E30" s="930"/>
      <c r="F30" s="930"/>
      <c r="G30" s="930"/>
      <c r="H30" s="930"/>
      <c r="I30" s="930"/>
      <c r="J30" s="960"/>
      <c r="K30" s="960"/>
      <c r="L30" s="960"/>
      <c r="M30" s="961">
        <f>BTL!D15</f>
        <v>1096000000</v>
      </c>
      <c r="N30" s="961">
        <f>BTL!E15</f>
        <v>0</v>
      </c>
      <c r="O30" s="961">
        <f>BTL!F15</f>
        <v>1096000000</v>
      </c>
      <c r="P30" s="961">
        <f>BTL!G15</f>
        <v>0</v>
      </c>
      <c r="Q30" s="961">
        <f>BTL!H15</f>
        <v>1096000000</v>
      </c>
      <c r="R30" s="961">
        <f>BTL!I15</f>
        <v>0</v>
      </c>
      <c r="S30" s="961">
        <f>BTL!J15</f>
        <v>1096000000</v>
      </c>
      <c r="T30" s="961">
        <f>BTL!K15</f>
        <v>0</v>
      </c>
      <c r="U30" s="961">
        <f>BTL!L15</f>
        <v>1096000000</v>
      </c>
      <c r="V30" s="929"/>
      <c r="W30" s="961"/>
      <c r="X30" s="929"/>
      <c r="Y30" s="853"/>
      <c r="Z30" s="853"/>
      <c r="AA30" s="569"/>
      <c r="AB30" s="569"/>
      <c r="AC30" s="569"/>
    </row>
    <row r="31" spans="2:29" s="848" customFormat="1" ht="30" hidden="1">
      <c r="B31" s="929" t="s">
        <v>4895</v>
      </c>
      <c r="C31" s="197" t="str">
        <f>BTL!B16</f>
        <v>Belanja Hibah Urusan Pertanian</v>
      </c>
      <c r="D31" s="930"/>
      <c r="E31" s="930"/>
      <c r="F31" s="930"/>
      <c r="G31" s="930"/>
      <c r="H31" s="930"/>
      <c r="I31" s="930"/>
      <c r="J31" s="960"/>
      <c r="K31" s="960"/>
      <c r="L31" s="960"/>
      <c r="M31" s="961">
        <f>BTL!D16</f>
        <v>6288080000</v>
      </c>
      <c r="N31" s="961">
        <f>BTL!E16</f>
        <v>0</v>
      </c>
      <c r="O31" s="961">
        <f>BTL!F16</f>
        <v>6457080000</v>
      </c>
      <c r="P31" s="961">
        <f>BTL!G16</f>
        <v>0</v>
      </c>
      <c r="Q31" s="961">
        <f>BTL!H16</f>
        <v>6903330000</v>
      </c>
      <c r="R31" s="961">
        <f>BTL!I16</f>
        <v>0</v>
      </c>
      <c r="S31" s="961">
        <f>BTL!J16</f>
        <v>7207080000</v>
      </c>
      <c r="T31" s="961">
        <f>BTL!K16</f>
        <v>0</v>
      </c>
      <c r="U31" s="961">
        <f>BTL!L16</f>
        <v>7707080000</v>
      </c>
      <c r="V31" s="929"/>
      <c r="W31" s="961"/>
      <c r="X31" s="929"/>
      <c r="Y31" s="853"/>
      <c r="Z31" s="853"/>
      <c r="AA31" s="569"/>
      <c r="AB31" s="569"/>
      <c r="AC31" s="569"/>
    </row>
    <row r="32" spans="2:29" s="848" customFormat="1" ht="30" hidden="1">
      <c r="B32" s="929" t="s">
        <v>4896</v>
      </c>
      <c r="C32" s="197" t="str">
        <f>BTL!B17</f>
        <v>Belanja Hibah Urusan Perdagangan</v>
      </c>
      <c r="D32" s="930"/>
      <c r="E32" s="930"/>
      <c r="F32" s="930"/>
      <c r="G32" s="930"/>
      <c r="H32" s="930"/>
      <c r="I32" s="930"/>
      <c r="J32" s="960"/>
      <c r="K32" s="960"/>
      <c r="L32" s="960"/>
      <c r="M32" s="961">
        <f>BTL!D17</f>
        <v>130000000</v>
      </c>
      <c r="N32" s="961">
        <f>BTL!E17</f>
        <v>0</v>
      </c>
      <c r="O32" s="961">
        <f>BTL!F17</f>
        <v>130000000</v>
      </c>
      <c r="P32" s="961">
        <f>BTL!G17</f>
        <v>0</v>
      </c>
      <c r="Q32" s="961">
        <f>BTL!H17</f>
        <v>130000000</v>
      </c>
      <c r="R32" s="961">
        <f>BTL!I17</f>
        <v>0</v>
      </c>
      <c r="S32" s="961">
        <f>BTL!J17</f>
        <v>130000000</v>
      </c>
      <c r="T32" s="961">
        <f>BTL!K17</f>
        <v>0</v>
      </c>
      <c r="U32" s="961">
        <f>BTL!L17</f>
        <v>130000000</v>
      </c>
      <c r="V32" s="929"/>
      <c r="W32" s="961"/>
      <c r="X32" s="929"/>
      <c r="Y32" s="853"/>
      <c r="Z32" s="853"/>
      <c r="AA32" s="569"/>
      <c r="AB32" s="569"/>
      <c r="AC32" s="569"/>
    </row>
    <row r="33" spans="2:29" s="848" customFormat="1" ht="30" hidden="1">
      <c r="B33" s="929" t="s">
        <v>4897</v>
      </c>
      <c r="C33" s="197" t="str">
        <f>BTL!B18</f>
        <v>Belanja Hibah Urusan Perindustrian</v>
      </c>
      <c r="D33" s="930"/>
      <c r="E33" s="930"/>
      <c r="F33" s="930"/>
      <c r="G33" s="930"/>
      <c r="H33" s="930"/>
      <c r="I33" s="930"/>
      <c r="J33" s="960"/>
      <c r="K33" s="960"/>
      <c r="L33" s="960"/>
      <c r="M33" s="961">
        <f>BTL!D18</f>
        <v>47000000</v>
      </c>
      <c r="N33" s="961">
        <f>BTL!E18</f>
        <v>0</v>
      </c>
      <c r="O33" s="961">
        <f>BTL!F18</f>
        <v>272000000</v>
      </c>
      <c r="P33" s="961">
        <f>BTL!G18</f>
        <v>0</v>
      </c>
      <c r="Q33" s="961">
        <f>BTL!H18</f>
        <v>300000000</v>
      </c>
      <c r="R33" s="961">
        <f>BTL!I18</f>
        <v>0</v>
      </c>
      <c r="S33" s="961">
        <f>BTL!J18</f>
        <v>300000000</v>
      </c>
      <c r="T33" s="961">
        <f>BTL!K18</f>
        <v>0</v>
      </c>
      <c r="U33" s="961">
        <f>BTL!L18</f>
        <v>300000000</v>
      </c>
      <c r="V33" s="929"/>
      <c r="W33" s="961"/>
      <c r="X33" s="929"/>
      <c r="Y33" s="853"/>
      <c r="Z33" s="853"/>
      <c r="AA33" s="569"/>
      <c r="AB33" s="569"/>
      <c r="AC33" s="569"/>
    </row>
    <row r="34" spans="2:29" s="848" customFormat="1" ht="30" hidden="1">
      <c r="B34" s="929" t="s">
        <v>4898</v>
      </c>
      <c r="C34" s="197" t="str">
        <f>BTL!B19</f>
        <v>Belanja Hibah Urusan Ketahanan Pangan</v>
      </c>
      <c r="D34" s="930"/>
      <c r="E34" s="930"/>
      <c r="F34" s="930"/>
      <c r="G34" s="930"/>
      <c r="H34" s="930"/>
      <c r="I34" s="930"/>
      <c r="J34" s="960"/>
      <c r="K34" s="960"/>
      <c r="L34" s="960"/>
      <c r="M34" s="961">
        <f>BTL!D19</f>
        <v>63000000</v>
      </c>
      <c r="N34" s="961">
        <f>BTL!E19</f>
        <v>0</v>
      </c>
      <c r="O34" s="961">
        <f>BTL!F19</f>
        <v>63000000</v>
      </c>
      <c r="P34" s="961">
        <f>BTL!G19</f>
        <v>0</v>
      </c>
      <c r="Q34" s="961">
        <f>BTL!H19</f>
        <v>63000000</v>
      </c>
      <c r="R34" s="961">
        <f>BTL!I19</f>
        <v>0</v>
      </c>
      <c r="S34" s="961">
        <f>BTL!J19</f>
        <v>63000000</v>
      </c>
      <c r="T34" s="961">
        <f>BTL!K19</f>
        <v>0</v>
      </c>
      <c r="U34" s="961">
        <f>BTL!L19</f>
        <v>63000000</v>
      </c>
      <c r="V34" s="929"/>
      <c r="W34" s="961"/>
      <c r="X34" s="929"/>
      <c r="Y34" s="853"/>
      <c r="Z34" s="853"/>
      <c r="AA34" s="569"/>
      <c r="AB34" s="569"/>
      <c r="AC34" s="569"/>
    </row>
    <row r="35" spans="2:29" s="848" customFormat="1" hidden="1">
      <c r="B35" s="931"/>
      <c r="C35" s="889"/>
      <c r="D35" s="930"/>
      <c r="E35" s="930"/>
      <c r="F35" s="930"/>
      <c r="G35" s="930"/>
      <c r="H35" s="930"/>
      <c r="I35" s="930"/>
      <c r="J35" s="960"/>
      <c r="K35" s="960"/>
      <c r="L35" s="960"/>
      <c r="M35" s="961"/>
      <c r="N35" s="961"/>
      <c r="O35" s="961"/>
      <c r="P35" s="961"/>
      <c r="Q35" s="961"/>
      <c r="R35" s="961"/>
      <c r="S35" s="961"/>
      <c r="T35" s="961"/>
      <c r="U35" s="961"/>
      <c r="V35" s="929"/>
      <c r="W35" s="961"/>
      <c r="X35" s="929"/>
      <c r="Y35" s="853"/>
      <c r="Z35" s="853"/>
      <c r="AA35" s="569"/>
      <c r="AB35" s="569"/>
      <c r="AC35" s="569"/>
    </row>
    <row r="36" spans="2:29" s="848" customFormat="1" hidden="1">
      <c r="B36" s="931">
        <v>2</v>
      </c>
      <c r="C36" s="947" t="str">
        <f>BTL!B22</f>
        <v>BELANJA BANTUAN SOSIAL</v>
      </c>
      <c r="D36" s="930"/>
      <c r="E36" s="930"/>
      <c r="F36" s="930"/>
      <c r="G36" s="930"/>
      <c r="H36" s="930"/>
      <c r="I36" s="930"/>
      <c r="J36" s="960"/>
      <c r="K36" s="960"/>
      <c r="L36" s="960"/>
      <c r="M36" s="961">
        <f>BTL!D22</f>
        <v>19838680000</v>
      </c>
      <c r="N36" s="961">
        <f>BTL!E22</f>
        <v>0</v>
      </c>
      <c r="O36" s="961">
        <f>BTL!F22</f>
        <v>25729180000</v>
      </c>
      <c r="P36" s="961">
        <f>BTL!G22</f>
        <v>0</v>
      </c>
      <c r="Q36" s="961">
        <f>BTL!H22</f>
        <v>25729180000</v>
      </c>
      <c r="R36" s="961">
        <f>BTL!I22</f>
        <v>0</v>
      </c>
      <c r="S36" s="961">
        <f>BTL!J22</f>
        <v>25901180000</v>
      </c>
      <c r="T36" s="961">
        <f>BTL!K22</f>
        <v>0</v>
      </c>
      <c r="U36" s="961">
        <f>BTL!L22</f>
        <v>26351180000</v>
      </c>
      <c r="V36" s="929"/>
      <c r="W36" s="961"/>
      <c r="X36" s="929"/>
      <c r="Y36" s="853"/>
      <c r="Z36" s="853"/>
      <c r="AA36" s="569"/>
      <c r="AB36" s="569"/>
      <c r="AC36" s="569"/>
    </row>
    <row r="37" spans="2:29" s="848" customFormat="1" ht="30" hidden="1">
      <c r="B37" s="929" t="s">
        <v>4884</v>
      </c>
      <c r="C37" s="197" t="str">
        <f>BTL!B23</f>
        <v>Belanja Bantuan Sosial Bencana</v>
      </c>
      <c r="D37" s="930"/>
      <c r="E37" s="930"/>
      <c r="F37" s="930"/>
      <c r="G37" s="930"/>
      <c r="H37" s="930"/>
      <c r="I37" s="930"/>
      <c r="J37" s="960"/>
      <c r="K37" s="960"/>
      <c r="L37" s="960"/>
      <c r="M37" s="961">
        <f>BTL!D23</f>
        <v>750000000</v>
      </c>
      <c r="N37" s="961">
        <f>BTL!E23</f>
        <v>0</v>
      </c>
      <c r="O37" s="961">
        <f>BTL!F23</f>
        <v>750000000</v>
      </c>
      <c r="P37" s="961">
        <f>BTL!G23</f>
        <v>0</v>
      </c>
      <c r="Q37" s="961">
        <f>BTL!H23</f>
        <v>750000000</v>
      </c>
      <c r="R37" s="961">
        <f>BTL!I23</f>
        <v>0</v>
      </c>
      <c r="S37" s="961">
        <f>BTL!J23</f>
        <v>1000000000</v>
      </c>
      <c r="T37" s="961">
        <f>BTL!K23</f>
        <v>0</v>
      </c>
      <c r="U37" s="961">
        <f>BTL!L23</f>
        <v>1500000000</v>
      </c>
      <c r="V37" s="929"/>
      <c r="W37" s="961"/>
      <c r="X37" s="929"/>
      <c r="Y37" s="853"/>
      <c r="Z37" s="853"/>
      <c r="AA37" s="569"/>
      <c r="AB37" s="569"/>
      <c r="AC37" s="569"/>
    </row>
    <row r="38" spans="2:29" s="848" customFormat="1" ht="30" hidden="1">
      <c r="B38" s="929" t="s">
        <v>4885</v>
      </c>
      <c r="C38" s="197" t="str">
        <f>BTL!B24</f>
        <v>Belanja Bantuan Pemberdayaan Perempuan</v>
      </c>
      <c r="D38" s="930"/>
      <c r="E38" s="930"/>
      <c r="F38" s="930"/>
      <c r="G38" s="930"/>
      <c r="H38" s="930"/>
      <c r="I38" s="930"/>
      <c r="J38" s="960"/>
      <c r="K38" s="960"/>
      <c r="L38" s="960"/>
      <c r="M38" s="961">
        <f>BTL!D24</f>
        <v>25000000</v>
      </c>
      <c r="N38" s="961">
        <f>BTL!E24</f>
        <v>0</v>
      </c>
      <c r="O38" s="961">
        <f>BTL!F24</f>
        <v>25000000</v>
      </c>
      <c r="P38" s="961">
        <f>BTL!G24</f>
        <v>0</v>
      </c>
      <c r="Q38" s="961">
        <f>BTL!H24</f>
        <v>25000000</v>
      </c>
      <c r="R38" s="961">
        <f>BTL!I24</f>
        <v>0</v>
      </c>
      <c r="S38" s="961">
        <f>BTL!J24</f>
        <v>25000000</v>
      </c>
      <c r="T38" s="961">
        <f>BTL!K24</f>
        <v>0</v>
      </c>
      <c r="U38" s="961">
        <f>BTL!L24</f>
        <v>25000000</v>
      </c>
      <c r="V38" s="929"/>
      <c r="W38" s="961"/>
      <c r="X38" s="929"/>
      <c r="Y38" s="853"/>
      <c r="Z38" s="853"/>
      <c r="AA38" s="569"/>
      <c r="AB38" s="569"/>
      <c r="AC38" s="569"/>
    </row>
    <row r="39" spans="2:29" s="848" customFormat="1" ht="30" hidden="1">
      <c r="B39" s="929" t="s">
        <v>4886</v>
      </c>
      <c r="C39" s="197" t="str">
        <f>BTL!B25</f>
        <v>Belanja Sosial Urusan Kesehatan</v>
      </c>
      <c r="D39" s="930"/>
      <c r="E39" s="930"/>
      <c r="F39" s="930"/>
      <c r="G39" s="930"/>
      <c r="H39" s="930"/>
      <c r="I39" s="930"/>
      <c r="J39" s="960"/>
      <c r="K39" s="960"/>
      <c r="L39" s="960"/>
      <c r="M39" s="961">
        <f>BTL!D25</f>
        <v>5248300000</v>
      </c>
      <c r="N39" s="961">
        <f>BTL!E25</f>
        <v>0</v>
      </c>
      <c r="O39" s="961">
        <f>BTL!F25</f>
        <v>8000000000</v>
      </c>
      <c r="P39" s="961">
        <f>BTL!G25</f>
        <v>0</v>
      </c>
      <c r="Q39" s="961">
        <f>BTL!H25</f>
        <v>8000000000</v>
      </c>
      <c r="R39" s="961">
        <f>BTL!I25</f>
        <v>0</v>
      </c>
      <c r="S39" s="961">
        <f>BTL!J25</f>
        <v>8000000000</v>
      </c>
      <c r="T39" s="961">
        <f>BTL!K25</f>
        <v>0</v>
      </c>
      <c r="U39" s="961">
        <f>BTL!L25</f>
        <v>8000000000</v>
      </c>
      <c r="V39" s="929"/>
      <c r="W39" s="961"/>
      <c r="X39" s="929"/>
      <c r="Y39" s="853"/>
      <c r="Z39" s="853"/>
      <c r="AA39" s="569"/>
      <c r="AB39" s="569"/>
      <c r="AC39" s="569"/>
    </row>
    <row r="40" spans="2:29" s="848" customFormat="1" ht="30" hidden="1">
      <c r="B40" s="929" t="s">
        <v>4887</v>
      </c>
      <c r="C40" s="197" t="str">
        <f>BTL!B26</f>
        <v>Belanja Sosial Urusan Pekerjaan Umum</v>
      </c>
      <c r="D40" s="930"/>
      <c r="E40" s="930"/>
      <c r="F40" s="930"/>
      <c r="G40" s="930"/>
      <c r="H40" s="930"/>
      <c r="I40" s="930"/>
      <c r="J40" s="960"/>
      <c r="K40" s="960"/>
      <c r="L40" s="960"/>
      <c r="M40" s="961">
        <f>BTL!D26</f>
        <v>216250000</v>
      </c>
      <c r="N40" s="961">
        <f>BTL!E26</f>
        <v>0</v>
      </c>
      <c r="O40" s="961">
        <f>BTL!F26</f>
        <v>216250000</v>
      </c>
      <c r="P40" s="961">
        <f>BTL!G26</f>
        <v>0</v>
      </c>
      <c r="Q40" s="961">
        <f>BTL!H26</f>
        <v>216250000</v>
      </c>
      <c r="R40" s="961">
        <f>BTL!I26</f>
        <v>0</v>
      </c>
      <c r="S40" s="961">
        <f>BTL!J26</f>
        <v>216250000</v>
      </c>
      <c r="T40" s="961">
        <f>BTL!K26</f>
        <v>0</v>
      </c>
      <c r="U40" s="961">
        <f>BTL!L26</f>
        <v>216250000</v>
      </c>
      <c r="V40" s="929"/>
      <c r="W40" s="961"/>
      <c r="X40" s="929"/>
      <c r="Y40" s="853"/>
      <c r="Z40" s="853"/>
      <c r="AA40" s="569"/>
      <c r="AB40" s="569"/>
      <c r="AC40" s="569"/>
    </row>
    <row r="41" spans="2:29" s="848" customFormat="1" hidden="1">
      <c r="B41" s="929" t="s">
        <v>4888</v>
      </c>
      <c r="C41" s="197" t="str">
        <f>BTL!B27</f>
        <v>Belanja Sosial Urusan Sosial</v>
      </c>
      <c r="D41" s="930"/>
      <c r="E41" s="930"/>
      <c r="F41" s="930"/>
      <c r="G41" s="930"/>
      <c r="H41" s="930"/>
      <c r="I41" s="930"/>
      <c r="J41" s="960"/>
      <c r="K41" s="960"/>
      <c r="L41" s="960"/>
      <c r="M41" s="961">
        <f>BTL!D27</f>
        <v>4974180000</v>
      </c>
      <c r="N41" s="961">
        <f>BTL!E27</f>
        <v>0</v>
      </c>
      <c r="O41" s="961">
        <f>BTL!F27</f>
        <v>8724180000</v>
      </c>
      <c r="P41" s="961">
        <f>BTL!G27</f>
        <v>0</v>
      </c>
      <c r="Q41" s="961">
        <f>BTL!H27</f>
        <v>8724180000</v>
      </c>
      <c r="R41" s="961">
        <f>BTL!I27</f>
        <v>0</v>
      </c>
      <c r="S41" s="961">
        <f>BTL!J27</f>
        <v>8724180000</v>
      </c>
      <c r="T41" s="961">
        <f>BTL!K27</f>
        <v>0</v>
      </c>
      <c r="U41" s="961">
        <f>BTL!L27</f>
        <v>8724180000</v>
      </c>
      <c r="V41" s="929"/>
      <c r="W41" s="961"/>
      <c r="X41" s="929"/>
      <c r="Y41" s="853"/>
      <c r="Z41" s="853"/>
      <c r="AA41" s="569"/>
      <c r="AB41" s="569"/>
      <c r="AC41" s="569"/>
    </row>
    <row r="42" spans="2:29" s="848" customFormat="1" ht="30" hidden="1">
      <c r="B42" s="929" t="s">
        <v>4889</v>
      </c>
      <c r="C42" s="197" t="str">
        <f>BTL!B28</f>
        <v>Belanja Sosial Urusan Ketenagakerjaan</v>
      </c>
      <c r="D42" s="930"/>
      <c r="E42" s="930"/>
      <c r="F42" s="930"/>
      <c r="G42" s="930"/>
      <c r="H42" s="930"/>
      <c r="I42" s="930"/>
      <c r="J42" s="960"/>
      <c r="K42" s="960"/>
      <c r="L42" s="960"/>
      <c r="M42" s="961">
        <f>BTL!D28</f>
        <v>50000000</v>
      </c>
      <c r="N42" s="961">
        <f>BTL!E28</f>
        <v>0</v>
      </c>
      <c r="O42" s="961">
        <f>BTL!F28</f>
        <v>50000000</v>
      </c>
      <c r="P42" s="961">
        <f>BTL!G28</f>
        <v>0</v>
      </c>
      <c r="Q42" s="961">
        <f>BTL!H28</f>
        <v>50000000</v>
      </c>
      <c r="R42" s="961">
        <f>BTL!I28</f>
        <v>0</v>
      </c>
      <c r="S42" s="961">
        <f>BTL!J28</f>
        <v>50000000</v>
      </c>
      <c r="T42" s="961">
        <f>BTL!K28</f>
        <v>0</v>
      </c>
      <c r="U42" s="961">
        <f>BTL!L28</f>
        <v>50000000</v>
      </c>
      <c r="V42" s="929"/>
      <c r="W42" s="961"/>
      <c r="X42" s="929"/>
      <c r="Y42" s="853"/>
      <c r="Z42" s="853"/>
      <c r="AA42" s="569"/>
      <c r="AB42" s="569"/>
      <c r="AC42" s="569"/>
    </row>
    <row r="43" spans="2:29" s="848" customFormat="1" ht="105" hidden="1">
      <c r="B43" s="929" t="s">
        <v>4890</v>
      </c>
      <c r="C43" s="197" t="str">
        <f>BTL!B29</f>
        <v>Belanja Sosial Urusan Otomomi Daerah, Pemerintahan Umum, Administrasi Keuangan Daerah, Perangkat Daerah, Kepegawaian, dan Persandian</v>
      </c>
      <c r="D43" s="930"/>
      <c r="E43" s="930"/>
      <c r="F43" s="930"/>
      <c r="G43" s="930"/>
      <c r="H43" s="930"/>
      <c r="I43" s="930"/>
      <c r="J43" s="960"/>
      <c r="K43" s="960"/>
      <c r="L43" s="960"/>
      <c r="M43" s="961">
        <f>BTL!D29</f>
        <v>849950000</v>
      </c>
      <c r="N43" s="961">
        <f>BTL!E29</f>
        <v>0</v>
      </c>
      <c r="O43" s="961">
        <f>BTL!F29</f>
        <v>798250000</v>
      </c>
      <c r="P43" s="961">
        <f>BTL!G29</f>
        <v>0</v>
      </c>
      <c r="Q43" s="961">
        <f>BTL!H29</f>
        <v>798250000</v>
      </c>
      <c r="R43" s="961">
        <f>BTL!I29</f>
        <v>0</v>
      </c>
      <c r="S43" s="961">
        <f>BTL!J29</f>
        <v>720250000</v>
      </c>
      <c r="T43" s="961">
        <f>BTL!K29</f>
        <v>0</v>
      </c>
      <c r="U43" s="961">
        <f>BTL!L29</f>
        <v>670250000</v>
      </c>
      <c r="V43" s="929"/>
      <c r="W43" s="961"/>
      <c r="X43" s="929"/>
      <c r="Y43" s="853"/>
      <c r="Z43" s="853"/>
      <c r="AA43" s="569"/>
      <c r="AB43" s="569"/>
      <c r="AC43" s="569"/>
    </row>
    <row r="44" spans="2:29" s="848" customFormat="1" ht="45" hidden="1">
      <c r="B44" s="929" t="s">
        <v>4641</v>
      </c>
      <c r="C44" s="197" t="str">
        <f>BTL!B30</f>
        <v>Belanja Bantuan Sosial Urusan Kemasyarakatan lainnya</v>
      </c>
      <c r="D44" s="930"/>
      <c r="E44" s="930"/>
      <c r="F44" s="930"/>
      <c r="G44" s="930"/>
      <c r="H44" s="930"/>
      <c r="I44" s="930"/>
      <c r="J44" s="960"/>
      <c r="K44" s="960"/>
      <c r="L44" s="960"/>
      <c r="M44" s="961">
        <f>BTL!D30</f>
        <v>7725000000</v>
      </c>
      <c r="N44" s="961">
        <f>BTL!E30</f>
        <v>0</v>
      </c>
      <c r="O44" s="961">
        <f>BTL!F30</f>
        <v>7165500000</v>
      </c>
      <c r="P44" s="961">
        <f>BTL!G30</f>
        <v>0</v>
      </c>
      <c r="Q44" s="961">
        <f>BTL!H30</f>
        <v>7165500000</v>
      </c>
      <c r="R44" s="961">
        <f>BTL!I30</f>
        <v>0</v>
      </c>
      <c r="S44" s="961">
        <f>BTL!J30</f>
        <v>7165500000</v>
      </c>
      <c r="T44" s="961">
        <f>BTL!K30</f>
        <v>0</v>
      </c>
      <c r="U44" s="961">
        <f>BTL!L30</f>
        <v>7165500000</v>
      </c>
      <c r="V44" s="929"/>
      <c r="W44" s="961"/>
      <c r="X44" s="929"/>
      <c r="Y44" s="853"/>
      <c r="Z44" s="853"/>
      <c r="AA44" s="569"/>
      <c r="AB44" s="569"/>
      <c r="AC44" s="569"/>
    </row>
    <row r="45" spans="2:29" s="848" customFormat="1" hidden="1">
      <c r="B45" s="931"/>
      <c r="C45" s="889"/>
      <c r="D45" s="930"/>
      <c r="E45" s="930"/>
      <c r="F45" s="930"/>
      <c r="G45" s="930"/>
      <c r="H45" s="930"/>
      <c r="I45" s="930"/>
      <c r="J45" s="960"/>
      <c r="K45" s="960"/>
      <c r="L45" s="960"/>
      <c r="M45" s="961"/>
      <c r="N45" s="961"/>
      <c r="O45" s="961"/>
      <c r="P45" s="961"/>
      <c r="Q45" s="961"/>
      <c r="R45" s="961"/>
      <c r="S45" s="961"/>
      <c r="T45" s="961"/>
      <c r="U45" s="961"/>
      <c r="V45" s="929"/>
      <c r="W45" s="961"/>
      <c r="X45" s="929"/>
      <c r="Y45" s="853"/>
      <c r="Z45" s="853"/>
      <c r="AA45" s="569"/>
      <c r="AB45" s="569"/>
      <c r="AC45" s="569"/>
    </row>
    <row r="46" spans="2:29" s="848" customFormat="1" ht="30" hidden="1">
      <c r="B46" s="931">
        <v>3</v>
      </c>
      <c r="C46" s="947" t="str">
        <f>BTL!B33</f>
        <v>BELANJA BANTUAN KEUANGAN</v>
      </c>
      <c r="D46" s="930"/>
      <c r="E46" s="930"/>
      <c r="F46" s="930"/>
      <c r="G46" s="930"/>
      <c r="H46" s="930"/>
      <c r="I46" s="930"/>
      <c r="J46" s="960"/>
      <c r="K46" s="960"/>
      <c r="L46" s="960"/>
      <c r="M46" s="961">
        <f>BTL!D33</f>
        <v>41605119000</v>
      </c>
      <c r="N46" s="961">
        <f>BTL!E33</f>
        <v>0</v>
      </c>
      <c r="O46" s="961">
        <f>BTL!F33</f>
        <v>40380119000</v>
      </c>
      <c r="P46" s="961">
        <f>BTL!G33</f>
        <v>0</v>
      </c>
      <c r="Q46" s="961">
        <f>BTL!H33</f>
        <v>40380119000</v>
      </c>
      <c r="R46" s="961">
        <f>BTL!I33</f>
        <v>0</v>
      </c>
      <c r="S46" s="961">
        <f>BTL!J33</f>
        <v>40380119000</v>
      </c>
      <c r="T46" s="961">
        <f>BTL!K33</f>
        <v>0</v>
      </c>
      <c r="U46" s="961">
        <f>BTL!L33</f>
        <v>40380119000</v>
      </c>
      <c r="V46" s="929"/>
      <c r="W46" s="961"/>
      <c r="X46" s="929"/>
      <c r="Y46" s="853"/>
      <c r="Z46" s="853"/>
      <c r="AA46" s="569"/>
      <c r="AB46" s="569"/>
      <c r="AC46" s="569"/>
    </row>
    <row r="47" spans="2:29" s="848" customFormat="1" ht="30" hidden="1">
      <c r="B47" s="932" t="s">
        <v>4884</v>
      </c>
      <c r="C47" s="197" t="str">
        <f>BTL!B34</f>
        <v>Belanja Bantuan Keuangan kepada Pemerintahan Desa</v>
      </c>
      <c r="D47" s="930"/>
      <c r="E47" s="930"/>
      <c r="F47" s="930"/>
      <c r="G47" s="930"/>
      <c r="H47" s="930"/>
      <c r="I47" s="930"/>
      <c r="J47" s="960"/>
      <c r="K47" s="960"/>
      <c r="L47" s="960"/>
      <c r="M47" s="961">
        <f>BTL!D34</f>
        <v>40697512000</v>
      </c>
      <c r="N47" s="961">
        <f>BTL!E34</f>
        <v>0</v>
      </c>
      <c r="O47" s="961">
        <f>BTL!F34</f>
        <v>39472512000</v>
      </c>
      <c r="P47" s="961">
        <f>BTL!G34</f>
        <v>0</v>
      </c>
      <c r="Q47" s="961">
        <f>BTL!H34</f>
        <v>39472512000</v>
      </c>
      <c r="R47" s="961">
        <f>BTL!I34</f>
        <v>0</v>
      </c>
      <c r="S47" s="961">
        <f>BTL!J34</f>
        <v>39472512000</v>
      </c>
      <c r="T47" s="961">
        <f>BTL!K34</f>
        <v>0</v>
      </c>
      <c r="U47" s="961">
        <f>BTL!L34</f>
        <v>39472512000</v>
      </c>
      <c r="V47" s="929"/>
      <c r="W47" s="961"/>
      <c r="X47" s="929"/>
      <c r="Y47" s="853"/>
      <c r="Z47" s="853"/>
      <c r="AA47" s="569"/>
      <c r="AB47" s="569"/>
      <c r="AC47" s="569"/>
    </row>
    <row r="48" spans="2:29" s="848" customFormat="1" ht="30" hidden="1">
      <c r="B48" s="932" t="s">
        <v>4885</v>
      </c>
      <c r="C48" s="197" t="str">
        <f>BTL!B35</f>
        <v>Belanja Bantuan Keuangan Kepada Partai Politik</v>
      </c>
      <c r="D48" s="930"/>
      <c r="E48" s="930"/>
      <c r="F48" s="930"/>
      <c r="G48" s="930"/>
      <c r="H48" s="930"/>
      <c r="I48" s="930"/>
      <c r="J48" s="960"/>
      <c r="K48" s="960"/>
      <c r="L48" s="960"/>
      <c r="M48" s="961">
        <f>BTL!D35</f>
        <v>907607000</v>
      </c>
      <c r="N48" s="961">
        <f>BTL!E35</f>
        <v>0</v>
      </c>
      <c r="O48" s="961">
        <f>BTL!F35</f>
        <v>907607000</v>
      </c>
      <c r="P48" s="961">
        <f>BTL!G35</f>
        <v>0</v>
      </c>
      <c r="Q48" s="961">
        <f>BTL!H35</f>
        <v>907607000</v>
      </c>
      <c r="R48" s="961">
        <f>BTL!I35</f>
        <v>0</v>
      </c>
      <c r="S48" s="961">
        <f>BTL!J35</f>
        <v>907607000</v>
      </c>
      <c r="T48" s="961">
        <f>BTL!K35</f>
        <v>0</v>
      </c>
      <c r="U48" s="961">
        <f>BTL!L35</f>
        <v>907607000</v>
      </c>
      <c r="V48" s="929"/>
      <c r="W48" s="961"/>
      <c r="X48" s="929"/>
      <c r="Y48" s="853"/>
      <c r="Z48" s="853"/>
      <c r="AA48" s="569"/>
      <c r="AB48" s="569"/>
      <c r="AC48" s="569"/>
    </row>
    <row r="49" spans="2:29" s="848" customFormat="1" hidden="1">
      <c r="B49" s="931"/>
      <c r="C49" s="889"/>
      <c r="D49" s="930"/>
      <c r="E49" s="930"/>
      <c r="F49" s="930"/>
      <c r="G49" s="930"/>
      <c r="H49" s="930"/>
      <c r="I49" s="930"/>
      <c r="J49" s="960"/>
      <c r="K49" s="960"/>
      <c r="L49" s="960"/>
      <c r="M49" s="961"/>
      <c r="N49" s="961"/>
      <c r="O49" s="961"/>
      <c r="P49" s="961"/>
      <c r="Q49" s="961"/>
      <c r="R49" s="961"/>
      <c r="S49" s="961"/>
      <c r="T49" s="961"/>
      <c r="U49" s="961"/>
      <c r="V49" s="929"/>
      <c r="W49" s="961"/>
      <c r="X49" s="929"/>
      <c r="Y49" s="853"/>
      <c r="Z49" s="853"/>
      <c r="AA49" s="569"/>
      <c r="AB49" s="569"/>
      <c r="AC49" s="569"/>
    </row>
    <row r="50" spans="2:29" s="848" customFormat="1" hidden="1">
      <c r="B50" s="931">
        <v>4</v>
      </c>
      <c r="C50" s="947" t="str">
        <f>BTL!B37</f>
        <v>BELANJA TIDAK TERDUGA</v>
      </c>
      <c r="D50" s="930"/>
      <c r="E50" s="930"/>
      <c r="F50" s="930"/>
      <c r="G50" s="930"/>
      <c r="H50" s="930"/>
      <c r="I50" s="930"/>
      <c r="J50" s="960"/>
      <c r="K50" s="960"/>
      <c r="L50" s="960"/>
      <c r="M50" s="961">
        <f>BTL!D37</f>
        <v>500000000</v>
      </c>
      <c r="N50" s="961">
        <f>BTL!E37</f>
        <v>0</v>
      </c>
      <c r="O50" s="961">
        <f>BTL!F37</f>
        <v>500000000</v>
      </c>
      <c r="P50" s="961">
        <f>BTL!G37</f>
        <v>0</v>
      </c>
      <c r="Q50" s="961">
        <f>BTL!H37</f>
        <v>500000000</v>
      </c>
      <c r="R50" s="961">
        <f>BTL!I37</f>
        <v>0</v>
      </c>
      <c r="S50" s="961">
        <f>BTL!J37</f>
        <v>1000000000</v>
      </c>
      <c r="T50" s="961">
        <f>BTL!K37</f>
        <v>0</v>
      </c>
      <c r="U50" s="961">
        <f>BTL!L37</f>
        <v>1500000000</v>
      </c>
      <c r="V50" s="929"/>
      <c r="W50" s="961"/>
      <c r="X50" s="929"/>
      <c r="Y50" s="853"/>
      <c r="Z50" s="853"/>
      <c r="AA50" s="569"/>
      <c r="AB50" s="569"/>
      <c r="AC50" s="569"/>
    </row>
    <row r="51" spans="2:29" s="848" customFormat="1" hidden="1">
      <c r="B51" s="932" t="s">
        <v>4884</v>
      </c>
      <c r="C51" s="197" t="str">
        <f>BTL!B38</f>
        <v>Belanja Tidak Terduga</v>
      </c>
      <c r="D51" s="930"/>
      <c r="E51" s="930"/>
      <c r="F51" s="930"/>
      <c r="G51" s="930"/>
      <c r="H51" s="930"/>
      <c r="I51" s="930"/>
      <c r="J51" s="960"/>
      <c r="K51" s="960"/>
      <c r="L51" s="960"/>
      <c r="M51" s="961">
        <f>BTL!D38</f>
        <v>500000000</v>
      </c>
      <c r="N51" s="961">
        <f>BTL!E38</f>
        <v>0</v>
      </c>
      <c r="O51" s="961">
        <f>BTL!F38</f>
        <v>500000000</v>
      </c>
      <c r="P51" s="961">
        <f>BTL!G38</f>
        <v>0</v>
      </c>
      <c r="Q51" s="961">
        <f>BTL!H38</f>
        <v>500000000</v>
      </c>
      <c r="R51" s="961">
        <f>BTL!I38</f>
        <v>0</v>
      </c>
      <c r="S51" s="961">
        <f>BTL!J38</f>
        <v>1000000000</v>
      </c>
      <c r="T51" s="961">
        <f>BTL!K38</f>
        <v>0</v>
      </c>
      <c r="U51" s="961">
        <f>BTL!L38</f>
        <v>1500000000</v>
      </c>
      <c r="V51" s="929"/>
      <c r="W51" s="961"/>
      <c r="X51" s="929"/>
      <c r="Y51" s="853"/>
      <c r="Z51" s="853"/>
      <c r="AA51" s="569"/>
      <c r="AB51" s="569"/>
      <c r="AC51" s="569"/>
    </row>
    <row r="52" spans="2:29" s="848" customFormat="1" hidden="1">
      <c r="B52" s="931"/>
      <c r="C52" s="164"/>
      <c r="D52" s="930"/>
      <c r="E52" s="930"/>
      <c r="F52" s="930"/>
      <c r="G52" s="930"/>
      <c r="H52" s="930"/>
      <c r="I52" s="930"/>
      <c r="J52" s="960"/>
      <c r="K52" s="960"/>
      <c r="L52" s="960"/>
      <c r="M52" s="961"/>
      <c r="N52" s="961"/>
      <c r="O52" s="961"/>
      <c r="P52" s="961"/>
      <c r="Q52" s="961"/>
      <c r="R52" s="961"/>
      <c r="S52" s="961"/>
      <c r="T52" s="961"/>
      <c r="U52" s="961"/>
      <c r="V52" s="961"/>
      <c r="W52" s="929"/>
      <c r="X52" s="929"/>
      <c r="Y52" s="853"/>
      <c r="Z52" s="853"/>
      <c r="AA52" s="569"/>
      <c r="AB52" s="569"/>
      <c r="AC52" s="569"/>
    </row>
    <row r="53" spans="2:29" s="848" customFormat="1" hidden="1">
      <c r="B53" s="948" t="s">
        <v>2026</v>
      </c>
      <c r="C53" s="948" t="s">
        <v>4661</v>
      </c>
      <c r="D53" s="972"/>
      <c r="E53" s="972"/>
      <c r="F53" s="972"/>
      <c r="G53" s="972"/>
      <c r="H53" s="972"/>
      <c r="I53" s="972"/>
      <c r="J53" s="1018"/>
      <c r="K53" s="1018"/>
      <c r="L53" s="1018"/>
      <c r="M53" s="1010">
        <f t="shared" ref="M53:X53" si="3">M9</f>
        <v>415594591530</v>
      </c>
      <c r="N53" s="1010">
        <f t="shared" si="3"/>
        <v>0</v>
      </c>
      <c r="O53" s="1010">
        <f t="shared" si="3"/>
        <v>371332336757.25</v>
      </c>
      <c r="P53" s="1010">
        <f t="shared" si="3"/>
        <v>0</v>
      </c>
      <c r="Q53" s="1010">
        <f t="shared" si="3"/>
        <v>371128887041.12</v>
      </c>
      <c r="R53" s="1010">
        <f t="shared" si="3"/>
        <v>0</v>
      </c>
      <c r="S53" s="1010">
        <f t="shared" si="3"/>
        <v>386038051974.32001</v>
      </c>
      <c r="T53" s="1010">
        <f t="shared" si="3"/>
        <v>0</v>
      </c>
      <c r="U53" s="1010">
        <f t="shared" si="3"/>
        <v>416374283386.83002</v>
      </c>
      <c r="V53" s="1010">
        <f t="shared" si="3"/>
        <v>0</v>
      </c>
      <c r="W53" s="1010">
        <f t="shared" si="3"/>
        <v>1960468150689.5203</v>
      </c>
      <c r="X53" s="1010">
        <f t="shared" si="3"/>
        <v>0</v>
      </c>
      <c r="Y53" s="853"/>
      <c r="Z53" s="853"/>
      <c r="AA53" s="569"/>
      <c r="AB53" s="569"/>
      <c r="AC53" s="569"/>
    </row>
    <row r="54" spans="2:29" s="1029" customFormat="1">
      <c r="B54" s="1261" t="s">
        <v>5018</v>
      </c>
      <c r="C54" s="1262"/>
      <c r="D54" s="1262"/>
      <c r="E54" s="1262"/>
      <c r="F54" s="1262"/>
      <c r="G54" s="1262"/>
      <c r="H54" s="1263"/>
      <c r="I54" s="1025"/>
      <c r="J54" s="1026"/>
      <c r="K54" s="1026"/>
      <c r="L54" s="1026"/>
      <c r="M54" s="1027"/>
      <c r="N54" s="1027"/>
      <c r="O54" s="1027"/>
      <c r="P54" s="1027"/>
      <c r="Q54" s="1027"/>
      <c r="R54" s="1027"/>
      <c r="S54" s="1027"/>
      <c r="T54" s="1027"/>
      <c r="U54" s="1027"/>
      <c r="V54" s="1027"/>
      <c r="W54" s="1027"/>
      <c r="X54" s="1027"/>
      <c r="Y54" s="1028"/>
      <c r="Z54" s="935"/>
      <c r="AA54" s="570"/>
      <c r="AB54" s="570"/>
      <c r="AC54" s="570"/>
    </row>
    <row r="55" spans="2:29" s="839" customFormat="1">
      <c r="B55" s="1030" t="s">
        <v>2136</v>
      </c>
      <c r="C55" s="1031"/>
      <c r="D55" s="934"/>
      <c r="E55" s="934"/>
      <c r="F55" s="934"/>
      <c r="G55" s="934"/>
      <c r="H55" s="934"/>
      <c r="I55" s="934"/>
      <c r="J55" s="962"/>
      <c r="K55" s="962"/>
      <c r="L55" s="962"/>
      <c r="M55" s="963"/>
      <c r="N55" s="963"/>
      <c r="O55" s="963"/>
      <c r="P55" s="963"/>
      <c r="Q55" s="963"/>
      <c r="R55" s="963"/>
      <c r="S55" s="963"/>
      <c r="T55" s="963"/>
      <c r="U55" s="963"/>
      <c r="V55" s="963"/>
      <c r="W55" s="963"/>
      <c r="X55" s="963"/>
      <c r="Y55" s="937"/>
      <c r="Z55" s="937"/>
      <c r="AA55" s="585"/>
      <c r="AB55" s="585"/>
      <c r="AC55" s="585"/>
    </row>
    <row r="56" spans="2:29" ht="90">
      <c r="B56" s="940"/>
      <c r="C56" s="941"/>
      <c r="D56" s="939"/>
      <c r="E56" s="939"/>
      <c r="F56" s="939"/>
      <c r="G56" s="939"/>
      <c r="H56" s="950" t="str">
        <f>'matrik MISI 6'!N90</f>
        <v>Laju Investasi</v>
      </c>
      <c r="I56" s="164" t="str">
        <f>'matrik MISI 6'!O90</f>
        <v>%</v>
      </c>
      <c r="J56" s="929" t="str">
        <f>'matrik MISI 6'!P90</f>
        <v>19,17</v>
      </c>
      <c r="K56" s="929" t="str">
        <f>'matrik MISI 6'!Q90</f>
        <v>11,16</v>
      </c>
      <c r="L56" s="929" t="str">
        <f>'matrik MISI 6'!R90</f>
        <v>18,77</v>
      </c>
      <c r="M56" s="961"/>
      <c r="N56" s="929" t="str">
        <f>'matrik MISI 6'!S90</f>
        <v>16,28</v>
      </c>
      <c r="O56" s="929"/>
      <c r="P56" s="929" t="str">
        <f>'matrik MISI 6'!T90</f>
        <v>14,43</v>
      </c>
      <c r="Q56" s="929"/>
      <c r="R56" s="929" t="str">
        <f>'matrik MISI 6'!U90</f>
        <v>14,43</v>
      </c>
      <c r="S56" s="929"/>
      <c r="T56" s="929" t="str">
        <f>'matrik MISI 6'!V90</f>
        <v>14,43</v>
      </c>
      <c r="U56" s="929"/>
      <c r="V56" s="929" t="str">
        <f>'matrik MISI 6'!W90</f>
        <v>14,43</v>
      </c>
      <c r="W56" s="929"/>
      <c r="X56" s="929" t="str">
        <f>'matrik MISI 6'!X90</f>
        <v>KP3M</v>
      </c>
      <c r="Y56" s="164" t="str">
        <f>'matrik MISI 6'!Y90</f>
        <v>Nilai investasi tahun ke berjalan dikurangi nilai investasi tahun sebelumnya dibagi nilai investasi tahun sebelumnya kali 100</v>
      </c>
      <c r="Z56" s="164">
        <f>'matrik MISI 6'!Z90</f>
        <v>0</v>
      </c>
    </row>
    <row r="57" spans="2:29" ht="30">
      <c r="B57" s="940"/>
      <c r="C57" s="941"/>
      <c r="D57" s="940"/>
      <c r="E57" s="940"/>
      <c r="F57" s="940"/>
      <c r="G57" s="940"/>
      <c r="H57" s="164" t="str">
        <f>'matrik MISI 6'!N92</f>
        <v>Nilai Investasi</v>
      </c>
      <c r="I57" s="164" t="str">
        <f>'matrik MISI 6'!O92</f>
        <v>Rupiah</v>
      </c>
      <c r="J57" s="929" t="str">
        <f>'matrik MISI 6'!P92</f>
        <v>123,457 M</v>
      </c>
      <c r="K57" s="929" t="str">
        <f>'matrik MISI 6'!Q92</f>
        <v>85,692 M</v>
      </c>
      <c r="L57" s="929" t="str">
        <f>'matrik MISI 6'!R92</f>
        <v>160 M</v>
      </c>
      <c r="M57" s="961"/>
      <c r="N57" s="929" t="str">
        <f>'matrik MISI 6'!S92</f>
        <v>165 M</v>
      </c>
      <c r="O57" s="929"/>
      <c r="P57" s="929" t="str">
        <f>'matrik MISI 6'!T92</f>
        <v>170 M</v>
      </c>
      <c r="Q57" s="929"/>
      <c r="R57" s="929" t="str">
        <f>'matrik MISI 6'!U92</f>
        <v>170 M</v>
      </c>
      <c r="S57" s="929"/>
      <c r="T57" s="929" t="str">
        <f>'matrik MISI 6'!V92</f>
        <v>170 M</v>
      </c>
      <c r="U57" s="929"/>
      <c r="V57" s="929" t="str">
        <f>'matrik MISI 6'!W92</f>
        <v>170 M</v>
      </c>
      <c r="W57" s="929"/>
      <c r="X57" s="929" t="str">
        <f>'matrik MISI 6'!X92</f>
        <v>KP3M</v>
      </c>
      <c r="Y57" s="164" t="str">
        <f>'matrik MISI 6'!Y92</f>
        <v>Nilai investasi pada tahun berjalan</v>
      </c>
      <c r="Z57" s="164" t="str">
        <f>'matrik MISI 6'!Z92</f>
        <v>Investasi meliputi PMDN dan PMA</v>
      </c>
    </row>
    <row r="58" spans="2:29" ht="75">
      <c r="B58" s="940"/>
      <c r="C58" s="941"/>
      <c r="D58" s="939"/>
      <c r="E58" s="939"/>
      <c r="F58" s="939"/>
      <c r="G58" s="939"/>
      <c r="H58" s="164" t="str">
        <f>'matrik MISI 2'!N47</f>
        <v>Persentase Menurunnya Rumah Tangga Sasaran (Angka Kemiskinan)</v>
      </c>
      <c r="I58" s="164" t="str">
        <f>'matrik MISI 2'!O47</f>
        <v>%</v>
      </c>
      <c r="J58" s="929">
        <f>'matrik MISI 2'!P47</f>
        <v>17.79</v>
      </c>
      <c r="K58" s="929" t="str">
        <f>'matrik MISI 2'!Q47</f>
        <v>17,27</v>
      </c>
      <c r="L58" s="929">
        <f>'matrik MISI 2'!R47</f>
        <v>15.6</v>
      </c>
      <c r="M58" s="961"/>
      <c r="N58" s="929">
        <f>'matrik MISI 2'!S47</f>
        <v>14.4</v>
      </c>
      <c r="O58" s="929"/>
      <c r="P58" s="929">
        <f>'matrik MISI 2'!T47</f>
        <v>13.3</v>
      </c>
      <c r="Q58" s="929"/>
      <c r="R58" s="929">
        <f>'matrik MISI 2'!U47</f>
        <v>12.2</v>
      </c>
      <c r="S58" s="929"/>
      <c r="T58" s="929">
        <f>'matrik MISI 2'!V47</f>
        <v>11</v>
      </c>
      <c r="U58" s="929"/>
      <c r="V58" s="929">
        <f>'matrik MISI 2'!W47</f>
        <v>11</v>
      </c>
      <c r="W58" s="929"/>
      <c r="X58" s="929" t="str">
        <f>'matrik MISI 2'!X47</f>
        <v>BAPERMADES</v>
      </c>
      <c r="Y58" s="164" t="str">
        <f>'matrik MISI 2'!Y47</f>
        <v xml:space="preserve">Jumlah Rumah Tangga Sasaran dibagi Jumlah Rumah Tangga X 100 </v>
      </c>
      <c r="Z58" s="164" t="str">
        <f>'matrik MISI 2'!Z47</f>
        <v>Rumah tangga sasaran adalah RT hasil pendataan tahun 2012 hasil PPLS BPS tahun 2008</v>
      </c>
    </row>
    <row r="59" spans="2:29">
      <c r="B59" s="940"/>
      <c r="C59" s="941"/>
      <c r="D59" s="939"/>
      <c r="E59" s="939"/>
      <c r="F59" s="939"/>
      <c r="G59" s="939"/>
      <c r="H59" s="1024" t="s">
        <v>4304</v>
      </c>
      <c r="I59" s="164"/>
      <c r="J59" s="1038">
        <v>8482526</v>
      </c>
      <c r="K59" s="1039">
        <f>J59*5%+J59</f>
        <v>8906652.3000000007</v>
      </c>
      <c r="L59" s="1039">
        <f>K59*5%+K59</f>
        <v>9351984.915000001</v>
      </c>
      <c r="M59" s="1039">
        <f t="shared" ref="M59:S59" si="4">L59*5%+L59</f>
        <v>9819584.1607500017</v>
      </c>
      <c r="N59" s="1039">
        <f>L59*5%+L59</f>
        <v>9819584.1607500017</v>
      </c>
      <c r="O59" s="1039">
        <f t="shared" si="4"/>
        <v>10310563.368787501</v>
      </c>
      <c r="P59" s="1039">
        <f>N59*5%+N59</f>
        <v>10310563.368787501</v>
      </c>
      <c r="Q59" s="1039">
        <f t="shared" si="4"/>
        <v>10826091.537226876</v>
      </c>
      <c r="R59" s="1039">
        <f>P59*5%+P59</f>
        <v>10826091.537226876</v>
      </c>
      <c r="S59" s="1039">
        <f t="shared" si="4"/>
        <v>11367396.114088221</v>
      </c>
      <c r="T59" s="1039">
        <f>R59*5%+R59</f>
        <v>11367396.114088221</v>
      </c>
      <c r="U59" s="1039">
        <f t="shared" ref="U59" si="5">S59*5%+S59</f>
        <v>11935765.919792632</v>
      </c>
      <c r="V59" s="1039"/>
      <c r="W59" s="929"/>
      <c r="X59" s="929"/>
      <c r="Y59" s="164"/>
      <c r="Z59" s="164"/>
    </row>
    <row r="60" spans="2:29" ht="45">
      <c r="B60" s="940"/>
      <c r="C60" s="941"/>
      <c r="D60" s="939"/>
      <c r="E60" s="939"/>
      <c r="F60" s="939"/>
      <c r="G60" s="939"/>
      <c r="H60" s="1024" t="s">
        <v>4305</v>
      </c>
      <c r="I60" s="164"/>
      <c r="J60" s="929">
        <v>5.2999999999999999E-2</v>
      </c>
      <c r="K60" s="929" t="s">
        <v>1041</v>
      </c>
      <c r="L60" s="929">
        <v>4.4999999999999998E-2</v>
      </c>
      <c r="M60" s="961"/>
      <c r="N60" s="929">
        <v>4.4999999999999998E-2</v>
      </c>
      <c r="O60" s="929">
        <v>4.4999999999999998E-2</v>
      </c>
      <c r="P60" s="929">
        <v>4.4999999999999998E-2</v>
      </c>
      <c r="Q60" s="929">
        <v>4.4999999999999998E-2</v>
      </c>
      <c r="R60" s="929">
        <v>4.4999999999999998E-2</v>
      </c>
      <c r="S60" s="929">
        <v>4.4999999999999998E-2</v>
      </c>
      <c r="T60" s="929">
        <v>4.4999999999999998E-2</v>
      </c>
      <c r="U60" s="929">
        <v>4.4999999999999998E-2</v>
      </c>
      <c r="V60" s="929">
        <v>4.4999999999999998E-2</v>
      </c>
      <c r="W60" s="929"/>
      <c r="X60" s="929"/>
      <c r="Y60" s="164"/>
      <c r="Z60" s="164"/>
    </row>
    <row r="61" spans="2:29">
      <c r="B61" s="940"/>
      <c r="C61" s="941"/>
      <c r="D61" s="939"/>
      <c r="E61" s="939"/>
      <c r="F61" s="939"/>
      <c r="G61" s="939"/>
      <c r="H61" s="164"/>
      <c r="I61" s="164"/>
      <c r="J61" s="929"/>
      <c r="K61" s="929"/>
      <c r="L61" s="929"/>
      <c r="M61" s="961"/>
      <c r="N61" s="929"/>
      <c r="O61" s="929"/>
      <c r="P61" s="929"/>
      <c r="Q61" s="929"/>
      <c r="R61" s="929"/>
      <c r="S61" s="929"/>
      <c r="T61" s="929"/>
      <c r="U61" s="929"/>
      <c r="V61" s="929"/>
      <c r="W61" s="929"/>
      <c r="X61" s="929"/>
      <c r="Y61" s="164"/>
      <c r="Z61" s="164"/>
    </row>
    <row r="62" spans="2:29" s="839" customFormat="1">
      <c r="B62" s="1032" t="s">
        <v>2137</v>
      </c>
      <c r="C62" s="933"/>
      <c r="D62" s="934"/>
      <c r="E62" s="934"/>
      <c r="F62" s="934"/>
      <c r="G62" s="934"/>
      <c r="H62" s="934"/>
      <c r="I62" s="934"/>
      <c r="J62" s="962"/>
      <c r="K62" s="962"/>
      <c r="L62" s="962"/>
      <c r="M62" s="963"/>
      <c r="N62" s="963"/>
      <c r="O62" s="963"/>
      <c r="P62" s="963"/>
      <c r="Q62" s="963"/>
      <c r="R62" s="963"/>
      <c r="S62" s="963"/>
      <c r="T62" s="963"/>
      <c r="U62" s="963"/>
      <c r="V62" s="963"/>
      <c r="W62" s="963"/>
      <c r="X62" s="963"/>
      <c r="Y62" s="937"/>
      <c r="Z62" s="937"/>
      <c r="AA62" s="585"/>
      <c r="AB62" s="585"/>
      <c r="AC62" s="585"/>
    </row>
    <row r="63" spans="2:29" s="848" customFormat="1">
      <c r="B63" s="931">
        <v>1</v>
      </c>
      <c r="C63" s="931" t="str">
        <f>'IKD dan anggaran'!C54</f>
        <v>PENDIDIKAN</v>
      </c>
      <c r="D63" s="930"/>
      <c r="E63" s="930"/>
      <c r="F63" s="930"/>
      <c r="G63" s="930"/>
      <c r="H63" s="930"/>
      <c r="I63" s="930"/>
      <c r="J63" s="960"/>
      <c r="K63" s="960"/>
      <c r="L63" s="960"/>
      <c r="M63" s="961"/>
      <c r="N63" s="961"/>
      <c r="O63" s="961"/>
      <c r="P63" s="961"/>
      <c r="Q63" s="961"/>
      <c r="R63" s="961"/>
      <c r="S63" s="961"/>
      <c r="T63" s="961"/>
      <c r="U63" s="961"/>
      <c r="V63" s="961"/>
      <c r="W63" s="961"/>
      <c r="X63" s="961"/>
      <c r="Y63" s="1016"/>
      <c r="Z63" s="1016"/>
      <c r="AA63" s="569"/>
      <c r="AB63" s="569"/>
      <c r="AC63" s="569"/>
    </row>
    <row r="64" spans="2:29" ht="75">
      <c r="B64" s="940"/>
      <c r="C64" s="941"/>
      <c r="D64" s="939"/>
      <c r="E64" s="939"/>
      <c r="F64" s="939"/>
      <c r="G64" s="939"/>
      <c r="H64" s="164" t="str">
        <f>'matrik MISI 4'!N20</f>
        <v>Persentase APK SD Sederajat</v>
      </c>
      <c r="I64" s="164" t="str">
        <f>'matrik MISI 4'!O20</f>
        <v>%</v>
      </c>
      <c r="J64" s="929">
        <f>'matrik MISI 4'!P20</f>
        <v>103.5</v>
      </c>
      <c r="K64" s="929">
        <f>'matrik MISI 4'!Q20</f>
        <v>103.55</v>
      </c>
      <c r="L64" s="929">
        <f>'matrik MISI 4'!R20</f>
        <v>103.58</v>
      </c>
      <c r="M64" s="961"/>
      <c r="N64" s="929">
        <f>'matrik MISI 4'!S20</f>
        <v>103.61</v>
      </c>
      <c r="O64" s="929"/>
      <c r="P64" s="929">
        <f>'matrik MISI 4'!T20</f>
        <v>103.64</v>
      </c>
      <c r="Q64" s="929"/>
      <c r="R64" s="929">
        <f>'matrik MISI 4'!U20</f>
        <v>103.67</v>
      </c>
      <c r="S64" s="929"/>
      <c r="T64" s="929">
        <f>'matrik MISI 4'!V20</f>
        <v>103.7</v>
      </c>
      <c r="U64" s="929"/>
      <c r="V64" s="929">
        <f>'matrik MISI 4'!W20</f>
        <v>103.7</v>
      </c>
      <c r="W64" s="929"/>
      <c r="X64" s="929" t="str">
        <f>'matrik MISI 4'!X20</f>
        <v>Dinas Pendidikan</v>
      </c>
      <c r="Y64" s="164" t="str">
        <f>'matrik MISI 4'!Y20</f>
        <v>Jumlah siswa SD-sederajat dibagi jumlah penduduk usia 7-12 tahun kali 100%</v>
      </c>
      <c r="Z64" s="164">
        <f>'matrik MISI 4'!Z20</f>
        <v>0</v>
      </c>
    </row>
    <row r="65" spans="2:29" ht="75">
      <c r="B65" s="940"/>
      <c r="C65" s="941"/>
      <c r="D65" s="940"/>
      <c r="E65" s="940"/>
      <c r="F65" s="940"/>
      <c r="G65" s="940"/>
      <c r="H65" s="164" t="str">
        <f>'matrik MISI 4'!N21</f>
        <v>Persentase APM SD Sederajat</v>
      </c>
      <c r="I65" s="164" t="str">
        <f>'matrik MISI 4'!O21</f>
        <v>%</v>
      </c>
      <c r="J65" s="929">
        <f>'matrik MISI 4'!P21</f>
        <v>95.4</v>
      </c>
      <c r="K65" s="929">
        <f>'matrik MISI 4'!Q21</f>
        <v>95.42</v>
      </c>
      <c r="L65" s="929">
        <f>'matrik MISI 4'!R21</f>
        <v>95.45</v>
      </c>
      <c r="M65" s="961"/>
      <c r="N65" s="929">
        <f>'matrik MISI 4'!S21</f>
        <v>95.48</v>
      </c>
      <c r="O65" s="929"/>
      <c r="P65" s="929">
        <f>'matrik MISI 4'!T21</f>
        <v>95.51</v>
      </c>
      <c r="Q65" s="929"/>
      <c r="R65" s="929">
        <f>'matrik MISI 4'!U21</f>
        <v>95.54</v>
      </c>
      <c r="S65" s="929"/>
      <c r="T65" s="929">
        <f>'matrik MISI 4'!V21</f>
        <v>95.57</v>
      </c>
      <c r="U65" s="929"/>
      <c r="V65" s="929">
        <f>'matrik MISI 4'!W21</f>
        <v>95.57</v>
      </c>
      <c r="W65" s="929"/>
      <c r="X65" s="929" t="str">
        <f>'matrik MISI 4'!X21</f>
        <v>Dinas Pendidikan</v>
      </c>
      <c r="Y65" s="164" t="str">
        <f>'matrik MISI 4'!Y21</f>
        <v>Jumlah siswa SD-sederajat usia 7-12 tahun dibagi jumlah penduduk usia 7-12 tahun kali 100%</v>
      </c>
      <c r="Z65" s="164">
        <f>'matrik MISI 4'!Z21</f>
        <v>0</v>
      </c>
    </row>
    <row r="66" spans="2:29" ht="75">
      <c r="B66" s="940"/>
      <c r="C66" s="941"/>
      <c r="D66" s="940"/>
      <c r="E66" s="940"/>
      <c r="F66" s="940"/>
      <c r="G66" s="940"/>
      <c r="H66" s="164" t="str">
        <f>'matrik MISI 4'!N22</f>
        <v>Persentase APK SMP Sederajat</v>
      </c>
      <c r="I66" s="164" t="str">
        <f>'matrik MISI 4'!O22</f>
        <v>%</v>
      </c>
      <c r="J66" s="929">
        <f>'matrik MISI 4'!P22</f>
        <v>96</v>
      </c>
      <c r="K66" s="929">
        <f>'matrik MISI 4'!Q22</f>
        <v>96.03</v>
      </c>
      <c r="L66" s="929">
        <f>'matrik MISI 4'!R22</f>
        <v>96.06</v>
      </c>
      <c r="M66" s="961"/>
      <c r="N66" s="929">
        <f>'matrik MISI 4'!S22</f>
        <v>96.09</v>
      </c>
      <c r="O66" s="929"/>
      <c r="P66" s="929">
        <f>'matrik MISI 4'!T22</f>
        <v>96.12</v>
      </c>
      <c r="Q66" s="929"/>
      <c r="R66" s="929">
        <f>'matrik MISI 4'!U22</f>
        <v>96.15</v>
      </c>
      <c r="S66" s="929"/>
      <c r="T66" s="929">
        <f>'matrik MISI 4'!V22</f>
        <v>96.15</v>
      </c>
      <c r="U66" s="929"/>
      <c r="V66" s="929">
        <f>'matrik MISI 4'!W22</f>
        <v>96.15</v>
      </c>
      <c r="W66" s="929"/>
      <c r="X66" s="929" t="str">
        <f>'matrik MISI 4'!X22</f>
        <v>Dinas Pendidikan</v>
      </c>
      <c r="Y66" s="164" t="str">
        <f>'matrik MISI 4'!Y22</f>
        <v>Jumlah siswa SMP-sederajat dibagi jumlah penduduk usia 13-15 tahun kali 100%</v>
      </c>
      <c r="Z66" s="164">
        <f>'matrik MISI 4'!Z22</f>
        <v>0</v>
      </c>
    </row>
    <row r="67" spans="2:29" ht="75">
      <c r="B67" s="940"/>
      <c r="C67" s="941"/>
      <c r="D67" s="940"/>
      <c r="E67" s="940"/>
      <c r="F67" s="940"/>
      <c r="G67" s="940"/>
      <c r="H67" s="164" t="str">
        <f>'matrik MISI 4'!N23</f>
        <v>Persentase APM SMP Sederajat</v>
      </c>
      <c r="I67" s="164" t="str">
        <f>'matrik MISI 4'!O23</f>
        <v>%</v>
      </c>
      <c r="J67" s="929">
        <f>'matrik MISI 4'!P23</f>
        <v>83.63</v>
      </c>
      <c r="K67" s="929">
        <f>'matrik MISI 4'!Q23</f>
        <v>83.66</v>
      </c>
      <c r="L67" s="929">
        <f>'matrik MISI 4'!R23</f>
        <v>83.69</v>
      </c>
      <c r="M67" s="961"/>
      <c r="N67" s="929">
        <f>'matrik MISI 4'!S23</f>
        <v>83.72</v>
      </c>
      <c r="O67" s="929"/>
      <c r="P67" s="929">
        <f>'matrik MISI 4'!T23</f>
        <v>83.75</v>
      </c>
      <c r="Q67" s="929"/>
      <c r="R67" s="929">
        <f>'matrik MISI 4'!U23</f>
        <v>83.78</v>
      </c>
      <c r="S67" s="929"/>
      <c r="T67" s="929">
        <f>'matrik MISI 4'!V23</f>
        <v>83.81</v>
      </c>
      <c r="U67" s="929"/>
      <c r="V67" s="929">
        <f>'matrik MISI 4'!W23</f>
        <v>83.81</v>
      </c>
      <c r="W67" s="929"/>
      <c r="X67" s="929" t="str">
        <f>'matrik MISI 4'!X23</f>
        <v>Dinas Pendidikan</v>
      </c>
      <c r="Y67" s="164" t="str">
        <f>'matrik MISI 4'!Y23</f>
        <v>Jumlah siswa SMP-sederajat usia 13-15 tahun dibagi jumlah penduduk usia 13-15 tahun kali 100%</v>
      </c>
      <c r="Z67" s="164">
        <f>'matrik MISI 4'!Z23</f>
        <v>0</v>
      </c>
    </row>
    <row r="68" spans="2:29" ht="75">
      <c r="B68" s="940"/>
      <c r="C68" s="941"/>
      <c r="D68" s="940"/>
      <c r="E68" s="940"/>
      <c r="F68" s="940"/>
      <c r="G68" s="940"/>
      <c r="H68" s="164" t="str">
        <f>'matrik MISI 4'!N24</f>
        <v>Persentase Angka  Melanjutkan ke SMP Sederajat</v>
      </c>
      <c r="I68" s="164" t="str">
        <f>'matrik MISI 4'!O24</f>
        <v>%</v>
      </c>
      <c r="J68" s="929">
        <f>'matrik MISI 4'!P24</f>
        <v>95.34094966083542</v>
      </c>
      <c r="K68" s="929">
        <f>'matrik MISI 4'!Q24</f>
        <v>95.37</v>
      </c>
      <c r="L68" s="929">
        <f>'matrik MISI 4'!R24</f>
        <v>100</v>
      </c>
      <c r="M68" s="961"/>
      <c r="N68" s="929">
        <f>'matrik MISI 4'!S24</f>
        <v>100</v>
      </c>
      <c r="O68" s="929"/>
      <c r="P68" s="929">
        <f>'matrik MISI 4'!T24</f>
        <v>100</v>
      </c>
      <c r="Q68" s="929"/>
      <c r="R68" s="929">
        <f>'matrik MISI 4'!U24</f>
        <v>100</v>
      </c>
      <c r="S68" s="929"/>
      <c r="T68" s="929">
        <f>'matrik MISI 4'!V24</f>
        <v>100</v>
      </c>
      <c r="U68" s="929"/>
      <c r="V68" s="929">
        <f>'matrik MISI 4'!W24</f>
        <v>100</v>
      </c>
      <c r="W68" s="929"/>
      <c r="X68" s="929" t="str">
        <f>'matrik MISI 4'!X24</f>
        <v>Dinas Pendidikan</v>
      </c>
      <c r="Y68" s="164" t="str">
        <f>'matrik MISI 4'!Y24</f>
        <v>Jumlah lulusan SD/MI tahun T-1 dibagi jumlah siswa baru tingkat I SMP/MTs tahun T kali 100%</v>
      </c>
      <c r="Z68" s="164">
        <f>'matrik MISI 4'!Z24</f>
        <v>0</v>
      </c>
    </row>
    <row r="69" spans="2:29" s="848" customFormat="1">
      <c r="B69" s="931">
        <v>2</v>
      </c>
      <c r="C69" s="931" t="str">
        <f>'IKD dan anggaran'!C168</f>
        <v>KESEHATAN</v>
      </c>
      <c r="D69" s="930"/>
      <c r="E69" s="930"/>
      <c r="F69" s="930"/>
      <c r="G69" s="930"/>
      <c r="H69" s="930"/>
      <c r="I69" s="930"/>
      <c r="J69" s="960"/>
      <c r="K69" s="960"/>
      <c r="L69" s="960"/>
      <c r="M69" s="961"/>
      <c r="N69" s="961"/>
      <c r="O69" s="961"/>
      <c r="P69" s="961"/>
      <c r="Q69" s="961"/>
      <c r="R69" s="961"/>
      <c r="S69" s="961"/>
      <c r="T69" s="961"/>
      <c r="U69" s="961"/>
      <c r="V69" s="961"/>
      <c r="W69" s="961"/>
      <c r="X69" s="961"/>
      <c r="Y69" s="1016"/>
      <c r="Z69" s="1016"/>
      <c r="AA69" s="569"/>
      <c r="AB69" s="569"/>
      <c r="AC69" s="569"/>
    </row>
    <row r="70" spans="2:29" ht="150">
      <c r="B70" s="940"/>
      <c r="C70" s="941"/>
      <c r="D70" s="940"/>
      <c r="E70" s="940"/>
      <c r="F70" s="940"/>
      <c r="G70" s="398"/>
      <c r="H70" s="164" t="str">
        <f>'matrik MISI 5'!N11</f>
        <v>Angka Kematian Ibu per 100.000 Kelahiran Hidup</v>
      </c>
      <c r="I70" s="164" t="str">
        <f>'matrik MISI 5'!O11</f>
        <v>perkilomil</v>
      </c>
      <c r="J70" s="929">
        <f>'matrik MISI 5'!P11</f>
        <v>88.92</v>
      </c>
      <c r="K70" s="929">
        <f>'matrik MISI 5'!Q11</f>
        <v>102</v>
      </c>
      <c r="L70" s="929">
        <f>'matrik MISI 5'!R11</f>
        <v>102</v>
      </c>
      <c r="M70" s="961"/>
      <c r="N70" s="929">
        <f>'matrik MISI 5'!S11</f>
        <v>101</v>
      </c>
      <c r="O70" s="929"/>
      <c r="P70" s="929">
        <f>'matrik MISI 5'!T11</f>
        <v>101</v>
      </c>
      <c r="Q70" s="929"/>
      <c r="R70" s="929">
        <f>'matrik MISI 5'!U11</f>
        <v>100</v>
      </c>
      <c r="S70" s="929"/>
      <c r="T70" s="929">
        <f>'matrik MISI 5'!V11</f>
        <v>100</v>
      </c>
      <c r="U70" s="929"/>
      <c r="V70" s="929">
        <f>'matrik MISI 5'!W11</f>
        <v>100</v>
      </c>
      <c r="W70" s="929"/>
      <c r="X70" s="929" t="str">
        <f>'matrik MISI 5'!X11</f>
        <v>Dinas Kesehatan</v>
      </c>
      <c r="Y70" s="164" t="str">
        <f>'matrik MISI 5'!Y11</f>
        <v>Jumlah ibu yang meninggal karena hamil, bersalin dan nifas di suatu wilayah pada kurun waktu tertentu / Jumlah kelahiran hidup di wilayah dan pada kurun waktu yang sama x 100.000</v>
      </c>
      <c r="Z70" s="164">
        <f>'matrik MISI 5'!Z11</f>
        <v>0</v>
      </c>
    </row>
    <row r="71" spans="2:29" ht="45">
      <c r="B71" s="940"/>
      <c r="C71" s="941"/>
      <c r="D71" s="940"/>
      <c r="E71" s="940"/>
      <c r="F71" s="940"/>
      <c r="G71" s="398"/>
      <c r="H71" s="164" t="str">
        <f>'matrik MISI 5'!N16</f>
        <v>Angka Kelangsungan Hidup Bayi</v>
      </c>
      <c r="I71" s="164" t="str">
        <f>'matrik MISI 5'!O16</f>
        <v>permil</v>
      </c>
      <c r="J71" s="929">
        <f>'matrik MISI 5'!P16</f>
        <v>0.98699999999999999</v>
      </c>
      <c r="K71" s="929">
        <f>'matrik MISI 5'!Q16</f>
        <v>0.98</v>
      </c>
      <c r="L71" s="929" t="str">
        <f>'matrik MISI 5'!R16</f>
        <v>0,980</v>
      </c>
      <c r="M71" s="961"/>
      <c r="N71" s="929" t="str">
        <f>'matrik MISI 5'!S16</f>
        <v>0,983</v>
      </c>
      <c r="O71" s="929"/>
      <c r="P71" s="929" t="str">
        <f>'matrik MISI 5'!T16</f>
        <v>0,986</v>
      </c>
      <c r="Q71" s="929"/>
      <c r="R71" s="929" t="str">
        <f>'matrik MISI 5'!U16</f>
        <v>0,989</v>
      </c>
      <c r="S71" s="929"/>
      <c r="T71" s="929" t="str">
        <f>'matrik MISI 5'!V16</f>
        <v>0,992</v>
      </c>
      <c r="U71" s="929"/>
      <c r="V71" s="929" t="str">
        <f>'matrik MISI 5'!W16</f>
        <v>0,992</v>
      </c>
      <c r="W71" s="929"/>
      <c r="X71" s="929" t="str">
        <f>'matrik MISI 5'!X16</f>
        <v>Dinas Kesehatan</v>
      </c>
      <c r="Y71" s="164" t="str">
        <f>'matrik MISI 5'!Y16</f>
        <v>1-angka kematian bayi per 1.000 kelahiran hidup</v>
      </c>
      <c r="Z71" s="164">
        <f>'matrik MISI 5'!Z16</f>
        <v>0</v>
      </c>
    </row>
    <row r="72" spans="2:29" ht="135">
      <c r="B72" s="940"/>
      <c r="C72" s="941"/>
      <c r="D72" s="940"/>
      <c r="E72" s="940"/>
      <c r="F72" s="940"/>
      <c r="G72" s="398"/>
      <c r="H72" s="164" t="str">
        <f>'matrik MISI 5'!N17</f>
        <v>Angka Kematian Neonatal per 1.000 Kelahiran Hidup</v>
      </c>
      <c r="I72" s="164" t="str">
        <f>'matrik MISI 5'!O17</f>
        <v>permil</v>
      </c>
      <c r="J72" s="929">
        <f>'matrik MISI 5'!P17</f>
        <v>6</v>
      </c>
      <c r="K72" s="929">
        <f>'matrik MISI 5'!Q17</f>
        <v>9</v>
      </c>
      <c r="L72" s="929">
        <f>'matrik MISI 5'!R17</f>
        <v>8.5</v>
      </c>
      <c r="M72" s="961"/>
      <c r="N72" s="929">
        <f>'matrik MISI 5'!S17</f>
        <v>8.5</v>
      </c>
      <c r="O72" s="929"/>
      <c r="P72" s="929">
        <f>'matrik MISI 5'!T17</f>
        <v>7.3</v>
      </c>
      <c r="Q72" s="929"/>
      <c r="R72" s="929">
        <f>'matrik MISI 5'!U17</f>
        <v>7</v>
      </c>
      <c r="S72" s="929"/>
      <c r="T72" s="929">
        <f>'matrik MISI 5'!V17</f>
        <v>6.8</v>
      </c>
      <c r="U72" s="929"/>
      <c r="V72" s="929">
        <f>'matrik MISI 5'!W17</f>
        <v>6.8</v>
      </c>
      <c r="W72" s="929"/>
      <c r="X72" s="929" t="str">
        <f>'matrik MISI 5'!X17</f>
        <v>Dinas Kesehatan</v>
      </c>
      <c r="Y72" s="164" t="str">
        <f>'matrik MISI 5'!Y17</f>
        <v>Jumlah bayi (berumur 0-28 hari) yang meninggal di suatu wilayah pada kurun waktu tertentu / Jumlah kelahiran hidup di wilayah dan pada kurun waktu yang sama x 1.000</v>
      </c>
      <c r="Z72" s="164">
        <f>'matrik MISI 5'!Z17</f>
        <v>0</v>
      </c>
    </row>
    <row r="73" spans="2:29" ht="135">
      <c r="B73" s="940"/>
      <c r="C73" s="941"/>
      <c r="D73" s="940"/>
      <c r="E73" s="940"/>
      <c r="F73" s="940"/>
      <c r="G73" s="398"/>
      <c r="H73" s="164" t="str">
        <f>'matrik MISI 5'!N18</f>
        <v>Angka Kematian Bayi per 1.000 Kelahiran Hidup</v>
      </c>
      <c r="I73" s="164" t="str">
        <f>'matrik MISI 5'!O18</f>
        <v>permil</v>
      </c>
      <c r="J73" s="929">
        <f>'matrik MISI 5'!P18</f>
        <v>12.21</v>
      </c>
      <c r="K73" s="929">
        <f>'matrik MISI 5'!Q18</f>
        <v>14.2</v>
      </c>
      <c r="L73" s="929">
        <f>'matrik MISI 5'!R18</f>
        <v>14.11</v>
      </c>
      <c r="M73" s="961"/>
      <c r="N73" s="929">
        <f>'matrik MISI 5'!S18</f>
        <v>14</v>
      </c>
      <c r="O73" s="929"/>
      <c r="P73" s="929">
        <f>'matrik MISI 5'!T18</f>
        <v>13</v>
      </c>
      <c r="Q73" s="929"/>
      <c r="R73" s="929">
        <f>'matrik MISI 5'!U18</f>
        <v>12</v>
      </c>
      <c r="S73" s="929"/>
      <c r="T73" s="929">
        <f>'matrik MISI 5'!V18</f>
        <v>11</v>
      </c>
      <c r="U73" s="929"/>
      <c r="V73" s="929">
        <f>'matrik MISI 5'!W18</f>
        <v>11</v>
      </c>
      <c r="W73" s="929"/>
      <c r="X73" s="929" t="str">
        <f>'matrik MISI 5'!X18</f>
        <v>Dinas Kesehatan</v>
      </c>
      <c r="Y73" s="164" t="str">
        <f>'matrik MISI 5'!Y18</f>
        <v>Jumlah bayi (berumur &lt; 1tahun) yang meninggal di suatu wilayah pada kurun waktu tertentu / Jumlah kelahiran hidup di wilayah dan pada kurun waktu yang sama x 1.000</v>
      </c>
      <c r="Z73" s="164">
        <f>'matrik MISI 5'!Z18</f>
        <v>0</v>
      </c>
    </row>
    <row r="74" spans="2:29" ht="135">
      <c r="B74" s="940"/>
      <c r="C74" s="941"/>
      <c r="D74" s="940"/>
      <c r="E74" s="940"/>
      <c r="F74" s="940"/>
      <c r="G74" s="398"/>
      <c r="H74" s="164" t="str">
        <f>'matrik MISI 5'!N19</f>
        <v>Angka Kematian Balita per 1.000 Kelahiran Hidup</v>
      </c>
      <c r="I74" s="164" t="str">
        <f>'matrik MISI 5'!O19</f>
        <v>permil</v>
      </c>
      <c r="J74" s="929">
        <f>'matrik MISI 5'!P19</f>
        <v>13</v>
      </c>
      <c r="K74" s="929">
        <f>'matrik MISI 5'!Q19</f>
        <v>15.5</v>
      </c>
      <c r="L74" s="929">
        <f>'matrik MISI 5'!R19</f>
        <v>15.2</v>
      </c>
      <c r="M74" s="961"/>
      <c r="N74" s="929">
        <f>'matrik MISI 5'!S19</f>
        <v>14.7</v>
      </c>
      <c r="O74" s="929"/>
      <c r="P74" s="929">
        <f>'matrik MISI 5'!T19</f>
        <v>14.5</v>
      </c>
      <c r="Q74" s="929"/>
      <c r="R74" s="929">
        <f>'matrik MISI 5'!U19</f>
        <v>14</v>
      </c>
      <c r="S74" s="929"/>
      <c r="T74" s="929">
        <f>'matrik MISI 5'!V19</f>
        <v>13.8</v>
      </c>
      <c r="U74" s="929"/>
      <c r="V74" s="929">
        <f>'matrik MISI 5'!W19</f>
        <v>13.8</v>
      </c>
      <c r="W74" s="929"/>
      <c r="X74" s="929" t="str">
        <f>'matrik MISI 5'!X19</f>
        <v>Dinas Kesehatan</v>
      </c>
      <c r="Y74" s="164" t="str">
        <f>'matrik MISI 5'!Y19</f>
        <v>Jumlah anak berumur &lt; 5 tahun yang meninggal di suatu wilayah pada kurun waktu tertentu / Jumlah kelahiran hidup di wilayah dan pada kurun waktu yang sama x 1.000</v>
      </c>
      <c r="Z74" s="164">
        <f>'matrik MISI 5'!Z19</f>
        <v>0</v>
      </c>
    </row>
    <row r="75" spans="2:29" ht="105">
      <c r="B75" s="940"/>
      <c r="C75" s="941"/>
      <c r="D75" s="939"/>
      <c r="E75" s="939"/>
      <c r="F75" s="939"/>
      <c r="G75" s="965"/>
      <c r="H75" s="164" t="str">
        <f>'matrik MISI 5'!N21</f>
        <v>Cakupan Pelayanan Kesehatan Dasar Masyarakat Miskin</v>
      </c>
      <c r="I75" s="164" t="str">
        <f>'matrik MISI 5'!O21</f>
        <v>%</v>
      </c>
      <c r="J75" s="929" t="str">
        <f>'matrik MISI 5'!P21</f>
        <v>67,23</v>
      </c>
      <c r="K75" s="929">
        <f>'matrik MISI 5'!Q21</f>
        <v>100</v>
      </c>
      <c r="L75" s="929">
        <f>'matrik MISI 5'!R21</f>
        <v>100</v>
      </c>
      <c r="M75" s="961"/>
      <c r="N75" s="929">
        <f>'matrik MISI 5'!S21</f>
        <v>100</v>
      </c>
      <c r="O75" s="929"/>
      <c r="P75" s="929">
        <f>'matrik MISI 5'!T21</f>
        <v>100</v>
      </c>
      <c r="Q75" s="929"/>
      <c r="R75" s="929">
        <f>'matrik MISI 5'!U21</f>
        <v>100</v>
      </c>
      <c r="S75" s="929"/>
      <c r="T75" s="929">
        <f>'matrik MISI 5'!V21</f>
        <v>100</v>
      </c>
      <c r="U75" s="929"/>
      <c r="V75" s="929">
        <f>'matrik MISI 5'!W21</f>
        <v>100</v>
      </c>
      <c r="W75" s="929"/>
      <c r="X75" s="929" t="str">
        <f>'matrik MISI 5'!X21</f>
        <v>Dinas Kesehatan</v>
      </c>
      <c r="Y75" s="164" t="str">
        <f>'matrik MISI 5'!Y21</f>
        <v>Jumlah kunjungan pasien maskin di Sarkes strata 1 selama satu tahun (lama dan baru) / Jumlah seluruh masyarakat miskin sakit x 100</v>
      </c>
      <c r="Z75" s="164">
        <f>'matrik MISI 5'!Z21</f>
        <v>0</v>
      </c>
    </row>
    <row r="76" spans="2:29" ht="90">
      <c r="B76" s="940"/>
      <c r="C76" s="941"/>
      <c r="D76" s="939"/>
      <c r="E76" s="939"/>
      <c r="F76" s="939"/>
      <c r="G76" s="965"/>
      <c r="H76" s="164" t="str">
        <f>'matrik MISI 5'!N43</f>
        <v>Prevalensi Gizi Kurang pada Anak Balita (0-60 bulan)</v>
      </c>
      <c r="I76" s="164" t="str">
        <f>'matrik MISI 5'!O43</f>
        <v>%</v>
      </c>
      <c r="J76" s="929">
        <f>'matrik MISI 5'!P43</f>
        <v>11.2</v>
      </c>
      <c r="K76" s="929">
        <f>'matrik MISI 5'!Q43</f>
        <v>15.5</v>
      </c>
      <c r="L76" s="929">
        <f>'matrik MISI 5'!R43</f>
        <v>15.5</v>
      </c>
      <c r="M76" s="961"/>
      <c r="N76" s="929">
        <f>'matrik MISI 5'!S43</f>
        <v>15.5</v>
      </c>
      <c r="O76" s="929"/>
      <c r="P76" s="929">
        <f>'matrik MISI 5'!T43</f>
        <v>15.5</v>
      </c>
      <c r="Q76" s="929"/>
      <c r="R76" s="929">
        <f>'matrik MISI 5'!U43</f>
        <v>15.5</v>
      </c>
      <c r="S76" s="929"/>
      <c r="T76" s="929">
        <f>'matrik MISI 5'!V43</f>
        <v>15.5</v>
      </c>
      <c r="U76" s="929"/>
      <c r="V76" s="929">
        <f>'matrik MISI 5'!W43</f>
        <v>15.5</v>
      </c>
      <c r="W76" s="929"/>
      <c r="X76" s="929" t="str">
        <f>'matrik MISI 5'!X43</f>
        <v>Dinas Kesehatan</v>
      </c>
      <c r="Y76" s="164" t="str">
        <f>'matrik MISI 5'!Y43</f>
        <v>Jumlah Gizi Kurang pada Anak Balita (0-60 bulan) yang ditemukan / Jumlah seluruh anak balita x 100</v>
      </c>
      <c r="Z76" s="164">
        <f>'matrik MISI 5'!Z43</f>
        <v>0</v>
      </c>
    </row>
    <row r="77" spans="2:29" ht="90">
      <c r="B77" s="940"/>
      <c r="C77" s="941"/>
      <c r="D77" s="940"/>
      <c r="E77" s="940"/>
      <c r="F77" s="940"/>
      <c r="G77" s="398"/>
      <c r="H77" s="164" t="str">
        <f>'matrik MISI 5'!N44</f>
        <v>Prevalensi Gizi Buruk pada Anak Balita (0-60 bulan)</v>
      </c>
      <c r="I77" s="164" t="str">
        <f>'matrik MISI 5'!O44</f>
        <v>%</v>
      </c>
      <c r="J77" s="929">
        <f>'matrik MISI 5'!P44</f>
        <v>0.04</v>
      </c>
      <c r="K77" s="929" t="str">
        <f>'matrik MISI 5'!Q44</f>
        <v>&lt;0,5</v>
      </c>
      <c r="L77" s="929" t="str">
        <f>'matrik MISI 5'!R44</f>
        <v>&lt;0,5</v>
      </c>
      <c r="M77" s="961"/>
      <c r="N77" s="929" t="str">
        <f>'matrik MISI 5'!S44</f>
        <v>&lt;0,5</v>
      </c>
      <c r="O77" s="929"/>
      <c r="P77" s="929" t="str">
        <f>'matrik MISI 5'!T44</f>
        <v>&lt;0,5</v>
      </c>
      <c r="Q77" s="929"/>
      <c r="R77" s="929" t="str">
        <f>'matrik MISI 5'!U44</f>
        <v>&lt;0,5</v>
      </c>
      <c r="S77" s="929"/>
      <c r="T77" s="929" t="str">
        <f>'matrik MISI 5'!V44</f>
        <v>&lt;0,5</v>
      </c>
      <c r="U77" s="929"/>
      <c r="V77" s="929" t="str">
        <f>'matrik MISI 5'!W44</f>
        <v>&lt;0,5</v>
      </c>
      <c r="W77" s="929"/>
      <c r="X77" s="929">
        <f>'matrik MISI 5'!X44</f>
        <v>0</v>
      </c>
      <c r="Y77" s="164" t="str">
        <f>'matrik MISI 5'!Y44</f>
        <v>Jumlah Gizi Buruk pada Anak Balita (0-60 bulan) yang ditemukan / Jumlah seluruh anak balita x 100</v>
      </c>
      <c r="Z77" s="164">
        <f>'matrik MISI 5'!Z44</f>
        <v>0</v>
      </c>
    </row>
    <row r="78" spans="2:29" ht="105">
      <c r="B78" s="940"/>
      <c r="C78" s="941"/>
      <c r="D78" s="940"/>
      <c r="E78" s="940"/>
      <c r="F78" s="940"/>
      <c r="G78" s="398"/>
      <c r="H78" s="164" t="str">
        <f>'matrik MISI 5'!N45</f>
        <v>Cakupan Pemberian Makanan Pendamping ASI pada Anak Usia &lt; 24 Bulan dari Keluarga Miskin</v>
      </c>
      <c r="I78" s="164" t="str">
        <f>'matrik MISI 5'!O45</f>
        <v>%</v>
      </c>
      <c r="J78" s="929">
        <f>'matrik MISI 5'!P45</f>
        <v>100</v>
      </c>
      <c r="K78" s="929">
        <f>'matrik MISI 5'!Q45</f>
        <v>100</v>
      </c>
      <c r="L78" s="929">
        <f>'matrik MISI 5'!R45</f>
        <v>100</v>
      </c>
      <c r="M78" s="961"/>
      <c r="N78" s="929">
        <f>'matrik MISI 5'!S45</f>
        <v>100</v>
      </c>
      <c r="O78" s="929"/>
      <c r="P78" s="929">
        <f>'matrik MISI 5'!T45</f>
        <v>100</v>
      </c>
      <c r="Q78" s="929"/>
      <c r="R78" s="929">
        <f>'matrik MISI 5'!U45</f>
        <v>100</v>
      </c>
      <c r="S78" s="929"/>
      <c r="T78" s="929">
        <f>'matrik MISI 5'!V45</f>
        <v>100</v>
      </c>
      <c r="U78" s="929"/>
      <c r="V78" s="929">
        <f>'matrik MISI 5'!W45</f>
        <v>100</v>
      </c>
      <c r="W78" s="929"/>
      <c r="X78" s="929" t="str">
        <f>'matrik MISI 5'!X45</f>
        <v>Dinas Kesehatan</v>
      </c>
      <c r="Y78" s="164" t="str">
        <f>'matrik MISI 5'!Y45</f>
        <v>Jumlah anak usia 6 – 24 bulan dari keluarga miskin yang mendapat MP – ASI / Jumlah seluruh anak usia 6 – 24 bulan dari keluarga miskin x 100</v>
      </c>
      <c r="Z78" s="164">
        <f>'matrik MISI 5'!Z45</f>
        <v>0</v>
      </c>
    </row>
    <row r="79" spans="2:29" s="848" customFormat="1">
      <c r="B79" s="931">
        <v>3</v>
      </c>
      <c r="C79" s="931" t="str">
        <f>'IKD dan anggaran'!C400</f>
        <v>KETENAGAKERJAAN</v>
      </c>
      <c r="D79" s="930"/>
      <c r="E79" s="930"/>
      <c r="F79" s="930"/>
      <c r="G79" s="930"/>
      <c r="H79" s="930"/>
      <c r="I79" s="930"/>
      <c r="J79" s="960"/>
      <c r="K79" s="960"/>
      <c r="L79" s="960"/>
      <c r="M79" s="961"/>
      <c r="N79" s="961"/>
      <c r="O79" s="961"/>
      <c r="P79" s="961"/>
      <c r="Q79" s="961"/>
      <c r="R79" s="961"/>
      <c r="S79" s="961"/>
      <c r="T79" s="961"/>
      <c r="U79" s="961"/>
      <c r="V79" s="961"/>
      <c r="W79" s="961"/>
      <c r="X79" s="961"/>
      <c r="Y79" s="1016"/>
      <c r="Z79" s="1016"/>
      <c r="AA79" s="569"/>
      <c r="AB79" s="569"/>
      <c r="AC79" s="569"/>
    </row>
    <row r="80" spans="2:29" ht="60">
      <c r="B80" s="940"/>
      <c r="C80" s="941"/>
      <c r="D80" s="940"/>
      <c r="E80" s="940"/>
      <c r="F80" s="940"/>
      <c r="G80" s="398"/>
      <c r="H80" s="164" t="str">
        <f>'matrik MISI 2'!N35</f>
        <v>Tingkat Kesempatan Kerja</v>
      </c>
      <c r="I80" s="164" t="str">
        <f>'matrik MISI 2'!O35</f>
        <v>%</v>
      </c>
      <c r="J80" s="929" t="str">
        <f>'matrik MISI 2'!P35</f>
        <v>96,60</v>
      </c>
      <c r="K80" s="929">
        <f>'matrik MISI 2'!Q35</f>
        <v>94.53</v>
      </c>
      <c r="L80" s="929">
        <f>'matrik MISI 2'!R35</f>
        <v>94.75</v>
      </c>
      <c r="M80" s="961"/>
      <c r="N80" s="929">
        <f>'matrik MISI 2'!S35</f>
        <v>95</v>
      </c>
      <c r="O80" s="929"/>
      <c r="P80" s="929">
        <f>'matrik MISI 2'!T35</f>
        <v>95.25</v>
      </c>
      <c r="Q80" s="929"/>
      <c r="R80" s="929">
        <f>'matrik MISI 2'!U35</f>
        <v>95.5</v>
      </c>
      <c r="S80" s="929"/>
      <c r="T80" s="929">
        <f>'matrik MISI 2'!V35</f>
        <v>95.75</v>
      </c>
      <c r="U80" s="929"/>
      <c r="V80" s="929">
        <f>'matrik MISI 2'!W35</f>
        <v>95.75</v>
      </c>
      <c r="W80" s="929"/>
      <c r="X80" s="929" t="str">
        <f>'matrik MISI 2'!X35</f>
        <v>Disnakertran</v>
      </c>
      <c r="Y80" s="164" t="str">
        <f>'matrik MISI 2'!Y35</f>
        <v>jumlah penduduk yang bekerja dibagi jumlah angkatan kerja X 100 %</v>
      </c>
      <c r="Z80" s="164">
        <f>'matrik MISI 2'!Z35</f>
        <v>0</v>
      </c>
    </row>
    <row r="81" spans="2:29" ht="75">
      <c r="B81" s="940"/>
      <c r="C81" s="941"/>
      <c r="D81" s="940"/>
      <c r="E81" s="940"/>
      <c r="F81" s="940"/>
      <c r="G81" s="398"/>
      <c r="H81" s="164" t="str">
        <f>'matrik MISI 2'!N36</f>
        <v>Tingkat Pengangguran Terbuka</v>
      </c>
      <c r="I81" s="164" t="str">
        <f>'matrik MISI 2'!O36</f>
        <v>%</v>
      </c>
      <c r="J81" s="929" t="str">
        <f>'matrik MISI 2'!P36</f>
        <v>3,40</v>
      </c>
      <c r="K81" s="929">
        <f>'matrik MISI 2'!Q36</f>
        <v>5.47</v>
      </c>
      <c r="L81" s="929">
        <f>'matrik MISI 2'!R36</f>
        <v>5.25</v>
      </c>
      <c r="M81" s="961"/>
      <c r="N81" s="929">
        <f>'matrik MISI 2'!S36</f>
        <v>5</v>
      </c>
      <c r="O81" s="929"/>
      <c r="P81" s="929">
        <f>'matrik MISI 2'!T36</f>
        <v>4.75</v>
      </c>
      <c r="Q81" s="929"/>
      <c r="R81" s="929">
        <f>'matrik MISI 2'!U36</f>
        <v>4.5</v>
      </c>
      <c r="S81" s="929"/>
      <c r="T81" s="929">
        <f>'matrik MISI 2'!V36</f>
        <v>4.25</v>
      </c>
      <c r="U81" s="929"/>
      <c r="V81" s="929">
        <f>'matrik MISI 2'!W36</f>
        <v>4.25</v>
      </c>
      <c r="W81" s="929"/>
      <c r="X81" s="929" t="str">
        <f>'matrik MISI 2'!X36</f>
        <v>Disnakertran</v>
      </c>
      <c r="Y81" s="164" t="str">
        <f>'matrik MISI 2'!Y36</f>
        <v>Jumlah Penganggur Terbuka Usia Angkatan Kerja dibagi Jumlah penduduk angkatan kerja X 100</v>
      </c>
      <c r="Z81" s="164">
        <f>'matrik MISI 2'!Z36</f>
        <v>0</v>
      </c>
    </row>
    <row r="82" spans="2:29" ht="60">
      <c r="B82" s="940"/>
      <c r="C82" s="941"/>
      <c r="D82" s="940"/>
      <c r="E82" s="940"/>
      <c r="F82" s="940"/>
      <c r="G82" s="398"/>
      <c r="H82" s="164" t="str">
        <f>'matrik MISI 2'!N37</f>
        <v>Tingkat Partisipasi Angkatan Kerja</v>
      </c>
      <c r="I82" s="164" t="str">
        <f>'matrik MISI 2'!O37</f>
        <v>%</v>
      </c>
      <c r="J82" s="929" t="str">
        <f>'matrik MISI 2'!P37</f>
        <v>77,41</v>
      </c>
      <c r="K82" s="929">
        <f>'matrik MISI 2'!Q37</f>
        <v>76.87</v>
      </c>
      <c r="L82" s="929">
        <f>'matrik MISI 2'!R37</f>
        <v>78</v>
      </c>
      <c r="M82" s="961"/>
      <c r="N82" s="929">
        <f>'matrik MISI 2'!S37</f>
        <v>79</v>
      </c>
      <c r="O82" s="929"/>
      <c r="P82" s="929">
        <f>'matrik MISI 2'!T37</f>
        <v>80</v>
      </c>
      <c r="Q82" s="929"/>
      <c r="R82" s="929">
        <f>'matrik MISI 2'!U37</f>
        <v>81</v>
      </c>
      <c r="S82" s="929"/>
      <c r="T82" s="929">
        <f>'matrik MISI 2'!V37</f>
        <v>82</v>
      </c>
      <c r="U82" s="929"/>
      <c r="V82" s="929">
        <f>'matrik MISI 2'!W37</f>
        <v>82</v>
      </c>
      <c r="W82" s="929"/>
      <c r="X82" s="929" t="str">
        <f>'matrik MISI 2'!X37</f>
        <v>Disnakertran</v>
      </c>
      <c r="Y82" s="164" t="str">
        <f>'matrik MISI 2'!Y37</f>
        <v>Jumlah Penduduk Angkatan Kerja dibagi jumlah penduduk usia kerja  X 100</v>
      </c>
      <c r="Z82" s="164" t="str">
        <f>'matrik MISI 2'!Z37</f>
        <v>Penduduk usia kerja adalah penduduk usia 15-64 tahun</v>
      </c>
    </row>
    <row r="83" spans="2:29" s="839" customFormat="1">
      <c r="B83" s="1033" t="s">
        <v>5019</v>
      </c>
      <c r="C83" s="933"/>
      <c r="D83" s="934"/>
      <c r="E83" s="934"/>
      <c r="F83" s="934"/>
      <c r="G83" s="934"/>
      <c r="H83" s="934"/>
      <c r="I83" s="934"/>
      <c r="J83" s="962"/>
      <c r="K83" s="962"/>
      <c r="L83" s="962"/>
      <c r="M83" s="963"/>
      <c r="N83" s="963"/>
      <c r="O83" s="963"/>
      <c r="P83" s="963"/>
      <c r="Q83" s="963"/>
      <c r="R83" s="963"/>
      <c r="S83" s="963"/>
      <c r="T83" s="963"/>
      <c r="U83" s="963"/>
      <c r="V83" s="963"/>
      <c r="W83" s="963"/>
      <c r="X83" s="963"/>
      <c r="Y83" s="937"/>
      <c r="Z83" s="937"/>
      <c r="AA83" s="585"/>
      <c r="AB83" s="585"/>
      <c r="AC83" s="585"/>
    </row>
    <row r="84" spans="2:29" s="848" customFormat="1">
      <c r="B84" s="931">
        <v>1</v>
      </c>
      <c r="C84" s="931" t="str">
        <f>'IKD dan anggaran'!C437</f>
        <v>KEBUDAYAAN</v>
      </c>
      <c r="D84" s="930"/>
      <c r="E84" s="930"/>
      <c r="F84" s="930"/>
      <c r="G84" s="930"/>
      <c r="H84" s="930"/>
      <c r="I84" s="930"/>
      <c r="J84" s="960"/>
      <c r="K84" s="960"/>
      <c r="L84" s="960"/>
      <c r="M84" s="961"/>
      <c r="N84" s="961"/>
      <c r="O84" s="961"/>
      <c r="P84" s="961"/>
      <c r="Q84" s="961"/>
      <c r="R84" s="961"/>
      <c r="S84" s="961"/>
      <c r="T84" s="961"/>
      <c r="U84" s="961"/>
      <c r="V84" s="961"/>
      <c r="W84" s="961"/>
      <c r="X84" s="961"/>
      <c r="Y84" s="1016"/>
      <c r="Z84" s="1016"/>
      <c r="AA84" s="569"/>
      <c r="AB84" s="569"/>
      <c r="AC84" s="569"/>
    </row>
    <row r="85" spans="2:29" ht="105">
      <c r="B85" s="940"/>
      <c r="C85" s="941"/>
      <c r="D85" s="940"/>
      <c r="E85" s="940"/>
      <c r="F85" s="940"/>
      <c r="G85" s="940"/>
      <c r="H85" s="164" t="str">
        <f>'matrik MISI 2'!N98</f>
        <v>Cakupan Pengembangan Sarana dan Prasarana Budaya dan Kebudayaan</v>
      </c>
      <c r="I85" s="164" t="str">
        <f>'matrik MISI 2'!O98</f>
        <v>%</v>
      </c>
      <c r="J85" s="929">
        <f>'matrik MISI 2'!P98</f>
        <v>100</v>
      </c>
      <c r="K85" s="929">
        <f>'matrik MISI 2'!Q98</f>
        <v>100</v>
      </c>
      <c r="L85" s="929">
        <f>'matrik MISI 2'!R98</f>
        <v>100</v>
      </c>
      <c r="M85" s="961"/>
      <c r="N85" s="929">
        <f>'matrik MISI 2'!S98</f>
        <v>100</v>
      </c>
      <c r="O85" s="929"/>
      <c r="P85" s="929">
        <f>'matrik MISI 2'!T98</f>
        <v>100</v>
      </c>
      <c r="Q85" s="929"/>
      <c r="R85" s="929">
        <f>'matrik MISI 2'!U98</f>
        <v>100</v>
      </c>
      <c r="S85" s="929"/>
      <c r="T85" s="929">
        <f>'matrik MISI 2'!V98</f>
        <v>100</v>
      </c>
      <c r="U85" s="929"/>
      <c r="V85" s="929">
        <f>'matrik MISI 2'!W98</f>
        <v>100</v>
      </c>
      <c r="W85" s="929"/>
      <c r="X85" s="929" t="str">
        <f>'matrik MISI 2'!X98</f>
        <v>Dinbudparpora</v>
      </c>
      <c r="Y85" s="164" t="str">
        <f>'matrik MISI 2'!Y98</f>
        <v xml:space="preserve">Jumlah Sarana dan Prasarana Budaya dan Kebudayaan yang dikembangkan dibagi Jumlah Sarana dan Prasarana Budaya dan Kebudayaan kali 100 </v>
      </c>
      <c r="Z85" s="164">
        <f>'matrik MISI 2'!Z98</f>
        <v>0</v>
      </c>
    </row>
    <row r="86" spans="2:29" ht="120">
      <c r="B86" s="940"/>
      <c r="C86" s="941"/>
      <c r="D86" s="940"/>
      <c r="E86" s="940"/>
      <c r="F86" s="940"/>
      <c r="G86" s="940"/>
      <c r="H86" s="164" t="str">
        <f>'matrik MISI 2'!N89</f>
        <v xml:space="preserve">Cakupan Fasilitas Seni </v>
      </c>
      <c r="I86" s="164" t="str">
        <f>'matrik MISI 2'!O89</f>
        <v>%</v>
      </c>
      <c r="J86" s="929">
        <f>'matrik MISI 2'!P89</f>
        <v>42.8</v>
      </c>
      <c r="K86" s="929">
        <f>'matrik MISI 2'!Q89</f>
        <v>42.8</v>
      </c>
      <c r="L86" s="929">
        <f>'matrik MISI 2'!R89</f>
        <v>57.1</v>
      </c>
      <c r="M86" s="961"/>
      <c r="N86" s="929">
        <f>'matrik MISI 2'!S89</f>
        <v>57.1</v>
      </c>
      <c r="O86" s="929"/>
      <c r="P86" s="929">
        <f>'matrik MISI 2'!T89</f>
        <v>71.400000000000006</v>
      </c>
      <c r="Q86" s="929"/>
      <c r="R86" s="929">
        <f>'matrik MISI 2'!U89</f>
        <v>71.400000000000006</v>
      </c>
      <c r="S86" s="929"/>
      <c r="T86" s="929">
        <f>'matrik MISI 2'!V89</f>
        <v>85.7</v>
      </c>
      <c r="U86" s="929"/>
      <c r="V86" s="929">
        <f>'matrik MISI 2'!W89</f>
        <v>85.7</v>
      </c>
      <c r="W86" s="929"/>
      <c r="X86" s="929" t="str">
        <f>'matrik MISI 2'!X89</f>
        <v>Dinbudparpora</v>
      </c>
      <c r="Y86" s="164" t="str">
        <f>'matrik MISI 2'!Y89</f>
        <v>Jumlah fasilitasi kesenian yang dilaksanakan dibagi 7 kali 100</v>
      </c>
      <c r="Z86" s="164" t="str">
        <f>'matrik MISI 2'!Z89</f>
        <v>Jenis fasilitasi kesenian meliputi penyukuhan, pemberian bantuan, bimbingan organisasi, kaderisasi, promosi, penerbitan dan kritik seni</v>
      </c>
    </row>
    <row r="87" spans="2:29" ht="60">
      <c r="B87" s="940"/>
      <c r="C87" s="941"/>
      <c r="D87" s="940"/>
      <c r="E87" s="940"/>
      <c r="F87" s="940"/>
      <c r="G87" s="940"/>
      <c r="H87" s="164" t="str">
        <f>'matrik MISI 2'!N90</f>
        <v xml:space="preserve">Cakupan Gelar Seni </v>
      </c>
      <c r="I87" s="164" t="str">
        <f>'matrik MISI 2'!O90</f>
        <v>%</v>
      </c>
      <c r="J87" s="929">
        <f>'matrik MISI 2'!P90</f>
        <v>50</v>
      </c>
      <c r="K87" s="929">
        <f>'matrik MISI 2'!Q90</f>
        <v>50</v>
      </c>
      <c r="L87" s="929">
        <f>'matrik MISI 2'!R90</f>
        <v>50</v>
      </c>
      <c r="M87" s="961"/>
      <c r="N87" s="929">
        <f>'matrik MISI 2'!S90</f>
        <v>75</v>
      </c>
      <c r="O87" s="929"/>
      <c r="P87" s="929">
        <f>'matrik MISI 2'!T90</f>
        <v>75</v>
      </c>
      <c r="Q87" s="929"/>
      <c r="R87" s="929">
        <f>'matrik MISI 2'!U90</f>
        <v>100</v>
      </c>
      <c r="S87" s="929"/>
      <c r="T87" s="929">
        <f>'matrik MISI 2'!V90</f>
        <v>100</v>
      </c>
      <c r="U87" s="929"/>
      <c r="V87" s="929">
        <f>'matrik MISI 2'!W90</f>
        <v>100</v>
      </c>
      <c r="W87" s="929"/>
      <c r="X87" s="929" t="str">
        <f>'matrik MISI 2'!X90</f>
        <v>Dinbudparpora</v>
      </c>
      <c r="Y87" s="164" t="str">
        <f>'matrik MISI 2'!Y90</f>
        <v>Jumlah gelar seni yang dilaksanakan dibagi 4 kali 100</v>
      </c>
      <c r="Z87" s="164" t="str">
        <f>'matrik MISI 2'!Z90</f>
        <v>Jenis gelar seni meliputi pergelaran, pameran, festival, lomba</v>
      </c>
    </row>
    <row r="88" spans="2:29" ht="135">
      <c r="B88" s="940"/>
      <c r="C88" s="941"/>
      <c r="D88" s="940"/>
      <c r="E88" s="940"/>
      <c r="F88" s="940"/>
      <c r="G88" s="940"/>
      <c r="H88" s="164" t="str">
        <f>'matrik MISI 2'!N92</f>
        <v>Cakupan Sumber Daya Manusia Kesenian</v>
      </c>
      <c r="I88" s="164" t="str">
        <f>'matrik MISI 2'!O92</f>
        <v>%</v>
      </c>
      <c r="J88" s="929">
        <f>'matrik MISI 2'!P92</f>
        <v>50</v>
      </c>
      <c r="K88" s="929">
        <f>'matrik MISI 2'!Q92</f>
        <v>50</v>
      </c>
      <c r="L88" s="929">
        <f>'matrik MISI 2'!R92</f>
        <v>50</v>
      </c>
      <c r="M88" s="961"/>
      <c r="N88" s="929">
        <f>'matrik MISI 2'!S92</f>
        <v>62.5</v>
      </c>
      <c r="O88" s="929"/>
      <c r="P88" s="929">
        <f>'matrik MISI 2'!T92</f>
        <v>75</v>
      </c>
      <c r="Q88" s="929"/>
      <c r="R88" s="929">
        <f>'matrik MISI 2'!U92</f>
        <v>75</v>
      </c>
      <c r="S88" s="929"/>
      <c r="T88" s="929">
        <f>'matrik MISI 2'!V92</f>
        <v>87.5</v>
      </c>
      <c r="U88" s="929"/>
      <c r="V88" s="929">
        <f>'matrik MISI 2'!W92</f>
        <v>87.5</v>
      </c>
      <c r="W88" s="929"/>
      <c r="X88" s="929" t="str">
        <f>'matrik MISI 2'!X92</f>
        <v>Dinbudparpora</v>
      </c>
      <c r="Y88" s="164" t="str">
        <f>'matrik MISI 2'!Y92</f>
        <v>Jumlah jenis sumber daya manusia (SDM) kesenian yang ada dibagi 8 kali 100</v>
      </c>
      <c r="Z88" s="164" t="str">
        <f>'matrik MISI 2'!Z92</f>
        <v>Kualifikasi Sumber Daya Manusia Kesenian meliputi sarjana seni, pakar seni, pamong budaya, seniman/budayawan, kritikus, insan media massa, pengusaha, penyandang dana</v>
      </c>
    </row>
    <row r="89" spans="2:29" ht="105">
      <c r="B89" s="940"/>
      <c r="C89" s="941"/>
      <c r="D89" s="940"/>
      <c r="E89" s="940"/>
      <c r="F89" s="940"/>
      <c r="G89" s="940"/>
      <c r="H89" s="164" t="str">
        <f>'matrik MISI 2'!N93</f>
        <v>Cakupan Tempat Kesenian</v>
      </c>
      <c r="I89" s="164" t="str">
        <f>'matrik MISI 2'!O93</f>
        <v>%</v>
      </c>
      <c r="J89" s="929">
        <f>'matrik MISI 2'!P93</f>
        <v>50</v>
      </c>
      <c r="K89" s="929">
        <f>'matrik MISI 2'!Q93</f>
        <v>50</v>
      </c>
      <c r="L89" s="929">
        <f>'matrik MISI 2'!R93</f>
        <v>50</v>
      </c>
      <c r="M89" s="961"/>
      <c r="N89" s="929">
        <f>'matrik MISI 2'!S93</f>
        <v>50</v>
      </c>
      <c r="O89" s="929"/>
      <c r="P89" s="929">
        <f>'matrik MISI 2'!T93</f>
        <v>50</v>
      </c>
      <c r="Q89" s="929"/>
      <c r="R89" s="929">
        <f>'matrik MISI 2'!U93</f>
        <v>50</v>
      </c>
      <c r="S89" s="929"/>
      <c r="T89" s="929">
        <f>'matrik MISI 2'!V93</f>
        <v>50</v>
      </c>
      <c r="U89" s="929"/>
      <c r="V89" s="929">
        <f>'matrik MISI 2'!W93</f>
        <v>50</v>
      </c>
      <c r="W89" s="929"/>
      <c r="X89" s="929" t="str">
        <f>'matrik MISI 2'!X93</f>
        <v>Dinbudparpora</v>
      </c>
      <c r="Y89" s="164" t="str">
        <f>'matrik MISI 2'!Y93</f>
        <v>Jumlah tempat kesenian yang ada dibagi 2 kali 100</v>
      </c>
      <c r="Z89" s="164" t="str">
        <f>'matrik MISI 2'!Z93</f>
        <v>Tempat kesenian meliputi tempat untuk menggelar seni pertunjukan/ pameran, dan tempat memasarkan karya seni</v>
      </c>
    </row>
    <row r="90" spans="2:29" ht="90">
      <c r="B90" s="950"/>
      <c r="C90" s="951"/>
      <c r="D90" s="950"/>
      <c r="E90" s="950"/>
      <c r="F90" s="950"/>
      <c r="G90" s="950"/>
      <c r="H90" s="164" t="str">
        <f>'matrik MISI 2'!N94</f>
        <v>Cakupan Organisasi Kesenian</v>
      </c>
      <c r="I90" s="164" t="str">
        <f>'matrik MISI 2'!O94</f>
        <v>%</v>
      </c>
      <c r="J90" s="929">
        <f>'matrik MISI 2'!P94</f>
        <v>100</v>
      </c>
      <c r="K90" s="929">
        <f>'matrik MISI 2'!Q94</f>
        <v>100</v>
      </c>
      <c r="L90" s="929">
        <f>'matrik MISI 2'!R94</f>
        <v>100</v>
      </c>
      <c r="M90" s="961"/>
      <c r="N90" s="929">
        <f>'matrik MISI 2'!S94</f>
        <v>100</v>
      </c>
      <c r="O90" s="929"/>
      <c r="P90" s="929">
        <f>'matrik MISI 2'!T94</f>
        <v>100</v>
      </c>
      <c r="Q90" s="929"/>
      <c r="R90" s="929">
        <f>'matrik MISI 2'!U94</f>
        <v>100</v>
      </c>
      <c r="S90" s="929"/>
      <c r="T90" s="929">
        <f>'matrik MISI 2'!V94</f>
        <v>100</v>
      </c>
      <c r="U90" s="929"/>
      <c r="V90" s="929">
        <f>'matrik MISI 2'!W94</f>
        <v>100</v>
      </c>
      <c r="W90" s="929"/>
      <c r="X90" s="929" t="str">
        <f>'matrik MISI 2'!X94</f>
        <v>Dinbudparpora</v>
      </c>
      <c r="Y90" s="164" t="str">
        <f>'matrik MISI 2'!Y94</f>
        <v>Jumlah organisasi kesenian yang ada dibagi 2 kali 100</v>
      </c>
      <c r="Z90" s="164" t="str">
        <f>'matrik MISI 2'!Z94</f>
        <v>Organisasi Kesenian meliputi organisasi struktural yang menangani kesenian dan lembaga/dewan kesenian</v>
      </c>
    </row>
    <row r="91" spans="2:29">
      <c r="B91" s="950">
        <v>2</v>
      </c>
      <c r="C91" s="951" t="str">
        <f>'IKD dan anggaran'!C457</f>
        <v>PEMUDA DAN OLAH RAGA</v>
      </c>
      <c r="D91" s="950"/>
      <c r="E91" s="950"/>
      <c r="F91" s="950"/>
      <c r="G91" s="950"/>
      <c r="H91" s="164"/>
      <c r="I91" s="164"/>
      <c r="J91" s="929"/>
      <c r="K91" s="929"/>
      <c r="L91" s="929"/>
      <c r="M91" s="961"/>
      <c r="N91" s="929"/>
      <c r="O91" s="929"/>
      <c r="P91" s="929"/>
      <c r="Q91" s="929"/>
      <c r="R91" s="929"/>
      <c r="S91" s="929"/>
      <c r="T91" s="929"/>
      <c r="U91" s="929"/>
      <c r="V91" s="929"/>
      <c r="W91" s="929"/>
      <c r="X91" s="929"/>
      <c r="Y91" s="164"/>
      <c r="Z91" s="164"/>
    </row>
    <row r="92" spans="2:29" ht="105">
      <c r="B92" s="940"/>
      <c r="C92" s="941"/>
      <c r="D92" s="940"/>
      <c r="E92" s="940"/>
      <c r="F92" s="940"/>
      <c r="G92" s="940"/>
      <c r="H92" s="164" t="str">
        <f>'matrik MISI 2'!N76</f>
        <v>Kegiatan olah raga</v>
      </c>
      <c r="I92" s="164" t="str">
        <f>'matrik MISI 2'!O76</f>
        <v>Kali</v>
      </c>
      <c r="J92" s="929">
        <f>'matrik MISI 2'!P76</f>
        <v>70</v>
      </c>
      <c r="K92" s="929">
        <f>'matrik MISI 2'!Q76</f>
        <v>80</v>
      </c>
      <c r="L92" s="929">
        <f>'matrik MISI 2'!R76</f>
        <v>80</v>
      </c>
      <c r="M92" s="961"/>
      <c r="N92" s="929">
        <f>'matrik MISI 2'!S76</f>
        <v>81</v>
      </c>
      <c r="O92" s="929"/>
      <c r="P92" s="929">
        <f>'matrik MISI 2'!T76</f>
        <v>80</v>
      </c>
      <c r="Q92" s="929"/>
      <c r="R92" s="929">
        <f>'matrik MISI 2'!U76</f>
        <v>82</v>
      </c>
      <c r="S92" s="929"/>
      <c r="T92" s="929">
        <f>'matrik MISI 2'!V76</f>
        <v>85</v>
      </c>
      <c r="U92" s="929"/>
      <c r="V92" s="929">
        <f>'matrik MISI 2'!W76</f>
        <v>85</v>
      </c>
      <c r="W92" s="929"/>
      <c r="X92" s="929" t="str">
        <f>'matrik MISI 2'!X76</f>
        <v>Dinbudparpora</v>
      </c>
      <c r="Y92" s="164" t="str">
        <f>'matrik MISI 2'!Y76</f>
        <v>Jumlah kegiatan olah raga yang diselenggarakan dalam satu tahun</v>
      </c>
      <c r="Z92" s="164" t="str">
        <f>'matrik MISI 2'!Z76</f>
        <v>Kegiatan olah raga adalah kegiatan atau event olah raga yang diselenggarakan baik oleh pemerintah, swasta dan masyarakat</v>
      </c>
    </row>
    <row r="93" spans="2:29" ht="75">
      <c r="B93" s="950"/>
      <c r="C93" s="951"/>
      <c r="D93" s="942"/>
      <c r="E93" s="942"/>
      <c r="F93" s="942"/>
      <c r="G93" s="942"/>
      <c r="H93" s="164" t="str">
        <f>'matrik MISI 2'!N74</f>
        <v>Cakupan Bantuan Prasarana Olah Raga Bagi Klub Olah Raga</v>
      </c>
      <c r="I93" s="164" t="str">
        <f>'matrik MISI 2'!O74</f>
        <v>%</v>
      </c>
      <c r="J93" s="929">
        <f>'matrik MISI 2'!P74</f>
        <v>3.992015968063872</v>
      </c>
      <c r="K93" s="929">
        <f>'matrik MISI 2'!Q74</f>
        <v>5.4890219560878242</v>
      </c>
      <c r="L93" s="929">
        <f>'matrik MISI 2'!R74</f>
        <v>7.4850299401197598</v>
      </c>
      <c r="M93" s="961"/>
      <c r="N93" s="929">
        <f>'matrik MISI 2'!S74</f>
        <v>9.9800399201596814</v>
      </c>
      <c r="O93" s="929"/>
      <c r="P93" s="929">
        <f>'matrik MISI 2'!T74</f>
        <v>12.974051896207584</v>
      </c>
      <c r="Q93" s="929"/>
      <c r="R93" s="929">
        <f>'matrik MISI 2'!U74</f>
        <v>16.467065868263472</v>
      </c>
      <c r="S93" s="929"/>
      <c r="T93" s="929">
        <f>'matrik MISI 2'!V74</f>
        <v>20.459081836327346</v>
      </c>
      <c r="U93" s="929"/>
      <c r="V93" s="929">
        <f>'matrik MISI 2'!W74</f>
        <v>20.459081836327346</v>
      </c>
      <c r="W93" s="929"/>
      <c r="X93" s="929" t="str">
        <f>'matrik MISI 2'!X74</f>
        <v>Dinbudparpora</v>
      </c>
      <c r="Y93" s="164" t="str">
        <f>'matrik MISI 2'!Y74</f>
        <v>Jumlah Klub Olah Raga Yang Telah Dibantu dibagi Jumlah Klub Olah raga yang ada x 100 %</v>
      </c>
      <c r="Z93" s="164" t="str">
        <f>'matrik MISI 2'!Z74</f>
        <v>Jumlah Klub Olah Raga : 2004</v>
      </c>
    </row>
    <row r="94" spans="2:29" s="570" customFormat="1">
      <c r="B94" s="1261" t="s">
        <v>5020</v>
      </c>
      <c r="C94" s="1262"/>
      <c r="D94" s="1262"/>
      <c r="E94" s="1262"/>
      <c r="F94" s="1262"/>
      <c r="G94" s="1262"/>
      <c r="H94" s="1263"/>
      <c r="I94" s="611"/>
      <c r="J94" s="964"/>
      <c r="K94" s="964"/>
      <c r="L94" s="964"/>
      <c r="M94" s="1023"/>
      <c r="N94" s="964"/>
      <c r="O94" s="964"/>
      <c r="P94" s="964"/>
      <c r="Q94" s="964"/>
      <c r="R94" s="964"/>
      <c r="S94" s="964"/>
      <c r="T94" s="964"/>
      <c r="U94" s="964"/>
      <c r="V94" s="964"/>
      <c r="W94" s="964"/>
      <c r="X94" s="964"/>
      <c r="Y94" s="611"/>
      <c r="Z94" s="611"/>
    </row>
    <row r="95" spans="2:29" s="839" customFormat="1">
      <c r="B95" s="1030" t="s">
        <v>5021</v>
      </c>
      <c r="C95" s="1035"/>
      <c r="D95" s="934"/>
      <c r="E95" s="934"/>
      <c r="F95" s="934"/>
      <c r="G95" s="934"/>
      <c r="H95" s="934"/>
      <c r="I95" s="934"/>
      <c r="J95" s="962"/>
      <c r="K95" s="962"/>
      <c r="L95" s="962"/>
      <c r="M95" s="1035"/>
      <c r="N95" s="1035"/>
      <c r="O95" s="1035"/>
      <c r="P95" s="1035"/>
      <c r="Q95" s="1035"/>
      <c r="R95" s="1035"/>
      <c r="S95" s="1035"/>
      <c r="T95" s="1035"/>
      <c r="U95" s="1035"/>
      <c r="V95" s="1035"/>
      <c r="W95" s="1035"/>
      <c r="X95" s="1035"/>
      <c r="Y95" s="937"/>
      <c r="Z95" s="937"/>
      <c r="AA95" s="585"/>
      <c r="AB95" s="585"/>
      <c r="AC95" s="585"/>
    </row>
    <row r="96" spans="2:29" s="566" customFormat="1" ht="90">
      <c r="B96" s="941">
        <v>1</v>
      </c>
      <c r="C96" s="941" t="str">
        <f>'matrik MISI 4'!B8</f>
        <v>PENDIDIKAN</v>
      </c>
      <c r="D96" s="940">
        <f>'matrik MISI 4'!J9</f>
        <v>1.01</v>
      </c>
      <c r="E96" s="940" t="str">
        <f>'matrik MISI 4'!K9</f>
        <v>xx</v>
      </c>
      <c r="F96" s="940">
        <f>'matrik MISI 4'!L9</f>
        <v>15</v>
      </c>
      <c r="G96" s="940" t="str">
        <f>'matrik MISI 4'!M9</f>
        <v>Pendidikan anak usia dini, Wajib belajar pendidikan dasar, Pendidikan menengah , dan Pendidikan nonformal</v>
      </c>
      <c r="H96" s="1001"/>
      <c r="I96" s="1001"/>
      <c r="J96" s="1002"/>
      <c r="K96" s="1002"/>
      <c r="L96" s="1002"/>
      <c r="M96" s="1003">
        <f>'jangan dihapus 2'!K10</f>
        <v>1260000000</v>
      </c>
      <c r="N96" s="1003"/>
      <c r="O96" s="1003">
        <f>'jangan dihapus 2'!M10</f>
        <v>760000000</v>
      </c>
      <c r="P96" s="1003"/>
      <c r="Q96" s="1003">
        <f>'jangan dihapus 2'!O10</f>
        <v>950000000</v>
      </c>
      <c r="R96" s="1003"/>
      <c r="S96" s="1003">
        <f>'jangan dihapus 2'!Q10</f>
        <v>950000000</v>
      </c>
      <c r="T96" s="1003"/>
      <c r="U96" s="1003">
        <f>'jangan dihapus 2'!S10</f>
        <v>900000000</v>
      </c>
      <c r="V96" s="1002"/>
      <c r="W96" s="1004">
        <f>SUM(M96:U96)</f>
        <v>4820000000</v>
      </c>
      <c r="X96" s="1002"/>
      <c r="Y96" s="1034"/>
      <c r="Z96" s="1034"/>
    </row>
    <row r="97" spans="2:26" s="566" customFormat="1" ht="75">
      <c r="B97" s="938"/>
      <c r="C97" s="938"/>
      <c r="D97" s="938"/>
      <c r="E97" s="938"/>
      <c r="F97" s="938"/>
      <c r="G97" s="938"/>
      <c r="H97" s="164" t="str">
        <f>'matrik MISI 4'!N9</f>
        <v>Tersusun dan terlaksananya kurikulum muatan lokal Budi Pekerti dan Budaya Jawa</v>
      </c>
      <c r="I97" s="164" t="str">
        <f>'matrik MISI 4'!O9</f>
        <v>%</v>
      </c>
      <c r="J97" s="929" t="str">
        <f>'matrik MISI 4'!P9</f>
        <v xml:space="preserve"> - </v>
      </c>
      <c r="K97" s="929" t="str">
        <f>'matrik MISI 4'!Q9</f>
        <v xml:space="preserve"> - </v>
      </c>
      <c r="L97" s="929" t="str">
        <f>'matrik MISI 4'!R9</f>
        <v xml:space="preserve"> - </v>
      </c>
      <c r="M97" s="961"/>
      <c r="N97" s="929">
        <f>'matrik MISI 4'!S9</f>
        <v>32.729999999999997</v>
      </c>
      <c r="O97" s="929"/>
      <c r="P97" s="929">
        <f>'matrik MISI 4'!T9</f>
        <v>61.78</v>
      </c>
      <c r="Q97" s="929"/>
      <c r="R97" s="929">
        <f>'matrik MISI 4'!U9</f>
        <v>86.33</v>
      </c>
      <c r="S97" s="929"/>
      <c r="T97" s="929">
        <f>'matrik MISI 4'!V9</f>
        <v>100</v>
      </c>
      <c r="U97" s="929"/>
      <c r="V97" s="929">
        <f>'matrik MISI 4'!W9</f>
        <v>100</v>
      </c>
      <c r="W97" s="929"/>
      <c r="X97" s="929" t="str">
        <f>'matrik MISI 4'!X9</f>
        <v>Dinas Pendidikan</v>
      </c>
      <c r="Y97" s="164"/>
      <c r="Z97" s="164" t="str">
        <f>'matrik MISI 4'!Z9</f>
        <v>Segera disusun kurikulum muatan lokal Budi Pekerti dan Budaya Jawa di semua jenjang</v>
      </c>
    </row>
    <row r="98" spans="2:26" ht="165">
      <c r="B98" s="940"/>
      <c r="C98" s="941"/>
      <c r="D98" s="940"/>
      <c r="E98" s="940"/>
      <c r="F98" s="940"/>
      <c r="G98" s="940"/>
      <c r="H98" s="164" t="str">
        <f>'matrik MISI 4'!N10</f>
        <v>Persentase siswa yang memiliki Buku Teks atau Buku Penunjang atau Buku Pengayaan yang Memuat Budi Pekerti  atau Tata Krama atau  Nilai Budaya Daerah atau Keteladanan</v>
      </c>
      <c r="I98" s="164" t="str">
        <f>'matrik MISI 4'!O10</f>
        <v>%</v>
      </c>
      <c r="J98" s="929" t="str">
        <f>'matrik MISI 4'!P10</f>
        <v xml:space="preserve"> - </v>
      </c>
      <c r="K98" s="929" t="str">
        <f>'matrik MISI 4'!Q10</f>
        <v xml:space="preserve"> - </v>
      </c>
      <c r="L98" s="929" t="str">
        <f>'matrik MISI 4'!R10</f>
        <v xml:space="preserve"> - </v>
      </c>
      <c r="M98" s="961"/>
      <c r="N98" s="929">
        <f>'matrik MISI 4'!S10</f>
        <v>20</v>
      </c>
      <c r="O98" s="929"/>
      <c r="P98" s="929">
        <f>'matrik MISI 4'!T10</f>
        <v>30</v>
      </c>
      <c r="Q98" s="929"/>
      <c r="R98" s="929">
        <f>'matrik MISI 4'!U10</f>
        <v>40</v>
      </c>
      <c r="S98" s="929"/>
      <c r="T98" s="929">
        <f>'matrik MISI 4'!V10</f>
        <v>50</v>
      </c>
      <c r="U98" s="929"/>
      <c r="V98" s="929">
        <f>'matrik MISI 4'!W10</f>
        <v>50</v>
      </c>
      <c r="W98" s="929"/>
      <c r="X98" s="929" t="str">
        <f>'matrik MISI 4'!X10</f>
        <v>Dinas Pendidikan</v>
      </c>
      <c r="Y98" s="164" t="str">
        <f>'matrik MISI 4'!Y10</f>
        <v>Jumlah siswa yang memiliki Buku Teks atau Buku Penunjang atau Buku Pengayaan yang Memuat Budi Pekerti  atau Tata Krama atau  Nilai Budaya Daerah atau Keteladanan dibagi jumlah seluruh siswa kali 100%</v>
      </c>
      <c r="Z98" s="164">
        <f>'matrik MISI 4'!Z10</f>
        <v>0</v>
      </c>
    </row>
    <row r="99" spans="2:26" ht="75">
      <c r="B99" s="940"/>
      <c r="C99" s="941"/>
      <c r="D99" s="940"/>
      <c r="E99" s="940"/>
      <c r="F99" s="940"/>
      <c r="G99" s="940"/>
      <c r="H99" s="164" t="str">
        <f>'matrik MISI 4'!N14</f>
        <v>Persentase APK Pendidikan Anak Usia Dini (Usia 4-6 Tahun)</v>
      </c>
      <c r="I99" s="164" t="str">
        <f>'matrik MISI 4'!O14</f>
        <v>%</v>
      </c>
      <c r="J99" s="929">
        <f>'matrik MISI 4'!P14</f>
        <v>62.54</v>
      </c>
      <c r="K99" s="929">
        <f>'matrik MISI 4'!Q14</f>
        <v>66.13</v>
      </c>
      <c r="L99" s="929">
        <f>'matrik MISI 4'!R14</f>
        <v>67.13</v>
      </c>
      <c r="M99" s="961"/>
      <c r="N99" s="929">
        <f>'matrik MISI 4'!S14</f>
        <v>67.63</v>
      </c>
      <c r="O99" s="929"/>
      <c r="P99" s="929">
        <f>'matrik MISI 4'!T14</f>
        <v>68.13</v>
      </c>
      <c r="Q99" s="929"/>
      <c r="R99" s="929">
        <f>'matrik MISI 4'!U14</f>
        <v>68.63</v>
      </c>
      <c r="S99" s="929"/>
      <c r="T99" s="929">
        <f>'matrik MISI 4'!V14</f>
        <v>69.13</v>
      </c>
      <c r="U99" s="929"/>
      <c r="V99" s="929">
        <f>'matrik MISI 4'!W14</f>
        <v>69.13</v>
      </c>
      <c r="W99" s="929"/>
      <c r="X99" s="929" t="str">
        <f>'matrik MISI 4'!X14</f>
        <v>Dinas Pendidkan</v>
      </c>
      <c r="Y99" s="164" t="str">
        <f>'matrik MISI 4'!Y14</f>
        <v>Jumlah peserta didik TK-sederajat (PAUD Formal) dibagi jumlah penduduk usia 4-6 tahun kali 100%</v>
      </c>
      <c r="Z99" s="164">
        <f>'matrik MISI 4'!Z14</f>
        <v>0</v>
      </c>
    </row>
    <row r="100" spans="2:26" ht="105">
      <c r="B100" s="940"/>
      <c r="C100" s="941"/>
      <c r="D100" s="940"/>
      <c r="E100" s="940"/>
      <c r="F100" s="940"/>
      <c r="G100" s="940"/>
      <c r="H100" s="164" t="str">
        <f>'matrik MISI 4'!N15</f>
        <v>Persentase APK Pendidikan Anak Usia Dini (Usia 0-6 Tahun)</v>
      </c>
      <c r="I100" s="164" t="str">
        <f>'matrik MISI 4'!O15</f>
        <v>%</v>
      </c>
      <c r="J100" s="929">
        <f>'matrik MISI 4'!P15</f>
        <v>32.32</v>
      </c>
      <c r="K100" s="929">
        <f>'matrik MISI 4'!Q15</f>
        <v>32.36</v>
      </c>
      <c r="L100" s="929">
        <f>'matrik MISI 4'!R15</f>
        <v>32.4</v>
      </c>
      <c r="M100" s="961"/>
      <c r="N100" s="929">
        <f>'matrik MISI 4'!S15</f>
        <v>32.44</v>
      </c>
      <c r="O100" s="929"/>
      <c r="P100" s="929">
        <f>'matrik MISI 4'!T15</f>
        <v>32.479999999999997</v>
      </c>
      <c r="Q100" s="929"/>
      <c r="R100" s="929">
        <f>'matrik MISI 4'!U15</f>
        <v>32.520000000000003</v>
      </c>
      <c r="S100" s="929"/>
      <c r="T100" s="929">
        <f>'matrik MISI 4'!V15</f>
        <v>32.56</v>
      </c>
      <c r="U100" s="929"/>
      <c r="V100" s="929">
        <f>'matrik MISI 4'!W15</f>
        <v>32.56</v>
      </c>
      <c r="W100" s="929"/>
      <c r="X100" s="929" t="str">
        <f>'matrik MISI 4'!X15</f>
        <v>Dinas Pendidkan</v>
      </c>
      <c r="Y100" s="164" t="str">
        <f>'matrik MISI 4'!Y15</f>
        <v>Jumlah peserta didik TK-sederajat (PAUD Formal dan Nonformal) dibagi jumlah penduduk usia 0-6 tahun kali 100%</v>
      </c>
      <c r="Z100" s="164">
        <f>'matrik MISI 4'!Z15</f>
        <v>0</v>
      </c>
    </row>
    <row r="101" spans="2:26" ht="120">
      <c r="B101" s="940"/>
      <c r="C101" s="941"/>
      <c r="D101" s="940"/>
      <c r="E101" s="940"/>
      <c r="F101" s="940"/>
      <c r="G101" s="940"/>
      <c r="H101" s="164" t="str">
        <f>'matrik MISI 4'!N16</f>
        <v>Persentase Angka Partisipasi Anak Perempuan (Usia 4-6 Tahun)</v>
      </c>
      <c r="I101" s="164" t="str">
        <f>'matrik MISI 4'!O16</f>
        <v>%</v>
      </c>
      <c r="J101" s="929">
        <f>'matrik MISI 4'!P16</f>
        <v>48.611937338885589</v>
      </c>
      <c r="K101" s="929">
        <f>'matrik MISI 4'!Q16</f>
        <v>48.61</v>
      </c>
      <c r="L101" s="929">
        <f>'matrik MISI 4'!R16</f>
        <v>48.64</v>
      </c>
      <c r="M101" s="961"/>
      <c r="N101" s="929">
        <f>'matrik MISI 4'!S16</f>
        <v>48.67</v>
      </c>
      <c r="O101" s="929"/>
      <c r="P101" s="929">
        <f>'matrik MISI 4'!T16</f>
        <v>48.7</v>
      </c>
      <c r="Q101" s="929"/>
      <c r="R101" s="929">
        <f>'matrik MISI 4'!U16</f>
        <v>48.73</v>
      </c>
      <c r="S101" s="929"/>
      <c r="T101" s="929">
        <f>'matrik MISI 4'!V16</f>
        <v>48.76</v>
      </c>
      <c r="U101" s="929"/>
      <c r="V101" s="929">
        <f>'matrik MISI 4'!W16</f>
        <v>48.76</v>
      </c>
      <c r="W101" s="929"/>
      <c r="X101" s="929" t="str">
        <f>'matrik MISI 4'!X16</f>
        <v>Dinas Pendidkan</v>
      </c>
      <c r="Y101" s="164" t="str">
        <f>'matrik MISI 4'!Y16</f>
        <v>Jumlah peserta didik perempuan TK-sederajat (PAUD Formal) dibagi jumlah peserta didik laki-laki dan perempuan TK-sederajat (PAUD Formal) kali 100%</v>
      </c>
      <c r="Z101" s="164">
        <f>'matrik MISI 4'!Z16</f>
        <v>0</v>
      </c>
    </row>
    <row r="102" spans="2:26" ht="165">
      <c r="B102" s="940"/>
      <c r="C102" s="941"/>
      <c r="D102" s="940"/>
      <c r="E102" s="940"/>
      <c r="F102" s="940"/>
      <c r="G102" s="940"/>
      <c r="H102" s="164" t="str">
        <f>'matrik MISI 4'!N17</f>
        <v>Persentase Angka Partisipasi Anak Perempuan (Usia 0-6 Tahun)</v>
      </c>
      <c r="I102" s="164" t="str">
        <f>'matrik MISI 4'!O17</f>
        <v>%</v>
      </c>
      <c r="J102" s="929">
        <f>'matrik MISI 4'!P17</f>
        <v>49.071503263260375</v>
      </c>
      <c r="K102" s="929">
        <f>'matrik MISI 4'!Q17</f>
        <v>49.07</v>
      </c>
      <c r="L102" s="929">
        <f>'matrik MISI 4'!R17</f>
        <v>49.09</v>
      </c>
      <c r="M102" s="961"/>
      <c r="N102" s="929">
        <f>'matrik MISI 4'!S17</f>
        <v>49.110999999999997</v>
      </c>
      <c r="O102" s="929"/>
      <c r="P102" s="929">
        <f>'matrik MISI 4'!T17</f>
        <v>49.13</v>
      </c>
      <c r="Q102" s="929"/>
      <c r="R102" s="929">
        <f>'matrik MISI 4'!U17</f>
        <v>49.15</v>
      </c>
      <c r="S102" s="929"/>
      <c r="T102" s="929">
        <f>'matrik MISI 4'!V17</f>
        <v>49.17</v>
      </c>
      <c r="U102" s="929"/>
      <c r="V102" s="929">
        <f>'matrik MISI 4'!W17</f>
        <v>49.17</v>
      </c>
      <c r="W102" s="929"/>
      <c r="X102" s="929" t="str">
        <f>'matrik MISI 4'!X17</f>
        <v>Dinas Pendidkan</v>
      </c>
      <c r="Y102" s="164" t="str">
        <f>'matrik MISI 4'!Y17</f>
        <v>Jumlah peserta didik perempuan TK-sederajat (PAUD Formal dan Nonformal) dibagi jumlah peserta didik laki-laki dan perempuan TK-sederajat (PAUD Formal dan Nonformal) kali 100%</v>
      </c>
      <c r="Z102" s="164">
        <f>'matrik MISI 4'!Z17</f>
        <v>0</v>
      </c>
    </row>
    <row r="103" spans="2:26" ht="75">
      <c r="B103" s="940"/>
      <c r="C103" s="941"/>
      <c r="D103" s="940"/>
      <c r="E103" s="940"/>
      <c r="F103" s="940"/>
      <c r="G103" s="940"/>
      <c r="H103" s="164" t="str">
        <f>'matrik MISI 4'!N18</f>
        <v>Rasio siswa per kelas TK</v>
      </c>
      <c r="I103" s="164" t="str">
        <f>'matrik MISI 4'!O18</f>
        <v>Rasio</v>
      </c>
      <c r="J103" s="929">
        <f>'matrik MISI 4'!P18</f>
        <v>21</v>
      </c>
      <c r="K103" s="929">
        <f>'matrik MISI 4'!Q18</f>
        <v>21</v>
      </c>
      <c r="L103" s="929">
        <f>'matrik MISI 4'!R18</f>
        <v>21</v>
      </c>
      <c r="M103" s="961"/>
      <c r="N103" s="929">
        <f>'matrik MISI 4'!S18</f>
        <v>21</v>
      </c>
      <c r="O103" s="929"/>
      <c r="P103" s="929">
        <f>'matrik MISI 4'!T18</f>
        <v>21</v>
      </c>
      <c r="Q103" s="929"/>
      <c r="R103" s="929">
        <f>'matrik MISI 4'!U18</f>
        <v>21</v>
      </c>
      <c r="S103" s="929"/>
      <c r="T103" s="929">
        <f>'matrik MISI 4'!V18</f>
        <v>21</v>
      </c>
      <c r="U103" s="929"/>
      <c r="V103" s="929">
        <f>'matrik MISI 4'!W18</f>
        <v>21</v>
      </c>
      <c r="W103" s="929"/>
      <c r="X103" s="929" t="str">
        <f>'matrik MISI 4'!X18</f>
        <v>Dinas Pendidkan</v>
      </c>
      <c r="Y103" s="164" t="str">
        <f>'matrik MISI 4'!Y18</f>
        <v>Jumlah peserta didik TK-sederajat (PAUD Formal) dibagi jumlah kelas TK-sederajat (PAUD Formal)</v>
      </c>
      <c r="Z103" s="164" t="str">
        <f>'matrik MISI 4'!Z18</f>
        <v>Rasio maksimal adalah 25 anak/kelas</v>
      </c>
    </row>
    <row r="104" spans="2:26" ht="90">
      <c r="B104" s="940"/>
      <c r="C104" s="941"/>
      <c r="D104" s="940"/>
      <c r="E104" s="940"/>
      <c r="F104" s="940"/>
      <c r="G104" s="940"/>
      <c r="H104" s="164" t="str">
        <f>'matrik MISI 4'!N110</f>
        <v>Persentase ruang belajar beserta perlengkapannya TK/RA yang kondisinya baik</v>
      </c>
      <c r="I104" s="164" t="str">
        <f>'matrik MISI 4'!O110</f>
        <v>%</v>
      </c>
      <c r="J104" s="929">
        <f>'matrik MISI 4'!P110</f>
        <v>86.45</v>
      </c>
      <c r="K104" s="929">
        <f>'matrik MISI 4'!Q110</f>
        <v>86.84</v>
      </c>
      <c r="L104" s="929">
        <f>'matrik MISI 4'!R110</f>
        <v>87.23</v>
      </c>
      <c r="M104" s="961"/>
      <c r="N104" s="929">
        <f>'matrik MISI 4'!S110</f>
        <v>87.62</v>
      </c>
      <c r="O104" s="929"/>
      <c r="P104" s="929">
        <f>'matrik MISI 4'!T110</f>
        <v>88.01</v>
      </c>
      <c r="Q104" s="929"/>
      <c r="R104" s="929">
        <f>'matrik MISI 4'!U110</f>
        <v>88.4</v>
      </c>
      <c r="S104" s="929"/>
      <c r="T104" s="929">
        <f>'matrik MISI 4'!V110</f>
        <v>88.79</v>
      </c>
      <c r="U104" s="929"/>
      <c r="V104" s="929">
        <f>'matrik MISI 4'!W110</f>
        <v>88.79</v>
      </c>
      <c r="W104" s="929"/>
      <c r="X104" s="929" t="str">
        <f>'matrik MISI 4'!X110</f>
        <v>Dinas Pendidikan</v>
      </c>
      <c r="Y104" s="164" t="str">
        <f>'matrik MISI 4'!Y110</f>
        <v>Jumlah ruang belajar TK/RA yang kondisinya baik dibagi jumlah ruang belajar TK/RA kali 100%</v>
      </c>
      <c r="Z104" s="164">
        <f>'matrik MISI 4'!Z110</f>
        <v>0</v>
      </c>
    </row>
    <row r="105" spans="2:26" ht="75">
      <c r="B105" s="940"/>
      <c r="C105" s="941"/>
      <c r="D105" s="940"/>
      <c r="E105" s="940"/>
      <c r="F105" s="940"/>
      <c r="G105" s="940"/>
      <c r="H105" s="164" t="str">
        <f>'matrik MISI 4'!N111</f>
        <v>Persentase TK/RA yang memiliki buku teks pembelajaran</v>
      </c>
      <c r="I105" s="164" t="str">
        <f>'matrik MISI 4'!O111</f>
        <v>%</v>
      </c>
      <c r="J105" s="929">
        <f>'matrik MISI 4'!P111</f>
        <v>85</v>
      </c>
      <c r="K105" s="929">
        <f>'matrik MISI 4'!Q111</f>
        <v>85.41</v>
      </c>
      <c r="L105" s="929">
        <f>'matrik MISI 4'!R111</f>
        <v>85.82</v>
      </c>
      <c r="M105" s="961"/>
      <c r="N105" s="929">
        <f>'matrik MISI 4'!S111</f>
        <v>86.24</v>
      </c>
      <c r="O105" s="929"/>
      <c r="P105" s="929">
        <f>'matrik MISI 4'!T111</f>
        <v>86.65</v>
      </c>
      <c r="Q105" s="929"/>
      <c r="R105" s="929">
        <f>'matrik MISI 4'!U111</f>
        <v>87.06</v>
      </c>
      <c r="S105" s="929"/>
      <c r="T105" s="929">
        <f>'matrik MISI 4'!V111</f>
        <v>87.47</v>
      </c>
      <c r="U105" s="929"/>
      <c r="V105" s="929">
        <f>'matrik MISI 4'!W111</f>
        <v>87.47</v>
      </c>
      <c r="W105" s="929"/>
      <c r="X105" s="929" t="str">
        <f>'matrik MISI 4'!X111</f>
        <v>Dinas Pendidikan</v>
      </c>
      <c r="Y105" s="164" t="str">
        <f>'matrik MISI 4'!Y111</f>
        <v>Jumlah TK/RA yang memiliki buku teks pembelajaran dibagi jumlah TK/RA kali 100%</v>
      </c>
      <c r="Z105" s="164">
        <f>'matrik MISI 4'!Z111</f>
        <v>0</v>
      </c>
    </row>
    <row r="106" spans="2:26" ht="90">
      <c r="B106" s="940"/>
      <c r="C106" s="941"/>
      <c r="D106" s="940"/>
      <c r="E106" s="940"/>
      <c r="F106" s="940"/>
      <c r="G106" s="940"/>
      <c r="H106" s="164" t="str">
        <f>'matrik MISI 4'!N112</f>
        <v>Persentase TK/RA yang memiliki ruang kesehatan dan perlengkapannya</v>
      </c>
      <c r="I106" s="164" t="str">
        <f>'matrik MISI 4'!O112</f>
        <v>%</v>
      </c>
      <c r="J106" s="929">
        <f>'matrik MISI 4'!P112</f>
        <v>23.66</v>
      </c>
      <c r="K106" s="929">
        <f>'matrik MISI 4'!Q112</f>
        <v>24.08</v>
      </c>
      <c r="L106" s="929">
        <f>'matrik MISI 4'!R112</f>
        <v>25.11</v>
      </c>
      <c r="M106" s="961"/>
      <c r="N106" s="929">
        <f>'matrik MISI 4'!S112</f>
        <v>26.14</v>
      </c>
      <c r="O106" s="929"/>
      <c r="P106" s="929">
        <f>'matrik MISI 4'!T112</f>
        <v>27.17</v>
      </c>
      <c r="Q106" s="929"/>
      <c r="R106" s="929">
        <f>'matrik MISI 4'!U112</f>
        <v>28.19</v>
      </c>
      <c r="S106" s="929"/>
      <c r="T106" s="929">
        <f>'matrik MISI 4'!V112</f>
        <v>29.22</v>
      </c>
      <c r="U106" s="929"/>
      <c r="V106" s="929">
        <f>'matrik MISI 4'!W112</f>
        <v>29.22</v>
      </c>
      <c r="W106" s="929"/>
      <c r="X106" s="929" t="str">
        <f>'matrik MISI 4'!X112</f>
        <v>Dinas Pendidikan</v>
      </c>
      <c r="Y106" s="164" t="str">
        <f>'matrik MISI 4'!Y112</f>
        <v>Jumlah TK/RA yang memiliki ruang kesehatan beserta perlengkapannya dibagi jumlah TK/RA kali 100%</v>
      </c>
      <c r="Z106" s="164">
        <f>'matrik MISI 4'!Z112</f>
        <v>0</v>
      </c>
    </row>
    <row r="107" spans="2:26" ht="75">
      <c r="B107" s="940"/>
      <c r="C107" s="941"/>
      <c r="D107" s="940"/>
      <c r="E107" s="940"/>
      <c r="F107" s="940"/>
      <c r="G107" s="940"/>
      <c r="H107" s="164" t="str">
        <f>'matrik MISI 4'!N113</f>
        <v>Persentase TK/RA yang memiliki alat permainan edukatif dalam ruang</v>
      </c>
      <c r="I107" s="164" t="str">
        <f>'matrik MISI 4'!O113</f>
        <v>%</v>
      </c>
      <c r="J107" s="929">
        <f>'matrik MISI 4'!P113</f>
        <v>85</v>
      </c>
      <c r="K107" s="929">
        <f>'matrik MISI 4'!Q113</f>
        <v>85.41</v>
      </c>
      <c r="L107" s="929">
        <f>'matrik MISI 4'!R113</f>
        <v>85.82</v>
      </c>
      <c r="M107" s="961"/>
      <c r="N107" s="929">
        <f>'matrik MISI 4'!S113</f>
        <v>86.24</v>
      </c>
      <c r="O107" s="929"/>
      <c r="P107" s="929">
        <f>'matrik MISI 4'!T113</f>
        <v>86.65</v>
      </c>
      <c r="Q107" s="929"/>
      <c r="R107" s="929">
        <f>'matrik MISI 4'!U113</f>
        <v>87.06</v>
      </c>
      <c r="S107" s="929"/>
      <c r="T107" s="929">
        <f>'matrik MISI 4'!V113</f>
        <v>88.747</v>
      </c>
      <c r="U107" s="929"/>
      <c r="V107" s="929">
        <f>'matrik MISI 4'!W113</f>
        <v>88.75</v>
      </c>
      <c r="W107" s="929"/>
      <c r="X107" s="929" t="str">
        <f>'matrik MISI 4'!X113</f>
        <v>Dinas Pendidikan</v>
      </c>
      <c r="Y107" s="164" t="str">
        <f>'matrik MISI 4'!Y113</f>
        <v>Jumlah TK/RA yang memiliki alat permainan dalam ruang dibagi jumlah TK/RA kali 100%</v>
      </c>
      <c r="Z107" s="164">
        <f>'matrik MISI 4'!Z113</f>
        <v>0</v>
      </c>
    </row>
    <row r="108" spans="2:26" ht="75">
      <c r="B108" s="940"/>
      <c r="C108" s="941"/>
      <c r="D108" s="940"/>
      <c r="E108" s="940"/>
      <c r="F108" s="940"/>
      <c r="G108" s="940"/>
      <c r="H108" s="164" t="str">
        <f>'matrik MISI 4'!N114</f>
        <v>Persentase TK/RA yang memiliki alat permainan edukatif luar ruang</v>
      </c>
      <c r="I108" s="164" t="str">
        <f>'matrik MISI 4'!O114</f>
        <v>%</v>
      </c>
      <c r="J108" s="929">
        <f>'matrik MISI 4'!P114</f>
        <v>85</v>
      </c>
      <c r="K108" s="929">
        <f>'matrik MISI 4'!Q114</f>
        <v>85.41</v>
      </c>
      <c r="L108" s="929">
        <f>'matrik MISI 4'!R114</f>
        <v>85.82</v>
      </c>
      <c r="M108" s="961"/>
      <c r="N108" s="929">
        <f>'matrik MISI 4'!S114</f>
        <v>86.24</v>
      </c>
      <c r="O108" s="929"/>
      <c r="P108" s="929">
        <f>'matrik MISI 4'!T114</f>
        <v>86.65</v>
      </c>
      <c r="Q108" s="929"/>
      <c r="R108" s="929">
        <f>'matrik MISI 4'!U114</f>
        <v>87.06</v>
      </c>
      <c r="S108" s="929"/>
      <c r="T108" s="929">
        <f>'matrik MISI 4'!V114</f>
        <v>87.47</v>
      </c>
      <c r="U108" s="929"/>
      <c r="V108" s="929">
        <f>'matrik MISI 4'!W114</f>
        <v>87.47</v>
      </c>
      <c r="W108" s="929"/>
      <c r="X108" s="929" t="str">
        <f>'matrik MISI 4'!X114</f>
        <v>Dinas Pendidikan</v>
      </c>
      <c r="Y108" s="164" t="str">
        <f>'matrik MISI 4'!Y114</f>
        <v>Jumlah TK/RA yang memiliki alat permainan luar ruang dibagi jumlah TK/RA kali 100%</v>
      </c>
      <c r="Z108" s="164">
        <f>'matrik MISI 4'!Z114</f>
        <v>0</v>
      </c>
    </row>
    <row r="109" spans="2:26" ht="45">
      <c r="B109" s="940"/>
      <c r="C109" s="941"/>
      <c r="D109" s="940">
        <f>'matrik MISI 4'!J20</f>
        <v>1.01</v>
      </c>
      <c r="E109" s="940" t="str">
        <f>'matrik MISI 4'!K20</f>
        <v>xx</v>
      </c>
      <c r="F109" s="940">
        <f>'matrik MISI 4'!L20</f>
        <v>16</v>
      </c>
      <c r="G109" s="940" t="str">
        <f>'matrik MISI 4'!M20</f>
        <v>Program wajib belajar pendidikan dasar sembilan tahun</v>
      </c>
      <c r="H109" s="164"/>
      <c r="I109" s="164"/>
      <c r="J109" s="929"/>
      <c r="K109" s="929"/>
      <c r="L109" s="929"/>
      <c r="M109" s="961">
        <f>'jangan dihapus 2'!K24</f>
        <v>21776586298</v>
      </c>
      <c r="N109" s="961"/>
      <c r="O109" s="961">
        <f>'jangan dihapus 2'!M24</f>
        <v>18368230250</v>
      </c>
      <c r="P109" s="961"/>
      <c r="Q109" s="961">
        <f>'jangan dihapus 2'!O24</f>
        <v>19300031650</v>
      </c>
      <c r="R109" s="961"/>
      <c r="S109" s="961">
        <f>'jangan dihapus 2'!Q24</f>
        <v>21719531650</v>
      </c>
      <c r="T109" s="961"/>
      <c r="U109" s="961">
        <f>'jangan dihapus 2'!S24</f>
        <v>22871031650</v>
      </c>
      <c r="V109" s="929"/>
      <c r="W109" s="961">
        <f>SUM(M109:U109)</f>
        <v>104035411498</v>
      </c>
      <c r="X109" s="929"/>
      <c r="Y109" s="164"/>
      <c r="Z109" s="164"/>
    </row>
    <row r="110" spans="2:26" ht="105">
      <c r="B110" s="940"/>
      <c r="C110" s="941"/>
      <c r="D110" s="940"/>
      <c r="E110" s="940"/>
      <c r="F110" s="940"/>
      <c r="G110" s="940"/>
      <c r="H110" s="164" t="str">
        <f>'matrik MISI 4'!N25</f>
        <v>Persentase Partisipasi Anak Perempuan dalam Pendidikan Dasar</v>
      </c>
      <c r="I110" s="164" t="str">
        <f>'matrik MISI 4'!O25</f>
        <v>%</v>
      </c>
      <c r="J110" s="929">
        <f>'matrik MISI 4'!P25</f>
        <v>48.594462811443769</v>
      </c>
      <c r="K110" s="929">
        <f>'matrik MISI 4'!Q25</f>
        <v>48.59</v>
      </c>
      <c r="L110" s="929">
        <f>'matrik MISI 4'!R25</f>
        <v>48.61</v>
      </c>
      <c r="M110" s="961"/>
      <c r="N110" s="929">
        <f>'matrik MISI 4'!S25</f>
        <v>48.63</v>
      </c>
      <c r="O110" s="929"/>
      <c r="P110" s="929">
        <f>'matrik MISI 4'!T25</f>
        <v>48.65</v>
      </c>
      <c r="Q110" s="929"/>
      <c r="R110" s="929">
        <f>'matrik MISI 4'!U25</f>
        <v>48.67</v>
      </c>
      <c r="S110" s="929"/>
      <c r="T110" s="929">
        <f>'matrik MISI 4'!V25</f>
        <v>48.69</v>
      </c>
      <c r="U110" s="929"/>
      <c r="V110" s="929">
        <f>'matrik MISI 4'!W25</f>
        <v>48.69</v>
      </c>
      <c r="W110" s="929"/>
      <c r="X110" s="929" t="str">
        <f>'matrik MISI 4'!X25</f>
        <v>Dinas Pendidikan</v>
      </c>
      <c r="Y110" s="164" t="str">
        <f>'matrik MISI 4'!Y25</f>
        <v>Jumlah siswa perempuan SD/MI/SMP/MTs dibagi jumlah siswa perempuan dan laki-laki SD/MI/SMP/MTs kali 100%</v>
      </c>
      <c r="Z110" s="164">
        <f>'matrik MISI 4'!Z25</f>
        <v>0</v>
      </c>
    </row>
    <row r="111" spans="2:26" ht="45">
      <c r="B111" s="940"/>
      <c r="C111" s="941"/>
      <c r="D111" s="940"/>
      <c r="E111" s="940"/>
      <c r="F111" s="940"/>
      <c r="G111" s="940"/>
      <c r="H111" s="164" t="str">
        <f>'matrik MISI 4'!N26</f>
        <v>Rasio Siswa per Kelas SD/MI</v>
      </c>
      <c r="I111" s="164" t="str">
        <f>'matrik MISI 4'!O26</f>
        <v>Angka</v>
      </c>
      <c r="J111" s="929">
        <f>'matrik MISI 4'!P26</f>
        <v>21.06</v>
      </c>
      <c r="K111" s="929">
        <f>'matrik MISI 4'!Q26</f>
        <v>21.06</v>
      </c>
      <c r="L111" s="929">
        <f>'matrik MISI 4'!R26</f>
        <v>21.8</v>
      </c>
      <c r="M111" s="961"/>
      <c r="N111" s="929">
        <f>'matrik MISI 4'!S26</f>
        <v>21.1</v>
      </c>
      <c r="O111" s="929"/>
      <c r="P111" s="929">
        <f>'matrik MISI 4'!T26</f>
        <v>21.12</v>
      </c>
      <c r="Q111" s="929"/>
      <c r="R111" s="929">
        <f>'matrik MISI 4'!U26</f>
        <v>21.14</v>
      </c>
      <c r="S111" s="929"/>
      <c r="T111" s="929">
        <f>'matrik MISI 4'!V26</f>
        <v>21.16</v>
      </c>
      <c r="U111" s="929"/>
      <c r="V111" s="929">
        <f>'matrik MISI 4'!W26</f>
        <v>21.16</v>
      </c>
      <c r="W111" s="929"/>
      <c r="X111" s="929" t="str">
        <f>'matrik MISI 4'!X26</f>
        <v>Dinas Pendidikan</v>
      </c>
      <c r="Y111" s="164" t="str">
        <f>'matrik MISI 4'!Y26</f>
        <v>Jumlah siswa SD/MI dibagi jumlah kelas SD/MI</v>
      </c>
      <c r="Z111" s="164">
        <f>'matrik MISI 4'!Z26</f>
        <v>0</v>
      </c>
    </row>
    <row r="112" spans="2:26" ht="60">
      <c r="B112" s="940"/>
      <c r="C112" s="941"/>
      <c r="D112" s="940"/>
      <c r="E112" s="940"/>
      <c r="F112" s="940"/>
      <c r="G112" s="940"/>
      <c r="H112" s="164" t="str">
        <f>'matrik MISI 4'!N27</f>
        <v>Rasio Siswa per Kelas SMP/MTs</v>
      </c>
      <c r="I112" s="164" t="str">
        <f>'matrik MISI 4'!O27</f>
        <v>Angka</v>
      </c>
      <c r="J112" s="929">
        <f>'matrik MISI 4'!P27</f>
        <v>31.9</v>
      </c>
      <c r="K112" s="929">
        <f>'matrik MISI 4'!Q27</f>
        <v>31.9</v>
      </c>
      <c r="L112" s="929">
        <f>'matrik MISI 4'!R27</f>
        <v>31.92</v>
      </c>
      <c r="M112" s="961"/>
      <c r="N112" s="929">
        <f>'matrik MISI 4'!S27</f>
        <v>31.94</v>
      </c>
      <c r="O112" s="929"/>
      <c r="P112" s="929">
        <f>'matrik MISI 4'!T27</f>
        <v>31.96</v>
      </c>
      <c r="Q112" s="929"/>
      <c r="R112" s="929">
        <f>'matrik MISI 4'!U27</f>
        <v>31.98</v>
      </c>
      <c r="S112" s="929"/>
      <c r="T112" s="929">
        <f>'matrik MISI 4'!V27</f>
        <v>32</v>
      </c>
      <c r="U112" s="929"/>
      <c r="V112" s="929">
        <f>'matrik MISI 4'!W27</f>
        <v>32</v>
      </c>
      <c r="W112" s="929"/>
      <c r="X112" s="929" t="str">
        <f>'matrik MISI 4'!X27</f>
        <v>Dinas Pendidikan</v>
      </c>
      <c r="Y112" s="164" t="str">
        <f>'matrik MISI 4'!Y27</f>
        <v>Jumlah siswa SMP/MTs dibagi jumlah kelas SMP/MTs</v>
      </c>
      <c r="Z112" s="164">
        <f>'matrik MISI 4'!Z27</f>
        <v>0</v>
      </c>
    </row>
    <row r="113" spans="2:26" ht="105">
      <c r="B113" s="940"/>
      <c r="C113" s="941"/>
      <c r="D113" s="940"/>
      <c r="E113" s="940"/>
      <c r="F113" s="940"/>
      <c r="G113" s="940"/>
      <c r="H113" s="164" t="str">
        <f>'matrik MISI 4'!N28</f>
        <v>Persentase Siswa Miskin Penerima Beasiswa  untuk Menempuh Pendidikan Dasar</v>
      </c>
      <c r="I113" s="164" t="str">
        <f>'matrik MISI 4'!O28</f>
        <v>%</v>
      </c>
      <c r="J113" s="929" t="str">
        <f>'matrik MISI 4'!P28</f>
        <v>65,62</v>
      </c>
      <c r="K113" s="929" t="str">
        <f>'matrik MISI 4'!Q28</f>
        <v>68,13</v>
      </c>
      <c r="L113" s="929" t="str">
        <f>'matrik MISI 4'!R28</f>
        <v>70,65</v>
      </c>
      <c r="M113" s="961"/>
      <c r="N113" s="929" t="str">
        <f>'matrik MISI 4'!S28</f>
        <v>71,90</v>
      </c>
      <c r="O113" s="929"/>
      <c r="P113" s="929" t="str">
        <f>'matrik MISI 4'!T28</f>
        <v>73,16</v>
      </c>
      <c r="Q113" s="929"/>
      <c r="R113" s="929" t="str">
        <f>'matrik MISI 4'!U28</f>
        <v>74,42</v>
      </c>
      <c r="S113" s="929"/>
      <c r="T113" s="929" t="str">
        <f>'matrik MISI 4'!V28</f>
        <v>74,42</v>
      </c>
      <c r="U113" s="929"/>
      <c r="V113" s="929" t="str">
        <f>'matrik MISI 4'!W28</f>
        <v>74,42</v>
      </c>
      <c r="W113" s="929"/>
      <c r="X113" s="929" t="str">
        <f>'matrik MISI 4'!X28</f>
        <v>Dinas Pendidikan</v>
      </c>
      <c r="Y113" s="164" t="str">
        <f>'matrik MISI 4'!Y28</f>
        <v>Jumlah siswa miskin SD/MI/SMP/MTs penerima bantuan/beasiswa miskin dibagi jumlah siswa miskin SD/MI/SMP/MTs</v>
      </c>
      <c r="Z113" s="164">
        <f>'matrik MISI 4'!Z28</f>
        <v>0</v>
      </c>
    </row>
    <row r="114" spans="2:26" ht="90">
      <c r="B114" s="940"/>
      <c r="C114" s="941"/>
      <c r="D114" s="940"/>
      <c r="E114" s="940"/>
      <c r="F114" s="940"/>
      <c r="G114" s="940"/>
      <c r="H114" s="164" t="str">
        <f>'matrik MISI 4'!N29</f>
        <v>Angka Partisipasi Sekolah Usia 7-12 Tahun</v>
      </c>
      <c r="I114" s="164" t="str">
        <f>'matrik MISI 4'!O29</f>
        <v>%</v>
      </c>
      <c r="J114" s="929">
        <f>'matrik MISI 4'!P29</f>
        <v>99.37</v>
      </c>
      <c r="K114" s="929">
        <f>'matrik MISI 4'!Q29</f>
        <v>99.37</v>
      </c>
      <c r="L114" s="929">
        <f>'matrik MISI 4'!R29</f>
        <v>99.4</v>
      </c>
      <c r="M114" s="961"/>
      <c r="N114" s="929">
        <f>'matrik MISI 4'!S29</f>
        <v>99.43</v>
      </c>
      <c r="O114" s="929"/>
      <c r="P114" s="929">
        <f>'matrik MISI 4'!T29</f>
        <v>99.46</v>
      </c>
      <c r="Q114" s="929"/>
      <c r="R114" s="929">
        <f>'matrik MISI 4'!U29</f>
        <v>99.49</v>
      </c>
      <c r="S114" s="929"/>
      <c r="T114" s="929">
        <f>'matrik MISI 4'!V29</f>
        <v>99.52</v>
      </c>
      <c r="U114" s="929"/>
      <c r="V114" s="929">
        <f>'matrik MISI 4'!W29</f>
        <v>99.52</v>
      </c>
      <c r="W114" s="929"/>
      <c r="X114" s="929" t="str">
        <f>'matrik MISI 4'!X29</f>
        <v>Dinas Pendidikan</v>
      </c>
      <c r="Y114" s="164" t="str">
        <f>'matrik MISI 4'!Y29</f>
        <v>Jumlah siswa TK/RA/SD/MI/SMP/MTs usia 7-12 tahun dibagi jumlah penduduk usia 7-12 tahun kali 100%</v>
      </c>
      <c r="Z114" s="164">
        <f>'matrik MISI 4'!Z29</f>
        <v>0</v>
      </c>
    </row>
    <row r="115" spans="2:26" ht="90">
      <c r="B115" s="940"/>
      <c r="C115" s="941"/>
      <c r="D115" s="940"/>
      <c r="E115" s="940"/>
      <c r="F115" s="940"/>
      <c r="G115" s="940"/>
      <c r="H115" s="164" t="str">
        <f>'matrik MISI 4'!N30</f>
        <v>Angka Partisipasi Sekolah Usia 13-15 Tahun</v>
      </c>
      <c r="I115" s="164" t="str">
        <f>'matrik MISI 4'!O30</f>
        <v>%</v>
      </c>
      <c r="J115" s="929">
        <f>'matrik MISI 4'!P30</f>
        <v>99.25</v>
      </c>
      <c r="K115" s="929">
        <f>'matrik MISI 4'!Q30</f>
        <v>99.25</v>
      </c>
      <c r="L115" s="929">
        <f>'matrik MISI 4'!R30</f>
        <v>99.28</v>
      </c>
      <c r="M115" s="961"/>
      <c r="N115" s="929">
        <f>'matrik MISI 4'!S30</f>
        <v>99.31</v>
      </c>
      <c r="O115" s="929"/>
      <c r="P115" s="929">
        <f>'matrik MISI 4'!T30</f>
        <v>99.34</v>
      </c>
      <c r="Q115" s="929"/>
      <c r="R115" s="929">
        <f>'matrik MISI 4'!U30</f>
        <v>99.37</v>
      </c>
      <c r="S115" s="929"/>
      <c r="T115" s="929">
        <f>'matrik MISI 4'!V30</f>
        <v>99.4</v>
      </c>
      <c r="U115" s="929"/>
      <c r="V115" s="929">
        <f>'matrik MISI 4'!W30</f>
        <v>99.4</v>
      </c>
      <c r="W115" s="929"/>
      <c r="X115" s="929" t="str">
        <f>'matrik MISI 4'!X30</f>
        <v>Dinas Pendidikan</v>
      </c>
      <c r="Y115" s="164" t="str">
        <f>'matrik MISI 4'!Y30</f>
        <v>Jumlah siswa SD/MI/SMP/MTs/SMA/MA/ SMK usia 13-15 tahun dibagi jumlah penduduk usia 13-15 tahun kali 100%</v>
      </c>
      <c r="Z115" s="164">
        <f>'matrik MISI 4'!Z30</f>
        <v>0</v>
      </c>
    </row>
    <row r="116" spans="2:26" ht="90">
      <c r="B116" s="940"/>
      <c r="C116" s="941"/>
      <c r="D116" s="940"/>
      <c r="E116" s="940"/>
      <c r="F116" s="940"/>
      <c r="G116" s="940"/>
      <c r="H116" s="164" t="str">
        <f>'matrik MISI 4'!N61</f>
        <v>Persentase Siswa Baru SD/MI yang berasal dari TK/RA</v>
      </c>
      <c r="I116" s="164" t="str">
        <f>'matrik MISI 4'!O61</f>
        <v>%</v>
      </c>
      <c r="J116" s="929">
        <f>'matrik MISI 4'!P61</f>
        <v>94.809186374114205</v>
      </c>
      <c r="K116" s="929">
        <f>'matrik MISI 4'!Q61</f>
        <v>94.82</v>
      </c>
      <c r="L116" s="929">
        <f>'matrik MISI 4'!R61</f>
        <v>94.83</v>
      </c>
      <c r="M116" s="961"/>
      <c r="N116" s="929">
        <f>'matrik MISI 4'!S61</f>
        <v>94.84</v>
      </c>
      <c r="O116" s="929"/>
      <c r="P116" s="929">
        <f>'matrik MISI 4'!T61</f>
        <v>94.85</v>
      </c>
      <c r="Q116" s="929"/>
      <c r="R116" s="929">
        <f>'matrik MISI 4'!U61</f>
        <v>94.86</v>
      </c>
      <c r="S116" s="929"/>
      <c r="T116" s="929">
        <f>'matrik MISI 4'!V61</f>
        <v>94.87</v>
      </c>
      <c r="U116" s="929"/>
      <c r="V116" s="929">
        <f>'matrik MISI 4'!W61</f>
        <v>94.87</v>
      </c>
      <c r="W116" s="929"/>
      <c r="X116" s="929" t="str">
        <f>'matrik MISI 4'!X61</f>
        <v>Dinas Pendidikan</v>
      </c>
      <c r="Y116" s="164" t="str">
        <f>'matrik MISI 4'!Y61</f>
        <v>Jumlah siswa baru tingkat I SD/MI yang berasal dari  TK/RA dibagi jumlah siswa baru tingkat I SD/MI kali 100%</v>
      </c>
      <c r="Z116" s="164">
        <f>'matrik MISI 4'!Z61</f>
        <v>0</v>
      </c>
    </row>
    <row r="117" spans="2:26" ht="45">
      <c r="B117" s="940"/>
      <c r="C117" s="941"/>
      <c r="D117" s="940"/>
      <c r="E117" s="940"/>
      <c r="F117" s="940"/>
      <c r="G117" s="940"/>
      <c r="H117" s="164" t="str">
        <f>'matrik MISI 4'!N62</f>
        <v>Angka Putus Sekolah SD/MI</v>
      </c>
      <c r="I117" s="164" t="str">
        <f>'matrik MISI 4'!O62</f>
        <v>%</v>
      </c>
      <c r="J117" s="929">
        <f>'matrik MISI 4'!P62</f>
        <v>0.2</v>
      </c>
      <c r="K117" s="929">
        <f>'matrik MISI 4'!Q62</f>
        <v>0.18</v>
      </c>
      <c r="L117" s="929">
        <f>'matrik MISI 4'!R62</f>
        <v>0.17</v>
      </c>
      <c r="M117" s="961"/>
      <c r="N117" s="929">
        <f>'matrik MISI 4'!S62</f>
        <v>0.16</v>
      </c>
      <c r="O117" s="929"/>
      <c r="P117" s="929">
        <f>'matrik MISI 4'!T62</f>
        <v>0.15</v>
      </c>
      <c r="Q117" s="929"/>
      <c r="R117" s="929">
        <f>'matrik MISI 4'!U62</f>
        <v>0.14000000000000001</v>
      </c>
      <c r="S117" s="929"/>
      <c r="T117" s="929">
        <f>'matrik MISI 4'!V62</f>
        <v>0.13</v>
      </c>
      <c r="U117" s="929"/>
      <c r="V117" s="929">
        <f>'matrik MISI 4'!W62</f>
        <v>0.13</v>
      </c>
      <c r="W117" s="929"/>
      <c r="X117" s="929" t="str">
        <f>'matrik MISI 4'!X62</f>
        <v>Dinas Pendidikan</v>
      </c>
      <c r="Y117" s="164" t="str">
        <f>'matrik MISI 4'!Y62</f>
        <v xml:space="preserve">Jumlah siswa putus sekolah SD/MI dibagi jumlah siswa SD/MI </v>
      </c>
      <c r="Z117" s="164">
        <f>'matrik MISI 4'!Z62</f>
        <v>0</v>
      </c>
    </row>
    <row r="118" spans="2:26" ht="60">
      <c r="B118" s="940"/>
      <c r="C118" s="941"/>
      <c r="D118" s="940"/>
      <c r="E118" s="940"/>
      <c r="F118" s="940"/>
      <c r="G118" s="940"/>
      <c r="H118" s="164" t="str">
        <f>'matrik MISI 4'!N63</f>
        <v>Angka Putus Sekolah SMP/MTs</v>
      </c>
      <c r="I118" s="164" t="str">
        <f>'matrik MISI 4'!O63</f>
        <v>%</v>
      </c>
      <c r="J118" s="929">
        <f>'matrik MISI 4'!P63</f>
        <v>0.44489263257800449</v>
      </c>
      <c r="K118" s="929">
        <f>'matrik MISI 4'!Q63</f>
        <v>0.43</v>
      </c>
      <c r="L118" s="929">
        <f>'matrik MISI 4'!R63</f>
        <v>0.42</v>
      </c>
      <c r="M118" s="961"/>
      <c r="N118" s="929">
        <f>'matrik MISI 4'!S63</f>
        <v>0.41</v>
      </c>
      <c r="O118" s="929"/>
      <c r="P118" s="929">
        <f>'matrik MISI 4'!T63</f>
        <v>0.4</v>
      </c>
      <c r="Q118" s="929"/>
      <c r="R118" s="929">
        <f>'matrik MISI 4'!U63</f>
        <v>0.39</v>
      </c>
      <c r="S118" s="929"/>
      <c r="T118" s="929">
        <f>'matrik MISI 4'!V63</f>
        <v>0.33800000000000002</v>
      </c>
      <c r="U118" s="929"/>
      <c r="V118" s="929">
        <f>'matrik MISI 4'!W63</f>
        <v>0.33800000000000002</v>
      </c>
      <c r="W118" s="929"/>
      <c r="X118" s="929" t="str">
        <f>'matrik MISI 4'!X63</f>
        <v>Dinas Pendidikan</v>
      </c>
      <c r="Y118" s="164" t="str">
        <f>'matrik MISI 4'!Y63</f>
        <v xml:space="preserve">Jumlah siswa putus sekolah SMP/MTs dibagi jumlah siswa SMP/MTs </v>
      </c>
      <c r="Z118" s="164">
        <f>'matrik MISI 4'!Z63</f>
        <v>0</v>
      </c>
    </row>
    <row r="119" spans="2:26" ht="75">
      <c r="B119" s="940"/>
      <c r="C119" s="941"/>
      <c r="D119" s="940"/>
      <c r="E119" s="940"/>
      <c r="F119" s="940"/>
      <c r="G119" s="940"/>
      <c r="H119" s="164" t="str">
        <f>'matrik MISI 4'!N116</f>
        <v>Persentase Ruang Kelas SD/MI yang Kondisinya Baik</v>
      </c>
      <c r="I119" s="164" t="str">
        <f>'matrik MISI 4'!O116</f>
        <v>%</v>
      </c>
      <c r="J119" s="929">
        <f>'matrik MISI 4'!P116</f>
        <v>85.008469791078483</v>
      </c>
      <c r="K119" s="929">
        <f>'matrik MISI 4'!Q116</f>
        <v>86.42</v>
      </c>
      <c r="L119" s="929">
        <f>'matrik MISI 4'!R116</f>
        <v>87.83</v>
      </c>
      <c r="M119" s="961"/>
      <c r="N119" s="929">
        <f>'matrik MISI 4'!S116</f>
        <v>89.25</v>
      </c>
      <c r="O119" s="929"/>
      <c r="P119" s="929">
        <f>'matrik MISI 4'!T116</f>
        <v>90.66</v>
      </c>
      <c r="Q119" s="929"/>
      <c r="R119" s="929">
        <f>'matrik MISI 4'!U116</f>
        <v>92.07</v>
      </c>
      <c r="S119" s="929"/>
      <c r="T119" s="929">
        <f>'matrik MISI 4'!V116</f>
        <v>93.48</v>
      </c>
      <c r="U119" s="929"/>
      <c r="V119" s="929">
        <f>'matrik MISI 4'!W116</f>
        <v>93.48</v>
      </c>
      <c r="W119" s="929"/>
      <c r="X119" s="929" t="str">
        <f>'matrik MISI 4'!X116</f>
        <v>Dinas Pendidikan</v>
      </c>
      <c r="Y119" s="164" t="str">
        <f>'matrik MISI 4'!Y116</f>
        <v>Jumlah ruang kelas SD/MI yang kondisinya baik dibagi jumlah ruang kelas SD/MI kali 100%</v>
      </c>
      <c r="Z119" s="164">
        <f>'matrik MISI 4'!Z116</f>
        <v>0</v>
      </c>
    </row>
    <row r="120" spans="2:26" ht="90">
      <c r="B120" s="940"/>
      <c r="C120" s="941"/>
      <c r="D120" s="940"/>
      <c r="E120" s="940"/>
      <c r="F120" s="940"/>
      <c r="G120" s="940"/>
      <c r="H120" s="164" t="str">
        <f>'matrik MISI 4'!N117</f>
        <v>Persentase Ruang Kelas SMP yang Kondisinya Baik</v>
      </c>
      <c r="I120" s="164" t="str">
        <f>'matrik MISI 4'!O117</f>
        <v>%</v>
      </c>
      <c r="J120" s="929">
        <f>'matrik MISI 4'!P117</f>
        <v>87.352941176470594</v>
      </c>
      <c r="K120" s="929">
        <f>'matrik MISI 4'!Q117</f>
        <v>88.33</v>
      </c>
      <c r="L120" s="929">
        <f>'matrik MISI 4'!R117</f>
        <v>89.31</v>
      </c>
      <c r="M120" s="961"/>
      <c r="N120" s="929">
        <f>'matrik MISI 4'!S117</f>
        <v>90.29</v>
      </c>
      <c r="O120" s="929"/>
      <c r="P120" s="929">
        <f>'matrik MISI 4'!T117</f>
        <v>91.27</v>
      </c>
      <c r="Q120" s="929"/>
      <c r="R120" s="929">
        <f>'matrik MISI 4'!U117</f>
        <v>92.25</v>
      </c>
      <c r="S120" s="929"/>
      <c r="T120" s="929">
        <f>'matrik MISI 4'!V117</f>
        <v>93.23</v>
      </c>
      <c r="U120" s="929"/>
      <c r="V120" s="929">
        <f>'matrik MISI 4'!W117</f>
        <v>93.23</v>
      </c>
      <c r="W120" s="929"/>
      <c r="X120" s="929" t="str">
        <f>'matrik MISI 4'!X117</f>
        <v>Dinas Pendidikan</v>
      </c>
      <c r="Y120" s="164" t="str">
        <f>'matrik MISI 4'!Y117</f>
        <v>Jumlah ruang kelas SMP/MTs yang kondisinya baik dibagi jumlah ruang kelas SMP/MTs kali 100%</v>
      </c>
      <c r="Z120" s="164">
        <f>'matrik MISI 4'!Z117</f>
        <v>0</v>
      </c>
    </row>
    <row r="121" spans="2:26" ht="105">
      <c r="B121" s="940"/>
      <c r="C121" s="941"/>
      <c r="D121" s="940"/>
      <c r="E121" s="940"/>
      <c r="F121" s="940"/>
      <c r="G121" s="940"/>
      <c r="H121" s="164" t="str">
        <f>'matrik MISI 4'!N118</f>
        <v>Persentase SD/MI yang Memiliki Sarana dan Prasarana sesuai dengan Standar Sarana Prasarana</v>
      </c>
      <c r="I121" s="164" t="str">
        <f>'matrik MISI 4'!O118</f>
        <v>%</v>
      </c>
      <c r="J121" s="929">
        <f>'matrik MISI 4'!P118</f>
        <v>60</v>
      </c>
      <c r="K121" s="929">
        <f>'matrik MISI 4'!Q118</f>
        <v>61.75</v>
      </c>
      <c r="L121" s="929">
        <f>'matrik MISI 4'!R118</f>
        <v>63.5</v>
      </c>
      <c r="M121" s="961"/>
      <c r="N121" s="929">
        <f>'matrik MISI 4'!S118</f>
        <v>65.239999999999995</v>
      </c>
      <c r="O121" s="929"/>
      <c r="P121" s="929">
        <f>'matrik MISI 4'!T118</f>
        <v>66.989999999999995</v>
      </c>
      <c r="Q121" s="929"/>
      <c r="R121" s="929">
        <f>'matrik MISI 4'!U118</f>
        <v>68.739999999999995</v>
      </c>
      <c r="S121" s="929"/>
      <c r="T121" s="929">
        <f>'matrik MISI 4'!V118</f>
        <v>70.489999999999995</v>
      </c>
      <c r="U121" s="929"/>
      <c r="V121" s="929">
        <f>'matrik MISI 4'!W118</f>
        <v>70.489999999999995</v>
      </c>
      <c r="W121" s="929"/>
      <c r="X121" s="929" t="str">
        <f>'matrik MISI 4'!X118</f>
        <v>Dinas Pendidikan</v>
      </c>
      <c r="Y121" s="164" t="str">
        <f>'matrik MISI 4'!Y118</f>
        <v>Jumlah SD/MI yang memiliki sarana prasarana sesuai dengan standar sarana prasarana dibagi jumlah SD/MI kali 100%</v>
      </c>
      <c r="Z121" s="164">
        <f>'matrik MISI 4'!Z118</f>
        <v>0</v>
      </c>
    </row>
    <row r="122" spans="2:26" ht="105">
      <c r="B122" s="940"/>
      <c r="C122" s="941"/>
      <c r="D122" s="940"/>
      <c r="E122" s="940"/>
      <c r="F122" s="940"/>
      <c r="G122" s="940"/>
      <c r="H122" s="164" t="str">
        <f>'matrik MISI 4'!N119</f>
        <v>Persentase SMP/MTs yang Memiliki Sarana dan Prasarana sesuai dengan Standar Sarana Prasarana</v>
      </c>
      <c r="I122" s="164" t="str">
        <f>'matrik MISI 4'!O119</f>
        <v>%</v>
      </c>
      <c r="J122" s="929">
        <f>'matrik MISI 4'!P119</f>
        <v>75.239999999999995</v>
      </c>
      <c r="K122" s="929">
        <f>'matrik MISI 4'!Q119</f>
        <v>76.19</v>
      </c>
      <c r="L122" s="929">
        <f>'matrik MISI 4'!R119</f>
        <v>77.14</v>
      </c>
      <c r="M122" s="961"/>
      <c r="N122" s="929">
        <f>'matrik MISI 4'!S119</f>
        <v>78.09</v>
      </c>
      <c r="O122" s="929"/>
      <c r="P122" s="929">
        <f>'matrik MISI 4'!T119</f>
        <v>79.040000000000006</v>
      </c>
      <c r="Q122" s="929"/>
      <c r="R122" s="929">
        <f>'matrik MISI 4'!U119</f>
        <v>79.989999999999995</v>
      </c>
      <c r="S122" s="929"/>
      <c r="T122" s="929" t="str">
        <f>'matrik MISI 4'!V119</f>
        <v>80..94</v>
      </c>
      <c r="U122" s="929"/>
      <c r="V122" s="929" t="str">
        <f>'matrik MISI 4'!W119</f>
        <v>80..94</v>
      </c>
      <c r="W122" s="929"/>
      <c r="X122" s="929" t="str">
        <f>'matrik MISI 4'!X119</f>
        <v>Dinas Pendidikan</v>
      </c>
      <c r="Y122" s="164" t="str">
        <f>'matrik MISI 4'!Y119</f>
        <v>Jumlah SMP/MTs yang memiliki sarana prasarana sesuai dengan standar sarana prasarana dibagi jumlah SMP/MTs kali 100%</v>
      </c>
      <c r="Z122" s="164">
        <f>'matrik MISI 4'!Z119</f>
        <v>0</v>
      </c>
    </row>
    <row r="123" spans="2:26" ht="315">
      <c r="B123" s="940"/>
      <c r="C123" s="941"/>
      <c r="D123" s="940"/>
      <c r="E123" s="940"/>
      <c r="F123" s="940"/>
      <c r="G123" s="940"/>
      <c r="H123" s="164" t="str">
        <f>'matrik MISI 4'!N120</f>
        <v>Cakupan keterjangkauan  satuan pendidikan SD/MI dan6 km untuk SMP/MTs dari kelompok permukiman permanen di daerah terpencil</v>
      </c>
      <c r="I123" s="164" t="str">
        <f>'matrik MISI 4'!O120</f>
        <v>%</v>
      </c>
      <c r="J123" s="929">
        <f>'matrik MISI 4'!P120</f>
        <v>100</v>
      </c>
      <c r="K123" s="929">
        <f>'matrik MISI 4'!Q120</f>
        <v>100</v>
      </c>
      <c r="L123" s="929">
        <f>'matrik MISI 4'!R120</f>
        <v>100</v>
      </c>
      <c r="M123" s="961"/>
      <c r="N123" s="929">
        <f>'matrik MISI 4'!S120</f>
        <v>100</v>
      </c>
      <c r="O123" s="929"/>
      <c r="P123" s="929">
        <f>'matrik MISI 4'!T120</f>
        <v>100</v>
      </c>
      <c r="Q123" s="929"/>
      <c r="R123" s="929">
        <f>'matrik MISI 4'!U120</f>
        <v>100</v>
      </c>
      <c r="S123" s="929"/>
      <c r="T123" s="929">
        <f>'matrik MISI 4'!V120</f>
        <v>100</v>
      </c>
      <c r="U123" s="929"/>
      <c r="V123" s="929">
        <f>'matrik MISI 4'!W120</f>
        <v>100</v>
      </c>
      <c r="W123" s="929"/>
      <c r="X123" s="929" t="str">
        <f>'matrik MISI 4'!X120</f>
        <v>Dinas Pendidikan</v>
      </c>
      <c r="Y123" s="164"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123" s="164" t="str">
        <f>'matrik MISI 4'!Z120</f>
        <v>(SPM 1) Tersedia satuan pendidikan dalam jarak yang terjangkau dengan berjalan kaki yaitu maksimal 3 km untuk SD/MI dan6 km untuk SMP/MTs dari kelompok permukiman permanen di daerah terpencil</v>
      </c>
    </row>
    <row r="124" spans="2:26" ht="255">
      <c r="B124" s="940"/>
      <c r="C124" s="941"/>
      <c r="D124" s="940"/>
      <c r="E124" s="940"/>
      <c r="F124" s="940"/>
      <c r="G124" s="940"/>
      <c r="H124" s="164" t="str">
        <f>'matrik MISI 4'!N121</f>
        <v>Cakupan ketersediaan Sarana prasarana kelas (SD/MI dan SMP/MTs)</v>
      </c>
      <c r="I124" s="164" t="str">
        <f>'matrik MISI 4'!O121</f>
        <v>%</v>
      </c>
      <c r="J124" s="929">
        <f>'matrik MISI 4'!P121</f>
        <v>86.69</v>
      </c>
      <c r="K124" s="929">
        <f>'matrik MISI 4'!Q121</f>
        <v>86.98</v>
      </c>
      <c r="L124" s="929">
        <f>'matrik MISI 4'!R121</f>
        <v>87.28</v>
      </c>
      <c r="M124" s="961"/>
      <c r="N124" s="929">
        <f>'matrik MISI 4'!S121</f>
        <v>87.57</v>
      </c>
      <c r="O124" s="929"/>
      <c r="P124" s="929">
        <f>'matrik MISI 4'!T121</f>
        <v>87.87</v>
      </c>
      <c r="Q124" s="929"/>
      <c r="R124" s="929">
        <f>'matrik MISI 4'!U121</f>
        <v>88.16</v>
      </c>
      <c r="S124" s="929"/>
      <c r="T124" s="929">
        <f>'matrik MISI 4'!V121</f>
        <v>88.45</v>
      </c>
      <c r="U124" s="929"/>
      <c r="V124" s="929">
        <f>'matrik MISI 4'!W121</f>
        <v>88.45</v>
      </c>
      <c r="W124" s="929"/>
      <c r="X124" s="929" t="str">
        <f>'matrik MISI 4'!X121</f>
        <v>Dinas Pendidikan</v>
      </c>
      <c r="Y124" s="164" t="str">
        <f>'matrik MISI 4'!Y121</f>
        <v>Jumlah SD/MI yang semua rombongan belajar (rombel)nya tidak melebihi 32 orang dibagi Jumlah SD/MI di wilayah kabupaten/kota kali 100%</v>
      </c>
      <c r="Z124" s="164"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125" spans="2:26" ht="195">
      <c r="B125" s="940"/>
      <c r="C125" s="941"/>
      <c r="D125" s="940"/>
      <c r="E125" s="940"/>
      <c r="F125" s="940"/>
      <c r="G125" s="940"/>
      <c r="H125" s="164" t="str">
        <f>'matrik MISI 4'!N122</f>
        <v xml:space="preserve">Cakupan ketersediaan laboratorium IPA SMP dan MTs </v>
      </c>
      <c r="I125" s="164" t="str">
        <f>'matrik MISI 4'!O122</f>
        <v>%</v>
      </c>
      <c r="J125" s="929">
        <f>'matrik MISI 4'!P122</f>
        <v>70</v>
      </c>
      <c r="K125" s="929">
        <f>'matrik MISI 4'!Q122</f>
        <v>71.900000000000006</v>
      </c>
      <c r="L125" s="929">
        <f>'matrik MISI 4'!R122</f>
        <v>73.81</v>
      </c>
      <c r="M125" s="961"/>
      <c r="N125" s="929">
        <f>'matrik MISI 4'!S122</f>
        <v>75.709999999999994</v>
      </c>
      <c r="O125" s="929"/>
      <c r="P125" s="929">
        <f>'matrik MISI 4'!T122</f>
        <v>77.62</v>
      </c>
      <c r="Q125" s="929"/>
      <c r="R125" s="929">
        <f>'matrik MISI 4'!U122</f>
        <v>79.52</v>
      </c>
      <c r="S125" s="929"/>
      <c r="T125" s="929">
        <f>'matrik MISI 4'!V122</f>
        <v>81.42</v>
      </c>
      <c r="U125" s="929"/>
      <c r="V125" s="929">
        <f>'matrik MISI 4'!W122</f>
        <v>81.42</v>
      </c>
      <c r="W125" s="929"/>
      <c r="X125" s="929" t="str">
        <f>'matrik MISI 4'!X122</f>
        <v>Dinas Pendidikan</v>
      </c>
      <c r="Y125" s="164" t="str">
        <f>'matrik MISI 4'!Y122</f>
        <v>Jumlah SMP/MTs yang memiliki ruang laboratorium IPA yang dilengkapi dengan meja dan kursi untuk 36 peserta didik dibagi jumlah SMP/MTs kali 100%</v>
      </c>
      <c r="Z125" s="164" t="str">
        <f>'matrik MISI 4'!Z122</f>
        <v>(SPM 3) Di setiap SMP dan MTs tersedia ruang laboratorium IPA yang dilengkapi dengan meja dan kursi yang cukup untuk 36 peserta didik dan minimal satu set peralatan praktek IPA untuk demonstrasi dan eksperimen peserta didik.</v>
      </c>
    </row>
    <row r="126" spans="2:26" ht="210">
      <c r="B126" s="940"/>
      <c r="C126" s="941"/>
      <c r="D126" s="940"/>
      <c r="E126" s="940"/>
      <c r="F126" s="940"/>
      <c r="G126" s="940"/>
      <c r="H126" s="164" t="str">
        <f>'matrik MISI 4'!N123</f>
        <v xml:space="preserve">Cakupan Ketersediaan Ruang Guru </v>
      </c>
      <c r="I126" s="164" t="str">
        <f>'matrik MISI 4'!O123</f>
        <v>%</v>
      </c>
      <c r="J126" s="929">
        <f>'matrik MISI 4'!P123</f>
        <v>98.47</v>
      </c>
      <c r="K126" s="929">
        <f>'matrik MISI 4'!Q123</f>
        <v>98.67</v>
      </c>
      <c r="L126" s="929">
        <f>'matrik MISI 4'!R123</f>
        <v>98.97</v>
      </c>
      <c r="M126" s="961"/>
      <c r="N126" s="929">
        <f>'matrik MISI 4'!S123</f>
        <v>99.26</v>
      </c>
      <c r="O126" s="929"/>
      <c r="P126" s="929">
        <f>'matrik MISI 4'!T123</f>
        <v>99.56</v>
      </c>
      <c r="Q126" s="929"/>
      <c r="R126" s="929">
        <f>'matrik MISI 4'!U123</f>
        <v>99.85</v>
      </c>
      <c r="S126" s="929"/>
      <c r="T126" s="929">
        <f>'matrik MISI 4'!V123</f>
        <v>100</v>
      </c>
      <c r="U126" s="929"/>
      <c r="V126" s="929">
        <f>'matrik MISI 4'!W123</f>
        <v>100</v>
      </c>
      <c r="W126" s="929"/>
      <c r="X126" s="929" t="str">
        <f>'matrik MISI 4'!X123</f>
        <v>Dinas Pendidikan</v>
      </c>
      <c r="Y126" s="164" t="str">
        <f>'matrik MISI 4'!Y123</f>
        <v>Jumlah SD/MI yang memiliki satu ruang guru dan dilengkapi dengan meja dan kursi untuk setiap orang guru, kepala sekolah/madrasah dan staf kependidikan lainnya dibagi jumlah SD/MI kali 100%</v>
      </c>
      <c r="Z126" s="164"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127" spans="2:26" ht="31.5" hidden="1" customHeight="1">
      <c r="B127" s="940"/>
      <c r="C127" s="941"/>
      <c r="D127" s="940">
        <f>'matrik MISI 4'!J32</f>
        <v>1.01</v>
      </c>
      <c r="E127" s="940" t="str">
        <f>'matrik MISI 4'!K32</f>
        <v>xx</v>
      </c>
      <c r="F127" s="940">
        <f>'matrik MISI 4'!L32</f>
        <v>17</v>
      </c>
      <c r="G127" s="940" t="str">
        <f>'matrik MISI 4'!M32</f>
        <v xml:space="preserve">Program pendidikan menengah </v>
      </c>
      <c r="H127" s="164"/>
      <c r="I127" s="164"/>
      <c r="J127" s="929"/>
      <c r="K127" s="929"/>
      <c r="L127" s="929"/>
      <c r="M127" s="961">
        <f>'jangan dihapus 2'!K116</f>
        <v>16340145100</v>
      </c>
      <c r="N127" s="961"/>
      <c r="O127" s="961">
        <f>'jangan dihapus 2'!M116</f>
        <v>16450985000</v>
      </c>
      <c r="P127" s="961"/>
      <c r="Q127" s="961">
        <f>'jangan dihapus 2'!O116</f>
        <v>18086620000</v>
      </c>
      <c r="R127" s="961"/>
      <c r="S127" s="961">
        <f>'jangan dihapus 2'!Q116</f>
        <v>16961620000</v>
      </c>
      <c r="T127" s="961"/>
      <c r="U127" s="961">
        <f>'jangan dihapus 2'!S116</f>
        <v>16551620000</v>
      </c>
      <c r="V127" s="929"/>
      <c r="W127" s="961">
        <f>SUM(M127:U127)</f>
        <v>84390990100</v>
      </c>
      <c r="X127" s="929"/>
      <c r="Y127" s="164"/>
      <c r="Z127" s="164"/>
    </row>
    <row r="128" spans="2:26" ht="90">
      <c r="B128" s="940"/>
      <c r="C128" s="941"/>
      <c r="D128" s="939"/>
      <c r="E128" s="939"/>
      <c r="F128" s="939"/>
      <c r="G128" s="939"/>
      <c r="H128" s="164" t="str">
        <f>'matrik MISI 4'!N32</f>
        <v>Persentase APK Pendidikan Menengah</v>
      </c>
      <c r="I128" s="164" t="str">
        <f>'matrik MISI 4'!O32</f>
        <v>%</v>
      </c>
      <c r="J128" s="929">
        <f>'matrik MISI 4'!P32</f>
        <v>56.56</v>
      </c>
      <c r="K128" s="929">
        <f>'matrik MISI 4'!Q32</f>
        <v>56.66</v>
      </c>
      <c r="L128" s="929">
        <f>'matrik MISI 4'!R32</f>
        <v>56.76</v>
      </c>
      <c r="M128" s="961"/>
      <c r="N128" s="929">
        <f>'matrik MISI 4'!S32</f>
        <v>56.86</v>
      </c>
      <c r="O128" s="929"/>
      <c r="P128" s="929">
        <f>'matrik MISI 4'!T32</f>
        <v>56.96</v>
      </c>
      <c r="Q128" s="929"/>
      <c r="R128" s="929">
        <f>'matrik MISI 4'!U32</f>
        <v>57.06</v>
      </c>
      <c r="S128" s="929"/>
      <c r="T128" s="929">
        <f>'matrik MISI 4'!V32</f>
        <v>57.16</v>
      </c>
      <c r="U128" s="929"/>
      <c r="V128" s="929">
        <f>'matrik MISI 4'!W32</f>
        <v>57.16</v>
      </c>
      <c r="W128" s="929"/>
      <c r="X128" s="929" t="str">
        <f>'matrik MISI 4'!X32</f>
        <v>Dinas Pendidikan</v>
      </c>
      <c r="Y128" s="164" t="str">
        <f>'matrik MISI 4'!Y32</f>
        <v>Jumlah siswa SMA/MA/SMK-sederajat dibagi jumlah penduduk usia 16-18 tahun kali 100%</v>
      </c>
      <c r="Z128" s="164">
        <f>'matrik MISI 4'!Z32</f>
        <v>0</v>
      </c>
    </row>
    <row r="129" spans="2:26" ht="90">
      <c r="B129" s="940"/>
      <c r="C129" s="941"/>
      <c r="D129" s="940"/>
      <c r="E129" s="940"/>
      <c r="F129" s="940"/>
      <c r="G129" s="940"/>
      <c r="H129" s="164" t="str">
        <f>'matrik MISI 4'!N33</f>
        <v>Persentase APM Pendidikan Menengah</v>
      </c>
      <c r="I129" s="164" t="str">
        <f>'matrik MISI 4'!O33</f>
        <v>%</v>
      </c>
      <c r="J129" s="929">
        <f>'matrik MISI 4'!P33</f>
        <v>39.549999999999997</v>
      </c>
      <c r="K129" s="929">
        <f>'matrik MISI 4'!Q33</f>
        <v>39.65</v>
      </c>
      <c r="L129" s="929">
        <f>'matrik MISI 4'!R33</f>
        <v>39.75</v>
      </c>
      <c r="M129" s="961"/>
      <c r="N129" s="929">
        <f>'matrik MISI 4'!S33</f>
        <v>39.85</v>
      </c>
      <c r="O129" s="929"/>
      <c r="P129" s="929" t="str">
        <f>'matrik MISI 4'!T33</f>
        <v>39..95</v>
      </c>
      <c r="Q129" s="929"/>
      <c r="R129" s="929">
        <f>'matrik MISI 4'!U33</f>
        <v>40.049999999999997</v>
      </c>
      <c r="S129" s="929"/>
      <c r="T129" s="929">
        <f>'matrik MISI 4'!V33</f>
        <v>40.15</v>
      </c>
      <c r="U129" s="929"/>
      <c r="V129" s="929">
        <f>'matrik MISI 4'!W33</f>
        <v>40.15</v>
      </c>
      <c r="W129" s="929"/>
      <c r="X129" s="929" t="str">
        <f>'matrik MISI 4'!X33</f>
        <v>Dinas Pendidikan</v>
      </c>
      <c r="Y129" s="164" t="str">
        <f>'matrik MISI 4'!Y33</f>
        <v>Jumlah siswa SMA/MA/SMK-sederajat usia 16-18 tahundibagi jumlah penduduk usia 16-18 tahun kali 100%</v>
      </c>
      <c r="Z129" s="164">
        <f>'matrik MISI 4'!Z33</f>
        <v>0</v>
      </c>
    </row>
    <row r="130" spans="2:26" ht="90">
      <c r="B130" s="940"/>
      <c r="C130" s="941"/>
      <c r="D130" s="940"/>
      <c r="E130" s="940"/>
      <c r="F130" s="940"/>
      <c r="G130" s="940"/>
      <c r="H130" s="164" t="str">
        <f>'matrik MISI 4'!N34</f>
        <v>Angka Melanjutkan ke Jenjang Pendidikan Menengah</v>
      </c>
      <c r="I130" s="164" t="str">
        <f>'matrik MISI 4'!O34</f>
        <v>%</v>
      </c>
      <c r="J130" s="929">
        <f>'matrik MISI 4'!P34</f>
        <v>65.479140850888058</v>
      </c>
      <c r="K130" s="929">
        <f>'matrik MISI 4'!Q34</f>
        <v>65.569999999999993</v>
      </c>
      <c r="L130" s="929">
        <f>'matrik MISI 4'!R34</f>
        <v>65.66</v>
      </c>
      <c r="M130" s="961"/>
      <c r="N130" s="929">
        <f>'matrik MISI 4'!S34</f>
        <v>65.75</v>
      </c>
      <c r="O130" s="929"/>
      <c r="P130" s="929">
        <f>'matrik MISI 4'!T34</f>
        <v>65.84</v>
      </c>
      <c r="Q130" s="929"/>
      <c r="R130" s="929">
        <f>'matrik MISI 4'!U34</f>
        <v>65.930000000000007</v>
      </c>
      <c r="S130" s="929"/>
      <c r="T130" s="929">
        <f>'matrik MISI 4'!V34</f>
        <v>66.02</v>
      </c>
      <c r="U130" s="929"/>
      <c r="V130" s="929">
        <f>'matrik MISI 4'!W34</f>
        <v>66.02</v>
      </c>
      <c r="W130" s="929"/>
      <c r="X130" s="929" t="str">
        <f>'matrik MISI 4'!X34</f>
        <v>Dinas Pendidikan</v>
      </c>
      <c r="Y130" s="164" t="str">
        <f>'matrik MISI 4'!Y34</f>
        <v>Jumlah lulusan SMP/MTs tahun T-1 dibagi jumlah siswa baru tingkat I SMA/MA/SMK tahun T kali 100%</v>
      </c>
      <c r="Z130" s="164">
        <f>'matrik MISI 4'!Z34</f>
        <v>0</v>
      </c>
    </row>
    <row r="131" spans="2:26" ht="105">
      <c r="B131" s="940"/>
      <c r="C131" s="941"/>
      <c r="D131" s="940"/>
      <c r="E131" s="940"/>
      <c r="F131" s="940"/>
      <c r="G131" s="940"/>
      <c r="H131" s="164" t="str">
        <f>'matrik MISI 4'!N35</f>
        <v>Persentase Partisipasi Anak Perempuan dalam Pendidikan Menengah</v>
      </c>
      <c r="I131" s="164" t="str">
        <f>'matrik MISI 4'!O35</f>
        <v>%</v>
      </c>
      <c r="J131" s="929">
        <f>'matrik MISI 4'!P35</f>
        <v>51.247836525040483</v>
      </c>
      <c r="K131" s="929">
        <f>'matrik MISI 4'!Q35</f>
        <v>51.25</v>
      </c>
      <c r="L131" s="929">
        <f>'matrik MISI 4'!R35</f>
        <v>51.17</v>
      </c>
      <c r="M131" s="961"/>
      <c r="N131" s="929">
        <f>'matrik MISI 4'!S35</f>
        <v>51.09</v>
      </c>
      <c r="O131" s="929"/>
      <c r="P131" s="929">
        <f>'matrik MISI 4'!T35</f>
        <v>51.01</v>
      </c>
      <c r="Q131" s="929"/>
      <c r="R131" s="929">
        <f>'matrik MISI 4'!U35</f>
        <v>50.93</v>
      </c>
      <c r="S131" s="929"/>
      <c r="T131" s="929">
        <f>'matrik MISI 4'!V35</f>
        <v>50.85</v>
      </c>
      <c r="U131" s="929"/>
      <c r="V131" s="929">
        <f>'matrik MISI 4'!W35</f>
        <v>50.85</v>
      </c>
      <c r="W131" s="929"/>
      <c r="X131" s="929" t="str">
        <f>'matrik MISI 4'!X35</f>
        <v>Dinas Pendidikan</v>
      </c>
      <c r="Y131" s="164" t="str">
        <f>'matrik MISI 4'!Y35</f>
        <v>Jumlah siswa perempuan SMA/MA/SMK dibagi jumlah siswa perempuan dan laki-laki SMA/MA/SMK kali 100%</v>
      </c>
      <c r="Z131" s="164">
        <f>'matrik MISI 4'!Z35</f>
        <v>0</v>
      </c>
    </row>
    <row r="132" spans="2:26" ht="45">
      <c r="B132" s="940"/>
      <c r="C132" s="941"/>
      <c r="D132" s="940"/>
      <c r="E132" s="940"/>
      <c r="F132" s="940"/>
      <c r="G132" s="940"/>
      <c r="H132" s="164" t="str">
        <f>'matrik MISI 4'!N36</f>
        <v>Rasio Siswa per Kelas SMA/MA</v>
      </c>
      <c r="I132" s="164" t="str">
        <f>'matrik MISI 4'!O36</f>
        <v>Rasio</v>
      </c>
      <c r="J132" s="929" t="str">
        <f>'matrik MISI 4'!P36</f>
        <v>1 : 28</v>
      </c>
      <c r="K132" s="929" t="str">
        <f>'matrik MISI 4'!Q36</f>
        <v>1 : 28</v>
      </c>
      <c r="L132" s="929" t="str">
        <f>'matrik MISI 4'!R36</f>
        <v>1:29</v>
      </c>
      <c r="M132" s="961"/>
      <c r="N132" s="929" t="str">
        <f>'matrik MISI 4'!S36</f>
        <v>1:29</v>
      </c>
      <c r="O132" s="929"/>
      <c r="P132" s="929" t="str">
        <f>'matrik MISI 4'!T36</f>
        <v>1:30</v>
      </c>
      <c r="Q132" s="929"/>
      <c r="R132" s="929" t="str">
        <f>'matrik MISI 4'!U36</f>
        <v>1:30</v>
      </c>
      <c r="S132" s="929"/>
      <c r="T132" s="929">
        <f>'matrik MISI 4'!V36</f>
        <v>0</v>
      </c>
      <c r="U132" s="929"/>
      <c r="V132" s="929">
        <f>'matrik MISI 4'!W36</f>
        <v>0</v>
      </c>
      <c r="W132" s="929"/>
      <c r="X132" s="929" t="str">
        <f>'matrik MISI 4'!X36</f>
        <v>Dinas Pendidikan</v>
      </c>
      <c r="Y132" s="164" t="str">
        <f>'matrik MISI 4'!Y36</f>
        <v>Jumlah siswa SMA/MA dibagi jumlah kelas SMA/MA</v>
      </c>
      <c r="Z132" s="164">
        <f>'matrik MISI 4'!Z36</f>
        <v>0</v>
      </c>
    </row>
    <row r="133" spans="2:26" ht="45">
      <c r="B133" s="940"/>
      <c r="C133" s="941"/>
      <c r="D133" s="940"/>
      <c r="E133" s="940"/>
      <c r="F133" s="940"/>
      <c r="G133" s="940"/>
      <c r="H133" s="164" t="str">
        <f>'matrik MISI 4'!N37</f>
        <v>Rasio Siswa per Kelas SMK</v>
      </c>
      <c r="I133" s="164" t="str">
        <f>'matrik MISI 4'!O37</f>
        <v>Rasio</v>
      </c>
      <c r="J133" s="929" t="str">
        <f>'matrik MISI 4'!P37</f>
        <v>1 : 32</v>
      </c>
      <c r="K133" s="929" t="str">
        <f>'matrik MISI 4'!Q37</f>
        <v>1 : 32</v>
      </c>
      <c r="L133" s="929" t="str">
        <f>'matrik MISI 4'!R37</f>
        <v>1 : 32</v>
      </c>
      <c r="M133" s="961"/>
      <c r="N133" s="929" t="str">
        <f>'matrik MISI 4'!S37</f>
        <v>1 : 32</v>
      </c>
      <c r="O133" s="929"/>
      <c r="P133" s="929" t="str">
        <f>'matrik MISI 4'!T37</f>
        <v>1 : 32</v>
      </c>
      <c r="Q133" s="929"/>
      <c r="R133" s="929" t="str">
        <f>'matrik MISI 4'!U37</f>
        <v>1 : 32</v>
      </c>
      <c r="S133" s="929"/>
      <c r="T133" s="929" t="str">
        <f>'matrik MISI 4'!V37</f>
        <v>1 : 32</v>
      </c>
      <c r="U133" s="929"/>
      <c r="V133" s="929" t="str">
        <f>'matrik MISI 4'!W37</f>
        <v>1 : 32</v>
      </c>
      <c r="W133" s="929"/>
      <c r="X133" s="929" t="str">
        <f>'matrik MISI 4'!X37</f>
        <v>Dinas Pendidikan</v>
      </c>
      <c r="Y133" s="164" t="str">
        <f>'matrik MISI 4'!Y37</f>
        <v>Jumlah siswa SMK dibagi jumlah kelas SMK</v>
      </c>
      <c r="Z133" s="164">
        <f>'matrik MISI 4'!Z37</f>
        <v>0</v>
      </c>
    </row>
    <row r="134" spans="2:26" ht="120">
      <c r="B134" s="940"/>
      <c r="C134" s="941"/>
      <c r="D134" s="940"/>
      <c r="E134" s="940"/>
      <c r="F134" s="940"/>
      <c r="G134" s="940"/>
      <c r="H134" s="164" t="str">
        <f>'matrik MISI 4'!N38</f>
        <v>Persentase Siswa Miskin Penerima Beasiswa untuk Menempuh Pendidikan Menengah</v>
      </c>
      <c r="I134" s="164" t="str">
        <f>'matrik MISI 4'!O38</f>
        <v>%</v>
      </c>
      <c r="J134" s="929">
        <f>'matrik MISI 4'!P38</f>
        <v>0</v>
      </c>
      <c r="K134" s="929">
        <f>'matrik MISI 4'!Q38</f>
        <v>24</v>
      </c>
      <c r="L134" s="929" t="str">
        <f>'matrik MISI 4'!R38</f>
        <v>29,35</v>
      </c>
      <c r="M134" s="961"/>
      <c r="N134" s="929" t="str">
        <f>'matrik MISI 4'!S38</f>
        <v>34,70</v>
      </c>
      <c r="O134" s="929"/>
      <c r="P134" s="929" t="str">
        <f>'matrik MISI 4'!T38</f>
        <v>40,06</v>
      </c>
      <c r="Q134" s="929"/>
      <c r="R134" s="929" t="str">
        <f>'matrik MISI 4'!U38</f>
        <v>45,41</v>
      </c>
      <c r="S134" s="929"/>
      <c r="T134" s="929" t="str">
        <f>'matrik MISI 4'!V38</f>
        <v>50,76</v>
      </c>
      <c r="U134" s="929"/>
      <c r="V134" s="929" t="str">
        <f>'matrik MISI 4'!W38</f>
        <v>50,76</v>
      </c>
      <c r="W134" s="929"/>
      <c r="X134" s="929" t="str">
        <f>'matrik MISI 4'!X38</f>
        <v>Dinas Pendidikan</v>
      </c>
      <c r="Y134" s="164" t="str">
        <f>'matrik MISI 4'!Y38</f>
        <v>Jumlah siswa miskin SMA/MA/SMK penerima bantuan/beasiswa miskin dibagi jumlah siswa miskin SMA/MA/SMK kali 100%</v>
      </c>
      <c r="Z134" s="164">
        <f>'matrik MISI 4'!Z38</f>
        <v>0</v>
      </c>
    </row>
    <row r="135" spans="2:26" ht="300">
      <c r="B135" s="940"/>
      <c r="C135" s="941"/>
      <c r="D135" s="940"/>
      <c r="E135" s="940"/>
      <c r="F135" s="940"/>
      <c r="G135" s="940"/>
      <c r="H135" s="164" t="str">
        <f>'matrik MISI 4'!N39</f>
        <v>Tersedianya layanan pendidikan menengah di setiap kecamatan</v>
      </c>
      <c r="I135" s="164" t="str">
        <f>'matrik MISI 4'!O39</f>
        <v>%</v>
      </c>
      <c r="J135" s="929">
        <f>'matrik MISI 4'!P39</f>
        <v>80</v>
      </c>
      <c r="K135" s="929">
        <f>'matrik MISI 4'!Q39</f>
        <v>75</v>
      </c>
      <c r="L135" s="929">
        <f>'matrik MISI 4'!R39</f>
        <v>75</v>
      </c>
      <c r="M135" s="961"/>
      <c r="N135" s="929">
        <f>'matrik MISI 4'!S39</f>
        <v>75</v>
      </c>
      <c r="O135" s="929"/>
      <c r="P135" s="929">
        <f>'matrik MISI 4'!T39</f>
        <v>80</v>
      </c>
      <c r="Q135" s="929"/>
      <c r="R135" s="929">
        <f>'matrik MISI 4'!U39</f>
        <v>80</v>
      </c>
      <c r="S135" s="929"/>
      <c r="T135" s="929">
        <f>'matrik MISI 4'!V39</f>
        <v>80</v>
      </c>
      <c r="U135" s="929"/>
      <c r="V135" s="929">
        <f>'matrik MISI 4'!W39</f>
        <v>80</v>
      </c>
      <c r="W135" s="929"/>
      <c r="X135" s="929" t="str">
        <f>'matrik MISI 4'!X39</f>
        <v>Dinas Pendidikan</v>
      </c>
      <c r="Y135" s="164" t="str">
        <f>'matrik MISI 4'!Y39</f>
        <v>Jumlah kecamatan yang sudah memiliki lembaga pendidikan menengah dibagi jumlah Kecamatan kali 100%</v>
      </c>
      <c r="Z135" s="164"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136" spans="2:26" ht="90">
      <c r="B136" s="940"/>
      <c r="C136" s="941"/>
      <c r="D136" s="940"/>
      <c r="E136" s="940"/>
      <c r="F136" s="940"/>
      <c r="G136" s="940"/>
      <c r="H136" s="164" t="str">
        <f>'matrik MISI 4'!N40</f>
        <v>Angka Partisipasi Sekolah 16-18 Tahun</v>
      </c>
      <c r="I136" s="164" t="str">
        <f>'matrik MISI 4'!O40</f>
        <v>%</v>
      </c>
      <c r="J136" s="929">
        <f>'matrik MISI 4'!P40</f>
        <v>43.89</v>
      </c>
      <c r="K136" s="929">
        <f>'matrik MISI 4'!Q40</f>
        <v>43.89</v>
      </c>
      <c r="L136" s="929">
        <f>'matrik MISI 4'!R40</f>
        <v>43.97</v>
      </c>
      <c r="M136" s="961"/>
      <c r="N136" s="929">
        <f>'matrik MISI 4'!S40</f>
        <v>44.05</v>
      </c>
      <c r="O136" s="929"/>
      <c r="P136" s="929">
        <f>'matrik MISI 4'!T40</f>
        <v>44.13</v>
      </c>
      <c r="Q136" s="929"/>
      <c r="R136" s="929">
        <f>'matrik MISI 4'!U40</f>
        <v>44.21</v>
      </c>
      <c r="S136" s="929"/>
      <c r="T136" s="929">
        <f>'matrik MISI 4'!V40</f>
        <v>44.29</v>
      </c>
      <c r="U136" s="929"/>
      <c r="V136" s="929">
        <f>'matrik MISI 4'!W40</f>
        <v>44.29</v>
      </c>
      <c r="W136" s="929"/>
      <c r="X136" s="929" t="str">
        <f>'matrik MISI 4'!X40</f>
        <v>Dinas Pendidikan</v>
      </c>
      <c r="Y136" s="164" t="str">
        <f>'matrik MISI 4'!Y40</f>
        <v>Jumlah siswa SMP/MTs/SMA/MA/SMK usia 16-18 tahun dibagi jumlah penduduk usia 16-18 tahun kali 100%</v>
      </c>
      <c r="Z136" s="164">
        <f>'matrik MISI 4'!Z40</f>
        <v>0</v>
      </c>
    </row>
    <row r="137" spans="2:26" ht="75">
      <c r="B137" s="940"/>
      <c r="C137" s="941"/>
      <c r="D137" s="940"/>
      <c r="E137" s="940"/>
      <c r="F137" s="940"/>
      <c r="G137" s="940"/>
      <c r="H137" s="164" t="str">
        <f>'matrik MISI 4'!N41</f>
        <v>Rasio ketersediaan sekolah (SMA/MA/SMK) per Penduduk Usia 16-18 Tahun</v>
      </c>
      <c r="I137" s="164" t="str">
        <f>'matrik MISI 4'!O41</f>
        <v>Unit/10 000 penduduk usia sekolah</v>
      </c>
      <c r="J137" s="929" t="str">
        <f>'matrik MISI 4'!P41</f>
        <v>14,71</v>
      </c>
      <c r="K137" s="929" t="str">
        <f>'matrik MISI 4'!Q41</f>
        <v>14,28</v>
      </c>
      <c r="L137" s="929" t="str">
        <f>'matrik MISI 4'!R41</f>
        <v>14,12</v>
      </c>
      <c r="M137" s="961"/>
      <c r="N137" s="929" t="str">
        <f>'matrik MISI 4'!S41</f>
        <v>13,96</v>
      </c>
      <c r="O137" s="929"/>
      <c r="P137" s="929" t="str">
        <f>'matrik MISI 4'!T41</f>
        <v>13,91</v>
      </c>
      <c r="Q137" s="929"/>
      <c r="R137" s="929" t="str">
        <f>'matrik MISI 4'!U41</f>
        <v>13,75</v>
      </c>
      <c r="S137" s="929"/>
      <c r="T137" s="929" t="str">
        <f>'matrik MISI 4'!V41</f>
        <v>13,57</v>
      </c>
      <c r="U137" s="929"/>
      <c r="V137" s="929" t="str">
        <f>'matrik MISI 4'!W41</f>
        <v>13,57</v>
      </c>
      <c r="W137" s="929"/>
      <c r="X137" s="929" t="str">
        <f>'matrik MISI 4'!X41</f>
        <v>Dinas Pendidikan</v>
      </c>
      <c r="Y137" s="164" t="str">
        <f>'matrik MISI 4'!Y41</f>
        <v>Jumlah satuan pendidikan SMA/MA/SMK dibagi jumlah penduduk usia 16-18 tahun</v>
      </c>
      <c r="Z137" s="164" t="str">
        <f>'matrik MISI 4'!Z41</f>
        <v>Maksudnya apa?</v>
      </c>
    </row>
    <row r="138" spans="2:26" ht="90">
      <c r="B138" s="940"/>
      <c r="C138" s="941"/>
      <c r="D138" s="940"/>
      <c r="E138" s="940"/>
      <c r="F138" s="940"/>
      <c r="G138" s="940"/>
      <c r="H138" s="164" t="str">
        <f>'matrik MISI 4'!N75</f>
        <v>Angka Putus Sekolah SMA/MA/SMK</v>
      </c>
      <c r="I138" s="164" t="str">
        <f>'matrik MISI 4'!O75</f>
        <v>%</v>
      </c>
      <c r="J138" s="929">
        <f>'matrik MISI 4'!P75</f>
        <v>1.1807668898356665</v>
      </c>
      <c r="K138" s="929">
        <f>'matrik MISI 4'!Q75</f>
        <v>1.64</v>
      </c>
      <c r="L138" s="929">
        <f>'matrik MISI 4'!R75</f>
        <v>1.62</v>
      </c>
      <c r="M138" s="961"/>
      <c r="N138" s="929">
        <f>'matrik MISI 4'!S75</f>
        <v>1.6</v>
      </c>
      <c r="O138" s="929"/>
      <c r="P138" s="929">
        <f>'matrik MISI 4'!T75</f>
        <v>1.58</v>
      </c>
      <c r="Q138" s="929"/>
      <c r="R138" s="929">
        <f>'matrik MISI 4'!U75</f>
        <v>1.56</v>
      </c>
      <c r="S138" s="929"/>
      <c r="T138" s="929">
        <f>'matrik MISI 4'!V75</f>
        <v>1.54</v>
      </c>
      <c r="U138" s="929"/>
      <c r="V138" s="929">
        <f>'matrik MISI 4'!W75</f>
        <v>1.54</v>
      </c>
      <c r="W138" s="929"/>
      <c r="X138" s="929" t="str">
        <f>'matrik MISI 4'!X75</f>
        <v>Dinas Pendidikan</v>
      </c>
      <c r="Y138" s="164" t="str">
        <f>'matrik MISI 4'!Y75</f>
        <v>Jumlah siswa putus sekolah SMA/MA/SMK dibagi jumlah siswa SMA/MA/SMK kali 100%</v>
      </c>
      <c r="Z138" s="164">
        <f>'matrik MISI 4'!Z75</f>
        <v>0</v>
      </c>
    </row>
    <row r="139" spans="2:26" ht="90">
      <c r="B139" s="940"/>
      <c r="C139" s="941"/>
      <c r="D139" s="940"/>
      <c r="E139" s="940"/>
      <c r="F139" s="940"/>
      <c r="G139" s="940"/>
      <c r="H139" s="164" t="str">
        <f>'matrik MISI 4'!N125</f>
        <v>Persentase ruang kelas SMA/MA yang kondisinya baik</v>
      </c>
      <c r="I139" s="164" t="str">
        <f>'matrik MISI 4'!O125</f>
        <v>%</v>
      </c>
      <c r="J139" s="929">
        <f>'matrik MISI 4'!P125</f>
        <v>95.3125</v>
      </c>
      <c r="K139" s="929">
        <f>'matrik MISI 4'!Q125</f>
        <v>96.59</v>
      </c>
      <c r="L139" s="929">
        <f>'matrik MISI 4'!R125</f>
        <v>97.37</v>
      </c>
      <c r="M139" s="961"/>
      <c r="N139" s="929">
        <f>'matrik MISI 4'!S125</f>
        <v>98.15</v>
      </c>
      <c r="O139" s="929"/>
      <c r="P139" s="929">
        <f>'matrik MISI 4'!T125</f>
        <v>98.93</v>
      </c>
      <c r="Q139" s="929"/>
      <c r="R139" s="929">
        <f>'matrik MISI 4'!U125</f>
        <v>99.71</v>
      </c>
      <c r="S139" s="929"/>
      <c r="T139" s="929">
        <f>'matrik MISI 4'!V125</f>
        <v>100</v>
      </c>
      <c r="U139" s="929"/>
      <c r="V139" s="929">
        <f>'matrik MISI 4'!W125</f>
        <v>100</v>
      </c>
      <c r="W139" s="929"/>
      <c r="X139" s="929" t="str">
        <f>'matrik MISI 4'!X125</f>
        <v>Dinas Pendidikan</v>
      </c>
      <c r="Y139" s="164" t="str">
        <f>'matrik MISI 4'!Y125</f>
        <v>Jumlah ruang kelas SMA/MA yang kondisinya baik dibagi jumlah ruang kelas SMA/MA kali 100%</v>
      </c>
      <c r="Z139" s="164">
        <f>'matrik MISI 4'!Z125</f>
        <v>0</v>
      </c>
    </row>
    <row r="140" spans="2:26" ht="75">
      <c r="B140" s="940"/>
      <c r="C140" s="941"/>
      <c r="D140" s="940"/>
      <c r="E140" s="940"/>
      <c r="F140" s="940"/>
      <c r="G140" s="940"/>
      <c r="H140" s="164" t="str">
        <f>'matrik MISI 4'!N126</f>
        <v>Persentase ruang kelas SMK yang kondisinya baik</v>
      </c>
      <c r="I140" s="164" t="str">
        <f>'matrik MISI 4'!O126</f>
        <v>%</v>
      </c>
      <c r="J140" s="929">
        <f>'matrik MISI 4'!P126</f>
        <v>98.107255520504737</v>
      </c>
      <c r="K140" s="929">
        <f>'matrik MISI 4'!Q126</f>
        <v>98.75</v>
      </c>
      <c r="L140" s="929">
        <f>'matrik MISI 4'!R126</f>
        <v>99.39</v>
      </c>
      <c r="M140" s="961"/>
      <c r="N140" s="929">
        <f>'matrik MISI 4'!S126</f>
        <v>100</v>
      </c>
      <c r="O140" s="929"/>
      <c r="P140" s="929">
        <f>'matrik MISI 4'!T126</f>
        <v>99.39</v>
      </c>
      <c r="Q140" s="929"/>
      <c r="R140" s="929">
        <f>'matrik MISI 4'!U126</f>
        <v>99.39</v>
      </c>
      <c r="S140" s="929"/>
      <c r="T140" s="929">
        <f>'matrik MISI 4'!V126</f>
        <v>99.39</v>
      </c>
      <c r="U140" s="929"/>
      <c r="V140" s="929">
        <f>'matrik MISI 4'!W126</f>
        <v>99.39</v>
      </c>
      <c r="W140" s="929"/>
      <c r="X140" s="929" t="str">
        <f>'matrik MISI 4'!X126</f>
        <v>Dinas Pendidikan</v>
      </c>
      <c r="Y140" s="164" t="str">
        <f>'matrik MISI 4'!Y126</f>
        <v>Jumlah ruang kelas SMK yang kondisinya baik dibagi jumlah ruang kelas SMK kali 100%</v>
      </c>
      <c r="Z140" s="164">
        <f>'matrik MISI 4'!Z126</f>
        <v>0</v>
      </c>
    </row>
    <row r="141" spans="2:26" ht="105">
      <c r="B141" s="940"/>
      <c r="C141" s="941"/>
      <c r="D141" s="940"/>
      <c r="E141" s="940"/>
      <c r="F141" s="940"/>
      <c r="G141" s="940"/>
      <c r="H141" s="164" t="str">
        <f>'matrik MISI 4'!N127</f>
        <v>Persentase SMA/MA yang memiliki sarana dan prasarana sesuai dengan standar sarana  prasarana</v>
      </c>
      <c r="I141" s="164" t="str">
        <f>'matrik MISI 4'!O127</f>
        <v>%</v>
      </c>
      <c r="J141" s="929">
        <f>'matrik MISI 4'!P127</f>
        <v>80</v>
      </c>
      <c r="K141" s="929">
        <f>'matrik MISI 4'!Q127</f>
        <v>74.069999999999993</v>
      </c>
      <c r="L141" s="929">
        <f>'matrik MISI 4'!R127</f>
        <v>81.47</v>
      </c>
      <c r="M141" s="961"/>
      <c r="N141" s="929">
        <f>'matrik MISI 4'!S127</f>
        <v>8.8699999999999992</v>
      </c>
      <c r="O141" s="929"/>
      <c r="P141" s="929">
        <f>'matrik MISI 4'!T127</f>
        <v>96.27</v>
      </c>
      <c r="Q141" s="929"/>
      <c r="R141" s="929">
        <f>'matrik MISI 4'!U127</f>
        <v>96.27</v>
      </c>
      <c r="S141" s="929"/>
      <c r="T141" s="929">
        <f>'matrik MISI 4'!V127</f>
        <v>96.27</v>
      </c>
      <c r="U141" s="929"/>
      <c r="V141" s="929">
        <f>'matrik MISI 4'!W127</f>
        <v>96.27</v>
      </c>
      <c r="W141" s="929"/>
      <c r="X141" s="929" t="str">
        <f>'matrik MISI 4'!X127</f>
        <v>Dinas Pendidikan</v>
      </c>
      <c r="Y141" s="164" t="str">
        <f>'matrik MISI 4'!Y127</f>
        <v>Jumlah SMA/MA yang memiliki sarana dan prasarana sesuai dengan standar sarana  prasarana dibagi jumlah SMA/MA kali 100%</v>
      </c>
      <c r="Z141" s="164">
        <f>'matrik MISI 4'!Z127</f>
        <v>0</v>
      </c>
    </row>
    <row r="142" spans="2:26" ht="105">
      <c r="B142" s="940"/>
      <c r="C142" s="941"/>
      <c r="D142" s="940"/>
      <c r="E142" s="940"/>
      <c r="F142" s="940"/>
      <c r="G142" s="940"/>
      <c r="H142" s="164" t="str">
        <f>'matrik MISI 4'!N128</f>
        <v>Persentase SMK yang memiliki sarana dan prasarana sesuai dengan standar sarana  prasarana</v>
      </c>
      <c r="I142" s="164" t="str">
        <f>'matrik MISI 4'!O128</f>
        <v>%</v>
      </c>
      <c r="J142" s="929">
        <f>'matrik MISI 4'!P128</f>
        <v>80</v>
      </c>
      <c r="K142" s="929">
        <f>'matrik MISI 4'!Q128</f>
        <v>81.819999999999993</v>
      </c>
      <c r="L142" s="929">
        <f>'matrik MISI 4'!R128</f>
        <v>86.37</v>
      </c>
      <c r="M142" s="961"/>
      <c r="N142" s="929">
        <f>'matrik MISI 4'!S128</f>
        <v>90.92</v>
      </c>
      <c r="O142" s="929"/>
      <c r="P142" s="929">
        <f>'matrik MISI 4'!T128</f>
        <v>95.47</v>
      </c>
      <c r="Q142" s="929"/>
      <c r="R142" s="929">
        <f>'matrik MISI 4'!U128</f>
        <v>95.47</v>
      </c>
      <c r="S142" s="929"/>
      <c r="T142" s="929">
        <f>'matrik MISI 4'!V128</f>
        <v>95.47</v>
      </c>
      <c r="U142" s="929"/>
      <c r="V142" s="929">
        <f>'matrik MISI 4'!W128</f>
        <v>95.47</v>
      </c>
      <c r="W142" s="929"/>
      <c r="X142" s="929" t="str">
        <f>'matrik MISI 4'!X128</f>
        <v>Dinas Pendidikan</v>
      </c>
      <c r="Y142" s="164" t="str">
        <f>'matrik MISI 4'!Y128</f>
        <v>Jumlah SMK yang memiliki sarana dan prasarana sesuai dengan standar sarana  prasarana dibagi jumlah SMK kali 100%</v>
      </c>
      <c r="Z142" s="164">
        <f>'matrik MISI 4'!Z128</f>
        <v>0</v>
      </c>
    </row>
    <row r="143" spans="2:26" ht="33" hidden="1" customHeight="1">
      <c r="B143" s="940"/>
      <c r="C143" s="941"/>
      <c r="D143" s="940">
        <f>'matrik MISI 4'!J43</f>
        <v>1.01</v>
      </c>
      <c r="E143" s="940" t="str">
        <f>'matrik MISI 4'!K43</f>
        <v>xx</v>
      </c>
      <c r="F143" s="940">
        <f>'matrik MISI 4'!L43</f>
        <v>18</v>
      </c>
      <c r="G143" s="940" t="str">
        <f>'matrik MISI 4'!M43</f>
        <v>Program Pendidikan Non Formal</v>
      </c>
      <c r="H143" s="164"/>
      <c r="I143" s="164"/>
      <c r="J143" s="929"/>
      <c r="K143" s="929"/>
      <c r="L143" s="929"/>
      <c r="M143" s="961">
        <f>'jangan dihapus 2'!K162</f>
        <v>1076441500</v>
      </c>
      <c r="N143" s="961"/>
      <c r="O143" s="961">
        <f>'jangan dihapus 2'!M162</f>
        <v>1136455000</v>
      </c>
      <c r="P143" s="961"/>
      <c r="Q143" s="961">
        <f>'jangan dihapus 2'!O162</f>
        <v>2499250000</v>
      </c>
      <c r="R143" s="961"/>
      <c r="S143" s="961">
        <f>'jangan dihapus 2'!Q162</f>
        <v>2509250000</v>
      </c>
      <c r="T143" s="961"/>
      <c r="U143" s="961">
        <f>'jangan dihapus 2'!S162</f>
        <v>2523000000</v>
      </c>
      <c r="V143" s="929"/>
      <c r="W143" s="961">
        <f>SUM(M143:U143)</f>
        <v>9744396500</v>
      </c>
      <c r="X143" s="929"/>
      <c r="Y143" s="164"/>
      <c r="Z143" s="164"/>
    </row>
    <row r="144" spans="2:26" ht="90">
      <c r="B144" s="940"/>
      <c r="C144" s="941"/>
      <c r="D144" s="939"/>
      <c r="E144" s="939"/>
      <c r="F144" s="939"/>
      <c r="G144" s="939"/>
      <c r="H144" s="164" t="str">
        <f>'matrik MISI 4'!N43</f>
        <v>Persentase Angka Melek Huruf Usia ≥ 15 tahun</v>
      </c>
      <c r="I144" s="164" t="str">
        <f>'matrik MISI 4'!O43</f>
        <v>%</v>
      </c>
      <c r="J144" s="929">
        <f>'matrik MISI 4'!P43</f>
        <v>97.82</v>
      </c>
      <c r="K144" s="929">
        <f>'matrik MISI 4'!Q43</f>
        <v>97.9</v>
      </c>
      <c r="L144" s="929">
        <f>'matrik MISI 4'!R43</f>
        <v>98.09</v>
      </c>
      <c r="M144" s="961"/>
      <c r="N144" s="929">
        <f>'matrik MISI 4'!S43</f>
        <v>98.36</v>
      </c>
      <c r="O144" s="929"/>
      <c r="P144" s="929">
        <f>'matrik MISI 4'!T43</f>
        <v>98.63</v>
      </c>
      <c r="Q144" s="929"/>
      <c r="R144" s="929">
        <f>'matrik MISI 4'!U43</f>
        <v>98.7</v>
      </c>
      <c r="S144" s="929"/>
      <c r="T144" s="929">
        <f>'matrik MISI 4'!V43</f>
        <v>99.17</v>
      </c>
      <c r="U144" s="929"/>
      <c r="V144" s="929">
        <f>'matrik MISI 4'!W43</f>
        <v>99.17</v>
      </c>
      <c r="W144" s="929"/>
      <c r="X144" s="929" t="str">
        <f>'matrik MISI 4'!X43</f>
        <v>Dinas Pendidikan</v>
      </c>
      <c r="Y144" s="164" t="str">
        <f>'matrik MISI 4'!Y43</f>
        <v>Jumlah penduduk usia ≥ 15 tahun yang melek huruf dibagi jumlah penduduk  usia ≥ 15 tahun kali 100%</v>
      </c>
      <c r="Z144" s="164">
        <f>'matrik MISI 4'!Z43</f>
        <v>0</v>
      </c>
    </row>
    <row r="145" spans="2:26" ht="90">
      <c r="B145" s="940"/>
      <c r="C145" s="941"/>
      <c r="D145" s="940"/>
      <c r="E145" s="940"/>
      <c r="F145" s="940"/>
      <c r="G145" s="940"/>
      <c r="H145" s="164" t="str">
        <f>'matrik MISI 4'!N44</f>
        <v>Rata-rata Lama Sekolah</v>
      </c>
      <c r="I145" s="164" t="str">
        <f>'matrik MISI 4'!O44</f>
        <v>Tahun</v>
      </c>
      <c r="J145" s="929">
        <f>'matrik MISI 4'!P44</f>
        <v>7.1</v>
      </c>
      <c r="K145" s="929">
        <f>'matrik MISI 4'!Q44</f>
        <v>7.1</v>
      </c>
      <c r="L145" s="929">
        <f>'matrik MISI 4'!R44</f>
        <v>7.11</v>
      </c>
      <c r="M145" s="961"/>
      <c r="N145" s="929">
        <f>'matrik MISI 4'!S44</f>
        <v>7.13</v>
      </c>
      <c r="O145" s="929"/>
      <c r="P145" s="929">
        <f>'matrik MISI 4'!T44</f>
        <v>7.15</v>
      </c>
      <c r="Q145" s="929"/>
      <c r="R145" s="929">
        <f>'matrik MISI 4'!U44</f>
        <v>7.17</v>
      </c>
      <c r="S145" s="929"/>
      <c r="T145" s="929">
        <f>'matrik MISI 4'!V44</f>
        <v>7.19</v>
      </c>
      <c r="U145" s="929"/>
      <c r="V145" s="929">
        <f>'matrik MISI 4'!W44</f>
        <v>7.19</v>
      </c>
      <c r="W145" s="929"/>
      <c r="X145" s="929" t="str">
        <f>'matrik MISI 4'!X44</f>
        <v>Badan Pusat Statistik, Dinas Pendiidikan</v>
      </c>
      <c r="Y145" s="164" t="str">
        <f>'matrik MISI 4'!Y44</f>
        <v>Jumlah tahun bersekolah individu usia 5 tahun ke atas dibagi jumlah penduduk usia 5 tahun ke atas</v>
      </c>
      <c r="Z145" s="164" t="str">
        <f>'matrik MISI 4'!Z44</f>
        <v>Sumber BPS</v>
      </c>
    </row>
    <row r="146" spans="2:26" ht="90">
      <c r="B146" s="940"/>
      <c r="C146" s="941"/>
      <c r="D146" s="940"/>
      <c r="E146" s="940"/>
      <c r="F146" s="940"/>
      <c r="G146" s="940"/>
      <c r="H146" s="164" t="str">
        <f>'matrik MISI 4'!N45</f>
        <v>Persentase Layanan Pendidikan Kesetaraan dalam Rangka Menampung Siswa Putus Sekolah Pendidikan Dasar dan Menengah</v>
      </c>
      <c r="I146" s="164" t="str">
        <f>'matrik MISI 4'!O45</f>
        <v>%</v>
      </c>
      <c r="J146" s="929">
        <f>'matrik MISI 4'!P45</f>
        <v>20</v>
      </c>
      <c r="K146" s="929">
        <f>'matrik MISI 4'!Q45</f>
        <v>25</v>
      </c>
      <c r="L146" s="929">
        <f>'matrik MISI 4'!R45</f>
        <v>25</v>
      </c>
      <c r="M146" s="961"/>
      <c r="N146" s="929">
        <f>'matrik MISI 4'!S45</f>
        <v>25</v>
      </c>
      <c r="O146" s="929"/>
      <c r="P146" s="929">
        <f>'matrik MISI 4'!T45</f>
        <v>33</v>
      </c>
      <c r="Q146" s="929"/>
      <c r="R146" s="929">
        <f>'matrik MISI 4'!U45</f>
        <v>50</v>
      </c>
      <c r="S146" s="929"/>
      <c r="T146" s="929">
        <f>'matrik MISI 4'!V45</f>
        <v>100</v>
      </c>
      <c r="U146" s="929"/>
      <c r="V146" s="929">
        <f>'matrik MISI 4'!W45</f>
        <v>100</v>
      </c>
      <c r="W146" s="929"/>
      <c r="X146" s="929" t="str">
        <f>'matrik MISI 4'!X45</f>
        <v>Dinas Pendidikan</v>
      </c>
      <c r="Y146" s="164" t="str">
        <f>'matrik MISI 4'!Y45</f>
        <v>Jumlah siswa putus sekolah yang menikuti pendidikan kesetaraan dibagi jumlah siswa putus sekolah kali 100%</v>
      </c>
      <c r="Z146" s="164">
        <f>'matrik MISI 4'!Z45</f>
        <v>0</v>
      </c>
    </row>
    <row r="147" spans="2:26" ht="90">
      <c r="B147" s="940"/>
      <c r="C147" s="941"/>
      <c r="D147" s="940"/>
      <c r="E147" s="940"/>
      <c r="F147" s="940"/>
      <c r="G147" s="940"/>
      <c r="H147" s="164" t="str">
        <f>'matrik MISI 4'!N77</f>
        <v>Persentase Angka Lulusan Pendidikan Kesetaraan</v>
      </c>
      <c r="I147" s="164" t="str">
        <f>'matrik MISI 4'!O77</f>
        <v>%</v>
      </c>
      <c r="J147" s="929">
        <f>'matrik MISI 4'!P77</f>
        <v>90.39</v>
      </c>
      <c r="K147" s="929">
        <f>'matrik MISI 4'!Q77</f>
        <v>81.56</v>
      </c>
      <c r="L147" s="929">
        <f>'matrik MISI 4'!R77</f>
        <v>87.06</v>
      </c>
      <c r="M147" s="961"/>
      <c r="N147" s="929">
        <f>'matrik MISI 4'!S77</f>
        <v>92.56</v>
      </c>
      <c r="O147" s="929"/>
      <c r="P147" s="929">
        <f>'matrik MISI 4'!T77</f>
        <v>92.56</v>
      </c>
      <c r="Q147" s="929"/>
      <c r="R147" s="929">
        <f>'matrik MISI 4'!U77</f>
        <v>92.56</v>
      </c>
      <c r="S147" s="929"/>
      <c r="T147" s="929">
        <f>'matrik MISI 4'!V77</f>
        <v>92.56</v>
      </c>
      <c r="U147" s="929"/>
      <c r="V147" s="929">
        <f>'matrik MISI 4'!W77</f>
        <v>92.56</v>
      </c>
      <c r="W147" s="929"/>
      <c r="X147" s="929" t="str">
        <f>'matrik MISI 4'!X77</f>
        <v>Dinas Pendidikan</v>
      </c>
      <c r="Y147" s="164" t="str">
        <f>'matrik MISI 4'!Y77</f>
        <v>Jumlah lulusan pendidikan kesetaraan dibagi jumlah peserta Ujian Nasional Pendidikan Kesetaraan kali 100%</v>
      </c>
      <c r="Z147" s="164">
        <f>'matrik MISI 4'!Z77</f>
        <v>0</v>
      </c>
    </row>
    <row r="148" spans="2:26" ht="135">
      <c r="B148" s="940"/>
      <c r="C148" s="941"/>
      <c r="D148" s="940"/>
      <c r="E148" s="940"/>
      <c r="F148" s="940"/>
      <c r="G148" s="940"/>
      <c r="H148" s="164" t="str">
        <f>'matrik MISI 4'!N130</f>
        <v>Persentase lembaga pendidikan nonformal yang memliki ruang belajar beserta perlengkapannya</v>
      </c>
      <c r="I148" s="164" t="str">
        <f>'matrik MISI 4'!O130</f>
        <v>%</v>
      </c>
      <c r="J148" s="929" t="str">
        <f>'matrik MISI 4'!P130</f>
        <v>68,07</v>
      </c>
      <c r="K148" s="929" t="str">
        <f>'matrik MISI 4'!Q130</f>
        <v>69,95</v>
      </c>
      <c r="L148" s="929" t="str">
        <f>'matrik MISI 4'!R130</f>
        <v>72,76</v>
      </c>
      <c r="M148" s="961"/>
      <c r="N148" s="929" t="str">
        <f>'matrik MISI 4'!S130</f>
        <v>75,12</v>
      </c>
      <c r="O148" s="929"/>
      <c r="P148" s="929" t="str">
        <f>'matrik MISI 4'!T130</f>
        <v>77,46</v>
      </c>
      <c r="Q148" s="929"/>
      <c r="R148" s="929" t="str">
        <f>'matrik MISI 4'!U130</f>
        <v>79,81</v>
      </c>
      <c r="S148" s="929"/>
      <c r="T148" s="929" t="str">
        <f>'matrik MISI 4'!V130</f>
        <v>82,6</v>
      </c>
      <c r="U148" s="929"/>
      <c r="V148" s="929" t="str">
        <f>'matrik MISI 4'!W130</f>
        <v>82,6</v>
      </c>
      <c r="W148" s="929"/>
      <c r="X148" s="929" t="str">
        <f>'matrik MISI 4'!X130</f>
        <v>Dinas Pendidikan</v>
      </c>
      <c r="Y148" s="164" t="str">
        <f>'matrik MISI 4'!Y130</f>
        <v>Jumlah lembaga pendidikan nonformal yang memiliki ruang belajar beserta perlengkapannya dibagi jumlah lembaga pendidikan nonformal kali 100%</v>
      </c>
      <c r="Z148" s="164">
        <f>'matrik MISI 4'!Z130</f>
        <v>0</v>
      </c>
    </row>
    <row r="149" spans="2:26" ht="120">
      <c r="B149" s="940"/>
      <c r="C149" s="941"/>
      <c r="D149" s="940"/>
      <c r="E149" s="940"/>
      <c r="F149" s="940"/>
      <c r="G149" s="940"/>
      <c r="H149" s="164" t="str">
        <f>'matrik MISI 4'!N131</f>
        <v>Persentase lembaga pendidikan nonformal yang memiliki alat dan bahan belajar</v>
      </c>
      <c r="I149" s="164" t="str">
        <f>'matrik MISI 4'!O131</f>
        <v>%</v>
      </c>
      <c r="J149" s="929" t="str">
        <f>'matrik MISI 4'!P131</f>
        <v>71,36</v>
      </c>
      <c r="K149" s="929" t="str">
        <f>'matrik MISI 4'!Q131</f>
        <v>73,71</v>
      </c>
      <c r="L149" s="929" t="str">
        <f>'matrik MISI 4'!R131</f>
        <v>76,06</v>
      </c>
      <c r="M149" s="961"/>
      <c r="N149" s="929" t="str">
        <f>'matrik MISI 4'!S131</f>
        <v>78,40</v>
      </c>
      <c r="O149" s="929"/>
      <c r="P149" s="929" t="str">
        <f>'matrik MISI 4'!T131</f>
        <v>80,75</v>
      </c>
      <c r="Q149" s="929"/>
      <c r="R149" s="929" t="str">
        <f>'matrik MISI 4'!U131</f>
        <v>83,10</v>
      </c>
      <c r="S149" s="929"/>
      <c r="T149" s="929" t="str">
        <f>'matrik MISI 4'!V131</f>
        <v>85,45</v>
      </c>
      <c r="U149" s="929"/>
      <c r="V149" s="929" t="str">
        <f>'matrik MISI 4'!W131</f>
        <v>85,45</v>
      </c>
      <c r="W149" s="929"/>
      <c r="X149" s="929" t="str">
        <f>'matrik MISI 4'!X131</f>
        <v>Dinas Pendidikan</v>
      </c>
      <c r="Y149" s="164" t="str">
        <f>'matrik MISI 4'!Y131</f>
        <v>Jumlah lembaga pendidikan nonformal yang memiliki alat dan bahan belajar dibagi jumlah lembaga pendidikan nonformal kali 100%</v>
      </c>
      <c r="Z149" s="164">
        <f>'matrik MISI 4'!Z131</f>
        <v>0</v>
      </c>
    </row>
    <row r="150" spans="2:26" ht="30" hidden="1">
      <c r="B150" s="940"/>
      <c r="C150" s="941"/>
      <c r="D150" s="940">
        <f>'matrik MISI 4'!J47</f>
        <v>1.01</v>
      </c>
      <c r="E150" s="940" t="str">
        <f>'matrik MISI 4'!K47</f>
        <v>xx</v>
      </c>
      <c r="F150" s="940">
        <f>'matrik MISI 4'!L47</f>
        <v>22</v>
      </c>
      <c r="G150" s="940" t="str">
        <f>'matrik MISI 4'!M47</f>
        <v>Program manajemen pelayanan pendidikan</v>
      </c>
      <c r="H150" s="164"/>
      <c r="I150" s="164"/>
      <c r="J150" s="929"/>
      <c r="K150" s="929"/>
      <c r="L150" s="929"/>
      <c r="M150" s="961">
        <f>'jangan dihapus 2'!K258</f>
        <v>133000000</v>
      </c>
      <c r="N150" s="961"/>
      <c r="O150" s="961">
        <f>'jangan dihapus 2'!M258</f>
        <v>133000000</v>
      </c>
      <c r="P150" s="961"/>
      <c r="Q150" s="961">
        <f>'jangan dihapus 2'!O258</f>
        <v>137500000</v>
      </c>
      <c r="R150" s="961"/>
      <c r="S150" s="961">
        <f>'jangan dihapus 2'!Q258</f>
        <v>137500000</v>
      </c>
      <c r="T150" s="961"/>
      <c r="U150" s="961">
        <f>'jangan dihapus 2'!S258</f>
        <v>145000000</v>
      </c>
      <c r="V150" s="929"/>
      <c r="W150" s="961">
        <f>SUM(M150:U150)</f>
        <v>686000000</v>
      </c>
      <c r="X150" s="929"/>
      <c r="Y150" s="164"/>
      <c r="Z150" s="164"/>
    </row>
    <row r="151" spans="2:26" ht="75">
      <c r="B151" s="940"/>
      <c r="C151" s="941"/>
      <c r="D151" s="939"/>
      <c r="E151" s="939"/>
      <c r="F151" s="939"/>
      <c r="G151" s="939"/>
      <c r="H151" s="164" t="str">
        <f>'matrik MISI 4'!N47</f>
        <v>Persentase TK/RA Terakreditasi A</v>
      </c>
      <c r="I151" s="164" t="str">
        <f>'matrik MISI 4'!O47</f>
        <v>%</v>
      </c>
      <c r="J151" s="929">
        <f>'matrik MISI 4'!P47</f>
        <v>5.83</v>
      </c>
      <c r="K151" s="929">
        <f>'matrik MISI 4'!Q47</f>
        <v>5.83</v>
      </c>
      <c r="L151" s="929">
        <f>'matrik MISI 4'!R47</f>
        <v>5.83</v>
      </c>
      <c r="M151" s="961"/>
      <c r="N151" s="929">
        <f>'matrik MISI 4'!S47</f>
        <v>5.83</v>
      </c>
      <c r="O151" s="929"/>
      <c r="P151" s="929">
        <f>'matrik MISI 4'!T47</f>
        <v>5.83</v>
      </c>
      <c r="Q151" s="929"/>
      <c r="R151" s="929">
        <f>'matrik MISI 4'!U47</f>
        <v>5.83</v>
      </c>
      <c r="S151" s="929"/>
      <c r="T151" s="929">
        <f>'matrik MISI 4'!V47</f>
        <v>5.83</v>
      </c>
      <c r="U151" s="929"/>
      <c r="V151" s="929">
        <f>'matrik MISI 4'!W47</f>
        <v>5.83</v>
      </c>
      <c r="W151" s="929"/>
      <c r="X151" s="929" t="str">
        <f>'matrik MISI 4'!X47</f>
        <v>Dinas Pendidikan</v>
      </c>
      <c r="Y151" s="164" t="str">
        <f>'matrik MISI 4'!Y47</f>
        <v>Jumlah TK/RA terakreditasi A dibagi jumlah TK/RA kali 100%</v>
      </c>
      <c r="Z151" s="164" t="str">
        <f>'matrik MISI 4'!Z47</f>
        <v>Akreditasi menjadi kewenangan BAN-PNF dan kewenangan ini belum dilaksanakan</v>
      </c>
    </row>
    <row r="152" spans="2:26" ht="75">
      <c r="B152" s="940"/>
      <c r="C152" s="941"/>
      <c r="D152" s="940"/>
      <c r="E152" s="940"/>
      <c r="F152" s="940"/>
      <c r="G152" s="940"/>
      <c r="H152" s="164" t="str">
        <f>'matrik MISI 4'!N48</f>
        <v>Persentase TK/RA Terakreditasi B</v>
      </c>
      <c r="I152" s="164" t="str">
        <f>'matrik MISI 4'!O48</f>
        <v>%</v>
      </c>
      <c r="J152" s="929">
        <f>'matrik MISI 4'!P48</f>
        <v>42.71</v>
      </c>
      <c r="K152" s="929">
        <f>'matrik MISI 4'!Q48</f>
        <v>42.71</v>
      </c>
      <c r="L152" s="929">
        <f>'matrik MISI 4'!R48</f>
        <v>42.71</v>
      </c>
      <c r="M152" s="961"/>
      <c r="N152" s="929">
        <f>'matrik MISI 4'!S48</f>
        <v>42.71</v>
      </c>
      <c r="O152" s="929"/>
      <c r="P152" s="929">
        <f>'matrik MISI 4'!T48</f>
        <v>42.71</v>
      </c>
      <c r="Q152" s="929"/>
      <c r="R152" s="929">
        <f>'matrik MISI 4'!U48</f>
        <v>42.71</v>
      </c>
      <c r="S152" s="929"/>
      <c r="T152" s="929">
        <f>'matrik MISI 4'!V48</f>
        <v>42.71</v>
      </c>
      <c r="U152" s="929"/>
      <c r="V152" s="929">
        <f>'matrik MISI 4'!W48</f>
        <v>42.71</v>
      </c>
      <c r="W152" s="929"/>
      <c r="X152" s="929" t="str">
        <f>'matrik MISI 4'!X48</f>
        <v>Dinas Pendidikan</v>
      </c>
      <c r="Y152" s="164" t="str">
        <f>'matrik MISI 4'!Y48</f>
        <v>Jumlah TK/RA terakreditasi B dibagi jumlah TK/RA kali 100%</v>
      </c>
      <c r="Z152" s="164" t="str">
        <f>'matrik MISI 4'!Z48</f>
        <v>Akreditasi menjadi kewenangan BAN-PNF dan kewenangan ini belum dilaksanakan</v>
      </c>
    </row>
    <row r="153" spans="2:26" ht="75">
      <c r="B153" s="940"/>
      <c r="C153" s="941"/>
      <c r="D153" s="940"/>
      <c r="E153" s="940"/>
      <c r="F153" s="940"/>
      <c r="G153" s="940"/>
      <c r="H153" s="164" t="str">
        <f>'matrik MISI 4'!N49</f>
        <v>Persentase TK/RA Terakreditasi C</v>
      </c>
      <c r="I153" s="164" t="str">
        <f>'matrik MISI 4'!O49</f>
        <v>%</v>
      </c>
      <c r="J153" s="929">
        <f>'matrik MISI 4'!P49</f>
        <v>42.29</v>
      </c>
      <c r="K153" s="929">
        <f>'matrik MISI 4'!Q49</f>
        <v>42.29</v>
      </c>
      <c r="L153" s="929">
        <f>'matrik MISI 4'!R49</f>
        <v>42.29</v>
      </c>
      <c r="M153" s="961"/>
      <c r="N153" s="929">
        <f>'matrik MISI 4'!S49</f>
        <v>42.29</v>
      </c>
      <c r="O153" s="929"/>
      <c r="P153" s="929">
        <f>'matrik MISI 4'!T49</f>
        <v>42.29</v>
      </c>
      <c r="Q153" s="929"/>
      <c r="R153" s="929">
        <f>'matrik MISI 4'!U49</f>
        <v>42.29</v>
      </c>
      <c r="S153" s="929"/>
      <c r="T153" s="929">
        <f>'matrik MISI 4'!V49</f>
        <v>42.29</v>
      </c>
      <c r="U153" s="929"/>
      <c r="V153" s="929">
        <f>'matrik MISI 4'!W49</f>
        <v>42.29</v>
      </c>
      <c r="W153" s="929"/>
      <c r="X153" s="929" t="str">
        <f>'matrik MISI 4'!X49</f>
        <v>Dinas Pendidikan</v>
      </c>
      <c r="Y153" s="164" t="str">
        <f>'matrik MISI 4'!Y49</f>
        <v>Jumlah TK/RA terakreditasi C dibagi jumlah TK/RA kali 100%</v>
      </c>
      <c r="Z153" s="164" t="str">
        <f>'matrik MISI 4'!Z49</f>
        <v>Akreditasi menjadi kewenangan BAN-PNF (sampai saat ini ada 9,17% TK yang belum terakreditasi)</v>
      </c>
    </row>
    <row r="154" spans="2:26" ht="60">
      <c r="B154" s="940"/>
      <c r="C154" s="941"/>
      <c r="D154" s="940"/>
      <c r="E154" s="940"/>
      <c r="F154" s="940"/>
      <c r="G154" s="940"/>
      <c r="H154" s="164" t="str">
        <f>'matrik MISI 4'!N51</f>
        <v>Persentase SD/MI Terakreditasi A</v>
      </c>
      <c r="I154" s="164" t="str">
        <f>'matrik MISI 4'!O51</f>
        <v>%</v>
      </c>
      <c r="J154" s="929">
        <f>'matrik MISI 4'!P51</f>
        <v>2.97</v>
      </c>
      <c r="K154" s="929">
        <f>'matrik MISI 4'!Q51</f>
        <v>2.97</v>
      </c>
      <c r="L154" s="929">
        <f>'matrik MISI 4'!R51</f>
        <v>3.31</v>
      </c>
      <c r="M154" s="961"/>
      <c r="N154" s="929">
        <f>'matrik MISI 4'!S51</f>
        <v>3.65</v>
      </c>
      <c r="O154" s="929"/>
      <c r="P154" s="929">
        <f>'matrik MISI 4'!T51</f>
        <v>3.99</v>
      </c>
      <c r="Q154" s="929"/>
      <c r="R154" s="929">
        <f>'matrik MISI 4'!U51</f>
        <v>4.33</v>
      </c>
      <c r="S154" s="929"/>
      <c r="T154" s="929">
        <f>'matrik MISI 4'!V51</f>
        <v>4.67</v>
      </c>
      <c r="U154" s="929"/>
      <c r="V154" s="929">
        <f>'matrik MISI 4'!W51</f>
        <v>4.67</v>
      </c>
      <c r="W154" s="929"/>
      <c r="X154" s="929" t="str">
        <f>'matrik MISI 4'!X51</f>
        <v>Dinas Pendidikan</v>
      </c>
      <c r="Y154" s="164" t="str">
        <f>'matrik MISI 4'!Y51</f>
        <v>Jumlah SD/MI terakreditasi A dibagi jumlah SD/MI kali 100%</v>
      </c>
      <c r="Z154" s="164">
        <f>'matrik MISI 4'!Z51</f>
        <v>0</v>
      </c>
    </row>
    <row r="155" spans="2:26" ht="60">
      <c r="B155" s="940"/>
      <c r="C155" s="941"/>
      <c r="D155" s="940"/>
      <c r="E155" s="940"/>
      <c r="F155" s="940"/>
      <c r="G155" s="940"/>
      <c r="H155" s="164" t="str">
        <f>'matrik MISI 4'!N52</f>
        <v>Persentase SD/MI Terakreditasi B</v>
      </c>
      <c r="I155" s="164" t="str">
        <f>'matrik MISI 4'!O52</f>
        <v>%</v>
      </c>
      <c r="J155" s="929">
        <f>'matrik MISI 4'!P52</f>
        <v>61.01</v>
      </c>
      <c r="K155" s="929">
        <f>'matrik MISI 4'!Q52</f>
        <v>61.1</v>
      </c>
      <c r="L155" s="929">
        <f>'matrik MISI 4'!R52</f>
        <v>61.011000000000003</v>
      </c>
      <c r="M155" s="961"/>
      <c r="N155" s="929">
        <f>'matrik MISI 4'!S52</f>
        <v>61.01</v>
      </c>
      <c r="O155" s="929"/>
      <c r="P155" s="929">
        <f>'matrik MISI 4'!T52</f>
        <v>61.01</v>
      </c>
      <c r="Q155" s="929"/>
      <c r="R155" s="929">
        <f>'matrik MISI 4'!U52</f>
        <v>61.01</v>
      </c>
      <c r="S155" s="929"/>
      <c r="T155" s="929">
        <f>'matrik MISI 4'!V52</f>
        <v>61.01</v>
      </c>
      <c r="U155" s="929"/>
      <c r="V155" s="929">
        <f>'matrik MISI 4'!W52</f>
        <v>61.01</v>
      </c>
      <c r="W155" s="929"/>
      <c r="X155" s="929" t="str">
        <f>'matrik MISI 4'!X52</f>
        <v>Dinas Pendidikan</v>
      </c>
      <c r="Y155" s="164" t="str">
        <f>'matrik MISI 4'!Y52</f>
        <v>Jumlah SD/MI terakreditasi B dibagi jumlah SD/MI kali 100%</v>
      </c>
      <c r="Z155" s="164">
        <f>'matrik MISI 4'!Z52</f>
        <v>0</v>
      </c>
    </row>
    <row r="156" spans="2:26" ht="60">
      <c r="B156" s="940"/>
      <c r="C156" s="941"/>
      <c r="D156" s="940"/>
      <c r="E156" s="940"/>
      <c r="F156" s="940"/>
      <c r="G156" s="940"/>
      <c r="H156" s="164" t="str">
        <f>'matrik MISI 4'!N53</f>
        <v>Persentase SD/MI Terakreditasi C</v>
      </c>
      <c r="I156" s="164" t="str">
        <f>'matrik MISI 4'!O53</f>
        <v>%</v>
      </c>
      <c r="J156" s="929">
        <f>'matrik MISI 4'!P53</f>
        <v>33.22</v>
      </c>
      <c r="K156" s="929">
        <f>'matrik MISI 4'!Q53</f>
        <v>33.22</v>
      </c>
      <c r="L156" s="929">
        <f>'matrik MISI 4'!R53</f>
        <v>33.22</v>
      </c>
      <c r="M156" s="961"/>
      <c r="N156" s="929">
        <f>'matrik MISI 4'!S53</f>
        <v>33.22</v>
      </c>
      <c r="O156" s="929"/>
      <c r="P156" s="929">
        <f>'matrik MISI 4'!T53</f>
        <v>33.22</v>
      </c>
      <c r="Q156" s="929"/>
      <c r="R156" s="929">
        <f>'matrik MISI 4'!U53</f>
        <v>33.22</v>
      </c>
      <c r="S156" s="929"/>
      <c r="T156" s="929">
        <f>'matrik MISI 4'!V53</f>
        <v>33.22</v>
      </c>
      <c r="U156" s="929"/>
      <c r="V156" s="929">
        <f>'matrik MISI 4'!W53</f>
        <v>33.22</v>
      </c>
      <c r="W156" s="929"/>
      <c r="X156" s="929" t="str">
        <f>'matrik MISI 4'!X53</f>
        <v>Dinas Pendidikan</v>
      </c>
      <c r="Y156" s="164" t="str">
        <f>'matrik MISI 4'!Y53</f>
        <v>Jumlah SD/MI terakreditasi C dibagi jumlah SD/MI kali 100%</v>
      </c>
      <c r="Z156" s="164" t="str">
        <f>'matrik MISI 4'!Z53</f>
        <v>diharapkan di tahun 2018 tinggal 1,1% yang belum terakreditasi</v>
      </c>
    </row>
    <row r="157" spans="2:26" ht="60">
      <c r="B157" s="940"/>
      <c r="C157" s="941"/>
      <c r="D157" s="940"/>
      <c r="E157" s="940"/>
      <c r="F157" s="940"/>
      <c r="G157" s="940"/>
      <c r="H157" s="164" t="str">
        <f>'matrik MISI 4'!N54</f>
        <v>Persentase SMP/MTs Terakreditasi A</v>
      </c>
      <c r="I157" s="164" t="str">
        <f>'matrik MISI 4'!O54</f>
        <v>%</v>
      </c>
      <c r="J157" s="929">
        <f>'matrik MISI 4'!P54</f>
        <v>21.9</v>
      </c>
      <c r="K157" s="929">
        <f>'matrik MISI 4'!Q54</f>
        <v>21.9</v>
      </c>
      <c r="L157" s="929">
        <f>'matrik MISI 4'!R54</f>
        <v>23.8</v>
      </c>
      <c r="M157" s="961"/>
      <c r="N157" s="929">
        <f>'matrik MISI 4'!S54</f>
        <v>25.7</v>
      </c>
      <c r="O157" s="929"/>
      <c r="P157" s="929">
        <f>'matrik MISI 4'!T54</f>
        <v>27.6</v>
      </c>
      <c r="Q157" s="929"/>
      <c r="R157" s="929">
        <f>'matrik MISI 4'!U54</f>
        <v>29.5</v>
      </c>
      <c r="S157" s="929"/>
      <c r="T157" s="929">
        <f>'matrik MISI 4'!V54</f>
        <v>31.4</v>
      </c>
      <c r="U157" s="929"/>
      <c r="V157" s="929">
        <f>'matrik MISI 4'!W54</f>
        <v>31.4</v>
      </c>
      <c r="W157" s="929"/>
      <c r="X157" s="929" t="str">
        <f>'matrik MISI 4'!X54</f>
        <v>Dinas Pendidikan</v>
      </c>
      <c r="Y157" s="164" t="str">
        <f>'matrik MISI 4'!Y54</f>
        <v>Jumlah SMP/MTs terakreditasi A dibagi jumlah SMP/MTs kali 100%</v>
      </c>
      <c r="Z157" s="164">
        <f>'matrik MISI 4'!Z54</f>
        <v>0</v>
      </c>
    </row>
    <row r="158" spans="2:26" ht="60">
      <c r="B158" s="940"/>
      <c r="C158" s="941"/>
      <c r="D158" s="940"/>
      <c r="E158" s="940"/>
      <c r="F158" s="940"/>
      <c r="G158" s="940"/>
      <c r="H158" s="164" t="str">
        <f>'matrik MISI 4'!N55</f>
        <v>Persentase SMP/MTs Terakreditasi B</v>
      </c>
      <c r="I158" s="164" t="str">
        <f>'matrik MISI 4'!O55</f>
        <v>%</v>
      </c>
      <c r="J158" s="929">
        <f>'matrik MISI 4'!P55</f>
        <v>40</v>
      </c>
      <c r="K158" s="929">
        <f>'matrik MISI 4'!Q55</f>
        <v>40</v>
      </c>
      <c r="L158" s="929">
        <f>'matrik MISI 4'!R55</f>
        <v>40</v>
      </c>
      <c r="M158" s="961"/>
      <c r="N158" s="929">
        <f>'matrik MISI 4'!S55</f>
        <v>40</v>
      </c>
      <c r="O158" s="929"/>
      <c r="P158" s="929">
        <f>'matrik MISI 4'!T55</f>
        <v>40</v>
      </c>
      <c r="Q158" s="929"/>
      <c r="R158" s="929">
        <f>'matrik MISI 4'!U55</f>
        <v>40</v>
      </c>
      <c r="S158" s="929"/>
      <c r="T158" s="929">
        <f>'matrik MISI 4'!V55</f>
        <v>40</v>
      </c>
      <c r="U158" s="929"/>
      <c r="V158" s="929">
        <f>'matrik MISI 4'!W55</f>
        <v>40</v>
      </c>
      <c r="W158" s="929"/>
      <c r="X158" s="929" t="str">
        <f>'matrik MISI 4'!X55</f>
        <v>Dinas Pendidikan</v>
      </c>
      <c r="Y158" s="164" t="str">
        <f>'matrik MISI 4'!Y55</f>
        <v>Jumlah SMP/MTs terakreditasi B dibagi jumlah SMP/MTs kali 100%</v>
      </c>
      <c r="Z158" s="164">
        <f>'matrik MISI 4'!Z55</f>
        <v>0</v>
      </c>
    </row>
    <row r="159" spans="2:26" ht="60">
      <c r="B159" s="940"/>
      <c r="C159" s="941"/>
      <c r="D159" s="940"/>
      <c r="E159" s="940"/>
      <c r="F159" s="940"/>
      <c r="G159" s="940"/>
      <c r="H159" s="164" t="str">
        <f>'matrik MISI 4'!N56</f>
        <v>Persentase SMP/MTs Terakreditasi C</v>
      </c>
      <c r="I159" s="164" t="str">
        <f>'matrik MISI 4'!O56</f>
        <v>%</v>
      </c>
      <c r="J159" s="929">
        <f>'matrik MISI 4'!P56</f>
        <v>27.62</v>
      </c>
      <c r="K159" s="929">
        <f>'matrik MISI 4'!Q56</f>
        <v>27.62</v>
      </c>
      <c r="L159" s="929">
        <f>'matrik MISI 4'!R56</f>
        <v>27.62</v>
      </c>
      <c r="M159" s="961"/>
      <c r="N159" s="929">
        <f>'matrik MISI 4'!S56</f>
        <v>27.62</v>
      </c>
      <c r="O159" s="929"/>
      <c r="P159" s="929">
        <f>'matrik MISI 4'!T56</f>
        <v>27.62</v>
      </c>
      <c r="Q159" s="929"/>
      <c r="R159" s="929">
        <f>'matrik MISI 4'!U56</f>
        <v>27.62</v>
      </c>
      <c r="S159" s="929"/>
      <c r="T159" s="929">
        <f>'matrik MISI 4'!V56</f>
        <v>27.62</v>
      </c>
      <c r="U159" s="929"/>
      <c r="V159" s="929">
        <f>'matrik MISI 4'!W56</f>
        <v>27.62</v>
      </c>
      <c r="W159" s="929"/>
      <c r="X159" s="929" t="str">
        <f>'matrik MISI 4'!X56</f>
        <v>Dinas Pendidikan</v>
      </c>
      <c r="Y159" s="164" t="str">
        <f>'matrik MISI 4'!Y56</f>
        <v>Jumlah SMP/MTs terakreditasi C dibagi jumlah SMP/MTs kali 100%</v>
      </c>
      <c r="Z159" s="164" t="str">
        <f>'matrik MISI 4'!Z56</f>
        <v>diharapkan di tahun 2018 tinggal 0,98% yang belum terakreditasi</v>
      </c>
    </row>
    <row r="160" spans="2:26" ht="45">
      <c r="B160" s="940"/>
      <c r="C160" s="941"/>
      <c r="D160" s="940"/>
      <c r="E160" s="940"/>
      <c r="F160" s="940"/>
      <c r="G160" s="940"/>
      <c r="H160" s="164" t="str">
        <f>'matrik MISI 4'!N57</f>
        <v>Persentase Angka Lulusan SD/MI</v>
      </c>
      <c r="I160" s="164" t="str">
        <f>'matrik MISI 4'!O57</f>
        <v>%</v>
      </c>
      <c r="J160" s="929">
        <f>'matrik MISI 4'!P57</f>
        <v>99.99</v>
      </c>
      <c r="K160" s="929">
        <f>'matrik MISI 4'!Q57</f>
        <v>100</v>
      </c>
      <c r="L160" s="929">
        <f>'matrik MISI 4'!R57</f>
        <v>99.9</v>
      </c>
      <c r="M160" s="961"/>
      <c r="N160" s="929">
        <f>'matrik MISI 4'!S57</f>
        <v>99.93</v>
      </c>
      <c r="O160" s="929"/>
      <c r="P160" s="929">
        <f>'matrik MISI 4'!T57</f>
        <v>99.95</v>
      </c>
      <c r="Q160" s="929"/>
      <c r="R160" s="929">
        <f>'matrik MISI 4'!U57</f>
        <v>99.97</v>
      </c>
      <c r="S160" s="929"/>
      <c r="T160" s="929">
        <f>'matrik MISI 4'!V57</f>
        <v>100</v>
      </c>
      <c r="U160" s="929"/>
      <c r="V160" s="929">
        <f>'matrik MISI 4'!W57</f>
        <v>100</v>
      </c>
      <c r="W160" s="929"/>
      <c r="X160" s="929" t="str">
        <f>'matrik MISI 4'!X57</f>
        <v>Dinas Pendidikan</v>
      </c>
      <c r="Y160" s="164" t="str">
        <f>'matrik MISI 4'!Y57</f>
        <v>Jumlah lulusan SD/MI dibagi jumlah peserta ujian SD/MI kali 100%</v>
      </c>
      <c r="Z160" s="164">
        <f>'matrik MISI 4'!Z57</f>
        <v>0</v>
      </c>
    </row>
    <row r="161" spans="2:26" ht="60">
      <c r="B161" s="940"/>
      <c r="C161" s="941"/>
      <c r="D161" s="940"/>
      <c r="E161" s="940"/>
      <c r="F161" s="940"/>
      <c r="G161" s="940"/>
      <c r="H161" s="164" t="str">
        <f>'matrik MISI 4'!N58</f>
        <v>Persentase Angka Lulusan SMP/MTs</v>
      </c>
      <c r="I161" s="164" t="str">
        <f>'matrik MISI 4'!O58</f>
        <v>%</v>
      </c>
      <c r="J161" s="929">
        <f>'matrik MISI 4'!P58</f>
        <v>98.13</v>
      </c>
      <c r="K161" s="929">
        <f>'matrik MISI 4'!Q58</f>
        <v>99.17</v>
      </c>
      <c r="L161" s="929">
        <f>'matrik MISI 4'!R58</f>
        <v>100</v>
      </c>
      <c r="M161" s="961"/>
      <c r="N161" s="929">
        <f>'matrik MISI 4'!S58</f>
        <v>100</v>
      </c>
      <c r="O161" s="929"/>
      <c r="P161" s="929">
        <f>'matrik MISI 4'!T58</f>
        <v>100</v>
      </c>
      <c r="Q161" s="929"/>
      <c r="R161" s="929">
        <f>'matrik MISI 4'!U58</f>
        <v>100</v>
      </c>
      <c r="S161" s="929"/>
      <c r="T161" s="929">
        <f>'matrik MISI 4'!V58</f>
        <v>100</v>
      </c>
      <c r="U161" s="929"/>
      <c r="V161" s="929">
        <f>'matrik MISI 4'!W58</f>
        <v>100</v>
      </c>
      <c r="W161" s="929"/>
      <c r="X161" s="929" t="str">
        <f>'matrik MISI 4'!X58</f>
        <v>Dinas Pendidikan</v>
      </c>
      <c r="Y161" s="164" t="str">
        <f>'matrik MISI 4'!Y58</f>
        <v>Jumlah lulusan SMP/MTs dibagi jumlah peserta ujian SMP/MTs kali 100%</v>
      </c>
      <c r="Z161" s="164">
        <f>'matrik MISI 4'!Z58</f>
        <v>0</v>
      </c>
    </row>
    <row r="162" spans="2:26" ht="90">
      <c r="B162" s="940"/>
      <c r="C162" s="941"/>
      <c r="D162" s="940"/>
      <c r="E162" s="940"/>
      <c r="F162" s="940"/>
      <c r="G162" s="940"/>
      <c r="H162" s="164" t="str">
        <f>'matrik MISI 4'!N59</f>
        <v>Persentase Siswa SD/MI yang Memperoleh Rerata Nilai Ujian Nasional ≥ 7,00</v>
      </c>
      <c r="I162" s="164" t="str">
        <f>'matrik MISI 4'!O59</f>
        <v>%</v>
      </c>
      <c r="J162" s="929">
        <f>'matrik MISI 4'!P59</f>
        <v>73.150000000000006</v>
      </c>
      <c r="K162" s="929">
        <f>'matrik MISI 4'!Q59</f>
        <v>73.192643444359689</v>
      </c>
      <c r="L162" s="929">
        <f>'matrik MISI 4'!R59</f>
        <v>73.23</v>
      </c>
      <c r="M162" s="961"/>
      <c r="N162" s="929">
        <f>'matrik MISI 4'!S59</f>
        <v>73.27</v>
      </c>
      <c r="O162" s="929"/>
      <c r="P162" s="929">
        <f>'matrik MISI 4'!T59</f>
        <v>73.31</v>
      </c>
      <c r="Q162" s="929"/>
      <c r="R162" s="929">
        <f>'matrik MISI 4'!U59</f>
        <v>73.349999999999994</v>
      </c>
      <c r="S162" s="929"/>
      <c r="T162" s="929">
        <f>'matrik MISI 4'!V59</f>
        <v>73.39</v>
      </c>
      <c r="U162" s="929"/>
      <c r="V162" s="929">
        <f>'matrik MISI 4'!W59</f>
        <v>73.39</v>
      </c>
      <c r="W162" s="929"/>
      <c r="X162" s="929" t="str">
        <f>'matrik MISI 4'!X59</f>
        <v>Dinas Pendidikan</v>
      </c>
      <c r="Y162" s="164" t="str">
        <f>'matrik MISI 4'!Y59</f>
        <v>Jumlah peserta ujian SD/MI yang memperoleh nilai ujian nasional ≥ 7,00 dibagi jumlah peserta ujian SD/MI kali 100%</v>
      </c>
      <c r="Z162" s="164">
        <f>'matrik MISI 4'!Z59</f>
        <v>0</v>
      </c>
    </row>
    <row r="163" spans="2:26" ht="105">
      <c r="B163" s="940"/>
      <c r="C163" s="941"/>
      <c r="D163" s="940"/>
      <c r="E163" s="940"/>
      <c r="F163" s="940"/>
      <c r="G163" s="940"/>
      <c r="H163" s="164" t="str">
        <f>'matrik MISI 4'!N60</f>
        <v>Persentase Siswa SMP/MTs yang Memperoleh Rerata Nilai Ujian Nasional ≥ 7,00</v>
      </c>
      <c r="I163" s="164" t="str">
        <f>'matrik MISI 4'!O60</f>
        <v>%</v>
      </c>
      <c r="J163" s="929">
        <f>'matrik MISI 4'!P60</f>
        <v>27.633419948031179</v>
      </c>
      <c r="K163" s="929">
        <f>'matrik MISI 4'!Q60</f>
        <v>21.029365329965266</v>
      </c>
      <c r="L163" s="929">
        <f>'matrik MISI 4'!R60</f>
        <v>21.08</v>
      </c>
      <c r="M163" s="961"/>
      <c r="N163" s="929">
        <f>'matrik MISI 4'!S60</f>
        <v>21.13</v>
      </c>
      <c r="O163" s="929"/>
      <c r="P163" s="929">
        <f>'matrik MISI 4'!T60</f>
        <v>21.18</v>
      </c>
      <c r="Q163" s="929"/>
      <c r="R163" s="929">
        <f>'matrik MISI 4'!U60</f>
        <v>21.23</v>
      </c>
      <c r="S163" s="929"/>
      <c r="T163" s="929">
        <f>'matrik MISI 4'!V60</f>
        <v>21.28</v>
      </c>
      <c r="U163" s="929"/>
      <c r="V163" s="929">
        <f>'matrik MISI 4'!W60</f>
        <v>21.28</v>
      </c>
      <c r="W163" s="929"/>
      <c r="X163" s="929" t="str">
        <f>'matrik MISI 4'!X60</f>
        <v>Dinas Pendidikan</v>
      </c>
      <c r="Y163" s="164" t="str">
        <f>'matrik MISI 4'!Y60</f>
        <v>Jumlah peserta ujian SMP/MTs yang memperoleh nilai ujian nasional ≥ 7,00 dibagi jumlah peserta ujian SMP/MTs kali 100%</v>
      </c>
      <c r="Z163" s="164">
        <f>'matrik MISI 4'!Z60</f>
        <v>0</v>
      </c>
    </row>
    <row r="164" spans="2:26" ht="315">
      <c r="B164" s="940"/>
      <c r="C164" s="941"/>
      <c r="D164" s="940"/>
      <c r="E164" s="940"/>
      <c r="F164" s="940"/>
      <c r="G164" s="940"/>
      <c r="H164" s="164" t="str">
        <f>'matrik MISI 4'!N64</f>
        <v>Cakupan ketersediaan rencana pengembangan kurikulum dan proses pembelajaran yang efektif</v>
      </c>
      <c r="I164" s="164" t="str">
        <f>'matrik MISI 4'!O64</f>
        <v>%</v>
      </c>
      <c r="J164" s="929">
        <f>'matrik MISI 4'!P64</f>
        <v>100</v>
      </c>
      <c r="K164" s="929">
        <f>'matrik MISI 4'!Q64</f>
        <v>100</v>
      </c>
      <c r="L164" s="929">
        <f>'matrik MISI 4'!R64</f>
        <v>100</v>
      </c>
      <c r="M164" s="961"/>
      <c r="N164" s="929">
        <f>'matrik MISI 4'!S64</f>
        <v>100</v>
      </c>
      <c r="O164" s="929"/>
      <c r="P164" s="929">
        <f>'matrik MISI 4'!T64</f>
        <v>100</v>
      </c>
      <c r="Q164" s="929"/>
      <c r="R164" s="929">
        <f>'matrik MISI 4'!U64</f>
        <v>100</v>
      </c>
      <c r="S164" s="929"/>
      <c r="T164" s="929">
        <f>'matrik MISI 4'!V64</f>
        <v>100</v>
      </c>
      <c r="U164" s="929"/>
      <c r="V164" s="929">
        <f>'matrik MISI 4'!W64</f>
        <v>100</v>
      </c>
      <c r="W164" s="929"/>
      <c r="X164" s="929" t="str">
        <f>'matrik MISI 4'!X64</f>
        <v>Dinas Pendidikan</v>
      </c>
      <c r="Y164" s="164"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64" s="164" t="str">
        <f>'matrik MISI 4'!Z64</f>
        <v>(SPM 13) Pemerintah kabupaten/kota memiliki rencana dan melaksanakan kegiatan untuk membantu satuan pendidikan dalam mengembangkan kurikulum dan proses pembelajaran yang efektif</v>
      </c>
    </row>
    <row r="165" spans="2:26" ht="300">
      <c r="B165" s="940"/>
      <c r="C165" s="941"/>
      <c r="D165" s="940"/>
      <c r="E165" s="940"/>
      <c r="F165" s="940"/>
      <c r="G165" s="940"/>
      <c r="H165" s="164" t="str">
        <f>'matrik MISI 4'!N65</f>
        <v>Cakupan Kunjungan pengawas  Sekolah ke satuan pendidikan.</v>
      </c>
      <c r="I165" s="164" t="str">
        <f>'matrik MISI 4'!O65</f>
        <v>%</v>
      </c>
      <c r="J165" s="929">
        <f>'matrik MISI 4'!P65</f>
        <v>66.180000000000007</v>
      </c>
      <c r="K165" s="929">
        <f>'matrik MISI 4'!Q65</f>
        <v>74</v>
      </c>
      <c r="L165" s="929">
        <f>'matrik MISI 4'!R65</f>
        <v>74.260000000000005</v>
      </c>
      <c r="M165" s="961"/>
      <c r="N165" s="929">
        <f>'matrik MISI 4'!S65</f>
        <v>74.52</v>
      </c>
      <c r="O165" s="929"/>
      <c r="P165" s="929">
        <f>'matrik MISI 4'!T65</f>
        <v>74.78</v>
      </c>
      <c r="Q165" s="929"/>
      <c r="R165" s="929">
        <f>'matrik MISI 4'!U65</f>
        <v>75.040000000000006</v>
      </c>
      <c r="S165" s="929"/>
      <c r="T165" s="929">
        <f>'matrik MISI 4'!V65</f>
        <v>75.3</v>
      </c>
      <c r="U165" s="929"/>
      <c r="V165" s="929">
        <f>'matrik MISI 4'!W65</f>
        <v>75.3</v>
      </c>
      <c r="W165" s="929"/>
      <c r="X165" s="929" t="str">
        <f>'matrik MISI 4'!X65</f>
        <v>Dinas Pendidikan</v>
      </c>
      <c r="Y165" s="164"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65" s="164" t="str">
        <f>'matrik MISI 4'!Z65</f>
        <v>(SPM 14) Kunjungan pengawas ke satuan pendidikan dilakukan satu kali setiap bulan dan setiap 
kunjungan dilakukan selama 3 jam untuk melakukan supervisi dan pembinaan</v>
      </c>
    </row>
    <row r="166" spans="2:26" ht="60">
      <c r="B166" s="940"/>
      <c r="C166" s="941"/>
      <c r="D166" s="940"/>
      <c r="E166" s="940"/>
      <c r="F166" s="940"/>
      <c r="G166" s="940"/>
      <c r="H166" s="164" t="str">
        <f>'matrik MISI 4'!N67</f>
        <v>Persentase SMA/MA Terakreditasi A</v>
      </c>
      <c r="I166" s="164" t="str">
        <f>'matrik MISI 4'!O67</f>
        <v>%</v>
      </c>
      <c r="J166" s="929">
        <f>'matrik MISI 4'!P67</f>
        <v>29.63</v>
      </c>
      <c r="K166" s="929">
        <f>'matrik MISI 4'!Q67</f>
        <v>29.63</v>
      </c>
      <c r="L166" s="929">
        <f>'matrik MISI 4'!R67</f>
        <v>33.33</v>
      </c>
      <c r="M166" s="961"/>
      <c r="N166" s="929">
        <f>'matrik MISI 4'!S67</f>
        <v>37.03</v>
      </c>
      <c r="O166" s="929"/>
      <c r="P166" s="929">
        <f>'matrik MISI 4'!T67</f>
        <v>40.729999999999997</v>
      </c>
      <c r="Q166" s="929"/>
      <c r="R166" s="929">
        <f>'matrik MISI 4'!U67</f>
        <v>44.43</v>
      </c>
      <c r="S166" s="929"/>
      <c r="T166" s="929">
        <f>'matrik MISI 4'!V67</f>
        <v>48.13</v>
      </c>
      <c r="U166" s="929"/>
      <c r="V166" s="929">
        <f>'matrik MISI 4'!W67</f>
        <v>48.13</v>
      </c>
      <c r="W166" s="929"/>
      <c r="X166" s="929" t="str">
        <f>'matrik MISI 4'!X67</f>
        <v>Dinas Pendidikan</v>
      </c>
      <c r="Y166" s="164" t="str">
        <f>'matrik MISI 4'!Y67</f>
        <v>Jumlah SMA/MA terakreditasi A dibagi jumlah SMA/MA kali 100%</v>
      </c>
      <c r="Z166" s="164">
        <f>'matrik MISI 4'!Z67</f>
        <v>0</v>
      </c>
    </row>
    <row r="167" spans="2:26" ht="60">
      <c r="B167" s="940"/>
      <c r="C167" s="941"/>
      <c r="D167" s="940"/>
      <c r="E167" s="940"/>
      <c r="F167" s="940"/>
      <c r="G167" s="940"/>
      <c r="H167" s="164" t="str">
        <f>'matrik MISI 4'!N68</f>
        <v>Persentase SMA/MA Terakreditasi B</v>
      </c>
      <c r="I167" s="164" t="str">
        <f>'matrik MISI 4'!O68</f>
        <v>%</v>
      </c>
      <c r="J167" s="929">
        <f>'matrik MISI 4'!P68</f>
        <v>25.93</v>
      </c>
      <c r="K167" s="929">
        <f>'matrik MISI 4'!Q68</f>
        <v>25.93</v>
      </c>
      <c r="L167" s="929">
        <f>'matrik MISI 4'!R68</f>
        <v>25.93</v>
      </c>
      <c r="M167" s="961"/>
      <c r="N167" s="929">
        <f>'matrik MISI 4'!S68</f>
        <v>25.93</v>
      </c>
      <c r="O167" s="929"/>
      <c r="P167" s="929">
        <f>'matrik MISI 4'!T68</f>
        <v>25.93</v>
      </c>
      <c r="Q167" s="929"/>
      <c r="R167" s="929">
        <f>'matrik MISI 4'!U68</f>
        <v>25.93</v>
      </c>
      <c r="S167" s="929"/>
      <c r="T167" s="929">
        <f>'matrik MISI 4'!V68</f>
        <v>25.93</v>
      </c>
      <c r="U167" s="929"/>
      <c r="V167" s="929">
        <f>'matrik MISI 4'!W68</f>
        <v>25.93</v>
      </c>
      <c r="W167" s="929"/>
      <c r="X167" s="929" t="str">
        <f>'matrik MISI 4'!X68</f>
        <v>Dinas Pendidikan</v>
      </c>
      <c r="Y167" s="164" t="str">
        <f>'matrik MISI 4'!Y68</f>
        <v>Jumlah SMA/MA terakreditasi B dibagi jumlah SMA/MA kali 100%</v>
      </c>
      <c r="Z167" s="164">
        <f>'matrik MISI 4'!Z68</f>
        <v>0</v>
      </c>
    </row>
    <row r="168" spans="2:26" ht="60">
      <c r="B168" s="940"/>
      <c r="C168" s="941"/>
      <c r="D168" s="940"/>
      <c r="E168" s="940"/>
      <c r="F168" s="940"/>
      <c r="G168" s="940"/>
      <c r="H168" s="164" t="str">
        <f>'matrik MISI 4'!N69</f>
        <v>Persentase SMA/MA Terakreditasi C</v>
      </c>
      <c r="I168" s="164" t="str">
        <f>'matrik MISI 4'!O69</f>
        <v>%</v>
      </c>
      <c r="J168" s="929">
        <f>'matrik MISI 4'!P69</f>
        <v>22.22</v>
      </c>
      <c r="K168" s="929">
        <f>'matrik MISI 4'!Q69</f>
        <v>22.22</v>
      </c>
      <c r="L168" s="929">
        <f>'matrik MISI 4'!R69</f>
        <v>22.22</v>
      </c>
      <c r="M168" s="961"/>
      <c r="N168" s="929">
        <f>'matrik MISI 4'!S69</f>
        <v>22.22</v>
      </c>
      <c r="O168" s="929"/>
      <c r="P168" s="929">
        <f>'matrik MISI 4'!T69</f>
        <v>22.22</v>
      </c>
      <c r="Q168" s="929"/>
      <c r="R168" s="929">
        <f>'matrik MISI 4'!U69</f>
        <v>22.22</v>
      </c>
      <c r="S168" s="929"/>
      <c r="T168" s="929">
        <f>'matrik MISI 4'!V69</f>
        <v>22.22</v>
      </c>
      <c r="U168" s="929"/>
      <c r="V168" s="929">
        <f>'matrik MISI 4'!W69</f>
        <v>22.22</v>
      </c>
      <c r="W168" s="929"/>
      <c r="X168" s="929" t="str">
        <f>'matrik MISI 4'!X69</f>
        <v>Dinas Pendidikan</v>
      </c>
      <c r="Y168" s="164" t="str">
        <f>'matrik MISI 4'!Y69</f>
        <v>Jumlah SMA/MA terakreditasi C dibagi jumlah SMA/MA kali 100%</v>
      </c>
      <c r="Z168" s="164" t="str">
        <f>'matrik MISI 4'!Z69</f>
        <v>diharapkan di tahun 2018 tinggal 3,72% yang belum terakreditasi</v>
      </c>
    </row>
    <row r="169" spans="2:26" ht="90">
      <c r="B169" s="940"/>
      <c r="C169" s="941"/>
      <c r="D169" s="940"/>
      <c r="E169" s="940"/>
      <c r="F169" s="940"/>
      <c r="G169" s="940"/>
      <c r="H169" s="164" t="str">
        <f>'matrik MISI 4'!N70</f>
        <v>Persentase Program Keahlian SMK Terakreditasi A</v>
      </c>
      <c r="I169" s="164" t="str">
        <f>'matrik MISI 4'!O70</f>
        <v>%</v>
      </c>
      <c r="J169" s="929">
        <f>'matrik MISI 4'!P70</f>
        <v>15.87</v>
      </c>
      <c r="K169" s="929">
        <f>'matrik MISI 4'!Q70</f>
        <v>15.87</v>
      </c>
      <c r="L169" s="929">
        <f>'matrik MISI 4'!R70</f>
        <v>19.05</v>
      </c>
      <c r="M169" s="961"/>
      <c r="N169" s="929">
        <f>'matrik MISI 4'!S70</f>
        <v>22.23</v>
      </c>
      <c r="O169" s="929"/>
      <c r="P169" s="929">
        <f>'matrik MISI 4'!T70</f>
        <v>25.41</v>
      </c>
      <c r="Q169" s="929"/>
      <c r="R169" s="929">
        <f>'matrik MISI 4'!U70</f>
        <v>28.59</v>
      </c>
      <c r="S169" s="929"/>
      <c r="T169" s="929">
        <f>'matrik MISI 4'!V70</f>
        <v>31.77</v>
      </c>
      <c r="U169" s="929"/>
      <c r="V169" s="929">
        <f>'matrik MISI 4'!W70</f>
        <v>31.77</v>
      </c>
      <c r="W169" s="929"/>
      <c r="X169" s="929" t="str">
        <f>'matrik MISI 4'!X70</f>
        <v>Dinas Pendidikan</v>
      </c>
      <c r="Y169" s="164" t="str">
        <f>'matrik MISI 4'!Y70</f>
        <v>Jumlah Program Keahlian SMK terakreditasi A dibagi jumlah Program Keahlian SMK kali 100%</v>
      </c>
      <c r="Z169" s="164">
        <f>'matrik MISI 4'!Z70</f>
        <v>0</v>
      </c>
    </row>
    <row r="170" spans="2:26" ht="90">
      <c r="B170" s="940"/>
      <c r="C170" s="941"/>
      <c r="D170" s="940"/>
      <c r="E170" s="940"/>
      <c r="F170" s="940"/>
      <c r="G170" s="940"/>
      <c r="H170" s="164" t="str">
        <f>'matrik MISI 4'!N71</f>
        <v>Persentase Program Keahlian SMK Terakreditasi B</v>
      </c>
      <c r="I170" s="164" t="str">
        <f>'matrik MISI 4'!O71</f>
        <v>%</v>
      </c>
      <c r="J170" s="929">
        <f>'matrik MISI 4'!P71</f>
        <v>47.62</v>
      </c>
      <c r="K170" s="929">
        <f>'matrik MISI 4'!Q71</f>
        <v>47.62</v>
      </c>
      <c r="L170" s="929">
        <f>'matrik MISI 4'!R71</f>
        <v>47.62</v>
      </c>
      <c r="M170" s="961"/>
      <c r="N170" s="929">
        <f>'matrik MISI 4'!S71</f>
        <v>47.62</v>
      </c>
      <c r="O170" s="929"/>
      <c r="P170" s="929">
        <f>'matrik MISI 4'!T71</f>
        <v>47.62</v>
      </c>
      <c r="Q170" s="929"/>
      <c r="R170" s="929">
        <f>'matrik MISI 4'!U71</f>
        <v>47.62</v>
      </c>
      <c r="S170" s="929"/>
      <c r="T170" s="929">
        <f>'matrik MISI 4'!V71</f>
        <v>47.62</v>
      </c>
      <c r="U170" s="929"/>
      <c r="V170" s="929">
        <f>'matrik MISI 4'!W71</f>
        <v>47.62</v>
      </c>
      <c r="W170" s="929"/>
      <c r="X170" s="929" t="str">
        <f>'matrik MISI 4'!X71</f>
        <v>Dinas Pendidikan</v>
      </c>
      <c r="Y170" s="164" t="str">
        <f>'matrik MISI 4'!Y71</f>
        <v>Jumlah Program Keahlian SMK terakreditasi B dibagi jumlah Program Keahlian SMK kali 100%</v>
      </c>
      <c r="Z170" s="164">
        <f>'matrik MISI 4'!Z71</f>
        <v>0</v>
      </c>
    </row>
    <row r="171" spans="2:26" ht="90">
      <c r="B171" s="940"/>
      <c r="C171" s="941"/>
      <c r="D171" s="940"/>
      <c r="E171" s="940"/>
      <c r="F171" s="940"/>
      <c r="G171" s="940"/>
      <c r="H171" s="164" t="str">
        <f>'matrik MISI 4'!N72</f>
        <v>Persentase Program Keahlian SMK Terakreditasi C</v>
      </c>
      <c r="I171" s="164" t="str">
        <f>'matrik MISI 4'!O72</f>
        <v>%</v>
      </c>
      <c r="J171" s="929">
        <f>'matrik MISI 4'!P72</f>
        <v>19.05</v>
      </c>
      <c r="K171" s="929">
        <f>'matrik MISI 4'!Q72</f>
        <v>19.05</v>
      </c>
      <c r="L171" s="929">
        <f>'matrik MISI 4'!R72</f>
        <v>19.05</v>
      </c>
      <c r="M171" s="961"/>
      <c r="N171" s="929">
        <f>'matrik MISI 4'!S72</f>
        <v>19.05</v>
      </c>
      <c r="O171" s="929"/>
      <c r="P171" s="929">
        <f>'matrik MISI 4'!T72</f>
        <v>19.05</v>
      </c>
      <c r="Q171" s="929"/>
      <c r="R171" s="929">
        <f>'matrik MISI 4'!U72</f>
        <v>19.05</v>
      </c>
      <c r="S171" s="929"/>
      <c r="T171" s="929">
        <f>'matrik MISI 4'!V72</f>
        <v>19.05</v>
      </c>
      <c r="U171" s="929"/>
      <c r="V171" s="929">
        <f>'matrik MISI 4'!W72</f>
        <v>19.05</v>
      </c>
      <c r="W171" s="929"/>
      <c r="X171" s="929" t="str">
        <f>'matrik MISI 4'!X72</f>
        <v>Dinas Pendidikan</v>
      </c>
      <c r="Y171" s="164" t="str">
        <f>'matrik MISI 4'!Y72</f>
        <v>Jumlah Program Keahlian SMK terakreditasi C dibagi jumlah Program Keahlian SMK kali 100%</v>
      </c>
      <c r="Z171" s="164" t="str">
        <f>'matrik MISI 4'!Z72</f>
        <v>diharapkan di tahun 2018 tinggal 1,56% program keahlian yang belum terakreditasi</v>
      </c>
    </row>
    <row r="172" spans="2:26" ht="90">
      <c r="B172" s="940"/>
      <c r="C172" s="941"/>
      <c r="D172" s="940"/>
      <c r="E172" s="940"/>
      <c r="F172" s="940"/>
      <c r="G172" s="940"/>
      <c r="H172" s="164" t="str">
        <f>'matrik MISI 4'!N73</f>
        <v>Persentase Angka Lulusan SMA/MA/SMK</v>
      </c>
      <c r="I172" s="164" t="str">
        <f>'matrik MISI 4'!O73</f>
        <v>%</v>
      </c>
      <c r="J172" s="929">
        <f>'matrik MISI 4'!P73</f>
        <v>99.320568252007419</v>
      </c>
      <c r="K172" s="929">
        <f>'matrik MISI 4'!Q73</f>
        <v>99.864786555920418</v>
      </c>
      <c r="L172" s="929">
        <f>'matrik MISI 4'!R73</f>
        <v>100</v>
      </c>
      <c r="M172" s="961"/>
      <c r="N172" s="929">
        <f>'matrik MISI 4'!S73</f>
        <v>100</v>
      </c>
      <c r="O172" s="929"/>
      <c r="P172" s="929">
        <f>'matrik MISI 4'!T73</f>
        <v>100</v>
      </c>
      <c r="Q172" s="929"/>
      <c r="R172" s="929">
        <f>'matrik MISI 4'!U73</f>
        <v>100</v>
      </c>
      <c r="S172" s="929"/>
      <c r="T172" s="929">
        <f>'matrik MISI 4'!V73</f>
        <v>100</v>
      </c>
      <c r="U172" s="929"/>
      <c r="V172" s="929">
        <f>'matrik MISI 4'!W73</f>
        <v>100</v>
      </c>
      <c r="W172" s="929"/>
      <c r="X172" s="929" t="str">
        <f>'matrik MISI 4'!X73</f>
        <v>Dinas Pendidikan</v>
      </c>
      <c r="Y172" s="164" t="str">
        <f>'matrik MISI 4'!Y73</f>
        <v>Jumlah lulusan SMA/MA/SMK dibagi jumlah peserta Ujian Nasional SMA/MA/SMK kali 100%</v>
      </c>
      <c r="Z172" s="164">
        <f>'matrik MISI 4'!Z73</f>
        <v>0</v>
      </c>
    </row>
    <row r="173" spans="2:26" ht="150">
      <c r="B173" s="940"/>
      <c r="C173" s="941"/>
      <c r="D173" s="940"/>
      <c r="E173" s="940"/>
      <c r="F173" s="940"/>
      <c r="G173" s="940"/>
      <c r="H173" s="164" t="str">
        <f>'matrik MISI 4'!N74</f>
        <v>Persentase Siswa SMA/MA/SMK yang Memperoleh Rerata Nilai Ujian Nasional ≥ 7,00</v>
      </c>
      <c r="I173" s="164" t="str">
        <f>'matrik MISI 4'!O74</f>
        <v>%</v>
      </c>
      <c r="J173" s="929">
        <f>'matrik MISI 4'!P74</f>
        <v>72.122709491455623</v>
      </c>
      <c r="K173" s="929">
        <f>'matrik MISI 4'!Q74</f>
        <v>57.331009103234557</v>
      </c>
      <c r="L173" s="929">
        <f>'matrik MISI 4'!R74</f>
        <v>57.43</v>
      </c>
      <c r="M173" s="961"/>
      <c r="N173" s="929">
        <f>'matrik MISI 4'!S74</f>
        <v>57.63</v>
      </c>
      <c r="O173" s="929"/>
      <c r="P173" s="929">
        <f>'matrik MISI 4'!T74</f>
        <v>57.78</v>
      </c>
      <c r="Q173" s="929"/>
      <c r="R173" s="929">
        <f>'matrik MISI 4'!U74</f>
        <v>57.93</v>
      </c>
      <c r="S173" s="929"/>
      <c r="T173" s="929">
        <f>'matrik MISI 4'!V74</f>
        <v>58.08</v>
      </c>
      <c r="U173" s="929"/>
      <c r="V173" s="929">
        <f>'matrik MISI 4'!W74</f>
        <v>58.08</v>
      </c>
      <c r="W173" s="929"/>
      <c r="X173" s="929" t="str">
        <f>'matrik MISI 4'!X74</f>
        <v>Dinas Pendidikan</v>
      </c>
      <c r="Y173" s="164" t="str">
        <f>'matrik MISI 4'!Y74</f>
        <v>Jumlah peserta Ujian Nasional SMA/MA/SMK yang memperoleh nilai rata-rata Ujian Nasional ≥ 7,00 dibagi jumlah peserta Ujian Nasional SMA/MA/SMK  kali 100%</v>
      </c>
      <c r="Z173" s="164" t="str">
        <f>'matrik MISI 4'!Z74</f>
        <v>target capaian sangat tergantung dengan kualitas materi ujian.</v>
      </c>
    </row>
    <row r="174" spans="2:26" ht="75">
      <c r="B174" s="940"/>
      <c r="C174" s="941"/>
      <c r="D174" s="940"/>
      <c r="E174" s="940"/>
      <c r="F174" s="940"/>
      <c r="G174" s="940"/>
      <c r="H174" s="164" t="str">
        <f>'matrik MISI 4'!N12</f>
        <v>Persentase angka kenakalan siswa</v>
      </c>
      <c r="I174" s="164" t="str">
        <f>'matrik MISI 4'!O12</f>
        <v>%</v>
      </c>
      <c r="J174" s="929" t="str">
        <f>'matrik MISI 4'!P12</f>
        <v xml:space="preserve"> - </v>
      </c>
      <c r="K174" s="929" t="str">
        <f>'matrik MISI 4'!Q12</f>
        <v xml:space="preserve"> - </v>
      </c>
      <c r="L174" s="929">
        <f>'matrik MISI 4'!R12</f>
        <v>0</v>
      </c>
      <c r="M174" s="961"/>
      <c r="N174" s="929">
        <f>'matrik MISI 4'!S12</f>
        <v>0</v>
      </c>
      <c r="O174" s="929"/>
      <c r="P174" s="929">
        <f>'matrik MISI 4'!T12</f>
        <v>0</v>
      </c>
      <c r="Q174" s="929"/>
      <c r="R174" s="929">
        <f>'matrik MISI 4'!U12</f>
        <v>0</v>
      </c>
      <c r="S174" s="929"/>
      <c r="T174" s="929">
        <f>'matrik MISI 4'!V12</f>
        <v>0</v>
      </c>
      <c r="U174" s="929"/>
      <c r="V174" s="929">
        <f>'matrik MISI 4'!W12</f>
        <v>0</v>
      </c>
      <c r="W174" s="929"/>
      <c r="X174" s="929" t="str">
        <f>'matrik MISI 4'!X12</f>
        <v>Dinas Pendidikan</v>
      </c>
      <c r="Y174" s="164" t="str">
        <f>'matrik MISI 4'!Y12</f>
        <v>Jumlah siswa yang dikembalikan kepada orangtua,  dibagi jumlah seluruh siswa kali 100%</v>
      </c>
      <c r="Z174" s="164" t="str">
        <f>'matrik MISI 4'!Z12</f>
        <v>Dikembalikan karena melanggar disiplin/tata tertib sekolah</v>
      </c>
    </row>
    <row r="175" spans="2:26" ht="45" hidden="1">
      <c r="B175" s="940"/>
      <c r="C175" s="941"/>
      <c r="D175" s="940">
        <f>'matrik MISI 4'!J79</f>
        <v>1.01</v>
      </c>
      <c r="E175" s="940" t="str">
        <f>'matrik MISI 4'!K79</f>
        <v>xx</v>
      </c>
      <c r="F175" s="940">
        <f>'matrik MISI 4'!L79</f>
        <v>20</v>
      </c>
      <c r="G175" s="940" t="str">
        <f>'matrik MISI 4'!M79</f>
        <v>Program peningkatan mutu pendidik dan tenaga kependidikan</v>
      </c>
      <c r="H175" s="164"/>
      <c r="I175" s="164"/>
      <c r="J175" s="929"/>
      <c r="K175" s="929"/>
      <c r="L175" s="929"/>
      <c r="M175" s="961">
        <f>'jangan dihapus 2'!K196</f>
        <v>8234183000</v>
      </c>
      <c r="N175" s="961"/>
      <c r="O175" s="961">
        <f>'jangan dihapus 2'!M196</f>
        <v>8048701500</v>
      </c>
      <c r="P175" s="961"/>
      <c r="Q175" s="961">
        <f>'jangan dihapus 2'!O196</f>
        <v>8135486500</v>
      </c>
      <c r="R175" s="961"/>
      <c r="S175" s="961">
        <f>'jangan dihapus 2'!Q196</f>
        <v>8117086500</v>
      </c>
      <c r="T175" s="961"/>
      <c r="U175" s="961">
        <f>'jangan dihapus 2'!S196</f>
        <v>8178086500</v>
      </c>
      <c r="V175" s="929"/>
      <c r="W175" s="961">
        <f>SUM(M175:U175)</f>
        <v>40713544000</v>
      </c>
      <c r="X175" s="929"/>
      <c r="Y175" s="164"/>
      <c r="Z175" s="164"/>
    </row>
    <row r="176" spans="2:26" ht="45">
      <c r="B176" s="940"/>
      <c r="C176" s="941"/>
      <c r="D176" s="939"/>
      <c r="E176" s="939"/>
      <c r="F176" s="939"/>
      <c r="G176" s="939"/>
      <c r="H176" s="164" t="str">
        <f>'matrik MISI 4'!N79</f>
        <v>Rasio Siswa per Pendidik TK/RA</v>
      </c>
      <c r="I176" s="164" t="str">
        <f>'matrik MISI 4'!O79</f>
        <v>Rasio</v>
      </c>
      <c r="J176" s="929" t="str">
        <f>'matrik MISI 4'!P79</f>
        <v>1 : 14</v>
      </c>
      <c r="K176" s="929" t="str">
        <f>'matrik MISI 4'!Q79</f>
        <v>1 : 14</v>
      </c>
      <c r="L176" s="929" t="str">
        <f>'matrik MISI 4'!R79</f>
        <v>1 : 14</v>
      </c>
      <c r="M176" s="961"/>
      <c r="N176" s="929" t="str">
        <f>'matrik MISI 4'!S79</f>
        <v>1 : 14</v>
      </c>
      <c r="O176" s="929"/>
      <c r="P176" s="929" t="str">
        <f>'matrik MISI 4'!T79</f>
        <v>1 : 14</v>
      </c>
      <c r="Q176" s="929"/>
      <c r="R176" s="929" t="str">
        <f>'matrik MISI 4'!U79</f>
        <v>1 : 14</v>
      </c>
      <c r="S176" s="929"/>
      <c r="T176" s="929" t="str">
        <f>'matrik MISI 4'!V79</f>
        <v>1 : 14</v>
      </c>
      <c r="U176" s="929"/>
      <c r="V176" s="929" t="str">
        <f>'matrik MISI 4'!W79</f>
        <v>1 : 14</v>
      </c>
      <c r="W176" s="929"/>
      <c r="X176" s="929" t="str">
        <f>'matrik MISI 4'!X79</f>
        <v>Dinas Pendidikan</v>
      </c>
      <c r="Y176" s="164" t="str">
        <f>'matrik MISI 4'!Y79</f>
        <v>Jumlah siswa TK/RA dibagi jumlah pendidik TK/RA</v>
      </c>
      <c r="Z176" s="164">
        <f>'matrik MISI 4'!Z79</f>
        <v>0</v>
      </c>
    </row>
    <row r="177" spans="2:26" ht="45">
      <c r="B177" s="940"/>
      <c r="C177" s="941"/>
      <c r="D177" s="940"/>
      <c r="E177" s="940"/>
      <c r="F177" s="940"/>
      <c r="G177" s="940"/>
      <c r="H177" s="164" t="str">
        <f>'matrik MISI 4'!N80</f>
        <v>Rasio Siswa per Pendidik SD/MI</v>
      </c>
      <c r="I177" s="164" t="str">
        <f>'matrik MISI 4'!O80</f>
        <v>Rasio</v>
      </c>
      <c r="J177" s="929" t="str">
        <f>'matrik MISI 4'!P80</f>
        <v>1 : 14</v>
      </c>
      <c r="K177" s="929" t="str">
        <f>'matrik MISI 4'!Q80</f>
        <v>1 : 14</v>
      </c>
      <c r="L177" s="929" t="str">
        <f>'matrik MISI 4'!R80</f>
        <v>1 : 14</v>
      </c>
      <c r="M177" s="961"/>
      <c r="N177" s="929" t="str">
        <f>'matrik MISI 4'!S80</f>
        <v>1 : 14</v>
      </c>
      <c r="O177" s="929"/>
      <c r="P177" s="929" t="str">
        <f>'matrik MISI 4'!T80</f>
        <v>1 : 14</v>
      </c>
      <c r="Q177" s="929"/>
      <c r="R177" s="929" t="str">
        <f>'matrik MISI 4'!U80</f>
        <v>1 : 14</v>
      </c>
      <c r="S177" s="929"/>
      <c r="T177" s="929" t="str">
        <f>'matrik MISI 4'!V80</f>
        <v>1 : 14</v>
      </c>
      <c r="U177" s="929"/>
      <c r="V177" s="929" t="str">
        <f>'matrik MISI 4'!W80</f>
        <v>1 : 14</v>
      </c>
      <c r="W177" s="929"/>
      <c r="X177" s="929" t="str">
        <f>'matrik MISI 4'!X80</f>
        <v>Dinas Pendidikan</v>
      </c>
      <c r="Y177" s="164" t="str">
        <f>'matrik MISI 4'!Y80</f>
        <v>Jumlah siswa SD/MI dibagi jumlah pendidik SD/MI</v>
      </c>
      <c r="Z177" s="164">
        <f>'matrik MISI 4'!Z80</f>
        <v>0</v>
      </c>
    </row>
    <row r="178" spans="2:26" ht="60">
      <c r="B178" s="940"/>
      <c r="C178" s="941"/>
      <c r="D178" s="940"/>
      <c r="E178" s="940"/>
      <c r="F178" s="940"/>
      <c r="G178" s="940"/>
      <c r="H178" s="164" t="str">
        <f>'matrik MISI 4'!N81</f>
        <v>Rasio Siswa per Pendidik SMP/MTs</v>
      </c>
      <c r="I178" s="164" t="str">
        <f>'matrik MISI 4'!O81</f>
        <v>Rasio</v>
      </c>
      <c r="J178" s="929" t="str">
        <f>'matrik MISI 4'!P81</f>
        <v>1 : 16</v>
      </c>
      <c r="K178" s="929" t="str">
        <f>'matrik MISI 4'!Q81</f>
        <v>1 : 16</v>
      </c>
      <c r="L178" s="929" t="str">
        <f>'matrik MISI 4'!R81</f>
        <v>1 : 16</v>
      </c>
      <c r="M178" s="961"/>
      <c r="N178" s="929" t="str">
        <f>'matrik MISI 4'!S81</f>
        <v>1:15</v>
      </c>
      <c r="O178" s="929"/>
      <c r="P178" s="929" t="str">
        <f>'matrik MISI 4'!T81</f>
        <v>1:15</v>
      </c>
      <c r="Q178" s="929"/>
      <c r="R178" s="929" t="str">
        <f>'matrik MISI 4'!U81</f>
        <v>1:15</v>
      </c>
      <c r="S178" s="929"/>
      <c r="T178" s="929" t="str">
        <f>'matrik MISI 4'!V81</f>
        <v>1:15</v>
      </c>
      <c r="U178" s="929"/>
      <c r="V178" s="929" t="str">
        <f>'matrik MISI 4'!W81</f>
        <v>1:15</v>
      </c>
      <c r="W178" s="929"/>
      <c r="X178" s="929" t="str">
        <f>'matrik MISI 4'!X81</f>
        <v>Dinas Pendidikan</v>
      </c>
      <c r="Y178" s="164" t="str">
        <f>'matrik MISI 4'!Y81</f>
        <v>Jumlah siswa SMP/MTs dibagi jumlah pendidik SMP/MTs</v>
      </c>
      <c r="Z178" s="164">
        <f>'matrik MISI 4'!Z81</f>
        <v>0</v>
      </c>
    </row>
    <row r="179" spans="2:26" ht="60">
      <c r="B179" s="940"/>
      <c r="C179" s="941"/>
      <c r="D179" s="940"/>
      <c r="E179" s="940"/>
      <c r="F179" s="940"/>
      <c r="G179" s="940"/>
      <c r="H179" s="164" t="str">
        <f>'matrik MISI 4'!N82</f>
        <v>Rasio Siswa per Pendidik SMA/MA</v>
      </c>
      <c r="I179" s="164" t="str">
        <f>'matrik MISI 4'!O82</f>
        <v>Rasio</v>
      </c>
      <c r="J179" s="929" t="str">
        <f>'matrik MISI 4'!P82</f>
        <v>1 : 11</v>
      </c>
      <c r="K179" s="929" t="str">
        <f>'matrik MISI 4'!Q82</f>
        <v>1 : 11</v>
      </c>
      <c r="L179" s="929" t="str">
        <f>'matrik MISI 4'!R82</f>
        <v>1 : 11</v>
      </c>
      <c r="M179" s="961"/>
      <c r="N179" s="929" t="str">
        <f>'matrik MISI 4'!S82</f>
        <v>1 : 11</v>
      </c>
      <c r="O179" s="929"/>
      <c r="P179" s="929" t="str">
        <f>'matrik MISI 4'!T82</f>
        <v>1 : 11</v>
      </c>
      <c r="Q179" s="929"/>
      <c r="R179" s="929" t="str">
        <f>'matrik MISI 4'!U82</f>
        <v>1 : 11</v>
      </c>
      <c r="S179" s="929"/>
      <c r="T179" s="929" t="str">
        <f>'matrik MISI 4'!V82</f>
        <v>1 : 11</v>
      </c>
      <c r="U179" s="929"/>
      <c r="V179" s="929" t="str">
        <f>'matrik MISI 4'!W82</f>
        <v>1 : 11</v>
      </c>
      <c r="W179" s="929"/>
      <c r="X179" s="929" t="str">
        <f>'matrik MISI 4'!X82</f>
        <v>Dinas Pendidikan</v>
      </c>
      <c r="Y179" s="164" t="str">
        <f>'matrik MISI 4'!Y82</f>
        <v>Jumlah siswa SMA/MA dibagi jumlah pendidik SMA/MA</v>
      </c>
      <c r="Z179" s="164">
        <f>'matrik MISI 4'!Z82</f>
        <v>0</v>
      </c>
    </row>
    <row r="180" spans="2:26" ht="45">
      <c r="B180" s="940"/>
      <c r="C180" s="941"/>
      <c r="D180" s="940"/>
      <c r="E180" s="940"/>
      <c r="F180" s="940"/>
      <c r="G180" s="940"/>
      <c r="H180" s="164" t="str">
        <f>'matrik MISI 4'!N83</f>
        <v>Rasio Siswa per Pendidik SMK</v>
      </c>
      <c r="I180" s="164" t="str">
        <f>'matrik MISI 4'!O83</f>
        <v>Rasio</v>
      </c>
      <c r="J180" s="929" t="str">
        <f>'matrik MISI 4'!P83</f>
        <v>1 : 15</v>
      </c>
      <c r="K180" s="929" t="str">
        <f>'matrik MISI 4'!Q83</f>
        <v>1 : 15</v>
      </c>
      <c r="L180" s="929" t="str">
        <f>'matrik MISI 4'!R83</f>
        <v>1 : 15</v>
      </c>
      <c r="M180" s="961"/>
      <c r="N180" s="929" t="str">
        <f>'matrik MISI 4'!S83</f>
        <v>1:14</v>
      </c>
      <c r="O180" s="929"/>
      <c r="P180" s="929" t="str">
        <f>'matrik MISI 4'!T83</f>
        <v>1:14</v>
      </c>
      <c r="Q180" s="929"/>
      <c r="R180" s="929" t="str">
        <f>'matrik MISI 4'!U83</f>
        <v>1:14</v>
      </c>
      <c r="S180" s="929"/>
      <c r="T180" s="929" t="str">
        <f>'matrik MISI 4'!V83</f>
        <v>1:13</v>
      </c>
      <c r="U180" s="929"/>
      <c r="V180" s="929" t="str">
        <f>'matrik MISI 4'!W83</f>
        <v>1:13</v>
      </c>
      <c r="W180" s="929"/>
      <c r="X180" s="929" t="str">
        <f>'matrik MISI 4'!X83</f>
        <v>Dinas Pendidikan</v>
      </c>
      <c r="Y180" s="164" t="str">
        <f>'matrik MISI 4'!Y83</f>
        <v>Jumlah siswa SMK dibagi jumlah pendidik SMK</v>
      </c>
      <c r="Z180" s="164">
        <f>'matrik MISI 4'!Z83</f>
        <v>0</v>
      </c>
    </row>
    <row r="181" spans="2:26" ht="75">
      <c r="B181" s="940"/>
      <c r="C181" s="941"/>
      <c r="D181" s="940"/>
      <c r="E181" s="940"/>
      <c r="F181" s="940"/>
      <c r="G181" s="940"/>
      <c r="H181" s="164" t="str">
        <f>'matrik MISI 4'!N85</f>
        <v>Persentase Pendidik TK/RA yang memenuhi standar kualifikasi akademik</v>
      </c>
      <c r="I181" s="164" t="str">
        <f>'matrik MISI 4'!O85</f>
        <v>%</v>
      </c>
      <c r="J181" s="929">
        <f>'matrik MISI 4'!P85</f>
        <v>35.14986376021799</v>
      </c>
      <c r="K181" s="929">
        <f>'matrik MISI 4'!Q85</f>
        <v>41.79</v>
      </c>
      <c r="L181" s="929">
        <f>'matrik MISI 4'!R85</f>
        <v>42.34</v>
      </c>
      <c r="M181" s="961"/>
      <c r="N181" s="929">
        <f>'matrik MISI 4'!S85</f>
        <v>42.89</v>
      </c>
      <c r="O181" s="929"/>
      <c r="P181" s="929">
        <f>'matrik MISI 4'!T85</f>
        <v>43.44</v>
      </c>
      <c r="Q181" s="929"/>
      <c r="R181" s="929">
        <f>'matrik MISI 4'!U85</f>
        <v>44.33</v>
      </c>
      <c r="S181" s="929"/>
      <c r="T181" s="929">
        <f>'matrik MISI 4'!V85</f>
        <v>45.22</v>
      </c>
      <c r="U181" s="929"/>
      <c r="V181" s="929">
        <f>'matrik MISI 4'!W85</f>
        <v>45.22</v>
      </c>
      <c r="W181" s="929"/>
      <c r="X181" s="929" t="str">
        <f>'matrik MISI 4'!X85</f>
        <v>Dinas Pendidikan</v>
      </c>
      <c r="Y181" s="164" t="str">
        <f>'matrik MISI 4'!Y85</f>
        <v>Jumlah pendidik TK/RA yang memiliki ijazah ≥ S1/D4 dibagi jumlah pendidik TK/RA kali 100%</v>
      </c>
      <c r="Z181" s="164" t="str">
        <f>'matrik MISI 4'!Z85</f>
        <v>kualifikasi akademik adalah setara dengan S1/D4 dan belum melihat standar kompetensi.</v>
      </c>
    </row>
    <row r="182" spans="2:26" ht="75">
      <c r="B182" s="940"/>
      <c r="C182" s="941"/>
      <c r="D182" s="940"/>
      <c r="E182" s="940"/>
      <c r="F182" s="940"/>
      <c r="G182" s="940"/>
      <c r="H182" s="164" t="str">
        <f>'matrik MISI 4'!N86</f>
        <v>Persentase Pendidik SD/MI yang memenuhi standar kualifikasi akademik</v>
      </c>
      <c r="I182" s="164" t="str">
        <f>'matrik MISI 4'!O86</f>
        <v>%</v>
      </c>
      <c r="J182" s="929">
        <f>'matrik MISI 4'!P86</f>
        <v>63.370350784417418</v>
      </c>
      <c r="K182" s="929">
        <f>'matrik MISI 4'!Q86</f>
        <v>70.510000000000005</v>
      </c>
      <c r="L182" s="929" t="str">
        <f>'matrik MISI 4'!R86</f>
        <v>70,56</v>
      </c>
      <c r="M182" s="961"/>
      <c r="N182" s="929" t="str">
        <f>'matrik MISI 4'!S86</f>
        <v>70,61</v>
      </c>
      <c r="O182" s="929"/>
      <c r="P182" s="929" t="str">
        <f>'matrik MISI 4'!T86</f>
        <v>70,66</v>
      </c>
      <c r="Q182" s="929"/>
      <c r="R182" s="929">
        <f>'matrik MISI 4'!U86</f>
        <v>71.16</v>
      </c>
      <c r="S182" s="929"/>
      <c r="T182" s="929">
        <f>'matrik MISI 4'!V86</f>
        <v>71.66</v>
      </c>
      <c r="U182" s="929"/>
      <c r="V182" s="929">
        <f>'matrik MISI 4'!W86</f>
        <v>71.66</v>
      </c>
      <c r="W182" s="929"/>
      <c r="X182" s="929" t="str">
        <f>'matrik MISI 4'!X86</f>
        <v>Dinas Pendidikan</v>
      </c>
      <c r="Y182" s="164" t="str">
        <f>'matrik MISI 4'!Y86</f>
        <v>Jumlah pendidik SD/MI yang memiliki ijazah ≥ S1/D4 dibagi jumlah pendidik SD/MI kali 100%</v>
      </c>
      <c r="Z182" s="164">
        <f>'matrik MISI 4'!Z86</f>
        <v>0</v>
      </c>
    </row>
    <row r="183" spans="2:26" ht="90">
      <c r="B183" s="940"/>
      <c r="C183" s="941"/>
      <c r="D183" s="940"/>
      <c r="E183" s="940"/>
      <c r="F183" s="940"/>
      <c r="G183" s="940"/>
      <c r="H183" s="164" t="str">
        <f>'matrik MISI 4'!N87</f>
        <v>Persentase Pendidik SMP/MTs yang memenuhi standar kualifikasi akademik</v>
      </c>
      <c r="I183" s="164" t="str">
        <f>'matrik MISI 4'!O87</f>
        <v>%</v>
      </c>
      <c r="J183" s="929">
        <f>'matrik MISI 4'!P87</f>
        <v>83.286516853932582</v>
      </c>
      <c r="K183" s="929">
        <f>'matrik MISI 4'!Q87</f>
        <v>83.34</v>
      </c>
      <c r="L183" s="929">
        <f>'matrik MISI 4'!R87</f>
        <v>83.39</v>
      </c>
      <c r="M183" s="961"/>
      <c r="N183" s="929">
        <f>'matrik MISI 4'!S87</f>
        <v>83.44</v>
      </c>
      <c r="O183" s="929"/>
      <c r="P183" s="929">
        <f>'matrik MISI 4'!T87</f>
        <v>83.49</v>
      </c>
      <c r="Q183" s="929"/>
      <c r="R183" s="929">
        <f>'matrik MISI 4'!U87</f>
        <v>83.54</v>
      </c>
      <c r="S183" s="929"/>
      <c r="T183" s="929">
        <f>'matrik MISI 4'!V87</f>
        <v>83.59</v>
      </c>
      <c r="U183" s="929"/>
      <c r="V183" s="929">
        <f>'matrik MISI 4'!W87</f>
        <v>83.59</v>
      </c>
      <c r="W183" s="929"/>
      <c r="X183" s="929" t="str">
        <f>'matrik MISI 4'!X87</f>
        <v>Dinas Pendidikan</v>
      </c>
      <c r="Y183" s="164" t="str">
        <f>'matrik MISI 4'!Y87</f>
        <v>Jumlah pendidik SMP/MTs yang memiliki ijazah ≥ S1/D4 dibagi jumlah pendidik SMP/MTs kali 100%</v>
      </c>
      <c r="Z183" s="164">
        <f>'matrik MISI 4'!Z87</f>
        <v>0</v>
      </c>
    </row>
    <row r="184" spans="2:26" ht="90">
      <c r="B184" s="940"/>
      <c r="C184" s="941"/>
      <c r="D184" s="940"/>
      <c r="E184" s="940"/>
      <c r="F184" s="940"/>
      <c r="G184" s="940"/>
      <c r="H184" s="164" t="str">
        <f>'matrik MISI 4'!N88</f>
        <v>Persentase Pendidik SMA/MA yang memenuhi standar kualifikasi akademik</v>
      </c>
      <c r="I184" s="164" t="str">
        <f>'matrik MISI 4'!O88</f>
        <v>%</v>
      </c>
      <c r="J184" s="929">
        <f>'matrik MISI 4'!P88</f>
        <v>91.448275862068968</v>
      </c>
      <c r="K184" s="929">
        <f>'matrik MISI 4'!Q88</f>
        <v>91.5</v>
      </c>
      <c r="L184" s="929">
        <f>'matrik MISI 4'!R88</f>
        <v>91.55</v>
      </c>
      <c r="M184" s="961"/>
      <c r="N184" s="929">
        <f>'matrik MISI 4'!S88</f>
        <v>91.6</v>
      </c>
      <c r="O184" s="929"/>
      <c r="P184" s="929">
        <f>'matrik MISI 4'!T88</f>
        <v>91.65</v>
      </c>
      <c r="Q184" s="929"/>
      <c r="R184" s="929">
        <f>'matrik MISI 4'!U88</f>
        <v>91.7</v>
      </c>
      <c r="S184" s="929"/>
      <c r="T184" s="929">
        <f>'matrik MISI 4'!V88</f>
        <v>91.75</v>
      </c>
      <c r="U184" s="929"/>
      <c r="V184" s="929">
        <f>'matrik MISI 4'!W88</f>
        <v>91.75</v>
      </c>
      <c r="W184" s="929"/>
      <c r="X184" s="929" t="str">
        <f>'matrik MISI 4'!X88</f>
        <v>Dinas Pendidikan</v>
      </c>
      <c r="Y184" s="164" t="str">
        <f>'matrik MISI 4'!Y88</f>
        <v>Jumlah pendidik SMA/MA yang memiliki ijazah ≥ S1/D4 dibagi jumlah pendidik SMA/MA kali 100%</v>
      </c>
      <c r="Z184" s="164">
        <f>'matrik MISI 4'!Z88</f>
        <v>0</v>
      </c>
    </row>
    <row r="185" spans="2:26" ht="75">
      <c r="B185" s="940"/>
      <c r="C185" s="941"/>
      <c r="D185" s="940"/>
      <c r="E185" s="940"/>
      <c r="F185" s="940"/>
      <c r="G185" s="940"/>
      <c r="H185" s="164" t="str">
        <f>'matrik MISI 4'!N89</f>
        <v>Persentase Pendidik SMK  yang memenuhi standar kualifikasi akademik</v>
      </c>
      <c r="I185" s="164" t="str">
        <f>'matrik MISI 4'!O89</f>
        <v>%</v>
      </c>
      <c r="J185" s="929">
        <f>'matrik MISI 4'!P89</f>
        <v>90.209790209790214</v>
      </c>
      <c r="K185" s="929">
        <f>'matrik MISI 4'!Q89</f>
        <v>90.26</v>
      </c>
      <c r="L185" s="929">
        <f>'matrik MISI 4'!R89</f>
        <v>90.31</v>
      </c>
      <c r="M185" s="961"/>
      <c r="N185" s="929">
        <f>'matrik MISI 4'!S89</f>
        <v>90.36</v>
      </c>
      <c r="O185" s="929"/>
      <c r="P185" s="929">
        <f>'matrik MISI 4'!T89</f>
        <v>90.41</v>
      </c>
      <c r="Q185" s="929"/>
      <c r="R185" s="929">
        <f>'matrik MISI 4'!U89</f>
        <v>90.46</v>
      </c>
      <c r="S185" s="929"/>
      <c r="T185" s="929">
        <f>'matrik MISI 4'!V89</f>
        <v>90.51</v>
      </c>
      <c r="U185" s="929"/>
      <c r="V185" s="929">
        <f>'matrik MISI 4'!W89</f>
        <v>90.51</v>
      </c>
      <c r="W185" s="929"/>
      <c r="X185" s="929" t="str">
        <f>'matrik MISI 4'!X89</f>
        <v>Dinas Pendidikan</v>
      </c>
      <c r="Y185" s="164" t="str">
        <f>'matrik MISI 4'!Y89</f>
        <v>Jumlah pendidik SMK yang memiliki ijazah ≥ S1/D4 dibagi jumlah pendidik SMK kali 100%</v>
      </c>
      <c r="Z185" s="164">
        <f>'matrik MISI 4'!Z89</f>
        <v>0</v>
      </c>
    </row>
    <row r="186" spans="2:26" ht="165">
      <c r="B186" s="940"/>
      <c r="C186" s="941"/>
      <c r="D186" s="940"/>
      <c r="E186" s="940"/>
      <c r="F186" s="940"/>
      <c r="G186" s="940"/>
      <c r="H186" s="164" t="str">
        <f>'matrik MISI 4'!N90</f>
        <v xml:space="preserve">Cakupan ketersediaan guru  SD/MI. </v>
      </c>
      <c r="I186" s="164" t="str">
        <f>'matrik MISI 4'!O90</f>
        <v>%</v>
      </c>
      <c r="J186" s="929">
        <f>'matrik MISI 4'!P90</f>
        <v>90.87</v>
      </c>
      <c r="K186" s="929">
        <f>'matrik MISI 4'!Q90</f>
        <v>92</v>
      </c>
      <c r="L186" s="929">
        <f>'matrik MISI 4'!R90</f>
        <v>92.6</v>
      </c>
      <c r="M186" s="961"/>
      <c r="N186" s="929">
        <f>'matrik MISI 4'!S90</f>
        <v>93.2</v>
      </c>
      <c r="O186" s="929"/>
      <c r="P186" s="929">
        <f>'matrik MISI 4'!T90</f>
        <v>93.8</v>
      </c>
      <c r="Q186" s="929"/>
      <c r="R186" s="929">
        <f>'matrik MISI 4'!U90</f>
        <v>94.4</v>
      </c>
      <c r="S186" s="929"/>
      <c r="T186" s="929">
        <f>'matrik MISI 4'!V90</f>
        <v>95</v>
      </c>
      <c r="U186" s="929"/>
      <c r="V186" s="929">
        <f>'matrik MISI 4'!W90</f>
        <v>95</v>
      </c>
      <c r="W186" s="929"/>
      <c r="X186" s="929" t="str">
        <f>'matrik MISI 4'!X90</f>
        <v>Dinas Pendidikan</v>
      </c>
      <c r="Y186" s="164" t="str">
        <f>'matrik MISI 4'!Y90</f>
        <v>Rata-rata Jumlah SD/MI yang memiliki satu orang guru untuk setiap 32 peserta didik dibagi jumlah SD/MI kali 100%; dan Jumlah SD/MI yang memiliki 6 (enam) 
orang guru kali jumlah SD/MI kali 100%</v>
      </c>
      <c r="Z186" s="164" t="str">
        <f>'matrik MISI 4'!Z90</f>
        <v>(SPM 5) Di setiap SD/MI tersedia 1 (satu) orang guru untuk setiap 32 peserta didik dan 6 (enam) orang guru untuk setiap satuan pendidikan</v>
      </c>
    </row>
    <row r="187" spans="2:26" ht="90">
      <c r="B187" s="940"/>
      <c r="C187" s="941"/>
      <c r="D187" s="940"/>
      <c r="E187" s="940"/>
      <c r="F187" s="940"/>
      <c r="G187" s="940"/>
      <c r="H187" s="164" t="str">
        <f>'matrik MISI 4'!N91</f>
        <v xml:space="preserve">Cakupan ketersediaan guru  SMP/MTS per Satuan mata pelajaran. </v>
      </c>
      <c r="I187" s="164" t="str">
        <f>'matrik MISI 4'!O91</f>
        <v>%</v>
      </c>
      <c r="J187" s="929">
        <f>'matrik MISI 4'!P91</f>
        <v>78.099999999999994</v>
      </c>
      <c r="K187" s="929">
        <f>'matrik MISI 4'!Q91</f>
        <v>78.5</v>
      </c>
      <c r="L187" s="929">
        <f>'matrik MISI 4'!R91</f>
        <v>79.7</v>
      </c>
      <c r="M187" s="961"/>
      <c r="N187" s="929">
        <f>'matrik MISI 4'!S91</f>
        <v>80.900000000000006</v>
      </c>
      <c r="O187" s="929"/>
      <c r="P187" s="929">
        <f>'matrik MISI 4'!T91</f>
        <v>82.1</v>
      </c>
      <c r="Q187" s="929"/>
      <c r="R187" s="929">
        <f>'matrik MISI 4'!U91</f>
        <v>83.3</v>
      </c>
      <c r="S187" s="929"/>
      <c r="T187" s="929">
        <f>'matrik MISI 4'!V91</f>
        <v>84.5</v>
      </c>
      <c r="U187" s="929"/>
      <c r="V187" s="929">
        <f>'matrik MISI 4'!W91</f>
        <v>84.5</v>
      </c>
      <c r="W187" s="929"/>
      <c r="X187" s="929" t="str">
        <f>'matrik MISI 4'!X91</f>
        <v>Dinas Pendidikan</v>
      </c>
      <c r="Y187" s="164" t="str">
        <f>'matrik MISI 4'!Y91</f>
        <v>Jumlah SMP/MTs yang memiliki guru untuk setiap mata pelajaran dibagi jumlah SMP/MTs kali 100%</v>
      </c>
      <c r="Z187" s="164" t="str">
        <f>'matrik MISI 4'!Z91</f>
        <v>(SPM 6) Di setiap SMP/MTs tersedia 1 (satu) orang guru untuk setiap mata pelajaran</v>
      </c>
    </row>
    <row r="188" spans="2:26" ht="195">
      <c r="B188" s="940"/>
      <c r="C188" s="941"/>
      <c r="D188" s="940"/>
      <c r="E188" s="940"/>
      <c r="F188" s="940"/>
      <c r="G188" s="940"/>
      <c r="H188" s="164" t="str">
        <f>'matrik MISI 4'!N92</f>
        <v>Cakupan ketersediaan Guru SD/MI  yang memenuhi kualifikasi akademik S1 atau D-IV yang telah memiliki sertifikat pendidik</v>
      </c>
      <c r="I188" s="164" t="str">
        <f>'matrik MISI 4'!O92</f>
        <v>%</v>
      </c>
      <c r="J188" s="929">
        <f>'matrik MISI 4'!P92</f>
        <v>81.3</v>
      </c>
      <c r="K188" s="929">
        <f>'matrik MISI 4'!Q92</f>
        <v>81.5</v>
      </c>
      <c r="L188" s="929">
        <f>'matrik MISI 4'!R92</f>
        <v>83</v>
      </c>
      <c r="M188" s="961"/>
      <c r="N188" s="929">
        <f>'matrik MISI 4'!S92</f>
        <v>84.5</v>
      </c>
      <c r="O188" s="929"/>
      <c r="P188" s="929">
        <f>'matrik MISI 4'!T92</f>
        <v>86</v>
      </c>
      <c r="Q188" s="929"/>
      <c r="R188" s="929">
        <f>'matrik MISI 4'!U92</f>
        <v>87.5</v>
      </c>
      <c r="S188" s="929"/>
      <c r="T188" s="929">
        <f>'matrik MISI 4'!V92</f>
        <v>89</v>
      </c>
      <c r="U188" s="929"/>
      <c r="V188" s="929">
        <f>'matrik MISI 4'!W92</f>
        <v>89</v>
      </c>
      <c r="W188" s="929"/>
      <c r="X188" s="929" t="str">
        <f>'matrik MISI 4'!X92</f>
        <v>Dinas Pendidikan</v>
      </c>
      <c r="Y188" s="164" t="str">
        <f>'matrik MISI 4'!Y92</f>
        <v>Rata-rata jumlah SD/MI yang memiliki 2 orang guru yang memenuhi kualifikasi akademik S1 atau D-IV dibagi jumlah SD/Mi kali 100%; dan Jumlah SD/MI yang memiliki 2 orang guru yang telah memiliki sertifikat pendidik dibagi jumlah SD/MI kali 100%</v>
      </c>
      <c r="Z188" s="164" t="str">
        <f>'matrik MISI 4'!Z92</f>
        <v>(SPM 7) Di setiap SD/MI tersedia 2 (dua) orang guru yang memenuhi kualifikasi akademik S1 atau D-IV dan 2 (dua) orang guru yang telah memiliki sertifikat pendidik</v>
      </c>
    </row>
    <row r="189" spans="2:26" ht="225">
      <c r="B189" s="940"/>
      <c r="C189" s="941"/>
      <c r="D189" s="940"/>
      <c r="E189" s="940"/>
      <c r="F189" s="940"/>
      <c r="G189" s="940"/>
      <c r="H189" s="164" t="str">
        <f>'matrik MISI 4'!N93</f>
        <v>Cakupan kualifikasi guru SMP/MTs.</v>
      </c>
      <c r="I189" s="164" t="str">
        <f>'matrik MISI 4'!O93</f>
        <v>%</v>
      </c>
      <c r="J189" s="929">
        <f>'matrik MISI 4'!P93</f>
        <v>72.38</v>
      </c>
      <c r="K189" s="929">
        <f>'matrik MISI 4'!Q93</f>
        <v>72.5</v>
      </c>
      <c r="L189" s="929">
        <f>'matrik MISI 4'!R93</f>
        <v>74.5</v>
      </c>
      <c r="M189" s="961"/>
      <c r="N189" s="929">
        <f>'matrik MISI 4'!S93</f>
        <v>76.5</v>
      </c>
      <c r="O189" s="929"/>
      <c r="P189" s="929">
        <f>'matrik MISI 4'!T93</f>
        <v>78.5</v>
      </c>
      <c r="Q189" s="929"/>
      <c r="R189" s="929">
        <f>'matrik MISI 4'!U93</f>
        <v>80.5</v>
      </c>
      <c r="S189" s="929"/>
      <c r="T189" s="929">
        <f>'matrik MISI 4'!V93</f>
        <v>82.5</v>
      </c>
      <c r="U189" s="929"/>
      <c r="V189" s="929">
        <f>'matrik MISI 4'!W93</f>
        <v>82.5</v>
      </c>
      <c r="W189" s="929"/>
      <c r="X189" s="929" t="str">
        <f>'matrik MISI 4'!X93</f>
        <v>Dinas Pendidikan</v>
      </c>
      <c r="Y189" s="164"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89" s="164" t="str">
        <f>'matrik MISI 4'!Z93</f>
        <v>(SPM 8) Di setiap SMP/MTs tersedia guru dengan kualifikasi akademik S-1 atau D-IV sebanyak 70% dan separuh diantaranya (35% dari keseluruhan guru) telah memiliki sertifikat pendidik</v>
      </c>
    </row>
    <row r="190" spans="2:26" ht="60">
      <c r="B190" s="940"/>
      <c r="C190" s="941"/>
      <c r="D190" s="940"/>
      <c r="E190" s="940"/>
      <c r="F190" s="940"/>
      <c r="G190" s="940"/>
      <c r="H190" s="164" t="str">
        <f>'matrik MISI 4'!N11</f>
        <v>Persentase pendidik yang disiplin</v>
      </c>
      <c r="I190" s="164" t="str">
        <f>'matrik MISI 4'!O11</f>
        <v>%</v>
      </c>
      <c r="J190" s="929" t="str">
        <f>'matrik MISI 4'!P11</f>
        <v xml:space="preserve"> - </v>
      </c>
      <c r="K190" s="929" t="str">
        <f>'matrik MISI 4'!Q11</f>
        <v xml:space="preserve"> - </v>
      </c>
      <c r="L190" s="929">
        <f>'matrik MISI 4'!R11</f>
        <v>100</v>
      </c>
      <c r="M190" s="961"/>
      <c r="N190" s="929">
        <f>'matrik MISI 4'!S11</f>
        <v>100</v>
      </c>
      <c r="O190" s="929"/>
      <c r="P190" s="929">
        <f>'matrik MISI 4'!T11</f>
        <v>100</v>
      </c>
      <c r="Q190" s="929"/>
      <c r="R190" s="929">
        <f>'matrik MISI 4'!U11</f>
        <v>100</v>
      </c>
      <c r="S190" s="929"/>
      <c r="T190" s="929">
        <f>'matrik MISI 4'!V11</f>
        <v>100</v>
      </c>
      <c r="U190" s="929"/>
      <c r="V190" s="929">
        <f>'matrik MISI 4'!W11</f>
        <v>100</v>
      </c>
      <c r="W190" s="929"/>
      <c r="X190" s="929" t="str">
        <f>'matrik MISI 4'!X11</f>
        <v>Dinas Pendidikan</v>
      </c>
      <c r="Y190" s="164" t="str">
        <f>'matrik MISI 4'!Y11</f>
        <v>Jumlah pendidik yang disiplin dibagi jumlah total pendidik kali 100%</v>
      </c>
      <c r="Z190" s="164" t="str">
        <f>'matrik MISI 4'!Z11</f>
        <v>Dengan surat teguran</v>
      </c>
    </row>
    <row r="191" spans="2:26" ht="210">
      <c r="B191" s="940"/>
      <c r="C191" s="941"/>
      <c r="D191" s="940"/>
      <c r="E191" s="940"/>
      <c r="F191" s="940"/>
      <c r="G191" s="940"/>
      <c r="H191" s="164" t="str">
        <f>'matrik MISI 4'!N94</f>
        <v>Cakupan ketersediaan guru SMP/MTs untuk mata pelajaran Matematika, IPA, Bahasa Indonesia, Bahasa Inggris dan PKn.</v>
      </c>
      <c r="I191" s="164" t="str">
        <f>'matrik MISI 4'!O94</f>
        <v>%</v>
      </c>
      <c r="J191" s="929">
        <f>'matrik MISI 4'!P94</f>
        <v>65.709999999999994</v>
      </c>
      <c r="K191" s="929">
        <f>'matrik MISI 4'!Q94</f>
        <v>66</v>
      </c>
      <c r="L191" s="929">
        <f>'matrik MISI 4'!R94</f>
        <v>67.7</v>
      </c>
      <c r="M191" s="961"/>
      <c r="N191" s="929">
        <f>'matrik MISI 4'!S94</f>
        <v>69.400000000000006</v>
      </c>
      <c r="O191" s="929"/>
      <c r="P191" s="929">
        <f>'matrik MISI 4'!T94</f>
        <v>71.099999999999994</v>
      </c>
      <c r="Q191" s="929"/>
      <c r="R191" s="929">
        <f>'matrik MISI 4'!U94</f>
        <v>72.8</v>
      </c>
      <c r="S191" s="929"/>
      <c r="T191" s="929">
        <f>'matrik MISI 4'!V94</f>
        <v>74.5</v>
      </c>
      <c r="U191" s="929"/>
      <c r="V191" s="929">
        <f>'matrik MISI 4'!W94</f>
        <v>74.5</v>
      </c>
      <c r="W191" s="929"/>
      <c r="X191" s="929" t="str">
        <f>'matrik MISI 4'!X94</f>
        <v>Dinas Pendidikan</v>
      </c>
      <c r="Y191" s="164" t="str">
        <f>'matrik MISI 4'!Y94</f>
        <v>Jumlah SMP/MTs yang memiliki guru dengan kualifikasi akademik S1 atau D-IV dan telah memiliki sertifikat pendidik, masing-masing 1 (satu) orang untuk mapel Matematika, IPA, Bahasa Indonesia, Bahasa Inggris dan PKn dibagi jumlah SMP/MTs kali 100%</v>
      </c>
      <c r="Z191" s="164" t="str">
        <f>'matrik MISI 4'!Z94</f>
        <v>(SPM 9) Di setiap SMP/MTs tersedia guru dengan kualifikasi akademik S-1 atau D-IV dan telah memiliki sertifikat pendidik masing-masing satu orang untuk mata pelajaran Matematika, IPA, Bahasa Indonesia, Bahasa Inggris dan PKn.</v>
      </c>
    </row>
    <row r="192" spans="2:26" ht="105">
      <c r="B192" s="940"/>
      <c r="C192" s="941"/>
      <c r="D192" s="940"/>
      <c r="E192" s="940"/>
      <c r="F192" s="940"/>
      <c r="G192" s="940"/>
      <c r="H192" s="164" t="str">
        <f>'matrik MISI 4'!N95</f>
        <v xml:space="preserve">Cakupan kualifikasi akademik Kepala SD/MI. </v>
      </c>
      <c r="I192" s="164" t="str">
        <f>'matrik MISI 4'!O95</f>
        <v>%</v>
      </c>
      <c r="J192" s="929">
        <f>'matrik MISI 4'!P95</f>
        <v>82.96</v>
      </c>
      <c r="K192" s="929">
        <f>'matrik MISI 4'!Q95</f>
        <v>83</v>
      </c>
      <c r="L192" s="929">
        <f>'matrik MISI 4'!R95</f>
        <v>84.2</v>
      </c>
      <c r="M192" s="961"/>
      <c r="N192" s="929">
        <f>'matrik MISI 4'!S95</f>
        <v>85.4</v>
      </c>
      <c r="O192" s="929"/>
      <c r="P192" s="929">
        <f>'matrik MISI 4'!T95</f>
        <v>86.6</v>
      </c>
      <c r="Q192" s="929"/>
      <c r="R192" s="929">
        <f>'matrik MISI 4'!U95</f>
        <v>87.8</v>
      </c>
      <c r="S192" s="929"/>
      <c r="T192" s="929">
        <f>'matrik MISI 4'!V95</f>
        <v>89</v>
      </c>
      <c r="U192" s="929"/>
      <c r="V192" s="929">
        <f>'matrik MISI 4'!W95</f>
        <v>89</v>
      </c>
      <c r="W192" s="929"/>
      <c r="X192" s="929" t="str">
        <f>'matrik MISI 4'!X95</f>
        <v>Dinas Pendidikan</v>
      </c>
      <c r="Y192" s="164" t="str">
        <f>'matrik MISI 4'!Y95</f>
        <v>Jumlah Kepala SD/MI yang berkualifikasi akademik S-1 atau D-IV dan telah bersertifikat pendidik dibagi jumlah SD/MI kali 100%</v>
      </c>
      <c r="Z192" s="164" t="str">
        <f>'matrik MISI 4'!Z95</f>
        <v>(SPM 10) Di setiap kabupaten/kota semua kepala SD/MI berkualifikasi akademik S-1 atau D-IV dan telah memiliki sertifikat pendidik</v>
      </c>
    </row>
    <row r="193" spans="2:26" ht="120">
      <c r="B193" s="940"/>
      <c r="C193" s="941"/>
      <c r="D193" s="940"/>
      <c r="E193" s="940"/>
      <c r="F193" s="940"/>
      <c r="G193" s="940"/>
      <c r="H193" s="164" t="str">
        <f>'matrik MISI 4'!N96</f>
        <v xml:space="preserve">Cakupan Kualifikasi Akademik Kepala SMP/MTs </v>
      </c>
      <c r="I193" s="164" t="str">
        <f>'matrik MISI 4'!O96</f>
        <v>%</v>
      </c>
      <c r="J193" s="929">
        <f>'matrik MISI 4'!P96</f>
        <v>90.48</v>
      </c>
      <c r="K193" s="929">
        <f>'matrik MISI 4'!Q96</f>
        <v>90.5</v>
      </c>
      <c r="L193" s="929">
        <f>'matrik MISI 4'!R96</f>
        <v>92</v>
      </c>
      <c r="M193" s="961"/>
      <c r="N193" s="929">
        <f>'matrik MISI 4'!S96</f>
        <v>93.5</v>
      </c>
      <c r="O193" s="929"/>
      <c r="P193" s="929">
        <f>'matrik MISI 4'!T96</f>
        <v>95</v>
      </c>
      <c r="Q193" s="929"/>
      <c r="R193" s="929">
        <f>'matrik MISI 4'!U96</f>
        <v>96.5</v>
      </c>
      <c r="S193" s="929"/>
      <c r="T193" s="929">
        <f>'matrik MISI 4'!V96</f>
        <v>98</v>
      </c>
      <c r="U193" s="929"/>
      <c r="V193" s="929">
        <f>'matrik MISI 4'!W96</f>
        <v>98</v>
      </c>
      <c r="W193" s="929"/>
      <c r="X193" s="929" t="str">
        <f>'matrik MISI 4'!X96</f>
        <v>Dinas Pendidikan</v>
      </c>
      <c r="Y193" s="164" t="str">
        <f>'matrik MISI 4'!Y96</f>
        <v>Jumlah Kepala SMP/MTs yang berkualifikasi akademik S-1 atau D-IV dan telah bersertifikat pendidik dibagi jumlah SMP/MTs kali 100%</v>
      </c>
      <c r="Z193" s="164" t="str">
        <f>'matrik MISI 4'!Z96</f>
        <v>(SPM 11) Di setiap kabupaten/kota semua kepala SMP/MTs berkualifikasi akademik S-1 atau D-IV dan telah memiliki sertifikat pendidik</v>
      </c>
    </row>
    <row r="194" spans="2:26" ht="150">
      <c r="B194" s="940"/>
      <c r="C194" s="941"/>
      <c r="D194" s="940"/>
      <c r="E194" s="940"/>
      <c r="F194" s="940"/>
      <c r="G194" s="940"/>
      <c r="H194" s="164" t="str">
        <f>'matrik MISI 4'!N97</f>
        <v>Cakupan Kualifikasi Akademik  pengawas sekolah/Madrasah.</v>
      </c>
      <c r="I194" s="164" t="str">
        <f>'matrik MISI 4'!O97</f>
        <v>%</v>
      </c>
      <c r="J194" s="929">
        <f>'matrik MISI 4'!P97</f>
        <v>100</v>
      </c>
      <c r="K194" s="929">
        <f>'matrik MISI 4'!Q97</f>
        <v>95.92</v>
      </c>
      <c r="L194" s="929">
        <f>'matrik MISI 4'!R97</f>
        <v>95.92</v>
      </c>
      <c r="M194" s="961"/>
      <c r="N194" s="929">
        <f>'matrik MISI 4'!S97</f>
        <v>95.92</v>
      </c>
      <c r="O194" s="929"/>
      <c r="P194" s="929">
        <f>'matrik MISI 4'!T97</f>
        <v>95.92</v>
      </c>
      <c r="Q194" s="929"/>
      <c r="R194" s="929">
        <f>'matrik MISI 4'!U97</f>
        <v>95.92</v>
      </c>
      <c r="S194" s="929"/>
      <c r="T194" s="929">
        <f>'matrik MISI 4'!V97</f>
        <v>95.92</v>
      </c>
      <c r="U194" s="929"/>
      <c r="V194" s="929">
        <f>'matrik MISI 4'!W97</f>
        <v>95.92</v>
      </c>
      <c r="W194" s="929"/>
      <c r="X194" s="929" t="str">
        <f>'matrik MISI 4'!X97</f>
        <v>Dinas Pendidikan</v>
      </c>
      <c r="Y194" s="164" t="str">
        <f>'matrik MISI 4'!Y97</f>
        <v>Jumlah pengawas sekolah/madrasah yang berkualifikasi akademik S-1 atau D-IV dan telah bersertifikat pendidik dibagi jumlah pengawas sekolah/madrasah kali 100%</v>
      </c>
      <c r="Z194" s="164" t="str">
        <f>'matrik MISI 4'!Z97</f>
        <v>(SPM 12) Di setiap kabupaten/kota semua pengawas sekolah/ madrasah memiliki kualifikasi akademik S-1 atau D-IV dan telah memiliki sertifikat pendidik</v>
      </c>
    </row>
    <row r="195" spans="2:26" ht="90">
      <c r="B195" s="940"/>
      <c r="C195" s="941"/>
      <c r="D195" s="940"/>
      <c r="E195" s="940"/>
      <c r="F195" s="940"/>
      <c r="G195" s="940"/>
      <c r="H195" s="164" t="str">
        <f>'matrik MISI 4'!N99</f>
        <v xml:space="preserve">Persentase Pendidik TK/RA yang memiliki sertifikat pendidik </v>
      </c>
      <c r="I195" s="164" t="str">
        <f>'matrik MISI 4'!O99</f>
        <v>%</v>
      </c>
      <c r="J195" s="929">
        <f>'matrik MISI 4'!P99</f>
        <v>3.13</v>
      </c>
      <c r="K195" s="929">
        <f>'matrik MISI 4'!Q99</f>
        <v>3.23</v>
      </c>
      <c r="L195" s="929">
        <f>'matrik MISI 4'!R99</f>
        <v>3.33</v>
      </c>
      <c r="M195" s="961"/>
      <c r="N195" s="929">
        <f>'matrik MISI 4'!S99</f>
        <v>3.43</v>
      </c>
      <c r="O195" s="929"/>
      <c r="P195" s="929">
        <f>'matrik MISI 4'!T99</f>
        <v>3.53</v>
      </c>
      <c r="Q195" s="929"/>
      <c r="R195" s="929">
        <f>'matrik MISI 4'!U99</f>
        <v>3.63</v>
      </c>
      <c r="S195" s="929"/>
      <c r="T195" s="929">
        <f>'matrik MISI 4'!V99</f>
        <v>3.73</v>
      </c>
      <c r="U195" s="929"/>
      <c r="V195" s="929">
        <f>'matrik MISI 4'!W99</f>
        <v>3.73</v>
      </c>
      <c r="W195" s="929"/>
      <c r="X195" s="929" t="str">
        <f>'matrik MISI 4'!X99</f>
        <v>Dinas  Pendidikan</v>
      </c>
      <c r="Y195" s="164" t="str">
        <f>'matrik MISI 4'!Y99</f>
        <v>Jumlah pendidik TK/RA yang memiliki sertifikat pendidik dibagi jumlah pendidik TK/RA kali 100%</v>
      </c>
      <c r="Z195" s="164" t="str">
        <f>'matrik MISI 4'!Z99</f>
        <v>Capaian Target Tergantung dengan kebijakan kementerian Pendidikan dan Kebudayaan.</v>
      </c>
    </row>
    <row r="196" spans="2:26" ht="90">
      <c r="B196" s="940"/>
      <c r="C196" s="941"/>
      <c r="D196" s="940"/>
      <c r="E196" s="940"/>
      <c r="F196" s="940"/>
      <c r="G196" s="940"/>
      <c r="H196" s="164" t="str">
        <f>'matrik MISI 4'!N100</f>
        <v xml:space="preserve">Persentase Pendidik SD/MI yang memiliki sertifikat pendidik </v>
      </c>
      <c r="I196" s="164" t="str">
        <f>'matrik MISI 4'!O100</f>
        <v>%</v>
      </c>
      <c r="J196" s="929">
        <f>'matrik MISI 4'!P100</f>
        <v>30.8</v>
      </c>
      <c r="K196" s="929">
        <f>'matrik MISI 4'!Q100</f>
        <v>30.9</v>
      </c>
      <c r="L196" s="929">
        <f>'matrik MISI 4'!R100</f>
        <v>31</v>
      </c>
      <c r="M196" s="961"/>
      <c r="N196" s="929">
        <f>'matrik MISI 4'!S100</f>
        <v>31.1</v>
      </c>
      <c r="O196" s="929"/>
      <c r="P196" s="929">
        <f>'matrik MISI 4'!T100</f>
        <v>31.2</v>
      </c>
      <c r="Q196" s="929"/>
      <c r="R196" s="929">
        <f>'matrik MISI 4'!U100</f>
        <v>31.3</v>
      </c>
      <c r="S196" s="929"/>
      <c r="T196" s="929">
        <f>'matrik MISI 4'!V100</f>
        <v>31.4</v>
      </c>
      <c r="U196" s="929"/>
      <c r="V196" s="929">
        <f>'matrik MISI 4'!W100</f>
        <v>31.4</v>
      </c>
      <c r="W196" s="929"/>
      <c r="X196" s="929" t="str">
        <f>'matrik MISI 4'!X100</f>
        <v>Dinas  Pendidikan</v>
      </c>
      <c r="Y196" s="164" t="str">
        <f>'matrik MISI 4'!Y100</f>
        <v>Jumlah pendidik SD/MI yang memiliki sertifikat pendidik dibagi jumlah pendidik SD/MI kali 100%</v>
      </c>
      <c r="Z196" s="164" t="str">
        <f>'matrik MISI 4'!Z100</f>
        <v>Capaian Target Tergantung dengan kebijakan kementerian Pendidikan dan Kebudayaan.</v>
      </c>
    </row>
    <row r="197" spans="2:26" ht="90">
      <c r="B197" s="940"/>
      <c r="C197" s="941"/>
      <c r="D197" s="940"/>
      <c r="E197" s="940"/>
      <c r="F197" s="940"/>
      <c r="G197" s="940"/>
      <c r="H197" s="164" t="str">
        <f>'matrik MISI 4'!N101</f>
        <v xml:space="preserve">Persentase Pendidik SMP/MTs yang memiliki sertifikat pendidik </v>
      </c>
      <c r="I197" s="164" t="str">
        <f>'matrik MISI 4'!O101</f>
        <v>%</v>
      </c>
      <c r="J197" s="929">
        <f>'matrik MISI 4'!P101</f>
        <v>50.09</v>
      </c>
      <c r="K197" s="929">
        <f>'matrik MISI 4'!Q101</f>
        <v>5019</v>
      </c>
      <c r="L197" s="929">
        <f>'matrik MISI 4'!R101</f>
        <v>50.29</v>
      </c>
      <c r="M197" s="961"/>
      <c r="N197" s="929">
        <f>'matrik MISI 4'!S101</f>
        <v>50.39</v>
      </c>
      <c r="O197" s="929"/>
      <c r="P197" s="929">
        <f>'matrik MISI 4'!T101</f>
        <v>50.49</v>
      </c>
      <c r="Q197" s="929"/>
      <c r="R197" s="929" t="str">
        <f>'matrik MISI 4'!U101</f>
        <v>50..59</v>
      </c>
      <c r="S197" s="929"/>
      <c r="T197" s="929">
        <f>'matrik MISI 4'!V101</f>
        <v>50.69</v>
      </c>
      <c r="U197" s="929"/>
      <c r="V197" s="929">
        <f>'matrik MISI 4'!W101</f>
        <v>50.69</v>
      </c>
      <c r="W197" s="929"/>
      <c r="X197" s="929" t="str">
        <f>'matrik MISI 4'!X101</f>
        <v>Dinas  Pendidikan</v>
      </c>
      <c r="Y197" s="164" t="str">
        <f>'matrik MISI 4'!Y101</f>
        <v>Jumlah pendidik SMP/MTs yang memiliki sertifikat pendidik dibagi jumlah pendidik SMP/MTs kali 100%</v>
      </c>
      <c r="Z197" s="164" t="str">
        <f>'matrik MISI 4'!Z101</f>
        <v>Capaian Target Tergantung dengan kebijakan kementerian Pendidikan dan Kebudayaan.</v>
      </c>
    </row>
    <row r="198" spans="2:26" ht="90">
      <c r="B198" s="940"/>
      <c r="C198" s="941"/>
      <c r="D198" s="940"/>
      <c r="E198" s="940"/>
      <c r="F198" s="940"/>
      <c r="G198" s="940"/>
      <c r="H198" s="164" t="str">
        <f>'matrik MISI 4'!N102</f>
        <v xml:space="preserve">Persentase Pendidik SMA/MA yang memiliki sertifikat pendidik </v>
      </c>
      <c r="I198" s="164" t="str">
        <f>'matrik MISI 4'!O102</f>
        <v>%</v>
      </c>
      <c r="J198" s="929">
        <f>'matrik MISI 4'!P102</f>
        <v>44.79</v>
      </c>
      <c r="K198" s="929">
        <f>'matrik MISI 4'!Q102</f>
        <v>44.89</v>
      </c>
      <c r="L198" s="929">
        <f>'matrik MISI 4'!R102</f>
        <v>44.99</v>
      </c>
      <c r="M198" s="961"/>
      <c r="N198" s="929">
        <f>'matrik MISI 4'!S102</f>
        <v>45.09</v>
      </c>
      <c r="O198" s="929"/>
      <c r="P198" s="929">
        <f>'matrik MISI 4'!T102</f>
        <v>45.19</v>
      </c>
      <c r="Q198" s="929"/>
      <c r="R198" s="929">
        <f>'matrik MISI 4'!U102</f>
        <v>45.29</v>
      </c>
      <c r="S198" s="929"/>
      <c r="T198" s="929">
        <f>'matrik MISI 4'!V102</f>
        <v>45.39</v>
      </c>
      <c r="U198" s="929"/>
      <c r="V198" s="929">
        <f>'matrik MISI 4'!W102</f>
        <v>45.39</v>
      </c>
      <c r="W198" s="929"/>
      <c r="X198" s="929" t="str">
        <f>'matrik MISI 4'!X102</f>
        <v>Dinas  Pendidikan</v>
      </c>
      <c r="Y198" s="164" t="str">
        <f>'matrik MISI 4'!Y102</f>
        <v>Jumlah pendidik SMA/MA yang memiliki sertifikat pendidik dibagi jumlah pendidik SMA/MA kali 100%</v>
      </c>
      <c r="Z198" s="164" t="str">
        <f>'matrik MISI 4'!Z102</f>
        <v>Capaian Target Tergantung dengan kebijakan kementerian Pendidikan dan Kebudayaan.</v>
      </c>
    </row>
    <row r="199" spans="2:26" ht="90">
      <c r="B199" s="940"/>
      <c r="C199" s="941"/>
      <c r="D199" s="940"/>
      <c r="E199" s="940"/>
      <c r="F199" s="940"/>
      <c r="G199" s="940"/>
      <c r="H199" s="164" t="str">
        <f>'matrik MISI 4'!N103</f>
        <v xml:space="preserve">Persentase Pendidik SMK yang memiliki sertifikat pendidik </v>
      </c>
      <c r="I199" s="164" t="str">
        <f>'matrik MISI 4'!O103</f>
        <v>%</v>
      </c>
      <c r="J199" s="929">
        <f>'matrik MISI 4'!P103</f>
        <v>44.79</v>
      </c>
      <c r="K199" s="929">
        <f>'matrik MISI 4'!Q103</f>
        <v>44.89</v>
      </c>
      <c r="L199" s="929">
        <f>'matrik MISI 4'!R103</f>
        <v>44.99</v>
      </c>
      <c r="M199" s="961"/>
      <c r="N199" s="929">
        <f>'matrik MISI 4'!S103</f>
        <v>45.09</v>
      </c>
      <c r="O199" s="929"/>
      <c r="P199" s="929">
        <f>'matrik MISI 4'!T103</f>
        <v>45.19</v>
      </c>
      <c r="Q199" s="929"/>
      <c r="R199" s="929">
        <f>'matrik MISI 4'!U103</f>
        <v>45.29</v>
      </c>
      <c r="S199" s="929"/>
      <c r="T199" s="929">
        <f>'matrik MISI 4'!V103</f>
        <v>45.39</v>
      </c>
      <c r="U199" s="929"/>
      <c r="V199" s="929">
        <f>'matrik MISI 4'!W103</f>
        <v>45.39</v>
      </c>
      <c r="W199" s="929"/>
      <c r="X199" s="929" t="str">
        <f>'matrik MISI 4'!X103</f>
        <v>Dinas  Pendidikan</v>
      </c>
      <c r="Y199" s="164" t="str">
        <f>'matrik MISI 4'!Y103</f>
        <v>Jumlah pendidik SMK yang memiliki sertifikat pendidik dibagi jumlah pendidik SMK kali 100%</v>
      </c>
      <c r="Z199" s="164" t="str">
        <f>'matrik MISI 4'!Z103</f>
        <v>Capaian Target Tergantung dengan kebijakan kementerian Pendidikan dan Kebudayaan.</v>
      </c>
    </row>
    <row r="200" spans="2:26" ht="30">
      <c r="B200" s="940"/>
      <c r="C200" s="941"/>
      <c r="D200" s="940"/>
      <c r="E200" s="940"/>
      <c r="F200" s="940"/>
      <c r="G200" s="940"/>
      <c r="H200" s="164" t="str">
        <f>'matrik MISI 4'!N105</f>
        <v>Besaran Pegawai Administrasi Sekolah</v>
      </c>
      <c r="I200" s="164" t="str">
        <f>'matrik MISI 4'!O105</f>
        <v>Orang</v>
      </c>
      <c r="J200" s="929">
        <f>'matrik MISI 4'!P105</f>
        <v>181</v>
      </c>
      <c r="K200" s="929">
        <f>'matrik MISI 4'!Q105</f>
        <v>181</v>
      </c>
      <c r="L200" s="929">
        <f>'matrik MISI 4'!R105</f>
        <v>181</v>
      </c>
      <c r="M200" s="961"/>
      <c r="N200" s="929">
        <f>'matrik MISI 4'!S105</f>
        <v>181</v>
      </c>
      <c r="O200" s="929"/>
      <c r="P200" s="929">
        <f>'matrik MISI 4'!T105</f>
        <v>181</v>
      </c>
      <c r="Q200" s="929"/>
      <c r="R200" s="929">
        <f>'matrik MISI 4'!U105</f>
        <v>181</v>
      </c>
      <c r="S200" s="929"/>
      <c r="T200" s="929">
        <f>'matrik MISI 4'!V105</f>
        <v>181</v>
      </c>
      <c r="U200" s="929"/>
      <c r="V200" s="929">
        <f>'matrik MISI 4'!W105</f>
        <v>181</v>
      </c>
      <c r="W200" s="929"/>
      <c r="X200" s="929" t="str">
        <f>'matrik MISI 4'!X105</f>
        <v>Dinas Pendidikan</v>
      </c>
      <c r="Y200" s="164" t="str">
        <f>'matrik MISI 4'!Y105</f>
        <v xml:space="preserve">Jumlah tenaga administrasi sekolah </v>
      </c>
      <c r="Z200" s="164">
        <f>'matrik MISI 4'!Z105</f>
        <v>0</v>
      </c>
    </row>
    <row r="201" spans="2:26" ht="45">
      <c r="B201" s="940"/>
      <c r="C201" s="941"/>
      <c r="D201" s="940"/>
      <c r="E201" s="940"/>
      <c r="F201" s="940"/>
      <c r="G201" s="940"/>
      <c r="H201" s="164" t="str">
        <f>'matrik MISI 4'!N106</f>
        <v>Besaran Penilik Pendidikan Nonformal</v>
      </c>
      <c r="I201" s="164" t="str">
        <f>'matrik MISI 4'!O106</f>
        <v>Orang</v>
      </c>
      <c r="J201" s="929">
        <f>'matrik MISI 4'!P106</f>
        <v>18</v>
      </c>
      <c r="K201" s="929">
        <f>'matrik MISI 4'!Q106</f>
        <v>18</v>
      </c>
      <c r="L201" s="929">
        <f>'matrik MISI 4'!R106</f>
        <v>18</v>
      </c>
      <c r="M201" s="961"/>
      <c r="N201" s="929">
        <f>'matrik MISI 4'!S106</f>
        <v>18</v>
      </c>
      <c r="O201" s="929"/>
      <c r="P201" s="929">
        <f>'matrik MISI 4'!T106</f>
        <v>18</v>
      </c>
      <c r="Q201" s="929"/>
      <c r="R201" s="929">
        <f>'matrik MISI 4'!U106</f>
        <v>18</v>
      </c>
      <c r="S201" s="929"/>
      <c r="T201" s="929">
        <f>'matrik MISI 4'!V106</f>
        <v>20</v>
      </c>
      <c r="U201" s="929"/>
      <c r="V201" s="929">
        <f>'matrik MISI 4'!W106</f>
        <v>20</v>
      </c>
      <c r="W201" s="929"/>
      <c r="X201" s="929" t="str">
        <f>'matrik MISI 4'!X106</f>
        <v>Dinas Pendidikan</v>
      </c>
      <c r="Y201" s="164" t="str">
        <f>'matrik MISI 4'!Y106</f>
        <v>Jumlah penilik pendidikan nonformal</v>
      </c>
      <c r="Z201" s="164">
        <f>'matrik MISI 4'!Z106</f>
        <v>0</v>
      </c>
    </row>
    <row r="202" spans="2:26" ht="45">
      <c r="B202" s="940"/>
      <c r="C202" s="941"/>
      <c r="D202" s="940"/>
      <c r="E202" s="940"/>
      <c r="F202" s="940"/>
      <c r="G202" s="940"/>
      <c r="H202" s="164" t="str">
        <f>'matrik MISI 4'!N107</f>
        <v>Rasio Pengawas Sekolah</v>
      </c>
      <c r="I202" s="164" t="str">
        <f>'matrik MISI 4'!O107</f>
        <v>Rasio</v>
      </c>
      <c r="J202" s="929" t="str">
        <f>'matrik MISI 4'!P107</f>
        <v>1 ; 17</v>
      </c>
      <c r="K202" s="929" t="str">
        <f>'matrik MISI 4'!Q107</f>
        <v>1 ; 17</v>
      </c>
      <c r="L202" s="929" t="str">
        <f>'matrik MISI 4'!R107</f>
        <v>1 ; 17</v>
      </c>
      <c r="M202" s="961"/>
      <c r="N202" s="929" t="str">
        <f>'matrik MISI 4'!S107</f>
        <v>1 ; 17</v>
      </c>
      <c r="O202" s="929"/>
      <c r="P202" s="929" t="str">
        <f>'matrik MISI 4'!T107</f>
        <v>1 ; 17</v>
      </c>
      <c r="Q202" s="929"/>
      <c r="R202" s="929" t="str">
        <f>'matrik MISI 4'!U107</f>
        <v>1 ; 17</v>
      </c>
      <c r="S202" s="929"/>
      <c r="T202" s="929" t="str">
        <f>'matrik MISI 4'!V107</f>
        <v>1 ; 17</v>
      </c>
      <c r="U202" s="929"/>
      <c r="V202" s="929" t="str">
        <f>'matrik MISI 4'!W107</f>
        <v>1 ; 17</v>
      </c>
      <c r="W202" s="929"/>
      <c r="X202" s="929" t="str">
        <f>'matrik MISI 4'!X107</f>
        <v>Dinas Pendidikan</v>
      </c>
      <c r="Y202" s="164" t="str">
        <f>'matrik MISI 4'!Y107</f>
        <v>Jumlah pengawas sekolah dibagi jumlah sekolah</v>
      </c>
      <c r="Z202" s="164">
        <f>'matrik MISI 4'!Z107</f>
        <v>0</v>
      </c>
    </row>
    <row r="203" spans="2:26" ht="30">
      <c r="B203" s="940"/>
      <c r="C203" s="941"/>
      <c r="D203" s="940"/>
      <c r="E203" s="940"/>
      <c r="F203" s="940"/>
      <c r="G203" s="940"/>
      <c r="H203" s="164" t="str">
        <f>'matrik MISI 4'!N108</f>
        <v>Besaran Pamong Belajar</v>
      </c>
      <c r="I203" s="164" t="str">
        <f>'matrik MISI 4'!O108</f>
        <v>Orang</v>
      </c>
      <c r="J203" s="929">
        <f>'matrik MISI 4'!P108</f>
        <v>3</v>
      </c>
      <c r="K203" s="929">
        <f>'matrik MISI 4'!Q108</f>
        <v>3</v>
      </c>
      <c r="L203" s="929">
        <f>'matrik MISI 4'!R108</f>
        <v>3</v>
      </c>
      <c r="M203" s="961"/>
      <c r="N203" s="929">
        <f>'matrik MISI 4'!S108</f>
        <v>4</v>
      </c>
      <c r="O203" s="929"/>
      <c r="P203" s="929">
        <f>'matrik MISI 4'!T108</f>
        <v>4</v>
      </c>
      <c r="Q203" s="929"/>
      <c r="R203" s="929">
        <f>'matrik MISI 4'!U108</f>
        <v>5</v>
      </c>
      <c r="S203" s="929"/>
      <c r="T203" s="929">
        <f>'matrik MISI 4'!V108</f>
        <v>5</v>
      </c>
      <c r="U203" s="929"/>
      <c r="V203" s="929">
        <f>'matrik MISI 4'!W108</f>
        <v>6</v>
      </c>
      <c r="W203" s="929"/>
      <c r="X203" s="929" t="str">
        <f>'matrik MISI 4'!X108</f>
        <v>Dinas Pendidikan</v>
      </c>
      <c r="Y203" s="164" t="str">
        <f>'matrik MISI 4'!Y108</f>
        <v xml:space="preserve">Jumlah pamong belajar </v>
      </c>
      <c r="Z203" s="164">
        <f>'matrik MISI 4'!Z108</f>
        <v>0</v>
      </c>
    </row>
    <row r="204" spans="2:26" ht="45">
      <c r="B204" s="949">
        <v>2</v>
      </c>
      <c r="C204" s="948" t="str">
        <f>'matrik MISI 5'!B6</f>
        <v>KESEHATAN</v>
      </c>
      <c r="D204" s="949">
        <f>'matrik MISI 5'!J7</f>
        <v>1.02</v>
      </c>
      <c r="E204" s="949" t="str">
        <f>'matrik MISI 5'!K7</f>
        <v>xx</v>
      </c>
      <c r="F204" s="949">
        <f>'matrik MISI 5'!L7</f>
        <v>32</v>
      </c>
      <c r="G204" s="1005" t="str">
        <f>'matrik MISI 5'!M7</f>
        <v>Program peningkatan keselamatan ibu melahirkan dan anak</v>
      </c>
      <c r="H204" s="164"/>
      <c r="I204" s="164"/>
      <c r="J204" s="929"/>
      <c r="K204" s="929"/>
      <c r="L204" s="929"/>
      <c r="M204" s="961">
        <f>'jangan di hapus 1'!K405</f>
        <v>223774500</v>
      </c>
      <c r="N204" s="961"/>
      <c r="O204" s="961">
        <f>'jangan di hapus 1'!M405</f>
        <v>340000000</v>
      </c>
      <c r="P204" s="961"/>
      <c r="Q204" s="961">
        <f>'jangan di hapus 1'!O405</f>
        <v>665000000</v>
      </c>
      <c r="R204" s="961"/>
      <c r="S204" s="961">
        <f>'jangan di hapus 1'!Q405</f>
        <v>740000000</v>
      </c>
      <c r="T204" s="961"/>
      <c r="U204" s="961">
        <f>'jangan di hapus 1'!S405</f>
        <v>815000000</v>
      </c>
      <c r="V204" s="929"/>
      <c r="W204" s="981">
        <f t="shared" ref="W204" si="6">SUM(M204:U204)</f>
        <v>2783774500</v>
      </c>
      <c r="X204" s="929"/>
      <c r="Y204" s="164"/>
      <c r="Z204" s="164"/>
    </row>
    <row r="205" spans="2:26" ht="120">
      <c r="B205" s="939"/>
      <c r="C205" s="939"/>
      <c r="D205" s="939"/>
      <c r="E205" s="939"/>
      <c r="F205" s="939"/>
      <c r="G205" s="965"/>
      <c r="H205" s="164" t="str">
        <f>'matrik MISI 5'!N7</f>
        <v>Cakupan Kunjungan Ibu Hamil K4</v>
      </c>
      <c r="I205" s="164" t="str">
        <f>'matrik MISI 5'!O7</f>
        <v>%</v>
      </c>
      <c r="J205" s="929" t="str">
        <f>'matrik MISI 5'!P7</f>
        <v>92,24</v>
      </c>
      <c r="K205" s="929">
        <f>'matrik MISI 5'!Q7</f>
        <v>95</v>
      </c>
      <c r="L205" s="929">
        <f>'matrik MISI 5'!R7</f>
        <v>95</v>
      </c>
      <c r="M205" s="966"/>
      <c r="N205" s="929">
        <f>'matrik MISI 5'!S7</f>
        <v>95</v>
      </c>
      <c r="O205" s="967"/>
      <c r="P205" s="929">
        <f>'matrik MISI 5'!T7</f>
        <v>95</v>
      </c>
      <c r="Q205" s="967"/>
      <c r="R205" s="929">
        <f>'matrik MISI 5'!U7</f>
        <v>95</v>
      </c>
      <c r="S205" s="929"/>
      <c r="T205" s="929">
        <f>'matrik MISI 5'!V7</f>
        <v>95</v>
      </c>
      <c r="U205" s="929"/>
      <c r="V205" s="929">
        <f>'matrik MISI 5'!W7</f>
        <v>95</v>
      </c>
      <c r="W205" s="929"/>
      <c r="X205" s="929" t="str">
        <f>'matrik MISI 5'!X7</f>
        <v>Dinas Kesehatan</v>
      </c>
      <c r="Y205" s="164" t="str">
        <f>'matrik MISI 5'!Y7</f>
        <v>Jumlah Ibu hamil yang telah memperoleh pelayanan antenatal sesuai standar minimal 4 kali / Jumlah sasaran ibu hamil x 100</v>
      </c>
      <c r="Z205" s="164" t="str">
        <f>'matrik MISI 5'!Z7</f>
        <v>akhir tahun denominator menggunakan jumlah ibu hamil riil</v>
      </c>
    </row>
    <row r="206" spans="2:26" ht="90">
      <c r="B206" s="940"/>
      <c r="C206" s="941"/>
      <c r="D206" s="940"/>
      <c r="E206" s="940"/>
      <c r="F206" s="940"/>
      <c r="G206" s="398"/>
      <c r="H206" s="164" t="str">
        <f>'matrik MISI 5'!N8</f>
        <v>Cakupan Pertolongan Persalinan oleh Bidan atau Tenaga Kesehatan yang Memiliki Kompetensi Kebidanan</v>
      </c>
      <c r="I206" s="164" t="str">
        <f>'matrik MISI 5'!O8</f>
        <v>%</v>
      </c>
      <c r="J206" s="929" t="str">
        <f>'matrik MISI 5'!P8</f>
        <v>99,65</v>
      </c>
      <c r="K206" s="929">
        <f>'matrik MISI 5'!Q8</f>
        <v>95</v>
      </c>
      <c r="L206" s="929">
        <f>'matrik MISI 5'!R8</f>
        <v>95</v>
      </c>
      <c r="M206" s="961"/>
      <c r="N206" s="929">
        <f>'matrik MISI 5'!S8</f>
        <v>95</v>
      </c>
      <c r="O206" s="929"/>
      <c r="P206" s="929">
        <f>'matrik MISI 5'!T8</f>
        <v>95</v>
      </c>
      <c r="Q206" s="929"/>
      <c r="R206" s="929">
        <f>'matrik MISI 5'!U8</f>
        <v>95</v>
      </c>
      <c r="S206" s="929"/>
      <c r="T206" s="929">
        <f>'matrik MISI 5'!V8</f>
        <v>95</v>
      </c>
      <c r="U206" s="929"/>
      <c r="V206" s="929">
        <f>'matrik MISI 5'!W8</f>
        <v>95</v>
      </c>
      <c r="W206" s="929"/>
      <c r="X206" s="929" t="str">
        <f>'matrik MISI 5'!X8</f>
        <v>Dinas Kesehatan</v>
      </c>
      <c r="Y206" s="164" t="str">
        <f>'matrik MISI 5'!Y8</f>
        <v>Jumlah ibu bersalin yang ditolong oleh tenaga kesehatan / Jumlah seluruh sasaran ibu bersalin x 100</v>
      </c>
      <c r="Z206" s="164">
        <f>'matrik MISI 5'!Z8</f>
        <v>0</v>
      </c>
    </row>
    <row r="207" spans="2:26" ht="105">
      <c r="B207" s="940"/>
      <c r="C207" s="941"/>
      <c r="D207" s="940"/>
      <c r="E207" s="940"/>
      <c r="F207" s="940"/>
      <c r="G207" s="398"/>
      <c r="H207" s="164" t="str">
        <f>'matrik MISI 5'!N9</f>
        <v>Cakupan Komplikasi Kebidanan yang Ditangani</v>
      </c>
      <c r="I207" s="164" t="str">
        <f>'matrik MISI 5'!O9</f>
        <v>%</v>
      </c>
      <c r="J207" s="929" t="str">
        <f>'matrik MISI 5'!P9</f>
        <v>100</v>
      </c>
      <c r="K207" s="929">
        <f>'matrik MISI 5'!Q9</f>
        <v>96</v>
      </c>
      <c r="L207" s="929">
        <f>'matrik MISI 5'!R9</f>
        <v>87</v>
      </c>
      <c r="M207" s="961"/>
      <c r="N207" s="929">
        <f>'matrik MISI 5'!S9</f>
        <v>87</v>
      </c>
      <c r="O207" s="929"/>
      <c r="P207" s="929">
        <f>'matrik MISI 5'!T9</f>
        <v>90</v>
      </c>
      <c r="Q207" s="929"/>
      <c r="R207" s="929">
        <f>'matrik MISI 5'!U9</f>
        <v>90</v>
      </c>
      <c r="S207" s="929"/>
      <c r="T207" s="929">
        <f>'matrik MISI 5'!V9</f>
        <v>90</v>
      </c>
      <c r="U207" s="929"/>
      <c r="V207" s="929">
        <f>'matrik MISI 5'!W9</f>
        <v>90</v>
      </c>
      <c r="W207" s="929"/>
      <c r="X207" s="929" t="str">
        <f>'matrik MISI 5'!X9</f>
        <v>Dinas Kesehatan</v>
      </c>
      <c r="Y207" s="164" t="str">
        <f>'matrik MISI 5'!Y9</f>
        <v>Jumlah komplikasi kebidanan yg mendapat penanganan definitif / Jumlah ibu dengan komplikasi kebidanan x 100</v>
      </c>
      <c r="Z207" s="164">
        <f>'matrik MISI 5'!Z9</f>
        <v>0</v>
      </c>
    </row>
    <row r="208" spans="2:26" ht="90">
      <c r="B208" s="940"/>
      <c r="C208" s="941"/>
      <c r="D208" s="940"/>
      <c r="E208" s="940"/>
      <c r="F208" s="940"/>
      <c r="G208" s="398"/>
      <c r="H208" s="164" t="str">
        <f>'matrik MISI 5'!N10</f>
        <v>Cakupan Pelayanan Nifas</v>
      </c>
      <c r="I208" s="164" t="str">
        <f>'matrik MISI 5'!O10</f>
        <v>%</v>
      </c>
      <c r="J208" s="929">
        <f>'matrik MISI 5'!P10</f>
        <v>94.56</v>
      </c>
      <c r="K208" s="929">
        <f>'matrik MISI 5'!Q10</f>
        <v>95</v>
      </c>
      <c r="L208" s="929">
        <f>'matrik MISI 5'!R10</f>
        <v>95</v>
      </c>
      <c r="M208" s="961"/>
      <c r="N208" s="929">
        <f>'matrik MISI 5'!S10</f>
        <v>95</v>
      </c>
      <c r="O208" s="929"/>
      <c r="P208" s="929">
        <f>'matrik MISI 5'!T10</f>
        <v>95</v>
      </c>
      <c r="Q208" s="929"/>
      <c r="R208" s="929">
        <f>'matrik MISI 5'!U10</f>
        <v>95</v>
      </c>
      <c r="S208" s="929"/>
      <c r="T208" s="929">
        <f>'matrik MISI 5'!V10</f>
        <v>95</v>
      </c>
      <c r="U208" s="929"/>
      <c r="V208" s="929">
        <f>'matrik MISI 5'!W10</f>
        <v>95</v>
      </c>
      <c r="W208" s="929"/>
      <c r="X208" s="929" t="str">
        <f>'matrik MISI 5'!X10</f>
        <v>Dinas Kesehatan</v>
      </c>
      <c r="Y208" s="164" t="str">
        <f>'matrik MISI 5'!Y10</f>
        <v>Jumlah ibu nifas yang telah memperoleh 3 kali pelayanan nifas sesuai standar / Jumlah seluruh Ibu nifas x 100</v>
      </c>
      <c r="Z208" s="164">
        <f>'matrik MISI 5'!Z10</f>
        <v>0</v>
      </c>
    </row>
    <row r="209" spans="2:26" ht="90">
      <c r="B209" s="940"/>
      <c r="C209" s="941"/>
      <c r="D209" s="939"/>
      <c r="E209" s="939"/>
      <c r="F209" s="939"/>
      <c r="G209" s="965"/>
      <c r="H209" s="164" t="str">
        <f>'matrik MISI 5'!N12</f>
        <v>Cakupan Kunjungan Bayi</v>
      </c>
      <c r="I209" s="164" t="str">
        <f>'matrik MISI 5'!O12</f>
        <v>%</v>
      </c>
      <c r="J209" s="929" t="str">
        <f>'matrik MISI 5'!P12</f>
        <v>96,9</v>
      </c>
      <c r="K209" s="929">
        <f>'matrik MISI 5'!Q12</f>
        <v>90</v>
      </c>
      <c r="L209" s="929">
        <f>'matrik MISI 5'!R12</f>
        <v>92.5</v>
      </c>
      <c r="M209" s="961"/>
      <c r="N209" s="929">
        <f>'matrik MISI 5'!S12</f>
        <v>95</v>
      </c>
      <c r="O209" s="929"/>
      <c r="P209" s="929">
        <f>'matrik MISI 5'!T12</f>
        <v>97.5</v>
      </c>
      <c r="Q209" s="929"/>
      <c r="R209" s="929">
        <f>'matrik MISI 5'!U12</f>
        <v>98</v>
      </c>
      <c r="S209" s="929"/>
      <c r="T209" s="929">
        <f>'matrik MISI 5'!V12</f>
        <v>99</v>
      </c>
      <c r="U209" s="929"/>
      <c r="V209" s="929">
        <f>'matrik MISI 5'!W12</f>
        <v>99</v>
      </c>
      <c r="W209" s="929"/>
      <c r="X209" s="929" t="str">
        <f>'matrik MISI 5'!X12</f>
        <v>Dinas Kesehatan</v>
      </c>
      <c r="Y209" s="164" t="str">
        <f>'matrik MISI 5'!Y12</f>
        <v>Jumlah bayi memperoleh pelayanan kesehatan sesuai standar / Jumlah seluruh bayi lahir hidup  x 100</v>
      </c>
      <c r="Z209" s="164">
        <f>'matrik MISI 5'!Z12</f>
        <v>0</v>
      </c>
    </row>
    <row r="210" spans="2:26" ht="195">
      <c r="B210" s="940"/>
      <c r="C210" s="941"/>
      <c r="D210" s="940"/>
      <c r="E210" s="940"/>
      <c r="F210" s="940"/>
      <c r="G210" s="398"/>
      <c r="H210" s="164" t="str">
        <f>'matrik MISI 5'!N13</f>
        <v>Cakupan Kunjungan Neonatus (KN1)</v>
      </c>
      <c r="I210" s="164" t="str">
        <f>'matrik MISI 5'!O13</f>
        <v>%</v>
      </c>
      <c r="J210" s="929" t="str">
        <f>'matrik MISI 5'!P13</f>
        <v>96,8</v>
      </c>
      <c r="K210" s="929">
        <f>'matrik MISI 5'!Q13</f>
        <v>96</v>
      </c>
      <c r="L210" s="929">
        <f>'matrik MISI 5'!R13</f>
        <v>99</v>
      </c>
      <c r="M210" s="961"/>
      <c r="N210" s="929">
        <f>'matrik MISI 5'!S13</f>
        <v>99</v>
      </c>
      <c r="O210" s="929"/>
      <c r="P210" s="929">
        <f>'matrik MISI 5'!T13</f>
        <v>99</v>
      </c>
      <c r="Q210" s="929"/>
      <c r="R210" s="929">
        <f>'matrik MISI 5'!U13</f>
        <v>99</v>
      </c>
      <c r="S210" s="929"/>
      <c r="T210" s="929">
        <f>'matrik MISI 5'!V13</f>
        <v>99</v>
      </c>
      <c r="U210" s="929"/>
      <c r="V210" s="929">
        <f>'matrik MISI 5'!W13</f>
        <v>99</v>
      </c>
      <c r="W210" s="929"/>
      <c r="X210" s="929" t="str">
        <f>'matrik MISI 5'!X13</f>
        <v>Dinas Kesehatan</v>
      </c>
      <c r="Y210" s="164" t="str">
        <f>'matrik MISI 5'!Y13</f>
        <v>Jumlah bayi yang memperoleh pelayanan kesehatan sesuai standar, pada kunjungan ke-1 ( 6-24 jam setelah lahir) di satu wilayah kerja pada kurun waktu tertentu / seluruh bayi lahir hidup di satu wilayah kerja pada kurun waktu yang sama x 100</v>
      </c>
      <c r="Z210" s="164">
        <f>'matrik MISI 5'!Z13</f>
        <v>0</v>
      </c>
    </row>
    <row r="211" spans="2:26" ht="150">
      <c r="B211" s="940"/>
      <c r="C211" s="941"/>
      <c r="D211" s="940"/>
      <c r="E211" s="940"/>
      <c r="F211" s="940"/>
      <c r="G211" s="398"/>
      <c r="H211" s="164" t="str">
        <f>'matrik MISI 5'!N14</f>
        <v>Cakupan Pelayanan Anak Balita</v>
      </c>
      <c r="I211" s="164" t="str">
        <f>'matrik MISI 5'!O14</f>
        <v>%</v>
      </c>
      <c r="J211" s="929" t="str">
        <f>'matrik MISI 5'!P14</f>
        <v>89,84</v>
      </c>
      <c r="K211" s="929">
        <f>'matrik MISI 5'!Q14</f>
        <v>90</v>
      </c>
      <c r="L211" s="929">
        <f>'matrik MISI 5'!R14</f>
        <v>90</v>
      </c>
      <c r="M211" s="961"/>
      <c r="N211" s="929">
        <f>'matrik MISI 5'!S14</f>
        <v>90</v>
      </c>
      <c r="O211" s="929"/>
      <c r="P211" s="929">
        <f>'matrik MISI 5'!T14</f>
        <v>90</v>
      </c>
      <c r="Q211" s="929"/>
      <c r="R211" s="929">
        <f>'matrik MISI 5'!U14</f>
        <v>90</v>
      </c>
      <c r="S211" s="929"/>
      <c r="T211" s="929">
        <f>'matrik MISI 5'!V14</f>
        <v>90</v>
      </c>
      <c r="U211" s="929"/>
      <c r="V211" s="929">
        <f>'matrik MISI 5'!W14</f>
        <v>90</v>
      </c>
      <c r="W211" s="929"/>
      <c r="X211" s="929" t="str">
        <f>'matrik MISI 5'!X14</f>
        <v>Dinas Kesehatan</v>
      </c>
      <c r="Y211" s="164" t="str">
        <f>'matrik MISI 5'!Y14</f>
        <v>Jumlah anak balita (12-59 bulan) yang memperoleh pelayanan pemantauan pertumbuhan minimal 8 kali / Jumlah seluruh anak balita (12-59 bulan) x 100</v>
      </c>
      <c r="Z211" s="164">
        <f>'matrik MISI 5'!Z14</f>
        <v>0</v>
      </c>
    </row>
    <row r="212" spans="2:26" ht="105">
      <c r="B212" s="940"/>
      <c r="C212" s="941"/>
      <c r="D212" s="940"/>
      <c r="E212" s="940"/>
      <c r="F212" s="940"/>
      <c r="G212" s="398"/>
      <c r="H212" s="164" t="str">
        <f>'matrik MISI 5'!N15</f>
        <v>Cakupan Neonatal dengan Komplikasi yang Ditangani</v>
      </c>
      <c r="I212" s="164" t="str">
        <f>'matrik MISI 5'!O15</f>
        <v>%</v>
      </c>
      <c r="J212" s="929" t="str">
        <f>'matrik MISI 5'!P15</f>
        <v>100</v>
      </c>
      <c r="K212" s="929">
        <f>'matrik MISI 5'!Q15</f>
        <v>100</v>
      </c>
      <c r="L212" s="929">
        <f>'matrik MISI 5'!R15</f>
        <v>65</v>
      </c>
      <c r="M212" s="961"/>
      <c r="N212" s="929">
        <f>'matrik MISI 5'!S15</f>
        <v>65</v>
      </c>
      <c r="O212" s="929"/>
      <c r="P212" s="929">
        <f>'matrik MISI 5'!T15</f>
        <v>65</v>
      </c>
      <c r="Q212" s="929"/>
      <c r="R212" s="929">
        <f>'matrik MISI 5'!U15</f>
        <v>65</v>
      </c>
      <c r="S212" s="929"/>
      <c r="T212" s="929">
        <f>'matrik MISI 5'!V15</f>
        <v>65</v>
      </c>
      <c r="U212" s="929"/>
      <c r="V212" s="929">
        <f>'matrik MISI 5'!W15</f>
        <v>65</v>
      </c>
      <c r="W212" s="929"/>
      <c r="X212" s="929" t="str">
        <f>'matrik MISI 5'!X15</f>
        <v>Dinas Kesehatan</v>
      </c>
      <c r="Y212" s="164" t="str">
        <f>'matrik MISI 5'!Y15</f>
        <v>Jumlah neonatus dengan komplikasi yang tertangani / Jumlah seluruh neonatus dengan komplikasi yang ada x 100</v>
      </c>
      <c r="Z212" s="164">
        <f>'matrik MISI 5'!Z15</f>
        <v>0</v>
      </c>
    </row>
    <row r="213" spans="2:26" ht="180">
      <c r="B213" s="940"/>
      <c r="C213" s="941"/>
      <c r="D213" s="940"/>
      <c r="E213" s="940"/>
      <c r="F213" s="940"/>
      <c r="G213" s="398"/>
      <c r="H213" s="164" t="str">
        <f>'matrik MISI 5'!N20</f>
        <v>Cakupan Layanan Kesehatan Peserta Aktif KB</v>
      </c>
      <c r="I213" s="164" t="str">
        <f>'matrik MISI 5'!O20</f>
        <v>%</v>
      </c>
      <c r="J213" s="929" t="str">
        <f>'matrik MISI 5'!P20</f>
        <v>85,98</v>
      </c>
      <c r="K213" s="929">
        <f>'matrik MISI 5'!Q20</f>
        <v>86</v>
      </c>
      <c r="L213" s="929">
        <f>'matrik MISI 5'!R20</f>
        <v>80</v>
      </c>
      <c r="M213" s="961"/>
      <c r="N213" s="929">
        <f>'matrik MISI 5'!S20</f>
        <v>80</v>
      </c>
      <c r="O213" s="929"/>
      <c r="P213" s="929">
        <f>'matrik MISI 5'!T20</f>
        <v>80</v>
      </c>
      <c r="Q213" s="929"/>
      <c r="R213" s="929">
        <f>'matrik MISI 5'!U20</f>
        <v>80</v>
      </c>
      <c r="S213" s="929"/>
      <c r="T213" s="929">
        <f>'matrik MISI 5'!V20</f>
        <v>80</v>
      </c>
      <c r="U213" s="929"/>
      <c r="V213" s="929">
        <f>'matrik MISI 5'!W20</f>
        <v>80</v>
      </c>
      <c r="W213" s="929"/>
      <c r="X213" s="929" t="str">
        <f>'matrik MISI 5'!X20</f>
        <v>Dinas Kesehatan</v>
      </c>
      <c r="Y213" s="164" t="str">
        <f>'matrik MISI 5'!Y20</f>
        <v>Jumlah Pasangan Usia Subur (PUS) yang memperoleh pelayanan kontrasepsi sesuai standar di suatu wilayah kerja pada kurun waktu tertentu / Jumlah seluruh PUS di suatu wilayah kerja pada kurun waktu yang sama  x 100</v>
      </c>
      <c r="Z213" s="164">
        <f>'matrik MISI 5'!Z20</f>
        <v>0</v>
      </c>
    </row>
    <row r="214" spans="2:26" s="570" customFormat="1" ht="45" hidden="1">
      <c r="B214" s="1021"/>
      <c r="C214" s="1022"/>
      <c r="D214" s="1021">
        <f>'matrik MISI 5'!J21</f>
        <v>1.02</v>
      </c>
      <c r="E214" s="1021" t="str">
        <f>'matrik MISI 5'!K21</f>
        <v>xx</v>
      </c>
      <c r="F214" s="1021">
        <f>'matrik MISI 5'!L21</f>
        <v>24</v>
      </c>
      <c r="G214" s="607" t="str">
        <f>'matrik MISI 5'!M21</f>
        <v>Program Pelayanan Kesehatan Penduduk Miskin</v>
      </c>
      <c r="H214" s="611"/>
      <c r="I214" s="611"/>
      <c r="J214" s="964"/>
      <c r="K214" s="964"/>
      <c r="L214" s="964"/>
      <c r="M214" s="1023">
        <f>'jangan di hapus 1'!K374</f>
        <v>4665000000</v>
      </c>
      <c r="N214" s="1023"/>
      <c r="O214" s="1023">
        <f>'jangan di hapus 1'!M374</f>
        <v>4859979670.25</v>
      </c>
      <c r="P214" s="1023"/>
      <c r="Q214" s="1023">
        <f>'jangan di hapus 1'!O374</f>
        <v>5021501670.25</v>
      </c>
      <c r="R214" s="1023"/>
      <c r="S214" s="1023">
        <f>'jangan di hapus 1'!Q374</f>
        <v>5071501670.25</v>
      </c>
      <c r="T214" s="1023"/>
      <c r="U214" s="1023">
        <f>'jangan di hapus 1'!S374</f>
        <v>5121501670.25</v>
      </c>
      <c r="V214" s="964"/>
      <c r="W214" s="1023">
        <f>SUM(M214:U214)</f>
        <v>24739484681</v>
      </c>
      <c r="X214" s="964"/>
      <c r="Y214" s="611"/>
      <c r="Z214" s="611"/>
    </row>
    <row r="215" spans="2:26" ht="180">
      <c r="B215" s="940"/>
      <c r="C215" s="941"/>
      <c r="D215" s="940"/>
      <c r="E215" s="940"/>
      <c r="F215" s="940"/>
      <c r="G215" s="398"/>
      <c r="H215" s="164" t="str">
        <f>'matrik MISI 5'!N22</f>
        <v>Pelayanan kesehatan penduduk miskin di RSUD</v>
      </c>
      <c r="I215" s="164" t="str">
        <f>'matrik MISI 5'!O22</f>
        <v>%</v>
      </c>
      <c r="J215" s="929">
        <f>'matrik MISI 5'!P22</f>
        <v>130.63999999999999</v>
      </c>
      <c r="K215" s="929">
        <f>'matrik MISI 5'!Q22</f>
        <v>100</v>
      </c>
      <c r="L215" s="929">
        <f>'matrik MISI 5'!R22</f>
        <v>100</v>
      </c>
      <c r="M215" s="961"/>
      <c r="N215" s="929">
        <f>'matrik MISI 5'!S22</f>
        <v>100</v>
      </c>
      <c r="O215" s="929"/>
      <c r="P215" s="929">
        <f>'matrik MISI 5'!T22</f>
        <v>100</v>
      </c>
      <c r="Q215" s="929"/>
      <c r="R215" s="929">
        <f>'matrik MISI 5'!U22</f>
        <v>100</v>
      </c>
      <c r="S215" s="929"/>
      <c r="T215" s="929">
        <f>'matrik MISI 5'!V22</f>
        <v>100</v>
      </c>
      <c r="U215" s="929"/>
      <c r="V215" s="929">
        <f>'matrik MISI 5'!W22</f>
        <v>100</v>
      </c>
      <c r="W215" s="929"/>
      <c r="X215" s="929" t="str">
        <f>'matrik MISI 5'!X22</f>
        <v xml:space="preserve">RSUD </v>
      </c>
      <c r="Y215" s="164" t="str">
        <f>'matrik MISI 5'!Y22</f>
        <v>Jumlah kunjungan pasien penduduk miskin yang dilayani Jaminan Kesehatan Temanggung (JKT) selama satu tahun (lama dan baru) / Jumlah seluruh penduduk miskin sakit yang tidak ditanggung Jamkesmas x 100</v>
      </c>
      <c r="Z215" s="164">
        <f>'matrik MISI 5'!Z22</f>
        <v>0</v>
      </c>
    </row>
    <row r="216" spans="2:26" ht="45" hidden="1">
      <c r="B216" s="940"/>
      <c r="C216" s="941"/>
      <c r="D216" s="940">
        <f>'matrik MISI 5'!J23</f>
        <v>1.02</v>
      </c>
      <c r="E216" s="940" t="str">
        <f>'matrik MISI 5'!K23</f>
        <v>xx</v>
      </c>
      <c r="F216" s="940">
        <f>'matrik MISI 5'!L23</f>
        <v>28</v>
      </c>
      <c r="G216" s="398" t="str">
        <f>'matrik MISI 5'!M23</f>
        <v>Program kemitraan peningkatan pelayanan kesehatan</v>
      </c>
      <c r="H216" s="164"/>
      <c r="I216" s="164"/>
      <c r="J216" s="929"/>
      <c r="K216" s="929"/>
      <c r="L216" s="929"/>
      <c r="M216" s="961">
        <f>'jangan di hapus 1'!K402</f>
        <v>9640000</v>
      </c>
      <c r="N216" s="961">
        <f>'jangan di hapus 1'!L402</f>
        <v>0</v>
      </c>
      <c r="O216" s="961">
        <f>'jangan di hapus 1'!M402</f>
        <v>13000000</v>
      </c>
      <c r="P216" s="961">
        <f>'jangan di hapus 1'!N402</f>
        <v>0</v>
      </c>
      <c r="Q216" s="961">
        <f>'jangan di hapus 1'!O402</f>
        <v>25000000</v>
      </c>
      <c r="R216" s="961">
        <f>'jangan di hapus 1'!P402</f>
        <v>0</v>
      </c>
      <c r="S216" s="961">
        <f>'jangan di hapus 1'!Q402</f>
        <v>30000000</v>
      </c>
      <c r="T216" s="961">
        <f>'jangan di hapus 1'!R402</f>
        <v>0</v>
      </c>
      <c r="U216" s="961">
        <f>'jangan di hapus 1'!S402</f>
        <v>35000000</v>
      </c>
      <c r="V216" s="929"/>
      <c r="W216" s="961">
        <f>SUM(M216:U216)</f>
        <v>112640000</v>
      </c>
      <c r="X216" s="929"/>
      <c r="Y216" s="164"/>
      <c r="Z216" s="164"/>
    </row>
    <row r="217" spans="2:26" ht="120">
      <c r="B217" s="940"/>
      <c r="C217" s="941"/>
      <c r="D217" s="939"/>
      <c r="E217" s="939"/>
      <c r="F217" s="939"/>
      <c r="G217" s="965"/>
      <c r="H217" s="164" t="str">
        <f>'matrik MISI 5'!N23</f>
        <v>Cakupan Pelayanan Kesehatan Rujukan Pasien Masyarakat Miskin</v>
      </c>
      <c r="I217" s="164" t="str">
        <f>'matrik MISI 5'!O23</f>
        <v>%</v>
      </c>
      <c r="J217" s="929" t="str">
        <f>'matrik MISI 5'!P23</f>
        <v>100</v>
      </c>
      <c r="K217" s="929">
        <f>'matrik MISI 5'!Q23</f>
        <v>100</v>
      </c>
      <c r="L217" s="929">
        <f>'matrik MISI 5'!R23</f>
        <v>100</v>
      </c>
      <c r="M217" s="961"/>
      <c r="N217" s="929">
        <f>'matrik MISI 5'!S23</f>
        <v>100</v>
      </c>
      <c r="O217" s="929"/>
      <c r="P217" s="929">
        <f>'matrik MISI 5'!T23</f>
        <v>100</v>
      </c>
      <c r="Q217" s="929"/>
      <c r="R217" s="929">
        <f>'matrik MISI 5'!U23</f>
        <v>100</v>
      </c>
      <c r="S217" s="929"/>
      <c r="T217" s="929">
        <f>'matrik MISI 5'!V23</f>
        <v>100</v>
      </c>
      <c r="U217" s="929"/>
      <c r="V217" s="929">
        <f>'matrik MISI 5'!W23</f>
        <v>100</v>
      </c>
      <c r="W217" s="929"/>
      <c r="X217" s="929" t="str">
        <f>'matrik MISI 5'!X23</f>
        <v>Dinas Kesehatan</v>
      </c>
      <c r="Y217" s="164" t="str">
        <f>'matrik MISI 5'!Y23</f>
        <v>Jumlah pasien maskin di  sarkes strata 2 dan strata 3 selama satu tahun / Jumlah masyarakat miskin yang berkunjung ke sarkes strata 2 dan 3 x 100</v>
      </c>
      <c r="Z217" s="164">
        <f>'matrik MISI 5'!Z23</f>
        <v>0</v>
      </c>
    </row>
    <row r="218" spans="2:26" ht="240">
      <c r="B218" s="940"/>
      <c r="C218" s="941"/>
      <c r="D218" s="940"/>
      <c r="E218" s="940"/>
      <c r="F218" s="940"/>
      <c r="G218" s="398"/>
      <c r="H218" s="164" t="str">
        <f>'matrik MISI 5'!N24</f>
        <v>Cakupan Pelayanan Gawat Darurat Level 1 yang harus diberikan Sarana Kesehatan (RS) di Kabupaten</v>
      </c>
      <c r="I218" s="164" t="str">
        <f>'matrik MISI 5'!O24</f>
        <v>%</v>
      </c>
      <c r="J218" s="929">
        <f>'matrik MISI 5'!P24</f>
        <v>100</v>
      </c>
      <c r="K218" s="929">
        <f>'matrik MISI 5'!Q24</f>
        <v>100</v>
      </c>
      <c r="L218" s="929">
        <f>'matrik MISI 5'!R24</f>
        <v>100</v>
      </c>
      <c r="M218" s="961"/>
      <c r="N218" s="929">
        <f>'matrik MISI 5'!S24</f>
        <v>100</v>
      </c>
      <c r="O218" s="929"/>
      <c r="P218" s="929">
        <f>'matrik MISI 5'!T24</f>
        <v>100</v>
      </c>
      <c r="Q218" s="929"/>
      <c r="R218" s="929">
        <f>'matrik MISI 5'!U24</f>
        <v>100</v>
      </c>
      <c r="S218" s="929"/>
      <c r="T218" s="929">
        <f>'matrik MISI 5'!V24</f>
        <v>100</v>
      </c>
      <c r="U218" s="929"/>
      <c r="V218" s="929">
        <f>'matrik MISI 5'!W24</f>
        <v>100</v>
      </c>
      <c r="W218" s="929"/>
      <c r="X218" s="929" t="str">
        <f>'matrik MISI 5'!X24</f>
        <v>Dinas Kesehatan</v>
      </c>
      <c r="Y218" s="164" t="str">
        <f>'matrik MISI 5'!Y24</f>
        <v>Jumlah RS yang mampu memberikan pelayanan gawat darurat level 1 / Jumlah RS kab/kota x 100</v>
      </c>
      <c r="Z218" s="164"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219" spans="2:26" ht="45" hidden="1">
      <c r="B219" s="940"/>
      <c r="C219" s="941"/>
      <c r="D219" s="940">
        <f>'matrik MISI 5'!J26</f>
        <v>1.02</v>
      </c>
      <c r="E219" s="940" t="str">
        <f>'matrik MISI 5'!K26</f>
        <v>xx</v>
      </c>
      <c r="F219" s="940">
        <f>'matrik MISI 5'!L26</f>
        <v>22</v>
      </c>
      <c r="G219" s="398" t="str">
        <f>'matrik MISI 5'!M26</f>
        <v xml:space="preserve">Program Pencegahan dan Penanggulangan Penyakit Menular </v>
      </c>
      <c r="H219" s="164"/>
      <c r="I219" s="164"/>
      <c r="J219" s="929"/>
      <c r="K219" s="929"/>
      <c r="L219" s="929"/>
      <c r="M219" s="961">
        <f>'jangan di hapus 1'!K344</f>
        <v>263428000</v>
      </c>
      <c r="N219" s="961"/>
      <c r="O219" s="961">
        <f>'jangan di hapus 1'!M344</f>
        <v>215000000</v>
      </c>
      <c r="P219" s="961"/>
      <c r="Q219" s="961">
        <f>'jangan di hapus 1'!O344</f>
        <v>450000000</v>
      </c>
      <c r="R219" s="961"/>
      <c r="S219" s="961">
        <f>'jangan di hapus 1'!Q344</f>
        <v>550000000</v>
      </c>
      <c r="T219" s="961"/>
      <c r="U219" s="961">
        <f>'jangan di hapus 1'!S344</f>
        <v>650000000</v>
      </c>
      <c r="V219" s="929"/>
      <c r="W219" s="961">
        <f>SUM(M219:U219)</f>
        <v>2128428000</v>
      </c>
      <c r="X219" s="929"/>
      <c r="Y219" s="164"/>
      <c r="Z219" s="164"/>
    </row>
    <row r="220" spans="2:26" ht="165">
      <c r="B220" s="940"/>
      <c r="C220" s="941"/>
      <c r="D220" s="939"/>
      <c r="E220" s="939"/>
      <c r="F220" s="939"/>
      <c r="G220" s="965"/>
      <c r="H220" s="164" t="str">
        <f>'matrik MISI 5'!N26</f>
        <v xml:space="preserve">Angka Kesembuhan Penderita TBC BTA Positif (CR/Cure Rate) </v>
      </c>
      <c r="I220" s="164" t="str">
        <f>'matrik MISI 5'!O26</f>
        <v>%</v>
      </c>
      <c r="J220" s="929" t="str">
        <f>'matrik MISI 5'!P26</f>
        <v>87,16</v>
      </c>
      <c r="K220" s="929">
        <f>'matrik MISI 5'!Q26</f>
        <v>87</v>
      </c>
      <c r="L220" s="929" t="str">
        <f>'matrik MISI 5'!R26</f>
        <v>&gt;87</v>
      </c>
      <c r="M220" s="961"/>
      <c r="N220" s="929" t="str">
        <f>'matrik MISI 5'!S26</f>
        <v>&gt;87</v>
      </c>
      <c r="O220" s="929"/>
      <c r="P220" s="929" t="str">
        <f>'matrik MISI 5'!T26</f>
        <v>&gt;87</v>
      </c>
      <c r="Q220" s="929"/>
      <c r="R220" s="929" t="str">
        <f>'matrik MISI 5'!U26</f>
        <v>&gt;87</v>
      </c>
      <c r="S220" s="929"/>
      <c r="T220" s="929" t="str">
        <f>'matrik MISI 5'!V26</f>
        <v>&gt;87</v>
      </c>
      <c r="U220" s="929"/>
      <c r="V220" s="929" t="str">
        <f>'matrik MISI 5'!W26</f>
        <v>&gt;87</v>
      </c>
      <c r="W220" s="929"/>
      <c r="X220" s="929" t="str">
        <f>'matrik MISI 5'!X26</f>
        <v>Dinas Kesehatan</v>
      </c>
      <c r="Y220" s="164" t="str">
        <f>'matrik MISI 5'!Y26</f>
        <v>Jumlah penderita TB Paru BTA positif yang diobati di suatu wilayah selama 1 tahun / Jumlah penderita TB paru BTA positif yang sembuh di suatu wilayah dan pada kurun waktu yang sama  x 100</v>
      </c>
      <c r="Z220" s="164">
        <f>'matrik MISI 5'!Z26</f>
        <v>0</v>
      </c>
    </row>
    <row r="221" spans="2:26" ht="120">
      <c r="B221" s="940"/>
      <c r="C221" s="941"/>
      <c r="D221" s="940"/>
      <c r="E221" s="940"/>
      <c r="F221" s="940"/>
      <c r="G221" s="398"/>
      <c r="H221" s="164" t="str">
        <f>'matrik MISI 5'!N27</f>
        <v>Angka Penemuan Kasus TBC BTA Positif (CDR/Case  Detection Rate)</v>
      </c>
      <c r="I221" s="164" t="str">
        <f>'matrik MISI 5'!O27</f>
        <v>%</v>
      </c>
      <c r="J221" s="929">
        <f>'matrik MISI 5'!P27</f>
        <v>38.700000000000003</v>
      </c>
      <c r="K221" s="929">
        <f>'matrik MISI 5'!Q27</f>
        <v>70</v>
      </c>
      <c r="L221" s="929">
        <f>'matrik MISI 5'!R27</f>
        <v>70</v>
      </c>
      <c r="M221" s="961"/>
      <c r="N221" s="929">
        <f>'matrik MISI 5'!S27</f>
        <v>70</v>
      </c>
      <c r="O221" s="929"/>
      <c r="P221" s="929">
        <f>'matrik MISI 5'!T27</f>
        <v>70</v>
      </c>
      <c r="Q221" s="929"/>
      <c r="R221" s="929">
        <f>'matrik MISI 5'!U27</f>
        <v>70</v>
      </c>
      <c r="S221" s="929"/>
      <c r="T221" s="929">
        <f>'matrik MISI 5'!V27</f>
        <v>70</v>
      </c>
      <c r="U221" s="929"/>
      <c r="V221" s="929">
        <f>'matrik MISI 5'!W27</f>
        <v>70</v>
      </c>
      <c r="W221" s="929"/>
      <c r="X221" s="929" t="str">
        <f>'matrik MISI 5'!X27</f>
        <v>Dinas Kesehatan</v>
      </c>
      <c r="Y221" s="164" t="str">
        <f>'matrik MISI 5'!Y27</f>
        <v>Jumlah pasien baru TB Paru BTA positif yang ditemukan dan diobati / Jumlah perkiraan pasien baru TB Paru BTA positif  x 100</v>
      </c>
      <c r="Z221" s="164" t="str">
        <f>'matrik MISI 5'!Z27</f>
        <v>Jumlah perkiraan pasien baru TB =  Insiden rate hasil survey nasional x jumlah penduduk pada wilayah dan kurun waktu yang yang sama</v>
      </c>
    </row>
    <row r="222" spans="2:26" ht="90">
      <c r="B222" s="940"/>
      <c r="C222" s="941"/>
      <c r="D222" s="940"/>
      <c r="E222" s="940"/>
      <c r="F222" s="940"/>
      <c r="G222" s="398"/>
      <c r="H222" s="164" t="str">
        <f>'matrik MISI 5'!N28</f>
        <v>Prevalensi HIV pada Penduduk Usia Dewasa</v>
      </c>
      <c r="I222" s="164" t="str">
        <f>'matrik MISI 5'!O28</f>
        <v>%</v>
      </c>
      <c r="J222" s="929">
        <f>'matrik MISI 5'!P28</f>
        <v>8.7999999999999995E-2</v>
      </c>
      <c r="K222" s="929">
        <f>'matrik MISI 5'!Q28</f>
        <v>3.8999999999999998E-3</v>
      </c>
      <c r="L222" s="929" t="str">
        <f>'matrik MISI 5'!R28</f>
        <v>&lt; 0,05</v>
      </c>
      <c r="M222" s="961"/>
      <c r="N222" s="929" t="str">
        <f>'matrik MISI 5'!S28</f>
        <v>&lt;0,05</v>
      </c>
      <c r="O222" s="929"/>
      <c r="P222" s="929" t="str">
        <f>'matrik MISI 5'!T28</f>
        <v>&lt; 0,05</v>
      </c>
      <c r="Q222" s="929"/>
      <c r="R222" s="929" t="str">
        <f>'matrik MISI 5'!U28</f>
        <v>&lt;0,05</v>
      </c>
      <c r="S222" s="929"/>
      <c r="T222" s="929" t="str">
        <f>'matrik MISI 5'!V28</f>
        <v>&lt; 0,05</v>
      </c>
      <c r="U222" s="929"/>
      <c r="V222" s="929" t="str">
        <f>'matrik MISI 5'!W28</f>
        <v>&lt;0,05</v>
      </c>
      <c r="W222" s="929"/>
      <c r="X222" s="929" t="str">
        <f>'matrik MISI 5'!X28</f>
        <v>Dinas Kesehatan</v>
      </c>
      <c r="Y222" s="164" t="str">
        <f>'matrik MISI 5'!Y28</f>
        <v xml:space="preserve"> Jumlah penderita HIV pada Penduduk Usia Dewasa (15-49 tahun) / Jumlah penduduk usia dewasa (15-49 tahun) x 100</v>
      </c>
      <c r="Z222" s="164">
        <f>'matrik MISI 5'!Z28</f>
        <v>0</v>
      </c>
    </row>
    <row r="223" spans="2:26" ht="150">
      <c r="B223" s="940"/>
      <c r="C223" s="941"/>
      <c r="D223" s="940"/>
      <c r="E223" s="940"/>
      <c r="F223" s="940"/>
      <c r="G223" s="398"/>
      <c r="H223" s="164" t="str">
        <f>'matrik MISI 5'!N29</f>
        <v>Proporsi Penduduk Usia 15 - 24 Tahun yang Memiliki Pengetahuan Komprehensif tentang HIV/AIDS</v>
      </c>
      <c r="I223" s="164" t="str">
        <f>'matrik MISI 5'!O29</f>
        <v>%</v>
      </c>
      <c r="J223" s="929" t="str">
        <f>'matrik MISI 5'!P29</f>
        <v>tda</v>
      </c>
      <c r="K223" s="929">
        <f>'matrik MISI 5'!Q29</f>
        <v>60</v>
      </c>
      <c r="L223" s="929">
        <f>'matrik MISI 5'!R29</f>
        <v>60</v>
      </c>
      <c r="M223" s="961"/>
      <c r="N223" s="929">
        <f>'matrik MISI 5'!S29</f>
        <v>62.5</v>
      </c>
      <c r="O223" s="929"/>
      <c r="P223" s="929">
        <f>'matrik MISI 5'!T29</f>
        <v>65</v>
      </c>
      <c r="Q223" s="929"/>
      <c r="R223" s="929">
        <f>'matrik MISI 5'!U29</f>
        <v>67.5</v>
      </c>
      <c r="S223" s="929"/>
      <c r="T223" s="929">
        <f>'matrik MISI 5'!V29</f>
        <v>70</v>
      </c>
      <c r="U223" s="929"/>
      <c r="V223" s="929">
        <f>'matrik MISI 5'!W29</f>
        <v>70</v>
      </c>
      <c r="W223" s="929"/>
      <c r="X223" s="929" t="str">
        <f>'matrik MISI 5'!X29</f>
        <v>Dinas Kesehatan</v>
      </c>
      <c r="Y223" s="164" t="str">
        <f>'matrik MISI 5'!Y29</f>
        <v>Banyaknya penduduk usia 15-24 tahun belum menikah yang memiliki pengetahuan komprehensif mengenai HIV/AIDS / Penduduk usia 15-24 tahun yang belum menikah x 100</v>
      </c>
      <c r="Z223" s="164">
        <f>'matrik MISI 5'!Z29</f>
        <v>0</v>
      </c>
    </row>
    <row r="224" spans="2:26" ht="105">
      <c r="B224" s="940"/>
      <c r="C224" s="941"/>
      <c r="D224" s="940"/>
      <c r="E224" s="940"/>
      <c r="F224" s="940"/>
      <c r="G224" s="398"/>
      <c r="H224" s="164" t="str">
        <f>'matrik MISI 5'!N30</f>
        <v>Cakupan Penemuan Penderita Pneumonia Balita</v>
      </c>
      <c r="I224" s="164" t="str">
        <f>'matrik MISI 5'!O30</f>
        <v>%</v>
      </c>
      <c r="J224" s="929">
        <f>'matrik MISI 5'!P30</f>
        <v>28.5</v>
      </c>
      <c r="K224" s="929">
        <f>'matrik MISI 5'!Q30</f>
        <v>60</v>
      </c>
      <c r="L224" s="929">
        <f>'matrik MISI 5'!R30</f>
        <v>60</v>
      </c>
      <c r="M224" s="961"/>
      <c r="N224" s="929">
        <f>'matrik MISI 5'!S30</f>
        <v>65</v>
      </c>
      <c r="O224" s="929"/>
      <c r="P224" s="929">
        <f>'matrik MISI 5'!T30</f>
        <v>65</v>
      </c>
      <c r="Q224" s="929"/>
      <c r="R224" s="929">
        <f>'matrik MISI 5'!U30</f>
        <v>70</v>
      </c>
      <c r="S224" s="929"/>
      <c r="T224" s="929">
        <f>'matrik MISI 5'!V30</f>
        <v>70</v>
      </c>
      <c r="U224" s="929"/>
      <c r="V224" s="929">
        <f>'matrik MISI 5'!W30</f>
        <v>70</v>
      </c>
      <c r="W224" s="929"/>
      <c r="X224" s="929" t="str">
        <f>'matrik MISI 5'!X30</f>
        <v>Dinas Kesehatan</v>
      </c>
      <c r="Y224" s="164" t="str">
        <f>'matrik MISI 5'!Y30</f>
        <v>Jumlah penderita pneumonia balita yang ditemukan dan ditangani / Jumlah perkiraan penderita pneumonia balita x 100</v>
      </c>
      <c r="Z224" s="164" t="str">
        <f>'matrik MISI 5'!Z30</f>
        <v>Jumlah perkiraan penderita pneumonia pada balita = 10% dari jumlah balita pada wilayah dan kurun waktu yang yang sama</v>
      </c>
    </row>
    <row r="225" spans="2:26" ht="165">
      <c r="B225" s="940"/>
      <c r="C225" s="941"/>
      <c r="D225" s="940"/>
      <c r="E225" s="940"/>
      <c r="F225" s="940"/>
      <c r="G225" s="398"/>
      <c r="H225" s="164" t="str">
        <f>'matrik MISI 5'!N31</f>
        <v>Cakupan Penemuan Penderita Diare</v>
      </c>
      <c r="I225" s="164" t="str">
        <f>'matrik MISI 5'!O31</f>
        <v>%</v>
      </c>
      <c r="J225" s="929">
        <f>'matrik MISI 5'!P31</f>
        <v>62.9</v>
      </c>
      <c r="K225" s="929">
        <f>'matrik MISI 5'!Q31</f>
        <v>90</v>
      </c>
      <c r="L225" s="929">
        <f>'matrik MISI 5'!R31</f>
        <v>90</v>
      </c>
      <c r="M225" s="961"/>
      <c r="N225" s="929">
        <f>'matrik MISI 5'!S31</f>
        <v>90</v>
      </c>
      <c r="O225" s="929"/>
      <c r="P225" s="929">
        <f>'matrik MISI 5'!T31</f>
        <v>90</v>
      </c>
      <c r="Q225" s="929"/>
      <c r="R225" s="929">
        <f>'matrik MISI 5'!U31</f>
        <v>90</v>
      </c>
      <c r="S225" s="929"/>
      <c r="T225" s="929">
        <f>'matrik MISI 5'!V31</f>
        <v>90</v>
      </c>
      <c r="U225" s="929"/>
      <c r="V225" s="929">
        <f>'matrik MISI 5'!W31</f>
        <v>90</v>
      </c>
      <c r="W225" s="929"/>
      <c r="X225" s="929" t="str">
        <f>'matrik MISI 5'!X31</f>
        <v>Dinas Kesehatan</v>
      </c>
      <c r="Y225" s="164" t="str">
        <f>'matrik MISI 5'!Y31</f>
        <v>Jumlah penderita diare yang datang dan dilayani di sarana Kesehatan dan Kader di suatu wilayah tertentu dalam waktu satu tahun. / Jumlah perkiraan penderita diare pd satu wilayah tertentu dalam waktu yg sama x 100</v>
      </c>
      <c r="Z225" s="164" t="str">
        <f>'matrik MISI 5'!Z31</f>
        <v xml:space="preserve"> Jumlah perkiraan penderita diare  = 10% dari angka kesakitan diare x jumlah penduduk</v>
      </c>
    </row>
    <row r="226" spans="2:26" ht="135">
      <c r="B226" s="940"/>
      <c r="C226" s="941"/>
      <c r="D226" s="940"/>
      <c r="E226" s="940"/>
      <c r="F226" s="940"/>
      <c r="G226" s="398"/>
      <c r="H226" s="164" t="str">
        <f>'matrik MISI 5'!N32</f>
        <v>CFR (Angka Kematian Diare per 10.000 Penduduk)</v>
      </c>
      <c r="I226" s="164">
        <f>'matrik MISI 5'!O32</f>
        <v>0</v>
      </c>
      <c r="J226" s="929">
        <f>'matrik MISI 5'!P32</f>
        <v>0.79</v>
      </c>
      <c r="K226" s="929" t="str">
        <f>'matrik MISI 5'!Q32</f>
        <v>&lt;1</v>
      </c>
      <c r="L226" s="929" t="str">
        <f>'matrik MISI 5'!R32</f>
        <v>&lt; 1</v>
      </c>
      <c r="M226" s="961"/>
      <c r="N226" s="929" t="str">
        <f>'matrik MISI 5'!S32</f>
        <v>&lt; 1</v>
      </c>
      <c r="O226" s="929"/>
      <c r="P226" s="929" t="str">
        <f>'matrik MISI 5'!T32</f>
        <v>&lt; 1</v>
      </c>
      <c r="Q226" s="929"/>
      <c r="R226" s="929" t="str">
        <f>'matrik MISI 5'!U32</f>
        <v>&lt; 1</v>
      </c>
      <c r="S226" s="929"/>
      <c r="T226" s="929" t="str">
        <f>'matrik MISI 5'!V32</f>
        <v>&lt; 1</v>
      </c>
      <c r="U226" s="929"/>
      <c r="V226" s="929" t="str">
        <f>'matrik MISI 5'!W32</f>
        <v>&lt; 1</v>
      </c>
      <c r="W226" s="929"/>
      <c r="X226" s="929" t="str">
        <f>'matrik MISI 5'!X32</f>
        <v>Dinas Kesehatan</v>
      </c>
      <c r="Y226" s="164" t="str">
        <f>'matrik MISI 5'!Y32</f>
        <v>Jumlah kematian yang disebabkan diare di suatu wilayah kerja pada kurun waktu  tahun tertentu / Jumlah penduduk di suatu wilayah kerja pada kurun waktu yang sama x 10.000</v>
      </c>
      <c r="Z226" s="164">
        <f>'matrik MISI 5'!Z32</f>
        <v>0</v>
      </c>
    </row>
    <row r="227" spans="2:26" ht="75">
      <c r="B227" s="940"/>
      <c r="C227" s="941"/>
      <c r="D227" s="940"/>
      <c r="E227" s="940"/>
      <c r="F227" s="940"/>
      <c r="G227" s="398"/>
      <c r="H227" s="164" t="str">
        <f>'matrik MISI 5'!N33</f>
        <v>Angka Penemuan Kasus Malaria per 1.000 Penduduk</v>
      </c>
      <c r="I227" s="164">
        <f>'matrik MISI 5'!O33</f>
        <v>0</v>
      </c>
      <c r="J227" s="929" t="str">
        <f>'matrik MISI 5'!P33</f>
        <v>&lt;1</v>
      </c>
      <c r="K227" s="929" t="str">
        <f>'matrik MISI 5'!Q33</f>
        <v>&lt;1</v>
      </c>
      <c r="L227" s="929" t="str">
        <f>'matrik MISI 5'!R33</f>
        <v>&lt;1</v>
      </c>
      <c r="M227" s="961"/>
      <c r="N227" s="929" t="str">
        <f>'matrik MISI 5'!S33</f>
        <v>&lt;1</v>
      </c>
      <c r="O227" s="929"/>
      <c r="P227" s="929" t="str">
        <f>'matrik MISI 5'!T33</f>
        <v>&lt;1</v>
      </c>
      <c r="Q227" s="929"/>
      <c r="R227" s="929" t="str">
        <f>'matrik MISI 5'!U33</f>
        <v>&lt;1</v>
      </c>
      <c r="S227" s="929"/>
      <c r="T227" s="929" t="str">
        <f>'matrik MISI 5'!V33</f>
        <v>&lt;1</v>
      </c>
      <c r="U227" s="929"/>
      <c r="V227" s="929" t="str">
        <f>'matrik MISI 5'!W33</f>
        <v>&lt;1</v>
      </c>
      <c r="W227" s="929"/>
      <c r="X227" s="929" t="str">
        <f>'matrik MISI 5'!X33</f>
        <v>Dinas Kesehatan</v>
      </c>
      <c r="Y227" s="164" t="str">
        <f>'matrik MISI 5'!Y33</f>
        <v>Banyaknya penduduk yang terdiagnosis
menderita malaria / Jumlah penduduk x 1.000</v>
      </c>
      <c r="Z227" s="164">
        <f>'matrik MISI 5'!Z33</f>
        <v>0</v>
      </c>
    </row>
    <row r="228" spans="2:26" ht="75">
      <c r="B228" s="940"/>
      <c r="C228" s="941"/>
      <c r="D228" s="940"/>
      <c r="E228" s="940"/>
      <c r="F228" s="940"/>
      <c r="G228" s="398"/>
      <c r="H228" s="164" t="str">
        <f>'matrik MISI 5'!N34</f>
        <v>Inciden Rate DBD (Demam Berdarah Dengue) per 10.000 Penduduk</v>
      </c>
      <c r="I228" s="164" t="str">
        <f>'matrik MISI 5'!O34</f>
        <v>%</v>
      </c>
      <c r="J228" s="929">
        <f>'matrik MISI 5'!P34</f>
        <v>0.56999999999999995</v>
      </c>
      <c r="K228" s="929" t="str">
        <f>'matrik MISI 5'!Q34</f>
        <v>&lt;20</v>
      </c>
      <c r="L228" s="929" t="str">
        <f>'matrik MISI 5'!R34</f>
        <v>&lt;20</v>
      </c>
      <c r="M228" s="961"/>
      <c r="N228" s="929" t="str">
        <f>'matrik MISI 5'!S34</f>
        <v>&lt;20</v>
      </c>
      <c r="O228" s="929"/>
      <c r="P228" s="929" t="str">
        <f>'matrik MISI 5'!T34</f>
        <v>&lt;20</v>
      </c>
      <c r="Q228" s="929"/>
      <c r="R228" s="929" t="str">
        <f>'matrik MISI 5'!U34</f>
        <v>&lt;20</v>
      </c>
      <c r="S228" s="929"/>
      <c r="T228" s="929" t="str">
        <f>'matrik MISI 5'!V34</f>
        <v>&lt;20</v>
      </c>
      <c r="U228" s="929"/>
      <c r="V228" s="929" t="str">
        <f>'matrik MISI 5'!W34</f>
        <v>&lt;20</v>
      </c>
      <c r="W228" s="929"/>
      <c r="X228" s="929" t="str">
        <f>'matrik MISI 5'!X34</f>
        <v>Dinas Kesehatan</v>
      </c>
      <c r="Y228" s="164" t="str">
        <f>'matrik MISI 5'!Y34</f>
        <v>Jumlah penderita DBD yang ditangani sesuai SOP / Jumlah penderita DBD yang ditemukan x 100</v>
      </c>
      <c r="Z228" s="164">
        <f>'matrik MISI 5'!Z34</f>
        <v>0</v>
      </c>
    </row>
    <row r="229" spans="2:26" ht="165">
      <c r="B229" s="940"/>
      <c r="C229" s="941"/>
      <c r="D229" s="940"/>
      <c r="E229" s="940"/>
      <c r="F229" s="940"/>
      <c r="G229" s="398"/>
      <c r="H229" s="164" t="str">
        <f>'matrik MISI 5'!N35</f>
        <v>CFR atau Angka Kematian DBD (Demam Berdarah Dengue)</v>
      </c>
      <c r="I229" s="164" t="str">
        <f>'matrik MISI 5'!O35</f>
        <v>%</v>
      </c>
      <c r="J229" s="929">
        <f>'matrik MISI 5'!P35</f>
        <v>0</v>
      </c>
      <c r="K229" s="929" t="str">
        <f>'matrik MISI 5'!Q35</f>
        <v>&lt;2</v>
      </c>
      <c r="L229" s="929" t="str">
        <f>'matrik MISI 5'!R35</f>
        <v>&lt;1</v>
      </c>
      <c r="M229" s="961"/>
      <c r="N229" s="929" t="str">
        <f>'matrik MISI 5'!S35</f>
        <v>&lt;1</v>
      </c>
      <c r="O229" s="929"/>
      <c r="P229" s="929" t="str">
        <f>'matrik MISI 5'!T35</f>
        <v>&lt;1</v>
      </c>
      <c r="Q229" s="929"/>
      <c r="R229" s="929" t="str">
        <f>'matrik MISI 5'!U35</f>
        <v>&lt;1</v>
      </c>
      <c r="S229" s="929"/>
      <c r="T229" s="929" t="str">
        <f>'matrik MISI 5'!V35</f>
        <v>&lt;1</v>
      </c>
      <c r="U229" s="929"/>
      <c r="V229" s="929" t="str">
        <f>'matrik MISI 5'!W35</f>
        <v>&lt;1</v>
      </c>
      <c r="W229" s="929"/>
      <c r="X229" s="929" t="str">
        <f>'matrik MISI 5'!X35</f>
        <v>Dinas Kesehatan</v>
      </c>
      <c r="Y229" s="164" t="str">
        <f>'matrik MISI 5'!Y35</f>
        <v>Jumlah kematian yang disebabkan DBD di suatu wilayah kerja pada kurun waktu  tahun tertentu / Jumlah penderita penyakit DBD yang ditemukan di suatu wilayah kerja pada kurun waktu yang sama x 100</v>
      </c>
      <c r="Z229" s="164">
        <f>'matrik MISI 5'!Z35</f>
        <v>0</v>
      </c>
    </row>
    <row r="230" spans="2:26" ht="75">
      <c r="B230" s="940"/>
      <c r="C230" s="941"/>
      <c r="D230" s="940"/>
      <c r="E230" s="940"/>
      <c r="F230" s="940"/>
      <c r="G230" s="398"/>
      <c r="H230" s="164" t="str">
        <f>'matrik MISI 5'!N36</f>
        <v>Penderita DBD (Demam Berdarah Dengue) yang Ditangani</v>
      </c>
      <c r="I230" s="164" t="str">
        <f>'matrik MISI 5'!O36</f>
        <v>%</v>
      </c>
      <c r="J230" s="929">
        <f>'matrik MISI 5'!P36</f>
        <v>100</v>
      </c>
      <c r="K230" s="929">
        <f>'matrik MISI 5'!Q36</f>
        <v>100</v>
      </c>
      <c r="L230" s="929">
        <f>'matrik MISI 5'!R36</f>
        <v>100</v>
      </c>
      <c r="M230" s="961"/>
      <c r="N230" s="929">
        <f>'matrik MISI 5'!S36</f>
        <v>100</v>
      </c>
      <c r="O230" s="929"/>
      <c r="P230" s="929">
        <f>'matrik MISI 5'!T36</f>
        <v>100</v>
      </c>
      <c r="Q230" s="929"/>
      <c r="R230" s="929">
        <f>'matrik MISI 5'!U36</f>
        <v>100</v>
      </c>
      <c r="S230" s="929"/>
      <c r="T230" s="929">
        <f>'matrik MISI 5'!V36</f>
        <v>100</v>
      </c>
      <c r="U230" s="929"/>
      <c r="V230" s="929">
        <f>'matrik MISI 5'!W36</f>
        <v>100</v>
      </c>
      <c r="W230" s="929"/>
      <c r="X230" s="929" t="str">
        <f>'matrik MISI 5'!X36</f>
        <v>Dinas Kesehatan</v>
      </c>
      <c r="Y230" s="164" t="str">
        <f>'matrik MISI 5'!Y36</f>
        <v>Jumlah penderita DBD yang ditangani sesuai SOP / Jumlah penderita DBD yang ditemukan x100</v>
      </c>
      <c r="Z230" s="164">
        <f>'matrik MISI 5'!Z36</f>
        <v>0</v>
      </c>
    </row>
    <row r="231" spans="2:26" ht="60">
      <c r="B231" s="940"/>
      <c r="C231" s="941"/>
      <c r="D231" s="940"/>
      <c r="E231" s="940"/>
      <c r="F231" s="940"/>
      <c r="G231" s="398"/>
      <c r="H231" s="164" t="str">
        <f>'matrik MISI 5'!N37</f>
        <v>Cakupan Desa atau Kelurahan Universal Child Immunisation (UCI)</v>
      </c>
      <c r="I231" s="164" t="str">
        <f>'matrik MISI 5'!O37</f>
        <v>%</v>
      </c>
      <c r="J231" s="929">
        <f>'matrik MISI 5'!P37</f>
        <v>99.65</v>
      </c>
      <c r="K231" s="929">
        <f>'matrik MISI 5'!Q37</f>
        <v>100</v>
      </c>
      <c r="L231" s="929">
        <f>'matrik MISI 5'!R37</f>
        <v>100</v>
      </c>
      <c r="M231" s="961"/>
      <c r="N231" s="929">
        <f>'matrik MISI 5'!S37</f>
        <v>100</v>
      </c>
      <c r="O231" s="929"/>
      <c r="P231" s="929">
        <f>'matrik MISI 5'!T37</f>
        <v>100</v>
      </c>
      <c r="Q231" s="929"/>
      <c r="R231" s="929">
        <f>'matrik MISI 5'!U37</f>
        <v>100</v>
      </c>
      <c r="S231" s="929"/>
      <c r="T231" s="929">
        <f>'matrik MISI 5'!V37</f>
        <v>100</v>
      </c>
      <c r="U231" s="929"/>
      <c r="V231" s="929">
        <f>'matrik MISI 5'!W37</f>
        <v>100</v>
      </c>
      <c r="W231" s="929"/>
      <c r="X231" s="929" t="str">
        <f>'matrik MISI 5'!X37</f>
        <v>Dinas Kesehatan</v>
      </c>
      <c r="Y231" s="164" t="str">
        <f>'matrik MISI 5'!Y37</f>
        <v>Jumlah desa/kelurahan UCI / Jumlah seluruh desa/kelurahan x 100</v>
      </c>
      <c r="Z231" s="164">
        <f>'matrik MISI 5'!Z37</f>
        <v>0</v>
      </c>
    </row>
    <row r="232" spans="2:26" ht="120">
      <c r="B232" s="940"/>
      <c r="C232" s="941"/>
      <c r="D232" s="940"/>
      <c r="E232" s="940"/>
      <c r="F232" s="940"/>
      <c r="G232" s="398"/>
      <c r="H232" s="164" t="str">
        <f>'matrik MISI 5'!N38</f>
        <v>Proporsi Anak Umur 1 Tahun diimunisasi Campak</v>
      </c>
      <c r="I232" s="164" t="str">
        <f>'matrik MISI 5'!O38</f>
        <v>%</v>
      </c>
      <c r="J232" s="929">
        <f>'matrik MISI 5'!P38</f>
        <v>95</v>
      </c>
      <c r="K232" s="929">
        <f>'matrik MISI 5'!Q38</f>
        <v>95</v>
      </c>
      <c r="L232" s="929">
        <f>'matrik MISI 5'!R38</f>
        <v>95</v>
      </c>
      <c r="M232" s="961"/>
      <c r="N232" s="929">
        <f>'matrik MISI 5'!S38</f>
        <v>95</v>
      </c>
      <c r="O232" s="929"/>
      <c r="P232" s="929">
        <f>'matrik MISI 5'!T38</f>
        <v>95</v>
      </c>
      <c r="Q232" s="929"/>
      <c r="R232" s="929">
        <f>'matrik MISI 5'!U38</f>
        <v>95</v>
      </c>
      <c r="S232" s="929"/>
      <c r="T232" s="929">
        <f>'matrik MISI 5'!V38</f>
        <v>95</v>
      </c>
      <c r="U232" s="929"/>
      <c r="V232" s="929">
        <f>'matrik MISI 5'!W38</f>
        <v>95</v>
      </c>
      <c r="W232" s="929"/>
      <c r="X232" s="929" t="str">
        <f>'matrik MISI 5'!X38</f>
        <v>Dinas Kesehatan</v>
      </c>
      <c r="Y232" s="164" t="str">
        <f>'matrik MISI 5'!Y38</f>
        <v>Banyaknya anak yang pernah diimunisasi campak sekurang-kurangnya 1 kali dan usia 12-23 bulan / Jumlah anak yang berusia 12-23 bulan x 100</v>
      </c>
      <c r="Z232" s="164">
        <f>'matrik MISI 5'!Z38</f>
        <v>0</v>
      </c>
    </row>
    <row r="233" spans="2:26" ht="105">
      <c r="B233" s="940"/>
      <c r="C233" s="941"/>
      <c r="D233" s="940"/>
      <c r="E233" s="940"/>
      <c r="F233" s="940"/>
      <c r="G233" s="398"/>
      <c r="H233" s="164" t="str">
        <f>'matrik MISI 5'!N39</f>
        <v>Acut Flacid Paralysis (AFP) Rate per 100.000  Penduduk Usia &lt; 15 Tahun</v>
      </c>
      <c r="I233" s="164" t="str">
        <f>'matrik MISI 5'!O39</f>
        <v>kasus</v>
      </c>
      <c r="J233" s="929" t="str">
        <f>'matrik MISI 5'!P39</f>
        <v>5 kasus</v>
      </c>
      <c r="K233" s="929" t="str">
        <f>'matrik MISI 5'!Q39</f>
        <v>≥2 (4 kasus)</v>
      </c>
      <c r="L233" s="929" t="str">
        <f>'matrik MISI 5'!R39</f>
        <v>≥2 (4 kasus)</v>
      </c>
      <c r="M233" s="961"/>
      <c r="N233" s="929" t="str">
        <f>'matrik MISI 5'!S39</f>
        <v>≥2 (4 kasus)</v>
      </c>
      <c r="O233" s="929"/>
      <c r="P233" s="929" t="str">
        <f>'matrik MISI 5'!T39</f>
        <v>≥2 (4 kasus)</v>
      </c>
      <c r="Q233" s="929"/>
      <c r="R233" s="929" t="str">
        <f>'matrik MISI 5'!U39</f>
        <v>≥2 (4 kasus)</v>
      </c>
      <c r="S233" s="929"/>
      <c r="T233" s="929" t="str">
        <f>'matrik MISI 5'!V39</f>
        <v>≥2 (4 kasus)</v>
      </c>
      <c r="U233" s="929"/>
      <c r="V233" s="929" t="str">
        <f>'matrik MISI 5'!W39</f>
        <v>≥2 (4 kasus)</v>
      </c>
      <c r="W233" s="929"/>
      <c r="X233" s="929" t="str">
        <f>'matrik MISI 5'!X39</f>
        <v>Dinas Kesehatan</v>
      </c>
      <c r="Y233" s="164" t="str">
        <f>'matrik MISI 5'!Y39</f>
        <v xml:space="preserve">Jumlah kasus AFP non Polio pada penduduk &lt; 15 tahun yang dilaporkan / Jumlah Penduduk &lt; 15 tahun x 100
</v>
      </c>
      <c r="Z233" s="164">
        <f>'matrik MISI 5'!Z39</f>
        <v>0</v>
      </c>
    </row>
    <row r="234" spans="2:26" ht="105">
      <c r="B234" s="940"/>
      <c r="C234" s="941"/>
      <c r="D234" s="940"/>
      <c r="E234" s="940"/>
      <c r="F234" s="940"/>
      <c r="G234" s="398"/>
      <c r="H234" s="164" t="str">
        <f>'matrik MISI 5'!N40</f>
        <v>Cakupan Desa atau Kelurahan Mengalami Kejadian Luar Biasa (KLB) yang dilakukan Penyelidikan Epidemiologi &lt; 24 jam</v>
      </c>
      <c r="I234" s="164" t="str">
        <f>'matrik MISI 5'!O40</f>
        <v>%</v>
      </c>
      <c r="J234" s="929">
        <f>'matrik MISI 5'!P40</f>
        <v>96.15</v>
      </c>
      <c r="K234" s="929">
        <f>'matrik MISI 5'!Q40</f>
        <v>100</v>
      </c>
      <c r="L234" s="929">
        <f>'matrik MISI 5'!R40</f>
        <v>100</v>
      </c>
      <c r="M234" s="961"/>
      <c r="N234" s="929">
        <f>'matrik MISI 5'!S40</f>
        <v>100</v>
      </c>
      <c r="O234" s="929"/>
      <c r="P234" s="929">
        <f>'matrik MISI 5'!T40</f>
        <v>100</v>
      </c>
      <c r="Q234" s="929"/>
      <c r="R234" s="929">
        <f>'matrik MISI 5'!U40</f>
        <v>100</v>
      </c>
      <c r="S234" s="929"/>
      <c r="T234" s="929">
        <f>'matrik MISI 5'!V40</f>
        <v>100</v>
      </c>
      <c r="U234" s="929"/>
      <c r="V234" s="929">
        <f>'matrik MISI 5'!W40</f>
        <v>100</v>
      </c>
      <c r="W234" s="929"/>
      <c r="X234" s="929" t="str">
        <f>'matrik MISI 5'!X40</f>
        <v>Dinas Kesehatan</v>
      </c>
      <c r="Y234" s="164" t="str">
        <f>'matrik MISI 5'!Y40</f>
        <v>Jumlah KLB di desa/kelurahan yang ditangani &lt;24 jam / Jumlah KLB di desa/kelurahan yang terjadi pada wilayah desa/kelurahan x 100</v>
      </c>
      <c r="Z234" s="164">
        <f>'matrik MISI 5'!Z40</f>
        <v>0</v>
      </c>
    </row>
    <row r="235" spans="2:26" ht="90">
      <c r="B235" s="940"/>
      <c r="C235" s="941"/>
      <c r="D235" s="940"/>
      <c r="E235" s="940"/>
      <c r="F235" s="940"/>
      <c r="G235" s="398"/>
      <c r="H235" s="164" t="str">
        <f>'matrik MISI 5'!N41</f>
        <v>Cakupan Penderita diare Yang ditangani</v>
      </c>
      <c r="I235" s="164" t="str">
        <f>'matrik MISI 5'!O41</f>
        <v>%</v>
      </c>
      <c r="J235" s="929">
        <f>'matrik MISI 5'!P41</f>
        <v>100</v>
      </c>
      <c r="K235" s="929">
        <f>'matrik MISI 5'!Q41</f>
        <v>100</v>
      </c>
      <c r="L235" s="929">
        <f>'matrik MISI 5'!R41</f>
        <v>100</v>
      </c>
      <c r="M235" s="961"/>
      <c r="N235" s="929">
        <f>'matrik MISI 5'!S41</f>
        <v>100</v>
      </c>
      <c r="O235" s="929"/>
      <c r="P235" s="929">
        <f>'matrik MISI 5'!T41</f>
        <v>100</v>
      </c>
      <c r="Q235" s="929"/>
      <c r="R235" s="929">
        <f>'matrik MISI 5'!U41</f>
        <v>100</v>
      </c>
      <c r="S235" s="929"/>
      <c r="T235" s="929">
        <f>'matrik MISI 5'!V41</f>
        <v>100</v>
      </c>
      <c r="U235" s="929"/>
      <c r="V235" s="929">
        <f>'matrik MISI 5'!W41</f>
        <v>100</v>
      </c>
      <c r="W235" s="929"/>
      <c r="X235" s="929" t="str">
        <f>'matrik MISI 5'!X41</f>
        <v>Dinas Kesehatan</v>
      </c>
      <c r="Y235" s="164" t="str">
        <f>'matrik MISI 5'!Y41</f>
        <v>Jumlah penderita diare yang datang dan dilayani di sarana Kesehatan dan Kader / Jumlah perkiraan penderita diare   x 100</v>
      </c>
      <c r="Z235" s="164">
        <f>'matrik MISI 5'!Z41</f>
        <v>0</v>
      </c>
    </row>
    <row r="236" spans="2:26" s="570" customFormat="1" ht="30" hidden="1">
      <c r="B236" s="1021"/>
      <c r="C236" s="1022"/>
      <c r="D236" s="1021">
        <f>'matrik MISI 5'!J43</f>
        <v>1.02</v>
      </c>
      <c r="E236" s="1021" t="str">
        <f>'matrik MISI 5'!K43</f>
        <v>xx</v>
      </c>
      <c r="F236" s="1021">
        <f>'matrik MISI 5'!L43</f>
        <v>20</v>
      </c>
      <c r="G236" s="607" t="str">
        <f>'matrik MISI 5'!M43</f>
        <v>Perbaikan Gizi Masyarakat</v>
      </c>
      <c r="H236" s="611"/>
      <c r="I236" s="611"/>
      <c r="J236" s="964"/>
      <c r="K236" s="964"/>
      <c r="L236" s="964"/>
      <c r="M236" s="1023">
        <f>'jangan di hapus 1'!K315</f>
        <v>250000000</v>
      </c>
      <c r="N236" s="1023"/>
      <c r="O236" s="1023">
        <f>'jangan di hapus 1'!M315</f>
        <v>612500000</v>
      </c>
      <c r="P236" s="1023"/>
      <c r="Q236" s="1023">
        <f>'jangan di hapus 1'!O315</f>
        <v>700000000</v>
      </c>
      <c r="R236" s="1023"/>
      <c r="S236" s="1023">
        <f>'jangan di hapus 1'!Q315</f>
        <v>750000000</v>
      </c>
      <c r="T236" s="1023"/>
      <c r="U236" s="1023">
        <f>'jangan di hapus 1'!S315</f>
        <v>800000000</v>
      </c>
      <c r="V236" s="964"/>
      <c r="W236" s="1023">
        <f>SUM(M236:U236)</f>
        <v>3112500000</v>
      </c>
      <c r="X236" s="964"/>
      <c r="Y236" s="611"/>
      <c r="Z236" s="611"/>
    </row>
    <row r="237" spans="2:26" ht="105">
      <c r="B237" s="940"/>
      <c r="C237" s="941"/>
      <c r="D237" s="940"/>
      <c r="E237" s="940"/>
      <c r="F237" s="940"/>
      <c r="G237" s="398"/>
      <c r="H237" s="164" t="str">
        <f>'matrik MISI 5'!N46</f>
        <v>Cakupan Balita Gizi Buruk Mendapat Perawatan</v>
      </c>
      <c r="I237" s="164" t="str">
        <f>'matrik MISI 5'!O46</f>
        <v>%</v>
      </c>
      <c r="J237" s="929">
        <f>'matrik MISI 5'!P46</f>
        <v>100</v>
      </c>
      <c r="K237" s="929">
        <f>'matrik MISI 5'!Q46</f>
        <v>100</v>
      </c>
      <c r="L237" s="929">
        <f>'matrik MISI 5'!R46</f>
        <v>100</v>
      </c>
      <c r="M237" s="961"/>
      <c r="N237" s="929">
        <f>'matrik MISI 5'!S46</f>
        <v>100</v>
      </c>
      <c r="O237" s="929"/>
      <c r="P237" s="929">
        <f>'matrik MISI 5'!T46</f>
        <v>100</v>
      </c>
      <c r="Q237" s="929"/>
      <c r="R237" s="929">
        <f>'matrik MISI 5'!U46</f>
        <v>100</v>
      </c>
      <c r="S237" s="929"/>
      <c r="T237" s="929">
        <f>'matrik MISI 5'!V46</f>
        <v>100</v>
      </c>
      <c r="U237" s="929"/>
      <c r="V237" s="929">
        <f>'matrik MISI 5'!W46</f>
        <v>100</v>
      </c>
      <c r="W237" s="929"/>
      <c r="X237" s="929" t="str">
        <f>'matrik MISI 5'!X46</f>
        <v>Dinas Kesehatan</v>
      </c>
      <c r="Y237" s="164" t="str">
        <f>'matrik MISI 5'!Y46</f>
        <v>Jumlah balita gizi buruk yang mendapat perawatan di sarana pelayanan kesehatan / Jumlah seluruh balita gizi buruk yang ditemukan x 100</v>
      </c>
      <c r="Z237" s="164">
        <f>'matrik MISI 5'!Z46</f>
        <v>0</v>
      </c>
    </row>
    <row r="238" spans="2:26" ht="60" hidden="1">
      <c r="B238" s="940"/>
      <c r="C238" s="941"/>
      <c r="D238" s="940">
        <f>'matrik MISI 5'!J48</f>
        <v>1.02</v>
      </c>
      <c r="E238" s="940" t="str">
        <f>'matrik MISI 5'!K48</f>
        <v>xx</v>
      </c>
      <c r="F238" s="940">
        <f>'matrik MISI 5'!L48</f>
        <v>15</v>
      </c>
      <c r="G238" s="398" t="str">
        <f>'matrik MISI 5'!M48</f>
        <v>Penyediaan Obat dan Perbekalan Kesehatan (Program Obat dan Perbekalan Kesehatan)</v>
      </c>
      <c r="H238" s="164"/>
      <c r="I238" s="164"/>
      <c r="J238" s="929"/>
      <c r="K238" s="929"/>
      <c r="L238" s="929"/>
      <c r="M238" s="961">
        <f>'jangan di hapus 1'!K287</f>
        <v>1592079000</v>
      </c>
      <c r="N238" s="961"/>
      <c r="O238" s="961">
        <f>'jangan di hapus 1'!M287</f>
        <v>2610000000</v>
      </c>
      <c r="P238" s="961"/>
      <c r="Q238" s="961">
        <f>'jangan di hapus 1'!O287</f>
        <v>2720000000</v>
      </c>
      <c r="R238" s="961"/>
      <c r="S238" s="961">
        <f>'jangan di hapus 1'!Q287</f>
        <v>2825000000</v>
      </c>
      <c r="T238" s="961"/>
      <c r="U238" s="961">
        <f>'jangan di hapus 1'!S287</f>
        <v>2931000000</v>
      </c>
      <c r="V238" s="929"/>
      <c r="W238" s="961">
        <f>SUM(M238:U238)</f>
        <v>12678079000</v>
      </c>
      <c r="X238" s="929"/>
      <c r="Y238" s="164"/>
      <c r="Z238" s="164"/>
    </row>
    <row r="239" spans="2:26" ht="30" hidden="1">
      <c r="B239" s="940"/>
      <c r="C239" s="941"/>
      <c r="D239" s="940">
        <f>'matrik MISI 5'!J49</f>
        <v>1.02</v>
      </c>
      <c r="E239" s="940" t="str">
        <f>'matrik MISI 5'!K49</f>
        <v>xx</v>
      </c>
      <c r="F239" s="940">
        <f>'matrik MISI 5'!L49</f>
        <v>17</v>
      </c>
      <c r="G239" s="398" t="str">
        <f>'matrik MISI 5'!M49</f>
        <v>Program Pengawasan Obat dan Makanan</v>
      </c>
      <c r="H239" s="164"/>
      <c r="I239" s="164"/>
      <c r="J239" s="929"/>
      <c r="K239" s="929"/>
      <c r="L239" s="929"/>
      <c r="M239" s="961">
        <f>'jangan di hapus 1'!K306</f>
        <v>30000000</v>
      </c>
      <c r="N239" s="961"/>
      <c r="O239" s="961">
        <f>'jangan di hapus 1'!M306</f>
        <v>92500000</v>
      </c>
      <c r="P239" s="961"/>
      <c r="Q239" s="961">
        <f>'jangan di hapus 1'!O306</f>
        <v>120000000</v>
      </c>
      <c r="R239" s="961"/>
      <c r="S239" s="961">
        <f>'jangan di hapus 1'!Q306</f>
        <v>145000000</v>
      </c>
      <c r="T239" s="961"/>
      <c r="U239" s="961">
        <f>'jangan di hapus 1'!S306</f>
        <v>170000000</v>
      </c>
      <c r="V239" s="929"/>
      <c r="W239" s="961">
        <f>SUM(M239:U239)</f>
        <v>557500000</v>
      </c>
      <c r="X239" s="929"/>
      <c r="Y239" s="164"/>
      <c r="Z239" s="164"/>
    </row>
    <row r="240" spans="2:26" ht="105">
      <c r="B240" s="940"/>
      <c r="C240" s="941"/>
      <c r="D240" s="939"/>
      <c r="E240" s="939"/>
      <c r="F240" s="939"/>
      <c r="G240" s="965"/>
      <c r="H240" s="164" t="str">
        <f>'matrik MISI 5'!N48</f>
        <v>Cakupan Ketersediaan Obat sesuai Kebutuhan</v>
      </c>
      <c r="I240" s="164" t="str">
        <f>'matrik MISI 5'!O48</f>
        <v>%</v>
      </c>
      <c r="J240" s="929">
        <f>'matrik MISI 5'!P48</f>
        <v>98.6</v>
      </c>
      <c r="K240" s="929">
        <f>'matrik MISI 5'!Q48</f>
        <v>100</v>
      </c>
      <c r="L240" s="929">
        <f>'matrik MISI 5'!R48</f>
        <v>90</v>
      </c>
      <c r="M240" s="961"/>
      <c r="N240" s="929">
        <f>'matrik MISI 5'!S48</f>
        <v>90</v>
      </c>
      <c r="O240" s="929"/>
      <c r="P240" s="929">
        <f>'matrik MISI 5'!T48</f>
        <v>90</v>
      </c>
      <c r="Q240" s="929"/>
      <c r="R240" s="929">
        <f>'matrik MISI 5'!U48</f>
        <v>90</v>
      </c>
      <c r="S240" s="929"/>
      <c r="T240" s="929">
        <f>'matrik MISI 5'!V48</f>
        <v>90</v>
      </c>
      <c r="U240" s="929"/>
      <c r="V240" s="929">
        <f>'matrik MISI 5'!W48</f>
        <v>90</v>
      </c>
      <c r="W240" s="929"/>
      <c r="X240" s="929" t="str">
        <f>'matrik MISI 5'!X48</f>
        <v>Dinas Kesehatan</v>
      </c>
      <c r="Y240" s="164" t="str">
        <f>'matrik MISI 5'!Y48</f>
        <v>Jumlah obat yang tersedia sesuai kebutuhan / Jumlah obat yang dibutuhkan x 100</v>
      </c>
      <c r="Z240" s="164" t="str">
        <f>'matrik MISI 5'!Z48</f>
        <v xml:space="preserve">Jumlah ob at yang dibutuhkan adalah jumlah obat yang diusulkan pemenuhannya melalui mekanisme pengadaan </v>
      </c>
    </row>
    <row r="241" spans="2:26" ht="60" hidden="1">
      <c r="B241" s="940"/>
      <c r="C241" s="941"/>
      <c r="D241" s="940">
        <f>'matrik MISI 5'!J51</f>
        <v>1.02</v>
      </c>
      <c r="E241" s="940" t="str">
        <f>'matrik MISI 5'!K51</f>
        <v>xx</v>
      </c>
      <c r="F241" s="940">
        <f>'matrik MISI 5'!L51</f>
        <v>23</v>
      </c>
      <c r="G241" s="398" t="str">
        <f>'matrik MISI 5'!M51</f>
        <v>Pengembangan Sumber Daya Kesehatan (Program Standarisasi Pelayanan Kesehatan)</v>
      </c>
      <c r="H241" s="164"/>
      <c r="I241" s="164"/>
      <c r="J241" s="929"/>
      <c r="K241" s="929"/>
      <c r="L241" s="929"/>
      <c r="M241" s="961">
        <f>'jangan di hapus 1'!K364</f>
        <v>374000000</v>
      </c>
      <c r="N241" s="961"/>
      <c r="O241" s="961">
        <f>'jangan di hapus 1'!M364</f>
        <v>537520000</v>
      </c>
      <c r="P241" s="961"/>
      <c r="Q241" s="961">
        <f>'jangan di hapus 1'!O364</f>
        <v>578000000</v>
      </c>
      <c r="R241" s="961"/>
      <c r="S241" s="961">
        <f>'jangan di hapus 1'!Q364</f>
        <v>615000000</v>
      </c>
      <c r="T241" s="961"/>
      <c r="U241" s="961">
        <f>'jangan di hapus 1'!S364</f>
        <v>670000000</v>
      </c>
      <c r="V241" s="929"/>
      <c r="W241" s="961">
        <f>SUM(M241:U241)</f>
        <v>2774520000</v>
      </c>
      <c r="X241" s="929"/>
      <c r="Y241" s="164"/>
      <c r="Z241" s="164"/>
    </row>
    <row r="242" spans="2:26" ht="90">
      <c r="B242" s="940"/>
      <c r="C242" s="941"/>
      <c r="D242" s="939"/>
      <c r="E242" s="939"/>
      <c r="F242" s="939"/>
      <c r="G242" s="965"/>
      <c r="H242" s="164" t="str">
        <f>'matrik MISI 5'!N51</f>
        <v>Cakupan Fasilitas Kesehatan dengan SDM sesuai Standar</v>
      </c>
      <c r="I242" s="164" t="str">
        <f>'matrik MISI 5'!O51</f>
        <v>%</v>
      </c>
      <c r="J242" s="929" t="str">
        <f>'matrik MISI 5'!P51</f>
        <v>tda</v>
      </c>
      <c r="K242" s="929" t="str">
        <f>'matrik MISI 5'!Q51</f>
        <v>tda</v>
      </c>
      <c r="L242" s="929">
        <f>'matrik MISI 5'!R51</f>
        <v>65</v>
      </c>
      <c r="M242" s="961"/>
      <c r="N242" s="929">
        <f>'matrik MISI 5'!S51</f>
        <v>66.25</v>
      </c>
      <c r="O242" s="929"/>
      <c r="P242" s="929">
        <f>'matrik MISI 5'!T51</f>
        <v>67</v>
      </c>
      <c r="Q242" s="929"/>
      <c r="R242" s="929">
        <f>'matrik MISI 5'!U51</f>
        <v>68.5</v>
      </c>
      <c r="S242" s="929"/>
      <c r="T242" s="929">
        <f>'matrik MISI 5'!V51</f>
        <v>70</v>
      </c>
      <c r="U242" s="929"/>
      <c r="V242" s="929">
        <f>'matrik MISI 5'!W51</f>
        <v>70</v>
      </c>
      <c r="W242" s="929"/>
      <c r="X242" s="929" t="str">
        <f>'matrik MISI 5'!X51</f>
        <v>Dinas Kesehatan</v>
      </c>
      <c r="Y242" s="164" t="str">
        <f>'matrik MISI 5'!Y51</f>
        <v xml:space="preserve">Jumlah Fasilitas Kesehatan dengan SDM sesuai Standar/ Jumlah fasilitas kesehatan yang ada x 100 </v>
      </c>
      <c r="Z242" s="164" t="str">
        <f>'matrik MISI 5'!Z51</f>
        <v>SDM terdiri dari tenaga kesehatan dan non kesehatan</v>
      </c>
    </row>
    <row r="243" spans="2:26" ht="105">
      <c r="B243" s="940"/>
      <c r="C243" s="941"/>
      <c r="D243" s="940"/>
      <c r="E243" s="940"/>
      <c r="F243" s="940"/>
      <c r="G243" s="398"/>
      <c r="H243" s="164" t="str">
        <f>'matrik MISI 5'!N52</f>
        <v>Cakupan Tenaga Kesehatan yang Memenuhi Standar Kompetensi</v>
      </c>
      <c r="I243" s="164" t="str">
        <f>'matrik MISI 5'!O52</f>
        <v>%</v>
      </c>
      <c r="J243" s="929" t="str">
        <f>'matrik MISI 5'!P52</f>
        <v>tda</v>
      </c>
      <c r="K243" s="929" t="str">
        <f>'matrik MISI 5'!Q52</f>
        <v>tda</v>
      </c>
      <c r="L243" s="929">
        <f>'matrik MISI 5'!R52</f>
        <v>70</v>
      </c>
      <c r="M243" s="961"/>
      <c r="N243" s="929">
        <f>'matrik MISI 5'!S52</f>
        <v>75</v>
      </c>
      <c r="O243" s="929"/>
      <c r="P243" s="929">
        <f>'matrik MISI 5'!T52</f>
        <v>80</v>
      </c>
      <c r="Q243" s="929"/>
      <c r="R243" s="929">
        <f>'matrik MISI 5'!U52</f>
        <v>85</v>
      </c>
      <c r="S243" s="929"/>
      <c r="T243" s="929">
        <f>'matrik MISI 5'!V52</f>
        <v>90</v>
      </c>
      <c r="U243" s="929"/>
      <c r="V243" s="929">
        <f>'matrik MISI 5'!W52</f>
        <v>90</v>
      </c>
      <c r="W243" s="929"/>
      <c r="X243" s="929" t="str">
        <f>'matrik MISI 5'!X52</f>
        <v>Dinas Kesehatan</v>
      </c>
      <c r="Y243" s="164" t="str">
        <f>'matrik MISI 5'!Y52</f>
        <v>Jumlah tenaga medis dan paramedis aktif yang memenuhi standar kompetensi/Jumlah tenaga medis dan paramedis aktif x 100</v>
      </c>
      <c r="Z243" s="164" t="str">
        <f>'matrik MISI 5'!Z52</f>
        <v>Tenaga medis dan paramedis aktif adalah tenaga medis dan paramedis yang menjalankan praktik profesinya</v>
      </c>
    </row>
    <row r="244" spans="2:26" ht="90" hidden="1">
      <c r="B244" s="940"/>
      <c r="C244" s="941"/>
      <c r="D244" s="940">
        <f>'matrik MISI 5'!J53</f>
        <v>1.02</v>
      </c>
      <c r="E244" s="940" t="str">
        <f>'matrik MISI 5'!K53</f>
        <v>xx</v>
      </c>
      <c r="F244" s="940">
        <f>'matrik MISI 5'!L53</f>
        <v>26</v>
      </c>
      <c r="G244" s="398" t="str">
        <f>'matrik MISI 5'!M53</f>
        <v>Program pengadaan, peningkatan sarana dan prasarana rumah sakit/rumah sakit jiwa/rumah sakit paru-paru/rumah sakit mata</v>
      </c>
      <c r="H244" s="164"/>
      <c r="I244" s="164"/>
      <c r="J244" s="929"/>
      <c r="K244" s="929"/>
      <c r="L244" s="929"/>
      <c r="M244" s="961">
        <f>'jangan di hapus 1'!K382</f>
        <v>32315240000</v>
      </c>
      <c r="N244" s="961"/>
      <c r="O244" s="961">
        <f>'jangan di hapus 1'!M382</f>
        <v>30300000000</v>
      </c>
      <c r="P244" s="961"/>
      <c r="Q244" s="961">
        <f>'jangan di hapus 1'!O382</f>
        <v>21400000000</v>
      </c>
      <c r="R244" s="961"/>
      <c r="S244" s="961">
        <f>'jangan di hapus 1'!Q382</f>
        <v>24583820001</v>
      </c>
      <c r="T244" s="961"/>
      <c r="U244" s="961">
        <f>'jangan di hapus 1'!S382</f>
        <v>20900000000</v>
      </c>
      <c r="V244" s="929"/>
      <c r="W244" s="961">
        <f>SUM(M244:U244)</f>
        <v>129499060001</v>
      </c>
      <c r="X244" s="929"/>
      <c r="Y244" s="164"/>
      <c r="Z244" s="164"/>
    </row>
    <row r="245" spans="2:26" ht="45">
      <c r="B245" s="940"/>
      <c r="C245" s="941"/>
      <c r="D245" s="939"/>
      <c r="E245" s="939"/>
      <c r="F245" s="939"/>
      <c r="G245" s="965"/>
      <c r="H245" s="164" t="str">
        <f>'matrik MISI 5'!N53</f>
        <v>Rasio ketersediaan sarana dan prasarana puskesmas</v>
      </c>
      <c r="I245" s="164" t="str">
        <f>'matrik MISI 5'!O53</f>
        <v>Rasio</v>
      </c>
      <c r="J245" s="929" t="str">
        <f>'matrik MISI 5'!P53</f>
        <v>1 : 32412</v>
      </c>
      <c r="K245" s="929" t="str">
        <f>'matrik MISI 5'!Q53</f>
        <v>1/30.000</v>
      </c>
      <c r="L245" s="929" t="str">
        <f>'matrik MISI 5'!R53</f>
        <v>1/33.000</v>
      </c>
      <c r="M245" s="961"/>
      <c r="N245" s="929" t="str">
        <f>'matrik MISI 5'!S53</f>
        <v>1/33.000</v>
      </c>
      <c r="O245" s="929"/>
      <c r="P245" s="929" t="str">
        <f>'matrik MISI 5'!T53</f>
        <v>1/32.000</v>
      </c>
      <c r="Q245" s="929"/>
      <c r="R245" s="929" t="str">
        <f>'matrik MISI 5'!U53</f>
        <v>1/31.000</v>
      </c>
      <c r="S245" s="929"/>
      <c r="T245" s="929" t="str">
        <f>'matrik MISI 5'!V53</f>
        <v>1/31.000</v>
      </c>
      <c r="U245" s="929"/>
      <c r="V245" s="929" t="str">
        <f>'matrik MISI 5'!W53</f>
        <v>1/30.000</v>
      </c>
      <c r="W245" s="929"/>
      <c r="X245" s="929">
        <f>'matrik MISI 5'!X53</f>
        <v>0</v>
      </c>
      <c r="Y245" s="164" t="str">
        <f>'matrik MISI 5'!Y53</f>
        <v>Jumlah puskesmas dibanding jumlah penduduk</v>
      </c>
      <c r="Z245" s="164" t="str">
        <f>'matrik MISI 5'!Z53</f>
        <v>Rasio ideal : 1 : 30000</v>
      </c>
    </row>
    <row r="246" spans="2:26" ht="75">
      <c r="B246" s="940"/>
      <c r="C246" s="941"/>
      <c r="D246" s="940"/>
      <c r="E246" s="940"/>
      <c r="F246" s="940"/>
      <c r="G246" s="398"/>
      <c r="H246" s="164" t="str">
        <f>'matrik MISI 5'!N54</f>
        <v>Penyediaan Sarana dan Prasarana Rumah Sakit</v>
      </c>
      <c r="I246" s="164" t="str">
        <f>'matrik MISI 5'!O54</f>
        <v>%</v>
      </c>
      <c r="J246" s="929">
        <f>'matrik MISI 5'!P54</f>
        <v>50.63</v>
      </c>
      <c r="K246" s="929">
        <f>'matrik MISI 5'!Q54</f>
        <v>80</v>
      </c>
      <c r="L246" s="929">
        <f>'matrik MISI 5'!R54</f>
        <v>85</v>
      </c>
      <c r="M246" s="961"/>
      <c r="N246" s="929">
        <f>'matrik MISI 5'!S54</f>
        <v>90</v>
      </c>
      <c r="O246" s="929"/>
      <c r="P246" s="929">
        <f>'matrik MISI 5'!T54</f>
        <v>95</v>
      </c>
      <c r="Q246" s="929"/>
      <c r="R246" s="929">
        <f>'matrik MISI 5'!U54</f>
        <v>100</v>
      </c>
      <c r="S246" s="929"/>
      <c r="T246" s="929">
        <f>'matrik MISI 5'!V54</f>
        <v>100</v>
      </c>
      <c r="U246" s="929"/>
      <c r="V246" s="929">
        <f>'matrik MISI 5'!W54</f>
        <v>100</v>
      </c>
      <c r="W246" s="929"/>
      <c r="X246" s="929" t="str">
        <f>'matrik MISI 5'!X54</f>
        <v xml:space="preserve">RSUD </v>
      </c>
      <c r="Y246" s="164" t="str">
        <f>'matrik MISI 5'!Y54</f>
        <v>Jumlah sarana dan prasarana  yang ada / jumlah sarana dan prasarana yang seharusnya  ada x 100</v>
      </c>
      <c r="Z246" s="164" t="str">
        <f>'matrik MISI 5'!Z54</f>
        <v>Untuk memenuhi ketentuan Rumah sakit Tipe B</v>
      </c>
    </row>
    <row r="247" spans="2:26" ht="60" hidden="1">
      <c r="B247" s="940"/>
      <c r="C247" s="941"/>
      <c r="D247" s="940">
        <f>'matrik MISI 5'!J55</f>
        <v>1.02</v>
      </c>
      <c r="E247" s="940" t="str">
        <f>'matrik MISI 5'!K55</f>
        <v>xx</v>
      </c>
      <c r="F247" s="940">
        <f>'matrik MISI 5'!L55</f>
        <v>33</v>
      </c>
      <c r="G247" s="398" t="str">
        <f>'matrik MISI 5'!M55</f>
        <v>Program peningkatan Kualitas pelayanan kesehatan pada BLUD RSUD</v>
      </c>
      <c r="H247" s="164"/>
      <c r="I247" s="164"/>
      <c r="J247" s="929"/>
      <c r="K247" s="929"/>
      <c r="L247" s="929"/>
      <c r="M247" s="961">
        <f>'jangan di hapus 1'!K428</f>
        <v>66213700000</v>
      </c>
      <c r="N247" s="961"/>
      <c r="O247" s="961">
        <f>'jangan di hapus 1'!M428</f>
        <v>63478558000</v>
      </c>
      <c r="P247" s="961"/>
      <c r="Q247" s="961">
        <f>'jangan di hapus 1'!O428</f>
        <v>65000000000</v>
      </c>
      <c r="R247" s="961"/>
      <c r="S247" s="961">
        <f>'jangan di hapus 1'!Q428</f>
        <v>67000000000</v>
      </c>
      <c r="T247" s="961"/>
      <c r="U247" s="961">
        <f>'jangan di hapus 1'!S428</f>
        <v>68000000000</v>
      </c>
      <c r="V247" s="929"/>
      <c r="W247" s="961">
        <f>SUM(M247:U247)</f>
        <v>329692258000</v>
      </c>
      <c r="X247" s="929"/>
      <c r="Y247" s="164"/>
      <c r="Z247" s="164"/>
    </row>
    <row r="248" spans="2:26">
      <c r="B248" s="940"/>
      <c r="C248" s="941"/>
      <c r="D248" s="939"/>
      <c r="E248" s="939"/>
      <c r="F248" s="939"/>
      <c r="G248" s="965"/>
      <c r="H248" s="164" t="str">
        <f>'matrik MISI 5'!N55</f>
        <v xml:space="preserve">Cakupan Pelayanan RSUD: </v>
      </c>
      <c r="I248" s="164"/>
      <c r="J248" s="929"/>
      <c r="K248" s="929"/>
      <c r="L248" s="929"/>
      <c r="M248" s="961"/>
      <c r="N248" s="929"/>
      <c r="O248" s="929"/>
      <c r="P248" s="929"/>
      <c r="Q248" s="929"/>
      <c r="R248" s="929"/>
      <c r="S248" s="929"/>
      <c r="T248" s="929"/>
      <c r="U248" s="929"/>
      <c r="V248" s="929"/>
      <c r="W248" s="929"/>
      <c r="X248" s="929"/>
      <c r="Y248" s="164"/>
      <c r="Z248" s="164"/>
    </row>
    <row r="249" spans="2:26" ht="90">
      <c r="B249" s="940"/>
      <c r="C249" s="941"/>
      <c r="D249" s="940"/>
      <c r="E249" s="940"/>
      <c r="F249" s="940"/>
      <c r="G249" s="398"/>
      <c r="H249" s="164" t="str">
        <f>'matrik MISI 5'!N56</f>
        <v>BOR</v>
      </c>
      <c r="I249" s="164" t="str">
        <f>'matrik MISI 5'!O56</f>
        <v>%</v>
      </c>
      <c r="J249" s="929">
        <f>'matrik MISI 5'!P56</f>
        <v>73.73</v>
      </c>
      <c r="K249" s="929">
        <f>'matrik MISI 5'!Q56</f>
        <v>70</v>
      </c>
      <c r="L249" s="929">
        <f>'matrik MISI 5'!R56</f>
        <v>65</v>
      </c>
      <c r="M249" s="961"/>
      <c r="N249" s="929">
        <f>'matrik MISI 5'!S56</f>
        <v>65</v>
      </c>
      <c r="O249" s="929"/>
      <c r="P249" s="929">
        <f>'matrik MISI 5'!T56</f>
        <v>66</v>
      </c>
      <c r="Q249" s="929"/>
      <c r="R249" s="929">
        <f>'matrik MISI 5'!U56</f>
        <v>68</v>
      </c>
      <c r="S249" s="929"/>
      <c r="T249" s="929">
        <f>'matrik MISI 5'!V56</f>
        <v>70</v>
      </c>
      <c r="U249" s="929"/>
      <c r="V249" s="929">
        <f>'matrik MISI 5'!W56</f>
        <v>70</v>
      </c>
      <c r="W249" s="929"/>
      <c r="X249" s="929">
        <f>'matrik MISI 5'!X56</f>
        <v>0</v>
      </c>
      <c r="Y249" s="164" t="str">
        <f>'matrik MISI 5'!Y56</f>
        <v>BOR = Jumlah hari perawatan rumah sakit / (Jmlh Tempat Tidur x jml hari dalam satu satuan waktu) x 100</v>
      </c>
      <c r="Z249" s="164">
        <f>'matrik MISI 5'!Z56</f>
        <v>0</v>
      </c>
    </row>
    <row r="250" spans="2:26" ht="75">
      <c r="B250" s="940"/>
      <c r="C250" s="941"/>
      <c r="D250" s="940"/>
      <c r="E250" s="940"/>
      <c r="F250" s="940"/>
      <c r="G250" s="398"/>
      <c r="H250" s="164" t="str">
        <f>'matrik MISI 5'!N57</f>
        <v>LOS</v>
      </c>
      <c r="I250" s="164" t="str">
        <f>'matrik MISI 5'!O57</f>
        <v>hari</v>
      </c>
      <c r="J250" s="929">
        <f>'matrik MISI 5'!P57</f>
        <v>4.24</v>
      </c>
      <c r="K250" s="929">
        <f>'matrik MISI 5'!Q57</f>
        <v>4</v>
      </c>
      <c r="L250" s="929">
        <f>'matrik MISI 5'!R57</f>
        <v>4</v>
      </c>
      <c r="M250" s="961"/>
      <c r="N250" s="929">
        <f>'matrik MISI 5'!S57</f>
        <v>4</v>
      </c>
      <c r="O250" s="929"/>
      <c r="P250" s="929">
        <f>'matrik MISI 5'!T57</f>
        <v>5</v>
      </c>
      <c r="Q250" s="929"/>
      <c r="R250" s="929">
        <f>'matrik MISI 5'!U57</f>
        <v>5</v>
      </c>
      <c r="S250" s="929"/>
      <c r="T250" s="929">
        <f>'matrik MISI 5'!V57</f>
        <v>6</v>
      </c>
      <c r="U250" s="929"/>
      <c r="V250" s="929">
        <f>'matrik MISI 5'!W57</f>
        <v>6</v>
      </c>
      <c r="W250" s="929"/>
      <c r="X250" s="929">
        <f>'matrik MISI 5'!X57</f>
        <v>0</v>
      </c>
      <c r="Y250" s="164" t="str">
        <f>'matrik MISI 5'!Y57</f>
        <v>LOS = Jumlah hari lama dirawat pasien keluar / Jumlah pasien keluar (hidup + mati)</v>
      </c>
      <c r="Z250" s="164">
        <f>'matrik MISI 5'!Z57</f>
        <v>0</v>
      </c>
    </row>
    <row r="251" spans="2:26" ht="90">
      <c r="B251" s="940"/>
      <c r="C251" s="941"/>
      <c r="D251" s="940"/>
      <c r="E251" s="940"/>
      <c r="F251" s="940"/>
      <c r="G251" s="398"/>
      <c r="H251" s="164" t="str">
        <f>'matrik MISI 5'!N58</f>
        <v>TOI</v>
      </c>
      <c r="I251" s="164" t="str">
        <f>'matrik MISI 5'!O58</f>
        <v>hari</v>
      </c>
      <c r="J251" s="929">
        <f>'matrik MISI 5'!P58</f>
        <v>1.1599999999999999</v>
      </c>
      <c r="K251" s="929">
        <f>'matrik MISI 5'!Q58</f>
        <v>1</v>
      </c>
      <c r="L251" s="929">
        <f>'matrik MISI 5'!R58</f>
        <v>2</v>
      </c>
      <c r="M251" s="961"/>
      <c r="N251" s="929">
        <f>'matrik MISI 5'!S58</f>
        <v>2</v>
      </c>
      <c r="O251" s="929"/>
      <c r="P251" s="929">
        <f>'matrik MISI 5'!T58</f>
        <v>2</v>
      </c>
      <c r="Q251" s="929"/>
      <c r="R251" s="929">
        <f>'matrik MISI 5'!U58</f>
        <v>2</v>
      </c>
      <c r="S251" s="929"/>
      <c r="T251" s="929">
        <f>'matrik MISI 5'!V58</f>
        <v>2</v>
      </c>
      <c r="U251" s="929"/>
      <c r="V251" s="929">
        <f>'matrik MISI 5'!W58</f>
        <v>2</v>
      </c>
      <c r="W251" s="929"/>
      <c r="X251" s="929">
        <f>'matrik MISI 5'!X58</f>
        <v>0</v>
      </c>
      <c r="Y251" s="164" t="str">
        <f>'matrik MISI 5'!Y58</f>
        <v xml:space="preserve">TOI = (Jumlah TT x hari) - hari perawatan rumah sakit / Jumlah pasien keluar (hidup + mati)
</v>
      </c>
      <c r="Z251" s="164">
        <f>'matrik MISI 5'!Z58</f>
        <v>0</v>
      </c>
    </row>
    <row r="252" spans="2:26" ht="90">
      <c r="B252" s="940"/>
      <c r="C252" s="941"/>
      <c r="D252" s="940"/>
      <c r="E252" s="940"/>
      <c r="F252" s="940"/>
      <c r="G252" s="398"/>
      <c r="H252" s="164" t="str">
        <f>'matrik MISI 5'!N59</f>
        <v>GDR</v>
      </c>
      <c r="I252" s="164" t="str">
        <f>'matrik MISI 5'!O59</f>
        <v>‰</v>
      </c>
      <c r="J252" s="929">
        <f>'matrik MISI 5'!P59</f>
        <v>37.299999999999997</v>
      </c>
      <c r="K252" s="929">
        <f>'matrik MISI 5'!Q59</f>
        <v>37</v>
      </c>
      <c r="L252" s="929">
        <f>'matrik MISI 5'!R59</f>
        <v>37</v>
      </c>
      <c r="M252" s="961"/>
      <c r="N252" s="929">
        <f>'matrik MISI 5'!S59</f>
        <v>37</v>
      </c>
      <c r="O252" s="929"/>
      <c r="P252" s="929">
        <f>'matrik MISI 5'!T59</f>
        <v>36</v>
      </c>
      <c r="Q252" s="929"/>
      <c r="R252" s="929">
        <f>'matrik MISI 5'!U59</f>
        <v>36</v>
      </c>
      <c r="S252" s="929"/>
      <c r="T252" s="929">
        <f>'matrik MISI 5'!V59</f>
        <v>36</v>
      </c>
      <c r="U252" s="929"/>
      <c r="V252" s="929">
        <f>'matrik MISI 5'!W59</f>
        <v>36</v>
      </c>
      <c r="W252" s="929"/>
      <c r="X252" s="929">
        <f>'matrik MISI 5'!X59</f>
        <v>0</v>
      </c>
      <c r="Y252" s="164" t="str">
        <f>'matrik MISI 5'!Y59</f>
        <v xml:space="preserve">GDR = jumlah pasien mati seluruhnya / Jumlah pasien keluar (hidup+mati) x 1000  ‰
</v>
      </c>
      <c r="Z252" s="164">
        <f>'matrik MISI 5'!Z59</f>
        <v>0</v>
      </c>
    </row>
    <row r="253" spans="2:26" ht="90">
      <c r="B253" s="940"/>
      <c r="C253" s="941"/>
      <c r="D253" s="940"/>
      <c r="E253" s="940"/>
      <c r="F253" s="940"/>
      <c r="G253" s="398"/>
      <c r="H253" s="164" t="str">
        <f>'matrik MISI 5'!N60</f>
        <v>NDR</v>
      </c>
      <c r="I253" s="164" t="str">
        <f>'matrik MISI 5'!O60</f>
        <v>‰</v>
      </c>
      <c r="J253" s="929">
        <f>'matrik MISI 5'!P60</f>
        <v>19.059999999999999</v>
      </c>
      <c r="K253" s="929">
        <f>'matrik MISI 5'!Q60</f>
        <v>17</v>
      </c>
      <c r="L253" s="929">
        <f>'matrik MISI 5'!R60</f>
        <v>19</v>
      </c>
      <c r="M253" s="961"/>
      <c r="N253" s="929">
        <f>'matrik MISI 5'!S60</f>
        <v>19</v>
      </c>
      <c r="O253" s="929"/>
      <c r="P253" s="929">
        <f>'matrik MISI 5'!T60</f>
        <v>18</v>
      </c>
      <c r="Q253" s="929"/>
      <c r="R253" s="929">
        <f>'matrik MISI 5'!U60</f>
        <v>18</v>
      </c>
      <c r="S253" s="929"/>
      <c r="T253" s="929">
        <f>'matrik MISI 5'!V60</f>
        <v>18</v>
      </c>
      <c r="U253" s="929"/>
      <c r="V253" s="929">
        <f>'matrik MISI 5'!W60</f>
        <v>18</v>
      </c>
      <c r="W253" s="929"/>
      <c r="X253" s="929">
        <f>'matrik MISI 5'!X60</f>
        <v>0</v>
      </c>
      <c r="Y253" s="164" t="str">
        <f>'matrik MISI 5'!Y60</f>
        <v xml:space="preserve">NDR = Jumlah pasien mati ≥ 48 jam setelah dirawat / Jumlah pasien keluar (hidup + mati) x 1000  ‰
</v>
      </c>
      <c r="Z253" s="164">
        <f>'matrik MISI 5'!Z60</f>
        <v>0</v>
      </c>
    </row>
    <row r="254" spans="2:26">
      <c r="B254" s="940"/>
      <c r="C254" s="941"/>
      <c r="D254" s="940"/>
      <c r="E254" s="940"/>
      <c r="F254" s="940"/>
      <c r="G254" s="398"/>
      <c r="H254" s="164" t="str">
        <f>'matrik MISI 5'!N61</f>
        <v>Kinerja Pelayanan BLUD</v>
      </c>
      <c r="I254" s="164" t="str">
        <f>'matrik MISI 5'!O61</f>
        <v>Strata</v>
      </c>
      <c r="J254" s="929" t="str">
        <f>'matrik MISI 5'!P61</f>
        <v>-</v>
      </c>
      <c r="K254" s="929" t="str">
        <f>'matrik MISI 5'!Q61</f>
        <v>Sehat</v>
      </c>
      <c r="L254" s="929" t="str">
        <f>'matrik MISI 5'!R61</f>
        <v>Sehat</v>
      </c>
      <c r="M254" s="961"/>
      <c r="N254" s="929" t="str">
        <f>'matrik MISI 5'!S61</f>
        <v>Sehat</v>
      </c>
      <c r="O254" s="929"/>
      <c r="P254" s="929" t="str">
        <f>'matrik MISI 5'!T61</f>
        <v>Sehat</v>
      </c>
      <c r="Q254" s="929"/>
      <c r="R254" s="929" t="str">
        <f>'matrik MISI 5'!U61</f>
        <v>Sehat</v>
      </c>
      <c r="S254" s="929"/>
      <c r="T254" s="929" t="str">
        <f>'matrik MISI 5'!V61</f>
        <v>Sehat</v>
      </c>
      <c r="U254" s="929"/>
      <c r="V254" s="929" t="str">
        <f>'matrik MISI 5'!W61</f>
        <v>Sehat</v>
      </c>
      <c r="W254" s="929"/>
      <c r="X254" s="929">
        <f>'matrik MISI 5'!X61</f>
        <v>0</v>
      </c>
      <c r="Y254" s="164">
        <f>'matrik MISI 5'!Y61</f>
        <v>0</v>
      </c>
      <c r="Z254" s="164">
        <f>'matrik MISI 5'!Z61</f>
        <v>0</v>
      </c>
    </row>
    <row r="255" spans="2:26" ht="90">
      <c r="B255" s="940"/>
      <c r="C255" s="941"/>
      <c r="D255" s="940"/>
      <c r="E255" s="940"/>
      <c r="F255" s="940"/>
      <c r="G255" s="398"/>
      <c r="H255" s="164" t="str">
        <f>'matrik MISI 5'!N62</f>
        <v>Standarisasi Pelayanan Kesehatan RSUD</v>
      </c>
      <c r="I255" s="164" t="str">
        <f>'matrik MISI 5'!O62</f>
        <v>-</v>
      </c>
      <c r="J255" s="929" t="str">
        <f>'matrik MISI 5'!P62</f>
        <v>Lulus</v>
      </c>
      <c r="K255" s="929" t="str">
        <f>'matrik MISI 5'!Q62</f>
        <v>Lulus</v>
      </c>
      <c r="L255" s="929" t="str">
        <f>'matrik MISI 5'!R62</f>
        <v>Lulus</v>
      </c>
      <c r="M255" s="961"/>
      <c r="N255" s="929" t="str">
        <f>'matrik MISI 5'!S62</f>
        <v>Lulus</v>
      </c>
      <c r="O255" s="929"/>
      <c r="P255" s="929" t="str">
        <f>'matrik MISI 5'!T62</f>
        <v>Lulus</v>
      </c>
      <c r="Q255" s="929"/>
      <c r="R255" s="929" t="str">
        <f>'matrik MISI 5'!U62</f>
        <v>Lulus</v>
      </c>
      <c r="S255" s="929"/>
      <c r="T255" s="929" t="str">
        <f>'matrik MISI 5'!V62</f>
        <v>Lulus</v>
      </c>
      <c r="U255" s="929"/>
      <c r="V255" s="929" t="str">
        <f>'matrik MISI 5'!W62</f>
        <v>Lulus</v>
      </c>
      <c r="W255" s="929"/>
      <c r="X255" s="929" t="str">
        <f>'matrik MISI 5'!X62</f>
        <v xml:space="preserve">RSUD </v>
      </c>
      <c r="Y255" s="164" t="str">
        <f>'matrik MISI 5'!Y62</f>
        <v>Jumlah pelayanan di RSUD yang sudah terakreditasi/Jumlah pelayanan yang seharusnya diakreditasi x 100</v>
      </c>
      <c r="Z255" s="164" t="str">
        <f>'matrik MISI 5'!Z62</f>
        <v xml:space="preserve">penjelasan layanan wajib akreditasi </v>
      </c>
    </row>
    <row r="256" spans="2:26" ht="30" hidden="1">
      <c r="B256" s="940"/>
      <c r="C256" s="941"/>
      <c r="D256" s="940">
        <f>'matrik MISI 5'!J64</f>
        <v>1.02</v>
      </c>
      <c r="E256" s="940" t="str">
        <f>'matrik MISI 5'!K64</f>
        <v>xx</v>
      </c>
      <c r="F256" s="940">
        <f>'matrik MISI 5'!L64</f>
        <v>21</v>
      </c>
      <c r="G256" s="398" t="str">
        <f>'matrik MISI 5'!M64</f>
        <v>Pengembangan Lingkungan Sehat</v>
      </c>
      <c r="H256" s="164"/>
      <c r="I256" s="164"/>
      <c r="J256" s="929"/>
      <c r="K256" s="929"/>
      <c r="L256" s="929"/>
      <c r="M256" s="961">
        <f>'jangan di hapus 1'!K333</f>
        <v>87396000</v>
      </c>
      <c r="N256" s="961"/>
      <c r="O256" s="961">
        <f>'jangan di hapus 1'!M333</f>
        <v>115000000</v>
      </c>
      <c r="P256" s="961"/>
      <c r="Q256" s="961">
        <f>'jangan di hapus 1'!O333</f>
        <v>125000000</v>
      </c>
      <c r="R256" s="961"/>
      <c r="S256" s="961">
        <f>'jangan di hapus 1'!Q333</f>
        <v>145000000</v>
      </c>
      <c r="T256" s="961"/>
      <c r="U256" s="961">
        <f>'jangan di hapus 1'!S333</f>
        <v>155000000</v>
      </c>
      <c r="V256" s="929"/>
      <c r="W256" s="961">
        <f>SUM(M256:U256)</f>
        <v>627396000</v>
      </c>
      <c r="X256" s="929"/>
      <c r="Y256" s="164"/>
      <c r="Z256" s="164"/>
    </row>
    <row r="257" spans="2:26" ht="105">
      <c r="B257" s="940"/>
      <c r="C257" s="941"/>
      <c r="D257" s="939"/>
      <c r="E257" s="939"/>
      <c r="F257" s="939"/>
      <c r="G257" s="965"/>
      <c r="H257" s="164" t="str">
        <f>'matrik MISI 5'!N64</f>
        <v xml:space="preserve">Proporsi Rumah Tangga dengan Akses Berkelanjutan terhadap Sanitasi Dasar Perkotaan </v>
      </c>
      <c r="I257" s="164" t="str">
        <f>'matrik MISI 5'!O64</f>
        <v>%</v>
      </c>
      <c r="J257" s="929" t="str">
        <f>'matrik MISI 5'!P64</f>
        <v>tda</v>
      </c>
      <c r="K257" s="929" t="str">
        <f>'matrik MISI 5'!Q64</f>
        <v>tda</v>
      </c>
      <c r="L257" s="929">
        <f>'matrik MISI 5'!R64</f>
        <v>65</v>
      </c>
      <c r="M257" s="961"/>
      <c r="N257" s="929">
        <f>'matrik MISI 5'!S64</f>
        <v>67.5</v>
      </c>
      <c r="O257" s="929"/>
      <c r="P257" s="929">
        <f>'matrik MISI 5'!T64</f>
        <v>70</v>
      </c>
      <c r="Q257" s="929"/>
      <c r="R257" s="929">
        <f>'matrik MISI 5'!U64</f>
        <v>72.5</v>
      </c>
      <c r="S257" s="929"/>
      <c r="T257" s="929">
        <f>'matrik MISI 5'!V64</f>
        <v>75</v>
      </c>
      <c r="U257" s="929"/>
      <c r="V257" s="929">
        <f>'matrik MISI 5'!W64</f>
        <v>75</v>
      </c>
      <c r="W257" s="929"/>
      <c r="X257" s="929" t="str">
        <f>'matrik MISI 5'!X64</f>
        <v>Dinas Kesehatan</v>
      </c>
      <c r="Y257" s="164" t="str">
        <f>'matrik MISI 5'!Y64</f>
        <v>Jumlah Rumah Tangga dengan Akses Berkelanjutan terhadap Sanitasi Dasar Perkotaan / Jumlah rumah tangga yang diperiksa x 100</v>
      </c>
      <c r="Z257" s="164">
        <f>'matrik MISI 5'!Z64</f>
        <v>0</v>
      </c>
    </row>
    <row r="258" spans="2:26" ht="105">
      <c r="B258" s="940"/>
      <c r="C258" s="941"/>
      <c r="D258" s="940"/>
      <c r="E258" s="940"/>
      <c r="F258" s="940"/>
      <c r="G258" s="398"/>
      <c r="H258" s="164" t="str">
        <f>'matrik MISI 5'!N65</f>
        <v>Proporsi Rumah Tangga dengan Akses Berkelanjutan terhadap Sanitasi Dasar Pedesaan</v>
      </c>
      <c r="I258" s="164" t="str">
        <f>'matrik MISI 5'!O65</f>
        <v>%</v>
      </c>
      <c r="J258" s="929" t="str">
        <f>'matrik MISI 5'!P65</f>
        <v>tda</v>
      </c>
      <c r="K258" s="929">
        <f>'matrik MISI 5'!Q65</f>
        <v>62.5</v>
      </c>
      <c r="L258" s="929">
        <f>'matrik MISI 5'!R65</f>
        <v>65</v>
      </c>
      <c r="M258" s="961"/>
      <c r="N258" s="929">
        <f>'matrik MISI 5'!S65</f>
        <v>67.5</v>
      </c>
      <c r="O258" s="929"/>
      <c r="P258" s="929">
        <f>'matrik MISI 5'!T65</f>
        <v>70</v>
      </c>
      <c r="Q258" s="929"/>
      <c r="R258" s="929">
        <f>'matrik MISI 5'!U65</f>
        <v>72.5</v>
      </c>
      <c r="S258" s="929"/>
      <c r="T258" s="929">
        <f>'matrik MISI 5'!V65</f>
        <v>75</v>
      </c>
      <c r="U258" s="929"/>
      <c r="V258" s="929">
        <f>'matrik MISI 5'!W65</f>
        <v>75</v>
      </c>
      <c r="W258" s="929"/>
      <c r="X258" s="929" t="str">
        <f>'matrik MISI 5'!X65</f>
        <v>Dinas Kesehatan</v>
      </c>
      <c r="Y258" s="164" t="str">
        <f>'matrik MISI 5'!Y65</f>
        <v>Jumlah Rumah Tangga dengan Akses Berkelanjutan terhadap Sanitasi Dasar Pedesaan / Jumlah rumah tangga yang diperiksa x 100</v>
      </c>
      <c r="Z258" s="164">
        <f>'matrik MISI 5'!Z65</f>
        <v>0</v>
      </c>
    </row>
    <row r="259" spans="2:26" ht="75">
      <c r="B259" s="940"/>
      <c r="C259" s="941"/>
      <c r="D259" s="940"/>
      <c r="E259" s="940"/>
      <c r="F259" s="940"/>
      <c r="G259" s="398"/>
      <c r="H259" s="164" t="str">
        <f>'matrik MISI 5'!N66</f>
        <v>Cakupan Penduduk yang Memanfaatkan Jamban</v>
      </c>
      <c r="I259" s="164" t="str">
        <f>'matrik MISI 5'!O66</f>
        <v>%</v>
      </c>
      <c r="J259" s="929">
        <f>'matrik MISI 5'!P66</f>
        <v>63.2</v>
      </c>
      <c r="K259" s="929">
        <f>'matrik MISI 5'!Q66</f>
        <v>79.3</v>
      </c>
      <c r="L259" s="929">
        <f>'matrik MISI 5'!R66</f>
        <v>80</v>
      </c>
      <c r="M259" s="961"/>
      <c r="N259" s="929">
        <f>'matrik MISI 5'!S66</f>
        <v>80</v>
      </c>
      <c r="O259" s="929"/>
      <c r="P259" s="929">
        <f>'matrik MISI 5'!T66</f>
        <v>80</v>
      </c>
      <c r="Q259" s="929"/>
      <c r="R259" s="929">
        <f>'matrik MISI 5'!U66</f>
        <v>80</v>
      </c>
      <c r="S259" s="929"/>
      <c r="T259" s="929">
        <f>'matrik MISI 5'!V66</f>
        <v>80</v>
      </c>
      <c r="U259" s="929"/>
      <c r="V259" s="929">
        <f>'matrik MISI 5'!W66</f>
        <v>80</v>
      </c>
      <c r="W259" s="929"/>
      <c r="X259" s="929" t="str">
        <f>'matrik MISI 5'!X66</f>
        <v>Dinas Kesehatan</v>
      </c>
      <c r="Y259" s="164" t="str">
        <f>'matrik MISI 5'!Y66</f>
        <v>Jumlah Penduduk yang Memanfaatkan Jamban / Jumlah penduduk yang diperiksa x 100</v>
      </c>
      <c r="Z259" s="164" t="str">
        <f>'matrik MISI 5'!Z66</f>
        <v xml:space="preserve">penyebut distandarkan </v>
      </c>
    </row>
    <row r="260" spans="2:26" ht="105">
      <c r="B260" s="940"/>
      <c r="C260" s="941"/>
      <c r="D260" s="940"/>
      <c r="E260" s="940"/>
      <c r="F260" s="940"/>
      <c r="G260" s="398"/>
      <c r="H260" s="164" t="str">
        <f>'matrik MISI 5'!N67</f>
        <v>Cakupan Rumah Tangga dengan Akses Terhadap Air Bersih yang Layak di Perkotaan</v>
      </c>
      <c r="I260" s="164" t="str">
        <f>'matrik MISI 5'!O67</f>
        <v>%</v>
      </c>
      <c r="J260" s="929" t="str">
        <f>'matrik MISI 5'!P67</f>
        <v>tda</v>
      </c>
      <c r="K260" s="929">
        <f>'matrik MISI 5'!Q67</f>
        <v>62.5</v>
      </c>
      <c r="L260" s="929">
        <f>'matrik MISI 5'!R67</f>
        <v>65</v>
      </c>
      <c r="M260" s="961"/>
      <c r="N260" s="929">
        <f>'matrik MISI 5'!S67</f>
        <v>67.5</v>
      </c>
      <c r="O260" s="929"/>
      <c r="P260" s="929">
        <f>'matrik MISI 5'!T67</f>
        <v>70</v>
      </c>
      <c r="Q260" s="929"/>
      <c r="R260" s="929">
        <f>'matrik MISI 5'!U67</f>
        <v>72.5</v>
      </c>
      <c r="S260" s="929"/>
      <c r="T260" s="929">
        <f>'matrik MISI 5'!V67</f>
        <v>75</v>
      </c>
      <c r="U260" s="929"/>
      <c r="V260" s="929">
        <f>'matrik MISI 5'!W67</f>
        <v>75</v>
      </c>
      <c r="W260" s="929"/>
      <c r="X260" s="929" t="str">
        <f>'matrik MISI 5'!X67</f>
        <v>Dinas Kesehatan</v>
      </c>
      <c r="Y260" s="164" t="str">
        <f>'matrik MISI 5'!Y67</f>
        <v>Jumlah Rumah Tangga dengan Akses Terhadap Air Bersih yang Layak di Perkotaan / Jumlah rumah tangga yang diperiksa x 100</v>
      </c>
      <c r="Z260" s="164">
        <f>'matrik MISI 5'!Z67</f>
        <v>0</v>
      </c>
    </row>
    <row r="261" spans="2:26" ht="105">
      <c r="B261" s="940"/>
      <c r="C261" s="941"/>
      <c r="D261" s="940"/>
      <c r="E261" s="940"/>
      <c r="F261" s="940"/>
      <c r="G261" s="398"/>
      <c r="H261" s="164" t="str">
        <f>'matrik MISI 5'!N68</f>
        <v>Cakupan Rumah Tangga dengan Akses terhadap Air Bersih yang Layak di Pedesaan</v>
      </c>
      <c r="I261" s="164" t="str">
        <f>'matrik MISI 5'!O68</f>
        <v>%</v>
      </c>
      <c r="J261" s="929" t="str">
        <f>'matrik MISI 5'!P68</f>
        <v>tda</v>
      </c>
      <c r="K261" s="929">
        <f>'matrik MISI 5'!Q68</f>
        <v>50</v>
      </c>
      <c r="L261" s="929">
        <f>'matrik MISI 5'!R68</f>
        <v>50</v>
      </c>
      <c r="M261" s="961"/>
      <c r="N261" s="929">
        <f>'matrik MISI 5'!S68</f>
        <v>53</v>
      </c>
      <c r="O261" s="929"/>
      <c r="P261" s="929">
        <f>'matrik MISI 5'!T68</f>
        <v>55</v>
      </c>
      <c r="Q261" s="929"/>
      <c r="R261" s="929">
        <f>'matrik MISI 5'!U68</f>
        <v>58</v>
      </c>
      <c r="S261" s="929"/>
      <c r="T261" s="929">
        <f>'matrik MISI 5'!V68</f>
        <v>60</v>
      </c>
      <c r="U261" s="929"/>
      <c r="V261" s="929">
        <f>'matrik MISI 5'!W68</f>
        <v>60</v>
      </c>
      <c r="W261" s="929"/>
      <c r="X261" s="929" t="str">
        <f>'matrik MISI 5'!X68</f>
        <v>Dinas Kesehatan</v>
      </c>
      <c r="Y261" s="164" t="str">
        <f>'matrik MISI 5'!Y68</f>
        <v>Jumlah Rumah Tangga dengan Akses terhadap Air Bersih yang Layak di Pedesaan / Jumlah rumah tangga diperiksa x 100</v>
      </c>
      <c r="Z261" s="164">
        <f>'matrik MISI 5'!Z68</f>
        <v>0</v>
      </c>
    </row>
    <row r="262" spans="2:26" ht="30" hidden="1">
      <c r="B262" s="940"/>
      <c r="C262" s="941"/>
      <c r="D262" s="940">
        <f>'matrik MISI 5'!J69</f>
        <v>1.02</v>
      </c>
      <c r="E262" s="940" t="str">
        <f>'matrik MISI 5'!K69</f>
        <v>xx</v>
      </c>
      <c r="F262" s="940">
        <f>'matrik MISI 5'!L69</f>
        <v>16</v>
      </c>
      <c r="G262" s="398" t="str">
        <f>'matrik MISI 5'!M69</f>
        <v>Program Upaya Kesehatan Masyarakat</v>
      </c>
      <c r="H262" s="164"/>
      <c r="I262" s="164"/>
      <c r="J262" s="929"/>
      <c r="K262" s="929"/>
      <c r="L262" s="929"/>
      <c r="M262" s="961">
        <f>'jangan di hapus 1'!K297</f>
        <v>140427000</v>
      </c>
      <c r="N262" s="961"/>
      <c r="O262" s="961">
        <f>'jangan di hapus 1'!M297</f>
        <v>257000000</v>
      </c>
      <c r="P262" s="961"/>
      <c r="Q262" s="961">
        <f>'jangan di hapus 1'!O297</f>
        <v>315000000</v>
      </c>
      <c r="R262" s="961"/>
      <c r="S262" s="961">
        <f>'jangan di hapus 1'!Q297</f>
        <v>340000000</v>
      </c>
      <c r="T262" s="961"/>
      <c r="U262" s="961">
        <f>'jangan di hapus 1'!S297</f>
        <v>365000000</v>
      </c>
      <c r="V262" s="929"/>
      <c r="W262" s="961">
        <f>SUM(M262:U262)</f>
        <v>1417427000</v>
      </c>
      <c r="X262" s="929"/>
      <c r="Y262" s="164"/>
      <c r="Z262" s="164"/>
    </row>
    <row r="263" spans="2:26" ht="165">
      <c r="B263" s="940"/>
      <c r="C263" s="941"/>
      <c r="D263" s="939"/>
      <c r="E263" s="939"/>
      <c r="F263" s="939"/>
      <c r="G263" s="965"/>
      <c r="H263" s="164" t="str">
        <f>'matrik MISI 5'!N69</f>
        <v>Cakupan Penjaringan Kesehatan Siswa  Tingkat Dasar</v>
      </c>
      <c r="I263" s="164" t="str">
        <f>'matrik MISI 5'!O69</f>
        <v>%</v>
      </c>
      <c r="J263" s="929">
        <f>'matrik MISI 5'!P69</f>
        <v>99.36</v>
      </c>
      <c r="K263" s="929">
        <f>'matrik MISI 5'!Q69</f>
        <v>100</v>
      </c>
      <c r="L263" s="929">
        <f>'matrik MISI 5'!R69</f>
        <v>100</v>
      </c>
      <c r="M263" s="961"/>
      <c r="N263" s="929">
        <f>'matrik MISI 5'!S69</f>
        <v>100</v>
      </c>
      <c r="O263" s="929"/>
      <c r="P263" s="929">
        <f>'matrik MISI 5'!T69</f>
        <v>100</v>
      </c>
      <c r="Q263" s="929"/>
      <c r="R263" s="929">
        <f>'matrik MISI 5'!U69</f>
        <v>100</v>
      </c>
      <c r="S263" s="929"/>
      <c r="T263" s="929">
        <f>'matrik MISI 5'!V69</f>
        <v>100</v>
      </c>
      <c r="U263" s="929"/>
      <c r="V263" s="929">
        <f>'matrik MISI 5'!W69</f>
        <v>100</v>
      </c>
      <c r="W263" s="929"/>
      <c r="X263" s="929" t="str">
        <f>'matrik MISI 5'!X69</f>
        <v>Dinas Kesehatan</v>
      </c>
      <c r="Y263" s="164" t="str">
        <f>'matrik MISI 5'!Y69</f>
        <v>Jumlah murid  SD dan setingkat yang diperiksa kesehatannya melalui penjaringan kesehatan  oleh tenaga kesehatan atau tenaga terlatih (guru UKS/dokter kecil) / Jumlah murid SD dan setingkat x 100</v>
      </c>
      <c r="Z263" s="164">
        <f>'matrik MISI 5'!Z69</f>
        <v>0</v>
      </c>
    </row>
    <row r="264" spans="2:26" ht="60" hidden="1">
      <c r="B264" s="940"/>
      <c r="C264" s="941"/>
      <c r="D264" s="940">
        <f>'matrik MISI 5'!J70</f>
        <v>1.02</v>
      </c>
      <c r="E264" s="940" t="str">
        <f>'matrik MISI 5'!K70</f>
        <v>xx</v>
      </c>
      <c r="F264" s="940">
        <f>'matrik MISI 5'!L70</f>
        <v>19</v>
      </c>
      <c r="G264" s="398" t="str">
        <f>'matrik MISI 5'!M70</f>
        <v>Program Promosi Kesehatan dan Pemberdayaan masyarakat</v>
      </c>
      <c r="H264" s="164"/>
      <c r="I264" s="164"/>
      <c r="J264" s="929"/>
      <c r="K264" s="929"/>
      <c r="L264" s="929"/>
      <c r="M264" s="961">
        <f>'jangan di hapus 1'!K310</f>
        <v>87327000</v>
      </c>
      <c r="N264" s="961"/>
      <c r="O264" s="961">
        <f>'jangan di hapus 1'!M310</f>
        <v>90000000</v>
      </c>
      <c r="P264" s="961"/>
      <c r="Q264" s="961">
        <f>'jangan di hapus 1'!O310</f>
        <v>105000000</v>
      </c>
      <c r="R264" s="961"/>
      <c r="S264" s="961">
        <f>'jangan di hapus 1'!Q310</f>
        <v>115000000</v>
      </c>
      <c r="T264" s="961"/>
      <c r="U264" s="961">
        <f>'jangan di hapus 1'!S310</f>
        <v>115000000</v>
      </c>
      <c r="V264" s="929"/>
      <c r="W264" s="961">
        <f>SUM(M264:U264)</f>
        <v>512327000</v>
      </c>
      <c r="X264" s="929"/>
      <c r="Y264" s="164"/>
      <c r="Z264" s="164"/>
    </row>
    <row r="265" spans="2:26" ht="45">
      <c r="B265" s="940"/>
      <c r="C265" s="941"/>
      <c r="D265" s="939"/>
      <c r="E265" s="939"/>
      <c r="F265" s="939"/>
      <c r="G265" s="965"/>
      <c r="H265" s="164" t="str">
        <f>'matrik MISI 5'!N70</f>
        <v>Cakupan Desa Siaga Aktif</v>
      </c>
      <c r="I265" s="164" t="str">
        <f>'matrik MISI 5'!O70</f>
        <v>%</v>
      </c>
      <c r="J265" s="929">
        <f>'matrik MISI 5'!P70</f>
        <v>100</v>
      </c>
      <c r="K265" s="929">
        <f>'matrik MISI 5'!Q70</f>
        <v>100</v>
      </c>
      <c r="L265" s="929">
        <f>'matrik MISI 5'!R70</f>
        <v>100</v>
      </c>
      <c r="M265" s="961"/>
      <c r="N265" s="929">
        <f>'matrik MISI 5'!S70</f>
        <v>100</v>
      </c>
      <c r="O265" s="929"/>
      <c r="P265" s="929">
        <f>'matrik MISI 5'!T70</f>
        <v>100</v>
      </c>
      <c r="Q265" s="929"/>
      <c r="R265" s="929">
        <f>'matrik MISI 5'!U70</f>
        <v>100</v>
      </c>
      <c r="S265" s="929"/>
      <c r="T265" s="929">
        <f>'matrik MISI 5'!V70</f>
        <v>100</v>
      </c>
      <c r="U265" s="929"/>
      <c r="V265" s="929">
        <f>'matrik MISI 5'!W70</f>
        <v>100</v>
      </c>
      <c r="W265" s="929"/>
      <c r="X265" s="929" t="str">
        <f>'matrik MISI 5'!X70</f>
        <v>Dinas Kesehatan</v>
      </c>
      <c r="Y265" s="164" t="str">
        <f>'matrik MISI 5'!Y70</f>
        <v>Jumlah desa siaga yang aktif / Jumlah desa x 100</v>
      </c>
      <c r="Z265" s="164">
        <f>'matrik MISI 5'!Z70</f>
        <v>0</v>
      </c>
    </row>
    <row r="266" spans="2:26" ht="135">
      <c r="B266" s="940"/>
      <c r="C266" s="941"/>
      <c r="D266" s="940"/>
      <c r="E266" s="940"/>
      <c r="F266" s="940"/>
      <c r="G266" s="398"/>
      <c r="H266" s="164" t="str">
        <f>'matrik MISI 5'!N71</f>
        <v>Cakupan Posyandu Purnama dan Mandiri</v>
      </c>
      <c r="I266" s="164" t="str">
        <f>'matrik MISI 5'!O71</f>
        <v>%</v>
      </c>
      <c r="J266" s="929">
        <f>'matrik MISI 5'!P71</f>
        <v>42.6</v>
      </c>
      <c r="K266" s="929">
        <f>'matrik MISI 5'!Q71</f>
        <v>40</v>
      </c>
      <c r="L266" s="929">
        <f>'matrik MISI 5'!R71</f>
        <v>42</v>
      </c>
      <c r="M266" s="961"/>
      <c r="N266" s="929">
        <f>'matrik MISI 5'!S71</f>
        <v>44</v>
      </c>
      <c r="O266" s="929"/>
      <c r="P266" s="929">
        <f>'matrik MISI 5'!T71</f>
        <v>46</v>
      </c>
      <c r="Q266" s="929"/>
      <c r="R266" s="929">
        <f>'matrik MISI 5'!U71</f>
        <v>48</v>
      </c>
      <c r="S266" s="929"/>
      <c r="T266" s="929">
        <f>'matrik MISI 5'!V71</f>
        <v>50</v>
      </c>
      <c r="U266" s="929"/>
      <c r="V266" s="929">
        <f>'matrik MISI 5'!W71</f>
        <v>50</v>
      </c>
      <c r="W266" s="929"/>
      <c r="X266" s="929" t="str">
        <f>'matrik MISI 5'!X71</f>
        <v>Dinas Kesehatan</v>
      </c>
      <c r="Y266" s="164" t="str">
        <f>'matrik MISI 5'!Y71</f>
        <v>Jumlah posyandu (purnama+mandiri) di suatu wilayah pada kurun waktu tertentu / Jumlah seluruh posyandu yang ada di wilayah dan kurun waktu yang sama x 100</v>
      </c>
      <c r="Z266" s="164">
        <f>'matrik MISI 5'!Z71</f>
        <v>0</v>
      </c>
    </row>
    <row r="267" spans="2:26" ht="165">
      <c r="B267" s="950"/>
      <c r="C267" s="951"/>
      <c r="D267" s="950"/>
      <c r="E267" s="950"/>
      <c r="F267" s="950"/>
      <c r="G267" s="399"/>
      <c r="H267" s="164" t="str">
        <f>'matrik MISI 5'!N72</f>
        <v>Cakupan Rumah Tangga Sehat</v>
      </c>
      <c r="I267" s="164" t="str">
        <f>'matrik MISI 5'!O72</f>
        <v>%</v>
      </c>
      <c r="J267" s="929">
        <f>'matrik MISI 5'!P72</f>
        <v>74.099999999999994</v>
      </c>
      <c r="K267" s="929">
        <f>'matrik MISI 5'!Q72</f>
        <v>74.099999999999994</v>
      </c>
      <c r="L267" s="929">
        <f>'matrik MISI 5'!R72</f>
        <v>80</v>
      </c>
      <c r="M267" s="961"/>
      <c r="N267" s="929">
        <f>'matrik MISI 5'!S72</f>
        <v>80</v>
      </c>
      <c r="O267" s="929"/>
      <c r="P267" s="929">
        <f>'matrik MISI 5'!T72</f>
        <v>80</v>
      </c>
      <c r="Q267" s="929"/>
      <c r="R267" s="929">
        <f>'matrik MISI 5'!U72</f>
        <v>80</v>
      </c>
      <c r="S267" s="929"/>
      <c r="T267" s="929">
        <f>'matrik MISI 5'!V72</f>
        <v>80</v>
      </c>
      <c r="U267" s="929"/>
      <c r="V267" s="929">
        <f>'matrik MISI 5'!W72</f>
        <v>80</v>
      </c>
      <c r="W267" s="929"/>
      <c r="X267" s="929" t="str">
        <f>'matrik MISI 5'!X72</f>
        <v>Dinas Kesehatan</v>
      </c>
      <c r="Y267" s="164" t="str">
        <f>'matrik MISI 5'!Y72</f>
        <v>Jumlah rumah tangga yang berperilaku hidup bersih dan sehat di suatu wilayah pada kurun waktu tertentu / jumah rumah tangga yang dipantau/ disurvey di wilayah dan pada kurun waktu yang sama x 100</v>
      </c>
      <c r="Z267" s="164">
        <f>'matrik MISI 5'!Z72</f>
        <v>0</v>
      </c>
    </row>
    <row r="268" spans="2:26" ht="30">
      <c r="B268" s="949">
        <v>3</v>
      </c>
      <c r="C268" s="948" t="str">
        <f>'matrik MISI 3'!B6</f>
        <v>PEKERJAAN UMUM</v>
      </c>
      <c r="D268" s="949">
        <f>'matrik MISI 3'!J7</f>
        <v>1.03</v>
      </c>
      <c r="E268" s="949" t="str">
        <f>'matrik MISI 3'!K7</f>
        <v>xx</v>
      </c>
      <c r="F268" s="949">
        <f>'matrik MISI 3'!L7</f>
        <v>15</v>
      </c>
      <c r="G268" s="949" t="str">
        <f>'matrik MISI 3'!M7</f>
        <v>Program Pembangunan Jalan dan Jembatan</v>
      </c>
      <c r="H268" s="164"/>
      <c r="I268" s="164"/>
      <c r="J268" s="929"/>
      <c r="K268" s="929"/>
      <c r="L268" s="929"/>
      <c r="M268" s="961">
        <f>'jangan dihapus 2'!K288</f>
        <v>39236019300</v>
      </c>
      <c r="N268" s="961">
        <f>'jangan dihapus 2'!L288</f>
        <v>0</v>
      </c>
      <c r="O268" s="961">
        <f>'jangan dihapus 2'!M288</f>
        <v>44618667000</v>
      </c>
      <c r="P268" s="961">
        <f>'jangan dihapus 2'!N288</f>
        <v>0</v>
      </c>
      <c r="Q268" s="961">
        <f>'jangan dihapus 2'!O288</f>
        <v>40111398105</v>
      </c>
      <c r="R268" s="961">
        <f>'jangan dihapus 2'!P288</f>
        <v>0</v>
      </c>
      <c r="S268" s="961">
        <f>'jangan dihapus 2'!Q288</f>
        <v>45633821088</v>
      </c>
      <c r="T268" s="961">
        <f>'jangan dihapus 2'!R288</f>
        <v>0</v>
      </c>
      <c r="U268" s="961">
        <f>'jangan dihapus 2'!S288</f>
        <v>52544000000</v>
      </c>
      <c r="V268" s="929"/>
      <c r="W268" s="961">
        <f>SUM(M268:U268)</f>
        <v>222143905493</v>
      </c>
      <c r="X268" s="929"/>
      <c r="Y268" s="164"/>
      <c r="Z268" s="164"/>
    </row>
    <row r="269" spans="2:26" ht="105">
      <c r="B269" s="939"/>
      <c r="C269" s="939"/>
      <c r="D269" s="939"/>
      <c r="E269" s="939"/>
      <c r="F269" s="939"/>
      <c r="G269" s="939"/>
      <c r="H269" s="164" t="str">
        <f>'matrik MISI 3'!N7</f>
        <v xml:space="preserve">Persentase Jalan yang Menjamin Pengguna Jalan Berkendara dengan Selamat </v>
      </c>
      <c r="I269" s="164" t="str">
        <f>'matrik MISI 3'!O7</f>
        <v>%</v>
      </c>
      <c r="J269" s="929">
        <f>'matrik MISI 3'!P7</f>
        <v>74.7</v>
      </c>
      <c r="K269" s="929">
        <f>'matrik MISI 3'!Q7</f>
        <v>69.7</v>
      </c>
      <c r="L269" s="929">
        <f>'matrik MISI 3'!R7</f>
        <v>70</v>
      </c>
      <c r="M269" s="961"/>
      <c r="N269" s="929">
        <f>'matrik MISI 3'!S7</f>
        <v>73</v>
      </c>
      <c r="O269" s="929"/>
      <c r="P269" s="929">
        <f>'matrik MISI 3'!T7</f>
        <v>76</v>
      </c>
      <c r="Q269" s="929"/>
      <c r="R269" s="929">
        <f>'matrik MISI 3'!U7</f>
        <v>79</v>
      </c>
      <c r="S269" s="929"/>
      <c r="T269" s="929">
        <f>'matrik MISI 3'!V7</f>
        <v>82</v>
      </c>
      <c r="U269" s="929"/>
      <c r="V269" s="929">
        <f>'matrik MISI 3'!W7</f>
        <v>82</v>
      </c>
      <c r="W269" s="929"/>
      <c r="X269" s="929" t="str">
        <f>'matrik MISI 3'!X7</f>
        <v>DPU dan DISHUBKOMINFO</v>
      </c>
      <c r="Y269" s="164" t="str">
        <f>'matrik MISI 3'!Y7</f>
        <v>jumlah panjang jalan kabupaten dalam kondisi baik dan memenuhi standart rambu lalu lintas /panjang jalan kabupaten</v>
      </c>
      <c r="Z269" s="164">
        <f>'matrik MISI 3'!Z7</f>
        <v>0</v>
      </c>
    </row>
    <row r="270" spans="2:26" ht="105">
      <c r="B270" s="940"/>
      <c r="C270" s="941"/>
      <c r="D270" s="940"/>
      <c r="E270" s="940"/>
      <c r="F270" s="940"/>
      <c r="G270" s="940"/>
      <c r="H270" s="164" t="str">
        <f>'matrik MISI 3'!N8</f>
        <v>Persentase Jalan yang Menjamin Kendaraan dapat Berjalan dengan Selamat dan Nyaman</v>
      </c>
      <c r="I270" s="164" t="str">
        <f>'matrik MISI 3'!O8</f>
        <v>%</v>
      </c>
      <c r="J270" s="929">
        <f>'matrik MISI 3'!P8</f>
        <v>74.7</v>
      </c>
      <c r="K270" s="929">
        <f>'matrik MISI 3'!Q8</f>
        <v>69.7</v>
      </c>
      <c r="L270" s="929">
        <f>'matrik MISI 3'!R8</f>
        <v>70</v>
      </c>
      <c r="M270" s="961"/>
      <c r="N270" s="929">
        <f>'matrik MISI 3'!S8</f>
        <v>73</v>
      </c>
      <c r="O270" s="929"/>
      <c r="P270" s="929">
        <f>'matrik MISI 3'!T8</f>
        <v>76</v>
      </c>
      <c r="Q270" s="929"/>
      <c r="R270" s="929">
        <f>'matrik MISI 3'!U8</f>
        <v>79</v>
      </c>
      <c r="S270" s="929"/>
      <c r="T270" s="929">
        <f>'matrik MISI 3'!V8</f>
        <v>82</v>
      </c>
      <c r="U270" s="929"/>
      <c r="V270" s="929">
        <f>'matrik MISI 3'!W8</f>
        <v>82</v>
      </c>
      <c r="W270" s="929"/>
      <c r="X270" s="929" t="str">
        <f>'matrik MISI 3'!X8</f>
        <v>DPU dan DISHUBKOMINFO</v>
      </c>
      <c r="Y270" s="164" t="str">
        <f>'matrik MISI 3'!Y8</f>
        <v>jumlah panjang jalan kabupaten dalam kondisi baik dan memenuhi standart rambu lalu lintas /panjang jalan kabupaten</v>
      </c>
      <c r="Z270" s="164">
        <f>'matrik MISI 3'!Z8</f>
        <v>0</v>
      </c>
    </row>
    <row r="271" spans="2:26" ht="105">
      <c r="B271" s="940"/>
      <c r="C271" s="941"/>
      <c r="D271" s="940"/>
      <c r="E271" s="940"/>
      <c r="F271" s="940"/>
      <c r="G271" s="940"/>
      <c r="H271" s="164" t="str">
        <f>'matrik MISI 3'!N9</f>
        <v>Persentase Jalan yang Menjamin Perjalanan dapat dilakukan Sesuai dengan Kecepatan Rencana</v>
      </c>
      <c r="I271" s="164" t="str">
        <f>'matrik MISI 3'!O9</f>
        <v>%</v>
      </c>
      <c r="J271" s="929">
        <f>'matrik MISI 3'!P9</f>
        <v>74.7</v>
      </c>
      <c r="K271" s="929">
        <f>'matrik MISI 3'!Q9</f>
        <v>69.7</v>
      </c>
      <c r="L271" s="929">
        <f>'matrik MISI 3'!R9</f>
        <v>70</v>
      </c>
      <c r="M271" s="961"/>
      <c r="N271" s="929">
        <f>'matrik MISI 3'!S9</f>
        <v>73</v>
      </c>
      <c r="O271" s="929"/>
      <c r="P271" s="929">
        <f>'matrik MISI 3'!T9</f>
        <v>76</v>
      </c>
      <c r="Q271" s="929"/>
      <c r="R271" s="929">
        <f>'matrik MISI 3'!U9</f>
        <v>79</v>
      </c>
      <c r="S271" s="929"/>
      <c r="T271" s="929">
        <f>'matrik MISI 3'!V9</f>
        <v>82</v>
      </c>
      <c r="U271" s="929"/>
      <c r="V271" s="929">
        <f>'matrik MISI 3'!W9</f>
        <v>82</v>
      </c>
      <c r="W271" s="929"/>
      <c r="X271" s="929" t="str">
        <f>'matrik MISI 3'!X9</f>
        <v>DPU dan DISHUBKOMINFO</v>
      </c>
      <c r="Y271" s="164" t="str">
        <f>'matrik MISI 3'!Y9</f>
        <v>jumlah panjang jalan kabupaten dalam kondisi baik dan memenuhi standart rambu lalu lintas /panjang jalan kabupaten</v>
      </c>
      <c r="Z271" s="164">
        <f>'matrik MISI 3'!Z9</f>
        <v>0</v>
      </c>
    </row>
    <row r="272" spans="2:26" ht="45">
      <c r="B272" s="940"/>
      <c r="C272" s="941"/>
      <c r="D272" s="940"/>
      <c r="E272" s="940"/>
      <c r="F272" s="940"/>
      <c r="G272" s="940"/>
      <c r="H272" s="164" t="str">
        <f>'matrik MISI 3'!N12</f>
        <v>Tersedianya lahan untuk persiapan pembangunan jalan lingkar Kota Parakan</v>
      </c>
      <c r="I272" s="164" t="str">
        <f>'matrik MISI 3'!O12</f>
        <v>Hektar (Ha)</v>
      </c>
      <c r="J272" s="929" t="str">
        <f>'matrik MISI 3'!P12</f>
        <v xml:space="preserve"> -</v>
      </c>
      <c r="K272" s="929" t="str">
        <f>'matrik MISI 3'!Q12</f>
        <v xml:space="preserve"> -</v>
      </c>
      <c r="L272" s="929" t="str">
        <f>'matrik MISI 3'!R12</f>
        <v xml:space="preserve"> -</v>
      </c>
      <c r="M272" s="961"/>
      <c r="N272" s="929">
        <f>'matrik MISI 3'!S12</f>
        <v>2</v>
      </c>
      <c r="O272" s="929"/>
      <c r="P272" s="929">
        <f>'matrik MISI 3'!T12</f>
        <v>6</v>
      </c>
      <c r="Q272" s="929"/>
      <c r="R272" s="929">
        <f>'matrik MISI 3'!U12</f>
        <v>11</v>
      </c>
      <c r="S272" s="929"/>
      <c r="T272" s="929">
        <f>'matrik MISI 3'!V12</f>
        <v>19</v>
      </c>
      <c r="U272" s="929"/>
      <c r="V272" s="929">
        <f>'matrik MISI 3'!W12</f>
        <v>19</v>
      </c>
      <c r="W272" s="929"/>
      <c r="X272" s="929" t="str">
        <f>'matrik MISI 3'!X12</f>
        <v>DPU/ Bagian Pemerintahan Umum</v>
      </c>
      <c r="Y272" s="164" t="str">
        <f>'matrik MISI 3'!Y12</f>
        <v>panjang x lebar jalan yang direncanakan (10Km x 19m)</v>
      </c>
      <c r="Z272" s="164">
        <f>'matrik MISI 3'!Z12</f>
        <v>0</v>
      </c>
    </row>
    <row r="273" spans="2:29" ht="45" hidden="1">
      <c r="B273" s="940"/>
      <c r="C273" s="941"/>
      <c r="D273" s="940">
        <f>'matrik MISI 3'!J10</f>
        <v>1.03</v>
      </c>
      <c r="E273" s="940" t="str">
        <f>'matrik MISI 3'!K10</f>
        <v>xx</v>
      </c>
      <c r="F273" s="940">
        <f>'matrik MISI 3'!L10</f>
        <v>18</v>
      </c>
      <c r="G273" s="940" t="str">
        <f>'matrik MISI 3'!M10</f>
        <v>Program rehabilitasi/ pemeliharaan Jalan dan Jembatan</v>
      </c>
      <c r="H273" s="164"/>
      <c r="I273" s="164"/>
      <c r="J273" s="929"/>
      <c r="K273" s="929"/>
      <c r="L273" s="929"/>
      <c r="M273" s="961">
        <f>'jangan dihapus 2'!K302</f>
        <v>2746202500</v>
      </c>
      <c r="N273" s="961">
        <f>'jangan dihapus 2'!L302</f>
        <v>0</v>
      </c>
      <c r="O273" s="961">
        <f>'jangan dihapus 2'!M302</f>
        <v>4457818954</v>
      </c>
      <c r="P273" s="961">
        <f>'jangan dihapus 2'!N302</f>
        <v>0</v>
      </c>
      <c r="Q273" s="961">
        <f>'jangan dihapus 2'!O302</f>
        <v>4525030000</v>
      </c>
      <c r="R273" s="961">
        <f>'jangan dihapus 2'!P302</f>
        <v>0</v>
      </c>
      <c r="S273" s="961">
        <f>'jangan dihapus 2'!Q302</f>
        <v>4583201000</v>
      </c>
      <c r="T273" s="961">
        <f>'jangan dihapus 2'!R302</f>
        <v>0</v>
      </c>
      <c r="U273" s="961">
        <f>'jangan dihapus 2'!S302</f>
        <v>4837291200</v>
      </c>
      <c r="V273" s="929"/>
      <c r="W273" s="961">
        <f>SUM(M273:U273)</f>
        <v>21149543654</v>
      </c>
      <c r="X273" s="929"/>
      <c r="Y273" s="164"/>
      <c r="Z273" s="164"/>
      <c r="AC273" s="605">
        <f>500000000+O273</f>
        <v>4957818954</v>
      </c>
    </row>
    <row r="274" spans="2:29" ht="90">
      <c r="B274" s="940"/>
      <c r="C274" s="941"/>
      <c r="D274" s="939"/>
      <c r="E274" s="939"/>
      <c r="F274" s="939"/>
      <c r="G274" s="939"/>
      <c r="H274" s="164" t="str">
        <f>'matrik MISI 3'!N10</f>
        <v>Persentase Jalan yang Kondisi Baik</v>
      </c>
      <c r="I274" s="164" t="str">
        <f>'matrik MISI 3'!O10</f>
        <v>%</v>
      </c>
      <c r="J274" s="929">
        <f>'matrik MISI 3'!P10</f>
        <v>65</v>
      </c>
      <c r="K274" s="929">
        <f>'matrik MISI 3'!Q10</f>
        <v>68</v>
      </c>
      <c r="L274" s="929">
        <f>'matrik MISI 3'!R10</f>
        <v>70</v>
      </c>
      <c r="M274" s="961"/>
      <c r="N274" s="929">
        <f>'matrik MISI 3'!S10</f>
        <v>73</v>
      </c>
      <c r="O274" s="929"/>
      <c r="P274" s="929">
        <f>'matrik MISI 3'!T10</f>
        <v>76</v>
      </c>
      <c r="Q274" s="929"/>
      <c r="R274" s="929">
        <f>'matrik MISI 3'!U10</f>
        <v>79</v>
      </c>
      <c r="S274" s="929"/>
      <c r="T274" s="929">
        <f>'matrik MISI 3'!V10</f>
        <v>82</v>
      </c>
      <c r="U274" s="929"/>
      <c r="V274" s="929">
        <f>'matrik MISI 3'!W10</f>
        <v>82</v>
      </c>
      <c r="W274" s="929"/>
      <c r="X274" s="929" t="str">
        <f>'matrik MISI 3'!X10</f>
        <v>DPU</v>
      </c>
      <c r="Y274" s="164" t="str">
        <f>'matrik MISI 3'!Y10</f>
        <v>jumlah jalan kabupaten kondisi baik dan sedang/ jumlah jalan kabupaten yang ada x 100 %</v>
      </c>
      <c r="Z274" s="164">
        <f>'matrik MISI 3'!Z10</f>
        <v>0</v>
      </c>
      <c r="AC274" s="605">
        <f>500000000+Q273</f>
        <v>5025030000</v>
      </c>
    </row>
    <row r="275" spans="2:29" ht="60">
      <c r="B275" s="940"/>
      <c r="C275" s="941"/>
      <c r="D275" s="940"/>
      <c r="E275" s="940"/>
      <c r="F275" s="940"/>
      <c r="G275" s="940"/>
      <c r="H275" s="164" t="str">
        <f>'matrik MISI 3'!N11</f>
        <v>Persentase Jembatan yang Kondisi Baik</v>
      </c>
      <c r="I275" s="164" t="str">
        <f>'matrik MISI 3'!O11</f>
        <v>%</v>
      </c>
      <c r="J275" s="929">
        <f>'matrik MISI 3'!P11</f>
        <v>70</v>
      </c>
      <c r="K275" s="929">
        <f>'matrik MISI 3'!Q11</f>
        <v>71</v>
      </c>
      <c r="L275" s="929">
        <f>'matrik MISI 3'!R11</f>
        <v>76</v>
      </c>
      <c r="M275" s="961"/>
      <c r="N275" s="929">
        <f>'matrik MISI 3'!S11</f>
        <v>81</v>
      </c>
      <c r="O275" s="929"/>
      <c r="P275" s="929">
        <f>'matrik MISI 3'!T11</f>
        <v>84</v>
      </c>
      <c r="Q275" s="929"/>
      <c r="R275" s="929">
        <f>'matrik MISI 3'!U11</f>
        <v>87</v>
      </c>
      <c r="S275" s="929"/>
      <c r="T275" s="929">
        <f>'matrik MISI 3'!V11</f>
        <v>90</v>
      </c>
      <c r="U275" s="929"/>
      <c r="V275" s="929">
        <f>'matrik MISI 3'!W11</f>
        <v>90</v>
      </c>
      <c r="W275" s="929"/>
      <c r="X275" s="929" t="str">
        <f>'matrik MISI 3'!X11</f>
        <v>DPU</v>
      </c>
      <c r="Y275" s="164" t="str">
        <f>'matrik MISI 3'!Y11</f>
        <v>jumlah jalan kondisi baik dan sedang/ jumlah jalan yang ada x 100 %</v>
      </c>
      <c r="Z275" s="164">
        <f>'matrik MISI 3'!Z11</f>
        <v>0</v>
      </c>
    </row>
    <row r="276" spans="2:29" ht="44.25" hidden="1" customHeight="1">
      <c r="B276" s="940"/>
      <c r="C276" s="941"/>
      <c r="D276" s="940" t="str">
        <f>'matrik MISI 3'!J13</f>
        <v>1.03</v>
      </c>
      <c r="E276" s="940" t="str">
        <f>'matrik MISI 3'!K13</f>
        <v>xx</v>
      </c>
      <c r="F276" s="940">
        <f>'matrik MISI 3'!L13</f>
        <v>23</v>
      </c>
      <c r="G276" s="940" t="str">
        <f>'matrik MISI 3'!M13</f>
        <v xml:space="preserve">Program peningkatan sarana dan prasarana kebinamargaan </v>
      </c>
      <c r="H276" s="164"/>
      <c r="I276" s="164"/>
      <c r="J276" s="929"/>
      <c r="K276" s="929"/>
      <c r="L276" s="929"/>
      <c r="M276" s="961">
        <f>'jangan dihapus 2'!K299</f>
        <v>1330500000</v>
      </c>
      <c r="N276" s="961">
        <f>'jangan dihapus 2'!L299</f>
        <v>0</v>
      </c>
      <c r="O276" s="961">
        <f>'jangan dihapus 2'!M299</f>
        <v>1409029000</v>
      </c>
      <c r="P276" s="961">
        <f>'jangan dihapus 2'!N299</f>
        <v>0</v>
      </c>
      <c r="Q276" s="961">
        <f>'jangan dihapus 2'!O299</f>
        <v>1979986800</v>
      </c>
      <c r="R276" s="961">
        <f>'jangan dihapus 2'!P299</f>
        <v>0</v>
      </c>
      <c r="S276" s="961">
        <f>'jangan dihapus 2'!Q299</f>
        <v>2575984160</v>
      </c>
      <c r="T276" s="961">
        <f>'jangan dihapus 2'!R299</f>
        <v>0</v>
      </c>
      <c r="U276" s="961">
        <f>'jangan dihapus 2'!S299</f>
        <v>2691180992</v>
      </c>
      <c r="V276" s="929"/>
      <c r="W276" s="961">
        <f>SUM(M276:U276)</f>
        <v>9986680952</v>
      </c>
      <c r="X276" s="929"/>
      <c r="Y276" s="164"/>
      <c r="Z276" s="164"/>
    </row>
    <row r="277" spans="2:29" ht="49.5" customHeight="1">
      <c r="B277" s="940"/>
      <c r="C277" s="941"/>
      <c r="D277" s="939"/>
      <c r="E277" s="939"/>
      <c r="F277" s="939"/>
      <c r="G277" s="939"/>
      <c r="H277" s="164" t="str">
        <f>'matrik MISI 3'!N13</f>
        <v>Persentase Tersedianya Alat Berat dengan Kondisi Baik</v>
      </c>
      <c r="I277" s="164" t="str">
        <f>'matrik MISI 3'!O13</f>
        <v>%</v>
      </c>
      <c r="J277" s="929">
        <f>'matrik MISI 3'!P13</f>
        <v>67</v>
      </c>
      <c r="K277" s="929">
        <f>'matrik MISI 3'!Q13</f>
        <v>67</v>
      </c>
      <c r="L277" s="929">
        <f>'matrik MISI 3'!R13</f>
        <v>70</v>
      </c>
      <c r="M277" s="961"/>
      <c r="N277" s="929">
        <f>'matrik MISI 3'!S13</f>
        <v>76</v>
      </c>
      <c r="O277" s="929"/>
      <c r="P277" s="929">
        <f>'matrik MISI 3'!T13</f>
        <v>80</v>
      </c>
      <c r="Q277" s="929"/>
      <c r="R277" s="929">
        <f>'matrik MISI 3'!U13</f>
        <v>80</v>
      </c>
      <c r="S277" s="929"/>
      <c r="T277" s="929">
        <f>'matrik MISI 3'!V13</f>
        <v>85</v>
      </c>
      <c r="U277" s="929"/>
      <c r="V277" s="929">
        <f>'matrik MISI 3'!W13</f>
        <v>85</v>
      </c>
      <c r="W277" s="929"/>
      <c r="X277" s="929" t="str">
        <f>'matrik MISI 3'!X13</f>
        <v>DPU</v>
      </c>
      <c r="Y277" s="164" t="str">
        <f>'matrik MISI 3'!Y13</f>
        <v>Jumlah alat berat dalam kondisi baik dibagi jumlah alat berat yang ada x 100</v>
      </c>
      <c r="Z277" s="164">
        <f>'matrik MISI 3'!Z13</f>
        <v>0</v>
      </c>
    </row>
    <row r="278" spans="2:29" ht="49.5" hidden="1" customHeight="1">
      <c r="B278" s="940"/>
      <c r="C278" s="941"/>
      <c r="D278" s="940" t="str">
        <f>'matrik MISI 3'!J14</f>
        <v>1.03</v>
      </c>
      <c r="E278" s="940" t="str">
        <f>'matrik MISI 3'!K14</f>
        <v>xx</v>
      </c>
      <c r="F278" s="940">
        <f>'matrik MISI 3'!L14</f>
        <v>24</v>
      </c>
      <c r="G278" s="940" t="str">
        <f>'matrik MISI 3'!M14</f>
        <v xml:space="preserve">Program pengembangan dan pengelolaan jaringan irigasi, rawa dan jaringan pengairan lainnya </v>
      </c>
      <c r="H278" s="164"/>
      <c r="I278" s="164"/>
      <c r="J278" s="929"/>
      <c r="K278" s="929"/>
      <c r="L278" s="929"/>
      <c r="M278" s="961">
        <f>'jangan dihapus 2'!K312</f>
        <v>6989047900</v>
      </c>
      <c r="N278" s="961">
        <f>'jangan dihapus 2'!L312</f>
        <v>0</v>
      </c>
      <c r="O278" s="961">
        <f>'jangan dihapus 2'!M312</f>
        <v>10609452201</v>
      </c>
      <c r="P278" s="961">
        <f>'jangan dihapus 2'!N312</f>
        <v>0</v>
      </c>
      <c r="Q278" s="961">
        <f>'jangan dihapus 2'!O312</f>
        <v>12566011900</v>
      </c>
      <c r="R278" s="961">
        <f>'jangan dihapus 2'!P312</f>
        <v>0</v>
      </c>
      <c r="S278" s="961">
        <f>'jangan dihapus 2'!Q312</f>
        <v>15281976260</v>
      </c>
      <c r="T278" s="961">
        <f>'jangan dihapus 2'!R312</f>
        <v>0</v>
      </c>
      <c r="U278" s="961">
        <f>'jangan dihapus 2'!S312</f>
        <v>16785519701</v>
      </c>
      <c r="V278" s="929"/>
      <c r="W278" s="961">
        <f>SUM(M278:U278)</f>
        <v>62232007962</v>
      </c>
      <c r="X278" s="929"/>
      <c r="Y278" s="164"/>
      <c r="Z278" s="164"/>
    </row>
    <row r="279" spans="2:29" ht="75">
      <c r="B279" s="940"/>
      <c r="C279" s="941"/>
      <c r="D279" s="939"/>
      <c r="E279" s="939"/>
      <c r="F279" s="939"/>
      <c r="G279" s="939"/>
      <c r="H279" s="164" t="str">
        <f>'matrik MISI 3'!N14</f>
        <v>Tersedianya air irigasi pada sistim irigasi yang sudah ada</v>
      </c>
      <c r="I279" s="164" t="str">
        <f>'matrik MISI 3'!O14</f>
        <v>%</v>
      </c>
      <c r="J279" s="929">
        <f>'matrik MISI 3'!P14</f>
        <v>68</v>
      </c>
      <c r="K279" s="929">
        <f>'matrik MISI 3'!Q14</f>
        <v>68</v>
      </c>
      <c r="L279" s="929">
        <f>'matrik MISI 3'!R14</f>
        <v>70</v>
      </c>
      <c r="M279" s="961"/>
      <c r="N279" s="929">
        <f>'matrik MISI 3'!S14</f>
        <v>72</v>
      </c>
      <c r="O279" s="929"/>
      <c r="P279" s="929">
        <f>'matrik MISI 3'!T14</f>
        <v>75</v>
      </c>
      <c r="Q279" s="929"/>
      <c r="R279" s="929">
        <f>'matrik MISI 3'!U14</f>
        <v>78</v>
      </c>
      <c r="S279" s="929"/>
      <c r="T279" s="929">
        <f>'matrik MISI 3'!V14</f>
        <v>80</v>
      </c>
      <c r="U279" s="929"/>
      <c r="V279" s="929">
        <f>'matrik MISI 3'!W14</f>
        <v>82</v>
      </c>
      <c r="W279" s="929"/>
      <c r="X279" s="929" t="str">
        <f>'matrik MISI 3'!X14</f>
        <v>DPU</v>
      </c>
      <c r="Y279" s="164" t="str">
        <f>'matrik MISI 3'!Y14</f>
        <v>jumlah jaringan irigasi yang kondisi baik dan sedang/ jumlah keseluruhan jaringan irigasi x 100 %</v>
      </c>
      <c r="Z279" s="164">
        <f>'matrik MISI 3'!Z14</f>
        <v>0</v>
      </c>
    </row>
    <row r="280" spans="2:29" ht="75">
      <c r="B280" s="940"/>
      <c r="C280" s="941"/>
      <c r="D280" s="940"/>
      <c r="E280" s="940"/>
      <c r="F280" s="940"/>
      <c r="G280" s="940"/>
      <c r="H280" s="164" t="str">
        <f>'matrik MISI 3'!N15</f>
        <v>Persentase Pembangunan Jaringan Irigasi Partisipatif</v>
      </c>
      <c r="I280" s="164" t="str">
        <f>'matrik MISI 3'!O15</f>
        <v>%</v>
      </c>
      <c r="J280" s="929">
        <f>'matrik MISI 3'!P15</f>
        <v>3.4920634920634921</v>
      </c>
      <c r="K280" s="929">
        <f>'matrik MISI 3'!Q15</f>
        <v>4.6031746031746037</v>
      </c>
      <c r="L280" s="929">
        <f>'matrik MISI 3'!R15</f>
        <v>4.9206349206349209</v>
      </c>
      <c r="M280" s="961"/>
      <c r="N280" s="929">
        <f>'matrik MISI 3'!S15</f>
        <v>5.2380952380952381</v>
      </c>
      <c r="O280" s="929"/>
      <c r="P280" s="929">
        <f>'matrik MISI 3'!T15</f>
        <v>5.5555555555555554</v>
      </c>
      <c r="Q280" s="929"/>
      <c r="R280" s="929">
        <f>'matrik MISI 3'!U15</f>
        <v>5.8730158730158726</v>
      </c>
      <c r="S280" s="929"/>
      <c r="T280" s="929">
        <f>'matrik MISI 3'!V15</f>
        <v>6.1904761904761907</v>
      </c>
      <c r="U280" s="929"/>
      <c r="V280" s="929">
        <f>'matrik MISI 3'!W15</f>
        <v>6.1904761904761907</v>
      </c>
      <c r="W280" s="929"/>
      <c r="X280" s="929" t="str">
        <f>'matrik MISI 3'!X15</f>
        <v>DPU</v>
      </c>
      <c r="Y280" s="164" t="str">
        <f>'matrik MISI 3'!Y15</f>
        <v>Jumlah pembangunan Jaringan Irigasi Partisipatif pada skala DI / Jumlah DI yang ada x 100%</v>
      </c>
      <c r="Z280" s="164">
        <f>'matrik MISI 3'!Z15</f>
        <v>0</v>
      </c>
    </row>
    <row r="281" spans="2:29" ht="45" hidden="1">
      <c r="B281" s="940"/>
      <c r="C281" s="941"/>
      <c r="D281" s="940">
        <f>'matrik MISI 3'!J16</f>
        <v>1.03</v>
      </c>
      <c r="E281" s="940" t="str">
        <f>'matrik MISI 3'!K16</f>
        <v>xx</v>
      </c>
      <c r="F281" s="940">
        <f>'matrik MISI 3'!L16</f>
        <v>16</v>
      </c>
      <c r="G281" s="940" t="str">
        <f>'matrik MISI 3'!M16</f>
        <v>Program Pembangunan saluran drainase/gorong-gorong</v>
      </c>
      <c r="H281" s="164"/>
      <c r="I281" s="164"/>
      <c r="J281" s="929"/>
      <c r="K281" s="929"/>
      <c r="L281" s="929"/>
      <c r="M281" s="961">
        <f>'jangan dihapus 2'!K296</f>
        <v>700000000</v>
      </c>
      <c r="N281" s="961">
        <f>'jangan dihapus 2'!L296</f>
        <v>0</v>
      </c>
      <c r="O281" s="961">
        <f>'jangan dihapus 2'!M296</f>
        <v>1297662500</v>
      </c>
      <c r="P281" s="961">
        <f>'jangan dihapus 2'!N296</f>
        <v>0</v>
      </c>
      <c r="Q281" s="961">
        <f>'jangan dihapus 2'!O296</f>
        <v>3110000000</v>
      </c>
      <c r="R281" s="961">
        <f>'jangan dihapus 2'!P296</f>
        <v>0</v>
      </c>
      <c r="S281" s="961">
        <f>'jangan dihapus 2'!Q296</f>
        <v>2570000000</v>
      </c>
      <c r="T281" s="961">
        <f>'jangan dihapus 2'!R296</f>
        <v>0</v>
      </c>
      <c r="U281" s="961">
        <f>'jangan dihapus 2'!S296</f>
        <v>2642000000</v>
      </c>
      <c r="V281" s="929"/>
      <c r="W281" s="961">
        <f>SUM(M281:U281)</f>
        <v>10319662500</v>
      </c>
      <c r="X281" s="929"/>
      <c r="Y281" s="164"/>
      <c r="Z281" s="164"/>
    </row>
    <row r="282" spans="2:29" ht="90">
      <c r="B282" s="940"/>
      <c r="C282" s="941"/>
      <c r="D282" s="939"/>
      <c r="E282" s="939"/>
      <c r="F282" s="939"/>
      <c r="G282" s="939"/>
      <c r="H282" s="164" t="str">
        <f>'matrik MISI 3'!N16</f>
        <v>Tersedianya sistem jaringan drainase skala kawasan/kota sehingga tidak terjadi genangan</v>
      </c>
      <c r="I282" s="164" t="str">
        <f>'matrik MISI 3'!O16</f>
        <v>%</v>
      </c>
      <c r="J282" s="929">
        <f>'matrik MISI 3'!P16</f>
        <v>30.54</v>
      </c>
      <c r="K282" s="929">
        <f>'matrik MISI 3'!Q16</f>
        <v>30.71</v>
      </c>
      <c r="L282" s="929">
        <f>'matrik MISI 3'!R16</f>
        <v>30.9</v>
      </c>
      <c r="M282" s="961"/>
      <c r="N282" s="929">
        <f>'matrik MISI 3'!S16</f>
        <v>40.1</v>
      </c>
      <c r="O282" s="929"/>
      <c r="P282" s="929">
        <f>'matrik MISI 3'!T16</f>
        <v>40.299999999999997</v>
      </c>
      <c r="Q282" s="929"/>
      <c r="R282" s="929">
        <f>'matrik MISI 3'!U16</f>
        <v>40.5</v>
      </c>
      <c r="S282" s="929"/>
      <c r="T282" s="929">
        <f>'matrik MISI 3'!V16</f>
        <v>40.700000000000003</v>
      </c>
      <c r="U282" s="929"/>
      <c r="V282" s="929">
        <f>'matrik MISI 3'!W16</f>
        <v>40.700000000000003</v>
      </c>
      <c r="W282" s="929"/>
      <c r="X282" s="929" t="str">
        <f>'matrik MISI 3'!X16</f>
        <v>DPU</v>
      </c>
      <c r="Y282" s="164" t="str">
        <f>'matrik MISI 3'!Y16</f>
        <v xml:space="preserve">Data Panjang Jaringan drainase pada skala kawasan/kota yang ada / data panjang jalan kabupaten skala kawasan/kota </v>
      </c>
      <c r="Z282" s="164">
        <f>'matrik MISI 3'!Z16</f>
        <v>0</v>
      </c>
    </row>
    <row r="283" spans="2:29" ht="45" hidden="1">
      <c r="B283" s="940"/>
      <c r="C283" s="941"/>
      <c r="D283" s="940" t="str">
        <f>'matrik MISI 3'!J17</f>
        <v>1.20</v>
      </c>
      <c r="E283" s="940" t="str">
        <f>'matrik MISI 3'!K17</f>
        <v>xx</v>
      </c>
      <c r="F283" s="940">
        <f>'matrik MISI 3'!L17</f>
        <v>0</v>
      </c>
      <c r="G283" s="940" t="str">
        <f>'matrik MISI 3'!M17</f>
        <v>Program Peningkatan Sarana dan Prasarana Aparatur</v>
      </c>
      <c r="H283" s="164"/>
      <c r="I283" s="164"/>
      <c r="J283" s="929"/>
      <c r="K283" s="929"/>
      <c r="L283" s="929"/>
      <c r="M283" s="961">
        <f>'jangan dihapus 2'!K328</f>
        <v>5126836400</v>
      </c>
      <c r="N283" s="961">
        <f>'jangan dihapus 2'!L328</f>
        <v>0</v>
      </c>
      <c r="O283" s="961">
        <f>'jangan dihapus 2'!M328</f>
        <v>5457723500</v>
      </c>
      <c r="P283" s="961">
        <f>'jangan dihapus 2'!N328</f>
        <v>0</v>
      </c>
      <c r="Q283" s="961">
        <f>'jangan dihapus 2'!O328</f>
        <v>3440855000</v>
      </c>
      <c r="R283" s="961">
        <f>'jangan dihapus 2'!P328</f>
        <v>0</v>
      </c>
      <c r="S283" s="961">
        <f>'jangan dihapus 2'!Q328</f>
        <v>5698526000</v>
      </c>
      <c r="T283" s="961">
        <f>'jangan dihapus 2'!R328</f>
        <v>0</v>
      </c>
      <c r="U283" s="961">
        <f>'jangan dihapus 2'!S328</f>
        <v>6177731200</v>
      </c>
      <c r="V283" s="929"/>
      <c r="W283" s="961">
        <f>SUM(M283:U283)</f>
        <v>25901672100</v>
      </c>
      <c r="X283" s="929"/>
      <c r="Y283" s="164"/>
      <c r="Z283" s="164"/>
    </row>
    <row r="284" spans="2:29" ht="60">
      <c r="B284" s="950"/>
      <c r="C284" s="951"/>
      <c r="D284" s="942"/>
      <c r="E284" s="942"/>
      <c r="F284" s="942"/>
      <c r="G284" s="942"/>
      <c r="H284" s="164" t="str">
        <f>'matrik MISI 3'!N17</f>
        <v>Tersedianya bangunan gedung kantor kecamatan yang memadai</v>
      </c>
      <c r="I284" s="164" t="str">
        <f>'matrik MISI 3'!O17</f>
        <v>Unit</v>
      </c>
      <c r="J284" s="929">
        <f>'matrik MISI 3'!P17</f>
        <v>2</v>
      </c>
      <c r="K284" s="929" t="str">
        <f>'matrik MISI 3'!Q17</f>
        <v>-</v>
      </c>
      <c r="L284" s="929">
        <f>'matrik MISI 3'!R17</f>
        <v>1</v>
      </c>
      <c r="M284" s="961"/>
      <c r="N284" s="929" t="str">
        <f>'matrik MISI 3'!S17</f>
        <v>-</v>
      </c>
      <c r="O284" s="929"/>
      <c r="P284" s="929">
        <f>'matrik MISI 3'!T17</f>
        <v>1</v>
      </c>
      <c r="Q284" s="929"/>
      <c r="R284" s="929">
        <f>'matrik MISI 3'!U17</f>
        <v>1</v>
      </c>
      <c r="S284" s="929"/>
      <c r="T284" s="929">
        <f>'matrik MISI 3'!V17</f>
        <v>1</v>
      </c>
      <c r="U284" s="929"/>
      <c r="V284" s="929">
        <f>'matrik MISI 3'!W17</f>
        <v>4</v>
      </c>
      <c r="W284" s="929"/>
      <c r="X284" s="929" t="str">
        <f>'matrik MISI 3'!X17</f>
        <v>DPU/Pemerintahan Umum</v>
      </c>
      <c r="Y284" s="164" t="str">
        <f>'matrik MISI 3'!Y17</f>
        <v>jumlah unit kantor kecamatan yang akan dibangun</v>
      </c>
      <c r="Z284" s="164" t="str">
        <f>'matrik MISI 3'!Z17</f>
        <v>2014: kec.candiroto ; 2016 : kec.parakan ; 2017 : kec.Kaloran ; 2018 : kec.</v>
      </c>
    </row>
    <row r="285" spans="2:29" ht="30">
      <c r="B285" s="949">
        <v>4</v>
      </c>
      <c r="C285" s="948" t="str">
        <f>'matrik MISI 3'!B18</f>
        <v>PERUMAHAN RAKYAT</v>
      </c>
      <c r="D285" s="949">
        <f>'matrik MISI 3'!J18</f>
        <v>1.04</v>
      </c>
      <c r="E285" s="949" t="str">
        <f>'matrik MISI 3'!K18</f>
        <v>xx</v>
      </c>
      <c r="F285" s="949">
        <f>'matrik MISI 3'!L18</f>
        <v>16</v>
      </c>
      <c r="G285" s="949" t="str">
        <f>'matrik MISI 3'!M18</f>
        <v>Program Lingkungan Sehat Perumahan</v>
      </c>
      <c r="H285" s="164"/>
      <c r="I285" s="164"/>
      <c r="J285" s="929"/>
      <c r="K285" s="929"/>
      <c r="L285" s="929"/>
      <c r="M285" s="961">
        <f>'jangan dihapus 2'!K347+'jangan dihapus 2'!K351</f>
        <v>1244068700</v>
      </c>
      <c r="N285" s="961"/>
      <c r="O285" s="961">
        <f>'jangan dihapus 2'!M347+'jangan dihapus 2'!M351</f>
        <v>355912500</v>
      </c>
      <c r="P285" s="961"/>
      <c r="Q285" s="961">
        <f>'jangan dihapus 2'!O347+'jangan dihapus 2'!O351</f>
        <v>340000000</v>
      </c>
      <c r="R285" s="961"/>
      <c r="S285" s="961">
        <f>'jangan dihapus 2'!Q347+'jangan dihapus 2'!Q351</f>
        <v>340000000</v>
      </c>
      <c r="T285" s="961"/>
      <c r="U285" s="961">
        <f>'jangan dihapus 2'!S347+'jangan dihapus 2'!S351</f>
        <v>340000000</v>
      </c>
      <c r="V285" s="929"/>
      <c r="W285" s="961">
        <f>SUM(M285:U285)</f>
        <v>2619981200</v>
      </c>
      <c r="X285" s="929"/>
      <c r="Y285" s="164"/>
      <c r="Z285" s="164"/>
    </row>
    <row r="286" spans="2:29" ht="60">
      <c r="B286" s="939"/>
      <c r="C286" s="939"/>
      <c r="D286" s="939"/>
      <c r="E286" s="939"/>
      <c r="F286" s="939"/>
      <c r="G286" s="939"/>
      <c r="H286" s="164" t="str">
        <f>'matrik MISI 3'!N18</f>
        <v>Cakupan Ketersediaan Rumah Layak Huni</v>
      </c>
      <c r="I286" s="164" t="str">
        <f>'matrik MISI 3'!O18</f>
        <v>%</v>
      </c>
      <c r="J286" s="929" t="str">
        <f>'matrik MISI 3'!P18</f>
        <v>94.3</v>
      </c>
      <c r="K286" s="929" t="str">
        <f>'matrik MISI 3'!Q18</f>
        <v>94.6</v>
      </c>
      <c r="L286" s="929">
        <f>'matrik MISI 3'!R18</f>
        <v>94.92</v>
      </c>
      <c r="M286" s="961"/>
      <c r="N286" s="929">
        <f>'matrik MISI 3'!S18</f>
        <v>95.24</v>
      </c>
      <c r="O286" s="929"/>
      <c r="P286" s="929">
        <f>'matrik MISI 3'!T18</f>
        <v>95.559999999999988</v>
      </c>
      <c r="Q286" s="929"/>
      <c r="R286" s="929">
        <f>'matrik MISI 3'!U18</f>
        <v>95.879999999999981</v>
      </c>
      <c r="S286" s="929"/>
      <c r="T286" s="929">
        <f>'matrik MISI 3'!V18</f>
        <v>96.199999999999974</v>
      </c>
      <c r="U286" s="929"/>
      <c r="V286" s="929">
        <f>'matrik MISI 3'!W18</f>
        <v>96.199999999999974</v>
      </c>
      <c r="W286" s="929"/>
      <c r="X286" s="929" t="str">
        <f>'matrik MISI 3'!X18</f>
        <v>Dinas Sosial, DPU, Bapermades</v>
      </c>
      <c r="Y286" s="164" t="str">
        <f>'matrik MISI 3'!Y18</f>
        <v>jumlah Rumah layak huni  dibagi  jumlah rumah yang ada x 100 %</v>
      </c>
      <c r="Z286" s="164" t="str">
        <f>'matrik MISI 3'!Z18</f>
        <v>penambahan 650 rumah per tahun</v>
      </c>
    </row>
    <row r="287" spans="2:29" ht="45">
      <c r="B287" s="940"/>
      <c r="C287" s="941"/>
      <c r="D287" s="940"/>
      <c r="E287" s="940"/>
      <c r="F287" s="940"/>
      <c r="G287" s="940"/>
      <c r="H287" s="164" t="str">
        <f>'matrik MISI 3'!N19</f>
        <v>berkurangnya Luasan Permukiman Kumuh di kawasan perkotaan</v>
      </c>
      <c r="I287" s="164" t="str">
        <f>'matrik MISI 3'!O19</f>
        <v>Hektar (Ha)</v>
      </c>
      <c r="J287" s="929">
        <f>'matrik MISI 3'!P19</f>
        <v>35.56</v>
      </c>
      <c r="K287" s="929">
        <f>'matrik MISI 3'!Q19</f>
        <v>35.56</v>
      </c>
      <c r="L287" s="929">
        <f>'matrik MISI 3'!R19</f>
        <v>32.36</v>
      </c>
      <c r="M287" s="961"/>
      <c r="N287" s="929">
        <f>'matrik MISI 3'!S19</f>
        <v>28.81</v>
      </c>
      <c r="O287" s="929"/>
      <c r="P287" s="929">
        <f>'matrik MISI 3'!T19</f>
        <v>25.42</v>
      </c>
      <c r="Q287" s="929"/>
      <c r="R287" s="929">
        <f>'matrik MISI 3'!U19</f>
        <v>22.3</v>
      </c>
      <c r="S287" s="929"/>
      <c r="T287" s="929">
        <f>'matrik MISI 3'!V19</f>
        <v>19.91</v>
      </c>
      <c r="U287" s="929"/>
      <c r="V287" s="929">
        <f>'matrik MISI 3'!W19</f>
        <v>19.91</v>
      </c>
      <c r="W287" s="929"/>
      <c r="X287" s="929" t="str">
        <f>'matrik MISI 3'!X19</f>
        <v>DPU</v>
      </c>
      <c r="Y287" s="164" t="str">
        <f>'matrik MISI 3'!Y19</f>
        <v>jumlah luasan kawasan kumuh perkotaan yang ada</v>
      </c>
      <c r="Z287" s="164">
        <f>'matrik MISI 3'!Z19</f>
        <v>0</v>
      </c>
    </row>
    <row r="288" spans="2:29" ht="60" hidden="1">
      <c r="B288" s="940"/>
      <c r="C288" s="941"/>
      <c r="D288" s="940">
        <f>'matrik MISI 3'!J24</f>
        <v>1.04</v>
      </c>
      <c r="E288" s="940" t="str">
        <f>'matrik MISI 3'!K24</f>
        <v>xx</v>
      </c>
      <c r="F288" s="940">
        <f>'matrik MISI 3'!L24</f>
        <v>18</v>
      </c>
      <c r="G288" s="940" t="str">
        <f>'matrik MISI 3'!M24</f>
        <v>Program peningkatan kesiagaan dan pencegahan bahaya kebakaran</v>
      </c>
      <c r="H288" s="164"/>
      <c r="I288" s="164"/>
      <c r="J288" s="929"/>
      <c r="K288" s="929"/>
      <c r="L288" s="929"/>
      <c r="M288" s="961">
        <f>'jangan dihapus 2'!K356</f>
        <v>220000000</v>
      </c>
      <c r="N288" s="961"/>
      <c r="O288" s="961">
        <f>'jangan dihapus 2'!M356</f>
        <v>1235460000</v>
      </c>
      <c r="P288" s="961"/>
      <c r="Q288" s="961">
        <f>'jangan dihapus 2'!O356</f>
        <v>4665000000</v>
      </c>
      <c r="R288" s="961"/>
      <c r="S288" s="961">
        <f>'jangan dihapus 2'!Q356</f>
        <v>4850000000</v>
      </c>
      <c r="T288" s="961"/>
      <c r="U288" s="961">
        <f>'jangan dihapus 2'!S356</f>
        <v>5235000000</v>
      </c>
      <c r="V288" s="929"/>
      <c r="W288" s="961">
        <f>SUM(M288:U288)</f>
        <v>16205460000</v>
      </c>
      <c r="X288" s="929"/>
      <c r="Y288" s="164"/>
      <c r="Z288" s="164"/>
    </row>
    <row r="289" spans="2:26" ht="45">
      <c r="B289" s="940"/>
      <c r="C289" s="941"/>
      <c r="D289" s="939"/>
      <c r="E289" s="939"/>
      <c r="F289" s="939"/>
      <c r="G289" s="939"/>
      <c r="H289" s="164" t="str">
        <f>'matrik MISI 3'!N24</f>
        <v>Cakupan pelayanan bencana kebakaran kabupaten</v>
      </c>
      <c r="I289" s="164" t="str">
        <f>'matrik MISI 3'!O24</f>
        <v>%</v>
      </c>
      <c r="J289" s="929">
        <f>'matrik MISI 3'!P24</f>
        <v>20</v>
      </c>
      <c r="K289" s="929">
        <f>'matrik MISI 3'!Q24</f>
        <v>20</v>
      </c>
      <c r="L289" s="929">
        <f>'matrik MISI 3'!R24</f>
        <v>20</v>
      </c>
      <c r="M289" s="967"/>
      <c r="N289" s="929">
        <f>'matrik MISI 3'!S24</f>
        <v>40</v>
      </c>
      <c r="O289" s="967"/>
      <c r="P289" s="929">
        <f>'matrik MISI 3'!T24</f>
        <v>60</v>
      </c>
      <c r="Q289" s="967"/>
      <c r="R289" s="929">
        <f>'matrik MISI 3'!U24</f>
        <v>80</v>
      </c>
      <c r="S289" s="967"/>
      <c r="T289" s="929">
        <f>'matrik MISI 3'!V24</f>
        <v>80</v>
      </c>
      <c r="U289" s="929"/>
      <c r="V289" s="929">
        <f>'matrik MISI 3'!W24</f>
        <v>80</v>
      </c>
      <c r="W289" s="929"/>
      <c r="X289" s="929" t="str">
        <f>'matrik MISI 3'!X24</f>
        <v>DPU</v>
      </c>
      <c r="Y289" s="164" t="str">
        <f>'matrik MISI 3'!Y24</f>
        <v>Jangkauan luas WMK/Luas wilayah kabupaten x 100%</v>
      </c>
      <c r="Z289" s="164"/>
    </row>
    <row r="290" spans="2:26" ht="120">
      <c r="B290" s="940"/>
      <c r="C290" s="941"/>
      <c r="D290" s="940"/>
      <c r="E290" s="940"/>
      <c r="F290" s="940"/>
      <c r="G290" s="940"/>
      <c r="H290" s="164" t="str">
        <f>'matrik MISI 3'!N25</f>
        <v>Tingkat Waktu Tanggap (response time rate)</v>
      </c>
      <c r="I290" s="164" t="str">
        <f>'matrik MISI 3'!O25</f>
        <v>%</v>
      </c>
      <c r="J290" s="929">
        <f>'matrik MISI 3'!P25</f>
        <v>39</v>
      </c>
      <c r="K290" s="929">
        <f>'matrik MISI 3'!Q25</f>
        <v>68</v>
      </c>
      <c r="L290" s="929">
        <f>'matrik MISI 3'!R25</f>
        <v>70</v>
      </c>
      <c r="M290" s="967"/>
      <c r="N290" s="929">
        <f>'matrik MISI 3'!S25</f>
        <v>73</v>
      </c>
      <c r="O290" s="967"/>
      <c r="P290" s="929">
        <f>'matrik MISI 3'!T25</f>
        <v>80</v>
      </c>
      <c r="Q290" s="967"/>
      <c r="R290" s="929">
        <f>'matrik MISI 3'!U25</f>
        <v>80</v>
      </c>
      <c r="S290" s="967"/>
      <c r="T290" s="929">
        <f>'matrik MISI 3'!V25</f>
        <v>80</v>
      </c>
      <c r="U290" s="929"/>
      <c r="V290" s="929">
        <f>'matrik MISI 3'!W25</f>
        <v>80</v>
      </c>
      <c r="W290" s="929"/>
      <c r="X290" s="929" t="str">
        <f>'matrik MISI 3'!X25</f>
        <v>DPU</v>
      </c>
      <c r="Y290" s="164" t="str">
        <f>'matrik MISI 3'!Y25</f>
        <v>Jumlah Kasus Kebakaran di WMK yang terangani dalam waktu tingkat tanggap / Jumlah Kasus Kebakaran dalam Jangkauan WMK x 100%</v>
      </c>
      <c r="Z290" s="164"/>
    </row>
    <row r="291" spans="2:26" ht="105">
      <c r="B291" s="940"/>
      <c r="C291" s="941"/>
      <c r="D291" s="940"/>
      <c r="E291" s="940"/>
      <c r="F291" s="940"/>
      <c r="G291" s="940"/>
      <c r="H291" s="164" t="str">
        <f>'matrik MISI 3'!N26</f>
        <v>Persentase Aparatur Pemadam Kebakaran yang Memenuhi Standar Kualifikasi</v>
      </c>
      <c r="I291" s="164" t="str">
        <f>'matrik MISI 3'!O26</f>
        <v>%</v>
      </c>
      <c r="J291" s="929">
        <f>'matrik MISI 3'!P26</f>
        <v>71</v>
      </c>
      <c r="K291" s="929">
        <f>'matrik MISI 3'!Q26</f>
        <v>83</v>
      </c>
      <c r="L291" s="929">
        <f>'matrik MISI 3'!R26</f>
        <v>85</v>
      </c>
      <c r="M291" s="967"/>
      <c r="N291" s="929">
        <f>'matrik MISI 3'!S26</f>
        <v>87</v>
      </c>
      <c r="O291" s="967"/>
      <c r="P291" s="929">
        <f>'matrik MISI 3'!T26</f>
        <v>90</v>
      </c>
      <c r="Q291" s="967"/>
      <c r="R291" s="929">
        <f>'matrik MISI 3'!U26</f>
        <v>93</v>
      </c>
      <c r="S291" s="967"/>
      <c r="T291" s="929">
        <f>'matrik MISI 3'!V26</f>
        <v>95</v>
      </c>
      <c r="U291" s="967"/>
      <c r="V291" s="929">
        <f>'matrik MISI 3'!W26</f>
        <v>95</v>
      </c>
      <c r="W291" s="929"/>
      <c r="X291" s="929" t="str">
        <f>'matrik MISI 3'!X26</f>
        <v>DPU</v>
      </c>
      <c r="Y291" s="164" t="str">
        <f>'matrik MISI 3'!Y26</f>
        <v>Jumlah aparatur pemadam kebakaran yang memenuhi standar kualifikasi/ jumlah aparatur pemadam kebakaran x 100</v>
      </c>
      <c r="Z291" s="164"/>
    </row>
    <row r="292" spans="2:26" ht="135">
      <c r="B292" s="950"/>
      <c r="C292" s="951"/>
      <c r="D292" s="950"/>
      <c r="E292" s="950"/>
      <c r="F292" s="950"/>
      <c r="G292" s="950"/>
      <c r="H292" s="164" t="str">
        <f>'matrik MISI 3'!N27</f>
        <v>Rasio Mobil Pemadam Kebakaran di Atas 3.000 - 5.000 Liter pada Wilayah Manajemen Kebakaran (WMK)</v>
      </c>
      <c r="I292" s="164" t="str">
        <f>'matrik MISI 3'!O27</f>
        <v>%</v>
      </c>
      <c r="J292" s="929" t="str">
        <f>'matrik MISI 3'!P27</f>
        <v>70.6</v>
      </c>
      <c r="K292" s="929">
        <f>'matrik MISI 3'!Q27</f>
        <v>82</v>
      </c>
      <c r="L292" s="929">
        <f>'matrik MISI 3'!R27</f>
        <v>85</v>
      </c>
      <c r="M292" s="967"/>
      <c r="N292" s="929">
        <f>'matrik MISI 3'!S27</f>
        <v>87</v>
      </c>
      <c r="O292" s="967"/>
      <c r="P292" s="929">
        <f>'matrik MISI 3'!T27</f>
        <v>90</v>
      </c>
      <c r="Q292" s="967"/>
      <c r="R292" s="929">
        <f>'matrik MISI 3'!U27</f>
        <v>93</v>
      </c>
      <c r="S292" s="967"/>
      <c r="T292" s="929">
        <f>'matrik MISI 3'!V27</f>
        <v>95</v>
      </c>
      <c r="U292" s="967"/>
      <c r="V292" s="929">
        <f>'matrik MISI 3'!W27</f>
        <v>95</v>
      </c>
      <c r="W292" s="929"/>
      <c r="X292" s="929" t="str">
        <f>'matrik MISI 3'!X27</f>
        <v>DPU</v>
      </c>
      <c r="Y292" s="164" t="str">
        <f>'matrik MISI 3'!Y27</f>
        <v>Jumlah mobil pemadam kebakaran diatas 3000-5000 liter pada wilayah manajemen kebakaran/ mobil kebakaran pada wilayah manajemen kebakaran</v>
      </c>
      <c r="Z292" s="164"/>
    </row>
    <row r="293" spans="2:26" ht="30">
      <c r="B293" s="949">
        <v>5</v>
      </c>
      <c r="C293" s="948" t="str">
        <f>'matrik MISI 3'!B28</f>
        <v>PENATAAN RUANG</v>
      </c>
      <c r="D293" s="949" t="str">
        <f>'matrik MISI 3'!J29</f>
        <v>1.05</v>
      </c>
      <c r="E293" s="949" t="str">
        <f>'matrik MISI 3'!K29</f>
        <v>xx</v>
      </c>
      <c r="F293" s="949">
        <f>'matrik MISI 3'!L29</f>
        <v>15</v>
      </c>
      <c r="G293" s="949" t="str">
        <f>'matrik MISI 3'!M29</f>
        <v>Program Perencanaan Tata Ruang</v>
      </c>
      <c r="H293" s="164"/>
      <c r="I293" s="164"/>
      <c r="J293" s="929"/>
      <c r="K293" s="929"/>
      <c r="L293" s="929"/>
      <c r="M293" s="961">
        <f>'jangan dihapus 2'!K366</f>
        <v>75958000</v>
      </c>
      <c r="N293" s="961"/>
      <c r="O293" s="961">
        <f>'jangan dihapus 2'!M366</f>
        <v>100000000</v>
      </c>
      <c r="P293" s="961"/>
      <c r="Q293" s="961">
        <f>'jangan dihapus 2'!O366</f>
        <v>300000000</v>
      </c>
      <c r="R293" s="961"/>
      <c r="S293" s="961">
        <f>'jangan dihapus 2'!Q366</f>
        <v>200000000</v>
      </c>
      <c r="T293" s="961"/>
      <c r="U293" s="961">
        <f>'jangan dihapus 2'!S366</f>
        <v>100000000</v>
      </c>
      <c r="V293" s="929"/>
      <c r="W293" s="961">
        <f>SUM(M293:U293)</f>
        <v>775958000</v>
      </c>
      <c r="X293" s="929"/>
      <c r="Y293" s="164"/>
      <c r="Z293" s="164"/>
    </row>
    <row r="294" spans="2:26" ht="105">
      <c r="B294" s="939"/>
      <c r="C294" s="939"/>
      <c r="D294" s="939"/>
      <c r="E294" s="939"/>
      <c r="F294" s="939"/>
      <c r="G294" s="939"/>
      <c r="H294" s="164" t="str">
        <f>'matrik MISI 3'!N29</f>
        <v>tersedianya informasi mengenai rencana tata ruang (RTR) beserta rencana rincinya</v>
      </c>
      <c r="I294" s="164" t="str">
        <f>'matrik MISI 3'!O29</f>
        <v>PERDA</v>
      </c>
      <c r="J294" s="929">
        <f>'matrik MISI 3'!P29</f>
        <v>1</v>
      </c>
      <c r="K294" s="929">
        <f>'matrik MISI 3'!Q29</f>
        <v>1</v>
      </c>
      <c r="L294" s="929">
        <f>'matrik MISI 3'!R29</f>
        <v>2</v>
      </c>
      <c r="M294" s="961"/>
      <c r="N294" s="929">
        <f>'matrik MISI 3'!S29</f>
        <v>2</v>
      </c>
      <c r="O294" s="929"/>
      <c r="P294" s="929">
        <f>'matrik MISI 3'!T29</f>
        <v>3</v>
      </c>
      <c r="Q294" s="929"/>
      <c r="R294" s="929">
        <f>'matrik MISI 3'!U29</f>
        <v>3</v>
      </c>
      <c r="S294" s="929"/>
      <c r="T294" s="929">
        <f>'matrik MISI 3'!V29</f>
        <v>3</v>
      </c>
      <c r="U294" s="929"/>
      <c r="V294" s="929">
        <f>'matrik MISI 3'!W29</f>
        <v>3</v>
      </c>
      <c r="W294" s="929"/>
      <c r="X294" s="929" t="str">
        <f>'matrik MISI 3'!X29</f>
        <v>BAPPEDA / DPU</v>
      </c>
      <c r="Y294" s="164" t="str">
        <f>'matrik MISI 3'!Y29</f>
        <v>tersedianya PERDA Rencana Tata Ruang Wilayah (RTRW) dan Rencana Detail Tata Ruang (RDTR)</v>
      </c>
      <c r="Z294" s="164" t="str">
        <f>'matrik MISI 3'!Z29</f>
        <v xml:space="preserve"> - tahun 2012 sudah ada PERDA No 1 Th 2012 tentang RTRW.                - tahun 2014 ditargetkan 1 PERDA RDTR kawasan strategis</v>
      </c>
    </row>
    <row r="295" spans="2:26" ht="120">
      <c r="B295" s="940"/>
      <c r="C295" s="941"/>
      <c r="D295" s="940"/>
      <c r="E295" s="940"/>
      <c r="F295" s="940"/>
      <c r="G295" s="940"/>
      <c r="H295" s="164" t="str">
        <f>'matrik MISI 3'!N30</f>
        <v>terlaksananya penjaringan aspirasi masyarakat dalam proses penyusunan RTRW beserta rencana rinci</v>
      </c>
      <c r="I295" s="164" t="str">
        <f>'matrik MISI 3'!O30</f>
        <v>%</v>
      </c>
      <c r="J295" s="929">
        <f>'matrik MISI 3'!P30</f>
        <v>100</v>
      </c>
      <c r="K295" s="929">
        <f>'matrik MISI 3'!Q30</f>
        <v>100</v>
      </c>
      <c r="L295" s="929">
        <f>'matrik MISI 3'!R30</f>
        <v>100</v>
      </c>
      <c r="M295" s="961"/>
      <c r="N295" s="929">
        <f>'matrik MISI 3'!S30</f>
        <v>100</v>
      </c>
      <c r="O295" s="929"/>
      <c r="P295" s="929">
        <f>'matrik MISI 3'!T30</f>
        <v>100</v>
      </c>
      <c r="Q295" s="929"/>
      <c r="R295" s="929">
        <f>'matrik MISI 3'!U30</f>
        <v>100</v>
      </c>
      <c r="S295" s="929"/>
      <c r="T295" s="929">
        <f>'matrik MISI 3'!V30</f>
        <v>100</v>
      </c>
      <c r="U295" s="929"/>
      <c r="V295" s="929">
        <f>'matrik MISI 3'!W30</f>
        <v>100</v>
      </c>
      <c r="W295" s="929"/>
      <c r="X295" s="929" t="str">
        <f>'matrik MISI 3'!X30</f>
        <v>BAPPEDA / DPU</v>
      </c>
      <c r="Y295" s="164" t="str">
        <f>'matrik MISI 3'!Y30</f>
        <v>jumlah penjaringan aspirasi/konsultasi piblik dalam penyusunan RTR / jumlah penjaringan aspirasi yang seharusnya dilakukan x 100</v>
      </c>
      <c r="Z295" s="164">
        <f>'matrik MISI 3'!Z30</f>
        <v>0</v>
      </c>
    </row>
    <row r="296" spans="2:26" ht="45">
      <c r="B296" s="940"/>
      <c r="C296" s="941"/>
      <c r="D296" s="940"/>
      <c r="E296" s="940"/>
      <c r="F296" s="940"/>
      <c r="G296" s="940"/>
      <c r="H296" s="164" t="str">
        <f>'matrik MISI 3'!N31</f>
        <v>terlayaninya masyarakat dalam pengurusan ijin pemanfaatan ruang</v>
      </c>
      <c r="I296" s="164" t="str">
        <f>'matrik MISI 3'!O31</f>
        <v>%</v>
      </c>
      <c r="J296" s="929">
        <f>'matrik MISI 3'!P31</f>
        <v>100</v>
      </c>
      <c r="K296" s="929">
        <f>'matrik MISI 3'!Q31</f>
        <v>100</v>
      </c>
      <c r="L296" s="929">
        <f>'matrik MISI 3'!R31</f>
        <v>100</v>
      </c>
      <c r="M296" s="961"/>
      <c r="N296" s="929">
        <f>'matrik MISI 3'!S31</f>
        <v>100</v>
      </c>
      <c r="O296" s="929"/>
      <c r="P296" s="929">
        <f>'matrik MISI 3'!T31</f>
        <v>100</v>
      </c>
      <c r="Q296" s="929"/>
      <c r="R296" s="929">
        <f>'matrik MISI 3'!U31</f>
        <v>100</v>
      </c>
      <c r="S296" s="929"/>
      <c r="T296" s="929">
        <f>'matrik MISI 3'!V31</f>
        <v>100</v>
      </c>
      <c r="U296" s="929"/>
      <c r="V296" s="929">
        <f>'matrik MISI 3'!W31</f>
        <v>100</v>
      </c>
      <c r="W296" s="929"/>
      <c r="X296" s="929" t="str">
        <f>'matrik MISI 3'!X31</f>
        <v>KP3M</v>
      </c>
      <c r="Y296" s="164" t="str">
        <f>'matrik MISI 3'!Y31</f>
        <v>jumlah ijin yang di proses / jumlah ijin yang diajukan</v>
      </c>
      <c r="Z296" s="164">
        <f>'matrik MISI 3'!Z31</f>
        <v>0</v>
      </c>
    </row>
    <row r="297" spans="2:26" ht="30" hidden="1">
      <c r="B297" s="940"/>
      <c r="C297" s="941"/>
      <c r="D297" s="940">
        <f>'matrik MISI 3'!J32</f>
        <v>1.05</v>
      </c>
      <c r="E297" s="940" t="str">
        <f>'matrik MISI 3'!K32</f>
        <v>xx</v>
      </c>
      <c r="F297" s="940">
        <f>'matrik MISI 3'!L32</f>
        <v>17</v>
      </c>
      <c r="G297" s="940" t="str">
        <f>'matrik MISI 3'!M32</f>
        <v>Program Pengendalian Pemanfaatan Ruang</v>
      </c>
      <c r="H297" s="164"/>
      <c r="I297" s="164"/>
      <c r="J297" s="929"/>
      <c r="K297" s="929"/>
      <c r="L297" s="929"/>
      <c r="M297" s="961">
        <f>'jangan dihapus 2'!K368</f>
        <v>20000000</v>
      </c>
      <c r="N297" s="961"/>
      <c r="O297" s="961">
        <f>'jangan dihapus 2'!M368</f>
        <v>91140000</v>
      </c>
      <c r="P297" s="961"/>
      <c r="Q297" s="961">
        <f>'jangan dihapus 2'!O368</f>
        <v>30000000</v>
      </c>
      <c r="R297" s="961"/>
      <c r="S297" s="961">
        <f>'jangan dihapus 2'!Q368</f>
        <v>30000000</v>
      </c>
      <c r="T297" s="961"/>
      <c r="U297" s="961">
        <f>'jangan dihapus 2'!S368</f>
        <v>30000000</v>
      </c>
      <c r="V297" s="929"/>
      <c r="W297" s="961">
        <f>SUM(M297:U297)</f>
        <v>201140000</v>
      </c>
      <c r="X297" s="929"/>
      <c r="Y297" s="164"/>
      <c r="Z297" s="164"/>
    </row>
    <row r="298" spans="2:26" ht="45" hidden="1">
      <c r="B298" s="940"/>
      <c r="C298" s="941"/>
      <c r="D298" s="940" t="str">
        <f>'matrik MISI 3'!J34</f>
        <v>1.08</v>
      </c>
      <c r="E298" s="940" t="str">
        <f>'matrik MISI 3'!K34</f>
        <v>xx</v>
      </c>
      <c r="F298" s="940">
        <f>'matrik MISI 3'!L34</f>
        <v>24</v>
      </c>
      <c r="G298" s="940" t="str">
        <f>'matrik MISI 3'!M34</f>
        <v>Program Pengelolaan ruang terbuka hijau (RTH)</v>
      </c>
      <c r="H298" s="164"/>
      <c r="I298" s="164"/>
      <c r="J298" s="929"/>
      <c r="K298" s="929"/>
      <c r="L298" s="929"/>
      <c r="M298" s="961">
        <f>'jangan dihapus 2'!K490</f>
        <v>1250000000</v>
      </c>
      <c r="N298" s="961"/>
      <c r="O298" s="961">
        <f>'jangan dihapus 2'!M490</f>
        <v>313875000</v>
      </c>
      <c r="P298" s="961"/>
      <c r="Q298" s="961">
        <f>'jangan dihapus 2'!O490</f>
        <v>1600000000</v>
      </c>
      <c r="R298" s="961"/>
      <c r="S298" s="961">
        <f>'jangan dihapus 2'!Q490</f>
        <v>1700000000</v>
      </c>
      <c r="T298" s="961"/>
      <c r="U298" s="961">
        <f>'jangan dihapus 2'!S490</f>
        <v>2300000000</v>
      </c>
      <c r="V298" s="929"/>
      <c r="W298" s="961">
        <f>SUM(M298:U298)</f>
        <v>7163875000</v>
      </c>
      <c r="X298" s="929"/>
      <c r="Y298" s="164"/>
      <c r="Z298" s="164"/>
    </row>
    <row r="299" spans="2:26" ht="60">
      <c r="B299" s="940"/>
      <c r="C299" s="941"/>
      <c r="D299" s="939"/>
      <c r="E299" s="939"/>
      <c r="F299" s="939"/>
      <c r="G299" s="939"/>
      <c r="H299" s="164" t="str">
        <f>'matrik MISI 3'!N34</f>
        <v>Tersedianya luasan ruang terbuka hijau publik pada skala kawasan/kota</v>
      </c>
      <c r="I299" s="164" t="str">
        <f>'matrik MISI 3'!O34</f>
        <v>%</v>
      </c>
      <c r="J299" s="929">
        <f>'matrik MISI 3'!P34</f>
        <v>29.15</v>
      </c>
      <c r="K299" s="929">
        <f>'matrik MISI 3'!Q34</f>
        <v>29.15</v>
      </c>
      <c r="L299" s="929">
        <f>'matrik MISI 3'!R34</f>
        <v>29.15</v>
      </c>
      <c r="M299" s="961"/>
      <c r="N299" s="929">
        <f>'matrik MISI 3'!S34</f>
        <v>30</v>
      </c>
      <c r="O299" s="929"/>
      <c r="P299" s="929">
        <f>'matrik MISI 3'!T34</f>
        <v>30.25</v>
      </c>
      <c r="Q299" s="929"/>
      <c r="R299" s="929">
        <f>'matrik MISI 3'!U34</f>
        <v>30.5</v>
      </c>
      <c r="S299" s="929"/>
      <c r="T299" s="929">
        <f>'matrik MISI 3'!V34</f>
        <v>31.25</v>
      </c>
      <c r="U299" s="929"/>
      <c r="V299" s="929">
        <f>'matrik MISI 3'!W34</f>
        <v>31.25</v>
      </c>
      <c r="W299" s="929"/>
      <c r="X299" s="929" t="str">
        <f>'matrik MISI 3'!X34</f>
        <v>BLH/DPU</v>
      </c>
      <c r="Y299" s="164" t="str">
        <f>'matrik MISI 3'!Y34</f>
        <v>jumlah luasan RTH publik / jumlah luasan perkotaan x 100</v>
      </c>
      <c r="Z299" s="164">
        <f>'matrik MISI 3'!Z34</f>
        <v>0</v>
      </c>
    </row>
    <row r="300" spans="2:26" ht="60" hidden="1">
      <c r="B300" s="940"/>
      <c r="C300" s="941"/>
      <c r="D300" s="940">
        <f>'matrik MISI 3'!J35</f>
        <v>1.03</v>
      </c>
      <c r="E300" s="940" t="str">
        <f>'matrik MISI 3'!K35</f>
        <v>xx</v>
      </c>
      <c r="F300" s="940">
        <f>'matrik MISI 3'!L35</f>
        <v>32</v>
      </c>
      <c r="G300" s="940" t="str">
        <f>'matrik MISI 3'!M35</f>
        <v>Program pembangunan dan rehabilitasi/pemeliharaan trotoar</v>
      </c>
      <c r="H300" s="164"/>
      <c r="I300" s="164"/>
      <c r="J300" s="929"/>
      <c r="K300" s="929"/>
      <c r="L300" s="929"/>
      <c r="M300" s="961">
        <f>'jangan dihapus 2'!K340+'jangan dihapus 2'!K341</f>
        <v>2795000000</v>
      </c>
      <c r="N300" s="961"/>
      <c r="O300" s="961">
        <f>'jangan dihapus 2'!M340+'jangan dihapus 2'!M341</f>
        <v>2548744000</v>
      </c>
      <c r="P300" s="961"/>
      <c r="Q300" s="961">
        <f>'jangan dihapus 2'!O340+'jangan dihapus 2'!O341</f>
        <v>1500000000</v>
      </c>
      <c r="R300" s="961"/>
      <c r="S300" s="961">
        <f>'jangan dihapus 2'!Q340+'jangan dihapus 2'!Q341</f>
        <v>1500000000</v>
      </c>
      <c r="T300" s="961"/>
      <c r="U300" s="961">
        <f>'jangan dihapus 2'!S340+'jangan dihapus 2'!S341</f>
        <v>1500000000</v>
      </c>
      <c r="V300" s="929"/>
      <c r="W300" s="961">
        <f>SUM(M300:U300)</f>
        <v>9843744000</v>
      </c>
      <c r="X300" s="929"/>
      <c r="Y300" s="164"/>
      <c r="Z300" s="164"/>
    </row>
    <row r="301" spans="2:26" ht="90">
      <c r="B301" s="940"/>
      <c r="C301" s="941"/>
      <c r="D301" s="939"/>
      <c r="E301" s="939"/>
      <c r="F301" s="939"/>
      <c r="G301" s="939"/>
      <c r="H301" s="164" t="str">
        <f>'matrik MISI 3'!N35</f>
        <v>Cakupan Tersedianya Jalur Pedestrian</v>
      </c>
      <c r="I301" s="164" t="str">
        <f>'matrik MISI 3'!O35</f>
        <v>%</v>
      </c>
      <c r="J301" s="929">
        <f>'matrik MISI 3'!P35</f>
        <v>15.8</v>
      </c>
      <c r="K301" s="929">
        <f>'matrik MISI 3'!Q35</f>
        <v>16.100000000000001</v>
      </c>
      <c r="L301" s="929">
        <f>'matrik MISI 3'!R35</f>
        <v>16.399999999999999</v>
      </c>
      <c r="M301" s="961"/>
      <c r="N301" s="929">
        <f>'matrik MISI 3'!S35</f>
        <v>16.7</v>
      </c>
      <c r="O301" s="929"/>
      <c r="P301" s="929">
        <f>'matrik MISI 3'!T35</f>
        <v>17</v>
      </c>
      <c r="Q301" s="929"/>
      <c r="R301" s="929">
        <f>'matrik MISI 3'!U35</f>
        <v>17.3</v>
      </c>
      <c r="S301" s="929"/>
      <c r="T301" s="929">
        <f>'matrik MISI 3'!V35</f>
        <v>17.600000000000001</v>
      </c>
      <c r="U301" s="929"/>
      <c r="V301" s="929">
        <f>'matrik MISI 3'!W35</f>
        <v>17.600000000000001</v>
      </c>
      <c r="W301" s="929"/>
      <c r="X301" s="929" t="str">
        <f>'matrik MISI 3'!X35</f>
        <v>DPU</v>
      </c>
      <c r="Y301" s="164" t="str">
        <f>'matrik MISI 3'!Y35</f>
        <v>jumlah ruas pedestrian yang dibangun / jumlah jalur pedestrian yang seharusnya dibangun x 100%</v>
      </c>
      <c r="Z301" s="164">
        <f>'matrik MISI 3'!Z35</f>
        <v>0</v>
      </c>
    </row>
    <row r="302" spans="2:26" ht="60" hidden="1">
      <c r="B302" s="940"/>
      <c r="C302" s="941"/>
      <c r="D302" s="940" t="str">
        <f>'matrik MISI 3'!J36</f>
        <v>1.08</v>
      </c>
      <c r="E302" s="940" t="str">
        <f>'matrik MISI 3'!K36</f>
        <v>xx</v>
      </c>
      <c r="F302" s="940">
        <f>'matrik MISI 3'!L36</f>
        <v>16</v>
      </c>
      <c r="G302" s="940" t="str">
        <f>'matrik MISI 3'!M36</f>
        <v>Program Pengendalian Pencemaran dan Perusakan Lingkungan Hidup</v>
      </c>
      <c r="H302" s="164"/>
      <c r="I302" s="164"/>
      <c r="J302" s="929"/>
      <c r="K302" s="929"/>
      <c r="L302" s="929"/>
      <c r="M302" s="961">
        <f>'jangan dihapus 2'!K452</f>
        <v>2028918500</v>
      </c>
      <c r="N302" s="961"/>
      <c r="O302" s="961">
        <f>'jangan dihapus 2'!M452</f>
        <v>2665580500</v>
      </c>
      <c r="P302" s="961"/>
      <c r="Q302" s="961">
        <f>'jangan dihapus 2'!O452</f>
        <v>3130000000</v>
      </c>
      <c r="R302" s="961"/>
      <c r="S302" s="961">
        <f>'jangan dihapus 2'!Q452</f>
        <v>3230000000</v>
      </c>
      <c r="T302" s="961"/>
      <c r="U302" s="961">
        <f>'jangan dihapus 2'!S452</f>
        <v>3520000000</v>
      </c>
      <c r="V302" s="929"/>
      <c r="W302" s="961">
        <f>SUM(M302:U302)</f>
        <v>14574499000</v>
      </c>
      <c r="X302" s="929"/>
      <c r="Y302" s="164"/>
      <c r="Z302" s="164"/>
    </row>
    <row r="303" spans="2:26" ht="75">
      <c r="B303" s="950"/>
      <c r="C303" s="951"/>
      <c r="D303" s="942"/>
      <c r="E303" s="942"/>
      <c r="F303" s="942"/>
      <c r="G303" s="942"/>
      <c r="H303" s="164" t="str">
        <f>'matrik MISI 3'!N36</f>
        <v>Cakupan Fasilitas Pengurangan Sampah di Perkotaan (TPST 3R)</v>
      </c>
      <c r="I303" s="164" t="str">
        <f>'matrik MISI 3'!O36</f>
        <v>%</v>
      </c>
      <c r="J303" s="929">
        <f>'matrik MISI 3'!P36</f>
        <v>2.21</v>
      </c>
      <c r="K303" s="929">
        <f>'matrik MISI 3'!Q36</f>
        <v>2.9</v>
      </c>
      <c r="L303" s="929">
        <f>'matrik MISI 3'!R36</f>
        <v>4.9000000000000004</v>
      </c>
      <c r="M303" s="961"/>
      <c r="N303" s="929">
        <f>'matrik MISI 3'!S36</f>
        <v>7.5</v>
      </c>
      <c r="O303" s="929"/>
      <c r="P303" s="929">
        <f>'matrik MISI 3'!T36</f>
        <v>9.8000000000000007</v>
      </c>
      <c r="Q303" s="929"/>
      <c r="R303" s="929">
        <f>'matrik MISI 3'!U36</f>
        <v>11.2</v>
      </c>
      <c r="S303" s="929"/>
      <c r="T303" s="929">
        <f>'matrik MISI 3'!V36</f>
        <v>14.5</v>
      </c>
      <c r="U303" s="929"/>
      <c r="V303" s="929">
        <f>'matrik MISI 3'!W36</f>
        <v>14.5</v>
      </c>
      <c r="W303" s="929"/>
      <c r="X303" s="929" t="str">
        <f>'matrik MISI 3'!X36</f>
        <v>DPU/BLH</v>
      </c>
      <c r="Y303" s="164" t="str">
        <f>'matrik MISI 3'!Y36</f>
        <v xml:space="preserve">volume sampah yang direduksi di TPST/ volume sampah yang seharusnya direduksi  x 100 </v>
      </c>
      <c r="Z303" s="164">
        <f>'matrik MISI 3'!Z36</f>
        <v>0</v>
      </c>
    </row>
    <row r="304" spans="2:26" ht="30">
      <c r="B304" s="949">
        <v>6</v>
      </c>
      <c r="C304" s="948" t="str">
        <f>'matrik MISI 6'!B6</f>
        <v>PERENCANAAN PEMBANGUNAN</v>
      </c>
      <c r="D304" s="949">
        <f>'matrik MISI 6'!J7</f>
        <v>1.06</v>
      </c>
      <c r="E304" s="949" t="str">
        <f>'matrik MISI 6'!K7</f>
        <v>xx</v>
      </c>
      <c r="F304" s="949">
        <f>'matrik MISI 6'!L7</f>
        <v>15</v>
      </c>
      <c r="G304" s="949" t="str">
        <f>'matrik MISI 6'!M7</f>
        <v>Program Perencanaan Pembangunan Daerah</v>
      </c>
      <c r="H304" s="164"/>
      <c r="I304" s="164"/>
      <c r="J304" s="929"/>
      <c r="K304" s="929"/>
      <c r="L304" s="929"/>
      <c r="M304" s="961">
        <f>'jangan di hapus 1'!K529-M293</f>
        <v>8802896000</v>
      </c>
      <c r="N304" s="961"/>
      <c r="O304" s="961">
        <f>'jangan di hapus 1'!M529-O293</f>
        <v>5350000000</v>
      </c>
      <c r="P304" s="961"/>
      <c r="Q304" s="961">
        <f>'jangan di hapus 1'!O529-Q293</f>
        <v>5570000000</v>
      </c>
      <c r="R304" s="961"/>
      <c r="S304" s="961">
        <f>'jangan di hapus 1'!Q529-S293</f>
        <v>5800000000</v>
      </c>
      <c r="T304" s="961"/>
      <c r="U304" s="961">
        <f>'jangan di hapus 1'!S529-U293</f>
        <v>6400000000</v>
      </c>
      <c r="V304" s="929"/>
      <c r="W304" s="961">
        <f>SUM(M304:U304)</f>
        <v>31922896000</v>
      </c>
      <c r="X304" s="929"/>
      <c r="Y304" s="1016"/>
      <c r="Z304" s="1016"/>
    </row>
    <row r="305" spans="2:26" ht="90">
      <c r="B305" s="939"/>
      <c r="C305" s="939"/>
      <c r="D305" s="939"/>
      <c r="E305" s="939"/>
      <c r="F305" s="939"/>
      <c r="G305" s="939"/>
      <c r="H305" s="164" t="str">
        <f>'matrik MISI 6'!N7</f>
        <v xml:space="preserve">Besaran Penelitian dan Pengembangan </v>
      </c>
      <c r="I305" s="164" t="str">
        <f>'matrik MISI 6'!O7</f>
        <v>dokumen</v>
      </c>
      <c r="J305" s="929">
        <f>'matrik MISI 6'!P7</f>
        <v>0</v>
      </c>
      <c r="K305" s="929">
        <f>'matrik MISI 6'!Q7</f>
        <v>0</v>
      </c>
      <c r="L305" s="929">
        <f>'matrik MISI 6'!R7</f>
        <v>0</v>
      </c>
      <c r="M305" s="961"/>
      <c r="N305" s="929">
        <f>'matrik MISI 6'!S7</f>
        <v>1</v>
      </c>
      <c r="O305" s="929"/>
      <c r="P305" s="929">
        <f>'matrik MISI 6'!T7</f>
        <v>1</v>
      </c>
      <c r="Q305" s="929"/>
      <c r="R305" s="929">
        <f>'matrik MISI 6'!U7</f>
        <v>1</v>
      </c>
      <c r="S305" s="929"/>
      <c r="T305" s="929">
        <f>'matrik MISI 6'!V7</f>
        <v>1</v>
      </c>
      <c r="U305" s="929"/>
      <c r="V305" s="929">
        <f>'matrik MISI 6'!W7</f>
        <v>4</v>
      </c>
      <c r="W305" s="929"/>
      <c r="X305" s="929" t="str">
        <f>'matrik MISI 6'!X7</f>
        <v xml:space="preserve">Bappeda </v>
      </c>
      <c r="Y305" s="164" t="str">
        <f>'matrik MISI 6'!Y7</f>
        <v xml:space="preserve">Jumlah kegiatan penelitian dan pengembangan yang dilaksanakan </v>
      </c>
      <c r="Z305" s="164" t="str">
        <f>'matrik MISI 6'!Z7</f>
        <v xml:space="preserve">Jumlah penelitian dan pengembangan yang dilaksanakan yang menggunakan metodologi penelitian </v>
      </c>
    </row>
    <row r="306" spans="2:26" ht="120">
      <c r="B306" s="940"/>
      <c r="C306" s="941"/>
      <c r="D306" s="940"/>
      <c r="E306" s="940"/>
      <c r="F306" s="940"/>
      <c r="G306" s="940"/>
      <c r="H306" s="164" t="str">
        <f>'matrik MISI 6'!N8</f>
        <v>Persentase Dokumen Perencanaan Pembangunan Daerah yang tepat waktu</v>
      </c>
      <c r="I306" s="164" t="str">
        <f>'matrik MISI 6'!O8</f>
        <v>%</v>
      </c>
      <c r="J306" s="929">
        <f>'matrik MISI 6'!P8</f>
        <v>100</v>
      </c>
      <c r="K306" s="929">
        <f>'matrik MISI 6'!Q8</f>
        <v>100</v>
      </c>
      <c r="L306" s="929">
        <f>'matrik MISI 6'!R8</f>
        <v>100</v>
      </c>
      <c r="M306" s="961"/>
      <c r="N306" s="929">
        <f>'matrik MISI 6'!S8</f>
        <v>100</v>
      </c>
      <c r="O306" s="929"/>
      <c r="P306" s="929">
        <f>'matrik MISI 6'!T8</f>
        <v>100</v>
      </c>
      <c r="Q306" s="929"/>
      <c r="R306" s="929">
        <f>'matrik MISI 6'!U8</f>
        <v>100</v>
      </c>
      <c r="S306" s="929"/>
      <c r="T306" s="929">
        <f>'matrik MISI 6'!V8</f>
        <v>100</v>
      </c>
      <c r="U306" s="929"/>
      <c r="V306" s="929">
        <f>'matrik MISI 6'!W8</f>
        <v>100</v>
      </c>
      <c r="W306" s="929"/>
      <c r="X306" s="929" t="str">
        <f>'matrik MISI 6'!X8</f>
        <v xml:space="preserve">Bappeda </v>
      </c>
      <c r="Y306" s="164" t="str">
        <f>'matrik MISI 6'!Y8</f>
        <v xml:space="preserve">Jumlah Dokumen Perencanaan Pembangunan Daerah yang di susun tepat waktu  dibagi Jumlah Dokumen Perencanaan Pembangunan Daerah </v>
      </c>
      <c r="Z306" s="164">
        <f>'matrik MISI 6'!Z8</f>
        <v>0</v>
      </c>
    </row>
    <row r="307" spans="2:26" ht="90">
      <c r="B307" s="940"/>
      <c r="C307" s="941"/>
      <c r="D307" s="940"/>
      <c r="E307" s="940"/>
      <c r="F307" s="940"/>
      <c r="G307" s="940"/>
      <c r="H307" s="164" t="str">
        <f>'matrik MISI 6'!N10</f>
        <v>Rasio Keterwakilan Perempuan dalam Proses Perencanaan Pembangunan Daerah</v>
      </c>
      <c r="I307" s="164" t="str">
        <f>'matrik MISI 6'!O10</f>
        <v>Rasio</v>
      </c>
      <c r="J307" s="929">
        <f>'matrik MISI 6'!P10</f>
        <v>0.16666666666666666</v>
      </c>
      <c r="K307" s="929">
        <f>'matrik MISI 6'!Q10</f>
        <v>0.16666666666666666</v>
      </c>
      <c r="L307" s="929" t="str">
        <f>'matrik MISI 6'!R10</f>
        <v>0,18</v>
      </c>
      <c r="M307" s="961"/>
      <c r="N307" s="929" t="str">
        <f>'matrik MISI 6'!S10</f>
        <v>0,18</v>
      </c>
      <c r="O307" s="929"/>
      <c r="P307" s="929" t="str">
        <f>'matrik MISI 6'!T10</f>
        <v>0,19</v>
      </c>
      <c r="Q307" s="929"/>
      <c r="R307" s="929" t="str">
        <f>'matrik MISI 6'!U10</f>
        <v>0,19</v>
      </c>
      <c r="S307" s="929"/>
      <c r="T307" s="929" t="str">
        <f>'matrik MISI 6'!V10</f>
        <v>0,2</v>
      </c>
      <c r="U307" s="929"/>
      <c r="V307" s="929" t="str">
        <f>'matrik MISI 6'!W10</f>
        <v>0,2</v>
      </c>
      <c r="W307" s="929"/>
      <c r="X307" s="929" t="str">
        <f>'matrik MISI 6'!X10</f>
        <v>Bappeda</v>
      </c>
      <c r="Y307" s="164" t="str">
        <f>'matrik MISI 6'!Y10</f>
        <v>Jumlah peserta perempuan yang di undang  pada proses perencanaan pembangunan daerah dibagi jumlah peserta</v>
      </c>
      <c r="Z307" s="164" t="str">
        <f>'matrik MISI 6'!Z10</f>
        <v>Musrenbang Desa/Kelurahan, Musrenbang Kecamatan dan Musrenbang Kabupaten</v>
      </c>
    </row>
    <row r="308" spans="2:26" ht="60">
      <c r="B308" s="940"/>
      <c r="C308" s="941"/>
      <c r="D308" s="940"/>
      <c r="E308" s="940"/>
      <c r="F308" s="940"/>
      <c r="G308" s="940"/>
      <c r="H308" s="164" t="str">
        <f>'matrik MISI 6'!N11</f>
        <v>Persentase Keterwakilan Anak dalam Proses Perencanaan Pembangunan Daerah</v>
      </c>
      <c r="I308" s="164" t="str">
        <f>'matrik MISI 6'!O11</f>
        <v>%</v>
      </c>
      <c r="J308" s="929">
        <f>'matrik MISI 6'!P11</f>
        <v>1.6666666666666666E-2</v>
      </c>
      <c r="K308" s="929">
        <f>'matrik MISI 6'!Q11</f>
        <v>1.6666666666666666E-2</v>
      </c>
      <c r="L308" s="929" t="str">
        <f>'matrik MISI 6'!R11</f>
        <v>0,0175</v>
      </c>
      <c r="M308" s="961"/>
      <c r="N308" s="929" t="str">
        <f>'matrik MISI 6'!S11</f>
        <v>0,0175</v>
      </c>
      <c r="O308" s="929"/>
      <c r="P308" s="929" t="str">
        <f>'matrik MISI 6'!T11</f>
        <v>0,018</v>
      </c>
      <c r="Q308" s="929"/>
      <c r="R308" s="929" t="str">
        <f>'matrik MISI 6'!U11</f>
        <v>0,018</v>
      </c>
      <c r="S308" s="929"/>
      <c r="T308" s="929" t="str">
        <f>'matrik MISI 6'!V11</f>
        <v>0,0185</v>
      </c>
      <c r="U308" s="929"/>
      <c r="V308" s="929" t="str">
        <f>'matrik MISI 6'!W11</f>
        <v>0,0185</v>
      </c>
      <c r="W308" s="929"/>
      <c r="X308" s="929" t="str">
        <f>'matrik MISI 6'!X11</f>
        <v>Bappeda</v>
      </c>
      <c r="Y308" s="164" t="str">
        <f>'matrik MISI 6'!Y11</f>
        <v>Jumlah peserta anak yang di undang  pada Musrenbang dibagi jumlah peserta</v>
      </c>
      <c r="Z308" s="164" t="str">
        <f>'matrik MISI 6'!Z11</f>
        <v>perwakilan anak bisa diwakili dari Forum Anak</v>
      </c>
    </row>
    <row r="309" spans="2:26" ht="120">
      <c r="B309" s="940"/>
      <c r="C309" s="941"/>
      <c r="D309" s="940"/>
      <c r="E309" s="940"/>
      <c r="F309" s="940"/>
      <c r="G309" s="940"/>
      <c r="H309" s="164" t="str">
        <f>'matrik MISI 6'!N12</f>
        <v xml:space="preserve">Besaran Dokumen Perencanaan Pembangunan Tematik </v>
      </c>
      <c r="I309" s="164" t="str">
        <f>'matrik MISI 6'!O12</f>
        <v>Dokumen</v>
      </c>
      <c r="J309" s="929">
        <f>'matrik MISI 6'!P12</f>
        <v>0</v>
      </c>
      <c r="K309" s="929">
        <f>'matrik MISI 6'!Q12</f>
        <v>0</v>
      </c>
      <c r="L309" s="929">
        <f>'matrik MISI 6'!R12</f>
        <v>0</v>
      </c>
      <c r="M309" s="961"/>
      <c r="N309" s="929">
        <f>'matrik MISI 6'!S12</f>
        <v>5</v>
      </c>
      <c r="O309" s="929"/>
      <c r="P309" s="929">
        <f>'matrik MISI 6'!T12</f>
        <v>2</v>
      </c>
      <c r="Q309" s="929"/>
      <c r="R309" s="929">
        <f>'matrik MISI 6'!U12</f>
        <v>5</v>
      </c>
      <c r="S309" s="929"/>
      <c r="T309" s="929">
        <f>'matrik MISI 6'!V12</f>
        <v>2</v>
      </c>
      <c r="U309" s="929"/>
      <c r="V309" s="929">
        <f>'matrik MISI 6'!W12</f>
        <v>14</v>
      </c>
      <c r="W309" s="929"/>
      <c r="X309" s="929" t="str">
        <f>'matrik MISI 6'!X12</f>
        <v>Bappeda</v>
      </c>
      <c r="Y309" s="164" t="str">
        <f>'matrik MISI 6'!Y12</f>
        <v>Jumlah Perencanaan Pembangunan Tematik</v>
      </c>
      <c r="Z309" s="164" t="str">
        <f>'matrik MISI 6'!Z12</f>
        <v>meliputi Masterplan, Feasibility Study, Rencana Induk, Rencana Aksi Daerah, Road Map, Perencanaan Kawasan, dan topik tertentu/khusus</v>
      </c>
    </row>
    <row r="310" spans="2:26" ht="60">
      <c r="B310" s="940"/>
      <c r="C310" s="941"/>
      <c r="D310" s="940"/>
      <c r="E310" s="940"/>
      <c r="F310" s="940"/>
      <c r="G310" s="940"/>
      <c r="H310" s="164" t="str">
        <f>'matrik MISI 6'!N13</f>
        <v xml:space="preserve">Persentase Tingkat Capaian Target RPJMD Hasil Pelaksanaan RKPD </v>
      </c>
      <c r="I310" s="164" t="str">
        <f>'matrik MISI 6'!O13</f>
        <v>%</v>
      </c>
      <c r="J310" s="929" t="str">
        <f>'matrik MISI 6'!P13</f>
        <v>n.a</v>
      </c>
      <c r="K310" s="929" t="str">
        <f>'matrik MISI 6'!Q13</f>
        <v>n.a</v>
      </c>
      <c r="L310" s="929">
        <f>'matrik MISI 6'!R13</f>
        <v>100</v>
      </c>
      <c r="M310" s="961"/>
      <c r="N310" s="929">
        <f>'matrik MISI 6'!S13</f>
        <v>100</v>
      </c>
      <c r="O310" s="929"/>
      <c r="P310" s="929">
        <f>'matrik MISI 6'!T13</f>
        <v>100</v>
      </c>
      <c r="Q310" s="929"/>
      <c r="R310" s="929">
        <f>'matrik MISI 6'!U13</f>
        <v>100</v>
      </c>
      <c r="S310" s="929"/>
      <c r="T310" s="929">
        <f>'matrik MISI 6'!V13</f>
        <v>100</v>
      </c>
      <c r="U310" s="929"/>
      <c r="V310" s="929">
        <f>'matrik MISI 6'!W13</f>
        <v>100</v>
      </c>
      <c r="W310" s="929"/>
      <c r="X310" s="929" t="str">
        <f>'matrik MISI 6'!X13</f>
        <v>Bappeda</v>
      </c>
      <c r="Y310" s="164" t="str">
        <f>'matrik MISI 6'!Y13</f>
        <v>Capaian target RPJMD pada RKPD dibagi Target RPJMD pada RKPD dikali 100 %</v>
      </c>
      <c r="Z310" s="164">
        <f>'matrik MISI 6'!Z13</f>
        <v>0</v>
      </c>
    </row>
    <row r="311" spans="2:26" ht="150">
      <c r="B311" s="940"/>
      <c r="C311" s="941"/>
      <c r="D311" s="940"/>
      <c r="E311" s="940"/>
      <c r="F311" s="940"/>
      <c r="G311" s="940"/>
      <c r="H311" s="164" t="str">
        <f>'matrik MISI 6'!N14</f>
        <v>Persentase Tingkat Capaian Kinerja dan Realisasi Anggaran RPJMD</v>
      </c>
      <c r="I311" s="164" t="str">
        <f>'matrik MISI 6'!O14</f>
        <v>%</v>
      </c>
      <c r="J311" s="929" t="str">
        <f>'matrik MISI 6'!P14</f>
        <v>n.a</v>
      </c>
      <c r="K311" s="929" t="str">
        <f>'matrik MISI 6'!Q14</f>
        <v>n.a</v>
      </c>
      <c r="L311" s="929">
        <f>'matrik MISI 6'!R14</f>
        <v>100</v>
      </c>
      <c r="M311" s="961"/>
      <c r="N311" s="929">
        <f>'matrik MISI 6'!S14</f>
        <v>100</v>
      </c>
      <c r="O311" s="929"/>
      <c r="P311" s="929">
        <f>'matrik MISI 6'!T14</f>
        <v>100</v>
      </c>
      <c r="Q311" s="929"/>
      <c r="R311" s="929">
        <f>'matrik MISI 6'!U14</f>
        <v>100</v>
      </c>
      <c r="S311" s="929"/>
      <c r="T311" s="929">
        <f>'matrik MISI 6'!V14</f>
        <v>100</v>
      </c>
      <c r="U311" s="929"/>
      <c r="V311" s="929">
        <f>'matrik MISI 6'!W14</f>
        <v>100</v>
      </c>
      <c r="W311" s="929"/>
      <c r="X311" s="929" t="str">
        <f>'matrik MISI 6'!X14</f>
        <v>Bappeda</v>
      </c>
      <c r="Y311" s="164" t="str">
        <f>'matrik MISI 6'!Y14</f>
        <v>Realisasi kinerja dan anggaran RPJMD dibagi Target RPJMD x 100 %</v>
      </c>
      <c r="Z311" s="164" t="str">
        <f>'matrik MISI 6'!Z14</f>
        <v>Realisasi kinerja dan anggaran RPJMD diperoleh dari realisasi capaian kinerja RPJMD sampai dengan RKPD tahun sebelumnya + realisasi capaian kinerja dan anggaran RKPD yang dievaluasi</v>
      </c>
    </row>
    <row r="312" spans="2:26" ht="135">
      <c r="B312" s="940"/>
      <c r="C312" s="941"/>
      <c r="D312" s="940"/>
      <c r="E312" s="940"/>
      <c r="F312" s="940"/>
      <c r="G312" s="940"/>
      <c r="H312" s="164" t="str">
        <f>'matrik MISI 6'!N15</f>
        <v>Persentase Tingkat Capaian Kinerja dan Realisasi Anggaran Renstra SKPD</v>
      </c>
      <c r="I312" s="164" t="str">
        <f>'matrik MISI 6'!O15</f>
        <v>%</v>
      </c>
      <c r="J312" s="929">
        <f>'matrik MISI 6'!P15</f>
        <v>0</v>
      </c>
      <c r="K312" s="929">
        <f>'matrik MISI 6'!Q15</f>
        <v>0</v>
      </c>
      <c r="L312" s="929">
        <f>'matrik MISI 6'!R15</f>
        <v>100</v>
      </c>
      <c r="M312" s="961"/>
      <c r="N312" s="929">
        <f>'matrik MISI 6'!S15</f>
        <v>100</v>
      </c>
      <c r="O312" s="929"/>
      <c r="P312" s="929">
        <f>'matrik MISI 6'!T15</f>
        <v>100</v>
      </c>
      <c r="Q312" s="929"/>
      <c r="R312" s="929">
        <f>'matrik MISI 6'!U15</f>
        <v>100</v>
      </c>
      <c r="S312" s="929"/>
      <c r="T312" s="929">
        <f>'matrik MISI 6'!V15</f>
        <v>100</v>
      </c>
      <c r="U312" s="929"/>
      <c r="V312" s="929">
        <f>'matrik MISI 6'!W15</f>
        <v>100</v>
      </c>
      <c r="W312" s="929"/>
      <c r="X312" s="929" t="str">
        <f>'matrik MISI 6'!X15</f>
        <v>Bappeda</v>
      </c>
      <c r="Y312" s="164" t="str">
        <f>'matrik MISI 6'!Y15</f>
        <v>Realisasi kinerja  dan anggaran renstra SKPD dibagi target  kinerja dan anggaran renstra SKPD x 100</v>
      </c>
      <c r="Z312" s="164" t="str">
        <f>'matrik MISI 6'!Z15</f>
        <v>Data diperoleh melalui aplikasi pengendalian dan evaluasi pelaksanaan rencana pembangunan daerah dan rumus di IKD di buat menjadi 2 macam .</v>
      </c>
    </row>
    <row r="313" spans="2:26" ht="90">
      <c r="B313" s="940"/>
      <c r="C313" s="941"/>
      <c r="D313" s="940"/>
      <c r="E313" s="940"/>
      <c r="F313" s="940"/>
      <c r="G313" s="940"/>
      <c r="H313" s="164" t="str">
        <f>'matrik MISI 6'!N16</f>
        <v>Persentase program SKPD di Luar RPJMD</v>
      </c>
      <c r="I313" s="164" t="str">
        <f>'matrik MISI 6'!O16</f>
        <v>%</v>
      </c>
      <c r="J313" s="929">
        <f>'matrik MISI 6'!P16</f>
        <v>0</v>
      </c>
      <c r="K313" s="929">
        <f>'matrik MISI 6'!Q16</f>
        <v>0</v>
      </c>
      <c r="L313" s="929">
        <f>'matrik MISI 6'!R16</f>
        <v>0</v>
      </c>
      <c r="M313" s="961"/>
      <c r="N313" s="929">
        <f>'matrik MISI 6'!S16</f>
        <v>0</v>
      </c>
      <c r="O313" s="929"/>
      <c r="P313" s="929">
        <f>'matrik MISI 6'!T16</f>
        <v>0</v>
      </c>
      <c r="Q313" s="929"/>
      <c r="R313" s="929">
        <f>'matrik MISI 6'!U16</f>
        <v>0</v>
      </c>
      <c r="S313" s="929"/>
      <c r="T313" s="929">
        <f>'matrik MISI 6'!V16</f>
        <v>0</v>
      </c>
      <c r="U313" s="929"/>
      <c r="V313" s="929">
        <f>'matrik MISI 6'!W16</f>
        <v>0</v>
      </c>
      <c r="W313" s="929"/>
      <c r="X313" s="929" t="str">
        <f>'matrik MISI 6'!X16</f>
        <v>Bappeda</v>
      </c>
      <c r="Y313" s="164" t="str">
        <f>'matrik MISI 6'!Y16</f>
        <v>Jumlah Program SKPD yang muncul di luar RPJMD dibagi jumlah program SKPD dalam RPJMD</v>
      </c>
      <c r="Z313" s="164" t="str">
        <f>'matrik MISI 6'!Z16</f>
        <v>Data diperoleh melalui aplikasi pengendalian dan evaluasi pelaksanaan rencana pembangunan daerah</v>
      </c>
    </row>
    <row r="314" spans="2:26" ht="90">
      <c r="B314" s="940"/>
      <c r="C314" s="941"/>
      <c r="D314" s="940"/>
      <c r="E314" s="940"/>
      <c r="F314" s="940"/>
      <c r="G314" s="940"/>
      <c r="H314" s="164" t="str">
        <f>'matrik MISI 6'!N17</f>
        <v>Persentase  Kegiatan SKPD di Luar Renstra SKPD</v>
      </c>
      <c r="I314" s="164" t="str">
        <f>'matrik MISI 6'!O17</f>
        <v>%</v>
      </c>
      <c r="J314" s="929">
        <f>'matrik MISI 6'!P17</f>
        <v>0</v>
      </c>
      <c r="K314" s="929">
        <f>'matrik MISI 6'!Q17</f>
        <v>0</v>
      </c>
      <c r="L314" s="929">
        <f>'matrik MISI 6'!R17</f>
        <v>0</v>
      </c>
      <c r="M314" s="961"/>
      <c r="N314" s="929">
        <f>'matrik MISI 6'!S17</f>
        <v>0</v>
      </c>
      <c r="O314" s="929"/>
      <c r="P314" s="929">
        <f>'matrik MISI 6'!T17</f>
        <v>0</v>
      </c>
      <c r="Q314" s="929"/>
      <c r="R314" s="929">
        <f>'matrik MISI 6'!U17</f>
        <v>0</v>
      </c>
      <c r="S314" s="929"/>
      <c r="T314" s="929">
        <f>'matrik MISI 6'!V17</f>
        <v>0</v>
      </c>
      <c r="U314" s="929"/>
      <c r="V314" s="929">
        <f>'matrik MISI 6'!W17</f>
        <v>0</v>
      </c>
      <c r="W314" s="929"/>
      <c r="X314" s="929" t="str">
        <f>'matrik MISI 6'!X17</f>
        <v>Bappeda</v>
      </c>
      <c r="Y314" s="164" t="str">
        <f>'matrik MISI 6'!Y17</f>
        <v>Jumlah Kegiatan SKPD yang muncul di luar Renstra SKPD  dibagi jumlah kegiatan yang tercantum dalam renstra</v>
      </c>
      <c r="Z314" s="164" t="str">
        <f>'matrik MISI 6'!Z17</f>
        <v>Data diperoleh melalui aplikasi pengendalian dan evaluasi pelaksanaan rencana pembangunan daerah</v>
      </c>
    </row>
    <row r="315" spans="2:26" ht="30">
      <c r="B315" s="949">
        <v>7</v>
      </c>
      <c r="C315" s="948" t="str">
        <f>'matrik MISI 3'!B47</f>
        <v>PERHUBUNGAN</v>
      </c>
      <c r="D315" s="949" t="str">
        <f>'matrik MISI 3'!J52</f>
        <v>1.07</v>
      </c>
      <c r="E315" s="949" t="str">
        <f>'matrik MISI 3'!K52</f>
        <v>xx</v>
      </c>
      <c r="F315" s="949">
        <f>'matrik MISI 3'!L52</f>
        <v>17</v>
      </c>
      <c r="G315" s="949" t="str">
        <f>'matrik MISI 3'!M52</f>
        <v>Program peningkatan pelayanan angkutan</v>
      </c>
      <c r="H315" s="164"/>
      <c r="I315" s="164"/>
      <c r="J315" s="929"/>
      <c r="K315" s="929"/>
      <c r="L315" s="929"/>
      <c r="M315" s="961">
        <f>'jangan dihapus 2'!K397</f>
        <v>438440000</v>
      </c>
      <c r="N315" s="961"/>
      <c r="O315" s="961">
        <f>'jangan dihapus 2'!M397</f>
        <v>1064379000</v>
      </c>
      <c r="P315" s="961"/>
      <c r="Q315" s="961">
        <f>'jangan dihapus 2'!O397</f>
        <v>2284000001</v>
      </c>
      <c r="R315" s="961"/>
      <c r="S315" s="961">
        <f>'jangan dihapus 2'!Q397</f>
        <v>1012500001</v>
      </c>
      <c r="T315" s="961"/>
      <c r="U315" s="961">
        <f>'jangan dihapus 2'!S397</f>
        <v>976600000</v>
      </c>
      <c r="V315" s="929"/>
      <c r="W315" s="961">
        <f>SUM(M315:U315)</f>
        <v>5775919002</v>
      </c>
      <c r="X315" s="929"/>
      <c r="Y315" s="164"/>
      <c r="Z315" s="164"/>
    </row>
    <row r="316" spans="2:26" ht="60">
      <c r="B316" s="939"/>
      <c r="C316" s="939"/>
      <c r="D316" s="939"/>
      <c r="E316" s="939"/>
      <c r="F316" s="939"/>
      <c r="G316" s="939"/>
      <c r="H316" s="164" t="str">
        <f>'matrik MISI 3'!N47</f>
        <v>Persentase Kendaraan yang Diuji</v>
      </c>
      <c r="I316" s="164" t="str">
        <f>'matrik MISI 3'!O47</f>
        <v>%</v>
      </c>
      <c r="J316" s="929">
        <f>'matrik MISI 3'!P47</f>
        <v>81.400000000000006</v>
      </c>
      <c r="K316" s="929">
        <f>'matrik MISI 3'!Q47</f>
        <v>90.2</v>
      </c>
      <c r="L316" s="929">
        <f>'matrik MISI 3'!R47</f>
        <v>91.4</v>
      </c>
      <c r="M316" s="961"/>
      <c r="N316" s="929">
        <f>'matrik MISI 3'!S47</f>
        <v>92.3</v>
      </c>
      <c r="O316" s="929"/>
      <c r="P316" s="929">
        <f>'matrik MISI 3'!T47</f>
        <v>93.7</v>
      </c>
      <c r="Q316" s="929"/>
      <c r="R316" s="929">
        <f>'matrik MISI 3'!U47</f>
        <v>94.3</v>
      </c>
      <c r="S316" s="929"/>
      <c r="T316" s="929">
        <f>'matrik MISI 3'!V47</f>
        <v>95</v>
      </c>
      <c r="U316" s="929"/>
      <c r="V316" s="929">
        <f>'matrik MISI 3'!W47</f>
        <v>95</v>
      </c>
      <c r="W316" s="929"/>
      <c r="X316" s="929" t="str">
        <f>'matrik MISI 3'!X47</f>
        <v>DISHUBKOMINFO</v>
      </c>
      <c r="Y316" s="164" t="str">
        <f>'matrik MISI 3'!Y47</f>
        <v>jumlah frequensi pengujian dibagi (jumlah kendaraan yang di uji x 2 )x 100</v>
      </c>
      <c r="Z316" s="164" t="str">
        <f>'matrik MISI 3'!Z47</f>
        <v>Seharusnya setiap unit kendaraan angkutan umum diuji setiap 6 bulan sekali.</v>
      </c>
    </row>
    <row r="317" spans="2:26" ht="90">
      <c r="B317" s="940"/>
      <c r="C317" s="941"/>
      <c r="D317" s="940"/>
      <c r="E317" s="940"/>
      <c r="F317" s="940"/>
      <c r="G317" s="940"/>
      <c r="H317" s="164" t="str">
        <f>'matrik MISI 3'!N53</f>
        <v xml:space="preserve">Persentase Tersedianya Fasilitas Kelengkapan Jalan </v>
      </c>
      <c r="I317" s="164" t="str">
        <f>'matrik MISI 3'!O53</f>
        <v>%</v>
      </c>
      <c r="J317" s="929">
        <f>'matrik MISI 3'!P53</f>
        <v>50</v>
      </c>
      <c r="K317" s="929">
        <f>'matrik MISI 3'!Q53</f>
        <v>60</v>
      </c>
      <c r="L317" s="929">
        <f>'matrik MISI 3'!R53</f>
        <v>61</v>
      </c>
      <c r="M317" s="961"/>
      <c r="N317" s="929">
        <f>'matrik MISI 3'!S53</f>
        <v>63</v>
      </c>
      <c r="O317" s="929"/>
      <c r="P317" s="929">
        <f>'matrik MISI 3'!T53</f>
        <v>65</v>
      </c>
      <c r="Q317" s="929"/>
      <c r="R317" s="929">
        <f>'matrik MISI 3'!U53</f>
        <v>67</v>
      </c>
      <c r="S317" s="929"/>
      <c r="T317" s="929">
        <f>'matrik MISI 3'!V53</f>
        <v>69</v>
      </c>
      <c r="U317" s="929"/>
      <c r="V317" s="929">
        <f>'matrik MISI 3'!W53</f>
        <v>69</v>
      </c>
      <c r="W317" s="929"/>
      <c r="X317" s="929" t="str">
        <f>'matrik MISI 3'!X53</f>
        <v>DISHUBKOMINFO</v>
      </c>
      <c r="Y317" s="164" t="str">
        <f>'matrik MISI 3'!Y53</f>
        <v>jumlah fasilitas kelengkapan jalan yang ada/ jumlah fasilitas kelengkapan jalan yang seharusnya ada</v>
      </c>
      <c r="Z317" s="164">
        <f>'matrik MISI 3'!Z53</f>
        <v>0</v>
      </c>
    </row>
    <row r="318" spans="2:26" ht="105">
      <c r="B318" s="940"/>
      <c r="C318" s="941"/>
      <c r="D318" s="940"/>
      <c r="E318" s="940"/>
      <c r="F318" s="940"/>
      <c r="G318" s="940"/>
      <c r="H318" s="164" t="str">
        <f>'matrik MISI 3'!N54</f>
        <v>Cakupan  perusahan  Angkutan Umum yang Mempunyai Izin Usaha dan Trayek</v>
      </c>
      <c r="I318" s="164" t="str">
        <f>'matrik MISI 3'!O54</f>
        <v>%</v>
      </c>
      <c r="J318" s="929">
        <f>'matrik MISI 3'!P54</f>
        <v>100</v>
      </c>
      <c r="K318" s="929">
        <f>'matrik MISI 3'!Q54</f>
        <v>100</v>
      </c>
      <c r="L318" s="929">
        <f>'matrik MISI 3'!R54</f>
        <v>100</v>
      </c>
      <c r="M318" s="961"/>
      <c r="N318" s="929">
        <f>'matrik MISI 3'!S54</f>
        <v>100</v>
      </c>
      <c r="O318" s="929"/>
      <c r="P318" s="929">
        <f>'matrik MISI 3'!T54</f>
        <v>100</v>
      </c>
      <c r="Q318" s="929"/>
      <c r="R318" s="929">
        <f>'matrik MISI 3'!U54</f>
        <v>100</v>
      </c>
      <c r="S318" s="929"/>
      <c r="T318" s="929">
        <f>'matrik MISI 3'!V54</f>
        <v>100</v>
      </c>
      <c r="U318" s="929"/>
      <c r="V318" s="929">
        <f>'matrik MISI 3'!W54</f>
        <v>100</v>
      </c>
      <c r="W318" s="929"/>
      <c r="X318" s="929" t="str">
        <f>'matrik MISI 3'!X54</f>
        <v>DISHUBKOMINFO</v>
      </c>
      <c r="Y318" s="164" t="str">
        <f>'matrik MISI 3'!Y54</f>
        <v>jumlah perusahan angkutan umum yang memiliki  ijin usaha dan trayek di bagi jumlah perusahan angkutan umum  yang ada</v>
      </c>
      <c r="Z318" s="164">
        <f>'matrik MISI 3'!Z54</f>
        <v>0</v>
      </c>
    </row>
    <row r="319" spans="2:26" ht="60" hidden="1">
      <c r="B319" s="940"/>
      <c r="C319" s="941"/>
      <c r="D319" s="940" t="str">
        <f>'matrik MISI 3'!J48</f>
        <v>1.07</v>
      </c>
      <c r="E319" s="940" t="str">
        <f>'matrik MISI 3'!K48</f>
        <v>xx</v>
      </c>
      <c r="F319" s="940">
        <f>'matrik MISI 3'!L48</f>
        <v>16</v>
      </c>
      <c r="G319" s="940" t="str">
        <f>'matrik MISI 3'!M48</f>
        <v>Program Rehabilitasi dan Pemeliharaan Prasarana dan Fasilitas LLAJ</v>
      </c>
      <c r="H319" s="164"/>
      <c r="I319" s="164"/>
      <c r="J319" s="929"/>
      <c r="K319" s="929"/>
      <c r="L319" s="929"/>
      <c r="M319" s="961">
        <f>'jangan dihapus 2'!K373</f>
        <v>219820000</v>
      </c>
      <c r="N319" s="961"/>
      <c r="O319" s="961">
        <f>'jangan dihapus 2'!M373</f>
        <v>707981000</v>
      </c>
      <c r="P319" s="961"/>
      <c r="Q319" s="961">
        <f>'jangan dihapus 2'!O373</f>
        <v>8315000000</v>
      </c>
      <c r="R319" s="961"/>
      <c r="S319" s="961">
        <f>'jangan dihapus 2'!Q373</f>
        <v>1405000000</v>
      </c>
      <c r="T319" s="961"/>
      <c r="U319" s="961">
        <f>'jangan dihapus 2'!S373</f>
        <v>1205000000</v>
      </c>
      <c r="V319" s="929"/>
      <c r="W319" s="961">
        <f>SUM(M319:U319)</f>
        <v>11852801000</v>
      </c>
      <c r="X319" s="929"/>
      <c r="Y319" s="164"/>
      <c r="Z319" s="164"/>
    </row>
    <row r="320" spans="2:26" ht="90">
      <c r="B320" s="940"/>
      <c r="C320" s="941"/>
      <c r="D320" s="939"/>
      <c r="E320" s="939"/>
      <c r="F320" s="939"/>
      <c r="G320" s="939"/>
      <c r="H320" s="164" t="str">
        <f>'matrik MISI 3'!N48</f>
        <v>Persentase keselamatan angkutan umum</v>
      </c>
      <c r="I320" s="164" t="str">
        <f>'matrik MISI 3'!O48</f>
        <v>%</v>
      </c>
      <c r="J320" s="929">
        <f>'matrik MISI 3'!P48</f>
        <v>81.400000000000006</v>
      </c>
      <c r="K320" s="929">
        <f>'matrik MISI 3'!Q48</f>
        <v>90.2</v>
      </c>
      <c r="L320" s="929">
        <f>'matrik MISI 3'!R48</f>
        <v>91.4</v>
      </c>
      <c r="M320" s="961"/>
      <c r="N320" s="929">
        <f>'matrik MISI 3'!S48</f>
        <v>92.3</v>
      </c>
      <c r="O320" s="929"/>
      <c r="P320" s="929">
        <f>'matrik MISI 3'!T48</f>
        <v>93.7</v>
      </c>
      <c r="Q320" s="929"/>
      <c r="R320" s="929">
        <f>'matrik MISI 3'!U48</f>
        <v>94.3</v>
      </c>
      <c r="S320" s="929"/>
      <c r="T320" s="929">
        <f>'matrik MISI 3'!V48</f>
        <v>95</v>
      </c>
      <c r="U320" s="929"/>
      <c r="V320" s="929">
        <f>'matrik MISI 3'!W48</f>
        <v>95</v>
      </c>
      <c r="W320" s="929"/>
      <c r="X320" s="929" t="str">
        <f>'matrik MISI 3'!X48</f>
        <v>DISHUBKOMINFO</v>
      </c>
      <c r="Y320" s="164" t="str">
        <f>'matrik MISI 3'!Y48</f>
        <v>Jumlah Angkutan Umum yang Memenuhi Standar Keselamatan : jumlah angkutan umum) X 100%</v>
      </c>
      <c r="Z320" s="164">
        <f>'matrik MISI 3'!Z48</f>
        <v>0</v>
      </c>
    </row>
    <row r="321" spans="2:26" ht="45" hidden="1">
      <c r="B321" s="940"/>
      <c r="C321" s="941"/>
      <c r="D321" s="940" t="str">
        <f>'matrik MISI 3'!J49</f>
        <v>1.07</v>
      </c>
      <c r="E321" s="940" t="str">
        <f>'matrik MISI 3'!K49</f>
        <v>xx</v>
      </c>
      <c r="F321" s="940">
        <f>'matrik MISI 3'!L49</f>
        <v>18</v>
      </c>
      <c r="G321" s="940" t="str">
        <f>'matrik MISI 3'!M49</f>
        <v>Program Pembangunan  Sarana dan Prasarana Perhubungan</v>
      </c>
      <c r="H321" s="164"/>
      <c r="I321" s="164"/>
      <c r="J321" s="929"/>
      <c r="K321" s="929"/>
      <c r="L321" s="929"/>
      <c r="M321" s="961">
        <f>'jangan dihapus 2'!K393</f>
        <v>558176500</v>
      </c>
      <c r="N321" s="961">
        <f>'jangan dihapus 2'!L393</f>
        <v>0</v>
      </c>
      <c r="O321" s="961">
        <f>'jangan dihapus 2'!M393</f>
        <v>610000000</v>
      </c>
      <c r="P321" s="961">
        <f>'jangan dihapus 2'!N393</f>
        <v>0</v>
      </c>
      <c r="Q321" s="961">
        <f>'jangan dihapus 2'!O393</f>
        <v>765000000</v>
      </c>
      <c r="R321" s="961">
        <f>'jangan dihapus 2'!P393</f>
        <v>0</v>
      </c>
      <c r="S321" s="961">
        <f>'jangan dihapus 2'!Q393</f>
        <v>875000000</v>
      </c>
      <c r="T321" s="961">
        <f>'jangan dihapus 2'!R393</f>
        <v>0</v>
      </c>
      <c r="U321" s="961">
        <f>'jangan dihapus 2'!S393</f>
        <v>985000000</v>
      </c>
      <c r="V321" s="929"/>
      <c r="W321" s="961">
        <f>SUM(M321:U321)</f>
        <v>3793176500</v>
      </c>
      <c r="X321" s="929"/>
      <c r="Y321" s="164"/>
      <c r="Z321" s="164"/>
    </row>
    <row r="322" spans="2:26" ht="51" customHeight="1">
      <c r="B322" s="949">
        <v>8</v>
      </c>
      <c r="C322" s="948" t="str">
        <f>'matrik MISI 3'!B36</f>
        <v>LINGKUNGAN HIDUP</v>
      </c>
      <c r="D322" s="949" t="str">
        <f>'matrik MISI 3'!J37</f>
        <v>1.08</v>
      </c>
      <c r="E322" s="949" t="str">
        <f>'matrik MISI 3'!K37</f>
        <v>xx</v>
      </c>
      <c r="F322" s="949">
        <f>'matrik MISI 3'!L37</f>
        <v>15</v>
      </c>
      <c r="G322" s="949" t="str">
        <f>'matrik MISI 3'!M37</f>
        <v>Program Pengembangan Kinerja Pengelolaan Persampahan</v>
      </c>
      <c r="H322" s="164"/>
      <c r="I322" s="164"/>
      <c r="J322" s="929"/>
      <c r="K322" s="929"/>
      <c r="L322" s="929"/>
      <c r="M322" s="961">
        <f>'jangan dihapus 2'!K435</f>
        <v>3648500000</v>
      </c>
      <c r="N322" s="961"/>
      <c r="O322" s="961">
        <f>'jangan dihapus 2'!M435</f>
        <v>2750057500</v>
      </c>
      <c r="P322" s="961"/>
      <c r="Q322" s="961">
        <f>'jangan dihapus 2'!O435</f>
        <v>8650000000</v>
      </c>
      <c r="R322" s="961"/>
      <c r="S322" s="961">
        <f>'jangan dihapus 2'!Q435</f>
        <v>6070000000</v>
      </c>
      <c r="T322" s="961"/>
      <c r="U322" s="961">
        <f>'jangan dihapus 2'!S435</f>
        <v>13120000000</v>
      </c>
      <c r="V322" s="929"/>
      <c r="W322" s="961">
        <f>SUM(M322:U322)</f>
        <v>34238557500</v>
      </c>
      <c r="X322" s="929"/>
      <c r="Y322" s="164"/>
      <c r="Z322" s="164"/>
    </row>
    <row r="323" spans="2:26" ht="75">
      <c r="B323" s="940"/>
      <c r="C323" s="941"/>
      <c r="D323" s="940"/>
      <c r="E323" s="940"/>
      <c r="F323" s="940"/>
      <c r="G323" s="940"/>
      <c r="H323" s="164" t="str">
        <f>'matrik MISI 3'!N37</f>
        <v>Proporsi Sampah Terangkut terhadap Produksi Sampah se-Kab. Temanggung</v>
      </c>
      <c r="I323" s="164" t="str">
        <f>'matrik MISI 3'!O37</f>
        <v>%</v>
      </c>
      <c r="J323" s="929">
        <f>'matrik MISI 3'!P37</f>
        <v>10.38</v>
      </c>
      <c r="K323" s="929">
        <f>'matrik MISI 3'!Q37</f>
        <v>10.35</v>
      </c>
      <c r="L323" s="929" t="str">
        <f>'matrik MISI 3'!R37</f>
        <v>12,50</v>
      </c>
      <c r="M323" s="961"/>
      <c r="N323" s="929">
        <f>'matrik MISI 3'!S37</f>
        <v>13</v>
      </c>
      <c r="O323" s="929"/>
      <c r="P323" s="929" t="str">
        <f>'matrik MISI 3'!T37</f>
        <v>13,50</v>
      </c>
      <c r="Q323" s="929"/>
      <c r="R323" s="929">
        <f>'matrik MISI 3'!U37</f>
        <v>14</v>
      </c>
      <c r="S323" s="929"/>
      <c r="T323" s="929" t="str">
        <f>'matrik MISI 3'!V37</f>
        <v>14,50</v>
      </c>
      <c r="U323" s="929"/>
      <c r="V323" s="929">
        <f>'matrik MISI 3'!W37</f>
        <v>15</v>
      </c>
      <c r="W323" s="929"/>
      <c r="X323" s="929" t="str">
        <f>'matrik MISI 3'!X37</f>
        <v>DPU</v>
      </c>
      <c r="Y323" s="164" t="str">
        <f>'matrik MISI 3'!Y37</f>
        <v>jumlah sampah terangkut / jumlah volume sampah se-kabupaten temanggung x 100 %</v>
      </c>
      <c r="Z323" s="164">
        <f>'matrik MISI 3'!Z37</f>
        <v>0</v>
      </c>
    </row>
    <row r="324" spans="2:26" ht="60">
      <c r="B324" s="940"/>
      <c r="C324" s="941"/>
      <c r="D324" s="940"/>
      <c r="E324" s="940"/>
      <c r="F324" s="940"/>
      <c r="G324" s="940"/>
      <c r="H324" s="164" t="str">
        <f>'matrik MISI 3'!N38</f>
        <v>Proporsi Sampah Terangkut terhadap Produksi Sampah Ibukota Kabupaten          (Kecamatan Temanggung)</v>
      </c>
      <c r="I324" s="164" t="str">
        <f>'matrik MISI 3'!O38</f>
        <v>%</v>
      </c>
      <c r="J324" s="929">
        <f>'matrik MISI 3'!P38</f>
        <v>76</v>
      </c>
      <c r="K324" s="929">
        <f>'matrik MISI 3'!Q38</f>
        <v>80</v>
      </c>
      <c r="L324" s="929">
        <f>'matrik MISI 3'!R38</f>
        <v>80</v>
      </c>
      <c r="M324" s="961"/>
      <c r="N324" s="929">
        <f>'matrik MISI 3'!S38</f>
        <v>83</v>
      </c>
      <c r="O324" s="929"/>
      <c r="P324" s="929">
        <f>'matrik MISI 3'!T38</f>
        <v>85</v>
      </c>
      <c r="Q324" s="929"/>
      <c r="R324" s="929">
        <f>'matrik MISI 3'!U38</f>
        <v>86</v>
      </c>
      <c r="S324" s="929"/>
      <c r="T324" s="929">
        <f>'matrik MISI 3'!V38</f>
        <v>87</v>
      </c>
      <c r="U324" s="929"/>
      <c r="V324" s="929">
        <f>'matrik MISI 3'!W38</f>
        <v>87</v>
      </c>
      <c r="W324" s="929"/>
      <c r="X324" s="929" t="str">
        <f>'matrik MISI 3'!X38</f>
        <v>DPU</v>
      </c>
      <c r="Y324" s="164" t="str">
        <f>'matrik MISI 3'!Y38</f>
        <v>jumlah Kelurahan/ desa terlayani/ jumlah Kelurahan/ Desa yang ada x 100 %</v>
      </c>
      <c r="Z324" s="164">
        <f>'matrik MISI 3'!Z38</f>
        <v>0</v>
      </c>
    </row>
    <row r="325" spans="2:26" ht="135">
      <c r="B325" s="940"/>
      <c r="C325" s="941"/>
      <c r="D325" s="940"/>
      <c r="E325" s="940"/>
      <c r="F325" s="940"/>
      <c r="G325" s="940"/>
      <c r="H325" s="164" t="str">
        <f>'matrik MISI 3'!N39</f>
        <v>Proporsi Sampah Terangkut /tertangani terhadap Produksi Sampah perkotaan (Ibukota kecamatan se-Kab. Temanggung)</v>
      </c>
      <c r="I325" s="164" t="str">
        <f>'matrik MISI 3'!O39</f>
        <v>%</v>
      </c>
      <c r="J325" s="929">
        <f>'matrik MISI 3'!P39</f>
        <v>45</v>
      </c>
      <c r="K325" s="929">
        <f>'matrik MISI 3'!Q39</f>
        <v>50</v>
      </c>
      <c r="L325" s="929">
        <f>'matrik MISI 3'!R39</f>
        <v>55</v>
      </c>
      <c r="M325" s="961"/>
      <c r="N325" s="929">
        <f>'matrik MISI 3'!S39</f>
        <v>55</v>
      </c>
      <c r="O325" s="929"/>
      <c r="P325" s="929">
        <f>'matrik MISI 3'!T39</f>
        <v>60</v>
      </c>
      <c r="Q325" s="929"/>
      <c r="R325" s="929">
        <f>'matrik MISI 3'!U39</f>
        <v>60</v>
      </c>
      <c r="S325" s="929"/>
      <c r="T325" s="929">
        <f>'matrik MISI 3'!V39</f>
        <v>65</v>
      </c>
      <c r="U325" s="929"/>
      <c r="V325" s="929">
        <f>'matrik MISI 3'!W39</f>
        <v>65</v>
      </c>
      <c r="W325" s="929"/>
      <c r="X325" s="929" t="str">
        <f>'matrik MISI 3'!X39</f>
        <v>DPU</v>
      </c>
      <c r="Y325" s="164" t="str">
        <f>'matrik MISI 3'!Y39</f>
        <v>jumlah ikk yang dilayani / jumlah kk yg ada x 100 %</v>
      </c>
      <c r="Z325" s="164" t="str">
        <f>'matrik MISI 3'!Z39</f>
        <v>pada tahun 2013 yang sudah dilayani adalah IKK Candiroto, Ngadirejo, Parakan, Bulu, Kedu, Temanggung, Tlogomulyo, Kranggan, Kandangan, Pringsurat</v>
      </c>
    </row>
    <row r="326" spans="2:26" ht="30">
      <c r="B326" s="940"/>
      <c r="C326" s="941"/>
      <c r="D326" s="940"/>
      <c r="E326" s="940"/>
      <c r="F326" s="940"/>
      <c r="G326" s="940"/>
      <c r="H326" s="164" t="str">
        <f>'matrik MISI 3'!N40</f>
        <v>Terwujudnya TPA Temanggung wilayah Utara</v>
      </c>
      <c r="I326" s="164" t="str">
        <f>'matrik MISI 3'!O40</f>
        <v>unit</v>
      </c>
      <c r="J326" s="929" t="str">
        <f>'matrik MISI 3'!P40</f>
        <v>-</v>
      </c>
      <c r="K326" s="929" t="str">
        <f>'matrik MISI 3'!Q40</f>
        <v>-</v>
      </c>
      <c r="L326" s="929" t="str">
        <f>'matrik MISI 3'!R40</f>
        <v>-</v>
      </c>
      <c r="M326" s="961"/>
      <c r="N326" s="929">
        <f>'matrik MISI 3'!S40</f>
        <v>0</v>
      </c>
      <c r="O326" s="929"/>
      <c r="P326" s="929">
        <f>'matrik MISI 3'!T40</f>
        <v>0</v>
      </c>
      <c r="Q326" s="929"/>
      <c r="R326" s="929">
        <f>'matrik MISI 3'!U40</f>
        <v>1</v>
      </c>
      <c r="S326" s="929"/>
      <c r="T326" s="929">
        <f>'matrik MISI 3'!V40</f>
        <v>1</v>
      </c>
      <c r="U326" s="929"/>
      <c r="V326" s="929">
        <f>'matrik MISI 3'!W40</f>
        <v>1</v>
      </c>
      <c r="W326" s="929"/>
      <c r="X326" s="929" t="str">
        <f>'matrik MISI 3'!X40</f>
        <v>DPU, Pemerintahan Umum, BLH</v>
      </c>
      <c r="Y326" s="164">
        <f>'matrik MISI 3'!Y40</f>
        <v>0</v>
      </c>
      <c r="Z326" s="164" t="str">
        <f>'matrik MISI 3'!Z40</f>
        <v>satuan unit</v>
      </c>
    </row>
    <row r="327" spans="2:26" ht="60" hidden="1">
      <c r="B327" s="940"/>
      <c r="C327" s="941"/>
      <c r="D327" s="940" t="str">
        <f>'matrik MISI 3'!J41</f>
        <v>1.08</v>
      </c>
      <c r="E327" s="940" t="str">
        <f>'matrik MISI 3'!K41</f>
        <v>xx</v>
      </c>
      <c r="F327" s="940">
        <f>'matrik MISI 3'!L41</f>
        <v>15</v>
      </c>
      <c r="G327" s="940" t="str">
        <f>'matrik MISI 3'!M41</f>
        <v>Program Pengendalian Pencemaran dan Perusakan Lingkungan Hidup</v>
      </c>
      <c r="H327" s="164"/>
      <c r="I327" s="164"/>
      <c r="J327" s="929"/>
      <c r="K327" s="929"/>
      <c r="L327" s="929"/>
      <c r="M327" s="961">
        <f>'jangan dihapus 2'!K452+'jangan dihapus 2'!K468+'jangan dihapus 2'!K480+'jangan dihapus 2'!K483+'jangan dihapus 2'!K488</f>
        <v>2889738500</v>
      </c>
      <c r="N327" s="961"/>
      <c r="O327" s="961">
        <f>'jangan dihapus 2'!M452+'jangan dihapus 2'!M468+'jangan dihapus 2'!M480+'jangan dihapus 2'!M483+'jangan dihapus 2'!M488</f>
        <v>4400833500</v>
      </c>
      <c r="P327" s="961"/>
      <c r="Q327" s="961">
        <f>'jangan dihapus 2'!O452+'jangan dihapus 2'!O468+'jangan dihapus 2'!O480+'jangan dihapus 2'!O483+'jangan dihapus 2'!O488</f>
        <v>5100000000</v>
      </c>
      <c r="R327" s="961"/>
      <c r="S327" s="961">
        <f>'jangan dihapus 2'!Q452+'jangan dihapus 2'!Q468+'jangan dihapus 2'!Q480+'jangan dihapus 2'!Q483+'jangan dihapus 2'!Q488</f>
        <v>5315000000</v>
      </c>
      <c r="T327" s="961"/>
      <c r="U327" s="961">
        <f>'jangan dihapus 2'!S452+'jangan dihapus 2'!S468+'jangan dihapus 2'!S480+'jangan dihapus 2'!S483+'jangan dihapus 2'!S488</f>
        <v>5845000000</v>
      </c>
      <c r="V327" s="929"/>
      <c r="W327" s="961">
        <f>SUM(M327:U327)</f>
        <v>23550572000</v>
      </c>
      <c r="X327" s="929"/>
      <c r="Y327" s="164"/>
      <c r="Z327" s="164"/>
    </row>
    <row r="328" spans="2:26" ht="165">
      <c r="B328" s="940"/>
      <c r="C328" s="941"/>
      <c r="D328" s="939"/>
      <c r="E328" s="939"/>
      <c r="F328" s="939"/>
      <c r="G328" s="939"/>
      <c r="H328" s="164" t="str">
        <f>'matrik MISI 3'!N41</f>
        <v>Persentase Usaha dan atau Kegiatan yang Mentaati Persyaratan Administrasi dan Teknis Pencegahan Pencemaran Air</v>
      </c>
      <c r="I328" s="164" t="str">
        <f>'matrik MISI 3'!O41</f>
        <v>%</v>
      </c>
      <c r="J328" s="929">
        <f>'matrik MISI 3'!P41</f>
        <v>100</v>
      </c>
      <c r="K328" s="929">
        <f>'matrik MISI 3'!Q41</f>
        <v>100</v>
      </c>
      <c r="L328" s="929">
        <f>'matrik MISI 3'!R41</f>
        <v>100</v>
      </c>
      <c r="M328" s="961"/>
      <c r="N328" s="929">
        <f>'matrik MISI 3'!S41</f>
        <v>100</v>
      </c>
      <c r="O328" s="929"/>
      <c r="P328" s="929">
        <f>'matrik MISI 3'!T41</f>
        <v>100</v>
      </c>
      <c r="Q328" s="929"/>
      <c r="R328" s="929">
        <f>'matrik MISI 3'!U41</f>
        <v>100</v>
      </c>
      <c r="S328" s="929"/>
      <c r="T328" s="929">
        <f>'matrik MISI 3'!V41</f>
        <v>100</v>
      </c>
      <c r="U328" s="929"/>
      <c r="V328" s="929">
        <f>'matrik MISI 3'!W41</f>
        <v>100</v>
      </c>
      <c r="W328" s="929"/>
      <c r="X328" s="929" t="str">
        <f>'matrik MISI 3'!X41</f>
        <v>BLH</v>
      </c>
      <c r="Y328" s="164" t="str">
        <f>'matrik MISI 3'!Y41</f>
        <v>(Jumlah usaha dan/atau kegiatan yang mentaati   persyaratan administrasi dan teknis pencegahan pencemaran air : jumlah usaha dan/atau kegiatan yang potensial mencemari air ) x 100</v>
      </c>
      <c r="Z328" s="164">
        <f>'matrik MISI 3'!Z41</f>
        <v>0</v>
      </c>
    </row>
    <row r="329" spans="2:26" ht="225">
      <c r="B329" s="940"/>
      <c r="C329" s="941"/>
      <c r="D329" s="940"/>
      <c r="E329" s="940"/>
      <c r="F329" s="940"/>
      <c r="G329" s="940"/>
      <c r="H329" s="164" t="str">
        <f>'matrik MISI 3'!N42</f>
        <v>Persentase Usaha dan atau Kegiatan sumber yang Tidak Bergerak yang Memenuhi Persyaratan Administrasi dan Teknis Pencegahan Pencemaran Udara</v>
      </c>
      <c r="I329" s="164" t="str">
        <f>'matrik MISI 3'!O42</f>
        <v>%</v>
      </c>
      <c r="J329" s="929" t="str">
        <f>'matrik MISI 3'!P42</f>
        <v>87,50</v>
      </c>
      <c r="K329" s="929">
        <f>'matrik MISI 3'!Q42</f>
        <v>100</v>
      </c>
      <c r="L329" s="929">
        <f>'matrik MISI 3'!R42</f>
        <v>100</v>
      </c>
      <c r="M329" s="961"/>
      <c r="N329" s="929">
        <f>'matrik MISI 3'!S42</f>
        <v>100</v>
      </c>
      <c r="O329" s="929"/>
      <c r="P329" s="929">
        <f>'matrik MISI 3'!T42</f>
        <v>100</v>
      </c>
      <c r="Q329" s="929"/>
      <c r="R329" s="929">
        <f>'matrik MISI 3'!U42</f>
        <v>100</v>
      </c>
      <c r="S329" s="929"/>
      <c r="T329" s="929">
        <f>'matrik MISI 3'!V42</f>
        <v>100</v>
      </c>
      <c r="U329" s="929"/>
      <c r="V329" s="929">
        <f>'matrik MISI 3'!W42</f>
        <v>100</v>
      </c>
      <c r="W329" s="929"/>
      <c r="X329" s="929" t="str">
        <f>'matrik MISI 3'!X42</f>
        <v>BLH</v>
      </c>
      <c r="Y329" s="164"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29" s="164">
        <f>'matrik MISI 3'!Z42</f>
        <v>0</v>
      </c>
    </row>
    <row r="330" spans="2:26" ht="150">
      <c r="B330" s="940"/>
      <c r="C330" s="941"/>
      <c r="D330" s="940"/>
      <c r="E330" s="940"/>
      <c r="F330" s="940"/>
      <c r="G330" s="940"/>
      <c r="H330" s="164" t="str">
        <f>'matrik MISI 3'!N43</f>
        <v>Persentase Luas Lahan yang ditetapkan dan diinformasikan status kerusakan lahan atau tanah untuk Produksi Biomassa Kerusakannya</v>
      </c>
      <c r="I330" s="164" t="str">
        <f>'matrik MISI 3'!O43</f>
        <v>%</v>
      </c>
      <c r="J330" s="929" t="str">
        <f>'matrik MISI 3'!P43</f>
        <v>-</v>
      </c>
      <c r="K330" s="929" t="str">
        <f>'matrik MISI 3'!Q43</f>
        <v>-</v>
      </c>
      <c r="L330" s="929">
        <f>'matrik MISI 3'!R43</f>
        <v>20</v>
      </c>
      <c r="M330" s="961"/>
      <c r="N330" s="929">
        <f>'matrik MISI 3'!S43</f>
        <v>40</v>
      </c>
      <c r="O330" s="929"/>
      <c r="P330" s="929">
        <f>'matrik MISI 3'!T43</f>
        <v>60</v>
      </c>
      <c r="Q330" s="929"/>
      <c r="R330" s="929">
        <f>'matrik MISI 3'!U43</f>
        <v>80</v>
      </c>
      <c r="S330" s="929"/>
      <c r="T330" s="929">
        <f>'matrik MISI 3'!V43</f>
        <v>100</v>
      </c>
      <c r="U330" s="929"/>
      <c r="V330" s="929">
        <f>'matrik MISI 3'!W43</f>
        <v>100</v>
      </c>
      <c r="W330" s="929"/>
      <c r="X330" s="929" t="str">
        <f>'matrik MISI 3'!X43</f>
        <v>BLH</v>
      </c>
      <c r="Y330" s="164" t="str">
        <f>'matrik MISI 3'!Y43</f>
        <v>(luas lahan yang ditetapkan dan diinformasikan status kerusakan lahan/ tanah untuk produksi biomassa dibagi luas lahan yang diperuntukan untuk produksi biomassa)x 100</v>
      </c>
      <c r="Z330" s="164">
        <f>'matrik MISI 3'!Z43</f>
        <v>0</v>
      </c>
    </row>
    <row r="331" spans="2:26" ht="120">
      <c r="B331" s="940"/>
      <c r="C331" s="941"/>
      <c r="D331" s="940"/>
      <c r="E331" s="940"/>
      <c r="F331" s="940"/>
      <c r="G331" s="940"/>
      <c r="H331" s="164" t="str">
        <f>'matrik MISI 3'!N44</f>
        <v>Persentase Pengaduan Masyarakat Akibat Adanya Dugaan Pencemaran dan atau Perusakan Lingkungan Hidup yang Ditindaklanjuti</v>
      </c>
      <c r="I331" s="164" t="str">
        <f>'matrik MISI 3'!O44</f>
        <v>%</v>
      </c>
      <c r="J331" s="929">
        <f>'matrik MISI 3'!P44</f>
        <v>100</v>
      </c>
      <c r="K331" s="929">
        <f>'matrik MISI 3'!Q44</f>
        <v>100</v>
      </c>
      <c r="L331" s="929">
        <f>'matrik MISI 3'!R44</f>
        <v>100</v>
      </c>
      <c r="M331" s="961"/>
      <c r="N331" s="929">
        <f>'matrik MISI 3'!S44</f>
        <v>100</v>
      </c>
      <c r="O331" s="929"/>
      <c r="P331" s="929">
        <f>'matrik MISI 3'!T44</f>
        <v>100</v>
      </c>
      <c r="Q331" s="929"/>
      <c r="R331" s="929">
        <f>'matrik MISI 3'!U44</f>
        <v>100</v>
      </c>
      <c r="S331" s="929"/>
      <c r="T331" s="929">
        <f>'matrik MISI 3'!V44</f>
        <v>100</v>
      </c>
      <c r="U331" s="929"/>
      <c r="V331" s="929">
        <f>'matrik MISI 3'!W44</f>
        <v>100</v>
      </c>
      <c r="W331" s="929"/>
      <c r="X331" s="929" t="str">
        <f>'matrik MISI 3'!X44</f>
        <v>BLH</v>
      </c>
      <c r="Y331" s="164" t="str">
        <f>'matrik MISI 3'!Y44</f>
        <v>(Jumlah Pengaduan yang ditindak lanjuti : Jumlah pengaduan yang masuk) x 100</v>
      </c>
      <c r="Z331" s="164" t="str">
        <f>'matrik MISI 3'!Z44</f>
        <v>Yang dimaksud dengan pengaduan adalah  pengaduan secara tertulis  kepada Bupati atau kepala instansi yang membidangi lingkungan hidup.</v>
      </c>
    </row>
    <row r="332" spans="2:26" ht="135">
      <c r="B332" s="940"/>
      <c r="C332" s="941"/>
      <c r="D332" s="940"/>
      <c r="E332" s="940"/>
      <c r="F332" s="940"/>
      <c r="G332" s="940"/>
      <c r="H332" s="164" t="str">
        <f>'matrik MISI 3'!N45</f>
        <v>Persentase Perusahaan yang Memiliki Dokumen UKL, UPL, dan AMDAL</v>
      </c>
      <c r="I332" s="164" t="str">
        <f>'matrik MISI 3'!O45</f>
        <v>%</v>
      </c>
      <c r="J332" s="929">
        <f>'matrik MISI 3'!P45</f>
        <v>100</v>
      </c>
      <c r="K332" s="929">
        <f>'matrik MISI 3'!Q45</f>
        <v>100</v>
      </c>
      <c r="L332" s="929">
        <f>'matrik MISI 3'!R45</f>
        <v>100</v>
      </c>
      <c r="M332" s="961"/>
      <c r="N332" s="929">
        <f>'matrik MISI 3'!S45</f>
        <v>100</v>
      </c>
      <c r="O332" s="929"/>
      <c r="P332" s="929">
        <f>'matrik MISI 3'!T45</f>
        <v>100</v>
      </c>
      <c r="Q332" s="929"/>
      <c r="R332" s="929">
        <f>'matrik MISI 3'!U45</f>
        <v>100</v>
      </c>
      <c r="S332" s="929"/>
      <c r="T332" s="929">
        <f>'matrik MISI 3'!V45</f>
        <v>100</v>
      </c>
      <c r="U332" s="929"/>
      <c r="V332" s="929">
        <f>'matrik MISI 3'!W45</f>
        <v>100</v>
      </c>
      <c r="W332" s="929"/>
      <c r="X332" s="929" t="str">
        <f>'matrik MISI 3'!X45</f>
        <v>BLH</v>
      </c>
      <c r="Y332" s="164" t="str">
        <f>'matrik MISI 3'!Y45</f>
        <v>(Jumlah perusahaan yang memiliki dokumen UKL-UPL dan/atau AMDAL dibagi jumlah perusahaan yang wajib memiliki UKL-UPL dan/atau AMDAL) x 100</v>
      </c>
      <c r="Z332" s="164">
        <f>'matrik MISI 3'!Z45</f>
        <v>0</v>
      </c>
    </row>
    <row r="333" spans="2:26" ht="60">
      <c r="B333" s="949">
        <v>9</v>
      </c>
      <c r="C333" s="948" t="str">
        <f>'matrik MISI 6'!B18</f>
        <v>PERTANAHAN</v>
      </c>
      <c r="D333" s="949">
        <f>'matrik MISI 6'!J19</f>
        <v>1.0900000000000001</v>
      </c>
      <c r="E333" s="949" t="str">
        <f>'matrik MISI 6'!K19</f>
        <v>xx</v>
      </c>
      <c r="F333" s="949">
        <f>'matrik MISI 6'!L19</f>
        <v>16</v>
      </c>
      <c r="G333" s="949" t="str">
        <f>'matrik MISI 6'!M19</f>
        <v>Program Penataan Penguasaan, Pemilikan, Penggunaan, dan Pemanfaatan Tanah</v>
      </c>
      <c r="H333" s="164"/>
      <c r="I333" s="164"/>
      <c r="J333" s="929"/>
      <c r="K333" s="929"/>
      <c r="L333" s="929"/>
      <c r="M333" s="961">
        <f>'jangan di hapus 1'!K656</f>
        <v>2290000000</v>
      </c>
      <c r="N333" s="1006"/>
      <c r="O333" s="1006">
        <f>'jangan di hapus 1'!M656</f>
        <v>3267500000</v>
      </c>
      <c r="P333" s="1006"/>
      <c r="Q333" s="1006">
        <f>'jangan di hapus 1'!O656</f>
        <v>3270000000</v>
      </c>
      <c r="R333" s="1006"/>
      <c r="S333" s="1006">
        <f>'jangan di hapus 1'!Q656</f>
        <v>4272500000</v>
      </c>
      <c r="T333" s="1006"/>
      <c r="U333" s="1006">
        <f>'jangan di hapus 1'!S656</f>
        <v>4275000000</v>
      </c>
      <c r="V333" s="929"/>
      <c r="W333" s="961">
        <f>SUM(M333:U333)</f>
        <v>17375000000</v>
      </c>
      <c r="X333" s="929"/>
      <c r="Y333" s="1016"/>
      <c r="Z333" s="1016"/>
    </row>
    <row r="334" spans="2:26" ht="90">
      <c r="B334" s="939"/>
      <c r="C334" s="939"/>
      <c r="D334" s="939"/>
      <c r="E334" s="939"/>
      <c r="F334" s="939"/>
      <c r="G334" s="939"/>
      <c r="H334" s="164" t="str">
        <f>'matrik MISI 6'!N19</f>
        <v>Persentase Aset Tanah Pemerintah yang Bersertifikat</v>
      </c>
      <c r="I334" s="164" t="str">
        <f>'matrik MISI 6'!O19</f>
        <v>%</v>
      </c>
      <c r="J334" s="929" t="str">
        <f>'matrik MISI 6'!P19</f>
        <v>75,6</v>
      </c>
      <c r="K334" s="929" t="str">
        <f>'matrik MISI 6'!Q19</f>
        <v>80,7</v>
      </c>
      <c r="L334" s="929" t="str">
        <f>'matrik MISI 6'!R19</f>
        <v>84,5</v>
      </c>
      <c r="M334" s="961"/>
      <c r="N334" s="929" t="str">
        <f>'matrik MISI 6'!S19</f>
        <v>88,4</v>
      </c>
      <c r="O334" s="929"/>
      <c r="P334" s="929" t="str">
        <f>'matrik MISI 6'!T19</f>
        <v>92,3</v>
      </c>
      <c r="Q334" s="929"/>
      <c r="R334" s="929" t="str">
        <f>'matrik MISI 6'!U19</f>
        <v>96,13</v>
      </c>
      <c r="S334" s="929"/>
      <c r="T334" s="929">
        <f>'matrik MISI 6'!V19</f>
        <v>100</v>
      </c>
      <c r="U334" s="929"/>
      <c r="V334" s="929">
        <f>'matrik MISI 6'!W19</f>
        <v>100</v>
      </c>
      <c r="W334" s="929"/>
      <c r="X334" s="929" t="str">
        <f>'matrik MISI 6'!X19</f>
        <v>Bagian Pemerintahan Umum Setda</v>
      </c>
      <c r="Y334" s="164" t="str">
        <f>'matrik MISI 6'!Y19</f>
        <v>Jumlah tanah pemerintah daerah yang bersertifikat dibagi jumlah tanah pemerintah daerah x 100</v>
      </c>
      <c r="Z334" s="164" t="str">
        <f>'matrik MISI 6'!Z19</f>
        <v>Sertifikasi tanah pemerintah daerah yang didanai dengan dana APBD</v>
      </c>
    </row>
    <row r="335" spans="2:26" ht="45" hidden="1">
      <c r="B335" s="939"/>
      <c r="C335" s="939"/>
      <c r="D335" s="940">
        <f>'matrik MISI 6'!J20</f>
        <v>1.0900000000000001</v>
      </c>
      <c r="E335" s="940" t="str">
        <f>'matrik MISI 6'!K20</f>
        <v>xx</v>
      </c>
      <c r="F335" s="940">
        <f>'matrik MISI 6'!L20</f>
        <v>17</v>
      </c>
      <c r="G335" s="940" t="str">
        <f>'matrik MISI 6'!M20</f>
        <v>Program Penyelesaian Konflik-Konflik Pertanahan</v>
      </c>
      <c r="H335" s="164"/>
      <c r="I335" s="164"/>
      <c r="J335" s="929"/>
      <c r="K335" s="929"/>
      <c r="L335" s="929"/>
      <c r="M335" s="961">
        <f>'jangan di hapus 1'!K661</f>
        <v>20000000</v>
      </c>
      <c r="N335" s="1006"/>
      <c r="O335" s="1006">
        <f>'jangan di hapus 1'!M661</f>
        <v>25000000</v>
      </c>
      <c r="P335" s="1006"/>
      <c r="Q335" s="1006">
        <f>'jangan di hapus 1'!O661</f>
        <v>30000000</v>
      </c>
      <c r="R335" s="1006"/>
      <c r="S335" s="1006">
        <f>'jangan di hapus 1'!Q661</f>
        <v>35000000</v>
      </c>
      <c r="T335" s="1006"/>
      <c r="U335" s="1006">
        <f>'jangan di hapus 1'!S661</f>
        <v>40000000</v>
      </c>
      <c r="V335" s="929"/>
      <c r="W335" s="961">
        <f>SUM(M335:U335)</f>
        <v>150000000</v>
      </c>
      <c r="X335" s="929"/>
      <c r="Y335" s="164"/>
      <c r="Z335" s="164"/>
    </row>
    <row r="336" spans="2:26" ht="60">
      <c r="B336" s="942"/>
      <c r="C336" s="942"/>
      <c r="D336" s="942"/>
      <c r="E336" s="942"/>
      <c r="F336" s="942"/>
      <c r="G336" s="942"/>
      <c r="H336" s="164" t="str">
        <f>'matrik MISI 6'!N20</f>
        <v>Persentase Penggantian Tanah Pemerintah Desa yang Digunakan untuk Kepentingan Pemerintah Kabupaten</v>
      </c>
      <c r="I336" s="164" t="str">
        <f>'matrik MISI 6'!O20</f>
        <v>%</v>
      </c>
      <c r="J336" s="929">
        <f>'matrik MISI 6'!P20</f>
        <v>5</v>
      </c>
      <c r="K336" s="929">
        <f>'matrik MISI 6'!Q20</f>
        <v>7.5</v>
      </c>
      <c r="L336" s="929">
        <f>'matrik MISI 6'!R20</f>
        <v>7.5</v>
      </c>
      <c r="M336" s="961"/>
      <c r="N336" s="929">
        <f>'matrik MISI 6'!S20</f>
        <v>12.5</v>
      </c>
      <c r="O336" s="929"/>
      <c r="P336" s="929">
        <f>'matrik MISI 6'!T20</f>
        <v>15</v>
      </c>
      <c r="Q336" s="929"/>
      <c r="R336" s="929">
        <f>'matrik MISI 6'!U20</f>
        <v>17.5</v>
      </c>
      <c r="S336" s="929"/>
      <c r="T336" s="929">
        <f>'matrik MISI 6'!V20</f>
        <v>20</v>
      </c>
      <c r="U336" s="929"/>
      <c r="V336" s="929">
        <f>'matrik MISI 6'!W20</f>
        <v>20</v>
      </c>
      <c r="W336" s="929"/>
      <c r="X336" s="929" t="str">
        <f>'matrik MISI 6'!X20</f>
        <v>Bagian Pemerintahan Umum Setda</v>
      </c>
      <c r="Y336" s="164"/>
      <c r="Z336" s="164"/>
    </row>
    <row r="337" spans="2:26" ht="45">
      <c r="B337" s="949">
        <v>10</v>
      </c>
      <c r="C337" s="948" t="str">
        <f>'matrik MISI 6'!B78</f>
        <v>KEPENDUDUKAN DAN CATATAN SIPIL</v>
      </c>
      <c r="D337" s="949" t="str">
        <f>'matrik MISI 6'!J79</f>
        <v>1.10</v>
      </c>
      <c r="E337" s="949" t="str">
        <f>'matrik MISI 6'!K79</f>
        <v>xx</v>
      </c>
      <c r="F337" s="949">
        <f>'matrik MISI 6'!L79</f>
        <v>15</v>
      </c>
      <c r="G337" s="949" t="str">
        <f>'matrik MISI 6'!M79</f>
        <v>Program Penataan Administrasi Kependudukan</v>
      </c>
      <c r="H337" s="164"/>
      <c r="I337" s="164"/>
      <c r="J337" s="929"/>
      <c r="K337" s="929"/>
      <c r="L337" s="929"/>
      <c r="M337" s="961">
        <f>'jangan di hapus 1'!K665</f>
        <v>1306713000</v>
      </c>
      <c r="N337" s="961"/>
      <c r="O337" s="961">
        <f>'jangan di hapus 1'!M665</f>
        <v>2726827000</v>
      </c>
      <c r="P337" s="961"/>
      <c r="Q337" s="961">
        <f>'jangan di hapus 1'!O665</f>
        <v>1847481000</v>
      </c>
      <c r="R337" s="961"/>
      <c r="S337" s="961">
        <f>'jangan di hapus 1'!Q665</f>
        <v>2110481000</v>
      </c>
      <c r="T337" s="961"/>
      <c r="U337" s="961">
        <f>'jangan di hapus 1'!S665</f>
        <v>2131981000</v>
      </c>
      <c r="V337" s="929"/>
      <c r="W337" s="961">
        <f>SUM(M337:U337)</f>
        <v>10123483000</v>
      </c>
      <c r="X337" s="929"/>
      <c r="Y337" s="1016"/>
      <c r="Z337" s="1016"/>
    </row>
    <row r="338" spans="2:26" ht="105">
      <c r="B338" s="939"/>
      <c r="C338" s="939"/>
      <c r="D338" s="939"/>
      <c r="E338" s="939"/>
      <c r="F338" s="939"/>
      <c r="G338" s="939"/>
      <c r="H338" s="164" t="str">
        <f>'matrik MISI 6'!N79</f>
        <v>Cakupan penerbitan Kartu Keluarga (KK)</v>
      </c>
      <c r="I338" s="164" t="str">
        <f>'matrik MISI 6'!O79</f>
        <v>%</v>
      </c>
      <c r="J338" s="929">
        <f>'matrik MISI 6'!P79</f>
        <v>21.61</v>
      </c>
      <c r="K338" s="929">
        <f>'matrik MISI 6'!Q79</f>
        <v>39.54</v>
      </c>
      <c r="L338" s="929">
        <f>'matrik MISI 6'!R79</f>
        <v>53.18</v>
      </c>
      <c r="M338" s="961"/>
      <c r="N338" s="929">
        <f>'matrik MISI 6'!S79</f>
        <v>65.08</v>
      </c>
      <c r="O338" s="929"/>
      <c r="P338" s="929">
        <f>'matrik MISI 6'!T79</f>
        <v>76.989999999999995</v>
      </c>
      <c r="Q338" s="929"/>
      <c r="R338" s="929">
        <f>'matrik MISI 6'!U79</f>
        <v>88.89</v>
      </c>
      <c r="S338" s="929"/>
      <c r="T338" s="929">
        <f>'matrik MISI 6'!V79</f>
        <v>100</v>
      </c>
      <c r="U338" s="929"/>
      <c r="V338" s="929">
        <f>'matrik MISI 6'!W79</f>
        <v>100</v>
      </c>
      <c r="W338" s="929"/>
      <c r="X338" s="929" t="str">
        <f>'matrik MISI 6'!X79</f>
        <v>Dinas Kependudukan dan Pencatatan Sipil</v>
      </c>
      <c r="Y338" s="164" t="str">
        <f>'matrik MISI 6'!Y79</f>
        <v>jumlah KK yg diterbitkan pada tahun (x) dibagi (:) jumlah kepala keluarga dalam satu wilayah pada tahun (x)  kali (X) 100%.</v>
      </c>
      <c r="Z338" s="164">
        <f>'matrik MISI 6'!Z79</f>
        <v>0</v>
      </c>
    </row>
    <row r="339" spans="2:26" ht="60">
      <c r="B339" s="940"/>
      <c r="C339" s="941"/>
      <c r="D339" s="940"/>
      <c r="E339" s="940"/>
      <c r="F339" s="940"/>
      <c r="G339" s="940"/>
      <c r="H339" s="164" t="str">
        <f>'matrik MISI 6'!N80</f>
        <v>Cakupan Penerbitan Kartu Tanda Penduduk (KTP)</v>
      </c>
      <c r="I339" s="164" t="str">
        <f>'matrik MISI 6'!O80</f>
        <v>%</v>
      </c>
      <c r="J339" s="929">
        <f>'matrik MISI 6'!P80</f>
        <v>86.56</v>
      </c>
      <c r="K339" s="929">
        <f>'matrik MISI 6'!Q80</f>
        <v>2.39</v>
      </c>
      <c r="L339" s="929">
        <f>'matrik MISI 6'!R80</f>
        <v>18.149999999999999</v>
      </c>
      <c r="M339" s="961"/>
      <c r="N339" s="929">
        <f>'matrik MISI 6'!S80</f>
        <v>22.84</v>
      </c>
      <c r="O339" s="929"/>
      <c r="P339" s="929">
        <f>'matrik MISI 6'!T80</f>
        <v>27.65</v>
      </c>
      <c r="Q339" s="929"/>
      <c r="R339" s="929">
        <f>'matrik MISI 6'!U80</f>
        <v>32.58</v>
      </c>
      <c r="S339" s="929"/>
      <c r="T339" s="929">
        <f>'matrik MISI 6'!V80</f>
        <v>37.629999999999995</v>
      </c>
      <c r="U339" s="929"/>
      <c r="V339" s="929">
        <f>'matrik MISI 6'!W80</f>
        <v>37.630000000000003</v>
      </c>
      <c r="W339" s="929"/>
      <c r="X339" s="929" t="str">
        <f>'matrik MISI 6'!X80</f>
        <v>Dinas Kependudukan dan Pencatatan Sipil</v>
      </c>
      <c r="Y339" s="164" t="str">
        <f>'matrik MISI 6'!Y80</f>
        <v>jumlah KTP elektronik yg diterbitkan / jumlah wajib KTP Elektronik x 100</v>
      </c>
      <c r="Z339" s="164" t="str">
        <f>'matrik MISI 6'!Z80</f>
        <v>termasuk penduduk yang baru berusia wajib KTP dan mutasi pindah masuk</v>
      </c>
    </row>
    <row r="340" spans="2:26" ht="120">
      <c r="B340" s="940"/>
      <c r="C340" s="941"/>
      <c r="D340" s="940"/>
      <c r="E340" s="940"/>
      <c r="F340" s="940"/>
      <c r="G340" s="940"/>
      <c r="H340" s="164" t="str">
        <f>'matrik MISI 6'!N81</f>
        <v>Cakupan Penerbitan Kutipan Akta Kelahiran</v>
      </c>
      <c r="I340" s="164" t="str">
        <f>'matrik MISI 6'!O81</f>
        <v>%</v>
      </c>
      <c r="J340" s="929">
        <f>'matrik MISI 6'!P81</f>
        <v>40.43</v>
      </c>
      <c r="K340" s="929">
        <f>'matrik MISI 6'!Q81</f>
        <v>42.65</v>
      </c>
      <c r="L340" s="929">
        <f>'matrik MISI 6'!R81</f>
        <v>47.94</v>
      </c>
      <c r="M340" s="961"/>
      <c r="N340" s="929">
        <f>'matrik MISI 6'!S81</f>
        <v>51.56</v>
      </c>
      <c r="O340" s="929"/>
      <c r="P340" s="929">
        <f>'matrik MISI 6'!T81</f>
        <v>56.13</v>
      </c>
      <c r="Q340" s="929"/>
      <c r="R340" s="929">
        <f>'matrik MISI 6'!U81</f>
        <v>59.79</v>
      </c>
      <c r="S340" s="929"/>
      <c r="T340" s="929">
        <f>'matrik MISI 6'!V81</f>
        <v>63.46</v>
      </c>
      <c r="U340" s="929"/>
      <c r="V340" s="929">
        <f>'matrik MISI 6'!W81</f>
        <v>67.010000000000005</v>
      </c>
      <c r="W340" s="929"/>
      <c r="X340" s="929" t="str">
        <f>'matrik MISI 6'!X81</f>
        <v>Dinas Kependudukan dan Pencatatan Sipil</v>
      </c>
      <c r="Y340" s="164" t="str">
        <f>'matrik MISI 6'!Y81</f>
        <v>Jumlah kutipan akta kelahiran yg diterbitkan sampai dgn tahun (x) dibagi (:) jumlah kelahiran  yg terjadi sampai dengan tahun (x) kali (X) 100%</v>
      </c>
      <c r="Z340" s="164">
        <f>'matrik MISI 6'!Z81</f>
        <v>0</v>
      </c>
    </row>
    <row r="341" spans="2:26" ht="60">
      <c r="B341" s="940"/>
      <c r="C341" s="941"/>
      <c r="D341" s="940"/>
      <c r="E341" s="940"/>
      <c r="F341" s="940"/>
      <c r="G341" s="940"/>
      <c r="H341" s="164" t="str">
        <f>'matrik MISI 6'!N82</f>
        <v>Cakupan kepemilikan Kutipan Akta Kematian</v>
      </c>
      <c r="I341" s="164" t="str">
        <f>'matrik MISI 6'!O82</f>
        <v>%</v>
      </c>
      <c r="J341" s="929">
        <f>'matrik MISI 6'!P82</f>
        <v>1.83</v>
      </c>
      <c r="K341" s="929">
        <f>'matrik MISI 6'!Q82</f>
        <v>1.4</v>
      </c>
      <c r="L341" s="929">
        <f>'matrik MISI 6'!R82</f>
        <v>100</v>
      </c>
      <c r="M341" s="961"/>
      <c r="N341" s="929">
        <f>'matrik MISI 6'!S82</f>
        <v>100</v>
      </c>
      <c r="O341" s="929"/>
      <c r="P341" s="929">
        <f>'matrik MISI 6'!T82</f>
        <v>100</v>
      </c>
      <c r="Q341" s="929"/>
      <c r="R341" s="929">
        <f>'matrik MISI 6'!U82</f>
        <v>100</v>
      </c>
      <c r="S341" s="929"/>
      <c r="T341" s="929">
        <f>'matrik MISI 6'!V82</f>
        <v>100</v>
      </c>
      <c r="U341" s="929"/>
      <c r="V341" s="929">
        <f>'matrik MISI 6'!W82</f>
        <v>100</v>
      </c>
      <c r="W341" s="929"/>
      <c r="X341" s="929" t="str">
        <f>'matrik MISI 6'!X82</f>
        <v>Dinas Kependudukan dan Pencatatan Sipil</v>
      </c>
      <c r="Y341" s="164" t="str">
        <f>'matrik MISI 6'!Y82</f>
        <v>Jumlah kutipan akta kematian yang telah diterbitkan / jumlah kematian  x 100%</v>
      </c>
      <c r="Z341" s="164">
        <f>'matrik MISI 6'!Z82</f>
        <v>0</v>
      </c>
    </row>
    <row r="342" spans="2:26" ht="120">
      <c r="B342" s="940"/>
      <c r="C342" s="941"/>
      <c r="D342" s="940"/>
      <c r="E342" s="940"/>
      <c r="F342" s="940"/>
      <c r="G342" s="940"/>
      <c r="H342" s="164" t="str">
        <f>'matrik MISI 6'!N83</f>
        <v>Persentase Penanganan Pengaduan Masyarakat</v>
      </c>
      <c r="I342" s="164" t="str">
        <f>'matrik MISI 6'!O83</f>
        <v>%</v>
      </c>
      <c r="J342" s="929">
        <f>'matrik MISI 6'!P83</f>
        <v>100</v>
      </c>
      <c r="K342" s="929">
        <f>'matrik MISI 6'!Q83</f>
        <v>100</v>
      </c>
      <c r="L342" s="929">
        <f>'matrik MISI 6'!R83</f>
        <v>100</v>
      </c>
      <c r="M342" s="961"/>
      <c r="N342" s="929">
        <f>'matrik MISI 6'!S83</f>
        <v>100</v>
      </c>
      <c r="O342" s="929"/>
      <c r="P342" s="929">
        <f>'matrik MISI 6'!T83</f>
        <v>100</v>
      </c>
      <c r="Q342" s="929"/>
      <c r="R342" s="929">
        <f>'matrik MISI 6'!U83</f>
        <v>100</v>
      </c>
      <c r="S342" s="929"/>
      <c r="T342" s="929">
        <f>'matrik MISI 6'!V83</f>
        <v>100</v>
      </c>
      <c r="U342" s="929"/>
      <c r="V342" s="929">
        <f>'matrik MISI 6'!W83</f>
        <v>100</v>
      </c>
      <c r="W342" s="929"/>
      <c r="X342" s="929" t="str">
        <f>'matrik MISI 6'!X83</f>
        <v>Dinas Kependudukan dan Pencatatan Sipil</v>
      </c>
      <c r="Y342" s="164" t="str">
        <f>'matrik MISI 6'!Y83</f>
        <v>Jumlah pengaduan masyarakat yang tertangani  pada tahun (x) dibagi (:) jumlah pengaduan masyarakat yang ada pada  thn (x) kali (X) 100%.</v>
      </c>
      <c r="Z342" s="164">
        <f>'matrik MISI 6'!Z83</f>
        <v>0</v>
      </c>
    </row>
    <row r="343" spans="2:26" ht="60">
      <c r="B343" s="949">
        <v>11</v>
      </c>
      <c r="C343" s="948" t="str">
        <f>'matrik MISI 2'!B54</f>
        <v>PEMBERDAYAAN PEREMPUAN DAN PERLINDUNGAN ANAK</v>
      </c>
      <c r="D343" s="949">
        <f>'matrik MISI 2'!J55</f>
        <v>1.1100000000000001</v>
      </c>
      <c r="E343" s="949" t="str">
        <f>'matrik MISI 2'!K55</f>
        <v>xx</v>
      </c>
      <c r="F343" s="949">
        <f>'matrik MISI 2'!L55</f>
        <v>15</v>
      </c>
      <c r="G343" s="949" t="str">
        <f>'matrik MISI 2'!M55</f>
        <v>Program Keserasian Kebijakan Peningkatan Kualitas Anak dan Perempuan</v>
      </c>
      <c r="H343" s="164"/>
      <c r="I343" s="164"/>
      <c r="J343" s="929"/>
      <c r="K343" s="929"/>
      <c r="L343" s="929"/>
      <c r="M343" s="961">
        <f>'jangan di hapus 1'!K675</f>
        <v>76562900</v>
      </c>
      <c r="N343" s="1006"/>
      <c r="O343" s="1006">
        <f>'jangan di hapus 1'!M675</f>
        <v>105000000</v>
      </c>
      <c r="P343" s="1006"/>
      <c r="Q343" s="1006">
        <f>'jangan di hapus 1'!O675</f>
        <v>115500000</v>
      </c>
      <c r="R343" s="1006"/>
      <c r="S343" s="1006">
        <f>'jangan di hapus 1'!Q675</f>
        <v>127050000</v>
      </c>
      <c r="T343" s="1006"/>
      <c r="U343" s="1006">
        <f>'jangan di hapus 1'!S675</f>
        <v>139755000</v>
      </c>
      <c r="V343" s="929"/>
      <c r="W343" s="961">
        <f>SUM(M343:U343)</f>
        <v>563867900</v>
      </c>
      <c r="X343" s="929"/>
      <c r="Y343" s="1016"/>
      <c r="Z343" s="1016"/>
    </row>
    <row r="344" spans="2:26" ht="180">
      <c r="B344" s="939"/>
      <c r="C344" s="939"/>
      <c r="D344" s="939"/>
      <c r="E344" s="939"/>
      <c r="F344" s="939"/>
      <c r="G344" s="939"/>
      <c r="H344" s="164" t="str">
        <f>'matrik MISI 2'!N55</f>
        <v>Cakupan Perempuan dan Anak Korban Kekerasan yang Mendapatkan Penanganan Pengaduan Oleh Petugas Terlatih di Dalam Unit Pelayanan Terpadu</v>
      </c>
      <c r="I344" s="164" t="str">
        <f>'matrik MISI 2'!O55</f>
        <v>%</v>
      </c>
      <c r="J344" s="929">
        <f>'matrik MISI 2'!P55</f>
        <v>88</v>
      </c>
      <c r="K344" s="929">
        <f>'matrik MISI 2'!Q55</f>
        <v>90</v>
      </c>
      <c r="L344" s="929">
        <f>'matrik MISI 2'!R55</f>
        <v>100</v>
      </c>
      <c r="M344" s="961"/>
      <c r="N344" s="929">
        <f>'matrik MISI 2'!S55</f>
        <v>100</v>
      </c>
      <c r="O344" s="929"/>
      <c r="P344" s="929">
        <f>'matrik MISI 2'!T55</f>
        <v>100</v>
      </c>
      <c r="Q344" s="929"/>
      <c r="R344" s="929">
        <f>'matrik MISI 2'!U55</f>
        <v>100</v>
      </c>
      <c r="S344" s="929"/>
      <c r="T344" s="929">
        <f>'matrik MISI 2'!V55</f>
        <v>100</v>
      </c>
      <c r="U344" s="929"/>
      <c r="V344" s="929">
        <f>'matrik MISI 2'!W55</f>
        <v>100</v>
      </c>
      <c r="W344" s="929"/>
      <c r="X344" s="929" t="str">
        <f>'matrik MISI 2'!X55</f>
        <v>BKBPP</v>
      </c>
      <c r="Y344" s="164" t="str">
        <f>'matrik MISI 2'!Y55</f>
        <v>Jumlah perempuan dan anak korban kekerasan yang mendapatkan penanganan pengaduan oleh petugas terlatih di dalam unit pelayanan terpadu dibagi jumlah perempuan dan anak korban kekerasan yang dilaporkan x 100</v>
      </c>
      <c r="Z344" s="164">
        <f>'matrik MISI 2'!Z55</f>
        <v>0</v>
      </c>
    </row>
    <row r="345" spans="2:26" ht="180">
      <c r="B345" s="940"/>
      <c r="C345" s="941"/>
      <c r="D345" s="940"/>
      <c r="E345" s="940"/>
      <c r="F345" s="940"/>
      <c r="G345" s="940"/>
      <c r="H345" s="164" t="str">
        <f>'matrik MISI 2'!N56</f>
        <v>Cakupan Perempuan dan Anak Korban Kekerasan yang Mendapatkan Pelayanan Kesehatan oleh Tenaga Terlatih di Pukesmas Mampu Tata Laksana KTP/A dan PPT/PKT di Rumah Sakit</v>
      </c>
      <c r="I345" s="164" t="str">
        <f>'matrik MISI 2'!O56</f>
        <v>%</v>
      </c>
      <c r="J345" s="929">
        <f>'matrik MISI 2'!P56</f>
        <v>100</v>
      </c>
      <c r="K345" s="929">
        <f>'matrik MISI 2'!Q56</f>
        <v>100</v>
      </c>
      <c r="L345" s="929">
        <f>'matrik MISI 2'!R56</f>
        <v>100</v>
      </c>
      <c r="M345" s="961"/>
      <c r="N345" s="929">
        <f>'matrik MISI 2'!S56</f>
        <v>100</v>
      </c>
      <c r="O345" s="929"/>
      <c r="P345" s="929">
        <f>'matrik MISI 2'!T56</f>
        <v>100</v>
      </c>
      <c r="Q345" s="929"/>
      <c r="R345" s="929">
        <f>'matrik MISI 2'!U56</f>
        <v>100</v>
      </c>
      <c r="S345" s="929"/>
      <c r="T345" s="929">
        <f>'matrik MISI 2'!V56</f>
        <v>100</v>
      </c>
      <c r="U345" s="929"/>
      <c r="V345" s="929">
        <f>'matrik MISI 2'!W56</f>
        <v>100</v>
      </c>
      <c r="W345" s="929"/>
      <c r="X345" s="929" t="str">
        <f>'matrik MISI 2'!X56</f>
        <v>BKBPP</v>
      </c>
      <c r="Y345" s="164" t="str">
        <f>'matrik MISI 2'!Y56</f>
        <v>Jumlag perempuan dan anak korban kekerasan yang mendapatkan layanan kesehatan oleh tenaga kesehatan terlatih di puskesmas maupun RS dibagi jumlah perempuan dan anak korban kekerasan yang dilaporkan x 100</v>
      </c>
      <c r="Z345" s="164">
        <f>'matrik MISI 2'!Z56</f>
        <v>0</v>
      </c>
    </row>
    <row r="346" spans="2:26" ht="180">
      <c r="B346" s="940"/>
      <c r="C346" s="941"/>
      <c r="D346" s="940"/>
      <c r="E346" s="940"/>
      <c r="F346" s="940"/>
      <c r="G346" s="940"/>
      <c r="H346" s="164" t="str">
        <f>'matrik MISI 2'!N57</f>
        <v>Cakupan Layanan Rehabilitasi Sosial yang diberikan Oleh Petugas Rehabilitasi Sosial Terlatih bagi Perempuan dan Anak Korban Kekerasan didalam Unit  Pelayanan Terpadu</v>
      </c>
      <c r="I346" s="164" t="str">
        <f>'matrik MISI 2'!O57</f>
        <v>%</v>
      </c>
      <c r="J346" s="929">
        <f>'matrik MISI 2'!P57</f>
        <v>75</v>
      </c>
      <c r="K346" s="929">
        <f>'matrik MISI 2'!Q57</f>
        <v>80</v>
      </c>
      <c r="L346" s="929">
        <f>'matrik MISI 2'!R57</f>
        <v>85</v>
      </c>
      <c r="M346" s="961"/>
      <c r="N346" s="929">
        <f>'matrik MISI 2'!S57</f>
        <v>85</v>
      </c>
      <c r="O346" s="929"/>
      <c r="P346" s="929">
        <f>'matrik MISI 2'!T57</f>
        <v>85</v>
      </c>
      <c r="Q346" s="929"/>
      <c r="R346" s="929">
        <f>'matrik MISI 2'!U57</f>
        <v>85</v>
      </c>
      <c r="S346" s="929"/>
      <c r="T346" s="929">
        <f>'matrik MISI 2'!V57</f>
        <v>90</v>
      </c>
      <c r="U346" s="929"/>
      <c r="V346" s="929">
        <f>'matrik MISI 2'!W57</f>
        <v>90</v>
      </c>
      <c r="W346" s="929"/>
      <c r="X346" s="929" t="str">
        <f>'matrik MISI 2'!X57</f>
        <v>BKBPP</v>
      </c>
      <c r="Y346" s="164" t="str">
        <f>'matrik MISI 2'!Y57</f>
        <v>Jumlah layanan rehabilitasi sosial yang diberikan oleh petugas rehabilitasi sosial terlatih bagi perempuan dan anak korban kekerasan di dalam unit pelayanan terpadu dibagi jumlah perempuan dan anak korban kekerasan yang dilaporkan x 100</v>
      </c>
      <c r="Z346" s="164">
        <f>'matrik MISI 2'!Z57</f>
        <v>0</v>
      </c>
    </row>
    <row r="347" spans="2:26" ht="180">
      <c r="B347" s="940"/>
      <c r="C347" s="941"/>
      <c r="D347" s="940"/>
      <c r="E347" s="940"/>
      <c r="F347" s="940"/>
      <c r="G347" s="940"/>
      <c r="H347" s="164" t="str">
        <f>'matrik MISI 2'!N58</f>
        <v>Cakupan Layanan Bimbingan Rohani yang diberikan oleh Petugas Bimbingan Rohani Terlatih Bagi Perempuan dan Anak Korban Kekerasan di Dalam Unit Pelayanan Terpadu</v>
      </c>
      <c r="I347" s="164" t="str">
        <f>'matrik MISI 2'!O58</f>
        <v>%</v>
      </c>
      <c r="J347" s="929">
        <f>'matrik MISI 2'!P58</f>
        <v>60</v>
      </c>
      <c r="K347" s="929">
        <f>'matrik MISI 2'!Q58</f>
        <v>60</v>
      </c>
      <c r="L347" s="929">
        <f>'matrik MISI 2'!R58</f>
        <v>70</v>
      </c>
      <c r="M347" s="961"/>
      <c r="N347" s="929">
        <f>'matrik MISI 2'!S58</f>
        <v>70</v>
      </c>
      <c r="O347" s="929"/>
      <c r="P347" s="929">
        <f>'matrik MISI 2'!T58</f>
        <v>75</v>
      </c>
      <c r="Q347" s="929"/>
      <c r="R347" s="929">
        <f>'matrik MISI 2'!U58</f>
        <v>75</v>
      </c>
      <c r="S347" s="929"/>
      <c r="T347" s="929">
        <f>'matrik MISI 2'!V58</f>
        <v>80</v>
      </c>
      <c r="U347" s="929"/>
      <c r="V347" s="929">
        <f>'matrik MISI 2'!W58</f>
        <v>80</v>
      </c>
      <c r="W347" s="929"/>
      <c r="X347" s="929" t="str">
        <f>'matrik MISI 2'!X58</f>
        <v>BKBPP</v>
      </c>
      <c r="Y347" s="164" t="str">
        <f>'matrik MISI 2'!Y58</f>
        <v>Jumlah layanan bimbingan rohani yang diberikan oleh petugas bimbingan rohani terlatih bagi perempuan dan anak korban kekerasan di dalam unit pelayanan terpadu dibagi jumlah perempuan dan anak korban kekerasan yang dilaporkan x 100</v>
      </c>
      <c r="Z347" s="164">
        <f>'matrik MISI 2'!Z58</f>
        <v>0</v>
      </c>
    </row>
    <row r="348" spans="2:26" ht="120">
      <c r="B348" s="940"/>
      <c r="C348" s="941"/>
      <c r="D348" s="940"/>
      <c r="E348" s="940"/>
      <c r="F348" s="940"/>
      <c r="G348" s="940"/>
      <c r="H348" s="164" t="str">
        <f>'matrik MISI 2'!N59</f>
        <v>Cakupan Penegakan Hukum dari Tingkat Penyidikan Sampai dengan Putusan Pengadilan atas Kasus-kasus Kekerasan</v>
      </c>
      <c r="I348" s="164" t="str">
        <f>'matrik MISI 2'!O59</f>
        <v>%</v>
      </c>
      <c r="J348" s="929">
        <f>'matrik MISI 2'!P59</f>
        <v>25</v>
      </c>
      <c r="K348" s="929">
        <f>'matrik MISI 2'!Q59</f>
        <v>25</v>
      </c>
      <c r="L348" s="929">
        <f>'matrik MISI 2'!R59</f>
        <v>25</v>
      </c>
      <c r="M348" s="961"/>
      <c r="N348" s="929">
        <f>'matrik MISI 2'!S59</f>
        <v>25</v>
      </c>
      <c r="O348" s="929"/>
      <c r="P348" s="929">
        <f>'matrik MISI 2'!T59</f>
        <v>25</v>
      </c>
      <c r="Q348" s="929"/>
      <c r="R348" s="929">
        <f>'matrik MISI 2'!U59</f>
        <v>25</v>
      </c>
      <c r="S348" s="929"/>
      <c r="T348" s="929">
        <f>'matrik MISI 2'!V59</f>
        <v>25</v>
      </c>
      <c r="U348" s="929"/>
      <c r="V348" s="929">
        <f>'matrik MISI 2'!W59</f>
        <v>25</v>
      </c>
      <c r="W348" s="929"/>
      <c r="X348" s="929" t="str">
        <f>'matrik MISI 2'!X59</f>
        <v>BKBPP</v>
      </c>
      <c r="Y348" s="164" t="str">
        <f>'matrik MISI 2'!Y59</f>
        <v>Jumlah Penegakan Hukum dari Tingkat Penyidikan Sampai dengan Putusan Pengadilan atas Kasus-kasus Kekerasan dibagi jumlah kasus kekerasan x 100</v>
      </c>
      <c r="Z348" s="164">
        <f>'matrik MISI 2'!Z59</f>
        <v>0</v>
      </c>
    </row>
    <row r="349" spans="2:26" ht="135">
      <c r="B349" s="940"/>
      <c r="C349" s="941"/>
      <c r="D349" s="940"/>
      <c r="E349" s="940"/>
      <c r="F349" s="940"/>
      <c r="G349" s="940"/>
      <c r="H349" s="164" t="str">
        <f>'matrik MISI 2'!N60</f>
        <v>Cakupan Perempuan dan Anak Korban Kekerasan yang Mendapat Layanan Bantuan Hukum</v>
      </c>
      <c r="I349" s="164" t="str">
        <f>'matrik MISI 2'!O60</f>
        <v>%</v>
      </c>
      <c r="J349" s="929">
        <f>'matrik MISI 2'!P60</f>
        <v>90</v>
      </c>
      <c r="K349" s="929">
        <f>'matrik MISI 2'!Q60</f>
        <v>94</v>
      </c>
      <c r="L349" s="929">
        <f>'matrik MISI 2'!R60</f>
        <v>98</v>
      </c>
      <c r="M349" s="961"/>
      <c r="N349" s="929">
        <f>'matrik MISI 2'!S60</f>
        <v>98</v>
      </c>
      <c r="O349" s="929"/>
      <c r="P349" s="929">
        <f>'matrik MISI 2'!T60</f>
        <v>98</v>
      </c>
      <c r="Q349" s="929"/>
      <c r="R349" s="929">
        <f>'matrik MISI 2'!U60</f>
        <v>98</v>
      </c>
      <c r="S349" s="929"/>
      <c r="T349" s="929">
        <f>'matrik MISI 2'!V60</f>
        <v>98</v>
      </c>
      <c r="U349" s="929"/>
      <c r="V349" s="929">
        <f>'matrik MISI 2'!W60</f>
        <v>98</v>
      </c>
      <c r="W349" s="929"/>
      <c r="X349" s="929" t="str">
        <f>'matrik MISI 2'!X60</f>
        <v>BKBPP</v>
      </c>
      <c r="Y349" s="164" t="str">
        <f>'matrik MISI 2'!Y60</f>
        <v>Jumlah Perempuan dan Anak Korban Kekerasan yang Mendapat Layanan Bantuan Hukum dibagi jumlah perempuan dan anak korban kekerasan x 100</v>
      </c>
      <c r="Z349" s="164">
        <f>'matrik MISI 2'!Z60</f>
        <v>0</v>
      </c>
    </row>
    <row r="350" spans="2:26" ht="120">
      <c r="B350" s="940"/>
      <c r="C350" s="941"/>
      <c r="D350" s="940"/>
      <c r="E350" s="940"/>
      <c r="F350" s="940"/>
      <c r="G350" s="940"/>
      <c r="H350" s="164" t="str">
        <f>'matrik MISI 2'!N61</f>
        <v xml:space="preserve">Cakupan Layanan Pemulangan bagi Perempuan dan Anak Korban Kekerasan </v>
      </c>
      <c r="I350" s="164" t="str">
        <f>'matrik MISI 2'!O61</f>
        <v>%</v>
      </c>
      <c r="J350" s="929">
        <f>'matrik MISI 2'!P61</f>
        <v>80</v>
      </c>
      <c r="K350" s="929">
        <f>'matrik MISI 2'!Q61</f>
        <v>80</v>
      </c>
      <c r="L350" s="929">
        <f>'matrik MISI 2'!R61</f>
        <v>84</v>
      </c>
      <c r="M350" s="961"/>
      <c r="N350" s="929">
        <f>'matrik MISI 2'!S61</f>
        <v>84</v>
      </c>
      <c r="O350" s="929"/>
      <c r="P350" s="929">
        <f>'matrik MISI 2'!T61</f>
        <v>86</v>
      </c>
      <c r="Q350" s="929"/>
      <c r="R350" s="929">
        <f>'matrik MISI 2'!U61</f>
        <v>86</v>
      </c>
      <c r="S350" s="929"/>
      <c r="T350" s="929">
        <f>'matrik MISI 2'!V61</f>
        <v>86</v>
      </c>
      <c r="U350" s="929"/>
      <c r="V350" s="929">
        <f>'matrik MISI 2'!W61</f>
        <v>86</v>
      </c>
      <c r="W350" s="929"/>
      <c r="X350" s="929" t="str">
        <f>'matrik MISI 2'!X61</f>
        <v>BKBPP</v>
      </c>
      <c r="Y350" s="164" t="str">
        <f>'matrik MISI 2'!Y61</f>
        <v>Jumlah Layanan Pemulangan bagi Perempuan dan Anak Korban Kekerasan dibagi jumlah perempuan dan anak korban kekerasan 1 100</v>
      </c>
      <c r="Z350" s="164">
        <f>'matrik MISI 2'!Z61</f>
        <v>0</v>
      </c>
    </row>
    <row r="351" spans="2:26" ht="120">
      <c r="B351" s="940"/>
      <c r="C351" s="941"/>
      <c r="D351" s="940"/>
      <c r="E351" s="940"/>
      <c r="F351" s="940"/>
      <c r="G351" s="940"/>
      <c r="H351" s="164" t="str">
        <f>'matrik MISI 2'!N62</f>
        <v>Cakupan Layanan Reintegrasi Sosial bagi Perempuan dan Anak Korban Kekerasan</v>
      </c>
      <c r="I351" s="164" t="str">
        <f>'matrik MISI 2'!O62</f>
        <v>%</v>
      </c>
      <c r="J351" s="929">
        <f>'matrik MISI 2'!P62</f>
        <v>40</v>
      </c>
      <c r="K351" s="929">
        <f>'matrik MISI 2'!Q62</f>
        <v>40</v>
      </c>
      <c r="L351" s="929">
        <f>'matrik MISI 2'!R62</f>
        <v>50</v>
      </c>
      <c r="M351" s="961"/>
      <c r="N351" s="929">
        <f>'matrik MISI 2'!S62</f>
        <v>50</v>
      </c>
      <c r="O351" s="929"/>
      <c r="P351" s="929">
        <f>'matrik MISI 2'!T62</f>
        <v>50</v>
      </c>
      <c r="Q351" s="929"/>
      <c r="R351" s="929">
        <f>'matrik MISI 2'!U62</f>
        <v>50</v>
      </c>
      <c r="S351" s="929"/>
      <c r="T351" s="929">
        <f>'matrik MISI 2'!V62</f>
        <v>50</v>
      </c>
      <c r="U351" s="929"/>
      <c r="V351" s="929">
        <f>'matrik MISI 2'!W62</f>
        <v>50</v>
      </c>
      <c r="W351" s="929"/>
      <c r="X351" s="929" t="str">
        <f>'matrik MISI 2'!X62</f>
        <v>BKBPP</v>
      </c>
      <c r="Y351" s="164" t="str">
        <f>'matrik MISI 2'!Y62</f>
        <v>Jumlah Layanan Reintegrasi Sosial bagi Perempuan dan Anak Korban Kekerasan dibagi jumlah perempuan dan anak korban kekerasan x 100</v>
      </c>
      <c r="Z351" s="164">
        <f>'matrik MISI 2'!Z62</f>
        <v>0</v>
      </c>
    </row>
    <row r="352" spans="2:26" ht="90">
      <c r="B352" s="940"/>
      <c r="C352" s="941"/>
      <c r="D352" s="940"/>
      <c r="E352" s="940"/>
      <c r="F352" s="940"/>
      <c r="G352" s="940"/>
      <c r="H352" s="164" t="str">
        <f>'matrik MISI 2'!N63</f>
        <v>Rasio Kekerasan dalam rumah tangga</v>
      </c>
      <c r="I352" s="164" t="str">
        <f>'matrik MISI 2'!O63</f>
        <v>Rasio</v>
      </c>
      <c r="J352" s="929" t="str">
        <f>'matrik MISI 2'!P63</f>
        <v>1 : 2182</v>
      </c>
      <c r="K352" s="929" t="str">
        <f>'matrik MISI 2'!Q63</f>
        <v>1 : 2401</v>
      </c>
      <c r="L352" s="929" t="str">
        <f>'matrik MISI 2'!R63</f>
        <v>1 : 2401</v>
      </c>
      <c r="M352" s="961"/>
      <c r="N352" s="929" t="str">
        <f>'matrik MISI 2'!S63</f>
        <v>1 : 2500</v>
      </c>
      <c r="O352" s="929"/>
      <c r="P352" s="929" t="str">
        <f>'matrik MISI 2'!T63</f>
        <v>1 : 2500</v>
      </c>
      <c r="Q352" s="929"/>
      <c r="R352" s="929" t="str">
        <f>'matrik MISI 2'!U63</f>
        <v>1 : 2600</v>
      </c>
      <c r="S352" s="929"/>
      <c r="T352" s="929" t="str">
        <f>'matrik MISI 2'!V63</f>
        <v>1 : 2600</v>
      </c>
      <c r="U352" s="929"/>
      <c r="V352" s="929" t="str">
        <f>'matrik MISI 2'!W63</f>
        <v>1 : 2600</v>
      </c>
      <c r="W352" s="929"/>
      <c r="X352" s="929" t="str">
        <f>'matrik MISI 2'!X63</f>
        <v>BKBPP</v>
      </c>
      <c r="Y352" s="164" t="str">
        <f>'matrik MISI 2'!Y63</f>
        <v>jumlah kasus Kekerasan Dalam Rumah Tangga yang dilaporkan dibagi jumlah Rumah Tangga x 100</v>
      </c>
      <c r="Z352" s="164">
        <f>'matrik MISI 2'!Z63</f>
        <v>0</v>
      </c>
    </row>
    <row r="353" spans="2:26" ht="60" hidden="1">
      <c r="B353" s="940"/>
      <c r="C353" s="941"/>
      <c r="D353" s="940">
        <f>'matrik MISI 2'!J64</f>
        <v>1.1100000000000001</v>
      </c>
      <c r="E353" s="940" t="str">
        <f>'matrik MISI 2'!K64</f>
        <v>xx</v>
      </c>
      <c r="F353" s="940">
        <f>'matrik MISI 2'!L64</f>
        <v>16</v>
      </c>
      <c r="G353" s="940" t="str">
        <f>'matrik MISI 2'!M64</f>
        <v>Program Penguatan Kelembagaan Pengarustamaan Gender dan Anak</v>
      </c>
      <c r="H353" s="164"/>
      <c r="I353" s="164"/>
      <c r="J353" s="929"/>
      <c r="K353" s="929"/>
      <c r="L353" s="929"/>
      <c r="M353" s="961">
        <f>'jangan di hapus 1'!K679</f>
        <v>98456850</v>
      </c>
      <c r="N353" s="961"/>
      <c r="O353" s="961">
        <f>'jangan di hapus 1'!M679</f>
        <v>210000000</v>
      </c>
      <c r="P353" s="961"/>
      <c r="Q353" s="961">
        <f>'jangan di hapus 1'!O679</f>
        <v>231000000</v>
      </c>
      <c r="R353" s="961"/>
      <c r="S353" s="961">
        <f>'jangan di hapus 1'!Q679</f>
        <v>254100000</v>
      </c>
      <c r="T353" s="961"/>
      <c r="U353" s="961">
        <f>'jangan di hapus 1'!S679</f>
        <v>279510000</v>
      </c>
      <c r="V353" s="929"/>
      <c r="W353" s="961">
        <f>SUM(M353:U353)</f>
        <v>1073066850</v>
      </c>
      <c r="X353" s="929"/>
      <c r="Y353" s="164"/>
      <c r="Z353" s="164"/>
    </row>
    <row r="354" spans="2:26" ht="135">
      <c r="B354" s="940"/>
      <c r="C354" s="941"/>
      <c r="D354" s="939"/>
      <c r="E354" s="939"/>
      <c r="F354" s="939"/>
      <c r="G354" s="939"/>
      <c r="H354" s="164" t="str">
        <f>'matrik MISI 2'!N64</f>
        <v>Meningkatnya Implementasi Anggaran Responsif Gender</v>
      </c>
      <c r="I354" s="164" t="str">
        <f>'matrik MISI 2'!O64</f>
        <v>%</v>
      </c>
      <c r="J354" s="929" t="str">
        <f>'matrik MISI 2'!P64</f>
        <v>4,2</v>
      </c>
      <c r="K354" s="929" t="str">
        <f>'matrik MISI 2'!Q64</f>
        <v>29,2</v>
      </c>
      <c r="L354" s="929">
        <f>'matrik MISI 2'!R64</f>
        <v>30</v>
      </c>
      <c r="M354" s="961"/>
      <c r="N354" s="929">
        <f>'matrik MISI 2'!S64</f>
        <v>40</v>
      </c>
      <c r="O354" s="929"/>
      <c r="P354" s="929">
        <f>'matrik MISI 2'!T64</f>
        <v>50</v>
      </c>
      <c r="Q354" s="929"/>
      <c r="R354" s="929">
        <f>'matrik MISI 2'!U64</f>
        <v>60</v>
      </c>
      <c r="S354" s="929"/>
      <c r="T354" s="929">
        <f>'matrik MISI 2'!V64</f>
        <v>70</v>
      </c>
      <c r="U354" s="929"/>
      <c r="V354" s="929">
        <f>'matrik MISI 2'!W64</f>
        <v>70</v>
      </c>
      <c r="W354" s="929"/>
      <c r="X354" s="929" t="str">
        <f>'matrik MISI 2'!X64</f>
        <v>BKBPP</v>
      </c>
      <c r="Y354" s="164" t="str">
        <f>'matrik MISI 2'!Y64</f>
        <v>Jumlah Daftar Pelaksanaan Anggaran (DPA) SKPD yang sudah dilampiri Anggaran Responsif Gender dibagi jumlah kegiatan SKPD yang diusulkan ber-ARG x 100</v>
      </c>
      <c r="Z354" s="164">
        <f>'matrik MISI 2'!Z64</f>
        <v>0</v>
      </c>
    </row>
    <row r="355" spans="2:26" ht="105">
      <c r="B355" s="940"/>
      <c r="C355" s="941"/>
      <c r="D355" s="940"/>
      <c r="E355" s="940"/>
      <c r="F355" s="940"/>
      <c r="G355" s="940"/>
      <c r="H355" s="164" t="str">
        <f>'matrik MISI 2'!N66</f>
        <v>Cakupan Pencapaian Indikator Klaster Hak Sipil dan Kebebasan</v>
      </c>
      <c r="I355" s="164" t="str">
        <f>'matrik MISI 2'!O66</f>
        <v>%</v>
      </c>
      <c r="J355" s="929">
        <f>'matrik MISI 2'!P66</f>
        <v>60</v>
      </c>
      <c r="K355" s="929">
        <f>'matrik MISI 2'!Q66</f>
        <v>66</v>
      </c>
      <c r="L355" s="929">
        <f>'matrik MISI 2'!R66</f>
        <v>70</v>
      </c>
      <c r="M355" s="961"/>
      <c r="N355" s="929">
        <f>'matrik MISI 2'!S66</f>
        <v>75</v>
      </c>
      <c r="O355" s="929"/>
      <c r="P355" s="929">
        <f>'matrik MISI 2'!T66</f>
        <v>80</v>
      </c>
      <c r="Q355" s="929"/>
      <c r="R355" s="929">
        <f>'matrik MISI 2'!U66</f>
        <v>85</v>
      </c>
      <c r="S355" s="929"/>
      <c r="T355" s="929">
        <f>'matrik MISI 2'!V66</f>
        <v>90</v>
      </c>
      <c r="U355" s="929"/>
      <c r="V355" s="929">
        <f>'matrik MISI 2'!W66</f>
        <v>95</v>
      </c>
      <c r="W355" s="929"/>
      <c r="X355" s="929" t="str">
        <f>'matrik MISI 2'!X66</f>
        <v>BKBPP</v>
      </c>
      <c r="Y355" s="164" t="str">
        <f>'matrik MISI 2'!Y66</f>
        <v>Jumlah Indikator Klaster Hak Sipil dan Kebebasan yang tercapai dibagi jumlah indikator klaster hak sipil kali 100</v>
      </c>
      <c r="Z355" s="164">
        <f>'matrik MISI 2'!Z66</f>
        <v>0</v>
      </c>
    </row>
    <row r="356" spans="2:26" ht="165">
      <c r="B356" s="940"/>
      <c r="C356" s="941"/>
      <c r="D356" s="940"/>
      <c r="E356" s="940"/>
      <c r="F356" s="940"/>
      <c r="G356" s="940"/>
      <c r="H356" s="164" t="str">
        <f>'matrik MISI 2'!N67</f>
        <v>Cakupan Pencapaian Indikator Klaster Lingkungan Keluarga dan Pengasuhan Alternatif</v>
      </c>
      <c r="I356" s="164" t="str">
        <f>'matrik MISI 2'!O67</f>
        <v>%</v>
      </c>
      <c r="J356" s="929">
        <f>'matrik MISI 2'!P67</f>
        <v>60</v>
      </c>
      <c r="K356" s="929">
        <f>'matrik MISI 2'!Q67</f>
        <v>60</v>
      </c>
      <c r="L356" s="929">
        <f>'matrik MISI 2'!R67</f>
        <v>70</v>
      </c>
      <c r="M356" s="961"/>
      <c r="N356" s="929">
        <f>'matrik MISI 2'!S67</f>
        <v>70</v>
      </c>
      <c r="O356" s="929"/>
      <c r="P356" s="929">
        <f>'matrik MISI 2'!T67</f>
        <v>75</v>
      </c>
      <c r="Q356" s="929"/>
      <c r="R356" s="929">
        <f>'matrik MISI 2'!U67</f>
        <v>75</v>
      </c>
      <c r="S356" s="929"/>
      <c r="T356" s="929">
        <f>'matrik MISI 2'!V67</f>
        <v>80</v>
      </c>
      <c r="U356" s="929"/>
      <c r="V356" s="929">
        <f>'matrik MISI 2'!W67</f>
        <v>80</v>
      </c>
      <c r="W356" s="929"/>
      <c r="X356" s="929" t="str">
        <f>'matrik MISI 2'!X67</f>
        <v>BKBPP</v>
      </c>
      <c r="Y356" s="164" t="str">
        <f>'matrik MISI 2'!Y67</f>
        <v>Jumlah Indikator Klaster Lingkungan Keluarga dan Pengasuhan Alternatif yang tercapai dibagi jumlah Indikator Klaster Lingkungan Keluarga dan Pengasuhan Alternatif x 100</v>
      </c>
      <c r="Z356" s="164">
        <f>'matrik MISI 2'!Z67</f>
        <v>0</v>
      </c>
    </row>
    <row r="357" spans="2:26" ht="105">
      <c r="B357" s="940"/>
      <c r="C357" s="941"/>
      <c r="D357" s="940"/>
      <c r="E357" s="940"/>
      <c r="F357" s="940"/>
      <c r="G357" s="940"/>
      <c r="H357" s="164" t="str">
        <f>'matrik MISI 2'!N68</f>
        <v>Cakupan Pencapaian Indikator Klaster Kesehatan Dasar</v>
      </c>
      <c r="I357" s="164" t="str">
        <f>'matrik MISI 2'!O68</f>
        <v>%</v>
      </c>
      <c r="J357" s="929">
        <f>'matrik MISI 2'!P68</f>
        <v>60</v>
      </c>
      <c r="K357" s="929">
        <f>'matrik MISI 2'!Q68</f>
        <v>60</v>
      </c>
      <c r="L357" s="929">
        <f>'matrik MISI 2'!R68</f>
        <v>70</v>
      </c>
      <c r="M357" s="961"/>
      <c r="N357" s="929">
        <f>'matrik MISI 2'!S68</f>
        <v>70</v>
      </c>
      <c r="O357" s="929"/>
      <c r="P357" s="929">
        <f>'matrik MISI 2'!T68</f>
        <v>75</v>
      </c>
      <c r="Q357" s="929"/>
      <c r="R357" s="929">
        <f>'matrik MISI 2'!U68</f>
        <v>75</v>
      </c>
      <c r="S357" s="929"/>
      <c r="T357" s="929">
        <f>'matrik MISI 2'!V68</f>
        <v>80</v>
      </c>
      <c r="U357" s="929"/>
      <c r="V357" s="929">
        <f>'matrik MISI 2'!W68</f>
        <v>80</v>
      </c>
      <c r="W357" s="929"/>
      <c r="X357" s="929" t="str">
        <f>'matrik MISI 2'!X68</f>
        <v>BKBPP</v>
      </c>
      <c r="Y357" s="164" t="str">
        <f>'matrik MISI 2'!Y68</f>
        <v>Jumlah Indikator Klaster Kesehatan Dasar yang tercapai dibagi jumlah indikator klaster kesehatan dasar kali 100</v>
      </c>
      <c r="Z357" s="164">
        <f>'matrik MISI 2'!Z68</f>
        <v>0</v>
      </c>
    </row>
    <row r="358" spans="2:26" ht="165">
      <c r="B358" s="940"/>
      <c r="C358" s="941"/>
      <c r="D358" s="940"/>
      <c r="E358" s="940"/>
      <c r="F358" s="940"/>
      <c r="G358" s="940"/>
      <c r="H358" s="164" t="str">
        <f>'matrik MISI 2'!N69</f>
        <v>Cakupan Pencapaian Indikator Klaster Pendidikan, Pemanfaatan Waktu Luang dan Kegiatan Budaya</v>
      </c>
      <c r="I358" s="164" t="str">
        <f>'matrik MISI 2'!O69</f>
        <v>%</v>
      </c>
      <c r="J358" s="929">
        <f>'matrik MISI 2'!P69</f>
        <v>70</v>
      </c>
      <c r="K358" s="929">
        <f>'matrik MISI 2'!Q69</f>
        <v>70</v>
      </c>
      <c r="L358" s="929">
        <f>'matrik MISI 2'!R69</f>
        <v>75</v>
      </c>
      <c r="M358" s="961"/>
      <c r="N358" s="929">
        <f>'matrik MISI 2'!S69</f>
        <v>75</v>
      </c>
      <c r="O358" s="929"/>
      <c r="P358" s="929">
        <f>'matrik MISI 2'!T69</f>
        <v>80</v>
      </c>
      <c r="Q358" s="929"/>
      <c r="R358" s="929">
        <f>'matrik MISI 2'!U69</f>
        <v>80</v>
      </c>
      <c r="S358" s="929"/>
      <c r="T358" s="929">
        <f>'matrik MISI 2'!V69</f>
        <v>85</v>
      </c>
      <c r="U358" s="929"/>
      <c r="V358" s="929">
        <f>'matrik MISI 2'!W69</f>
        <v>85</v>
      </c>
      <c r="W358" s="929"/>
      <c r="X358" s="929" t="str">
        <f>'matrik MISI 2'!X69</f>
        <v>BKBPP</v>
      </c>
      <c r="Y358" s="164" t="str">
        <f>'matrik MISI 2'!Y69</f>
        <v>Jumlah Indikator Klaster Pendidikan, Pemanfaatan Waktu Luang dan Kegiatan Budaya yang tercapai dibagi jumlah indikator Klaster Pendidikan, Pemanfaatan Waktu Luang dan Kegiatan Budaya kali 100</v>
      </c>
      <c r="Z358" s="164">
        <f>'matrik MISI 2'!Z69</f>
        <v>0</v>
      </c>
    </row>
    <row r="359" spans="2:26" ht="105">
      <c r="B359" s="940"/>
      <c r="C359" s="941"/>
      <c r="D359" s="940"/>
      <c r="E359" s="940"/>
      <c r="F359" s="940"/>
      <c r="G359" s="940"/>
      <c r="H359" s="164" t="str">
        <f>'matrik MISI 2'!N70</f>
        <v>Cakupan Pencapaian Indikator Kluster Perlindungan Khusus</v>
      </c>
      <c r="I359" s="164" t="str">
        <f>'matrik MISI 2'!O70</f>
        <v>%</v>
      </c>
      <c r="J359" s="929">
        <f>'matrik MISI 2'!P70</f>
        <v>55</v>
      </c>
      <c r="K359" s="929">
        <f>'matrik MISI 2'!Q70</f>
        <v>55</v>
      </c>
      <c r="L359" s="929">
        <f>'matrik MISI 2'!R70</f>
        <v>60</v>
      </c>
      <c r="M359" s="961"/>
      <c r="N359" s="929">
        <f>'matrik MISI 2'!S70</f>
        <v>60</v>
      </c>
      <c r="O359" s="929"/>
      <c r="P359" s="929">
        <f>'matrik MISI 2'!T70</f>
        <v>65</v>
      </c>
      <c r="Q359" s="929"/>
      <c r="R359" s="929">
        <f>'matrik MISI 2'!U70</f>
        <v>65</v>
      </c>
      <c r="S359" s="929"/>
      <c r="T359" s="929">
        <f>'matrik MISI 2'!V70</f>
        <v>70</v>
      </c>
      <c r="U359" s="929"/>
      <c r="V359" s="929">
        <f>'matrik MISI 2'!W70</f>
        <v>70</v>
      </c>
      <c r="W359" s="929"/>
      <c r="X359" s="929" t="str">
        <f>'matrik MISI 2'!X70</f>
        <v>BKBPP</v>
      </c>
      <c r="Y359" s="164" t="str">
        <f>'matrik MISI 2'!Y70</f>
        <v>Jumlah Indikator Kluster Perlindungan Khusus yang tercapai dibagi jumlah indikator kluster perlindungan khusus kali 100</v>
      </c>
      <c r="Z359" s="164">
        <f>'matrik MISI 2'!Z70</f>
        <v>0</v>
      </c>
    </row>
    <row r="360" spans="2:26" ht="30">
      <c r="B360" s="949">
        <v>12</v>
      </c>
      <c r="C360" s="948" t="str">
        <f>'matrik MISI 5'!B73</f>
        <v>KELUARGA BERENCANA</v>
      </c>
      <c r="D360" s="949">
        <f>'matrik MISI 5'!J74</f>
        <v>1.1200000000000001</v>
      </c>
      <c r="E360" s="949" t="str">
        <f>'matrik MISI 5'!K74</f>
        <v>xx</v>
      </c>
      <c r="F360" s="949">
        <f>'matrik MISI 5'!L74</f>
        <v>28</v>
      </c>
      <c r="G360" s="949" t="str">
        <f>'matrik MISI 5'!M74</f>
        <v>Program Pembinaan Kesejahteraan Keluarga</v>
      </c>
      <c r="H360" s="164"/>
      <c r="I360" s="164"/>
      <c r="J360" s="929"/>
      <c r="K360" s="929"/>
      <c r="L360" s="929"/>
      <c r="M360" s="961">
        <f>'jangan di hapus 1'!K709</f>
        <v>64999000</v>
      </c>
      <c r="N360" s="961"/>
      <c r="O360" s="961">
        <f>'jangan di hapus 1'!M709</f>
        <v>95000000</v>
      </c>
      <c r="P360" s="961"/>
      <c r="Q360" s="961">
        <f>'jangan di hapus 1'!O709</f>
        <v>111500000</v>
      </c>
      <c r="R360" s="961"/>
      <c r="S360" s="961">
        <f>'jangan di hapus 1'!Q709</f>
        <v>131050000</v>
      </c>
      <c r="T360" s="961"/>
      <c r="U360" s="961">
        <f>'jangan di hapus 1'!S709</f>
        <v>154235000</v>
      </c>
      <c r="V360" s="929"/>
      <c r="W360" s="961">
        <f>SUM(M360:U360)</f>
        <v>556784000</v>
      </c>
      <c r="X360" s="929"/>
      <c r="Y360" s="1016"/>
      <c r="Z360" s="1016"/>
    </row>
    <row r="361" spans="2:26" ht="30">
      <c r="B361" s="939"/>
      <c r="C361" s="939"/>
      <c r="D361" s="939"/>
      <c r="E361" s="939"/>
      <c r="F361" s="939"/>
      <c r="G361" s="939"/>
      <c r="H361" s="164" t="str">
        <f>'matrik MISI 5'!N74</f>
        <v>Meningkatnya kualias kesejahteraan keluarga</v>
      </c>
      <c r="I361" s="164"/>
      <c r="J361" s="929"/>
      <c r="K361" s="929"/>
      <c r="L361" s="929"/>
      <c r="M361" s="961"/>
      <c r="N361" s="929"/>
      <c r="O361" s="929"/>
      <c r="P361" s="929"/>
      <c r="Q361" s="929"/>
      <c r="R361" s="929"/>
      <c r="S361" s="929"/>
      <c r="T361" s="929"/>
      <c r="U361" s="929"/>
      <c r="V361" s="929"/>
      <c r="W361" s="929"/>
      <c r="X361" s="929"/>
      <c r="Y361" s="164"/>
      <c r="Z361" s="164"/>
    </row>
    <row r="362" spans="2:26" ht="180">
      <c r="B362" s="940"/>
      <c r="C362" s="941"/>
      <c r="D362" s="940"/>
      <c r="E362" s="940"/>
      <c r="F362" s="940"/>
      <c r="G362" s="940"/>
      <c r="H362" s="164" t="str">
        <f>'matrik MISI 5'!N75</f>
        <v>a. Keluarga Pra Sejahtera</v>
      </c>
      <c r="I362" s="164" t="str">
        <f>'matrik MISI 5'!O75</f>
        <v>%</v>
      </c>
      <c r="J362" s="929" t="str">
        <f>'matrik MISI 5'!P75</f>
        <v>22,86</v>
      </c>
      <c r="K362" s="929" t="str">
        <f>'matrik MISI 5'!Q75</f>
        <v>21,32</v>
      </c>
      <c r="L362" s="929" t="str">
        <f>'matrik MISI 5'!R75</f>
        <v>21,32</v>
      </c>
      <c r="M362" s="961"/>
      <c r="N362" s="929" t="str">
        <f>'matrik MISI 5'!S75</f>
        <v>20,58</v>
      </c>
      <c r="O362" s="929"/>
      <c r="P362" s="929" t="str">
        <f>'matrik MISI 5'!T75</f>
        <v>20,48</v>
      </c>
      <c r="Q362" s="929"/>
      <c r="R362" s="929" t="str">
        <f>'matrik MISI 5'!U75</f>
        <v>20,26</v>
      </c>
      <c r="S362" s="929"/>
      <c r="T362" s="929" t="str">
        <f>'matrik MISI 5'!V75</f>
        <v>20,22</v>
      </c>
      <c r="U362" s="929"/>
      <c r="V362" s="929" t="str">
        <f>'matrik MISI 5'!W75</f>
        <v>20,22</v>
      </c>
      <c r="W362" s="929"/>
      <c r="X362" s="929" t="str">
        <f>'matrik MISI 5'!X75</f>
        <v>BKBPP</v>
      </c>
      <c r="Y362" s="164" t="str">
        <f>'matrik MISI 5'!Y75</f>
        <v>Jumlah keluarga pra sejahtera dibagi jumlah seluruh keluarga kali 100</v>
      </c>
      <c r="Z362" s="164" t="str">
        <f>'matrik MISI 5'!Z75</f>
        <v>keluarga yang belum dapat memenuhi salah satu atau lebih dari 5 kebutuhan dasarnya (basic needs) Sebagai keluarga Sejahtera I, seperti kebutuhan akan pengajaran agama, pangan, papan, sandang dan kesehatan.</v>
      </c>
    </row>
    <row r="363" spans="2:26" ht="409.5">
      <c r="B363" s="940"/>
      <c r="C363" s="941"/>
      <c r="D363" s="940"/>
      <c r="E363" s="940"/>
      <c r="F363" s="940"/>
      <c r="G363" s="940"/>
      <c r="H363" s="164" t="str">
        <f>'matrik MISI 5'!N76</f>
        <v>b. Keluarga Sejahtera I</v>
      </c>
      <c r="I363" s="164" t="str">
        <f>'matrik MISI 5'!O76</f>
        <v>%</v>
      </c>
      <c r="J363" s="929" t="str">
        <f>'matrik MISI 5'!P76</f>
        <v>11,3</v>
      </c>
      <c r="K363" s="929" t="str">
        <f>'matrik MISI 5'!Q76</f>
        <v>8,05</v>
      </c>
      <c r="L363" s="929" t="str">
        <f>'matrik MISI 5'!R76</f>
        <v>8,05</v>
      </c>
      <c r="M363" s="961"/>
      <c r="N363" s="929" t="str">
        <f>'matrik MISI 5'!S76</f>
        <v>7,87</v>
      </c>
      <c r="O363" s="929"/>
      <c r="P363" s="929" t="str">
        <f>'matrik MISI 5'!T76</f>
        <v>7,15</v>
      </c>
      <c r="Q363" s="929"/>
      <c r="R363" s="929" t="str">
        <f>'matrik MISI 5'!U76</f>
        <v>7,24</v>
      </c>
      <c r="S363" s="929"/>
      <c r="T363" s="929" t="str">
        <f>'matrik MISI 5'!V76</f>
        <v>7,23</v>
      </c>
      <c r="U363" s="929"/>
      <c r="V363" s="929" t="str">
        <f>'matrik MISI 5'!W76</f>
        <v>7,23</v>
      </c>
      <c r="W363" s="929"/>
      <c r="X363" s="929" t="str">
        <f>'matrik MISI 5'!X76</f>
        <v>BKBPP</v>
      </c>
      <c r="Y363" s="164" t="str">
        <f>'matrik MISI 5'!Y76</f>
        <v>Jumlah keluarga sejahtera I dibagi jumlah seluruh keluarga kali 100</v>
      </c>
      <c r="Z363" s="164"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64" spans="2:26" ht="409.5">
      <c r="B364" s="940"/>
      <c r="C364" s="941"/>
      <c r="D364" s="940"/>
      <c r="E364" s="940"/>
      <c r="F364" s="940"/>
      <c r="G364" s="940"/>
      <c r="H364" s="164" t="str">
        <f>'matrik MISI 5'!N77</f>
        <v>c. Keluarga Sejahtera II</v>
      </c>
      <c r="I364" s="164" t="str">
        <f>'matrik MISI 5'!O77</f>
        <v>%</v>
      </c>
      <c r="J364" s="929" t="str">
        <f>'matrik MISI 5'!P77</f>
        <v>17,33</v>
      </c>
      <c r="K364" s="929" t="str">
        <f>'matrik MISI 5'!Q77</f>
        <v>21,81</v>
      </c>
      <c r="L364" s="929" t="str">
        <f>'matrik MISI 5'!R77</f>
        <v>21,81</v>
      </c>
      <c r="M364" s="961"/>
      <c r="N364" s="929" t="str">
        <f>'matrik MISI 5'!S77</f>
        <v>22,01</v>
      </c>
      <c r="O364" s="929"/>
      <c r="P364" s="929" t="str">
        <f>'matrik MISI 5'!T77</f>
        <v>23,16</v>
      </c>
      <c r="Q364" s="929"/>
      <c r="R364" s="929" t="str">
        <f>'matrik MISI 5'!U77</f>
        <v>23,17</v>
      </c>
      <c r="S364" s="929"/>
      <c r="T364" s="929" t="str">
        <f>'matrik MISI 5'!V77</f>
        <v>23,19</v>
      </c>
      <c r="U364" s="929"/>
      <c r="V364" s="929" t="str">
        <f>'matrik MISI 5'!W77</f>
        <v>23,19</v>
      </c>
      <c r="W364" s="929"/>
      <c r="X364" s="929" t="str">
        <f>'matrik MISI 5'!X77</f>
        <v>BKBPP</v>
      </c>
      <c r="Y364" s="164" t="str">
        <f>'matrik MISI 5'!Y77</f>
        <v>Jumlah keluarga sejahtera II dibagi jumlah seluruh keluarga kali 100</v>
      </c>
      <c r="Z364" s="164"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65" spans="2:26" ht="409.5">
      <c r="B365" s="940"/>
      <c r="C365" s="941"/>
      <c r="D365" s="940"/>
      <c r="E365" s="940"/>
      <c r="F365" s="940"/>
      <c r="G365" s="940"/>
      <c r="H365" s="164" t="str">
        <f>'matrik MISI 5'!N78</f>
        <v>d. Keluarga Sejahtera III</v>
      </c>
      <c r="I365" s="164" t="str">
        <f>'matrik MISI 5'!O78</f>
        <v>%</v>
      </c>
      <c r="J365" s="929" t="str">
        <f>'matrik MISI 5'!P78</f>
        <v>45,38</v>
      </c>
      <c r="K365" s="929" t="str">
        <f>'matrik MISI 5'!Q78</f>
        <v>45,57</v>
      </c>
      <c r="L365" s="929" t="str">
        <f>'matrik MISI 5'!R78</f>
        <v>45,57</v>
      </c>
      <c r="M365" s="961"/>
      <c r="N365" s="929" t="str">
        <f>'matrik MISI 5'!S78</f>
        <v>44,93</v>
      </c>
      <c r="O365" s="929"/>
      <c r="P365" s="929" t="str">
        <f>'matrik MISI 5'!T78</f>
        <v>45,23</v>
      </c>
      <c r="Q365" s="929"/>
      <c r="R365" s="929" t="str">
        <f>'matrik MISI 5'!U78</f>
        <v>45,21</v>
      </c>
      <c r="S365" s="929"/>
      <c r="T365" s="929" t="str">
        <f>'matrik MISI 5'!V78</f>
        <v>45,22</v>
      </c>
      <c r="U365" s="929"/>
      <c r="V365" s="929" t="str">
        <f>'matrik MISI 5'!W78</f>
        <v>45,22</v>
      </c>
      <c r="W365" s="929"/>
      <c r="X365" s="929" t="str">
        <f>'matrik MISI 5'!X78</f>
        <v>BKBPP</v>
      </c>
      <c r="Y365" s="164" t="str">
        <f>'matrik MISI 5'!Y78</f>
        <v>Jumlah keluarga sejahtera III dibagi jumlah seluruh keluarga kali 100</v>
      </c>
      <c r="Z365" s="164"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66" spans="2:26" ht="375">
      <c r="B366" s="940"/>
      <c r="C366" s="941"/>
      <c r="D366" s="940"/>
      <c r="E366" s="940"/>
      <c r="F366" s="940"/>
      <c r="G366" s="940"/>
      <c r="H366" s="164" t="str">
        <f>'matrik MISI 5'!N79</f>
        <v>e. Keluarga Sejahtera III plus</v>
      </c>
      <c r="I366" s="164" t="str">
        <f>'matrik MISI 5'!O79</f>
        <v>%</v>
      </c>
      <c r="J366" s="929" t="str">
        <f>'matrik MISI 5'!P79</f>
        <v>3,11</v>
      </c>
      <c r="K366" s="929" t="str">
        <f>'matrik MISI 5'!Q79</f>
        <v>3,23</v>
      </c>
      <c r="L366" s="929" t="str">
        <f>'matrik MISI 5'!R79</f>
        <v>3,23</v>
      </c>
      <c r="M366" s="961"/>
      <c r="N366" s="929" t="str">
        <f>'matrik MISI 5'!S79</f>
        <v>3,61</v>
      </c>
      <c r="O366" s="929"/>
      <c r="P366" s="929" t="str">
        <f>'matrik MISI 5'!T79</f>
        <v>3,98</v>
      </c>
      <c r="Q366" s="929"/>
      <c r="R366" s="929" t="str">
        <f>'matrik MISI 5'!U79</f>
        <v>4,12</v>
      </c>
      <c r="S366" s="929"/>
      <c r="T366" s="929" t="str">
        <f>'matrik MISI 5'!V79</f>
        <v>4,14</v>
      </c>
      <c r="U366" s="929"/>
      <c r="V366" s="929" t="str">
        <f>'matrik MISI 5'!W79</f>
        <v>4,14</v>
      </c>
      <c r="W366" s="929"/>
      <c r="X366" s="929" t="str">
        <f>'matrik MISI 5'!X79</f>
        <v>BKBPP</v>
      </c>
      <c r="Y366" s="164" t="str">
        <f>'matrik MISI 5'!Y79</f>
        <v>Jumlah keluarga sejahtera III Plus dibagi jumlah seluruh keluarga kali 100</v>
      </c>
      <c r="Z366" s="164"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7" spans="2:26" ht="75">
      <c r="B367" s="940"/>
      <c r="C367" s="941"/>
      <c r="D367" s="940"/>
      <c r="E367" s="940"/>
      <c r="F367" s="940"/>
      <c r="G367" s="940"/>
      <c r="H367" s="164" t="str">
        <f>'matrik MISI 5'!N80</f>
        <v>Cakupan penyediaan informasi data mikro keluarga di setiap desa/kelurahan setiap tahun</v>
      </c>
      <c r="I367" s="164" t="str">
        <f>'matrik MISI 5'!O80</f>
        <v>%</v>
      </c>
      <c r="J367" s="929">
        <f>'matrik MISI 5'!P80</f>
        <v>100</v>
      </c>
      <c r="K367" s="929">
        <f>'matrik MISI 5'!Q80</f>
        <v>100</v>
      </c>
      <c r="L367" s="929">
        <f>'matrik MISI 5'!R80</f>
        <v>100</v>
      </c>
      <c r="M367" s="961"/>
      <c r="N367" s="929">
        <f>'matrik MISI 5'!S80</f>
        <v>100</v>
      </c>
      <c r="O367" s="929"/>
      <c r="P367" s="929">
        <f>'matrik MISI 5'!T80</f>
        <v>100</v>
      </c>
      <c r="Q367" s="929"/>
      <c r="R367" s="929">
        <f>'matrik MISI 5'!U80</f>
        <v>100</v>
      </c>
      <c r="S367" s="929"/>
      <c r="T367" s="929">
        <f>'matrik MISI 5'!V80</f>
        <v>100</v>
      </c>
      <c r="U367" s="929"/>
      <c r="V367" s="929">
        <f>'matrik MISI 5'!W80</f>
        <v>100</v>
      </c>
      <c r="W367" s="929"/>
      <c r="X367" s="929" t="str">
        <f>'matrik MISI 5'!X80</f>
        <v>BKBPP</v>
      </c>
      <c r="Y367" s="164" t="str">
        <f>'matrik MISI 5'!Y80</f>
        <v>Jumlah dokumen data mikro keluarga yang ada dibagi jumlah desa/kelurahan kali 100</v>
      </c>
      <c r="Z367" s="164">
        <f>'matrik MISI 5'!Z80</f>
        <v>0</v>
      </c>
    </row>
    <row r="368" spans="2:26" ht="30" hidden="1">
      <c r="B368" s="940"/>
      <c r="C368" s="941"/>
      <c r="D368" s="940">
        <f>'matrik MISI 5'!J82</f>
        <v>1.1200000000000001</v>
      </c>
      <c r="E368" s="940" t="str">
        <f>'matrik MISI 5'!K82</f>
        <v>xx</v>
      </c>
      <c r="F368" s="940">
        <f>'matrik MISI 5'!L82</f>
        <v>15</v>
      </c>
      <c r="G368" s="940" t="str">
        <f>'matrik MISI 5'!M82</f>
        <v xml:space="preserve">Program Keluarga Berencana                                               </v>
      </c>
      <c r="H368" s="164"/>
      <c r="I368" s="164"/>
      <c r="J368" s="929"/>
      <c r="K368" s="929"/>
      <c r="L368" s="929"/>
      <c r="M368" s="961">
        <f>'jangan di hapus 1'!K688</f>
        <v>1937642790</v>
      </c>
      <c r="N368" s="961"/>
      <c r="O368" s="961">
        <f>'jangan di hapus 1'!M688</f>
        <v>2272485580</v>
      </c>
      <c r="P368" s="961"/>
      <c r="Q368" s="961">
        <f>'jangan di hapus 1'!O688</f>
        <v>2404131122</v>
      </c>
      <c r="R368" s="961"/>
      <c r="S368" s="961">
        <f>'jangan di hapus 1'!Q688</f>
        <v>2553746414.1999998</v>
      </c>
      <c r="T368" s="961"/>
      <c r="U368" s="961">
        <f>'jangan di hapus 1'!S688</f>
        <v>2724328990.5799994</v>
      </c>
      <c r="V368" s="929"/>
      <c r="W368" s="961">
        <f>SUM(M368:U368)</f>
        <v>11892334896.780001</v>
      </c>
      <c r="X368" s="929"/>
      <c r="Y368" s="164"/>
      <c r="Z368" s="164"/>
    </row>
    <row r="369" spans="2:26" ht="60">
      <c r="B369" s="940"/>
      <c r="C369" s="941"/>
      <c r="D369" s="939"/>
      <c r="E369" s="939"/>
      <c r="F369" s="939"/>
      <c r="G369" s="939"/>
      <c r="H369" s="164" t="str">
        <f>'matrik MISI 5'!N82</f>
        <v>Cakupan Pasangan Usia Subur yang Istrinya dibawah Usia 20 tahun</v>
      </c>
      <c r="I369" s="164" t="str">
        <f>'matrik MISI 5'!O82</f>
        <v>%</v>
      </c>
      <c r="J369" s="929" t="str">
        <f>'matrik MISI 5'!P82</f>
        <v>4,00</v>
      </c>
      <c r="K369" s="929" t="str">
        <f>'matrik MISI 5'!Q82</f>
        <v>3,25</v>
      </c>
      <c r="L369" s="929" t="str">
        <f>'matrik MISI 5'!R82</f>
        <v>3,10</v>
      </c>
      <c r="M369" s="961"/>
      <c r="N369" s="929">
        <f>'matrik MISI 5'!S82</f>
        <v>3</v>
      </c>
      <c r="O369" s="929"/>
      <c r="P369" s="929" t="str">
        <f>'matrik MISI 5'!T82</f>
        <v>2,8</v>
      </c>
      <c r="Q369" s="929"/>
      <c r="R369" s="929" t="str">
        <f>'matrik MISI 5'!U82</f>
        <v>2,7</v>
      </c>
      <c r="S369" s="929"/>
      <c r="T369" s="929" t="str">
        <f>'matrik MISI 5'!V82</f>
        <v>2,6</v>
      </c>
      <c r="U369" s="929"/>
      <c r="V369" s="929" t="str">
        <f>'matrik MISI 5'!W82</f>
        <v>2,6</v>
      </c>
      <c r="W369" s="929"/>
      <c r="X369" s="929" t="str">
        <f>'matrik MISI 5'!X82</f>
        <v>BKBPP</v>
      </c>
      <c r="Y369" s="164" t="str">
        <f>'matrik MISI 5'!Y82</f>
        <v>Jumlah PUS yang usia istrinya di bawah 20 tahun/Jumlah PUS  x 100</v>
      </c>
      <c r="Z369" s="164">
        <f>'matrik MISI 5'!Z82</f>
        <v>0</v>
      </c>
    </row>
    <row r="370" spans="2:26" ht="90">
      <c r="B370" s="940"/>
      <c r="C370" s="941"/>
      <c r="D370" s="940"/>
      <c r="E370" s="940"/>
      <c r="F370" s="940"/>
      <c r="G370" s="940"/>
      <c r="H370" s="164" t="str">
        <f>'matrik MISI 5'!N83</f>
        <v>Cakupan Sasaran Pasangan Usia Subur Menjadi Peserta KB Aktif</v>
      </c>
      <c r="I370" s="164" t="str">
        <f>'matrik MISI 5'!O83</f>
        <v>%</v>
      </c>
      <c r="J370" s="929" t="str">
        <f>'matrik MISI 5'!P83</f>
        <v>83,02</v>
      </c>
      <c r="K370" s="929" t="str">
        <f>'matrik MISI 5'!Q83</f>
        <v>83,00</v>
      </c>
      <c r="L370" s="929" t="str">
        <f>'matrik MISI 5'!R83</f>
        <v>83,2</v>
      </c>
      <c r="M370" s="961"/>
      <c r="N370" s="929" t="str">
        <f>'matrik MISI 5'!S83</f>
        <v>83,4</v>
      </c>
      <c r="O370" s="929"/>
      <c r="P370" s="929" t="str">
        <f>'matrik MISI 5'!T83</f>
        <v>83,6</v>
      </c>
      <c r="Q370" s="929"/>
      <c r="R370" s="929" t="str">
        <f>'matrik MISI 5'!U83</f>
        <v>83,8</v>
      </c>
      <c r="S370" s="929"/>
      <c r="T370" s="929">
        <f>'matrik MISI 5'!V83</f>
        <v>84</v>
      </c>
      <c r="U370" s="929"/>
      <c r="V370" s="929">
        <f>'matrik MISI 5'!W83</f>
        <v>84</v>
      </c>
      <c r="W370" s="929"/>
      <c r="X370" s="929" t="str">
        <f>'matrik MISI 5'!X83</f>
        <v>BKBPP</v>
      </c>
      <c r="Y370" s="164" t="str">
        <f>'matrik MISI 5'!Y83</f>
        <v>Jumlah PUS yang menggunakan kontrasepsi (peserta KB aktif)/Jumlah Pasangan Usia Subur x 100</v>
      </c>
      <c r="Z370" s="164">
        <f>'matrik MISI 5'!Z83</f>
        <v>0</v>
      </c>
    </row>
    <row r="371" spans="2:26" ht="120">
      <c r="B371" s="940"/>
      <c r="C371" s="941"/>
      <c r="D371" s="940"/>
      <c r="E371" s="940"/>
      <c r="F371" s="940"/>
      <c r="G371" s="940"/>
      <c r="H371" s="164" t="str">
        <f>'matrik MISI 5'!N84</f>
        <v>Cakupan Pasangan Usia Subur yang ingin Ber-KB tidak Terpenuhi (Unmet need)</v>
      </c>
      <c r="I371" s="164" t="str">
        <f>'matrik MISI 5'!O84</f>
        <v>%</v>
      </c>
      <c r="J371" s="929" t="str">
        <f>'matrik MISI 5'!P84</f>
        <v>7,55</v>
      </c>
      <c r="K371" s="929" t="str">
        <f>'matrik MISI 5'!Q84</f>
        <v>6,00</v>
      </c>
      <c r="L371" s="929" t="str">
        <f>'matrik MISI 5'!R84</f>
        <v>5,7</v>
      </c>
      <c r="M371" s="961"/>
      <c r="N371" s="929" t="str">
        <f>'matrik MISI 5'!S84</f>
        <v>5,5</v>
      </c>
      <c r="O371" s="929"/>
      <c r="P371" s="929" t="str">
        <f>'matrik MISI 5'!T84</f>
        <v>5,3</v>
      </c>
      <c r="Q371" s="929"/>
      <c r="R371" s="929" t="str">
        <f>'matrik MISI 5'!U84</f>
        <v>5,1</v>
      </c>
      <c r="S371" s="929"/>
      <c r="T371" s="929" t="str">
        <f>'matrik MISI 5'!V84</f>
        <v>5,05</v>
      </c>
      <c r="U371" s="929"/>
      <c r="V371" s="929" t="str">
        <f>'matrik MISI 5'!W84</f>
        <v>5,05</v>
      </c>
      <c r="W371" s="929"/>
      <c r="X371" s="929" t="str">
        <f>'matrik MISI 5'!X84</f>
        <v>BKBPP</v>
      </c>
      <c r="Y371" s="164" t="str">
        <f>'matrik MISI 5'!Y84</f>
        <v>Jumlah PUS yang ingin anak ditunda atau tidak ingin anak lagi dan tidak menggunakan alat kontrasepsi/Jumlah PUS di wilayah tersebutx100</v>
      </c>
      <c r="Z371" s="164">
        <f>'matrik MISI 5'!Z84</f>
        <v>0</v>
      </c>
    </row>
    <row r="372" spans="2:26" ht="45">
      <c r="B372" s="940"/>
      <c r="C372" s="941"/>
      <c r="D372" s="940"/>
      <c r="E372" s="940"/>
      <c r="F372" s="940"/>
      <c r="G372" s="940"/>
      <c r="H372" s="164" t="str">
        <f>'matrik MISI 5'!N85</f>
        <v>Cakupan Anggota Bina Keluarga Balita Ber-KB</v>
      </c>
      <c r="I372" s="164" t="str">
        <f>'matrik MISI 5'!O85</f>
        <v>%</v>
      </c>
      <c r="J372" s="929" t="str">
        <f>'matrik MISI 5'!P85</f>
        <v>80,58</v>
      </c>
      <c r="K372" s="929" t="str">
        <f>'matrik MISI 5'!Q85</f>
        <v>81,00</v>
      </c>
      <c r="L372" s="929" t="str">
        <f>'matrik MISI 5'!R85</f>
        <v>81,05</v>
      </c>
      <c r="M372" s="961"/>
      <c r="N372" s="929" t="str">
        <f>'matrik MISI 5'!S85</f>
        <v>81,1</v>
      </c>
      <c r="O372" s="929"/>
      <c r="P372" s="929" t="str">
        <f>'matrik MISI 5'!T85</f>
        <v>81,16</v>
      </c>
      <c r="Q372" s="929"/>
      <c r="R372" s="929" t="str">
        <f>'matrik MISI 5'!U85</f>
        <v>81,19</v>
      </c>
      <c r="S372" s="929"/>
      <c r="T372" s="929" t="str">
        <f>'matrik MISI 5'!V85</f>
        <v>81,25</v>
      </c>
      <c r="U372" s="929"/>
      <c r="V372" s="929" t="str">
        <f>'matrik MISI 5'!W85</f>
        <v>81,25</v>
      </c>
      <c r="W372" s="929"/>
      <c r="X372" s="929" t="str">
        <f>'matrik MISI 5'!X85</f>
        <v>BKBPP</v>
      </c>
      <c r="Y372" s="164" t="str">
        <f>'matrik MISI 5'!Y85</f>
        <v>Anggota BKB ber-KB/Seluruh PUS anggota BKBx100</v>
      </c>
      <c r="Z372" s="164">
        <f>'matrik MISI 5'!Z85</f>
        <v>0</v>
      </c>
    </row>
    <row r="373" spans="2:26" ht="60">
      <c r="B373" s="940"/>
      <c r="C373" s="941"/>
      <c r="D373" s="940"/>
      <c r="E373" s="940"/>
      <c r="F373" s="940"/>
      <c r="G373" s="940"/>
      <c r="H373" s="164" t="str">
        <f>'matrik MISI 5'!N86</f>
        <v>Cakupan PUS Peserta KB Anggota Usaha Peningkatan Pendapatan Keluarga Sejahtera ( UPPKS ) yang Ber-KB</v>
      </c>
      <c r="I373" s="164" t="str">
        <f>'matrik MISI 5'!O86</f>
        <v>%</v>
      </c>
      <c r="J373" s="929" t="str">
        <f>'matrik MISI 5'!P86</f>
        <v>84,52</v>
      </c>
      <c r="K373" s="929" t="str">
        <f>'matrik MISI 5'!Q86</f>
        <v>85,00</v>
      </c>
      <c r="L373" s="929" t="str">
        <f>'matrik MISI 5'!R86</f>
        <v>85,5</v>
      </c>
      <c r="M373" s="961"/>
      <c r="N373" s="929" t="str">
        <f>'matrik MISI 5'!S86</f>
        <v>85,6</v>
      </c>
      <c r="O373" s="929"/>
      <c r="P373" s="929" t="str">
        <f>'matrik MISI 5'!T86</f>
        <v>85,75</v>
      </c>
      <c r="Q373" s="929"/>
      <c r="R373" s="929" t="str">
        <f>'matrik MISI 5'!U86</f>
        <v>85,8</v>
      </c>
      <c r="S373" s="929"/>
      <c r="T373" s="929">
        <f>'matrik MISI 5'!V86</f>
        <v>86</v>
      </c>
      <c r="U373" s="929"/>
      <c r="V373" s="929">
        <f>'matrik MISI 5'!W86</f>
        <v>86</v>
      </c>
      <c r="W373" s="929"/>
      <c r="X373" s="929" t="str">
        <f>'matrik MISI 5'!X86</f>
        <v>BKBPP</v>
      </c>
      <c r="Y373" s="164" t="str">
        <f>'matrik MISI 5'!Y86</f>
        <v>Anggota UPPKS ber-KB/Seluruh anggota UPPKS peserta KBx100</v>
      </c>
      <c r="Z373" s="164">
        <f>'matrik MISI 5'!Z86</f>
        <v>0</v>
      </c>
    </row>
    <row r="374" spans="2:26" ht="105">
      <c r="B374" s="940"/>
      <c r="C374" s="941"/>
      <c r="D374" s="940"/>
      <c r="E374" s="940"/>
      <c r="F374" s="940"/>
      <c r="G374" s="940"/>
      <c r="H374" s="164" t="str">
        <f>'matrik MISI 5'!N87</f>
        <v>Rasio Petugas Lapangan Keluarga Berencana atau Penyuluh KB Per  Desa atau Kelurahan</v>
      </c>
      <c r="I374" s="164" t="str">
        <f>'matrik MISI 5'!O87</f>
        <v>Rasio</v>
      </c>
      <c r="J374" s="929" t="str">
        <f>'matrik MISI 5'!P87</f>
        <v>1 : 6</v>
      </c>
      <c r="K374" s="929" t="str">
        <f>'matrik MISI 5'!Q87</f>
        <v>1 : 6</v>
      </c>
      <c r="L374" s="929" t="str">
        <f>'matrik MISI 5'!R87</f>
        <v>1 : 5</v>
      </c>
      <c r="M374" s="961"/>
      <c r="N374" s="929" t="str">
        <f>'matrik MISI 5'!S87</f>
        <v>1 : 4</v>
      </c>
      <c r="O374" s="929"/>
      <c r="P374" s="929" t="str">
        <f>'matrik MISI 5'!T87</f>
        <v>1 :4</v>
      </c>
      <c r="Q374" s="929"/>
      <c r="R374" s="929" t="str">
        <f>'matrik MISI 5'!U87</f>
        <v>1 :4</v>
      </c>
      <c r="S374" s="929"/>
      <c r="T374" s="929" t="str">
        <f>'matrik MISI 5'!V87</f>
        <v>1 : 2</v>
      </c>
      <c r="U374" s="929"/>
      <c r="V374" s="929" t="str">
        <f>'matrik MISI 5'!W87</f>
        <v>1 : 2</v>
      </c>
      <c r="W374" s="929"/>
      <c r="X374" s="929" t="str">
        <f>'matrik MISI 5'!X87</f>
        <v>BKBPP</v>
      </c>
      <c r="Y374" s="164" t="str">
        <f>'matrik MISI 5'!Y87</f>
        <v>Jumlah PLKB/PKB dibanding Jumlah Desa/Kelurahan</v>
      </c>
      <c r="Z374" s="164" t="str">
        <f>'matrik MISI 5'!Z87</f>
        <v>(dengan mempertimbangkan 3 aspek: jumlah KK, jumlah desa/kelurahan, luas wilayah dan daerah kepulauan)</v>
      </c>
    </row>
    <row r="375" spans="2:26" ht="45">
      <c r="B375" s="940"/>
      <c r="C375" s="941"/>
      <c r="D375" s="940"/>
      <c r="E375" s="940"/>
      <c r="F375" s="940"/>
      <c r="G375" s="940"/>
      <c r="H375" s="164" t="str">
        <f>'matrik MISI 5'!N88</f>
        <v>Rasio Pembantu Pembina Keluarga Berencana per desa/Kelurahan</v>
      </c>
      <c r="I375" s="164" t="str">
        <f>'matrik MISI 5'!O88</f>
        <v>Rasio</v>
      </c>
      <c r="J375" s="929" t="str">
        <f>'matrik MISI 5'!P88</f>
        <v>1 : 1</v>
      </c>
      <c r="K375" s="929" t="str">
        <f>'matrik MISI 5'!Q88</f>
        <v>1 : 1</v>
      </c>
      <c r="L375" s="929" t="str">
        <f>'matrik MISI 5'!R88</f>
        <v>1 : 1</v>
      </c>
      <c r="M375" s="961"/>
      <c r="N375" s="929" t="str">
        <f>'matrik MISI 5'!S88</f>
        <v>1 : 1</v>
      </c>
      <c r="O375" s="929"/>
      <c r="P375" s="929" t="str">
        <f>'matrik MISI 5'!T88</f>
        <v>1 : 1</v>
      </c>
      <c r="Q375" s="929"/>
      <c r="R375" s="929" t="str">
        <f>'matrik MISI 5'!U88</f>
        <v>1 : 1</v>
      </c>
      <c r="S375" s="929"/>
      <c r="T375" s="929" t="str">
        <f>'matrik MISI 5'!V88</f>
        <v>1 : 1</v>
      </c>
      <c r="U375" s="929"/>
      <c r="V375" s="929" t="str">
        <f>'matrik MISI 5'!W88</f>
        <v>1 : 1</v>
      </c>
      <c r="W375" s="929"/>
      <c r="X375" s="929" t="str">
        <f>'matrik MISI 5'!X88</f>
        <v>BKBPP</v>
      </c>
      <c r="Y375" s="164" t="str">
        <f>'matrik MISI 5'!Y88</f>
        <v>Jumlah PPKBD dibanding Jumlah Desa/Kelurahan</v>
      </c>
      <c r="Z375" s="164">
        <f>'matrik MISI 5'!Z88</f>
        <v>0</v>
      </c>
    </row>
    <row r="376" spans="2:26" ht="60">
      <c r="B376" s="940"/>
      <c r="C376" s="941"/>
      <c r="D376" s="940"/>
      <c r="E376" s="940"/>
      <c r="F376" s="940"/>
      <c r="G376" s="940"/>
      <c r="H376" s="164" t="str">
        <f>'matrik MISI 5'!N89</f>
        <v>Persentase Penggunaan Alat Kontrasepsi Pada Pria</v>
      </c>
      <c r="I376" s="164" t="str">
        <f>'matrik MISI 5'!O89</f>
        <v>%</v>
      </c>
      <c r="J376" s="929" t="str">
        <f>'matrik MISI 5'!P89</f>
        <v>2,89</v>
      </c>
      <c r="K376" s="929" t="str">
        <f>'matrik MISI 5'!Q89</f>
        <v>3,00</v>
      </c>
      <c r="L376" s="929" t="str">
        <f>'matrik MISI 5'!R89</f>
        <v>3,2</v>
      </c>
      <c r="M376" s="961"/>
      <c r="N376" s="929" t="str">
        <f>'matrik MISI 5'!S89</f>
        <v>3,33</v>
      </c>
      <c r="O376" s="929"/>
      <c r="P376" s="929" t="str">
        <f>'matrik MISI 5'!T89</f>
        <v>3,34</v>
      </c>
      <c r="Q376" s="929"/>
      <c r="R376" s="929" t="str">
        <f>'matrik MISI 5'!U89</f>
        <v>3,54</v>
      </c>
      <c r="S376" s="929"/>
      <c r="T376" s="929" t="str">
        <f>'matrik MISI 5'!V89</f>
        <v>3,55</v>
      </c>
      <c r="U376" s="929"/>
      <c r="V376" s="929" t="str">
        <f>'matrik MISI 5'!W89</f>
        <v>3,55</v>
      </c>
      <c r="W376" s="929"/>
      <c r="X376" s="929" t="str">
        <f>'matrik MISI 5'!X89</f>
        <v>BKBPP</v>
      </c>
      <c r="Y376" s="164" t="str">
        <f>'matrik MISI 5'!Y89</f>
        <v>Jumlah Pria yang menggunakan kontrasepsi/Jumlah PUS x 100</v>
      </c>
      <c r="Z376" s="164">
        <f>'matrik MISI 5'!Z89</f>
        <v>0</v>
      </c>
    </row>
    <row r="377" spans="2:26" ht="45">
      <c r="B377" s="940"/>
      <c r="C377" s="941"/>
      <c r="D377" s="940"/>
      <c r="E377" s="940"/>
      <c r="F377" s="940"/>
      <c r="G377" s="940"/>
      <c r="H377" s="164" t="str">
        <f>'matrik MISI 5'!N90</f>
        <v>Terkendalinya Pertumbuhan Jumlah Penduduk</v>
      </c>
      <c r="I377" s="164" t="str">
        <f>'matrik MISI 5'!O90</f>
        <v>%</v>
      </c>
      <c r="J377" s="929" t="str">
        <f>'matrik MISI 5'!P90</f>
        <v>0,67</v>
      </c>
      <c r="K377" s="929" t="str">
        <f>'matrik MISI 5'!Q90</f>
        <v>0,67</v>
      </c>
      <c r="L377" s="929" t="str">
        <f>'matrik MISI 5'!R90</f>
        <v>0,65</v>
      </c>
      <c r="M377" s="961"/>
      <c r="N377" s="929" t="str">
        <f>'matrik MISI 5'!S90</f>
        <v>0,64</v>
      </c>
      <c r="O377" s="929"/>
      <c r="P377" s="929" t="str">
        <f>'matrik MISI 5'!T90</f>
        <v>0,63</v>
      </c>
      <c r="Q377" s="929"/>
      <c r="R377" s="929" t="str">
        <f>'matrik MISI 5'!U90</f>
        <v>0,62</v>
      </c>
      <c r="S377" s="929"/>
      <c r="T377" s="929" t="str">
        <f>'matrik MISI 5'!V90</f>
        <v>0,6</v>
      </c>
      <c r="U377" s="929"/>
      <c r="V377" s="929" t="str">
        <f>'matrik MISI 5'!W90</f>
        <v>0,6</v>
      </c>
      <c r="W377" s="929"/>
      <c r="X377" s="929" t="str">
        <f>'matrik MISI 5'!X90</f>
        <v>BKBPP</v>
      </c>
      <c r="Y377" s="164">
        <f>'matrik MISI 5'!Y90</f>
        <v>0</v>
      </c>
      <c r="Z377" s="164" t="str">
        <f>'matrik MISI 5'!Z90</f>
        <v>Angka laju pertumbuhan penduduk (BPS)</v>
      </c>
    </row>
    <row r="378" spans="2:26" ht="60">
      <c r="B378" s="940"/>
      <c r="C378" s="941"/>
      <c r="D378" s="940"/>
      <c r="E378" s="940"/>
      <c r="F378" s="940"/>
      <c r="G378" s="940"/>
      <c r="H378" s="164" t="str">
        <f>'matrik MISI 5'!N91</f>
        <v>Besaran Sasaran PUS Menjadi Peserta KB Baru</v>
      </c>
      <c r="I378" s="164">
        <f>'matrik MISI 5'!O91</f>
        <v>0</v>
      </c>
      <c r="J378" s="929">
        <f>'matrik MISI 5'!P91</f>
        <v>19.428000000000001</v>
      </c>
      <c r="K378" s="929">
        <f>'matrik MISI 5'!Q91</f>
        <v>17.274000000000001</v>
      </c>
      <c r="L378" s="929">
        <f>'matrik MISI 5'!R91</f>
        <v>14.073</v>
      </c>
      <c r="M378" s="961"/>
      <c r="N378" s="929">
        <f>'matrik MISI 5'!S91</f>
        <v>14.065</v>
      </c>
      <c r="O378" s="929"/>
      <c r="P378" s="929">
        <f>'matrik MISI 5'!T91</f>
        <v>14.058999999999999</v>
      </c>
      <c r="Q378" s="929"/>
      <c r="R378" s="929">
        <f>'matrik MISI 5'!U91</f>
        <v>14.057</v>
      </c>
      <c r="S378" s="929"/>
      <c r="T378" s="929">
        <f>'matrik MISI 5'!V91</f>
        <v>14.055</v>
      </c>
      <c r="U378" s="929"/>
      <c r="V378" s="929">
        <f>'matrik MISI 5'!W91</f>
        <v>14.055</v>
      </c>
      <c r="W378" s="929"/>
      <c r="X378" s="929" t="str">
        <f>'matrik MISI 5'!X91</f>
        <v>BKBPP</v>
      </c>
      <c r="Y378" s="164" t="str">
        <f>'matrik MISI 5'!Y91</f>
        <v>Jumlah sasaran PUS yang menggunakan kontrasepsi (peserta KB baru)</v>
      </c>
      <c r="Z378" s="164">
        <f>'matrik MISI 5'!Z91</f>
        <v>0</v>
      </c>
    </row>
    <row r="379" spans="2:26" ht="90">
      <c r="B379" s="950"/>
      <c r="C379" s="951"/>
      <c r="D379" s="950"/>
      <c r="E379" s="950"/>
      <c r="F379" s="950"/>
      <c r="G379" s="950"/>
      <c r="H379" s="164" t="str">
        <f>'matrik MISI 5'!N92</f>
        <v>Cakupan penyediaan alat dan kontrasepsi untuk memenuhi permintaan masyarakat</v>
      </c>
      <c r="I379" s="164" t="str">
        <f>'matrik MISI 5'!O92</f>
        <v>%</v>
      </c>
      <c r="J379" s="929">
        <f>'matrik MISI 5'!P92</f>
        <v>4</v>
      </c>
      <c r="K379" s="929">
        <f>'matrik MISI 5'!Q92</f>
        <v>4</v>
      </c>
      <c r="L379" s="929">
        <f>'matrik MISI 5'!R92</f>
        <v>3</v>
      </c>
      <c r="M379" s="961"/>
      <c r="N379" s="929">
        <f>'matrik MISI 5'!S92</f>
        <v>3</v>
      </c>
      <c r="O379" s="929"/>
      <c r="P379" s="929">
        <f>'matrik MISI 5'!T92</f>
        <v>3</v>
      </c>
      <c r="Q379" s="929"/>
      <c r="R379" s="929">
        <f>'matrik MISI 5'!U92</f>
        <v>3</v>
      </c>
      <c r="S379" s="929"/>
      <c r="T379" s="929">
        <f>'matrik MISI 5'!V92</f>
        <v>3</v>
      </c>
      <c r="U379" s="929"/>
      <c r="V379" s="929">
        <f>'matrik MISI 5'!W92</f>
        <v>3</v>
      </c>
      <c r="W379" s="929"/>
      <c r="X379" s="929" t="str">
        <f>'matrik MISI 5'!X92</f>
        <v>BKBPP</v>
      </c>
      <c r="Y379" s="164" t="str">
        <f>'matrik MISI 5'!Y92</f>
        <v>Jumlah alat dan obat kontrasepsi yang terpenuhi / Jumlah alat dan obat kontrasepsi yang dibutuhkan x 100</v>
      </c>
      <c r="Z379" s="164">
        <f>'matrik MISI 5'!Z92</f>
        <v>0</v>
      </c>
    </row>
    <row r="380" spans="2:26" ht="45">
      <c r="B380" s="949">
        <v>13</v>
      </c>
      <c r="C380" s="948" t="str">
        <f>'matrik MISI 2'!B6</f>
        <v>SOSIAL</v>
      </c>
      <c r="D380" s="949" t="str">
        <f>'matrik MISI 2'!J7</f>
        <v>1.13</v>
      </c>
      <c r="E380" s="949" t="str">
        <f>'matrik MISI 2'!K7</f>
        <v>xx</v>
      </c>
      <c r="F380" s="949">
        <f>'matrik MISI 2'!L7</f>
        <v>16</v>
      </c>
      <c r="G380" s="949" t="str">
        <f>'matrik MISI 2'!M7</f>
        <v xml:space="preserve">Program Pelayanan dan Rehabilitasi Kesejahteraan Sosial                                  </v>
      </c>
      <c r="H380" s="164"/>
      <c r="I380" s="164"/>
      <c r="J380" s="929"/>
      <c r="K380" s="929"/>
      <c r="L380" s="929"/>
      <c r="M380" s="961">
        <f>'jangan di hapus 1'!K723</f>
        <v>4579662502</v>
      </c>
      <c r="N380" s="961"/>
      <c r="O380" s="961">
        <f>'jangan di hapus 1'!M723</f>
        <v>6282712502</v>
      </c>
      <c r="P380" s="961"/>
      <c r="Q380" s="961">
        <f>'jangan di hapus 1'!O723</f>
        <v>6454712502</v>
      </c>
      <c r="R380" s="961"/>
      <c r="S380" s="961">
        <f>'jangan di hapus 1'!Q723</f>
        <v>6562712502</v>
      </c>
      <c r="T380" s="961"/>
      <c r="U380" s="961">
        <f>'jangan di hapus 1'!S723</f>
        <v>6749712502</v>
      </c>
      <c r="V380" s="929"/>
      <c r="W380" s="961">
        <f>SUM(M380:U380)</f>
        <v>30629512510</v>
      </c>
      <c r="X380" s="929"/>
      <c r="Y380" s="1016"/>
      <c r="Z380" s="1016"/>
    </row>
    <row r="381" spans="2:26" ht="135">
      <c r="B381" s="939"/>
      <c r="C381" s="939"/>
      <c r="D381" s="939"/>
      <c r="E381" s="939"/>
      <c r="F381" s="939"/>
      <c r="G381" s="939"/>
      <c r="H381" s="164" t="str">
        <f>'matrik MISI 2'!N7</f>
        <v>Persentase PMKS yang Memperoleh Bantuan Sosial untuk Pemenuhan Kebutuhan Dasar</v>
      </c>
      <c r="I381" s="164" t="str">
        <f>'matrik MISI 2'!O7</f>
        <v>%</v>
      </c>
      <c r="J381" s="929">
        <f>'matrik MISI 2'!P7</f>
        <v>18</v>
      </c>
      <c r="K381" s="929">
        <f>'matrik MISI 2'!Q7</f>
        <v>18</v>
      </c>
      <c r="L381" s="929">
        <f>'matrik MISI 2'!R7</f>
        <v>18</v>
      </c>
      <c r="M381" s="961"/>
      <c r="N381" s="929">
        <f>'matrik MISI 2'!S7</f>
        <v>18</v>
      </c>
      <c r="O381" s="929"/>
      <c r="P381" s="929">
        <f>'matrik MISI 2'!T7</f>
        <v>18</v>
      </c>
      <c r="Q381" s="929"/>
      <c r="R381" s="929">
        <f>'matrik MISI 2'!U7</f>
        <v>18</v>
      </c>
      <c r="S381" s="929"/>
      <c r="T381" s="929">
        <f>'matrik MISI 2'!V7</f>
        <v>18</v>
      </c>
      <c r="U381" s="929"/>
      <c r="V381" s="929">
        <f>'matrik MISI 2'!W7</f>
        <v>18</v>
      </c>
      <c r="W381" s="929"/>
      <c r="X381" s="929" t="str">
        <f>'matrik MISI 2'!X7</f>
        <v>Dinas Sosial</v>
      </c>
      <c r="Y381" s="164" t="str">
        <f>'matrik MISI 2'!Y7</f>
        <v>Jumlah PMKS yang memperoleh bantuan sosial dalam 1 tahun dibagi Jumlah PMKS skala kabupaten dalam 1 tahun yang seharusnya memperoleh bantuan sosial x 100</v>
      </c>
      <c r="Z381" s="164" t="str">
        <f>'matrik MISI 2'!Z7</f>
        <v>sasaran : jumlah Fakir Miskin (FM), Perempuan Rawan Sosial Ekonomi (PRSE),  Anak Terlantar di dalam maupun luar Panti</v>
      </c>
    </row>
    <row r="382" spans="2:26" ht="409.5">
      <c r="B382" s="940"/>
      <c r="C382" s="941"/>
      <c r="D382" s="940"/>
      <c r="E382" s="940"/>
      <c r="F382" s="940"/>
      <c r="G382" s="940"/>
      <c r="H382" s="164" t="str">
        <f>'matrik MISI 2'!N9</f>
        <v>Cakupan PMKS yang Memperoleh Rehabilitasi Sosial</v>
      </c>
      <c r="I382" s="164" t="str">
        <f>'matrik MISI 2'!O9</f>
        <v>%</v>
      </c>
      <c r="J382" s="929">
        <f>'matrik MISI 2'!P9</f>
        <v>2.7</v>
      </c>
      <c r="K382" s="929">
        <f>'matrik MISI 2'!Q9</f>
        <v>2.7</v>
      </c>
      <c r="L382" s="929">
        <f>'matrik MISI 2'!R9</f>
        <v>2.88</v>
      </c>
      <c r="M382" s="961"/>
      <c r="N382" s="929">
        <f>'matrik MISI 2'!S9</f>
        <v>3.08</v>
      </c>
      <c r="O382" s="929"/>
      <c r="P382" s="929">
        <f>'matrik MISI 2'!T9</f>
        <v>3.18</v>
      </c>
      <c r="Q382" s="929"/>
      <c r="R382" s="929">
        <f>'matrik MISI 2'!U9</f>
        <v>3.18</v>
      </c>
      <c r="S382" s="929"/>
      <c r="T382" s="929">
        <f>'matrik MISI 2'!V9</f>
        <v>3.18</v>
      </c>
      <c r="U382" s="929"/>
      <c r="V382" s="929">
        <f>'matrik MISI 2'!W9</f>
        <v>3.18</v>
      </c>
      <c r="W382" s="929"/>
      <c r="X382" s="929" t="str">
        <f>'matrik MISI 2'!X9</f>
        <v>Dinas Sosial</v>
      </c>
      <c r="Y382" s="164" t="str">
        <f>'matrik MISI 2'!Y9</f>
        <v>Jumlah PMKS yang telah direhabilitasi dalam 1 tahun dibagi Jumlah PMKS yang seharusnya direhabilitasi x 100 %</v>
      </c>
      <c r="Z382" s="164"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83" spans="2:26" ht="180">
      <c r="B383" s="940"/>
      <c r="C383" s="941"/>
      <c r="D383" s="940"/>
      <c r="E383" s="940"/>
      <c r="F383" s="940"/>
      <c r="G383" s="940"/>
      <c r="H383" s="164" t="str">
        <f>'matrik MISI 2'!N13</f>
        <v>Cakupan PMKS yang Memperoleh Perlindungan Sosial</v>
      </c>
      <c r="I383" s="164" t="str">
        <f>'matrik MISI 2'!O13</f>
        <v>%</v>
      </c>
      <c r="J383" s="929">
        <f>'matrik MISI 2'!P13</f>
        <v>100</v>
      </c>
      <c r="K383" s="929">
        <f>'matrik MISI 2'!Q13</f>
        <v>100</v>
      </c>
      <c r="L383" s="929">
        <f>'matrik MISI 2'!R13</f>
        <v>100</v>
      </c>
      <c r="M383" s="961"/>
      <c r="N383" s="929">
        <f>'matrik MISI 2'!S13</f>
        <v>100</v>
      </c>
      <c r="O383" s="929"/>
      <c r="P383" s="929">
        <f>'matrik MISI 2'!T13</f>
        <v>100</v>
      </c>
      <c r="Q383" s="929"/>
      <c r="R383" s="929">
        <f>'matrik MISI 2'!U13</f>
        <v>100</v>
      </c>
      <c r="S383" s="929"/>
      <c r="T383" s="929">
        <f>'matrik MISI 2'!V13</f>
        <v>100</v>
      </c>
      <c r="U383" s="929"/>
      <c r="V383" s="929">
        <f>'matrik MISI 2'!W13</f>
        <v>100</v>
      </c>
      <c r="W383" s="929"/>
      <c r="X383" s="929" t="str">
        <f>'matrik MISI 2'!X13</f>
        <v>Dinas Sosial</v>
      </c>
      <c r="Y383" s="164" t="str">
        <f>'matrik MISI 2'!Y13</f>
        <v xml:space="preserve">Jumlah PMKS yang mendapat program perlindungan Sosial dalam 1 (satu) tahun  dibagi Jumlah PMKS dalam 1 (satu)  tahun yang seharusnya mendapatkan program perlindungan sosial </v>
      </c>
      <c r="Z383" s="164" t="str">
        <f>'matrik MISI 2'!Z13</f>
        <v xml:space="preserve">bentuk perlindungan diluar bantuan sosial Sasaran : Anak dan Balita Terlantar, Anak Berhadapan dengan Hukum, Anak dengan Kedisabilitasan,  Anak yang memerlukan perlindungan Khusus, Migran Bermasalah Korban Tindak Kekerasan </v>
      </c>
    </row>
    <row r="384" spans="2:26" ht="105">
      <c r="B384" s="940"/>
      <c r="C384" s="941"/>
      <c r="D384" s="940"/>
      <c r="E384" s="940"/>
      <c r="F384" s="940"/>
      <c r="G384" s="940"/>
      <c r="H384" s="164" t="str">
        <f>'matrik MISI 2'!N14</f>
        <v xml:space="preserve">Cakupan Bantuan Rumah Tidak Layak Huni </v>
      </c>
      <c r="I384" s="164" t="str">
        <f>'matrik MISI 2'!O14</f>
        <v>%</v>
      </c>
      <c r="J384" s="929" t="str">
        <f>'matrik MISI 2'!P14</f>
        <v>4,32</v>
      </c>
      <c r="K384" s="929" t="str">
        <f>'matrik MISI 2'!Q14</f>
        <v>4,34</v>
      </c>
      <c r="L384" s="929" t="str">
        <f>'matrik MISI 2'!R14</f>
        <v>8,34</v>
      </c>
      <c r="M384" s="961"/>
      <c r="N384" s="929" t="str">
        <f>'matrik MISI 2'!S14</f>
        <v>12,34</v>
      </c>
      <c r="O384" s="929"/>
      <c r="P384" s="929" t="str">
        <f>'matrik MISI 2'!T14</f>
        <v>16,34</v>
      </c>
      <c r="Q384" s="929"/>
      <c r="R384" s="929" t="str">
        <f>'matrik MISI 2'!U14</f>
        <v>20,34</v>
      </c>
      <c r="S384" s="929"/>
      <c r="T384" s="929" t="str">
        <f>'matrik MISI 2'!V14</f>
        <v>24,34</v>
      </c>
      <c r="U384" s="929"/>
      <c r="V384" s="929" t="str">
        <f>'matrik MISI 2'!W14</f>
        <v>24,34</v>
      </c>
      <c r="W384" s="929"/>
      <c r="X384" s="929" t="str">
        <f>'matrik MISI 2'!X14</f>
        <v>Dinas Sosial</v>
      </c>
      <c r="Y384" s="164" t="str">
        <f>'matrik MISI 2'!Y14</f>
        <v xml:space="preserve">Jumlah KK RTLH yang telah menerima bantuan sosial dibagi Jumlah RTLH  yang seharusnya mendapatkan bansos x 100 </v>
      </c>
      <c r="Z384" s="164" t="str">
        <f>'matrik MISI 2'!Z14</f>
        <v>Sasaran : KK RTLH dari Keluarga Fakir Miskin menggunakan basik data RTLH Tahun 2013</v>
      </c>
    </row>
    <row r="385" spans="2:26" ht="210">
      <c r="B385" s="940"/>
      <c r="C385" s="941"/>
      <c r="D385" s="940"/>
      <c r="E385" s="940"/>
      <c r="F385" s="940"/>
      <c r="G385" s="940"/>
      <c r="H385" s="164" t="str">
        <f>'matrik MISI 2'!N16</f>
        <v>Cakupan Lembaga Kesejahteraan sosial/panti sosial yang menyediakan sarana dan prasarana pelayanan kesejahteraan sosial</v>
      </c>
      <c r="I385" s="164">
        <f>'matrik MISI 2'!O16</f>
        <v>0</v>
      </c>
      <c r="J385" s="929">
        <f>'matrik MISI 2'!P16</f>
        <v>100</v>
      </c>
      <c r="K385" s="929">
        <f>'matrik MISI 2'!Q16</f>
        <v>100</v>
      </c>
      <c r="L385" s="929">
        <f>'matrik MISI 2'!R16</f>
        <v>100</v>
      </c>
      <c r="M385" s="961"/>
      <c r="N385" s="929">
        <f>'matrik MISI 2'!S16</f>
        <v>100</v>
      </c>
      <c r="O385" s="929"/>
      <c r="P385" s="929">
        <f>'matrik MISI 2'!T16</f>
        <v>100</v>
      </c>
      <c r="Q385" s="929"/>
      <c r="R385" s="929">
        <f>'matrik MISI 2'!U16</f>
        <v>100</v>
      </c>
      <c r="S385" s="929"/>
      <c r="T385" s="929">
        <f>'matrik MISI 2'!V16</f>
        <v>100</v>
      </c>
      <c r="U385" s="929"/>
      <c r="V385" s="929">
        <f>'matrik MISI 2'!W16</f>
        <v>100</v>
      </c>
      <c r="W385" s="929"/>
      <c r="X385" s="929" t="str">
        <f>'matrik MISI 2'!X16</f>
        <v>Dinas Sosial</v>
      </c>
      <c r="Y385" s="164" t="str">
        <f>'matrik MISI 2'!Y16</f>
        <v>jumlah panti sosial  yang menyediakan sarana prasarana pelayanan kesejahteraan sosial dalam 1 (satu) tahun dibagi Jumlah panti sosial  dalam 1 (satu) tahun yang seharusnya menyediakan sarana prasarana pelayanan kesejahteraan sosial x 100</v>
      </c>
      <c r="Z385" s="164" t="str">
        <f>'matrik MISI 2'!Z16</f>
        <v xml:space="preserve"> Panti Sosial terdiri dari Panti Asuhan Anak dan Rumah Perlindungan Sosial </v>
      </c>
    </row>
    <row r="386" spans="2:26" ht="90">
      <c r="B386" s="940"/>
      <c r="C386" s="941"/>
      <c r="D386" s="940"/>
      <c r="E386" s="940"/>
      <c r="F386" s="940"/>
      <c r="G386" s="940"/>
      <c r="H386" s="164" t="str">
        <f>'matrik MISI 2'!N21</f>
        <v>Persentase Perlindungan Sosial  terhadap Rumah Tangga Sasaran</v>
      </c>
      <c r="I386" s="164" t="str">
        <f>'matrik MISI 2'!O21</f>
        <v>%</v>
      </c>
      <c r="J386" s="929">
        <f>'matrik MISI 2'!P21</f>
        <v>100</v>
      </c>
      <c r="K386" s="929">
        <f>'matrik MISI 2'!Q21</f>
        <v>100</v>
      </c>
      <c r="L386" s="929">
        <f>'matrik MISI 2'!R21</f>
        <v>100</v>
      </c>
      <c r="M386" s="961"/>
      <c r="N386" s="929">
        <f>'matrik MISI 2'!S21</f>
        <v>100</v>
      </c>
      <c r="O386" s="929"/>
      <c r="P386" s="929">
        <f>'matrik MISI 2'!T21</f>
        <v>100</v>
      </c>
      <c r="Q386" s="929"/>
      <c r="R386" s="929">
        <f>'matrik MISI 2'!U21</f>
        <v>100</v>
      </c>
      <c r="S386" s="929"/>
      <c r="T386" s="929">
        <f>'matrik MISI 2'!V21</f>
        <v>100</v>
      </c>
      <c r="U386" s="929"/>
      <c r="V386" s="929">
        <f>'matrik MISI 2'!W21</f>
        <v>100</v>
      </c>
      <c r="W386" s="929"/>
      <c r="X386" s="929" t="str">
        <f>'matrik MISI 2'!X21</f>
        <v>Dinas Sosial, Bapermades, Bag.Perekonomian</v>
      </c>
      <c r="Y386" s="164" t="str">
        <f>'matrik MISI 2'!Y21</f>
        <v>Jumlah Rumah Tangga Sasaran yang mendapatkan perlindungan sosial dibagi Jumlah Rumah Tangga Sasaran x 100</v>
      </c>
      <c r="Z386" s="164">
        <f>'matrik MISI 2'!Z21</f>
        <v>0</v>
      </c>
    </row>
    <row r="387" spans="2:26" ht="30">
      <c r="B387" s="940"/>
      <c r="C387" s="941"/>
      <c r="D387" s="940" t="str">
        <f>'matrik MISI 2'!J8</f>
        <v>1.13</v>
      </c>
      <c r="E387" s="940" t="str">
        <f>'matrik MISI 2'!K8</f>
        <v>xx</v>
      </c>
      <c r="F387" s="940">
        <f>'matrik MISI 2'!L8</f>
        <v>17</v>
      </c>
      <c r="G387" s="940" t="str">
        <f>'matrik MISI 2'!M8</f>
        <v xml:space="preserve">Program pembinaan anak terlantar                             </v>
      </c>
      <c r="H387" s="164"/>
      <c r="I387" s="164"/>
      <c r="J387" s="929"/>
      <c r="K387" s="929"/>
      <c r="L387" s="929"/>
      <c r="M387" s="961">
        <f>'jangan di hapus 1'!K739</f>
        <v>264711000</v>
      </c>
      <c r="N387" s="961"/>
      <c r="O387" s="961">
        <f>'jangan di hapus 1'!M739</f>
        <v>344000000</v>
      </c>
      <c r="P387" s="961"/>
      <c r="Q387" s="961">
        <f>'jangan di hapus 1'!O739</f>
        <v>372000000</v>
      </c>
      <c r="R387" s="961"/>
      <c r="S387" s="961">
        <f>'jangan di hapus 1'!Q739</f>
        <v>414000000</v>
      </c>
      <c r="T387" s="961"/>
      <c r="U387" s="961">
        <f>'jangan di hapus 1'!S739</f>
        <v>444000000</v>
      </c>
      <c r="V387" s="929"/>
      <c r="W387" s="961">
        <f>SUM(M387:U387)</f>
        <v>1838711000</v>
      </c>
      <c r="X387" s="929"/>
      <c r="Y387" s="164"/>
      <c r="Z387" s="164"/>
    </row>
    <row r="388" spans="2:26" ht="60">
      <c r="B388" s="940"/>
      <c r="C388" s="941"/>
      <c r="D388" s="939"/>
      <c r="E388" s="939"/>
      <c r="F388" s="939"/>
      <c r="G388" s="939"/>
      <c r="H388" s="164" t="str">
        <f>'matrik MISI 2'!N8</f>
        <v>Persentase anak terlantar yang tertangani</v>
      </c>
      <c r="I388" s="164" t="str">
        <f>'matrik MISI 2'!O8</f>
        <v>%</v>
      </c>
      <c r="J388" s="929">
        <f>'matrik MISI 2'!P8</f>
        <v>0.76</v>
      </c>
      <c r="K388" s="929">
        <f>'matrik MISI 2'!Q8</f>
        <v>0.93</v>
      </c>
      <c r="L388" s="929">
        <f>'matrik MISI 2'!R8</f>
        <v>0.93</v>
      </c>
      <c r="M388" s="961"/>
      <c r="N388" s="929">
        <f>'matrik MISI 2'!S8</f>
        <v>1.28</v>
      </c>
      <c r="O388" s="929"/>
      <c r="P388" s="929">
        <f>'matrik MISI 2'!T8</f>
        <v>1.28</v>
      </c>
      <c r="Q388" s="929"/>
      <c r="R388" s="929">
        <f>'matrik MISI 2'!U8</f>
        <v>1.28</v>
      </c>
      <c r="S388" s="929"/>
      <c r="T388" s="929">
        <f>'matrik MISI 2'!V8</f>
        <v>1.28</v>
      </c>
      <c r="U388" s="929"/>
      <c r="V388" s="929">
        <f>'matrik MISI 2'!W8</f>
        <v>1.28</v>
      </c>
      <c r="W388" s="929"/>
      <c r="X388" s="929" t="str">
        <f>'matrik MISI 2'!X8</f>
        <v>Dinas Sosial</v>
      </c>
      <c r="Y388" s="164" t="str">
        <f>'matrik MISI 2'!Y8</f>
        <v>Jumlah anak terlantar yang dibina dibagi jumlah anak terlantar yang ada x 100 %</v>
      </c>
      <c r="Z388" s="164">
        <f>'matrik MISI 2'!Z8</f>
        <v>0</v>
      </c>
    </row>
    <row r="389" spans="2:26" ht="45" hidden="1">
      <c r="B389" s="940"/>
      <c r="C389" s="941"/>
      <c r="D389" s="940" t="str">
        <f>'matrik MISI 2'!J10</f>
        <v>1.13</v>
      </c>
      <c r="E389" s="940" t="str">
        <f>'matrik MISI 2'!K10</f>
        <v>xx</v>
      </c>
      <c r="F389" s="940">
        <f>'matrik MISI 2'!L10</f>
        <v>18</v>
      </c>
      <c r="G389" s="940" t="str">
        <f>'matrik MISI 2'!M10</f>
        <v xml:space="preserve">Program pembinaan para penyandang cacat dan trauma                                          </v>
      </c>
      <c r="H389" s="164"/>
      <c r="I389" s="164"/>
      <c r="J389" s="929"/>
      <c r="K389" s="929"/>
      <c r="L389" s="929"/>
      <c r="M389" s="961">
        <f>'jangan di hapus 1'!K746</f>
        <v>612641000</v>
      </c>
      <c r="N389" s="961"/>
      <c r="O389" s="961">
        <f>'jangan di hapus 1'!M746</f>
        <v>755200000</v>
      </c>
      <c r="P389" s="961"/>
      <c r="Q389" s="961">
        <f>'jangan di hapus 1'!O746</f>
        <v>776200000</v>
      </c>
      <c r="R389" s="961"/>
      <c r="S389" s="961">
        <f>'jangan di hapus 1'!Q746</f>
        <v>797200000</v>
      </c>
      <c r="T389" s="961"/>
      <c r="U389" s="961">
        <f>'jangan di hapus 1'!S746</f>
        <v>818200000</v>
      </c>
      <c r="V389" s="929"/>
      <c r="W389" s="961">
        <f>SUM(M389:U389)</f>
        <v>3759441000</v>
      </c>
      <c r="X389" s="929"/>
      <c r="Y389" s="164"/>
      <c r="Z389" s="164"/>
    </row>
    <row r="390" spans="2:26" ht="210">
      <c r="B390" s="940"/>
      <c r="C390" s="941"/>
      <c r="D390" s="939"/>
      <c r="E390" s="939"/>
      <c r="F390" s="939"/>
      <c r="G390" s="939"/>
      <c r="H390" s="164" t="str">
        <f>'matrik MISI 2'!N10</f>
        <v>Persentase Penyandang Cacat Fisik dan Mental Serta Lanjut Usia Tidak Potensial yang Telah Menerima Jaminan Sosial</v>
      </c>
      <c r="I390" s="164" t="str">
        <f>'matrik MISI 2'!O10</f>
        <v>%</v>
      </c>
      <c r="J390" s="929">
        <f>'matrik MISI 2'!P10</f>
        <v>0.94</v>
      </c>
      <c r="K390" s="929">
        <f>'matrik MISI 2'!Q10</f>
        <v>0.94</v>
      </c>
      <c r="L390" s="929">
        <f>'matrik MISI 2'!R10</f>
        <v>2.71</v>
      </c>
      <c r="M390" s="961"/>
      <c r="N390" s="929">
        <f>'matrik MISI 2'!S10</f>
        <v>2.71</v>
      </c>
      <c r="O390" s="929"/>
      <c r="P390" s="929">
        <f>'matrik MISI 2'!T10</f>
        <v>4.5999999999999996</v>
      </c>
      <c r="Q390" s="929"/>
      <c r="R390" s="929">
        <f>'matrik MISI 2'!U10</f>
        <v>4.78</v>
      </c>
      <c r="S390" s="929"/>
      <c r="T390" s="929">
        <f>'matrik MISI 2'!V10</f>
        <v>5.0599999999999996</v>
      </c>
      <c r="U390" s="929"/>
      <c r="V390" s="929">
        <f>'matrik MISI 2'!W10</f>
        <v>5.0599999999999996</v>
      </c>
      <c r="W390" s="929"/>
      <c r="X390" s="929" t="str">
        <f>'matrik MISI 2'!X10</f>
        <v>Dinas Sosial</v>
      </c>
      <c r="Y390" s="164"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90" s="164" t="str">
        <f>'matrik MISI 2'!Z10</f>
        <v xml:space="preserve"> sasaran : Penyandang Cacat Fisik dan Mental serta Lansia Non Potensial Terlantar menggunakan basik data tahun 2013</v>
      </c>
    </row>
    <row r="391" spans="2:26" ht="75" hidden="1">
      <c r="B391" s="940"/>
      <c r="C391" s="941"/>
      <c r="D391" s="940" t="str">
        <f>'matrik MISI 2'!J11</f>
        <v>1.13</v>
      </c>
      <c r="E391" s="940" t="str">
        <f>'matrik MISI 2'!K11</f>
        <v>xx</v>
      </c>
      <c r="F391" s="940">
        <f>'matrik MISI 2'!L11</f>
        <v>20</v>
      </c>
      <c r="G391" s="940" t="str">
        <f>'matrik MISI 2'!M11</f>
        <v>Program pembinaan eks penyandang penyakit sosial (eks narapidana, PSK, narkoba dan penyakit sosial lainnya)</v>
      </c>
      <c r="H391" s="164"/>
      <c r="I391" s="164"/>
      <c r="J391" s="929"/>
      <c r="K391" s="929"/>
      <c r="L391" s="929"/>
      <c r="M391" s="961">
        <f>'jangan di hapus 1'!K753</f>
        <v>41997000</v>
      </c>
      <c r="N391" s="961"/>
      <c r="O391" s="961">
        <f>'jangan di hapus 1'!M753</f>
        <v>50000000</v>
      </c>
      <c r="P391" s="961"/>
      <c r="Q391" s="961">
        <f>'jangan di hapus 1'!O753</f>
        <v>57500000</v>
      </c>
      <c r="R391" s="961"/>
      <c r="S391" s="961">
        <f>'jangan di hapus 1'!Q753</f>
        <v>62500000</v>
      </c>
      <c r="T391" s="961"/>
      <c r="U391" s="961">
        <f>'jangan di hapus 1'!S753</f>
        <v>70000000</v>
      </c>
      <c r="V391" s="929"/>
      <c r="W391" s="961">
        <f>SUM(M391:U391)</f>
        <v>281997000</v>
      </c>
      <c r="X391" s="929"/>
      <c r="Y391" s="164"/>
      <c r="Z391" s="164"/>
    </row>
    <row r="392" spans="2:26" ht="90" hidden="1">
      <c r="B392" s="940"/>
      <c r="C392" s="941"/>
      <c r="D392" s="940" t="str">
        <f>'matrik MISI 2'!J12</f>
        <v>1.13</v>
      </c>
      <c r="E392" s="940" t="str">
        <f>'matrik MISI 2'!K12</f>
        <v>xx</v>
      </c>
      <c r="F392" s="940">
        <f>'matrik MISI 2'!L12</f>
        <v>15</v>
      </c>
      <c r="G392" s="940" t="str">
        <f>'matrik MISI 2'!M12</f>
        <v>Program Pemberdayaan Fakir Miskin, Komunitas Adat Terpencil (KAT) dan Penyandang Masalah Kesejahteraan Sosial (PMKS) Lainnya</v>
      </c>
      <c r="H392" s="164"/>
      <c r="I392" s="164"/>
      <c r="J392" s="929"/>
      <c r="K392" s="929"/>
      <c r="L392" s="929"/>
      <c r="M392" s="961">
        <f>'jangan di hapus 1'!K714</f>
        <v>815000000</v>
      </c>
      <c r="N392" s="961"/>
      <c r="O392" s="961">
        <f>'jangan di hapus 1'!M714</f>
        <v>920000000</v>
      </c>
      <c r="P392" s="961"/>
      <c r="Q392" s="961">
        <f>'jangan di hapus 1'!O714</f>
        <v>1125000000</v>
      </c>
      <c r="R392" s="961"/>
      <c r="S392" s="961">
        <f>'jangan di hapus 1'!Q714</f>
        <v>1275000000</v>
      </c>
      <c r="T392" s="961"/>
      <c r="U392" s="961">
        <f>'jangan di hapus 1'!S714</f>
        <v>1325000000</v>
      </c>
      <c r="V392" s="929"/>
      <c r="W392" s="961">
        <f>SUM(M392:U392)</f>
        <v>5460000000</v>
      </c>
      <c r="X392" s="929"/>
      <c r="Y392" s="164"/>
      <c r="Z392" s="164"/>
    </row>
    <row r="393" spans="2:26" ht="285">
      <c r="B393" s="940"/>
      <c r="C393" s="941"/>
      <c r="D393" s="939"/>
      <c r="E393" s="939"/>
      <c r="F393" s="939"/>
      <c r="G393" s="939"/>
      <c r="H393" s="164" t="str">
        <f>'matrik MISI 2'!N12</f>
        <v>Cakupan PMKS yang Memperoleh Pemberdayaan Sosial melalui KUBE atau kelompok Sosial Ekonomi sejenis</v>
      </c>
      <c r="I393" s="164" t="str">
        <f>'matrik MISI 2'!O12</f>
        <v>%</v>
      </c>
      <c r="J393" s="929">
        <f>'matrik MISI 2'!P12</f>
        <v>0.33</v>
      </c>
      <c r="K393" s="929">
        <f>'matrik MISI 2'!Q12</f>
        <v>0.28999999999999998</v>
      </c>
      <c r="L393" s="929">
        <f>'matrik MISI 2'!R12</f>
        <v>0.34</v>
      </c>
      <c r="M393" s="961"/>
      <c r="N393" s="929">
        <f>'matrik MISI 2'!S12</f>
        <v>1</v>
      </c>
      <c r="O393" s="929"/>
      <c r="P393" s="929">
        <f>'matrik MISI 2'!T12</f>
        <v>1.5</v>
      </c>
      <c r="Q393" s="929"/>
      <c r="R393" s="929">
        <f>'matrik MISI 2'!U12</f>
        <v>2.25</v>
      </c>
      <c r="S393" s="929"/>
      <c r="T393" s="929">
        <f>'matrik MISI 2'!V12</f>
        <v>3</v>
      </c>
      <c r="U393" s="929"/>
      <c r="V393" s="929">
        <f>'matrik MISI 2'!W12</f>
        <v>3</v>
      </c>
      <c r="W393" s="929"/>
      <c r="X393" s="929" t="str">
        <f>'matrik MISI 2'!X12</f>
        <v>Dinas Sosial</v>
      </c>
      <c r="Y393" s="164"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93" s="164" t="str">
        <f>'matrik MISI 2'!Z12</f>
        <v>PMKS yang menjadi sasaran pada IKD ini adalah FM, PRSE, LANSIA Potensial, Penyandang Disabilitas menggunakan basik data tahun 2013</v>
      </c>
    </row>
    <row r="394" spans="2:26" ht="45" hidden="1">
      <c r="B394" s="940"/>
      <c r="C394" s="941"/>
      <c r="D394" s="940">
        <f>'matrik MISI 2'!J17</f>
        <v>1.1299999999999999</v>
      </c>
      <c r="E394" s="940" t="str">
        <f>'matrik MISI 2'!K17</f>
        <v>xx</v>
      </c>
      <c r="F394" s="940">
        <f>'matrik MISI 2'!L17</f>
        <v>21</v>
      </c>
      <c r="G394" s="940" t="str">
        <f>'matrik MISI 2'!M17</f>
        <v>Program Pemberdayaan Kelembagaan Kesejahteraan Sosial</v>
      </c>
      <c r="H394" s="164"/>
      <c r="I394" s="164"/>
      <c r="J394" s="929"/>
      <c r="K394" s="929"/>
      <c r="L394" s="929"/>
      <c r="M394" s="961">
        <f>'jangan di hapus 1'!K756</f>
        <v>777825000</v>
      </c>
      <c r="N394" s="961"/>
      <c r="O394" s="961">
        <f>'jangan di hapus 1'!M756</f>
        <v>2260000000</v>
      </c>
      <c r="P394" s="961"/>
      <c r="Q394" s="961">
        <f>'jangan di hapus 1'!O756</f>
        <v>2450500000</v>
      </c>
      <c r="R394" s="961"/>
      <c r="S394" s="961">
        <f>'jangan di hapus 1'!Q756</f>
        <v>2562000000</v>
      </c>
      <c r="T394" s="961"/>
      <c r="U394" s="961">
        <f>'jangan di hapus 1'!S756</f>
        <v>2626000000</v>
      </c>
      <c r="V394" s="929"/>
      <c r="W394" s="961">
        <f>SUM(M394:U394)</f>
        <v>10676325000</v>
      </c>
      <c r="X394" s="929"/>
      <c r="Y394" s="164"/>
      <c r="Z394" s="164"/>
    </row>
    <row r="395" spans="2:26" ht="255">
      <c r="B395" s="940"/>
      <c r="C395" s="941"/>
      <c r="D395" s="939"/>
      <c r="E395" s="939"/>
      <c r="F395" s="939"/>
      <c r="G395" s="939"/>
      <c r="H395" s="164" t="str">
        <f>'matrik MISI 2'!N17</f>
        <v>Cakupan Dunia Usaha yang mengalokasikan CSR dalam Penanganan PMKS</v>
      </c>
      <c r="I395" s="164" t="str">
        <f>'matrik MISI 2'!O17</f>
        <v>%</v>
      </c>
      <c r="J395" s="929">
        <f>'matrik MISI 2'!P17</f>
        <v>100</v>
      </c>
      <c r="K395" s="929">
        <f>'matrik MISI 2'!Q17</f>
        <v>100</v>
      </c>
      <c r="L395" s="929">
        <f>'matrik MISI 2'!R17</f>
        <v>100</v>
      </c>
      <c r="M395" s="961"/>
      <c r="N395" s="929">
        <f>'matrik MISI 2'!S17</f>
        <v>100</v>
      </c>
      <c r="O395" s="929"/>
      <c r="P395" s="929">
        <f>'matrik MISI 2'!T17</f>
        <v>100</v>
      </c>
      <c r="Q395" s="929"/>
      <c r="R395" s="929">
        <f>'matrik MISI 2'!U17</f>
        <v>100</v>
      </c>
      <c r="S395" s="929"/>
      <c r="T395" s="929">
        <f>'matrik MISI 2'!V17</f>
        <v>100</v>
      </c>
      <c r="U395" s="929"/>
      <c r="V395" s="929">
        <f>'matrik MISI 2'!W17</f>
        <v>100</v>
      </c>
      <c r="W395" s="929"/>
      <c r="X395" s="929" t="str">
        <f>'matrik MISI 2'!X17</f>
        <v>Dinas Sosial</v>
      </c>
      <c r="Y395" s="164" t="str">
        <f>'matrik MISI 2'!Y17</f>
        <v xml:space="preserve">jumlah Dunia Usaha yang melaksanakan CSR  terhadap PMKS dibagi Jumlah Dunia Usaha yang  melaksanakan CSR </v>
      </c>
      <c r="Z395" s="164"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6" spans="2:26" ht="255">
      <c r="B396" s="940"/>
      <c r="C396" s="941"/>
      <c r="D396" s="940"/>
      <c r="E396" s="940"/>
      <c r="F396" s="940"/>
      <c r="G396" s="940"/>
      <c r="H396" s="164" t="str">
        <f>'matrik MISI 2'!N18</f>
        <v>Cakupan Karang Taruna, PSM, dan Organisasi Sosial lainnya dalam Penanganan PMKS</v>
      </c>
      <c r="I396" s="164" t="str">
        <f>'matrik MISI 2'!O18</f>
        <v>%</v>
      </c>
      <c r="J396" s="929">
        <f>'matrik MISI 2'!P18</f>
        <v>100</v>
      </c>
      <c r="K396" s="929">
        <f>'matrik MISI 2'!Q18</f>
        <v>100</v>
      </c>
      <c r="L396" s="929">
        <f>'matrik MISI 2'!R18</f>
        <v>100</v>
      </c>
      <c r="M396" s="961"/>
      <c r="N396" s="929">
        <f>'matrik MISI 2'!S18</f>
        <v>100</v>
      </c>
      <c r="O396" s="929"/>
      <c r="P396" s="929">
        <f>'matrik MISI 2'!T18</f>
        <v>100</v>
      </c>
      <c r="Q396" s="929"/>
      <c r="R396" s="929">
        <f>'matrik MISI 2'!U18</f>
        <v>100</v>
      </c>
      <c r="S396" s="929"/>
      <c r="T396" s="929">
        <f>'matrik MISI 2'!V18</f>
        <v>100</v>
      </c>
      <c r="U396" s="929"/>
      <c r="V396" s="929">
        <f>'matrik MISI 2'!W18</f>
        <v>100</v>
      </c>
      <c r="W396" s="929"/>
      <c r="X396" s="929" t="str">
        <f>'matrik MISI 2'!X18</f>
        <v>Dinas Sosial</v>
      </c>
      <c r="Y396" s="164"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6" s="164" t="str">
        <f>'matrik MISI 2'!Z18</f>
        <v>Orsos lainnnya seperti TKSK, K3S, Komda Lansia, Tagana, LK3</v>
      </c>
    </row>
    <row r="397" spans="2:26" ht="409.5">
      <c r="B397" s="940"/>
      <c r="C397" s="941"/>
      <c r="D397" s="940"/>
      <c r="E397" s="940"/>
      <c r="F397" s="940"/>
      <c r="G397" s="940"/>
      <c r="H397" s="164" t="str">
        <f>'matrik MISI 2'!N19</f>
        <v>Cakupan Wahana Kesejahteraan Sosial Berbasis Masyarakat (WKSBM) yang Menyediakan Sarana dan Prasarana Pelayanan Kesejahteraan Sosial</v>
      </c>
      <c r="I397" s="164" t="str">
        <f>'matrik MISI 2'!O19</f>
        <v>%</v>
      </c>
      <c r="J397" s="929">
        <f>'matrik MISI 2'!P19</f>
        <v>0</v>
      </c>
      <c r="K397" s="929">
        <f>'matrik MISI 2'!Q19</f>
        <v>0</v>
      </c>
      <c r="L397" s="929">
        <f>'matrik MISI 2'!R19</f>
        <v>0</v>
      </c>
      <c r="M397" s="961"/>
      <c r="N397" s="929">
        <f>'matrik MISI 2'!S19</f>
        <v>24.22</v>
      </c>
      <c r="O397" s="929"/>
      <c r="P397" s="929">
        <f>'matrik MISI 2'!T19</f>
        <v>24.22</v>
      </c>
      <c r="Q397" s="929"/>
      <c r="R397" s="929">
        <f>'matrik MISI 2'!U19</f>
        <v>25.61</v>
      </c>
      <c r="S397" s="929"/>
      <c r="T397" s="929">
        <f>'matrik MISI 2'!V19</f>
        <v>25.95</v>
      </c>
      <c r="U397" s="929"/>
      <c r="V397" s="929">
        <f>'matrik MISI 2'!W19</f>
        <v>25.95</v>
      </c>
      <c r="W397" s="929"/>
      <c r="X397" s="929" t="str">
        <f>'matrik MISI 2'!X19</f>
        <v>Dinas Sosial</v>
      </c>
      <c r="Y397" s="164" t="str">
        <f>'matrik MISI 2'!Y19</f>
        <v>Persentase  WKBSM dalam 1 (satu) tahun yang menyediakan sarana prasarana pelayanan kesejahteraan sosial dibagi Persentase  WKBSM dalam 1 (satu) tahun yang seharusnya menyediakan sarana prasarana pelayanan kesejahteraan sosial x 100</v>
      </c>
      <c r="Z397" s="164"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8" spans="2:26" ht="30">
      <c r="B398" s="940"/>
      <c r="C398" s="941"/>
      <c r="D398" s="940">
        <f>'matrik MISI 2'!J24</f>
        <v>1.1299999999999999</v>
      </c>
      <c r="E398" s="940" t="str">
        <f>'matrik MISI 2'!K24</f>
        <v>xx</v>
      </c>
      <c r="F398" s="940">
        <f>'matrik MISI 2'!L24</f>
        <v>25</v>
      </c>
      <c r="G398" s="940" t="str">
        <f>'matrik MISI 2'!M24</f>
        <v xml:space="preserve">program pencegahan dan kesiapsiagaan </v>
      </c>
      <c r="H398" s="164"/>
      <c r="I398" s="164"/>
      <c r="J398" s="929"/>
      <c r="K398" s="929"/>
      <c r="L398" s="929"/>
      <c r="M398" s="961">
        <f>'jangan di hapus 1'!K784</f>
        <v>223097100</v>
      </c>
      <c r="N398" s="961"/>
      <c r="O398" s="961">
        <f>'jangan di hapus 1'!M784</f>
        <v>665000000</v>
      </c>
      <c r="P398" s="961"/>
      <c r="Q398" s="961">
        <f>'jangan di hapus 1'!O784</f>
        <v>695000000</v>
      </c>
      <c r="R398" s="961"/>
      <c r="S398" s="961">
        <f>'jangan di hapus 1'!Q784</f>
        <v>695000000</v>
      </c>
      <c r="T398" s="961"/>
      <c r="U398" s="961">
        <f>'jangan di hapus 1'!S784</f>
        <v>705000000</v>
      </c>
      <c r="V398" s="929"/>
      <c r="W398" s="961">
        <f>SUM(M398:U398)</f>
        <v>2983097100</v>
      </c>
      <c r="X398" s="929"/>
      <c r="Y398" s="164"/>
      <c r="Z398" s="164"/>
    </row>
    <row r="399" spans="2:26" ht="225">
      <c r="B399" s="940"/>
      <c r="C399" s="941"/>
      <c r="D399" s="939"/>
      <c r="E399" s="939"/>
      <c r="F399" s="939"/>
      <c r="G399" s="939"/>
      <c r="H399" s="164" t="str">
        <f>'matrik MISI 2'!N25</f>
        <v>Persentase Tertanganinya Kerusakan Fisik Akibat Bencana Melalui Rehabilitasi dan Rekonstruksi Pasca Bencana dalam Waktu 1(satu) Tahun</v>
      </c>
      <c r="I399" s="164" t="str">
        <f>'matrik MISI 2'!O25</f>
        <v>%</v>
      </c>
      <c r="J399" s="929">
        <f>'matrik MISI 2'!P25</f>
        <v>100</v>
      </c>
      <c r="K399" s="929">
        <f>'matrik MISI 2'!Q25</f>
        <v>100</v>
      </c>
      <c r="L399" s="929">
        <f>'matrik MISI 2'!R25</f>
        <v>100</v>
      </c>
      <c r="M399" s="961"/>
      <c r="N399" s="929">
        <f>'matrik MISI 2'!S25</f>
        <v>100</v>
      </c>
      <c r="O399" s="929"/>
      <c r="P399" s="929">
        <f>'matrik MISI 2'!T25</f>
        <v>100</v>
      </c>
      <c r="Q399" s="929"/>
      <c r="R399" s="929">
        <f>'matrik MISI 2'!U25</f>
        <v>100</v>
      </c>
      <c r="S399" s="929"/>
      <c r="T399" s="929">
        <f>'matrik MISI 2'!V25</f>
        <v>100</v>
      </c>
      <c r="U399" s="929"/>
      <c r="V399" s="929">
        <f>'matrik MISI 2'!W25</f>
        <v>100</v>
      </c>
      <c r="W399" s="929"/>
      <c r="X399" s="929" t="str">
        <f>'matrik MISI 2'!X25</f>
        <v>DPU</v>
      </c>
      <c r="Y399" s="164"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9" s="164">
        <f>'matrik MISI 2'!Z25</f>
        <v>0</v>
      </c>
    </row>
    <row r="400" spans="2:26" ht="30" hidden="1">
      <c r="B400" s="940"/>
      <c r="C400" s="941"/>
      <c r="D400" s="940">
        <f>'matrik MISI 2'!J25</f>
        <v>1.1299999999999999</v>
      </c>
      <c r="E400" s="940" t="str">
        <f>'matrik MISI 2'!K25</f>
        <v>xx</v>
      </c>
      <c r="F400" s="940">
        <f>'matrik MISI 2'!L25</f>
        <v>26</v>
      </c>
      <c r="G400" s="940" t="str">
        <f>'matrik MISI 2'!M25</f>
        <v>program tanggap darurat dan logistik</v>
      </c>
      <c r="H400" s="164"/>
      <c r="I400" s="164"/>
      <c r="J400" s="929"/>
      <c r="K400" s="929"/>
      <c r="L400" s="929"/>
      <c r="M400" s="961">
        <f>'jangan di hapus 1'!K793</f>
        <v>2795821000</v>
      </c>
      <c r="N400" s="961"/>
      <c r="O400" s="961">
        <f>'jangan di hapus 1'!M793</f>
        <v>2798795000</v>
      </c>
      <c r="P400" s="961"/>
      <c r="Q400" s="961">
        <f>'jangan di hapus 1'!O793</f>
        <v>2850000000</v>
      </c>
      <c r="R400" s="961"/>
      <c r="S400" s="961">
        <f>'jangan di hapus 1'!Q793</f>
        <v>2850000000</v>
      </c>
      <c r="T400" s="961"/>
      <c r="U400" s="961">
        <f>'jangan di hapus 1'!S793</f>
        <v>2850000000</v>
      </c>
      <c r="V400" s="929"/>
      <c r="W400" s="961">
        <f>SUM(M400:U400)</f>
        <v>14144616000</v>
      </c>
      <c r="X400" s="929"/>
      <c r="Y400" s="164"/>
      <c r="Z400" s="164"/>
    </row>
    <row r="401" spans="2:26" ht="165">
      <c r="B401" s="940"/>
      <c r="C401" s="941"/>
      <c r="D401" s="939"/>
      <c r="E401" s="939"/>
      <c r="F401" s="939"/>
      <c r="G401" s="939"/>
      <c r="H401" s="164" t="str">
        <f>'matrik MISI 2'!N26</f>
        <v xml:space="preserve">Persentase Tertanganinya Kerusakan Fisik Akibat Bencana Melalui Rehabilitasi dan Rekonstruksi sementara tanggap darurat Pasca Bencana </v>
      </c>
      <c r="I401" s="164" t="str">
        <f>'matrik MISI 2'!O26</f>
        <v>%</v>
      </c>
      <c r="J401" s="929">
        <f>'matrik MISI 2'!P26</f>
        <v>100</v>
      </c>
      <c r="K401" s="929">
        <f>'matrik MISI 2'!Q26</f>
        <v>100</v>
      </c>
      <c r="L401" s="929">
        <f>'matrik MISI 2'!R26</f>
        <v>100</v>
      </c>
      <c r="M401" s="961"/>
      <c r="N401" s="929">
        <f>'matrik MISI 2'!S26</f>
        <v>100</v>
      </c>
      <c r="O401" s="929"/>
      <c r="P401" s="929">
        <f>'matrik MISI 2'!T26</f>
        <v>100</v>
      </c>
      <c r="Q401" s="929"/>
      <c r="R401" s="929">
        <f>'matrik MISI 2'!U26</f>
        <v>100</v>
      </c>
      <c r="S401" s="929"/>
      <c r="T401" s="929">
        <f>'matrik MISI 2'!V26</f>
        <v>100</v>
      </c>
      <c r="U401" s="929"/>
      <c r="V401" s="929">
        <f>'matrik MISI 2'!W26</f>
        <v>100</v>
      </c>
      <c r="W401" s="929"/>
      <c r="X401" s="929" t="str">
        <f>'matrik MISI 2'!X26</f>
        <v>BPBD</v>
      </c>
      <c r="Y401" s="164" t="str">
        <f>'matrik MISI 2'!Y26</f>
        <v>jumlah kerusakan akibat bencana yang terbangun kembali melalui rahabilitasi dan rekonstruksi sementara tanggap darurat pasca bencana dibagi jumlah kerusakan akibat bencana yang terjadi</v>
      </c>
      <c r="Z401" s="164" t="str">
        <f>'matrik MISI 2'!Z26</f>
        <v>Perbaikan sarana prasarana dalam rangka tangap darurat bencana</v>
      </c>
    </row>
    <row r="402" spans="2:26" ht="45" hidden="1">
      <c r="B402" s="940"/>
      <c r="C402" s="941"/>
      <c r="D402" s="940">
        <f>'matrik MISI 2'!J27</f>
        <v>1.1299999999999999</v>
      </c>
      <c r="E402" s="940" t="str">
        <f>'matrik MISI 2'!K27</f>
        <v>xx</v>
      </c>
      <c r="F402" s="940">
        <f>'matrik MISI 2'!L27</f>
        <v>27</v>
      </c>
      <c r="G402" s="940" t="str">
        <f>'matrik MISI 2'!M27</f>
        <v>program rehabilitasi dan rekonstruksi pasca bencana</v>
      </c>
      <c r="H402" s="164"/>
      <c r="I402" s="164"/>
      <c r="J402" s="929"/>
      <c r="K402" s="929"/>
      <c r="L402" s="929"/>
      <c r="M402" s="961">
        <f>'jangan di hapus 1'!K798</f>
        <v>491367000</v>
      </c>
      <c r="N402" s="961"/>
      <c r="O402" s="961">
        <f>'jangan di hapus 1'!M798</f>
        <v>922500000</v>
      </c>
      <c r="P402" s="961"/>
      <c r="Q402" s="961">
        <f>'jangan di hapus 1'!O798</f>
        <v>1025000000</v>
      </c>
      <c r="R402" s="961"/>
      <c r="S402" s="961">
        <f>'jangan di hapus 1'!Q798</f>
        <v>1125000000</v>
      </c>
      <c r="T402" s="961"/>
      <c r="U402" s="961">
        <f>'jangan di hapus 1'!S798</f>
        <v>1225000000</v>
      </c>
      <c r="V402" s="929"/>
      <c r="W402" s="961">
        <f>SUM(M402:U402)</f>
        <v>4788867000</v>
      </c>
      <c r="X402" s="929"/>
      <c r="Y402" s="164"/>
      <c r="Z402" s="164"/>
    </row>
    <row r="403" spans="2:26" ht="180">
      <c r="B403" s="940"/>
      <c r="C403" s="941"/>
      <c r="D403" s="939"/>
      <c r="E403" s="939"/>
      <c r="F403" s="939"/>
      <c r="G403" s="939"/>
      <c r="H403" s="164" t="str">
        <f>'matrik MISI 2'!N27</f>
        <v>Persentase Korban Bencana Skala Kabupaten yang Menerima Bantuan Sosial Selama Masa Tanggap Darurat</v>
      </c>
      <c r="I403" s="164" t="str">
        <f>'matrik MISI 2'!O27</f>
        <v>%</v>
      </c>
      <c r="J403" s="929">
        <f>'matrik MISI 2'!P27</f>
        <v>100</v>
      </c>
      <c r="K403" s="929">
        <f>'matrik MISI 2'!Q27</f>
        <v>100</v>
      </c>
      <c r="L403" s="929">
        <f>'matrik MISI 2'!R27</f>
        <v>100</v>
      </c>
      <c r="M403" s="961"/>
      <c r="N403" s="929">
        <f>'matrik MISI 2'!S27</f>
        <v>100</v>
      </c>
      <c r="O403" s="929"/>
      <c r="P403" s="929">
        <f>'matrik MISI 2'!T27</f>
        <v>100</v>
      </c>
      <c r="Q403" s="929"/>
      <c r="R403" s="929">
        <f>'matrik MISI 2'!U27</f>
        <v>100</v>
      </c>
      <c r="S403" s="929"/>
      <c r="T403" s="929">
        <f>'matrik MISI 2'!V27</f>
        <v>100</v>
      </c>
      <c r="U403" s="929"/>
      <c r="V403" s="929">
        <f>'matrik MISI 2'!W27</f>
        <v>100</v>
      </c>
      <c r="W403" s="929"/>
      <c r="X403" s="929" t="str">
        <f>'matrik MISI 2'!X27</f>
        <v>BPBD / Dinsos</v>
      </c>
      <c r="Y403" s="164" t="str">
        <f>'matrik MISI 2'!Y27</f>
        <v>jumlah korban bencana dalam 1 tahun yang menerima bantuan sosial selama masa tanggap darurat/ jumlah korban bencana dalam 1 tahun yang seharusnya menerima bantuan sosial selama masa tanggap darurat</v>
      </c>
      <c r="Z403" s="164">
        <f>'matrik MISI 2'!Z27</f>
        <v>0</v>
      </c>
    </row>
    <row r="404" spans="2:26" ht="225">
      <c r="B404" s="950"/>
      <c r="C404" s="951"/>
      <c r="D404" s="950"/>
      <c r="E404" s="950"/>
      <c r="F404" s="950"/>
      <c r="G404" s="950"/>
      <c r="H404" s="164" t="str">
        <f>'matrik MISI 2'!N28</f>
        <v>Persentase Korban Bencana Skala Kabupaten yang di Evakuasi Menggunakan Sarana dan Prasarana Tanggap Darurat Lengkap</v>
      </c>
      <c r="I404" s="164" t="str">
        <f>'matrik MISI 2'!O28</f>
        <v>%</v>
      </c>
      <c r="J404" s="929">
        <f>'matrik MISI 2'!P28</f>
        <v>100</v>
      </c>
      <c r="K404" s="929">
        <f>'matrik MISI 2'!Q28</f>
        <v>100</v>
      </c>
      <c r="L404" s="929">
        <f>'matrik MISI 2'!R28</f>
        <v>100</v>
      </c>
      <c r="M404" s="961"/>
      <c r="N404" s="929">
        <f>'matrik MISI 2'!S28</f>
        <v>100</v>
      </c>
      <c r="O404" s="929"/>
      <c r="P404" s="929">
        <f>'matrik MISI 2'!T28</f>
        <v>100</v>
      </c>
      <c r="Q404" s="929"/>
      <c r="R404" s="929">
        <f>'matrik MISI 2'!U28</f>
        <v>100</v>
      </c>
      <c r="S404" s="929"/>
      <c r="T404" s="929">
        <f>'matrik MISI 2'!V28</f>
        <v>100</v>
      </c>
      <c r="U404" s="929"/>
      <c r="V404" s="929">
        <f>'matrik MISI 2'!W28</f>
        <v>100</v>
      </c>
      <c r="W404" s="929"/>
      <c r="X404" s="929" t="str">
        <f>'matrik MISI 2'!X28</f>
        <v>BPBD / DPU</v>
      </c>
      <c r="Y404" s="164"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404" s="164">
        <f>'matrik MISI 2'!Z28</f>
        <v>0</v>
      </c>
    </row>
    <row r="405" spans="2:26" ht="60">
      <c r="B405" s="949">
        <v>14</v>
      </c>
      <c r="C405" s="948" t="str">
        <f>'matrik MISI 2'!B29</f>
        <v>KETENAGAKERJAAN</v>
      </c>
      <c r="D405" s="949">
        <f>'matrik MISI 2'!J30</f>
        <v>1.1399999999999999</v>
      </c>
      <c r="E405" s="949" t="str">
        <f>'matrik MISI 2'!K30</f>
        <v>xx</v>
      </c>
      <c r="F405" s="949">
        <f>'matrik MISI 2'!L30</f>
        <v>15</v>
      </c>
      <c r="G405" s="1005" t="str">
        <f>'matrik MISI 2'!M30</f>
        <v>Program Peningkatan Kualitas dan Produktivitas Tenaga Kerja</v>
      </c>
      <c r="H405" s="164"/>
      <c r="I405" s="164"/>
      <c r="J405" s="929"/>
      <c r="K405" s="929"/>
      <c r="L405" s="929"/>
      <c r="M405" s="961">
        <f>'jangan di hapus 1'!K806</f>
        <v>2162191600</v>
      </c>
      <c r="N405" s="961"/>
      <c r="O405" s="961">
        <f>'jangan di hapus 1'!M806</f>
        <v>860000000</v>
      </c>
      <c r="P405" s="961"/>
      <c r="Q405" s="961">
        <f>'jangan di hapus 1'!O806</f>
        <v>987500000</v>
      </c>
      <c r="R405" s="961"/>
      <c r="S405" s="961">
        <f>'jangan di hapus 1'!Q806</f>
        <v>1215000000</v>
      </c>
      <c r="T405" s="961"/>
      <c r="U405" s="961">
        <f>'jangan di hapus 1'!S806</f>
        <v>1298000000</v>
      </c>
      <c r="V405" s="929"/>
      <c r="W405" s="961">
        <f>SUM(M405:U405)</f>
        <v>6522691600</v>
      </c>
      <c r="X405" s="929"/>
      <c r="Y405" s="164"/>
      <c r="Z405" s="164"/>
    </row>
    <row r="406" spans="2:26" ht="30" hidden="1">
      <c r="B406" s="940"/>
      <c r="C406" s="941"/>
      <c r="D406" s="940">
        <f>'matrik MISI 2'!J34</f>
        <v>1.1399999999999999</v>
      </c>
      <c r="E406" s="940" t="str">
        <f>'matrik MISI 2'!K34</f>
        <v>xx</v>
      </c>
      <c r="F406" s="940">
        <f>'matrik MISI 2'!L34</f>
        <v>16</v>
      </c>
      <c r="G406" s="398" t="str">
        <f>'matrik MISI 2'!M34</f>
        <v>Program Peningkatan Kesempatan Kerja</v>
      </c>
      <c r="H406" s="164"/>
      <c r="I406" s="164"/>
      <c r="J406" s="929"/>
      <c r="K406" s="929"/>
      <c r="L406" s="929"/>
      <c r="M406" s="961">
        <f>'jangan di hapus 1'!K813</f>
        <v>1302699000</v>
      </c>
      <c r="N406" s="961"/>
      <c r="O406" s="961">
        <f>'jangan di hapus 1'!M813</f>
        <v>1745000000</v>
      </c>
      <c r="P406" s="961"/>
      <c r="Q406" s="961">
        <f>'jangan di hapus 1'!O813</f>
        <v>1885000000</v>
      </c>
      <c r="R406" s="961"/>
      <c r="S406" s="961">
        <f>'jangan di hapus 1'!Q813</f>
        <v>2150000000</v>
      </c>
      <c r="T406" s="961"/>
      <c r="U406" s="961">
        <f>'jangan di hapus 1'!S813</f>
        <v>2190000000</v>
      </c>
      <c r="V406" s="929"/>
      <c r="W406" s="961">
        <f>SUM(M406:U406)</f>
        <v>9272699000</v>
      </c>
      <c r="X406" s="929"/>
      <c r="Y406" s="164"/>
      <c r="Z406" s="164"/>
    </row>
    <row r="407" spans="2:26" ht="60">
      <c r="B407" s="940"/>
      <c r="C407" s="941"/>
      <c r="D407" s="939"/>
      <c r="E407" s="939"/>
      <c r="F407" s="939"/>
      <c r="G407" s="965"/>
      <c r="H407" s="164" t="str">
        <f>'matrik MISI 2'!N34</f>
        <v>Persentase Pencari Kerja Terdaftar yang ditempatkan Kerja</v>
      </c>
      <c r="I407" s="164" t="str">
        <f>'matrik MISI 2'!O34</f>
        <v>%</v>
      </c>
      <c r="J407" s="929">
        <f>'matrik MISI 2'!P34</f>
        <v>63</v>
      </c>
      <c r="K407" s="929">
        <f>'matrik MISI 2'!Q34</f>
        <v>21</v>
      </c>
      <c r="L407" s="929">
        <f>'matrik MISI 2'!R34</f>
        <v>65</v>
      </c>
      <c r="M407" s="961"/>
      <c r="N407" s="929">
        <f>'matrik MISI 2'!S34</f>
        <v>67</v>
      </c>
      <c r="O407" s="929"/>
      <c r="P407" s="929">
        <f>'matrik MISI 2'!T34</f>
        <v>70</v>
      </c>
      <c r="Q407" s="929"/>
      <c r="R407" s="929">
        <f>'matrik MISI 2'!U34</f>
        <v>72</v>
      </c>
      <c r="S407" s="929"/>
      <c r="T407" s="929">
        <f>'matrik MISI 2'!V34</f>
        <v>75</v>
      </c>
      <c r="U407" s="929"/>
      <c r="V407" s="929">
        <f>'matrik MISI 2'!W34</f>
        <v>75</v>
      </c>
      <c r="W407" s="929"/>
      <c r="X407" s="929" t="str">
        <f>'matrik MISI 2'!X34</f>
        <v>Disnakertran</v>
      </c>
      <c r="Y407" s="164" t="str">
        <f>'matrik MISI 2'!Y34</f>
        <v xml:space="preserve">jumlah pencari kerja yang ditempatkan dibagi Jumlah pencari kerja terdaftar X 100 </v>
      </c>
      <c r="Z407" s="164">
        <f>'matrik MISI 2'!Z34</f>
        <v>0</v>
      </c>
    </row>
    <row r="408" spans="2:26" ht="60" hidden="1">
      <c r="B408" s="940"/>
      <c r="C408" s="941"/>
      <c r="D408" s="940">
        <f>'matrik MISI 2'!J39</f>
        <v>1.1399999999999999</v>
      </c>
      <c r="E408" s="940" t="str">
        <f>'matrik MISI 2'!K39</f>
        <v>xx</v>
      </c>
      <c r="F408" s="940">
        <f>'matrik MISI 2'!L39</f>
        <v>17</v>
      </c>
      <c r="G408" s="398" t="str">
        <f>'matrik MISI 2'!M39</f>
        <v>Program Perlindungan dan Pengembangan Lembaga Ketenagakerjaan</v>
      </c>
      <c r="H408" s="164"/>
      <c r="I408" s="164"/>
      <c r="J408" s="929"/>
      <c r="K408" s="929"/>
      <c r="L408" s="929"/>
      <c r="M408" s="961">
        <f>'jangan di hapus 1'!K819</f>
        <v>172494800</v>
      </c>
      <c r="N408" s="961"/>
      <c r="O408" s="961">
        <f>'jangan di hapus 1'!M819</f>
        <v>550000000</v>
      </c>
      <c r="P408" s="961"/>
      <c r="Q408" s="961">
        <f>'jangan di hapus 1'!O819</f>
        <v>610000000</v>
      </c>
      <c r="R408" s="961"/>
      <c r="S408" s="961">
        <f>'jangan di hapus 1'!Q819</f>
        <v>673000000</v>
      </c>
      <c r="T408" s="961"/>
      <c r="U408" s="961">
        <f>'jangan di hapus 1'!S819</f>
        <v>729000000</v>
      </c>
      <c r="V408" s="929"/>
      <c r="W408" s="961">
        <f>SUM(M408:U408)</f>
        <v>2734494800</v>
      </c>
      <c r="X408" s="929"/>
      <c r="Y408" s="164"/>
      <c r="Z408" s="164"/>
    </row>
    <row r="409" spans="2:26" ht="75">
      <c r="B409" s="940"/>
      <c r="C409" s="941"/>
      <c r="D409" s="939"/>
      <c r="E409" s="939"/>
      <c r="F409" s="939"/>
      <c r="G409" s="965"/>
      <c r="H409" s="164" t="str">
        <f>'matrik MISI 2'!N39</f>
        <v>Besaran Pemeriksaan Perusahaan</v>
      </c>
      <c r="I409" s="164" t="str">
        <f>'matrik MISI 2'!O39</f>
        <v>%</v>
      </c>
      <c r="J409" s="929">
        <f>'matrik MISI 2'!P39</f>
        <v>9.3000000000000007</v>
      </c>
      <c r="K409" s="929">
        <f>'matrik MISI 2'!Q39</f>
        <v>9.3000000000000007</v>
      </c>
      <c r="L409" s="929">
        <f>'matrik MISI 2'!R39</f>
        <v>13.3</v>
      </c>
      <c r="M409" s="961"/>
      <c r="N409" s="929">
        <f>'matrik MISI 2'!S39</f>
        <v>14</v>
      </c>
      <c r="O409" s="929"/>
      <c r="P409" s="929">
        <f>'matrik MISI 2'!T39</f>
        <v>16</v>
      </c>
      <c r="Q409" s="929"/>
      <c r="R409" s="929">
        <f>'matrik MISI 2'!U39</f>
        <v>18</v>
      </c>
      <c r="S409" s="929"/>
      <c r="T409" s="929">
        <f>'matrik MISI 2'!V39</f>
        <v>19.399999999999999</v>
      </c>
      <c r="U409" s="929"/>
      <c r="V409" s="929">
        <f>'matrik MISI 2'!W39</f>
        <v>19.399999999999999</v>
      </c>
      <c r="W409" s="929"/>
      <c r="X409" s="929" t="str">
        <f>'matrik MISI 2'!X39</f>
        <v>Disnakertran</v>
      </c>
      <c r="Y409" s="164" t="str">
        <f>'matrik MISI 2'!Y39</f>
        <v>Jumlah perusahaan yang telah diperiksa dibagi Jumlah perusahaan yang terdaftar X 100</v>
      </c>
      <c r="Z409" s="164">
        <f>'matrik MISI 2'!Z39</f>
        <v>0</v>
      </c>
    </row>
    <row r="410" spans="2:26" ht="90">
      <c r="B410" s="940"/>
      <c r="C410" s="941"/>
      <c r="D410" s="940"/>
      <c r="E410" s="940"/>
      <c r="F410" s="940"/>
      <c r="G410" s="398"/>
      <c r="H410" s="164" t="str">
        <f>'matrik MISI 2'!N40</f>
        <v>Cakupan Pekerja atau Buruh yang Menjadi peserta Program Jamsostek/Program Sejenis</v>
      </c>
      <c r="I410" s="164" t="str">
        <f>'matrik MISI 2'!O40</f>
        <v>%</v>
      </c>
      <c r="J410" s="929" t="str">
        <f>'matrik MISI 2'!P40</f>
        <v xml:space="preserve"> - </v>
      </c>
      <c r="K410" s="929">
        <f>'matrik MISI 2'!Q40</f>
        <v>62.4</v>
      </c>
      <c r="L410" s="929">
        <f>'matrik MISI 2'!R40</f>
        <v>65.5</v>
      </c>
      <c r="M410" s="961"/>
      <c r="N410" s="929">
        <f>'matrik MISI 2'!S40</f>
        <v>65.5</v>
      </c>
      <c r="O410" s="929"/>
      <c r="P410" s="929">
        <f>'matrik MISI 2'!T40</f>
        <v>80</v>
      </c>
      <c r="Q410" s="929"/>
      <c r="R410" s="929">
        <f>'matrik MISI 2'!U40</f>
        <v>90</v>
      </c>
      <c r="S410" s="929"/>
      <c r="T410" s="929">
        <f>'matrik MISI 2'!V40</f>
        <v>100</v>
      </c>
      <c r="U410" s="929"/>
      <c r="V410" s="929">
        <f>'matrik MISI 2'!W40</f>
        <v>100</v>
      </c>
      <c r="W410" s="929"/>
      <c r="X410" s="929" t="str">
        <f>'matrik MISI 2'!X40</f>
        <v>Disnakertran</v>
      </c>
      <c r="Y410" s="164" t="str">
        <f>'matrik MISI 2'!Y40</f>
        <v>Jumlah pekerja/buruh peserta program jamsostek dibagi jumlah pekerja/buruh X 100</v>
      </c>
      <c r="Z410" s="164">
        <f>'matrik MISI 2'!Z40</f>
        <v>0</v>
      </c>
    </row>
    <row r="411" spans="2:26" ht="75">
      <c r="B411" s="940"/>
      <c r="C411" s="941"/>
      <c r="D411" s="940"/>
      <c r="E411" s="940"/>
      <c r="F411" s="940"/>
      <c r="G411" s="398"/>
      <c r="H411" s="164" t="str">
        <f>'matrik MISI 2'!N41</f>
        <v>Persentase Kasus yang diselesaikan Dengan Perjanjian Bersama</v>
      </c>
      <c r="I411" s="164" t="str">
        <f>'matrik MISI 2'!O41</f>
        <v>%</v>
      </c>
      <c r="J411" s="929">
        <f>'matrik MISI 2'!P41</f>
        <v>100</v>
      </c>
      <c r="K411" s="929">
        <f>'matrik MISI 2'!Q41</f>
        <v>100</v>
      </c>
      <c r="L411" s="929">
        <f>'matrik MISI 2'!R41</f>
        <v>100</v>
      </c>
      <c r="M411" s="961"/>
      <c r="N411" s="929">
        <f>'matrik MISI 2'!S41</f>
        <v>100</v>
      </c>
      <c r="O411" s="929"/>
      <c r="P411" s="929">
        <f>'matrik MISI 2'!T41</f>
        <v>100</v>
      </c>
      <c r="Q411" s="929"/>
      <c r="R411" s="929">
        <f>'matrik MISI 2'!U41</f>
        <v>100</v>
      </c>
      <c r="S411" s="929"/>
      <c r="T411" s="929">
        <f>'matrik MISI 2'!V41</f>
        <v>100</v>
      </c>
      <c r="U411" s="929"/>
      <c r="V411" s="929">
        <f>'matrik MISI 2'!W41</f>
        <v>100</v>
      </c>
      <c r="W411" s="929"/>
      <c r="X411" s="929" t="str">
        <f>'matrik MISI 2'!X41</f>
        <v>Disnakertran</v>
      </c>
      <c r="Y411" s="164" t="str">
        <f>'matrik MISI 2'!Y41</f>
        <v>Jumlah Kasus yang diselesaikan Dengan Perjanjian Bersama dibagi  Jumlah kasus  yang dicatatkan X 100</v>
      </c>
      <c r="Z411" s="164">
        <f>'matrik MISI 2'!Z41</f>
        <v>0</v>
      </c>
    </row>
    <row r="412" spans="2:26" ht="60">
      <c r="B412" s="950"/>
      <c r="C412" s="951"/>
      <c r="D412" s="950"/>
      <c r="E412" s="950"/>
      <c r="F412" s="950"/>
      <c r="G412" s="399"/>
      <c r="H412" s="164" t="str">
        <f>'matrik MISI 2'!N42</f>
        <v>Persentase Pengujian Peralatan diperusahaan</v>
      </c>
      <c r="I412" s="164" t="str">
        <f>'matrik MISI 2'!O42</f>
        <v>%</v>
      </c>
      <c r="J412" s="929" t="str">
        <f>'matrik MISI 2'!P42</f>
        <v xml:space="preserve"> - </v>
      </c>
      <c r="K412" s="929">
        <f>'matrik MISI 2'!Q42</f>
        <v>64</v>
      </c>
      <c r="L412" s="929">
        <f>'matrik MISI 2'!R42</f>
        <v>67.5</v>
      </c>
      <c r="M412" s="961"/>
      <c r="N412" s="929">
        <f>'matrik MISI 2'!S42</f>
        <v>73</v>
      </c>
      <c r="O412" s="929"/>
      <c r="P412" s="929">
        <f>'matrik MISI 2'!T42</f>
        <v>76</v>
      </c>
      <c r="Q412" s="929"/>
      <c r="R412" s="929">
        <f>'matrik MISI 2'!U42</f>
        <v>78</v>
      </c>
      <c r="S412" s="929"/>
      <c r="T412" s="929">
        <f>'matrik MISI 2'!V42</f>
        <v>82</v>
      </c>
      <c r="U412" s="929"/>
      <c r="V412" s="929">
        <f>'matrik MISI 2'!W42</f>
        <v>82</v>
      </c>
      <c r="W412" s="929"/>
      <c r="X412" s="929" t="str">
        <f>'matrik MISI 2'!X42</f>
        <v>Disnakertran</v>
      </c>
      <c r="Y412" s="164" t="str">
        <f>'matrik MISI 2'!Y42</f>
        <v>Jumlah Peralatan yang diuji dibagi  Jumlah peralatan yang terdaftar X 100</v>
      </c>
      <c r="Z412" s="164">
        <f>'matrik MISI 2'!Z42</f>
        <v>0</v>
      </c>
    </row>
    <row r="413" spans="2:26" ht="30">
      <c r="B413" s="949">
        <v>15</v>
      </c>
      <c r="C413" s="948" t="str">
        <f>'matrik MISI 1'!B93</f>
        <v>KOPERASI DAN UMKM</v>
      </c>
      <c r="D413" s="949" t="str">
        <f>'matrik MISI 1'!J95</f>
        <v>1.15</v>
      </c>
      <c r="E413" s="949" t="str">
        <f>'matrik MISI 1'!K95</f>
        <v>xx</v>
      </c>
      <c r="F413" s="949">
        <f>'matrik MISI 1'!L95</f>
        <v>18</v>
      </c>
      <c r="G413" s="949" t="str">
        <f>'matrik MISI 1'!M95</f>
        <v>Peningkatan kualitas kelembagaan koperasi</v>
      </c>
      <c r="H413" s="164"/>
      <c r="I413" s="164"/>
      <c r="J413" s="929"/>
      <c r="K413" s="929"/>
      <c r="L413" s="929"/>
      <c r="M413" s="961">
        <f>'jangan di hapus 1'!K844</f>
        <v>422151000</v>
      </c>
      <c r="N413" s="961"/>
      <c r="O413" s="961">
        <f>'jangan di hapus 1'!M844</f>
        <v>40000000</v>
      </c>
      <c r="P413" s="961"/>
      <c r="Q413" s="961">
        <f>'jangan di hapus 1'!O844</f>
        <v>240000000</v>
      </c>
      <c r="R413" s="961"/>
      <c r="S413" s="961">
        <f>'jangan di hapus 1'!Q844</f>
        <v>265000000</v>
      </c>
      <c r="T413" s="961"/>
      <c r="U413" s="961">
        <f>'jangan di hapus 1'!S844</f>
        <v>255000000</v>
      </c>
      <c r="V413" s="929"/>
      <c r="W413" s="961">
        <f>SUM(M413:U413)</f>
        <v>1222151000</v>
      </c>
      <c r="X413" s="929"/>
      <c r="Y413" s="1016"/>
      <c r="Z413" s="1016"/>
    </row>
    <row r="414" spans="2:26" ht="45">
      <c r="B414" s="940"/>
      <c r="C414" s="941"/>
      <c r="D414" s="940"/>
      <c r="E414" s="940"/>
      <c r="F414" s="940"/>
      <c r="G414" s="940"/>
      <c r="H414" s="164" t="str">
        <f>'matrik MISI 1'!N95</f>
        <v>prosentase jumlah koperasi aktif</v>
      </c>
      <c r="I414" s="164" t="str">
        <f>'matrik MISI 1'!O95</f>
        <v>%</v>
      </c>
      <c r="J414" s="1007">
        <f>'matrik MISI 1'!P95</f>
        <v>79.132231404958674</v>
      </c>
      <c r="K414" s="1007">
        <f>'matrik MISI 1'!Q95</f>
        <v>83.471074380165291</v>
      </c>
      <c r="L414" s="1007">
        <f>'matrik MISI 1'!R95</f>
        <v>86.570247933884289</v>
      </c>
      <c r="M414" s="961"/>
      <c r="N414" s="1007">
        <f>'matrik MISI 1'!S95</f>
        <v>87.603305785123965</v>
      </c>
      <c r="O414" s="1007"/>
      <c r="P414" s="1007">
        <f>'matrik MISI 1'!T95</f>
        <v>88.63636363636364</v>
      </c>
      <c r="Q414" s="1007"/>
      <c r="R414" s="1007">
        <f>'matrik MISI 1'!U95</f>
        <v>89.669421487603302</v>
      </c>
      <c r="S414" s="1007"/>
      <c r="T414" s="1007">
        <f>'matrik MISI 1'!V95</f>
        <v>90.702479338842977</v>
      </c>
      <c r="U414" s="1007"/>
      <c r="V414" s="1007">
        <f>'matrik MISI 1'!W95</f>
        <v>90.702479338842977</v>
      </c>
      <c r="W414" s="1007"/>
      <c r="X414" s="929" t="str">
        <f>'matrik MISI 1'!X95</f>
        <v>DISPERIDAGKOP DAN UMKM</v>
      </c>
      <c r="Y414" s="164" t="str">
        <f>'matrik MISI 1'!Y95</f>
        <v xml:space="preserve">Jumlah Koperasi aktif dibagi jumlah total koperasi kali 100% </v>
      </c>
      <c r="Z414" s="164" t="str">
        <f>'matrik MISI 1'!Z95</f>
        <v>Meningkatnya jumlah koperasi aktif</v>
      </c>
    </row>
    <row r="415" spans="2:26" ht="30">
      <c r="B415" s="940"/>
      <c r="C415" s="941"/>
      <c r="D415" s="940"/>
      <c r="E415" s="940"/>
      <c r="F415" s="940"/>
      <c r="G415" s="940"/>
      <c r="H415" s="164" t="str">
        <f>'matrik MISI 1'!N96</f>
        <v>Besaran jumlah anggota koperasi</v>
      </c>
      <c r="I415" s="164" t="str">
        <f>'matrik MISI 1'!O96</f>
        <v>org</v>
      </c>
      <c r="J415" s="929">
        <f>'matrik MISI 1'!P96</f>
        <v>149906</v>
      </c>
      <c r="K415" s="929">
        <f>'matrik MISI 1'!Q96</f>
        <v>154700</v>
      </c>
      <c r="L415" s="929">
        <f>'matrik MISI 1'!R96</f>
        <v>159670</v>
      </c>
      <c r="M415" s="961"/>
      <c r="N415" s="929">
        <f>'matrik MISI 1'!S96</f>
        <v>165500</v>
      </c>
      <c r="O415" s="929"/>
      <c r="P415" s="929">
        <f>'matrik MISI 1'!T96</f>
        <v>170800</v>
      </c>
      <c r="Q415" s="929"/>
      <c r="R415" s="929">
        <f>'matrik MISI 1'!U96</f>
        <v>174500</v>
      </c>
      <c r="S415" s="929"/>
      <c r="T415" s="929">
        <f>'matrik MISI 1'!V96</f>
        <v>179500</v>
      </c>
      <c r="U415" s="929"/>
      <c r="V415" s="929">
        <f>'matrik MISI 1'!W96</f>
        <v>179500</v>
      </c>
      <c r="W415" s="929"/>
      <c r="X415" s="929" t="str">
        <f>'matrik MISI 1'!X96</f>
        <v>DISPERINDAGKOP DAN UMKM</v>
      </c>
      <c r="Y415" s="164" t="str">
        <f>'matrik MISI 1'!Y96</f>
        <v xml:space="preserve">Jumlah anggota koperasi tahun ke n </v>
      </c>
      <c r="Z415" s="164" t="str">
        <f>'matrik MISI 1'!Z96</f>
        <v>Meningkatnya jumlah anggota koperasi</v>
      </c>
    </row>
    <row r="416" spans="2:26" ht="60">
      <c r="B416" s="940"/>
      <c r="C416" s="941"/>
      <c r="D416" s="940"/>
      <c r="E416" s="940"/>
      <c r="F416" s="940"/>
      <c r="G416" s="940"/>
      <c r="H416" s="164" t="str">
        <f>'matrik MISI 1'!N97</f>
        <v>persentase jumlah pembinaan pengelolaan koperasi</v>
      </c>
      <c r="I416" s="164" t="str">
        <f>'matrik MISI 1'!O97</f>
        <v>%</v>
      </c>
      <c r="J416" s="1007">
        <f>'matrik MISI 1'!P97</f>
        <v>36.776859504132233</v>
      </c>
      <c r="K416" s="1007">
        <f>'matrik MISI 1'!Q97</f>
        <v>38.223140495867767</v>
      </c>
      <c r="L416" s="1007">
        <f>'matrik MISI 1'!R97</f>
        <v>40.289256198347104</v>
      </c>
      <c r="M416" s="961"/>
      <c r="N416" s="1007">
        <f>'matrik MISI 1'!S97</f>
        <v>43.388429752066116</v>
      </c>
      <c r="O416" s="1007"/>
      <c r="P416" s="1007">
        <f>'matrik MISI 1'!T97</f>
        <v>46.487603305785122</v>
      </c>
      <c r="Q416" s="1007"/>
      <c r="R416" s="1007">
        <f>'matrik MISI 1'!U97</f>
        <v>48.553719008264466</v>
      </c>
      <c r="S416" s="1007"/>
      <c r="T416" s="1007">
        <f>'matrik MISI 1'!V97</f>
        <v>53.719008264462808</v>
      </c>
      <c r="U416" s="1007"/>
      <c r="V416" s="1007">
        <f>'matrik MISI 1'!W97</f>
        <v>53.719008264462808</v>
      </c>
      <c r="W416" s="1007"/>
      <c r="X416" s="929" t="str">
        <f>'matrik MISI 1'!X97</f>
        <v>DISPERINDAGKOP DAN UMKM</v>
      </c>
      <c r="Y416" s="164" t="str">
        <f>'matrik MISI 1'!Y97</f>
        <v>Jumlah koperasi yang dibina tahun ke n dibagi jumlah total koperasi kali 100%</v>
      </c>
      <c r="Z416" s="164" t="str">
        <f>'matrik MISI 1'!Z97</f>
        <v>Meningkatnya pengelolaan koperasi</v>
      </c>
    </row>
    <row r="417" spans="2:26" ht="60" hidden="1">
      <c r="B417" s="940"/>
      <c r="C417" s="941"/>
      <c r="D417" s="940" t="str">
        <f>'matrik MISI 1'!J99</f>
        <v>1.15</v>
      </c>
      <c r="E417" s="940" t="str">
        <f>'matrik MISI 1'!K99</f>
        <v>xx</v>
      </c>
      <c r="F417" s="940">
        <f>'matrik MISI 1'!L99</f>
        <v>16</v>
      </c>
      <c r="G417" s="940" t="str">
        <f>'matrik MISI 1'!M99</f>
        <v>Program Pengembangan kewirausahaan dan keunggulan kompetitif UKM</v>
      </c>
      <c r="H417" s="164"/>
      <c r="I417" s="164"/>
      <c r="J417" s="1007"/>
      <c r="K417" s="1007"/>
      <c r="L417" s="1007"/>
      <c r="M417" s="961">
        <f>'jangan di hapus 1'!K829</f>
        <v>1399310500</v>
      </c>
      <c r="N417" s="961"/>
      <c r="O417" s="961">
        <f>'jangan di hapus 1'!M829</f>
        <v>730000000</v>
      </c>
      <c r="P417" s="961"/>
      <c r="Q417" s="961">
        <f>'jangan di hapus 1'!O829</f>
        <v>1020000000</v>
      </c>
      <c r="R417" s="961"/>
      <c r="S417" s="961">
        <f>'jangan di hapus 1'!Q829</f>
        <v>875000000</v>
      </c>
      <c r="T417" s="961"/>
      <c r="U417" s="961">
        <f>'jangan di hapus 1'!S829</f>
        <v>1170000000</v>
      </c>
      <c r="V417" s="1007"/>
      <c r="W417" s="961">
        <f>SUM(M417:U417)</f>
        <v>5194310500</v>
      </c>
      <c r="X417" s="929"/>
      <c r="Y417" s="164"/>
      <c r="Z417" s="164"/>
    </row>
    <row r="418" spans="2:26" ht="120">
      <c r="B418" s="940"/>
      <c r="C418" s="941"/>
      <c r="D418" s="939"/>
      <c r="E418" s="939"/>
      <c r="F418" s="939"/>
      <c r="G418" s="939"/>
      <c r="H418" s="164" t="str">
        <f>'matrik MISI 1'!N99</f>
        <v>Cakupan meningkatnya tertatanya LKM sesuai dengan ketentuan perundang-undangan</v>
      </c>
      <c r="I418" s="164" t="str">
        <f>'matrik MISI 1'!O99</f>
        <v>%</v>
      </c>
      <c r="J418" s="929" t="str">
        <f>'matrik MISI 1'!P99</f>
        <v xml:space="preserve"> - </v>
      </c>
      <c r="K418" s="929" t="str">
        <f>'matrik MISI 1'!Q99</f>
        <v xml:space="preserve"> - </v>
      </c>
      <c r="L418" s="929" t="str">
        <f>'matrik MISI 1'!R99</f>
        <v xml:space="preserve"> - </v>
      </c>
      <c r="M418" s="961"/>
      <c r="N418" s="929">
        <f>'matrik MISI 1'!S99</f>
        <v>25</v>
      </c>
      <c r="O418" s="929"/>
      <c r="P418" s="929">
        <f>'matrik MISI 1'!T99</f>
        <v>50</v>
      </c>
      <c r="Q418" s="929"/>
      <c r="R418" s="929" t="str">
        <f>'matrik MISI 1'!U99</f>
        <v xml:space="preserve"> - </v>
      </c>
      <c r="S418" s="929"/>
      <c r="T418" s="929" t="str">
        <f>'matrik MISI 1'!V99</f>
        <v xml:space="preserve"> - </v>
      </c>
      <c r="U418" s="929"/>
      <c r="V418" s="929">
        <f>'matrik MISI 1'!W99</f>
        <v>50</v>
      </c>
      <c r="W418" s="929"/>
      <c r="X418" s="929" t="str">
        <f>'matrik MISI 1'!X99</f>
        <v>DISPERINDAGKOP DAN UMKM</v>
      </c>
      <c r="Y418" s="164" t="str">
        <f>'matrik MISI 1'!Y99</f>
        <v xml:space="preserve">Jumlah LKM berbadan Hukum dibagi jumlah total LKM </v>
      </c>
      <c r="Z418" s="164" t="str">
        <f>'matrik MISI 1'!Z99</f>
        <v>Meningkatnya LKM berbadan Hukum dan antisipasi UU No 1 tahun 2013 tentang LKM. Dimumgkinkan tidak semua menjadi LKM (kondisi 2013=371)</v>
      </c>
    </row>
    <row r="419" spans="2:26" ht="45">
      <c r="B419" s="940"/>
      <c r="C419" s="941"/>
      <c r="D419" s="940"/>
      <c r="E419" s="940"/>
      <c r="F419" s="940"/>
      <c r="G419" s="940"/>
      <c r="H419" s="164" t="str">
        <f>'matrik MISI 1'!N100</f>
        <v>Besaran jumlah  UKM yang dibina</v>
      </c>
      <c r="I419" s="164" t="str">
        <f>'matrik MISI 1'!O100</f>
        <v>Kelompok</v>
      </c>
      <c r="J419" s="929">
        <f>'matrik MISI 1'!P100</f>
        <v>0</v>
      </c>
      <c r="K419" s="929">
        <f>'matrik MISI 1'!Q100</f>
        <v>63</v>
      </c>
      <c r="L419" s="929">
        <f>'matrik MISI 1'!R100</f>
        <v>132</v>
      </c>
      <c r="M419" s="961"/>
      <c r="N419" s="929">
        <f>'matrik MISI 1'!S100</f>
        <v>204</v>
      </c>
      <c r="O419" s="929"/>
      <c r="P419" s="929">
        <f>'matrik MISI 1'!T100</f>
        <v>281</v>
      </c>
      <c r="Q419" s="929"/>
      <c r="R419" s="929">
        <f>'matrik MISI 1'!U100</f>
        <v>364</v>
      </c>
      <c r="S419" s="929"/>
      <c r="T419" s="929">
        <f>'matrik MISI 1'!V100</f>
        <v>451</v>
      </c>
      <c r="U419" s="929"/>
      <c r="V419" s="929">
        <f>'matrik MISI 1'!W100</f>
        <v>451</v>
      </c>
      <c r="W419" s="929"/>
      <c r="X419" s="929" t="str">
        <f>'matrik MISI 1'!X100</f>
        <v>DISPERINDAGKOP DAN UMKM</v>
      </c>
      <c r="Y419" s="164" t="str">
        <f>'matrik MISI 1'!Y100</f>
        <v xml:space="preserve">Jumlah UKM yang dibina tahun ke n </v>
      </c>
      <c r="Z419" s="164" t="str">
        <f>'matrik MISI 1'!Z100</f>
        <v>Meningkatnya manajemen pengelolaan UMKM</v>
      </c>
    </row>
    <row r="420" spans="2:26" ht="75">
      <c r="B420" s="950"/>
      <c r="C420" s="951"/>
      <c r="D420" s="950"/>
      <c r="E420" s="950"/>
      <c r="F420" s="950"/>
      <c r="G420" s="950"/>
      <c r="H420" s="164" t="str">
        <f>'matrik MISI 1'!N101</f>
        <v>Besaran jumlah akses permodalan bagi UKM</v>
      </c>
      <c r="I420" s="164" t="str">
        <f>'matrik MISI 1'!O101</f>
        <v>Kelompok</v>
      </c>
      <c r="J420" s="929">
        <f>'matrik MISI 1'!P101</f>
        <v>0</v>
      </c>
      <c r="K420" s="929">
        <f>'matrik MISI 1'!Q101</f>
        <v>132</v>
      </c>
      <c r="L420" s="929">
        <f>'matrik MISI 1'!R101</f>
        <v>152</v>
      </c>
      <c r="M420" s="961"/>
      <c r="N420" s="929">
        <f>'matrik MISI 1'!S101</f>
        <v>172</v>
      </c>
      <c r="O420" s="929"/>
      <c r="P420" s="929">
        <f>'matrik MISI 1'!T101</f>
        <v>192</v>
      </c>
      <c r="Q420" s="929"/>
      <c r="R420" s="929">
        <f>'matrik MISI 1'!U101</f>
        <v>212</v>
      </c>
      <c r="S420" s="929"/>
      <c r="T420" s="929">
        <f>'matrik MISI 1'!V101</f>
        <v>232</v>
      </c>
      <c r="U420" s="929"/>
      <c r="V420" s="929">
        <f>'matrik MISI 1'!W101</f>
        <v>232</v>
      </c>
      <c r="W420" s="929"/>
      <c r="X420" s="929" t="str">
        <f>'matrik MISI 1'!X101</f>
        <v>DISPERINDAGKOP DAN UMKM</v>
      </c>
      <c r="Y420" s="164" t="str">
        <f>'matrik MISI 1'!Y101</f>
        <v>Akumulasi Jumlah UKM yang mendapat fasilitasi kredit permodalan tahun ke n</v>
      </c>
      <c r="Z420" s="164" t="str">
        <f>'matrik MISI 1'!Z101</f>
        <v>Meningkatnya akses permodalan UMKM ke lembaga keuangan</v>
      </c>
    </row>
    <row r="421" spans="2:26" ht="30">
      <c r="B421" s="949">
        <v>16</v>
      </c>
      <c r="C421" s="948" t="str">
        <f>'matrik MISI 6'!B84</f>
        <v>PENANAMAN MODAL</v>
      </c>
      <c r="D421" s="949">
        <f>'matrik MISI 6'!J85</f>
        <v>1.1599999999999999</v>
      </c>
      <c r="E421" s="949" t="str">
        <f>'matrik MISI 6'!K85</f>
        <v>xx</v>
      </c>
      <c r="F421" s="949">
        <f>'matrik MISI 6'!L85</f>
        <v>15</v>
      </c>
      <c r="G421" s="949" t="str">
        <f>'matrik MISI 6'!M85</f>
        <v>Program Peningkatan Pelayanan Perizinan</v>
      </c>
      <c r="H421" s="164"/>
      <c r="I421" s="164"/>
      <c r="J421" s="929"/>
      <c r="K421" s="929"/>
      <c r="L421" s="929"/>
      <c r="M421" s="961">
        <f>'jangan di hapus 1'!K857</f>
        <v>135880000</v>
      </c>
      <c r="N421" s="961"/>
      <c r="O421" s="961">
        <f>'jangan di hapus 1'!M857</f>
        <v>300000000</v>
      </c>
      <c r="P421" s="961"/>
      <c r="Q421" s="961">
        <f>'jangan di hapus 1'!O857</f>
        <v>440000000</v>
      </c>
      <c r="R421" s="961"/>
      <c r="S421" s="961">
        <f>'jangan di hapus 1'!Q857</f>
        <v>440000000</v>
      </c>
      <c r="T421" s="961"/>
      <c r="U421" s="961">
        <f>'jangan di hapus 1'!S857</f>
        <v>440000000</v>
      </c>
      <c r="V421" s="929"/>
      <c r="W421" s="961">
        <f>SUM(M421:U421)</f>
        <v>1755880000</v>
      </c>
      <c r="X421" s="929"/>
      <c r="Y421" s="1016"/>
      <c r="Z421" s="1016"/>
    </row>
    <row r="422" spans="2:26" ht="60">
      <c r="B422" s="939"/>
      <c r="C422" s="939"/>
      <c r="D422" s="939"/>
      <c r="E422" s="939"/>
      <c r="F422" s="939"/>
      <c r="G422" s="939"/>
      <c r="H422" s="164" t="str">
        <f>'matrik MISI 6'!N85</f>
        <v>Cakupan Jenis Perizinan yang Memiliki Standar Pelayanan Publik atau Standar Operasional Prosedur</v>
      </c>
      <c r="I422" s="164" t="str">
        <f>'matrik MISI 6'!O85</f>
        <v>%</v>
      </c>
      <c r="J422" s="929">
        <f>'matrik MISI 6'!P85</f>
        <v>0</v>
      </c>
      <c r="K422" s="929">
        <f>'matrik MISI 6'!Q85</f>
        <v>25</v>
      </c>
      <c r="L422" s="929">
        <f>'matrik MISI 6'!R85</f>
        <v>75</v>
      </c>
      <c r="M422" s="961"/>
      <c r="N422" s="929">
        <f>'matrik MISI 6'!S85</f>
        <v>100</v>
      </c>
      <c r="O422" s="929"/>
      <c r="P422" s="929">
        <f>'matrik MISI 6'!T85</f>
        <v>100</v>
      </c>
      <c r="Q422" s="929"/>
      <c r="R422" s="929">
        <f>'matrik MISI 6'!U85</f>
        <v>100</v>
      </c>
      <c r="S422" s="929"/>
      <c r="T422" s="929">
        <f>'matrik MISI 6'!V85</f>
        <v>100</v>
      </c>
      <c r="U422" s="929"/>
      <c r="V422" s="929">
        <f>'matrik MISI 6'!W85</f>
        <v>100</v>
      </c>
      <c r="W422" s="929"/>
      <c r="X422" s="929" t="str">
        <f>'matrik MISI 6'!X85</f>
        <v>KP3M</v>
      </c>
      <c r="Y422" s="164" t="str">
        <f>'matrik MISI 6'!Y85</f>
        <v>Jumlah izin yang memiliki SPP/SOP dibagi dengan jenis izin yang ada</v>
      </c>
      <c r="Z422" s="164">
        <f>'matrik MISI 6'!Z85</f>
        <v>0</v>
      </c>
    </row>
    <row r="423" spans="2:26" ht="75">
      <c r="B423" s="940"/>
      <c r="C423" s="941"/>
      <c r="D423" s="940"/>
      <c r="E423" s="940"/>
      <c r="F423" s="940"/>
      <c r="G423" s="940"/>
      <c r="H423" s="164" t="str">
        <f>'matrik MISI 6'!N86</f>
        <v>Persentase perizinan  yang diterbitkan Tepat Waktu</v>
      </c>
      <c r="I423" s="164" t="str">
        <f>'matrik MISI 6'!O86</f>
        <v>%</v>
      </c>
      <c r="J423" s="929">
        <f>'matrik MISI 6'!P86</f>
        <v>95</v>
      </c>
      <c r="K423" s="929">
        <f>'matrik MISI 6'!Q86</f>
        <v>95</v>
      </c>
      <c r="L423" s="929">
        <f>'matrik MISI 6'!R86</f>
        <v>95</v>
      </c>
      <c r="M423" s="961"/>
      <c r="N423" s="929">
        <f>'matrik MISI 6'!S86</f>
        <v>95</v>
      </c>
      <c r="O423" s="929"/>
      <c r="P423" s="929">
        <f>'matrik MISI 6'!T86</f>
        <v>95</v>
      </c>
      <c r="Q423" s="929"/>
      <c r="R423" s="929">
        <f>'matrik MISI 6'!U86</f>
        <v>95</v>
      </c>
      <c r="S423" s="929"/>
      <c r="T423" s="929">
        <f>'matrik MISI 6'!V86</f>
        <v>95</v>
      </c>
      <c r="U423" s="929"/>
      <c r="V423" s="929">
        <f>'matrik MISI 6'!W86</f>
        <v>95</v>
      </c>
      <c r="W423" s="929"/>
      <c r="X423" s="929" t="str">
        <f>'matrik MISI 6'!X86</f>
        <v>KP3M</v>
      </c>
      <c r="Y423" s="164" t="str">
        <f>'matrik MISI 6'!Y86</f>
        <v>Jumlah izin yang diterbitkan tepat waktu dibagi dengan jumlah permohonan izin kali 100</v>
      </c>
      <c r="Z423" s="164">
        <f>'matrik MISI 6'!Z86</f>
        <v>0</v>
      </c>
    </row>
    <row r="424" spans="2:26" ht="105">
      <c r="B424" s="940"/>
      <c r="C424" s="941"/>
      <c r="D424" s="940"/>
      <c r="E424" s="940"/>
      <c r="F424" s="940"/>
      <c r="G424" s="940"/>
      <c r="H424" s="164" t="str">
        <f>'matrik MISI 6'!N87</f>
        <v>Persentase Penanganan Pengaduan Masyarakat</v>
      </c>
      <c r="I424" s="164" t="str">
        <f>'matrik MISI 6'!O87</f>
        <v>%</v>
      </c>
      <c r="J424" s="929">
        <f>'matrik MISI 6'!P87</f>
        <v>100</v>
      </c>
      <c r="K424" s="929">
        <f>'matrik MISI 6'!Q87</f>
        <v>100</v>
      </c>
      <c r="L424" s="929">
        <f>'matrik MISI 6'!R87</f>
        <v>100</v>
      </c>
      <c r="M424" s="961"/>
      <c r="N424" s="929">
        <f>'matrik MISI 6'!S87</f>
        <v>100</v>
      </c>
      <c r="O424" s="929"/>
      <c r="P424" s="929">
        <f>'matrik MISI 6'!T87</f>
        <v>100</v>
      </c>
      <c r="Q424" s="929"/>
      <c r="R424" s="929">
        <f>'matrik MISI 6'!U87</f>
        <v>100</v>
      </c>
      <c r="S424" s="929"/>
      <c r="T424" s="929">
        <f>'matrik MISI 6'!V87</f>
        <v>100</v>
      </c>
      <c r="U424" s="929"/>
      <c r="V424" s="929">
        <f>'matrik MISI 6'!W87</f>
        <v>100</v>
      </c>
      <c r="W424" s="929"/>
      <c r="X424" s="929" t="str">
        <f>'matrik MISI 6'!X87</f>
        <v>KP3M</v>
      </c>
      <c r="Y424" s="164" t="str">
        <f>'matrik MISI 6'!Y87</f>
        <v xml:space="preserve">jumlah pengaduan masyarakat yang ditangani dibagi dengan jumlah pengaduan masyarakat dikalikan 100 </v>
      </c>
      <c r="Z424" s="164">
        <f>'matrik MISI 6'!Z87</f>
        <v>0</v>
      </c>
    </row>
    <row r="425" spans="2:26" ht="90">
      <c r="B425" s="940"/>
      <c r="C425" s="941"/>
      <c r="D425" s="940"/>
      <c r="E425" s="940"/>
      <c r="F425" s="940"/>
      <c r="G425" s="940"/>
      <c r="H425" s="164" t="str">
        <f>'matrik MISI 6'!N88</f>
        <v>Penerbitan Izin Usaha Jasa Konstruksi dalam Waktu 6 (Enam) Hari Kerja setelah Persyaratan Lengkap</v>
      </c>
      <c r="I425" s="164" t="str">
        <f>'matrik MISI 6'!O88</f>
        <v>Hari</v>
      </c>
      <c r="J425" s="929">
        <f>'matrik MISI 6'!P88</f>
        <v>12</v>
      </c>
      <c r="K425" s="929">
        <f>'matrik MISI 6'!Q88</f>
        <v>11</v>
      </c>
      <c r="L425" s="929">
        <f>'matrik MISI 6'!R88</f>
        <v>10</v>
      </c>
      <c r="M425" s="961"/>
      <c r="N425" s="929">
        <f>'matrik MISI 6'!S88</f>
        <v>9</v>
      </c>
      <c r="O425" s="929"/>
      <c r="P425" s="929">
        <f>'matrik MISI 6'!T88</f>
        <v>8</v>
      </c>
      <c r="Q425" s="929"/>
      <c r="R425" s="929">
        <f>'matrik MISI 6'!U88</f>
        <v>7</v>
      </c>
      <c r="S425" s="929"/>
      <c r="T425" s="929">
        <f>'matrik MISI 6'!V88</f>
        <v>6</v>
      </c>
      <c r="U425" s="929"/>
      <c r="V425" s="929">
        <f>'matrik MISI 6'!W88</f>
        <v>6</v>
      </c>
      <c r="W425" s="929"/>
      <c r="X425" s="929" t="str">
        <f>'matrik MISI 6'!X88</f>
        <v>KP3M</v>
      </c>
      <c r="Y425" s="164" t="str">
        <f>'matrik MISI 6'!Y88</f>
        <v>Izin Usaha Jasa Konstruksi diterbitkan dalam Waktu 6 (Enam) Hari Kerja setelah Persyaratan Lengkap</v>
      </c>
      <c r="Z425" s="164">
        <f>'matrik MISI 6'!Z88</f>
        <v>0</v>
      </c>
    </row>
    <row r="426" spans="2:26" ht="285">
      <c r="B426" s="940"/>
      <c r="C426" s="941"/>
      <c r="D426" s="939"/>
      <c r="E426" s="939"/>
      <c r="F426" s="939"/>
      <c r="G426" s="939"/>
      <c r="H426" s="164" t="str">
        <f>'matrik MISI 6'!N97</f>
        <v>Besaran pelayanan perizinan dan non perizinan bidang penanaman modal melalui pelayanan terpadu satu pintu di bidang penanaman modal</v>
      </c>
      <c r="I426" s="164" t="str">
        <f>'matrik MISI 6'!O97</f>
        <v>unit</v>
      </c>
      <c r="J426" s="929">
        <f>'matrik MISI 6'!P97</f>
        <v>17</v>
      </c>
      <c r="K426" s="929">
        <f>'matrik MISI 6'!Q97</f>
        <v>32</v>
      </c>
      <c r="L426" s="929">
        <f>'matrik MISI 6'!R97</f>
        <v>32</v>
      </c>
      <c r="M426" s="961"/>
      <c r="N426" s="929">
        <f>'matrik MISI 6'!S97</f>
        <v>32</v>
      </c>
      <c r="O426" s="929"/>
      <c r="P426" s="929">
        <f>'matrik MISI 6'!T97</f>
        <v>32</v>
      </c>
      <c r="Q426" s="929"/>
      <c r="R426" s="929">
        <f>'matrik MISI 6'!U97</f>
        <v>32</v>
      </c>
      <c r="S426" s="929"/>
      <c r="T426" s="929">
        <f>'matrik MISI 6'!V97</f>
        <v>32</v>
      </c>
      <c r="U426" s="929"/>
      <c r="V426" s="929">
        <f>'matrik MISI 6'!W97</f>
        <v>32</v>
      </c>
      <c r="W426" s="929"/>
      <c r="X426" s="929" t="str">
        <f>'matrik MISI 6'!X97</f>
        <v>KP3M</v>
      </c>
      <c r="Y426" s="164" t="str">
        <f>'matrik MISI 6'!Y97</f>
        <v>Jumlah jenis perizinan dan non perizinan yang dapat dilayani pelayanan terpadu satu pintu perangkat daerah kabupaten bidang penanaman modal dibagi enam</v>
      </c>
      <c r="Z426" s="164"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27" spans="2:26" ht="270">
      <c r="B427" s="940"/>
      <c r="C427" s="941"/>
      <c r="D427" s="940"/>
      <c r="E427" s="940"/>
      <c r="F427" s="940"/>
      <c r="G427" s="940"/>
      <c r="H427" s="164" t="str">
        <f>'matrik MISI 6'!N98</f>
        <v>Besaran implementasi Sistem Pelayanan Informasi dan Perizinan Informasi secara Elektronik</v>
      </c>
      <c r="I427" s="164" t="str">
        <f>'matrik MISI 6'!O98</f>
        <v>%</v>
      </c>
      <c r="J427" s="929">
        <f>'matrik MISI 6'!P98</f>
        <v>0</v>
      </c>
      <c r="K427" s="929">
        <f>'matrik MISI 6'!Q98</f>
        <v>0</v>
      </c>
      <c r="L427" s="929">
        <f>'matrik MISI 6'!R98</f>
        <v>100</v>
      </c>
      <c r="M427" s="961"/>
      <c r="N427" s="929">
        <f>'matrik MISI 6'!S98</f>
        <v>100</v>
      </c>
      <c r="O427" s="929"/>
      <c r="P427" s="929">
        <f>'matrik MISI 6'!T98</f>
        <v>100</v>
      </c>
      <c r="Q427" s="929"/>
      <c r="R427" s="929">
        <f>'matrik MISI 6'!U98</f>
        <v>100</v>
      </c>
      <c r="S427" s="929"/>
      <c r="T427" s="929">
        <f>'matrik MISI 6'!V98</f>
        <v>100</v>
      </c>
      <c r="U427" s="929"/>
      <c r="V427" s="929">
        <f>'matrik MISI 6'!W98</f>
        <v>100</v>
      </c>
      <c r="W427" s="929"/>
      <c r="X427" s="929" t="str">
        <f>'matrik MISI 6'!X98</f>
        <v>KP3M</v>
      </c>
      <c r="Y427" s="164" t="str">
        <f>'matrik MISI 6'!Y98</f>
        <v>Jumlah jenis pelayanan yang dilayani menggunakan SPIPISE di bagi empat kali seratus</v>
      </c>
      <c r="Z427" s="164"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28" spans="2:26" ht="45" hidden="1">
      <c r="B428" s="940"/>
      <c r="C428" s="941"/>
      <c r="D428" s="940">
        <f>'matrik MISI 6'!J90</f>
        <v>1.1599999999999999</v>
      </c>
      <c r="E428" s="940" t="str">
        <f>'matrik MISI 6'!K90</f>
        <v>xx</v>
      </c>
      <c r="F428" s="940">
        <f>'matrik MISI 6'!L90</f>
        <v>16</v>
      </c>
      <c r="G428" s="940" t="str">
        <f>'matrik MISI 6'!M90</f>
        <v>Program Peningkatan Iklim Investasi dan Realisasi Investasi</v>
      </c>
      <c r="H428" s="164"/>
      <c r="I428" s="164"/>
      <c r="J428" s="929"/>
      <c r="K428" s="929"/>
      <c r="L428" s="929"/>
      <c r="M428" s="961">
        <f>'jangan di hapus 1'!K864</f>
        <v>307735000</v>
      </c>
      <c r="N428" s="961"/>
      <c r="O428" s="961">
        <f>'jangan di hapus 1'!M864</f>
        <v>757212500</v>
      </c>
      <c r="P428" s="961"/>
      <c r="Q428" s="961">
        <f>'jangan di hapus 1'!O864</f>
        <v>939860000</v>
      </c>
      <c r="R428" s="961"/>
      <c r="S428" s="961">
        <f>'jangan di hapus 1'!Q864</f>
        <v>740000000</v>
      </c>
      <c r="T428" s="961"/>
      <c r="U428" s="961">
        <f>'jangan di hapus 1'!S864</f>
        <v>895000000</v>
      </c>
      <c r="V428" s="929"/>
      <c r="W428" s="961">
        <f>SUM(M428:U428)</f>
        <v>3639807500</v>
      </c>
      <c r="X428" s="929"/>
      <c r="Y428" s="164"/>
      <c r="Z428" s="164"/>
    </row>
    <row r="429" spans="2:26" ht="30">
      <c r="B429" s="940"/>
      <c r="C429" s="941"/>
      <c r="D429" s="940"/>
      <c r="E429" s="940"/>
      <c r="F429" s="940"/>
      <c r="G429" s="940"/>
      <c r="H429" s="164" t="str">
        <f>'matrik MISI 6'!N94</f>
        <v>Besaran jumlah Investor</v>
      </c>
      <c r="I429" s="164" t="str">
        <f>'matrik MISI 6'!O94</f>
        <v>investor</v>
      </c>
      <c r="J429" s="929">
        <f>'matrik MISI 6'!P94</f>
        <v>503</v>
      </c>
      <c r="K429" s="929">
        <f>'matrik MISI 6'!Q94</f>
        <v>684</v>
      </c>
      <c r="L429" s="929">
        <f>'matrik MISI 6'!R94</f>
        <v>874</v>
      </c>
      <c r="M429" s="961"/>
      <c r="N429" s="929">
        <f>'matrik MISI 6'!S94</f>
        <v>1074</v>
      </c>
      <c r="O429" s="929"/>
      <c r="P429" s="929">
        <f>'matrik MISI 6'!T94</f>
        <v>1284</v>
      </c>
      <c r="Q429" s="929"/>
      <c r="R429" s="929">
        <f>'matrik MISI 6'!U94</f>
        <v>1504</v>
      </c>
      <c r="S429" s="929"/>
      <c r="T429" s="929">
        <f>'matrik MISI 6'!V94</f>
        <v>1734</v>
      </c>
      <c r="U429" s="929"/>
      <c r="V429" s="929">
        <f>'matrik MISI 6'!W94</f>
        <v>1734</v>
      </c>
      <c r="W429" s="929"/>
      <c r="X429" s="929" t="str">
        <f>'matrik MISI 6'!X94</f>
        <v>KP3M</v>
      </c>
      <c r="Y429" s="164" t="str">
        <f>'matrik MISI 6'!Y94</f>
        <v>Jumlah investor pada tahun berjalan</v>
      </c>
      <c r="Z429" s="164" t="str">
        <f>'matrik MISI 6'!Z94</f>
        <v>Investor meliputi PMDN dan PMA</v>
      </c>
    </row>
    <row r="430" spans="2:26" ht="45">
      <c r="B430" s="940"/>
      <c r="C430" s="941"/>
      <c r="D430" s="940"/>
      <c r="E430" s="940"/>
      <c r="F430" s="940"/>
      <c r="G430" s="940"/>
      <c r="H430" s="164" t="str">
        <f>'matrik MISI 6'!N96</f>
        <v xml:space="preserve">Besaran Promosi peluang investasi dan kemitraan dengan dunia usaha </v>
      </c>
      <c r="I430" s="164" t="str">
        <f>'matrik MISI 6'!O96</f>
        <v>Kali/tahun</v>
      </c>
      <c r="J430" s="929">
        <f>'matrik MISI 6'!P96</f>
        <v>3</v>
      </c>
      <c r="K430" s="929">
        <f>'matrik MISI 6'!Q96</f>
        <v>2</v>
      </c>
      <c r="L430" s="929">
        <f>'matrik MISI 6'!R96</f>
        <v>5</v>
      </c>
      <c r="M430" s="961"/>
      <c r="N430" s="929">
        <f>'matrik MISI 6'!S96</f>
        <v>5</v>
      </c>
      <c r="O430" s="929"/>
      <c r="P430" s="929">
        <f>'matrik MISI 6'!T96</f>
        <v>7</v>
      </c>
      <c r="Q430" s="929"/>
      <c r="R430" s="929">
        <f>'matrik MISI 6'!U96</f>
        <v>7</v>
      </c>
      <c r="S430" s="929"/>
      <c r="T430" s="929">
        <f>'matrik MISI 6'!V96</f>
        <v>7</v>
      </c>
      <c r="U430" s="929"/>
      <c r="V430" s="929">
        <f>'matrik MISI 6'!W96</f>
        <v>33</v>
      </c>
      <c r="W430" s="929"/>
      <c r="X430" s="929" t="str">
        <f>'matrik MISI 6'!X96</f>
        <v>KP3M</v>
      </c>
      <c r="Y430" s="164" t="str">
        <f>'matrik MISI 6'!Y96</f>
        <v xml:space="preserve">Frequensi Promosi Peluang Penanaman Modal Kabupaten </v>
      </c>
      <c r="Z430" s="164" t="str">
        <f>'matrik MISI 6'!Z96</f>
        <v>selama 5 tahun di laksanakan 33 kali pameran/promosi</v>
      </c>
    </row>
    <row r="431" spans="2:26" ht="30">
      <c r="B431" s="949">
        <v>17</v>
      </c>
      <c r="C431" s="948" t="str">
        <f>'matrik MISI 2'!B79</f>
        <v>KEBUDAYAAN</v>
      </c>
      <c r="D431" s="949">
        <f>'matrik MISI 2'!J80</f>
        <v>1.17</v>
      </c>
      <c r="E431" s="949" t="str">
        <f>'matrik MISI 2'!K80</f>
        <v>xx</v>
      </c>
      <c r="F431" s="949">
        <f>'matrik MISI 2'!L80</f>
        <v>19</v>
      </c>
      <c r="G431" s="949" t="str">
        <f>'matrik MISI 2'!M80</f>
        <v>Program Pengembangan Nilai Keagamaan</v>
      </c>
      <c r="H431" s="164"/>
      <c r="I431" s="164"/>
      <c r="J431" s="929"/>
      <c r="K431" s="929"/>
      <c r="L431" s="929"/>
      <c r="M431" s="961">
        <f>'jangan di hapus 1'!K900</f>
        <v>843764800</v>
      </c>
      <c r="N431" s="961"/>
      <c r="O431" s="961">
        <f>'jangan di hapus 1'!M900</f>
        <v>1008928500</v>
      </c>
      <c r="P431" s="961"/>
      <c r="Q431" s="961">
        <f>'jangan di hapus 1'!O900</f>
        <v>1060000000</v>
      </c>
      <c r="R431" s="961"/>
      <c r="S431" s="961">
        <f>'jangan di hapus 1'!Q900</f>
        <v>1070000000</v>
      </c>
      <c r="T431" s="961"/>
      <c r="U431" s="961">
        <f>'jangan di hapus 1'!S900</f>
        <v>1080000000</v>
      </c>
      <c r="V431" s="929"/>
      <c r="W431" s="961">
        <f>SUM(M431:U431)</f>
        <v>5062693300</v>
      </c>
      <c r="X431" s="929"/>
      <c r="Y431" s="1016"/>
      <c r="Z431" s="1016"/>
    </row>
    <row r="432" spans="2:26" ht="75">
      <c r="B432" s="939"/>
      <c r="C432" s="939"/>
      <c r="D432" s="939"/>
      <c r="E432" s="939"/>
      <c r="F432" s="939"/>
      <c r="G432" s="939"/>
      <c r="H432" s="164" t="str">
        <f>'matrik MISI 2'!N80</f>
        <v>Cakupan Pemberian Bantuan Tempat Ibadah</v>
      </c>
      <c r="I432" s="164" t="str">
        <f>'matrik MISI 2'!O80</f>
        <v>%</v>
      </c>
      <c r="J432" s="929">
        <f>'matrik MISI 2'!P80</f>
        <v>100</v>
      </c>
      <c r="K432" s="929">
        <f>'matrik MISI 2'!Q80</f>
        <v>100</v>
      </c>
      <c r="L432" s="929">
        <f>'matrik MISI 2'!R80</f>
        <v>100</v>
      </c>
      <c r="M432" s="961"/>
      <c r="N432" s="929">
        <f>'matrik MISI 2'!S80</f>
        <v>100</v>
      </c>
      <c r="O432" s="929"/>
      <c r="P432" s="929">
        <f>'matrik MISI 2'!T80</f>
        <v>100</v>
      </c>
      <c r="Q432" s="929"/>
      <c r="R432" s="929">
        <f>'matrik MISI 2'!U80</f>
        <v>100</v>
      </c>
      <c r="S432" s="929"/>
      <c r="T432" s="929">
        <f>'matrik MISI 2'!V80</f>
        <v>100</v>
      </c>
      <c r="U432" s="929"/>
      <c r="V432" s="929">
        <f>'matrik MISI 2'!W80</f>
        <v>100</v>
      </c>
      <c r="W432" s="929"/>
      <c r="X432" s="929">
        <f>'matrik MISI 2'!X80</f>
        <v>0</v>
      </c>
      <c r="Y432" s="164" t="str">
        <f>'matrik MISI 2'!Y80</f>
        <v>Jumlah Tempat Ibadah yang dibantu dibagi Jumlah Tempat Ibadah yang mengajukan proposal</v>
      </c>
      <c r="Z432" s="164">
        <f>'matrik MISI 2'!Z80</f>
        <v>0</v>
      </c>
    </row>
    <row r="433" spans="2:26" ht="90">
      <c r="B433" s="940"/>
      <c r="C433" s="941"/>
      <c r="D433" s="940"/>
      <c r="E433" s="940"/>
      <c r="F433" s="940"/>
      <c r="G433" s="940"/>
      <c r="H433" s="164" t="str">
        <f>'matrik MISI 2'!N81</f>
        <v>Cakupan Pemberian Bantuan Kepada Pondok Pesantren</v>
      </c>
      <c r="I433" s="164" t="str">
        <f>'matrik MISI 2'!O81</f>
        <v>%</v>
      </c>
      <c r="J433" s="929">
        <f>'matrik MISI 2'!P81</f>
        <v>100</v>
      </c>
      <c r="K433" s="929">
        <f>'matrik MISI 2'!Q81</f>
        <v>100</v>
      </c>
      <c r="L433" s="929">
        <f>'matrik MISI 2'!R81</f>
        <v>100</v>
      </c>
      <c r="M433" s="961"/>
      <c r="N433" s="929">
        <f>'matrik MISI 2'!S81</f>
        <v>100</v>
      </c>
      <c r="O433" s="929"/>
      <c r="P433" s="929">
        <f>'matrik MISI 2'!T81</f>
        <v>100</v>
      </c>
      <c r="Q433" s="929"/>
      <c r="R433" s="929">
        <f>'matrik MISI 2'!U81</f>
        <v>100</v>
      </c>
      <c r="S433" s="929"/>
      <c r="T433" s="929">
        <f>'matrik MISI 2'!V81</f>
        <v>100</v>
      </c>
      <c r="U433" s="929"/>
      <c r="V433" s="929">
        <f>'matrik MISI 2'!W81</f>
        <v>100</v>
      </c>
      <c r="W433" s="929"/>
      <c r="X433" s="929">
        <f>'matrik MISI 2'!X81</f>
        <v>0</v>
      </c>
      <c r="Y433" s="164" t="str">
        <f>'matrik MISI 2'!Y81</f>
        <v>Jumlah pondok Pesantren yang dibantu dibagi Jumlah  Pondok Pesantren yang mengajukan proposal x 100</v>
      </c>
      <c r="Z433" s="164" t="str">
        <f>'matrik MISI 2'!Z81</f>
        <v>pondok pesantren yang mengajukan proposaladalah yang memenuhi syarat-syarat yang ditentukan</v>
      </c>
    </row>
    <row r="434" spans="2:26" ht="90">
      <c r="B434" s="940"/>
      <c r="C434" s="941"/>
      <c r="D434" s="940"/>
      <c r="E434" s="940"/>
      <c r="F434" s="940"/>
      <c r="G434" s="940"/>
      <c r="H434" s="164" t="str">
        <f>'matrik MISI 2'!N82</f>
        <v>Cakupan Pemberian Bantuan Kepada TPQ</v>
      </c>
      <c r="I434" s="164" t="str">
        <f>'matrik MISI 2'!O82</f>
        <v>%</v>
      </c>
      <c r="J434" s="929">
        <f>'matrik MISI 2'!P82</f>
        <v>100</v>
      </c>
      <c r="K434" s="929">
        <f>'matrik MISI 2'!Q82</f>
        <v>100</v>
      </c>
      <c r="L434" s="929">
        <f>'matrik MISI 2'!R82</f>
        <v>100</v>
      </c>
      <c r="M434" s="961"/>
      <c r="N434" s="929">
        <f>'matrik MISI 2'!S82</f>
        <v>100</v>
      </c>
      <c r="O434" s="929"/>
      <c r="P434" s="929">
        <f>'matrik MISI 2'!T82</f>
        <v>100</v>
      </c>
      <c r="Q434" s="929"/>
      <c r="R434" s="929">
        <f>'matrik MISI 2'!U82</f>
        <v>100</v>
      </c>
      <c r="S434" s="929"/>
      <c r="T434" s="929">
        <f>'matrik MISI 2'!V82</f>
        <v>100</v>
      </c>
      <c r="U434" s="929"/>
      <c r="V434" s="929">
        <f>'matrik MISI 2'!W82</f>
        <v>100</v>
      </c>
      <c r="W434" s="929"/>
      <c r="X434" s="929">
        <f>'matrik MISI 2'!X82</f>
        <v>0</v>
      </c>
      <c r="Y434" s="164" t="str">
        <f>'matrik MISI 2'!Y82</f>
        <v>Jumlah TPQ yang dibantu dibagi Jumlah TPQ yang mengajukan proposal x 100</v>
      </c>
      <c r="Z434" s="164" t="str">
        <f>'matrik MISI 2'!Z82</f>
        <v>TPQ  yang mengajukan proposal adalah yang memenuhi syarat-syarat yang ditentukan</v>
      </c>
    </row>
    <row r="435" spans="2:26" ht="90">
      <c r="B435" s="940"/>
      <c r="C435" s="941"/>
      <c r="D435" s="940"/>
      <c r="E435" s="940"/>
      <c r="F435" s="940"/>
      <c r="G435" s="940"/>
      <c r="H435" s="164" t="str">
        <f>'matrik MISI 2'!N83</f>
        <v>Cakupan Pemberian Bantuan Kepada Madrasah Diniyah</v>
      </c>
      <c r="I435" s="164" t="str">
        <f>'matrik MISI 2'!O83</f>
        <v>%</v>
      </c>
      <c r="J435" s="929">
        <f>'matrik MISI 2'!P83</f>
        <v>100</v>
      </c>
      <c r="K435" s="929">
        <f>'matrik MISI 2'!Q83</f>
        <v>100</v>
      </c>
      <c r="L435" s="929">
        <f>'matrik MISI 2'!R83</f>
        <v>100</v>
      </c>
      <c r="M435" s="961"/>
      <c r="N435" s="929">
        <f>'matrik MISI 2'!S83</f>
        <v>100</v>
      </c>
      <c r="O435" s="929"/>
      <c r="P435" s="929">
        <f>'matrik MISI 2'!T83</f>
        <v>100</v>
      </c>
      <c r="Q435" s="929"/>
      <c r="R435" s="929">
        <f>'matrik MISI 2'!U83</f>
        <v>100</v>
      </c>
      <c r="S435" s="929"/>
      <c r="T435" s="929">
        <f>'matrik MISI 2'!V83</f>
        <v>100</v>
      </c>
      <c r="U435" s="929"/>
      <c r="V435" s="929">
        <f>'matrik MISI 2'!W83</f>
        <v>100</v>
      </c>
      <c r="W435" s="929"/>
      <c r="X435" s="929">
        <f>'matrik MISI 2'!X83</f>
        <v>0</v>
      </c>
      <c r="Y435" s="164" t="str">
        <f>'matrik MISI 2'!Y83</f>
        <v>Jumlah Madrasah Diniyah yang dibantu dibagi Jumlah Madrasah Diniyah yang mengajukan proposal x 100</v>
      </c>
      <c r="Z435" s="164" t="str">
        <f>'matrik MISI 2'!Z83</f>
        <v>Madrasah Diniyah yang mengajukan proposal adalah yang memenuhi syarat-syarat yang ditentukan</v>
      </c>
    </row>
    <row r="436" spans="2:26" ht="30" hidden="1">
      <c r="B436" s="940"/>
      <c r="C436" s="941"/>
      <c r="D436" s="940">
        <f>'matrik MISI 2'!J85</f>
        <v>1.17</v>
      </c>
      <c r="E436" s="940" t="str">
        <f>'matrik MISI 2'!K85</f>
        <v>xx</v>
      </c>
      <c r="F436" s="940">
        <f>'matrik MISI 2'!L85</f>
        <v>16</v>
      </c>
      <c r="G436" s="940" t="str">
        <f>'matrik MISI 2'!M85</f>
        <v>Program Pengelolaan Kekayaan Budaya</v>
      </c>
      <c r="H436" s="164"/>
      <c r="I436" s="164"/>
      <c r="J436" s="929"/>
      <c r="K436" s="929"/>
      <c r="L436" s="929"/>
      <c r="M436" s="961">
        <f>'jangan di hapus 1'!K879</f>
        <v>260000000</v>
      </c>
      <c r="N436" s="961"/>
      <c r="O436" s="961">
        <f>'jangan di hapus 1'!M879</f>
        <v>230719200</v>
      </c>
      <c r="P436" s="961"/>
      <c r="Q436" s="961">
        <f>'jangan di hapus 1'!O879</f>
        <v>955000000</v>
      </c>
      <c r="R436" s="961"/>
      <c r="S436" s="961">
        <f>'jangan di hapus 1'!Q879</f>
        <v>975000000</v>
      </c>
      <c r="T436" s="961"/>
      <c r="U436" s="961">
        <f>'jangan di hapus 1'!S879</f>
        <v>1050000000</v>
      </c>
      <c r="V436" s="929"/>
      <c r="W436" s="961">
        <f>SUM(M436:U436)</f>
        <v>3470719200</v>
      </c>
      <c r="X436" s="929"/>
      <c r="Y436" s="164"/>
      <c r="Z436" s="164"/>
    </row>
    <row r="437" spans="2:26" ht="60">
      <c r="B437" s="939"/>
      <c r="C437" s="939"/>
      <c r="D437" s="939"/>
      <c r="E437" s="939"/>
      <c r="F437" s="939"/>
      <c r="G437" s="939"/>
      <c r="H437" s="164" t="str">
        <f>'matrik MISI 2'!N85</f>
        <v>Cakupan Pemeliharaan Nilai Tradisi Budaya</v>
      </c>
      <c r="I437" s="164" t="str">
        <f>'matrik MISI 2'!O85</f>
        <v>%</v>
      </c>
      <c r="J437" s="929">
        <f>'matrik MISI 2'!P85</f>
        <v>0.05</v>
      </c>
      <c r="K437" s="929">
        <f>'matrik MISI 2'!Q85</f>
        <v>0.1</v>
      </c>
      <c r="L437" s="929">
        <f>'matrik MISI 2'!R85</f>
        <v>0.15</v>
      </c>
      <c r="M437" s="961"/>
      <c r="N437" s="929">
        <f>'matrik MISI 2'!S85</f>
        <v>0.18</v>
      </c>
      <c r="O437" s="929"/>
      <c r="P437" s="929">
        <f>'matrik MISI 2'!T85</f>
        <v>0.21</v>
      </c>
      <c r="Q437" s="929"/>
      <c r="R437" s="929">
        <f>'matrik MISI 2'!U85</f>
        <v>0.25</v>
      </c>
      <c r="S437" s="929"/>
      <c r="T437" s="929">
        <f>'matrik MISI 2'!V85</f>
        <v>0.28000000000000003</v>
      </c>
      <c r="U437" s="929"/>
      <c r="V437" s="929">
        <f>'matrik MISI 2'!W85</f>
        <v>0.28000000000000003</v>
      </c>
      <c r="W437" s="929"/>
      <c r="X437" s="929" t="str">
        <f>'matrik MISI 2'!X85</f>
        <v>Dinbudparpora</v>
      </c>
      <c r="Y437" s="164" t="str">
        <f>'matrik MISI 2'!Y85</f>
        <v>Jumlah Tradisi Budaya yang dipelihara dibagi Jumlah Tradisi Budaya yang ada X 100</v>
      </c>
      <c r="Z437" s="164">
        <f>'matrik MISI 2'!Z85</f>
        <v>0</v>
      </c>
    </row>
    <row r="438" spans="2:26" ht="120">
      <c r="B438" s="940"/>
      <c r="C438" s="941"/>
      <c r="D438" s="940"/>
      <c r="E438" s="940"/>
      <c r="F438" s="940"/>
      <c r="G438" s="940"/>
      <c r="H438" s="164" t="str">
        <f>'matrik MISI 2'!N86</f>
        <v>Cakupan Pemeliharaan Benda-benda Bersejarah dan Arkeologi</v>
      </c>
      <c r="I438" s="164">
        <f>'matrik MISI 2'!O86</f>
        <v>0</v>
      </c>
      <c r="J438" s="929">
        <f>'matrik MISI 2'!P86</f>
        <v>6.38</v>
      </c>
      <c r="K438" s="929">
        <f>'matrik MISI 2'!Q86</f>
        <v>6.38</v>
      </c>
      <c r="L438" s="929">
        <f>'matrik MISI 2'!R86</f>
        <v>6.38</v>
      </c>
      <c r="M438" s="961"/>
      <c r="N438" s="929">
        <f>'matrik MISI 2'!S86</f>
        <v>6.38</v>
      </c>
      <c r="O438" s="929"/>
      <c r="P438" s="929">
        <f>'matrik MISI 2'!T86</f>
        <v>6.38</v>
      </c>
      <c r="Q438" s="929"/>
      <c r="R438" s="929">
        <f>'matrik MISI 2'!U86</f>
        <v>6.38</v>
      </c>
      <c r="S438" s="929"/>
      <c r="T438" s="929">
        <f>'matrik MISI 2'!V86</f>
        <v>6.38</v>
      </c>
      <c r="U438" s="929"/>
      <c r="V438" s="929">
        <f>'matrik MISI 2'!W86</f>
        <v>6.38</v>
      </c>
      <c r="W438" s="929"/>
      <c r="X438" s="929" t="str">
        <f>'matrik MISI 2'!X86</f>
        <v>Dinbudparpora</v>
      </c>
      <c r="Y438" s="164" t="str">
        <f>'matrik MISI 2'!Y86</f>
        <v>Jumlah Benda-benda Bersejarah dan Arkeologi yang dipelihara dibagi Jumlah seluruh Benda-benda Bersejarah dan Arkeologi yang ada X 100</v>
      </c>
      <c r="Z438" s="164">
        <f>'matrik MISI 2'!Z86</f>
        <v>0</v>
      </c>
    </row>
    <row r="439" spans="2:26" ht="60">
      <c r="B439" s="940"/>
      <c r="C439" s="941"/>
      <c r="D439" s="940"/>
      <c r="E439" s="940"/>
      <c r="F439" s="940"/>
      <c r="G439" s="940"/>
      <c r="H439" s="164" t="str">
        <f>'matrik MISI 2'!N96</f>
        <v>Cakupan Fasilitas Cagar Budaya</v>
      </c>
      <c r="I439" s="164" t="str">
        <f>'matrik MISI 2'!O96</f>
        <v>%</v>
      </c>
      <c r="J439" s="929">
        <f>'matrik MISI 2'!P96</f>
        <v>2.12</v>
      </c>
      <c r="K439" s="929">
        <f>'matrik MISI 2'!Q96</f>
        <v>2.12</v>
      </c>
      <c r="L439" s="929">
        <f>'matrik MISI 2'!R96</f>
        <v>2.12</v>
      </c>
      <c r="M439" s="961"/>
      <c r="N439" s="929">
        <f>'matrik MISI 2'!S96</f>
        <v>2.12</v>
      </c>
      <c r="O439" s="929"/>
      <c r="P439" s="929">
        <f>'matrik MISI 2'!T96</f>
        <v>2.12</v>
      </c>
      <c r="Q439" s="929"/>
      <c r="R439" s="929">
        <f>'matrik MISI 2'!U96</f>
        <v>2.12</v>
      </c>
      <c r="S439" s="929"/>
      <c r="T439" s="929">
        <f>'matrik MISI 2'!V96</f>
        <v>2.12</v>
      </c>
      <c r="U439" s="929"/>
      <c r="V439" s="929">
        <f>'matrik MISI 2'!W96</f>
        <v>2.12</v>
      </c>
      <c r="W439" s="929"/>
      <c r="X439" s="929" t="str">
        <f>'matrik MISI 2'!X96</f>
        <v>Dinbudparpora</v>
      </c>
      <c r="Y439" s="164" t="str">
        <f>'matrik MISI 2'!Y96</f>
        <v>Jumlah Cagar Budaya yang difasilitasi dibagi Jumlah Cagar Budaya kali 100</v>
      </c>
      <c r="Z439" s="164">
        <f>'matrik MISI 2'!Z96</f>
        <v>0</v>
      </c>
    </row>
    <row r="440" spans="2:26" ht="60">
      <c r="B440" s="940"/>
      <c r="C440" s="941"/>
      <c r="D440" s="940"/>
      <c r="E440" s="940"/>
      <c r="F440" s="940"/>
      <c r="G440" s="940"/>
      <c r="H440" s="164" t="str">
        <f>'matrik MISI 2'!N97</f>
        <v>Cakupan Promosi Cagar Budaya</v>
      </c>
      <c r="I440" s="164" t="str">
        <f>'matrik MISI 2'!O97</f>
        <v>%</v>
      </c>
      <c r="J440" s="929">
        <f>'matrik MISI 2'!P97</f>
        <v>0.02</v>
      </c>
      <c r="K440" s="929">
        <f>'matrik MISI 2'!Q97</f>
        <v>0.02</v>
      </c>
      <c r="L440" s="929">
        <f>'matrik MISI 2'!R97</f>
        <v>0.02</v>
      </c>
      <c r="M440" s="961"/>
      <c r="N440" s="929">
        <f>'matrik MISI 2'!S97</f>
        <v>0.31</v>
      </c>
      <c r="O440" s="929"/>
      <c r="P440" s="929">
        <f>'matrik MISI 2'!T97</f>
        <v>0.42</v>
      </c>
      <c r="Q440" s="929"/>
      <c r="R440" s="929">
        <f>'matrik MISI 2'!U97</f>
        <v>0.53</v>
      </c>
      <c r="S440" s="929"/>
      <c r="T440" s="929">
        <f>'matrik MISI 2'!V97</f>
        <v>0.63</v>
      </c>
      <c r="U440" s="929"/>
      <c r="V440" s="929">
        <f>'matrik MISI 2'!W97</f>
        <v>0.65</v>
      </c>
      <c r="W440" s="929"/>
      <c r="X440" s="929" t="str">
        <f>'matrik MISI 2'!X97</f>
        <v>Dinbudparpora</v>
      </c>
      <c r="Y440" s="164" t="str">
        <f>'matrik MISI 2'!Y97</f>
        <v>Jumlah Cagar Budaya yang dipromosikan dibagi Jumlah cagar Budaya kali 100</v>
      </c>
      <c r="Z440" s="164">
        <f>'matrik MISI 2'!Z97</f>
        <v>0</v>
      </c>
    </row>
    <row r="441" spans="2:26" ht="30" hidden="1">
      <c r="B441" s="940"/>
      <c r="C441" s="941"/>
      <c r="D441" s="940">
        <f>'matrik MISI 2'!J88</f>
        <v>1.17</v>
      </c>
      <c r="E441" s="940" t="str">
        <f>'matrik MISI 2'!K88</f>
        <v>xx</v>
      </c>
      <c r="F441" s="940">
        <f>'matrik MISI 2'!L88</f>
        <v>17</v>
      </c>
      <c r="G441" s="940" t="str">
        <f>'matrik MISI 2'!M88</f>
        <v>Program Pengelolaan Keragaman Budaya</v>
      </c>
      <c r="H441" s="164"/>
      <c r="I441" s="164"/>
      <c r="J441" s="929"/>
      <c r="K441" s="929"/>
      <c r="L441" s="929"/>
      <c r="M441" s="961">
        <f>'jangan di hapus 1'!K888</f>
        <v>397750000</v>
      </c>
      <c r="N441" s="961"/>
      <c r="O441" s="961">
        <f>'jangan di hapus 1'!M888</f>
        <v>386062000</v>
      </c>
      <c r="P441" s="961"/>
      <c r="Q441" s="961">
        <f>'jangan di hapus 1'!O888</f>
        <v>547000000</v>
      </c>
      <c r="R441" s="961"/>
      <c r="S441" s="961">
        <f>'jangan di hapus 1'!Q888</f>
        <v>665000000</v>
      </c>
      <c r="T441" s="961"/>
      <c r="U441" s="961">
        <f>'jangan di hapus 1'!S888</f>
        <v>572000000</v>
      </c>
      <c r="V441" s="929"/>
      <c r="W441" s="961">
        <f>SUM(M441:U441)</f>
        <v>2567812000</v>
      </c>
      <c r="X441" s="929"/>
      <c r="Y441" s="164"/>
      <c r="Z441" s="164"/>
    </row>
    <row r="442" spans="2:26" ht="315">
      <c r="B442" s="940"/>
      <c r="C442" s="941"/>
      <c r="D442" s="939"/>
      <c r="E442" s="939"/>
      <c r="F442" s="939"/>
      <c r="G442" s="939"/>
      <c r="H442" s="164" t="str">
        <f>'matrik MISI 2'!N88</f>
        <v>Cakupan Kajian Seni</v>
      </c>
      <c r="I442" s="164" t="str">
        <f>'matrik MISI 2'!O88</f>
        <v>%</v>
      </c>
      <c r="J442" s="929">
        <f>'matrik MISI 2'!P88</f>
        <v>6.6</v>
      </c>
      <c r="K442" s="929">
        <f>'matrik MISI 2'!Q88</f>
        <v>13.3</v>
      </c>
      <c r="L442" s="929">
        <f>'matrik MISI 2'!R88</f>
        <v>20</v>
      </c>
      <c r="M442" s="961"/>
      <c r="N442" s="929">
        <f>'matrik MISI 2'!S88</f>
        <v>26.6</v>
      </c>
      <c r="O442" s="929"/>
      <c r="P442" s="929">
        <f>'matrik MISI 2'!T88</f>
        <v>26.6</v>
      </c>
      <c r="Q442" s="929"/>
      <c r="R442" s="929">
        <f>'matrik MISI 2'!U88</f>
        <v>33.299999999999997</v>
      </c>
      <c r="S442" s="929"/>
      <c r="T442" s="929">
        <f>'matrik MISI 2'!V88</f>
        <v>33.299999999999997</v>
      </c>
      <c r="U442" s="929"/>
      <c r="V442" s="929">
        <f>'matrik MISI 2'!W88</f>
        <v>33.299999999999997</v>
      </c>
      <c r="W442" s="929"/>
      <c r="X442" s="929" t="str">
        <f>'matrik MISI 2'!X88</f>
        <v>Dinbudparpora</v>
      </c>
      <c r="Y442" s="164" t="str">
        <f>'matrik MISI 2'!Y88</f>
        <v>Jumlah kajian kesenian yang dilaksanakan dibagi 15 kali 100</v>
      </c>
      <c r="Z442" s="164"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43" spans="2:26" ht="30">
      <c r="B443" s="940"/>
      <c r="C443" s="941"/>
      <c r="D443" s="940"/>
      <c r="E443" s="940"/>
      <c r="F443" s="940"/>
      <c r="G443" s="940"/>
      <c r="H443" s="164" t="str">
        <f>'matrik MISI 2'!N91</f>
        <v xml:space="preserve">Cakupan Misi Kesenian </v>
      </c>
      <c r="I443" s="164" t="str">
        <f>'matrik MISI 2'!O91</f>
        <v>%</v>
      </c>
      <c r="J443" s="929">
        <f>'matrik MISI 2'!P91</f>
        <v>60</v>
      </c>
      <c r="K443" s="929">
        <f>'matrik MISI 2'!Q91</f>
        <v>65</v>
      </c>
      <c r="L443" s="929">
        <f>'matrik MISI 2'!R91</f>
        <v>75</v>
      </c>
      <c r="M443" s="961"/>
      <c r="N443" s="929">
        <f>'matrik MISI 2'!S91</f>
        <v>80</v>
      </c>
      <c r="O443" s="929"/>
      <c r="P443" s="929">
        <f>'matrik MISI 2'!T91</f>
        <v>85</v>
      </c>
      <c r="Q443" s="929"/>
      <c r="R443" s="929">
        <f>'matrik MISI 2'!U91</f>
        <v>90</v>
      </c>
      <c r="S443" s="929"/>
      <c r="T443" s="929">
        <f>'matrik MISI 2'!V91</f>
        <v>95</v>
      </c>
      <c r="U443" s="929"/>
      <c r="V443" s="929">
        <f>'matrik MISI 2'!W91</f>
        <v>95</v>
      </c>
      <c r="W443" s="929"/>
      <c r="X443" s="929" t="str">
        <f>'matrik MISI 2'!X91</f>
        <v>Dinbudparpora</v>
      </c>
      <c r="Y443" s="164" t="str">
        <f>'matrik MISI 2'!Y91</f>
        <v>Jumlah misi kesenian yang dilaksanakan</v>
      </c>
      <c r="Z443" s="164">
        <f>'matrik MISI 2'!Z91</f>
        <v>0</v>
      </c>
    </row>
    <row r="444" spans="2:26" ht="45">
      <c r="B444" s="949">
        <v>18</v>
      </c>
      <c r="C444" s="948" t="str">
        <f>'matrik MISI 2'!B71</f>
        <v>PEMUDA DAN OLAH RAGA</v>
      </c>
      <c r="D444" s="949">
        <f>'matrik MISI 2'!J72</f>
        <v>1.18</v>
      </c>
      <c r="E444" s="949" t="str">
        <f>'matrik MISI 2'!K72</f>
        <v>xx</v>
      </c>
      <c r="F444" s="949">
        <f>'matrik MISI 2'!L72</f>
        <v>20</v>
      </c>
      <c r="G444" s="949" t="str">
        <f>'matrik MISI 2'!M72</f>
        <v>Program Pembinaan dan Pemasyarakatan Olahraga</v>
      </c>
      <c r="H444" s="164"/>
      <c r="I444" s="164"/>
      <c r="J444" s="929"/>
      <c r="K444" s="929"/>
      <c r="L444" s="929"/>
      <c r="M444" s="961">
        <f>'jangan di hapus 1'!K908</f>
        <v>284259000</v>
      </c>
      <c r="N444" s="961"/>
      <c r="O444" s="961">
        <f>'jangan di hapus 1'!M908</f>
        <v>649790000</v>
      </c>
      <c r="P444" s="961"/>
      <c r="Q444" s="961">
        <f>'jangan di hapus 1'!O908</f>
        <v>700000000</v>
      </c>
      <c r="R444" s="961"/>
      <c r="S444" s="961">
        <f>'jangan di hapus 1'!Q908</f>
        <v>805000000</v>
      </c>
      <c r="T444" s="961"/>
      <c r="U444" s="961">
        <f>'jangan di hapus 1'!S908</f>
        <v>830000000</v>
      </c>
      <c r="V444" s="929"/>
      <c r="W444" s="961">
        <f>SUM(M444:U444)</f>
        <v>3269049000</v>
      </c>
      <c r="X444" s="929"/>
      <c r="Y444" s="1016"/>
      <c r="Z444" s="1016"/>
    </row>
    <row r="445" spans="2:26" ht="150">
      <c r="B445" s="939"/>
      <c r="C445" s="939"/>
      <c r="D445" s="939"/>
      <c r="E445" s="939"/>
      <c r="F445" s="939"/>
      <c r="G445" s="939"/>
      <c r="H445" s="164" t="str">
        <f>'matrik MISI 2'!N72</f>
        <v>Besaran kegiatan kepemudaan</v>
      </c>
      <c r="I445" s="164" t="str">
        <f>'matrik MISI 2'!O72</f>
        <v>Kegiatan</v>
      </c>
      <c r="J445" s="929">
        <f>'matrik MISI 2'!P72</f>
        <v>9</v>
      </c>
      <c r="K445" s="929">
        <f>'matrik MISI 2'!Q72</f>
        <v>9</v>
      </c>
      <c r="L445" s="929">
        <f>'matrik MISI 2'!R72</f>
        <v>9</v>
      </c>
      <c r="M445" s="961"/>
      <c r="N445" s="929">
        <f>'matrik MISI 2'!S72</f>
        <v>10</v>
      </c>
      <c r="O445" s="929"/>
      <c r="P445" s="929">
        <f>'matrik MISI 2'!T72</f>
        <v>11</v>
      </c>
      <c r="Q445" s="929"/>
      <c r="R445" s="929">
        <f>'matrik MISI 2'!U72</f>
        <v>12</v>
      </c>
      <c r="S445" s="929"/>
      <c r="T445" s="929">
        <f>'matrik MISI 2'!V72</f>
        <v>13</v>
      </c>
      <c r="U445" s="929"/>
      <c r="V445" s="929">
        <f>'matrik MISI 2'!W72</f>
        <v>13</v>
      </c>
      <c r="W445" s="929"/>
      <c r="X445" s="929" t="str">
        <f>'matrik MISI 2'!X72</f>
        <v>Dinbudparpora</v>
      </c>
      <c r="Y445" s="164" t="str">
        <f>'matrik MISI 2'!Y72</f>
        <v>Jumlah kegiatan kepemudaan dalam satu tahun</v>
      </c>
      <c r="Z445" s="164" t="str">
        <f>'matrik MISI 2'!Z72</f>
        <v>Kegiatan kepemudaan adalah kegiatan atau event kepemudaan yang diselenggarakan dalam bentuk pertandingan, perlombaan dan upacara atau peristiwa sejenis</v>
      </c>
    </row>
    <row r="446" spans="2:26" ht="60">
      <c r="B446" s="940"/>
      <c r="C446" s="941"/>
      <c r="D446" s="940"/>
      <c r="E446" s="940"/>
      <c r="F446" s="940"/>
      <c r="G446" s="940"/>
      <c r="H446" s="164" t="str">
        <f>'matrik MISI 2'!N77</f>
        <v>Besaran Prestasi Olahraga</v>
      </c>
      <c r="I446" s="164" t="str">
        <f>'matrik MISI 2'!O77</f>
        <v>Jumlah Medali</v>
      </c>
      <c r="J446" s="929">
        <f>'matrik MISI 2'!P77</f>
        <v>71</v>
      </c>
      <c r="K446" s="929">
        <f>'matrik MISI 2'!Q77</f>
        <v>65</v>
      </c>
      <c r="L446" s="929">
        <f>'matrik MISI 2'!R77</f>
        <v>70</v>
      </c>
      <c r="M446" s="961"/>
      <c r="N446" s="929">
        <f>'matrik MISI 2'!S77</f>
        <v>75</v>
      </c>
      <c r="O446" s="929"/>
      <c r="P446" s="929">
        <f>'matrik MISI 2'!T77</f>
        <v>80</v>
      </c>
      <c r="Q446" s="929"/>
      <c r="R446" s="929">
        <f>'matrik MISI 2'!U77</f>
        <v>85</v>
      </c>
      <c r="S446" s="929"/>
      <c r="T446" s="929">
        <f>'matrik MISI 2'!V77</f>
        <v>90</v>
      </c>
      <c r="U446" s="929"/>
      <c r="V446" s="929">
        <f>'matrik MISI 2'!W77</f>
        <v>90</v>
      </c>
      <c r="W446" s="929"/>
      <c r="X446" s="929" t="str">
        <f>'matrik MISI 2'!X77</f>
        <v>Dinbudparpora</v>
      </c>
      <c r="Y446" s="164" t="str">
        <f>'matrik MISI 2'!Y77</f>
        <v>Jumlah Medali yang diperoleh dalam jangka waktu 1 Tahun ( Juara I, II, III )</v>
      </c>
      <c r="Z446" s="164" t="str">
        <f>'matrik MISI 2'!Z77</f>
        <v>Tingkat Profinsi dan Nasional</v>
      </c>
    </row>
    <row r="447" spans="2:26" ht="75">
      <c r="B447" s="940"/>
      <c r="C447" s="941"/>
      <c r="D447" s="940"/>
      <c r="E447" s="940"/>
      <c r="F447" s="940"/>
      <c r="G447" s="940"/>
      <c r="H447" s="164" t="str">
        <f>'matrik MISI 2'!N78</f>
        <v>Besaran Prestasi Kegiatan Kepemudaan</v>
      </c>
      <c r="I447" s="164" t="str">
        <f>'matrik MISI 2'!O78</f>
        <v>Jumlah Prestasi</v>
      </c>
      <c r="J447" s="929">
        <f>'matrik MISI 2'!P78</f>
        <v>4</v>
      </c>
      <c r="K447" s="929">
        <f>'matrik MISI 2'!Q78</f>
        <v>5</v>
      </c>
      <c r="L447" s="929">
        <f>'matrik MISI 2'!R78</f>
        <v>5</v>
      </c>
      <c r="M447" s="961"/>
      <c r="N447" s="929">
        <f>'matrik MISI 2'!S78</f>
        <v>6</v>
      </c>
      <c r="O447" s="929"/>
      <c r="P447" s="929">
        <f>'matrik MISI 2'!T78</f>
        <v>6</v>
      </c>
      <c r="Q447" s="929"/>
      <c r="R447" s="929">
        <f>'matrik MISI 2'!U78</f>
        <v>7</v>
      </c>
      <c r="S447" s="929"/>
      <c r="T447" s="929">
        <f>'matrik MISI 2'!V78</f>
        <v>7</v>
      </c>
      <c r="U447" s="929"/>
      <c r="V447" s="929">
        <f>'matrik MISI 2'!W78</f>
        <v>8</v>
      </c>
      <c r="W447" s="929"/>
      <c r="X447" s="929" t="str">
        <f>'matrik MISI 2'!X78</f>
        <v>Dinbudparpora</v>
      </c>
      <c r="Y447" s="164" t="str">
        <f>'matrik MISI 2'!Y78</f>
        <v>Jumlah Kejuaraan yang di peroleh pada Kegiatan Kepemudaanyang dilombakan</v>
      </c>
      <c r="Z447" s="164" t="str">
        <f>'matrik MISI 2'!Z78</f>
        <v xml:space="preserve">ada 9 Kegiatan Kejuaraan </v>
      </c>
    </row>
    <row r="448" spans="2:26" ht="45" hidden="1">
      <c r="B448" s="940"/>
      <c r="C448" s="941"/>
      <c r="D448" s="940">
        <f>'matrik MISI 2'!J74</f>
        <v>1.18</v>
      </c>
      <c r="E448" s="940" t="str">
        <f>'matrik MISI 2'!K74</f>
        <v>xx</v>
      </c>
      <c r="F448" s="940">
        <f>'matrik MISI 2'!L74</f>
        <v>21</v>
      </c>
      <c r="G448" s="940" t="str">
        <f>'matrik MISI 2'!M74</f>
        <v>Program Peningkatan Sarana dan Prasarana Olahraga</v>
      </c>
      <c r="H448" s="164"/>
      <c r="I448" s="164"/>
      <c r="J448" s="929"/>
      <c r="K448" s="929"/>
      <c r="L448" s="929"/>
      <c r="M448" s="961">
        <f>'jangan di hapus 1'!K921</f>
        <v>20000000</v>
      </c>
      <c r="N448" s="961"/>
      <c r="O448" s="961">
        <f>'jangan di hapus 1'!M921</f>
        <v>24762500</v>
      </c>
      <c r="P448" s="961"/>
      <c r="Q448" s="961">
        <f>'jangan di hapus 1'!O921</f>
        <v>75000000</v>
      </c>
      <c r="R448" s="961"/>
      <c r="S448" s="961">
        <f>'jangan di hapus 1'!Q921</f>
        <v>80000000</v>
      </c>
      <c r="T448" s="961"/>
      <c r="U448" s="961">
        <f>'jangan di hapus 1'!S921</f>
        <v>85000000</v>
      </c>
      <c r="V448" s="929"/>
      <c r="W448" s="961">
        <f>SUM(M448:U448)</f>
        <v>284762500</v>
      </c>
      <c r="X448" s="929"/>
      <c r="Y448" s="164"/>
      <c r="Z448" s="164"/>
    </row>
    <row r="449" spans="2:26" ht="30">
      <c r="B449" s="949">
        <v>19</v>
      </c>
      <c r="C449" s="948" t="str">
        <f>'matrik MISI 2'!B99</f>
        <v>KESATUAN BANGSA DAN POLITIK DALAM NEGERI</v>
      </c>
      <c r="D449" s="949">
        <f>'matrik MISI 2'!J100</f>
        <v>1.19</v>
      </c>
      <c r="E449" s="949" t="str">
        <f>'matrik MISI 2'!K100</f>
        <v>xx</v>
      </c>
      <c r="F449" s="949">
        <f>'matrik MISI 2'!L100</f>
        <v>21</v>
      </c>
      <c r="G449" s="949" t="str">
        <f>'matrik MISI 2'!M100</f>
        <v>Program pendidikan politik masyarakat</v>
      </c>
      <c r="H449" s="164"/>
      <c r="I449" s="164"/>
      <c r="J449" s="929"/>
      <c r="K449" s="929"/>
      <c r="L449" s="929"/>
      <c r="M449" s="961">
        <f>'jangan di hapus 1'!K963</f>
        <v>1753080000</v>
      </c>
      <c r="N449" s="961"/>
      <c r="O449" s="961">
        <f>'jangan di hapus 1'!M963</f>
        <v>200000000</v>
      </c>
      <c r="P449" s="961"/>
      <c r="Q449" s="961">
        <f>'jangan di hapus 1'!O963</f>
        <v>205000000</v>
      </c>
      <c r="R449" s="961"/>
      <c r="S449" s="961">
        <f>'jangan di hapus 1'!Q963</f>
        <v>425000000</v>
      </c>
      <c r="T449" s="961"/>
      <c r="U449" s="961">
        <f>'jangan di hapus 1'!S963</f>
        <v>570000000</v>
      </c>
      <c r="V449" s="929"/>
      <c r="W449" s="961">
        <f>SUM(M449:U449)</f>
        <v>3153080000</v>
      </c>
      <c r="X449" s="929"/>
      <c r="Y449" s="164"/>
      <c r="Z449" s="164"/>
    </row>
    <row r="450" spans="2:26" ht="90">
      <c r="B450" s="939"/>
      <c r="C450" s="939"/>
      <c r="D450" s="939"/>
      <c r="E450" s="939"/>
      <c r="F450" s="939"/>
      <c r="G450" s="939"/>
      <c r="H450" s="164" t="str">
        <f>'matrik MISI 2'!N100</f>
        <v>Persentase Peserta Kegiatan Politik Masyarakat</v>
      </c>
      <c r="I450" s="164" t="str">
        <f>'matrik MISI 2'!O100</f>
        <v>%</v>
      </c>
      <c r="J450" s="929">
        <f>'matrik MISI 2'!P100</f>
        <v>100</v>
      </c>
      <c r="K450" s="929">
        <f>'matrik MISI 2'!Q100</f>
        <v>100</v>
      </c>
      <c r="L450" s="929">
        <f>'matrik MISI 2'!R100</f>
        <v>100</v>
      </c>
      <c r="M450" s="961"/>
      <c r="N450" s="929">
        <f>'matrik MISI 2'!S100</f>
        <v>100</v>
      </c>
      <c r="O450" s="929"/>
      <c r="P450" s="929">
        <f>'matrik MISI 2'!T100</f>
        <v>100</v>
      </c>
      <c r="Q450" s="929"/>
      <c r="R450" s="929">
        <f>'matrik MISI 2'!U100</f>
        <v>100</v>
      </c>
      <c r="S450" s="929"/>
      <c r="T450" s="929">
        <f>'matrik MISI 2'!V100</f>
        <v>100</v>
      </c>
      <c r="U450" s="929"/>
      <c r="V450" s="929">
        <f>'matrik MISI 2'!W100</f>
        <v>100</v>
      </c>
      <c r="W450" s="929"/>
      <c r="X450" s="929" t="str">
        <f>'matrik MISI 2'!X100</f>
        <v>Kantor KESBANG</v>
      </c>
      <c r="Y450" s="164" t="str">
        <f>'matrik MISI 2'!Y100</f>
        <v>Jumlah peserta kegiatan politik masyarakat dibagi jumlah undangan kegiatan politik masyarakat x 100</v>
      </c>
      <c r="Z450" s="164" t="str">
        <f>'matrik MISI 2'!Z100</f>
        <v>Maksud Kegiatan Politik ??? (ditanyakan Kesbang)</v>
      </c>
    </row>
    <row r="451" spans="2:26" ht="75">
      <c r="B451" s="940"/>
      <c r="C451" s="941"/>
      <c r="D451" s="940"/>
      <c r="E451" s="940"/>
      <c r="F451" s="940"/>
      <c r="G451" s="940"/>
      <c r="H451" s="164" t="str">
        <f>'matrik MISI 2'!N102</f>
        <v xml:space="preserve">Persentase Partisipasi Pemilih </v>
      </c>
      <c r="I451" s="164" t="str">
        <f>'matrik MISI 2'!O102</f>
        <v>%</v>
      </c>
      <c r="J451" s="929" t="str">
        <f>'matrik MISI 2'!P102</f>
        <v xml:space="preserve"> - </v>
      </c>
      <c r="K451" s="929">
        <f>'matrik MISI 2'!Q102</f>
        <v>86</v>
      </c>
      <c r="L451" s="929" t="str">
        <f>'matrik MISI 2'!R102</f>
        <v xml:space="preserve"> - </v>
      </c>
      <c r="M451" s="961"/>
      <c r="N451" s="929" t="str">
        <f>'matrik MISI 2'!S102</f>
        <v xml:space="preserve"> - </v>
      </c>
      <c r="O451" s="929"/>
      <c r="P451" s="929" t="str">
        <f>'matrik MISI 2'!T102</f>
        <v xml:space="preserve"> - </v>
      </c>
      <c r="Q451" s="929"/>
      <c r="R451" s="929" t="str">
        <f>'matrik MISI 2'!U102</f>
        <v xml:space="preserve"> - </v>
      </c>
      <c r="S451" s="929"/>
      <c r="T451" s="929">
        <f>'matrik MISI 2'!V102</f>
        <v>100</v>
      </c>
      <c r="U451" s="929"/>
      <c r="V451" s="929">
        <f>'matrik MISI 2'!W102</f>
        <v>100</v>
      </c>
      <c r="W451" s="929"/>
      <c r="X451" s="929" t="str">
        <f>'matrik MISI 2'!X102</f>
        <v>Kantor KESBANG</v>
      </c>
      <c r="Y451" s="164" t="str">
        <f>'matrik MISI 2'!Y102</f>
        <v>Jumlah pemilih yang menggunakan hak pilih dibagi jumlah pemilih yang terdaftar kali 100</v>
      </c>
      <c r="Z451" s="164">
        <f>'matrik MISI 2'!Z102</f>
        <v>0</v>
      </c>
    </row>
    <row r="452" spans="2:26" ht="45" hidden="1">
      <c r="B452" s="940"/>
      <c r="C452" s="941"/>
      <c r="D452" s="940">
        <f>'matrik MISI 2'!J101</f>
        <v>1.19</v>
      </c>
      <c r="E452" s="940" t="str">
        <f>'matrik MISI 2'!K101</f>
        <v>xx</v>
      </c>
      <c r="F452" s="940">
        <f>'matrik MISI 2'!L101</f>
        <v>20</v>
      </c>
      <c r="G452" s="940" t="str">
        <f>'matrik MISI 2'!M101</f>
        <v>Program peningkatan pemberantasan penyakit masyarakat</v>
      </c>
      <c r="H452" s="164"/>
      <c r="I452" s="164"/>
      <c r="J452" s="929"/>
      <c r="K452" s="929"/>
      <c r="L452" s="929"/>
      <c r="M452" s="961">
        <f>'jangan di hapus 1'!K959</f>
        <v>155445000</v>
      </c>
      <c r="N452" s="961">
        <f>'jangan di hapus 1'!L959</f>
        <v>0</v>
      </c>
      <c r="O452" s="961">
        <f>'jangan di hapus 1'!M959</f>
        <v>195000000</v>
      </c>
      <c r="P452" s="961">
        <f>'jangan di hapus 1'!N959</f>
        <v>0</v>
      </c>
      <c r="Q452" s="961">
        <f>'jangan di hapus 1'!O959</f>
        <v>192000000</v>
      </c>
      <c r="R452" s="961">
        <f>'jangan di hapus 1'!P959</f>
        <v>0</v>
      </c>
      <c r="S452" s="961">
        <f>'jangan di hapus 1'!Q959</f>
        <v>192000000</v>
      </c>
      <c r="T452" s="961">
        <f>'jangan di hapus 1'!R959</f>
        <v>0</v>
      </c>
      <c r="U452" s="961">
        <f>'jangan di hapus 1'!S959</f>
        <v>230000000</v>
      </c>
      <c r="V452" s="929"/>
      <c r="W452" s="961">
        <f>SUM(M452:U452)</f>
        <v>964445000</v>
      </c>
      <c r="X452" s="929"/>
      <c r="Y452" s="164"/>
      <c r="Z452" s="164"/>
    </row>
    <row r="453" spans="2:26" ht="75">
      <c r="B453" s="940"/>
      <c r="C453" s="941"/>
      <c r="D453" s="939"/>
      <c r="E453" s="939"/>
      <c r="F453" s="939"/>
      <c r="G453" s="939"/>
      <c r="H453" s="164" t="str">
        <f>'matrik MISI 2'!N101</f>
        <v>Persentase Kasus Pekat yang Tertangani</v>
      </c>
      <c r="I453" s="164" t="str">
        <f>'matrik MISI 2'!O101</f>
        <v>%</v>
      </c>
      <c r="J453" s="929">
        <f>'matrik MISI 2'!P101</f>
        <v>100</v>
      </c>
      <c r="K453" s="929">
        <f>'matrik MISI 2'!Q101</f>
        <v>100</v>
      </c>
      <c r="L453" s="929">
        <f>'matrik MISI 2'!R101</f>
        <v>100</v>
      </c>
      <c r="M453" s="961"/>
      <c r="N453" s="929">
        <f>'matrik MISI 2'!S101</f>
        <v>100</v>
      </c>
      <c r="O453" s="929"/>
      <c r="P453" s="929">
        <f>'matrik MISI 2'!T101</f>
        <v>100</v>
      </c>
      <c r="Q453" s="929"/>
      <c r="R453" s="929">
        <f>'matrik MISI 2'!U101</f>
        <v>100</v>
      </c>
      <c r="S453" s="929"/>
      <c r="T453" s="929">
        <f>'matrik MISI 2'!V101</f>
        <v>100</v>
      </c>
      <c r="U453" s="929"/>
      <c r="V453" s="929">
        <f>'matrik MISI 2'!W101</f>
        <v>100</v>
      </c>
      <c r="W453" s="929"/>
      <c r="X453" s="929" t="str">
        <f>'matrik MISI 2'!X101</f>
        <v>Kantor KESBANG</v>
      </c>
      <c r="Y453" s="164" t="str">
        <f>'matrik MISI 2'!Y101</f>
        <v>Jumlah kasus pekat yang tertangani dibagi jumlah kasus pekat yang dilaporkan kali 100</v>
      </c>
      <c r="Z453" s="164">
        <f>'matrik MISI 2'!Z101</f>
        <v>0</v>
      </c>
    </row>
    <row r="454" spans="2:26" ht="30" hidden="1">
      <c r="B454" s="940"/>
      <c r="C454" s="941"/>
      <c r="D454" s="940">
        <f>'matrik MISI 2'!J103</f>
        <v>1.19</v>
      </c>
      <c r="E454" s="940" t="str">
        <f>'matrik MISI 2'!K103</f>
        <v>xx</v>
      </c>
      <c r="F454" s="940">
        <f>'matrik MISI 2'!L103</f>
        <v>17</v>
      </c>
      <c r="G454" s="940" t="str">
        <f>'matrik MISI 2'!M103</f>
        <v>Program pengembangan wawasan kebangsaan</v>
      </c>
      <c r="H454" s="164"/>
      <c r="I454" s="164"/>
      <c r="J454" s="929"/>
      <c r="K454" s="929"/>
      <c r="L454" s="929"/>
      <c r="M454" s="961">
        <f>'jangan di hapus 1'!K941</f>
        <v>258000000</v>
      </c>
      <c r="N454" s="961"/>
      <c r="O454" s="961">
        <f>'jangan di hapus 1'!M941</f>
        <v>340000000</v>
      </c>
      <c r="P454" s="961"/>
      <c r="Q454" s="961">
        <f>'jangan di hapus 1'!O941</f>
        <v>367500000</v>
      </c>
      <c r="R454" s="961"/>
      <c r="S454" s="961">
        <f>'jangan di hapus 1'!Q941</f>
        <v>385000000</v>
      </c>
      <c r="T454" s="961"/>
      <c r="U454" s="961">
        <f>'jangan di hapus 1'!S941</f>
        <v>412500000</v>
      </c>
      <c r="V454" s="929"/>
      <c r="W454" s="961">
        <f>SUM(M454:U454)</f>
        <v>1763000000</v>
      </c>
      <c r="X454" s="929"/>
      <c r="Y454" s="164"/>
      <c r="Z454" s="164"/>
    </row>
    <row r="455" spans="2:26" ht="60">
      <c r="B455" s="940"/>
      <c r="C455" s="941"/>
      <c r="D455" s="939"/>
      <c r="E455" s="939"/>
      <c r="F455" s="939"/>
      <c r="G455" s="939"/>
      <c r="H455" s="164" t="str">
        <f>'matrik MISI 2'!N103</f>
        <v>Penurunan Kasus SARA</v>
      </c>
      <c r="I455" s="164" t="str">
        <f>'matrik MISI 2'!O103</f>
        <v>%</v>
      </c>
      <c r="J455" s="929">
        <f>'matrik MISI 2'!P103</f>
        <v>0</v>
      </c>
      <c r="K455" s="929">
        <f>'matrik MISI 2'!Q103</f>
        <v>100</v>
      </c>
      <c r="L455" s="929">
        <f>'matrik MISI 2'!R103</f>
        <v>100</v>
      </c>
      <c r="M455" s="961"/>
      <c r="N455" s="929">
        <f>'matrik MISI 2'!S103</f>
        <v>100</v>
      </c>
      <c r="O455" s="929"/>
      <c r="P455" s="929">
        <f>'matrik MISI 2'!T103</f>
        <v>100</v>
      </c>
      <c r="Q455" s="929"/>
      <c r="R455" s="929">
        <f>'matrik MISI 2'!U103</f>
        <v>100</v>
      </c>
      <c r="S455" s="929"/>
      <c r="T455" s="929">
        <f>'matrik MISI 2'!V103</f>
        <v>100</v>
      </c>
      <c r="U455" s="929"/>
      <c r="V455" s="929">
        <f>'matrik MISI 2'!W103</f>
        <v>100</v>
      </c>
      <c r="W455" s="929"/>
      <c r="X455" s="929" t="str">
        <f>'matrik MISI 2'!X103</f>
        <v>Kantor KESBANG</v>
      </c>
      <c r="Y455" s="164" t="str">
        <f>'matrik MISI 2'!Y103</f>
        <v>Jumlah kasus Suku Agama Ras Antar Golongan (SARA) yang ada</v>
      </c>
      <c r="Z455" s="164">
        <f>'matrik MISI 2'!Z103</f>
        <v>0</v>
      </c>
    </row>
    <row r="456" spans="2:26" ht="60" hidden="1">
      <c r="B456" s="940"/>
      <c r="C456" s="941"/>
      <c r="D456" s="940">
        <f>'matrik MISI 2'!J104</f>
        <v>1.19</v>
      </c>
      <c r="E456" s="940" t="str">
        <f>'matrik MISI 2'!K104</f>
        <v>xx</v>
      </c>
      <c r="F456" s="940">
        <f>'matrik MISI 2'!L104</f>
        <v>16</v>
      </c>
      <c r="G456" s="940" t="str">
        <f>'matrik MISI 2'!M104</f>
        <v>Program pemeliharaan kantrantibmas dan pencegahan tindak kriminal</v>
      </c>
      <c r="H456" s="164"/>
      <c r="I456" s="164"/>
      <c r="J456" s="929"/>
      <c r="K456" s="929"/>
      <c r="L456" s="929"/>
      <c r="M456" s="961">
        <f>'jangan di hapus 1'!K927</f>
        <v>515000000</v>
      </c>
      <c r="N456" s="961"/>
      <c r="O456" s="961">
        <f>'jangan di hapus 1'!M927</f>
        <v>660000000</v>
      </c>
      <c r="P456" s="961"/>
      <c r="Q456" s="961">
        <f>'jangan di hapus 1'!O927</f>
        <v>712500000</v>
      </c>
      <c r="R456" s="961"/>
      <c r="S456" s="961">
        <f>'jangan di hapus 1'!Q927</f>
        <v>757500000</v>
      </c>
      <c r="T456" s="961"/>
      <c r="U456" s="961">
        <f>'jangan di hapus 1'!S927</f>
        <v>835000000</v>
      </c>
      <c r="V456" s="929"/>
      <c r="W456" s="961">
        <f>SUM(M456:U456)</f>
        <v>3480000000</v>
      </c>
      <c r="X456" s="929"/>
      <c r="Y456" s="164"/>
      <c r="Z456" s="164"/>
    </row>
    <row r="457" spans="2:26" ht="120">
      <c r="B457" s="940"/>
      <c r="C457" s="941"/>
      <c r="D457" s="939"/>
      <c r="E457" s="939"/>
      <c r="F457" s="939"/>
      <c r="G457" s="939"/>
      <c r="H457" s="164" t="str">
        <f>'matrik MISI 2'!N104</f>
        <v>Persentase Penanganan Tindak Penyalahgunaan Narkotika</v>
      </c>
      <c r="I457" s="164" t="str">
        <f>'matrik MISI 2'!O104</f>
        <v>%</v>
      </c>
      <c r="J457" s="929">
        <f>'matrik MISI 2'!P104</f>
        <v>100</v>
      </c>
      <c r="K457" s="929">
        <f>'matrik MISI 2'!Q104</f>
        <v>100</v>
      </c>
      <c r="L457" s="929">
        <f>'matrik MISI 2'!R104</f>
        <v>100</v>
      </c>
      <c r="M457" s="961"/>
      <c r="N457" s="929">
        <f>'matrik MISI 2'!S104</f>
        <v>100</v>
      </c>
      <c r="O457" s="929"/>
      <c r="P457" s="929">
        <f>'matrik MISI 2'!T104</f>
        <v>100</v>
      </c>
      <c r="Q457" s="929"/>
      <c r="R457" s="929">
        <f>'matrik MISI 2'!U104</f>
        <v>100</v>
      </c>
      <c r="S457" s="929"/>
      <c r="T457" s="929">
        <f>'matrik MISI 2'!V104</f>
        <v>100</v>
      </c>
      <c r="U457" s="929"/>
      <c r="V457" s="929">
        <f>'matrik MISI 2'!W104</f>
        <v>100</v>
      </c>
      <c r="W457" s="929"/>
      <c r="X457" s="929" t="str">
        <f>'matrik MISI 2'!X104</f>
        <v>Kantor KESBANG</v>
      </c>
      <c r="Y457" s="164" t="str">
        <f>'matrik MISI 2'!Y104</f>
        <v>Jumlah tindak penyalahgunaan narkotika yang tertangani dibagi jumlah tindak penyalahgunaan narkotika yang dilaporkan kali 100</v>
      </c>
      <c r="Z457" s="164">
        <f>'matrik MISI 2'!Z104</f>
        <v>0</v>
      </c>
    </row>
    <row r="458" spans="2:26" ht="195">
      <c r="B458" s="940"/>
      <c r="C458" s="941"/>
      <c r="D458" s="940"/>
      <c r="E458" s="940"/>
      <c r="F458" s="940"/>
      <c r="G458" s="940"/>
      <c r="H458" s="164" t="str">
        <f>'matrik MISI 2'!N106</f>
        <v>Cakupan Penegakan Perda dan Peraturan Kepala Daerah</v>
      </c>
      <c r="I458" s="164" t="str">
        <f>'matrik MISI 2'!O106</f>
        <v>%</v>
      </c>
      <c r="J458" s="929">
        <f>'matrik MISI 2'!P106</f>
        <v>50</v>
      </c>
      <c r="K458" s="929">
        <f>'matrik MISI 2'!Q106</f>
        <v>50</v>
      </c>
      <c r="L458" s="929">
        <f>'matrik MISI 2'!R106</f>
        <v>100</v>
      </c>
      <c r="M458" s="961"/>
      <c r="N458" s="929">
        <f>'matrik MISI 2'!S106</f>
        <v>100</v>
      </c>
      <c r="O458" s="929"/>
      <c r="P458" s="929">
        <f>'matrik MISI 2'!T106</f>
        <v>100</v>
      </c>
      <c r="Q458" s="929"/>
      <c r="R458" s="929">
        <f>'matrik MISI 2'!U106</f>
        <v>100</v>
      </c>
      <c r="S458" s="929"/>
      <c r="T458" s="929">
        <f>'matrik MISI 2'!V106</f>
        <v>100</v>
      </c>
      <c r="U458" s="929"/>
      <c r="V458" s="929">
        <f>'matrik MISI 2'!W106</f>
        <v>100</v>
      </c>
      <c r="W458" s="929"/>
      <c r="X458" s="929" t="str">
        <f>'matrik MISI 2'!X106</f>
        <v>Satuan Polisi Pamong Praja</v>
      </c>
      <c r="Y458" s="164" t="str">
        <f>'matrik MISI 2'!Y106</f>
        <v>jumlah pelanggaran perda dan atau peraturan kepala daerah yang ditangani di tahun bersangkutan di bagi jumlah pelanggaran perda dan atau peraturan kepala daerah yang dilaporkan dan atau dipantau di tahun bersangkutan kali  100</v>
      </c>
      <c r="Z458" s="164" t="str">
        <f>'matrik MISI 2'!Z106</f>
        <v>Penanganan nya baru sampai tahap non yustisial</v>
      </c>
    </row>
    <row r="459" spans="2:26" ht="60">
      <c r="B459" s="940"/>
      <c r="C459" s="941"/>
      <c r="D459" s="940"/>
      <c r="E459" s="940"/>
      <c r="F459" s="940"/>
      <c r="G459" s="940"/>
      <c r="H459" s="164" t="str">
        <f>'matrik MISI 2'!N107</f>
        <v>Angka Kriminalitas</v>
      </c>
      <c r="I459" s="164" t="str">
        <f>'matrik MISI 2'!O107</f>
        <v>angka</v>
      </c>
      <c r="J459" s="929" t="str">
        <f>'matrik MISI 2'!P107</f>
        <v>0,46</v>
      </c>
      <c r="K459" s="929" t="str">
        <f>'matrik MISI 2'!Q107</f>
        <v>0,40</v>
      </c>
      <c r="L459" s="929" t="str">
        <f>'matrik MISI 2'!R107</f>
        <v>0,5</v>
      </c>
      <c r="M459" s="961"/>
      <c r="N459" s="929" t="str">
        <f>'matrik MISI 2'!S107</f>
        <v>0,48</v>
      </c>
      <c r="O459" s="929"/>
      <c r="P459" s="929" t="str">
        <f>'matrik MISI 2'!T107</f>
        <v>0,47</v>
      </c>
      <c r="Q459" s="929"/>
      <c r="R459" s="929" t="str">
        <f>'matrik MISI 2'!U107</f>
        <v>0,47</v>
      </c>
      <c r="S459" s="929"/>
      <c r="T459" s="929" t="str">
        <f>'matrik MISI 2'!V107</f>
        <v>0,46</v>
      </c>
      <c r="U459" s="929"/>
      <c r="V459" s="929" t="str">
        <f>'matrik MISI 2'!W107</f>
        <v>0,46</v>
      </c>
      <c r="W459" s="929"/>
      <c r="X459" s="929" t="str">
        <f>'matrik MISI 2'!X107</f>
        <v>Satuan Polisi Pamong Praja</v>
      </c>
      <c r="Y459" s="164" t="str">
        <f>'matrik MISI 2'!Y107</f>
        <v>Jumlah tindak kriminal dalam 1 tahun dibagi  jumlah penduduk kali 10.000</v>
      </c>
      <c r="Z459" s="164" t="str">
        <f>'matrik MISI 2'!Z107</f>
        <v>Berkoordinasi dengan kepolisian</v>
      </c>
    </row>
    <row r="460" spans="2:26" ht="60">
      <c r="B460" s="940"/>
      <c r="C460" s="941"/>
      <c r="D460" s="940"/>
      <c r="E460" s="940"/>
      <c r="F460" s="940"/>
      <c r="G460" s="940"/>
      <c r="H460" s="164" t="str">
        <f>'matrik MISI 2'!N108</f>
        <v>Cakupan Penanganan demonstrasi</v>
      </c>
      <c r="I460" s="164" t="str">
        <f>'matrik MISI 2'!O108</f>
        <v>%</v>
      </c>
      <c r="J460" s="929">
        <f>'matrik MISI 2'!P108</f>
        <v>100</v>
      </c>
      <c r="K460" s="929">
        <f>'matrik MISI 2'!Q108</f>
        <v>100</v>
      </c>
      <c r="L460" s="929">
        <f>'matrik MISI 2'!R108</f>
        <v>100</v>
      </c>
      <c r="M460" s="961"/>
      <c r="N460" s="929">
        <f>'matrik MISI 2'!S108</f>
        <v>100</v>
      </c>
      <c r="O460" s="929"/>
      <c r="P460" s="929">
        <f>'matrik MISI 2'!T108</f>
        <v>100</v>
      </c>
      <c r="Q460" s="929"/>
      <c r="R460" s="929">
        <f>'matrik MISI 2'!U108</f>
        <v>100</v>
      </c>
      <c r="S460" s="929"/>
      <c r="T460" s="929">
        <f>'matrik MISI 2'!V108</f>
        <v>100</v>
      </c>
      <c r="U460" s="929"/>
      <c r="V460" s="929">
        <f>'matrik MISI 2'!W108</f>
        <v>100</v>
      </c>
      <c r="W460" s="929"/>
      <c r="X460" s="929" t="str">
        <f>'matrik MISI 2'!X108</f>
        <v>Satuan Polisi Pamong Praja</v>
      </c>
      <c r="Y460" s="164" t="str">
        <f>'matrik MISI 2'!Y108</f>
        <v>Jumlah penanganan demo dibagi jumlah demo yang terjadi x 100%</v>
      </c>
      <c r="Z460" s="164" t="str">
        <f>'matrik MISI 2'!Z108</f>
        <v>Penanganan berkoordinasi dengan kepolisian</v>
      </c>
    </row>
    <row r="461" spans="2:26" ht="60">
      <c r="B461" s="940"/>
      <c r="C461" s="941"/>
      <c r="D461" s="940"/>
      <c r="E461" s="940"/>
      <c r="F461" s="940"/>
      <c r="G461" s="940"/>
      <c r="H461" s="164" t="str">
        <f>'matrik MISI 2'!N109</f>
        <v>Cakupan Patroli Siaga Ketertiban Umum dan Ketentraman Masyarakat</v>
      </c>
      <c r="I461" s="164" t="str">
        <f>'matrik MISI 2'!O109</f>
        <v>kali</v>
      </c>
      <c r="J461" s="929">
        <f>'matrik MISI 2'!P109</f>
        <v>1</v>
      </c>
      <c r="K461" s="929">
        <f>'matrik MISI 2'!Q109</f>
        <v>1</v>
      </c>
      <c r="L461" s="929">
        <f>'matrik MISI 2'!R109</f>
        <v>1</v>
      </c>
      <c r="M461" s="961"/>
      <c r="N461" s="929">
        <f>'matrik MISI 2'!S109</f>
        <v>1</v>
      </c>
      <c r="O461" s="929"/>
      <c r="P461" s="929">
        <f>'matrik MISI 2'!T109</f>
        <v>1</v>
      </c>
      <c r="Q461" s="929"/>
      <c r="R461" s="929">
        <f>'matrik MISI 2'!U109</f>
        <v>2</v>
      </c>
      <c r="S461" s="929"/>
      <c r="T461" s="929">
        <f>'matrik MISI 2'!V109</f>
        <v>3</v>
      </c>
      <c r="U461" s="929"/>
      <c r="V461" s="929">
        <f>'matrik MISI 2'!W109</f>
        <v>3</v>
      </c>
      <c r="W461" s="929"/>
      <c r="X461" s="929" t="str">
        <f>'matrik MISI 2'!X109</f>
        <v>Satuan Polisi Pamong Praja</v>
      </c>
      <c r="Y461" s="164" t="str">
        <f>'matrik MISI 2'!Y109</f>
        <v>Banyaknya patroli dalam satu tahun dibagi banyaknya jumlah kecamatan</v>
      </c>
      <c r="Z461" s="164">
        <f>'matrik MISI 2'!Z109</f>
        <v>0</v>
      </c>
    </row>
    <row r="462" spans="2:26" ht="60" hidden="1">
      <c r="B462" s="940"/>
      <c r="C462" s="941"/>
      <c r="D462" s="940">
        <f>'matrik MISI 2'!J110</f>
        <v>1.19</v>
      </c>
      <c r="E462" s="940" t="str">
        <f>'matrik MISI 2'!K110</f>
        <v>xx</v>
      </c>
      <c r="F462" s="940">
        <f>'matrik MISI 2'!L110</f>
        <v>19</v>
      </c>
      <c r="G462" s="940" t="str">
        <f>'matrik MISI 2'!M110</f>
        <v>Program pemberdayaan masyarakat untuk menjaga ketertiban dan keamanan</v>
      </c>
      <c r="H462" s="164"/>
      <c r="I462" s="164"/>
      <c r="J462" s="929"/>
      <c r="K462" s="929"/>
      <c r="L462" s="929"/>
      <c r="M462" s="961">
        <f>'jangan di hapus 1'!K950</f>
        <v>1915000000</v>
      </c>
      <c r="N462" s="961"/>
      <c r="O462" s="961">
        <f>'jangan di hapus 1'!M950</f>
        <v>235000000</v>
      </c>
      <c r="P462" s="961"/>
      <c r="Q462" s="961">
        <f>'jangan di hapus 1'!O950</f>
        <v>245000000</v>
      </c>
      <c r="R462" s="961"/>
      <c r="S462" s="961">
        <f>'jangan di hapus 1'!Q950</f>
        <v>277500000</v>
      </c>
      <c r="T462" s="961"/>
      <c r="U462" s="961">
        <f>'jangan di hapus 1'!S950</f>
        <v>1285000000</v>
      </c>
      <c r="V462" s="929"/>
      <c r="W462" s="961">
        <f>SUM(M462:U462)</f>
        <v>3957500000</v>
      </c>
      <c r="X462" s="929"/>
      <c r="Y462" s="164"/>
      <c r="Z462" s="164"/>
    </row>
    <row r="463" spans="2:26" ht="60">
      <c r="B463" s="940"/>
      <c r="C463" s="941"/>
      <c r="D463" s="939"/>
      <c r="E463" s="939"/>
      <c r="F463" s="939"/>
      <c r="G463" s="939"/>
      <c r="H463" s="164" t="str">
        <f>'matrik MISI 2'!N110</f>
        <v>Rasio Petugas Perlindungan Masyarakat (linmas)</v>
      </c>
      <c r="I463" s="164" t="str">
        <f>'matrik MISI 2'!O110</f>
        <v>Rasio</v>
      </c>
      <c r="J463" s="929" t="str">
        <f>'matrik MISI 2'!P110</f>
        <v>1,64</v>
      </c>
      <c r="K463" s="929" t="str">
        <f>'matrik MISI 2'!Q110</f>
        <v>1,59</v>
      </c>
      <c r="L463" s="929" t="str">
        <f>'matrik MISI 2'!R110</f>
        <v>1,59</v>
      </c>
      <c r="M463" s="961"/>
      <c r="N463" s="929" t="str">
        <f>'matrik MISI 2'!S110</f>
        <v>1,60</v>
      </c>
      <c r="O463" s="929"/>
      <c r="P463" s="929" t="str">
        <f>'matrik MISI 2'!T110</f>
        <v>1,60</v>
      </c>
      <c r="Q463" s="929"/>
      <c r="R463" s="929" t="str">
        <f>'matrik MISI 2'!U110</f>
        <v>1,62</v>
      </c>
      <c r="S463" s="929"/>
      <c r="T463" s="929" t="str">
        <f>'matrik MISI 2'!V110</f>
        <v>1,62</v>
      </c>
      <c r="U463" s="929"/>
      <c r="V463" s="929" t="str">
        <f>'matrik MISI 2'!W110</f>
        <v>1,62</v>
      </c>
      <c r="W463" s="929"/>
      <c r="X463" s="929" t="str">
        <f>'matrik MISI 2'!X110</f>
        <v>Satuan Polisi Pamong Praja</v>
      </c>
      <c r="Y463" s="164" t="str">
        <f>'matrik MISI 2'!Y110</f>
        <v>Jumlah Anggota linmas yang ada dibagi  jumlah rukun tetangga (RT)</v>
      </c>
      <c r="Z463" s="164" t="str">
        <f>'matrik MISI 2'!Z110</f>
        <v>Rasio ideal 1 Linmas per RT</v>
      </c>
    </row>
    <row r="464" spans="2:26" ht="90">
      <c r="B464" s="949">
        <v>20</v>
      </c>
      <c r="C464" s="948" t="str">
        <f>'matrik MISI 6'!B21</f>
        <v>OTONOMI DAERAH, PEMERINTAHAN UMUM, ADMINISTRASI KEUANGAN DAERAH, PERANGKAT DAERAH, KEPEGAWAIAN, DAN PERSANDIAN</v>
      </c>
      <c r="D464" s="949"/>
      <c r="E464" s="949"/>
      <c r="F464" s="949"/>
      <c r="G464" s="940" t="str">
        <f>'matrik MISI 6'!M22</f>
        <v>Program Peningkatan Kapasitas Sumber Daya Aparatur</v>
      </c>
      <c r="H464" s="164"/>
      <c r="I464" s="164"/>
      <c r="J464" s="929"/>
      <c r="K464" s="929"/>
      <c r="L464" s="929"/>
      <c r="M464" s="961">
        <f>'jangan di hapus 1'!K1107</f>
        <v>31652731200</v>
      </c>
      <c r="N464" s="961">
        <f>'jangan di hapus 1'!L1107</f>
        <v>0</v>
      </c>
      <c r="O464" s="961">
        <f>'jangan di hapus 1'!M1107</f>
        <v>35307891100</v>
      </c>
      <c r="P464" s="961">
        <f>'jangan di hapus 1'!N1107</f>
        <v>0</v>
      </c>
      <c r="Q464" s="961">
        <f>'jangan di hapus 1'!O1107</f>
        <v>35599324100.869995</v>
      </c>
      <c r="R464" s="961">
        <f>'jangan di hapus 1'!P1107</f>
        <v>0</v>
      </c>
      <c r="S464" s="961">
        <f>'jangan di hapus 1'!Q1107</f>
        <v>37110724160.869995</v>
      </c>
      <c r="T464" s="961">
        <f>'jangan di hapus 1'!R1107</f>
        <v>0</v>
      </c>
      <c r="U464" s="961">
        <f>'jangan di hapus 1'!S1107</f>
        <v>38915327726.900002</v>
      </c>
      <c r="V464" s="929"/>
      <c r="W464" s="961">
        <f>SUM(M464:U464)</f>
        <v>178585998288.63998</v>
      </c>
      <c r="X464" s="929"/>
      <c r="Y464" s="1016"/>
      <c r="Z464" s="1016"/>
    </row>
    <row r="465" spans="2:26" ht="75">
      <c r="B465" s="939"/>
      <c r="C465" s="939"/>
      <c r="D465" s="939"/>
      <c r="E465" s="939"/>
      <c r="F465" s="939"/>
      <c r="G465" s="939"/>
      <c r="H465" s="164" t="str">
        <f>'matrik MISI 6'!N22</f>
        <v>Persentase PNS yang Mengikuti Diklat Teknis Fungsional</v>
      </c>
      <c r="I465" s="164" t="str">
        <f>'matrik MISI 6'!O22</f>
        <v>%</v>
      </c>
      <c r="J465" s="929">
        <f>'matrik MISI 6'!P22</f>
        <v>1.6</v>
      </c>
      <c r="K465" s="929">
        <f>'matrik MISI 6'!Q22</f>
        <v>1.3</v>
      </c>
      <c r="L465" s="929">
        <f>'matrik MISI 6'!R22</f>
        <v>1.4</v>
      </c>
      <c r="M465" s="961"/>
      <c r="N465" s="929">
        <f>'matrik MISI 6'!S22</f>
        <v>1.5</v>
      </c>
      <c r="O465" s="929"/>
      <c r="P465" s="929">
        <f>'matrik MISI 6'!T22</f>
        <v>1.6</v>
      </c>
      <c r="Q465" s="929"/>
      <c r="R465" s="929">
        <f>'matrik MISI 6'!U22</f>
        <v>1.8</v>
      </c>
      <c r="S465" s="929"/>
      <c r="T465" s="929">
        <f>'matrik MISI 6'!V22</f>
        <v>1.9</v>
      </c>
      <c r="U465" s="929"/>
      <c r="V465" s="929">
        <f>'matrik MISI 6'!W22</f>
        <v>1.9</v>
      </c>
      <c r="W465" s="929"/>
      <c r="X465" s="929" t="str">
        <f>'matrik MISI 6'!X22</f>
        <v>Badan Kepegawaian Daerah (BKD)</v>
      </c>
      <c r="Y465" s="164" t="str">
        <f>'matrik MISI 6'!Y22</f>
        <v>Jumlah PNS yang Mengikuti Diklat Teknis Fungsional dibagi Jumlah PNS x 100</v>
      </c>
      <c r="Z465" s="164">
        <f>'matrik MISI 6'!Z22</f>
        <v>0</v>
      </c>
    </row>
    <row r="466" spans="2:26" ht="75">
      <c r="B466" s="940"/>
      <c r="C466" s="941"/>
      <c r="D466" s="940"/>
      <c r="E466" s="940"/>
      <c r="F466" s="940"/>
      <c r="G466" s="940"/>
      <c r="H466" s="164" t="str">
        <f>'matrik MISI 6'!N23</f>
        <v>Persentase PNS yang Memiliki Sertifikat Pengadaan Barang atau Jasa</v>
      </c>
      <c r="I466" s="164" t="str">
        <f>'matrik MISI 6'!O23</f>
        <v>%</v>
      </c>
      <c r="J466" s="929">
        <f>'matrik MISI 6'!P23</f>
        <v>1.8587360594795539</v>
      </c>
      <c r="K466" s="929">
        <f>'matrik MISI 6'!Q23</f>
        <v>1.9040732706676309</v>
      </c>
      <c r="L466" s="929">
        <f>'matrik MISI 6'!R23</f>
        <v>2.1</v>
      </c>
      <c r="M466" s="961"/>
      <c r="N466" s="929">
        <f>'matrik MISI 6'!S23</f>
        <v>2.4</v>
      </c>
      <c r="O466" s="929"/>
      <c r="P466" s="929">
        <f>'matrik MISI 6'!T23</f>
        <v>2.6</v>
      </c>
      <c r="Q466" s="929"/>
      <c r="R466" s="929">
        <f>'matrik MISI 6'!U23</f>
        <v>2.8</v>
      </c>
      <c r="S466" s="929"/>
      <c r="T466" s="929">
        <f>'matrik MISI 6'!V23</f>
        <v>3</v>
      </c>
      <c r="U466" s="929"/>
      <c r="V466" s="929">
        <f>'matrik MISI 6'!W23</f>
        <v>3</v>
      </c>
      <c r="W466" s="929"/>
      <c r="X466" s="929" t="str">
        <f>'matrik MISI 6'!X23</f>
        <v>Badan Kepegawaian Daerah (BKD)</v>
      </c>
      <c r="Y466" s="164" t="str">
        <f>'matrik MISI 6'!Y23</f>
        <v>Jumlah PNS yang Memiliki Sertifikat Pengadaan Barang atau Jasa dibagi Jumlah PNS x 100</v>
      </c>
      <c r="Z466" s="164">
        <f>'matrik MISI 6'!Z23</f>
        <v>0</v>
      </c>
    </row>
    <row r="467" spans="2:26" ht="33" hidden="1" customHeight="1">
      <c r="B467" s="940"/>
      <c r="C467" s="941"/>
      <c r="D467" s="940" t="str">
        <f>'matrik MISI 6'!J24</f>
        <v>1.20</v>
      </c>
      <c r="E467" s="940" t="str">
        <f>'matrik MISI 6'!K24</f>
        <v>xx</v>
      </c>
      <c r="F467" s="940">
        <f>'matrik MISI 6'!L24</f>
        <v>32</v>
      </c>
      <c r="G467" s="940" t="str">
        <f>'matrik MISI 6'!M24</f>
        <v>Program Pendidikan Kedinasan</v>
      </c>
      <c r="H467" s="164"/>
      <c r="I467" s="164"/>
      <c r="J467" s="929"/>
      <c r="K467" s="929"/>
      <c r="L467" s="929"/>
      <c r="M467" s="961"/>
      <c r="N467" s="929"/>
      <c r="O467" s="929"/>
      <c r="P467" s="929"/>
      <c r="Q467" s="929"/>
      <c r="R467" s="929"/>
      <c r="S467" s="929"/>
      <c r="T467" s="929"/>
      <c r="U467" s="929"/>
      <c r="V467" s="929"/>
      <c r="W467" s="929"/>
      <c r="X467" s="929"/>
      <c r="Y467" s="164"/>
      <c r="Z467" s="164"/>
    </row>
    <row r="468" spans="2:26" ht="90">
      <c r="B468" s="940"/>
      <c r="C468" s="941"/>
      <c r="D468" s="939"/>
      <c r="E468" s="939"/>
      <c r="F468" s="939"/>
      <c r="G468" s="939"/>
      <c r="H468" s="164" t="str">
        <f>'matrik MISI 6'!N24</f>
        <v>Persentase Pejabat Struktural yang Mengikuti Diklat Kepemimpinan</v>
      </c>
      <c r="I468" s="164" t="str">
        <f>'matrik MISI 6'!O24</f>
        <v>%</v>
      </c>
      <c r="J468" s="929">
        <f>'matrik MISI 6'!P24</f>
        <v>50</v>
      </c>
      <c r="K468" s="929">
        <f>'matrik MISI 6'!Q24</f>
        <v>39</v>
      </c>
      <c r="L468" s="929">
        <f>'matrik MISI 6'!R24</f>
        <v>37</v>
      </c>
      <c r="M468" s="961"/>
      <c r="N468" s="929">
        <f>'matrik MISI 6'!S24</f>
        <v>37</v>
      </c>
      <c r="O468" s="929"/>
      <c r="P468" s="929">
        <f>'matrik MISI 6'!T24</f>
        <v>36</v>
      </c>
      <c r="Q468" s="929"/>
      <c r="R468" s="929">
        <f>'matrik MISI 6'!U24</f>
        <v>35</v>
      </c>
      <c r="S468" s="929"/>
      <c r="T468" s="929">
        <f>'matrik MISI 6'!V24</f>
        <v>34</v>
      </c>
      <c r="U468" s="929"/>
      <c r="V468" s="929">
        <f>'matrik MISI 6'!W24</f>
        <v>34</v>
      </c>
      <c r="W468" s="929"/>
      <c r="X468" s="929" t="str">
        <f>'matrik MISI 6'!X24</f>
        <v>Badan Kepegawaian Daerah (BKD)</v>
      </c>
      <c r="Y468" s="164" t="str">
        <f>'matrik MISI 6'!Y24</f>
        <v>Jumlah Pejabat Struktural yang Mengikuti Diklat Kepemimpinan dibagi Jumlah Pejabat Struktural x 100</v>
      </c>
      <c r="Z468" s="164">
        <f>'matrik MISI 6'!Z24</f>
        <v>0</v>
      </c>
    </row>
    <row r="469" spans="2:26" ht="31.5" hidden="1" customHeight="1">
      <c r="B469" s="940"/>
      <c r="C469" s="941"/>
      <c r="D469" s="940" t="str">
        <f>'matrik MISI 6'!J25</f>
        <v>1.20</v>
      </c>
      <c r="E469" s="940" t="str">
        <f>'matrik MISI 6'!K25</f>
        <v>xx</v>
      </c>
      <c r="F469" s="940">
        <f>'matrik MISI 6'!L25</f>
        <v>34</v>
      </c>
      <c r="G469" s="940" t="str">
        <f>'matrik MISI 6'!M25</f>
        <v>Program Pembinaan dan Pengembangan Aparatur</v>
      </c>
      <c r="H469" s="164"/>
      <c r="I469" s="164"/>
      <c r="J469" s="929"/>
      <c r="K469" s="929"/>
      <c r="L469" s="929"/>
      <c r="M469" s="961"/>
      <c r="N469" s="929"/>
      <c r="O469" s="929"/>
      <c r="P469" s="929"/>
      <c r="Q469" s="929"/>
      <c r="R469" s="929"/>
      <c r="S469" s="929"/>
      <c r="T469" s="929"/>
      <c r="U469" s="929"/>
      <c r="V469" s="929"/>
      <c r="W469" s="929"/>
      <c r="X469" s="929"/>
      <c r="Y469" s="164"/>
      <c r="Z469" s="164"/>
    </row>
    <row r="470" spans="2:26" ht="75">
      <c r="B470" s="940"/>
      <c r="C470" s="941"/>
      <c r="D470" s="939"/>
      <c r="E470" s="939"/>
      <c r="F470" s="939"/>
      <c r="G470" s="939"/>
      <c r="H470" s="164" t="str">
        <f>'matrik MISI 6'!N25</f>
        <v>Persentase Penanganan Pelanggaran Disiplin PNS</v>
      </c>
      <c r="I470" s="164" t="str">
        <f>'matrik MISI 6'!O25</f>
        <v>%</v>
      </c>
      <c r="J470" s="929">
        <f>'matrik MISI 6'!P25</f>
        <v>79.411764705882348</v>
      </c>
      <c r="K470" s="929">
        <f>'matrik MISI 6'!Q25</f>
        <v>84.615384615384613</v>
      </c>
      <c r="L470" s="929">
        <f>'matrik MISI 6'!R25</f>
        <v>87</v>
      </c>
      <c r="M470" s="961"/>
      <c r="N470" s="929">
        <f>'matrik MISI 6'!S25</f>
        <v>89</v>
      </c>
      <c r="O470" s="929"/>
      <c r="P470" s="929">
        <f>'matrik MISI 6'!T25</f>
        <v>91</v>
      </c>
      <c r="Q470" s="929"/>
      <c r="R470" s="929">
        <f>'matrik MISI 6'!U25</f>
        <v>93</v>
      </c>
      <c r="S470" s="929"/>
      <c r="T470" s="929">
        <f>'matrik MISI 6'!V25</f>
        <v>95</v>
      </c>
      <c r="U470" s="929"/>
      <c r="V470" s="929">
        <f>'matrik MISI 6'!W25</f>
        <v>95</v>
      </c>
      <c r="W470" s="929"/>
      <c r="X470" s="929" t="str">
        <f>'matrik MISI 6'!X25</f>
        <v>Badan Kepegawaian Daerah (BKD)</v>
      </c>
      <c r="Y470" s="164" t="str">
        <f>'matrik MISI 6'!Y25</f>
        <v>Jumlah SK Hukuman Disiplin PNS dibagi Jumlah Kasus Pelanggaran Disiplin PNS yang masuk  x100</v>
      </c>
      <c r="Z470" s="164">
        <f>'matrik MISI 6'!Z25</f>
        <v>0</v>
      </c>
    </row>
    <row r="471" spans="2:26" ht="75">
      <c r="B471" s="940"/>
      <c r="C471" s="941"/>
      <c r="D471" s="940"/>
      <c r="E471" s="940"/>
      <c r="F471" s="940"/>
      <c r="G471" s="940"/>
      <c r="H471" s="164" t="str">
        <f>'matrik MISI 6'!N26</f>
        <v>Persentase Pengisian Jabatan Struktural PNS yang Kosong</v>
      </c>
      <c r="I471" s="164" t="str">
        <f>'matrik MISI 6'!O26</f>
        <v>%</v>
      </c>
      <c r="J471" s="929">
        <f>'matrik MISI 6'!P26</f>
        <v>81</v>
      </c>
      <c r="K471" s="929">
        <f>'matrik MISI 6'!Q26</f>
        <v>85</v>
      </c>
      <c r="L471" s="929">
        <f>'matrik MISI 6'!R26</f>
        <v>86</v>
      </c>
      <c r="M471" s="961"/>
      <c r="N471" s="929">
        <f>'matrik MISI 6'!S26</f>
        <v>86</v>
      </c>
      <c r="O471" s="929"/>
      <c r="P471" s="929">
        <f>'matrik MISI 6'!T26</f>
        <v>87</v>
      </c>
      <c r="Q471" s="929"/>
      <c r="R471" s="929">
        <f>'matrik MISI 6'!U26</f>
        <v>87</v>
      </c>
      <c r="S471" s="929"/>
      <c r="T471" s="929">
        <f>'matrik MISI 6'!V26</f>
        <v>90</v>
      </c>
      <c r="U471" s="929"/>
      <c r="V471" s="929">
        <f>'matrik MISI 6'!W26</f>
        <v>90</v>
      </c>
      <c r="W471" s="929"/>
      <c r="X471" s="929" t="str">
        <f>'matrik MISI 6'!X26</f>
        <v>Badan Kepegawaian Daerah (BKD)</v>
      </c>
      <c r="Y471" s="164" t="str">
        <f>'matrik MISI 6'!Y26</f>
        <v>Jumlah Jabatan Struktural yang terisi dibagi Jumlah Jabatan Struktural x100</v>
      </c>
      <c r="Z471" s="164" t="str">
        <f>'matrik MISI 6'!Z26</f>
        <v>Jabatan struktural di lingkungan Pemerintah Kabupaten Temanggung</v>
      </c>
    </row>
    <row r="472" spans="2:26" ht="45">
      <c r="B472" s="940"/>
      <c r="C472" s="941"/>
      <c r="D472" s="940"/>
      <c r="E472" s="940"/>
      <c r="F472" s="940"/>
      <c r="G472" s="940"/>
      <c r="H472" s="164" t="str">
        <f>'matrik MISI 6'!N27</f>
        <v>persentase PNS Lulusan S1</v>
      </c>
      <c r="I472" s="164" t="str">
        <f>'matrik MISI 6'!O27</f>
        <v>%</v>
      </c>
      <c r="J472" s="929">
        <f>'matrik MISI 6'!P27</f>
        <v>40</v>
      </c>
      <c r="K472" s="929">
        <f>'matrik MISI 6'!Q27</f>
        <v>42</v>
      </c>
      <c r="L472" s="929">
        <f>'matrik MISI 6'!R27</f>
        <v>46</v>
      </c>
      <c r="M472" s="961"/>
      <c r="N472" s="929">
        <f>'matrik MISI 6'!S27</f>
        <v>49</v>
      </c>
      <c r="O472" s="929"/>
      <c r="P472" s="929">
        <f>'matrik MISI 6'!T27</f>
        <v>52</v>
      </c>
      <c r="Q472" s="929"/>
      <c r="R472" s="929">
        <f>'matrik MISI 6'!U27</f>
        <v>55</v>
      </c>
      <c r="S472" s="929"/>
      <c r="T472" s="929">
        <f>'matrik MISI 6'!V27</f>
        <v>58</v>
      </c>
      <c r="U472" s="929"/>
      <c r="V472" s="929">
        <f>'matrik MISI 6'!W27</f>
        <v>58</v>
      </c>
      <c r="W472" s="929"/>
      <c r="X472" s="929" t="str">
        <f>'matrik MISI 6'!X27</f>
        <v>Badan Kepegawaian Daerah (BKD)</v>
      </c>
      <c r="Y472" s="164" t="str">
        <f>'matrik MISI 6'!Y27</f>
        <v>Jumlah PNS lulusan S1 dibagi Jumlah PNS X 100</v>
      </c>
      <c r="Z472" s="164" t="str">
        <f>'matrik MISI 6'!Z27</f>
        <v>Tanda lulus dibuktikan dengan ijazah</v>
      </c>
    </row>
    <row r="473" spans="2:26" ht="45">
      <c r="B473" s="940"/>
      <c r="C473" s="941"/>
      <c r="D473" s="940"/>
      <c r="E473" s="940"/>
      <c r="F473" s="940"/>
      <c r="G473" s="940"/>
      <c r="H473" s="164" t="str">
        <f>'matrik MISI 6'!N28</f>
        <v>Persentase PNS Lulusan S2/ S3</v>
      </c>
      <c r="I473" s="164" t="str">
        <f>'matrik MISI 6'!O28</f>
        <v>%</v>
      </c>
      <c r="J473" s="929">
        <f>'matrik MISI 6'!P28</f>
        <v>2.7</v>
      </c>
      <c r="K473" s="929">
        <f>'matrik MISI 6'!Q28</f>
        <v>3.4</v>
      </c>
      <c r="L473" s="929">
        <f>'matrik MISI 6'!R28</f>
        <v>3.7</v>
      </c>
      <c r="M473" s="961"/>
      <c r="N473" s="929">
        <f>'matrik MISI 6'!S28</f>
        <v>4.0999999999999996</v>
      </c>
      <c r="O473" s="929"/>
      <c r="P473" s="929">
        <f>'matrik MISI 6'!T28</f>
        <v>4.4000000000000004</v>
      </c>
      <c r="Q473" s="929"/>
      <c r="R473" s="929">
        <f>'matrik MISI 6'!U28</f>
        <v>4.8</v>
      </c>
      <c r="S473" s="929"/>
      <c r="T473" s="929">
        <f>'matrik MISI 6'!V28</f>
        <v>5.0999999999999996</v>
      </c>
      <c r="U473" s="929"/>
      <c r="V473" s="929">
        <f>'matrik MISI 6'!W28</f>
        <v>5.0999999999999996</v>
      </c>
      <c r="W473" s="929"/>
      <c r="X473" s="929" t="str">
        <f>'matrik MISI 6'!X28</f>
        <v>Badan Kepegawaian Daerah (BKD)</v>
      </c>
      <c r="Y473" s="164" t="str">
        <f>'matrik MISI 6'!Y28</f>
        <v>Jumlah PNS lulusan S2 dan S3 dibagi Jumlah PNS x 100</v>
      </c>
      <c r="Z473" s="164" t="str">
        <f>'matrik MISI 6'!Z28</f>
        <v>Tanda lulus dibuktikan dengan ijazah</v>
      </c>
    </row>
    <row r="474" spans="2:26" ht="75">
      <c r="B474" s="940"/>
      <c r="C474" s="941"/>
      <c r="D474" s="940"/>
      <c r="E474" s="940"/>
      <c r="F474" s="940"/>
      <c r="G474" s="940"/>
      <c r="H474" s="164" t="str">
        <f>'matrik MISI 6'!N29</f>
        <v>Persentase Penyelesaian Usulan Kenaikan Pangkat Tepat Waktu</v>
      </c>
      <c r="I474" s="164" t="str">
        <f>'matrik MISI 6'!O29</f>
        <v>%</v>
      </c>
      <c r="J474" s="929">
        <f>'matrik MISI 6'!P29</f>
        <v>50</v>
      </c>
      <c r="K474" s="929">
        <f>'matrik MISI 6'!Q29</f>
        <v>50</v>
      </c>
      <c r="L474" s="929">
        <f>'matrik MISI 6'!R29</f>
        <v>51</v>
      </c>
      <c r="M474" s="961"/>
      <c r="N474" s="929">
        <f>'matrik MISI 6'!S29</f>
        <v>52</v>
      </c>
      <c r="O474" s="929"/>
      <c r="P474" s="929">
        <f>'matrik MISI 6'!T29</f>
        <v>53</v>
      </c>
      <c r="Q474" s="929"/>
      <c r="R474" s="929">
        <f>'matrik MISI 6'!U29</f>
        <v>54</v>
      </c>
      <c r="S474" s="929"/>
      <c r="T474" s="929">
        <f>'matrik MISI 6'!V29</f>
        <v>55</v>
      </c>
      <c r="U474" s="929"/>
      <c r="V474" s="929">
        <f>'matrik MISI 6'!W29</f>
        <v>55</v>
      </c>
      <c r="W474" s="929"/>
      <c r="X474" s="929" t="str">
        <f>'matrik MISI 6'!X29</f>
        <v>Badan Kepegawaian Daerah (BKD)</v>
      </c>
      <c r="Y474" s="164" t="str">
        <f>'matrik MISI 6'!Y29</f>
        <v>Jumlah Penyelesaian Usulan Kenaikan Pangkat Tepat Waktu dibagi Jumlah Usulan Kenaikan Pangkat</v>
      </c>
      <c r="Z474" s="164" t="str">
        <f>'matrik MISI 6'!Z29</f>
        <v>Tepat waktu penyerahan berkas usulan sebelum TMT kenaikan pangkat</v>
      </c>
    </row>
    <row r="475" spans="2:26" ht="30" hidden="1">
      <c r="B475" s="940"/>
      <c r="C475" s="941"/>
      <c r="D475" s="940" t="str">
        <f>'matrik MISI 6'!J30</f>
        <v>1.20</v>
      </c>
      <c r="E475" s="940" t="str">
        <f>'matrik MISI 6'!K30</f>
        <v>xx</v>
      </c>
      <c r="F475" s="940">
        <f>'matrik MISI 6'!L30</f>
        <v>35</v>
      </c>
      <c r="G475" s="940" t="str">
        <f>'matrik MISI 6'!M30</f>
        <v>Program Administrasi Kepegawaian</v>
      </c>
      <c r="H475" s="164"/>
      <c r="I475" s="164"/>
      <c r="J475" s="929"/>
      <c r="K475" s="929"/>
      <c r="L475" s="929"/>
      <c r="M475" s="961"/>
      <c r="N475" s="929"/>
      <c r="O475" s="929"/>
      <c r="P475" s="929"/>
      <c r="Q475" s="929"/>
      <c r="R475" s="929"/>
      <c r="S475" s="929"/>
      <c r="T475" s="929"/>
      <c r="U475" s="929"/>
      <c r="V475" s="929"/>
      <c r="W475" s="929"/>
      <c r="X475" s="929"/>
      <c r="Y475" s="164"/>
      <c r="Z475" s="164"/>
    </row>
    <row r="476" spans="2:26" ht="75">
      <c r="B476" s="940"/>
      <c r="C476" s="941"/>
      <c r="D476" s="939"/>
      <c r="E476" s="939"/>
      <c r="F476" s="939"/>
      <c r="G476" s="939"/>
      <c r="H476" s="164" t="str">
        <f>'matrik MISI 6'!N30</f>
        <v>Persentase Penyelesaian Usulan Pensiun PNS Tepat Waktu</v>
      </c>
      <c r="I476" s="164" t="str">
        <f>'matrik MISI 6'!O30</f>
        <v>%</v>
      </c>
      <c r="J476" s="929">
        <f>'matrik MISI 6'!P30</f>
        <v>100</v>
      </c>
      <c r="K476" s="929">
        <f>'matrik MISI 6'!Q30</f>
        <v>99</v>
      </c>
      <c r="L476" s="929">
        <f>'matrik MISI 6'!R30</f>
        <v>100</v>
      </c>
      <c r="M476" s="961"/>
      <c r="N476" s="929">
        <f>'matrik MISI 6'!S30</f>
        <v>100</v>
      </c>
      <c r="O476" s="929"/>
      <c r="P476" s="929">
        <f>'matrik MISI 6'!T30</f>
        <v>100</v>
      </c>
      <c r="Q476" s="929"/>
      <c r="R476" s="929">
        <f>'matrik MISI 6'!U30</f>
        <v>100</v>
      </c>
      <c r="S476" s="929"/>
      <c r="T476" s="929">
        <f>'matrik MISI 6'!V30</f>
        <v>100</v>
      </c>
      <c r="U476" s="929"/>
      <c r="V476" s="929">
        <f>'matrik MISI 6'!W30</f>
        <v>100</v>
      </c>
      <c r="W476" s="929"/>
      <c r="X476" s="929" t="str">
        <f>'matrik MISI 6'!X30</f>
        <v>Badan Kepegawaian Daerah (BKD)</v>
      </c>
      <c r="Y476" s="164" t="str">
        <f>'matrik MISI 6'!Y30</f>
        <v>Jumlah Penyelesaian Usulan Pensiun PNS Tepat Waktu dibagi Jumlah usulan PNS x 100</v>
      </c>
      <c r="Z476" s="164" t="str">
        <f>'matrik MISI 6'!Z30</f>
        <v xml:space="preserve">Tepat waktu dalam arti penyerahan SK Pensiun 1 bulan sebelum TMT </v>
      </c>
    </row>
    <row r="477" spans="2:26" ht="45" hidden="1">
      <c r="B477" s="940"/>
      <c r="C477" s="941"/>
      <c r="D477" s="940" t="str">
        <f>'matrik MISI 6'!J31</f>
        <v>1.20</v>
      </c>
      <c r="E477" s="940" t="str">
        <f>'matrik MISI 6'!K31</f>
        <v>xx</v>
      </c>
      <c r="F477" s="940">
        <f>'matrik MISI 6'!L31</f>
        <v>28</v>
      </c>
      <c r="G477" s="940" t="str">
        <f>'matrik MISI 6'!M31</f>
        <v>Program Peningkatan Kapasitas Aparatur Pemerintahan Desa</v>
      </c>
      <c r="H477" s="164"/>
      <c r="I477" s="164"/>
      <c r="J477" s="929"/>
      <c r="K477" s="929"/>
      <c r="L477" s="929"/>
      <c r="M477" s="961"/>
      <c r="N477" s="929"/>
      <c r="O477" s="929"/>
      <c r="P477" s="929"/>
      <c r="Q477" s="929"/>
      <c r="R477" s="929"/>
      <c r="S477" s="929"/>
      <c r="T477" s="929"/>
      <c r="U477" s="929"/>
      <c r="V477" s="929"/>
      <c r="W477" s="929"/>
      <c r="X477" s="929"/>
      <c r="Y477" s="164"/>
      <c r="Z477" s="164"/>
    </row>
    <row r="478" spans="2:26" ht="135">
      <c r="B478" s="940"/>
      <c r="C478" s="941"/>
      <c r="D478" s="939"/>
      <c r="E478" s="939"/>
      <c r="F478" s="939"/>
      <c r="G478" s="939"/>
      <c r="H478" s="164" t="str">
        <f>'matrik MISI 6'!N31</f>
        <v>Persentase Penanganan Kepala Desa dan Perangkat Desa yang Mengalami Kasus</v>
      </c>
      <c r="I478" s="164" t="str">
        <f>'matrik MISI 6'!O31</f>
        <v>%</v>
      </c>
      <c r="J478" s="929">
        <f>'matrik MISI 6'!P31</f>
        <v>100</v>
      </c>
      <c r="K478" s="929">
        <f>'matrik MISI 6'!Q31</f>
        <v>100</v>
      </c>
      <c r="L478" s="929">
        <f>'matrik MISI 6'!R31</f>
        <v>100</v>
      </c>
      <c r="M478" s="961"/>
      <c r="N478" s="929">
        <f>'matrik MISI 6'!S31</f>
        <v>100</v>
      </c>
      <c r="O478" s="929"/>
      <c r="P478" s="929">
        <f>'matrik MISI 6'!T31</f>
        <v>100</v>
      </c>
      <c r="Q478" s="929"/>
      <c r="R478" s="929">
        <f>'matrik MISI 6'!U31</f>
        <v>100</v>
      </c>
      <c r="S478" s="929"/>
      <c r="T478" s="929">
        <f>'matrik MISI 6'!V31</f>
        <v>100</v>
      </c>
      <c r="U478" s="929"/>
      <c r="V478" s="929">
        <f>'matrik MISI 6'!W31</f>
        <v>100</v>
      </c>
      <c r="W478" s="929"/>
      <c r="X478" s="929" t="str">
        <f>'matrik MISI 6'!X31</f>
        <v>Bagian Pemerintahan Desa Setda</v>
      </c>
      <c r="Y478" s="164" t="str">
        <f>'matrik MISI 6'!Y31</f>
        <v>Jumlah Penanganan Kepala Desa dan Perangkat Desa yang Mengalami Kasus dibagi Jumlah Kepala Desa dan Perangkat Desa yang mengalami kasus x 100</v>
      </c>
      <c r="Z478" s="164" t="str">
        <f>'matrik MISI 6'!Z31</f>
        <v>Jenis penanganannya antara lain adanya sanksi dari Pemerintah Kabupaten . ( kasus kepala desa  dan perangkat desa di pisahkan dalam kelompok tersendiri )</v>
      </c>
    </row>
    <row r="479" spans="2:26" ht="75">
      <c r="B479" s="940"/>
      <c r="C479" s="941"/>
      <c r="D479" s="940"/>
      <c r="E479" s="940"/>
      <c r="F479" s="940"/>
      <c r="G479" s="940"/>
      <c r="H479" s="164" t="str">
        <f>'matrik MISI 6'!N32</f>
        <v>Persentase Pengisian Jabatan Kepala Desa yang Kosong</v>
      </c>
      <c r="I479" s="164" t="str">
        <f>'matrik MISI 6'!O32</f>
        <v>%</v>
      </c>
      <c r="J479" s="929">
        <f>'matrik MISI 6'!P32</f>
        <v>100</v>
      </c>
      <c r="K479" s="929">
        <f>'matrik MISI 6'!Q32</f>
        <v>100</v>
      </c>
      <c r="L479" s="929">
        <f>'matrik MISI 6'!R32</f>
        <v>92.2</v>
      </c>
      <c r="M479" s="961"/>
      <c r="N479" s="929">
        <f>'matrik MISI 6'!S32</f>
        <v>100</v>
      </c>
      <c r="O479" s="929"/>
      <c r="P479" s="929">
        <f>'matrik MISI 6'!T32</f>
        <v>100</v>
      </c>
      <c r="Q479" s="929"/>
      <c r="R479" s="929">
        <f>'matrik MISI 6'!U32</f>
        <v>100</v>
      </c>
      <c r="S479" s="929"/>
      <c r="T479" s="929">
        <f>'matrik MISI 6'!V32</f>
        <v>100</v>
      </c>
      <c r="U479" s="929"/>
      <c r="V479" s="929">
        <f>'matrik MISI 6'!W32</f>
        <v>100</v>
      </c>
      <c r="W479" s="929"/>
      <c r="X479" s="929" t="str">
        <f>'matrik MISI 6'!X32</f>
        <v>Bagian Pemerintahan Desa Setda</v>
      </c>
      <c r="Y479" s="164" t="str">
        <f>'matrik MISI 6'!Y32</f>
        <v>Jumlah Jabatan Kepala Desa yang terisi dibagi Jumlah Jabatan Kepala Desa x 100</v>
      </c>
      <c r="Z479" s="164" t="str">
        <f>'matrik MISI 6'!Z32</f>
        <v>Pengertian terisi adalah jabatan definitif (bukan Pelaksana Tugas)</v>
      </c>
    </row>
    <row r="480" spans="2:26" ht="75">
      <c r="B480" s="940"/>
      <c r="C480" s="941"/>
      <c r="D480" s="940"/>
      <c r="E480" s="940"/>
      <c r="F480" s="940"/>
      <c r="G480" s="940"/>
      <c r="H480" s="164" t="str">
        <f>'matrik MISI 6'!N33</f>
        <v>Persentase Pengisian Jabatan Perangkat Desa yang Kosong</v>
      </c>
      <c r="I480" s="164" t="str">
        <f>'matrik MISI 6'!O33</f>
        <v>%</v>
      </c>
      <c r="J480" s="929">
        <f>'matrik MISI 6'!P33</f>
        <v>98.1</v>
      </c>
      <c r="K480" s="929">
        <f>'matrik MISI 6'!Q33</f>
        <v>97</v>
      </c>
      <c r="L480" s="929">
        <f>'matrik MISI 6'!R33</f>
        <v>97</v>
      </c>
      <c r="M480" s="961"/>
      <c r="N480" s="929">
        <f>'matrik MISI 6'!S33</f>
        <v>97</v>
      </c>
      <c r="O480" s="929"/>
      <c r="P480" s="929">
        <f>'matrik MISI 6'!T33</f>
        <v>97</v>
      </c>
      <c r="Q480" s="929"/>
      <c r="R480" s="929">
        <f>'matrik MISI 6'!U33</f>
        <v>97</v>
      </c>
      <c r="S480" s="929"/>
      <c r="T480" s="929">
        <f>'matrik MISI 6'!V33</f>
        <v>97</v>
      </c>
      <c r="U480" s="929"/>
      <c r="V480" s="929">
        <f>'matrik MISI 6'!W33</f>
        <v>97</v>
      </c>
      <c r="W480" s="929"/>
      <c r="X480" s="929" t="str">
        <f>'matrik MISI 6'!X33</f>
        <v>Bagian Pemerintahan Desa Setda</v>
      </c>
      <c r="Y480" s="164" t="str">
        <f>'matrik MISI 6'!Y33</f>
        <v>Jumlah Jabatan Perangkat Desa yang terisi dibagi Jumlah Jabatan Perangkat Desa x 100</v>
      </c>
      <c r="Z480" s="164" t="str">
        <f>'matrik MISI 6'!Z33</f>
        <v>Pengertian terisi adalah jabatan definitif (bukan Pelaksana Tugas)</v>
      </c>
    </row>
    <row r="481" spans="2:26" ht="60" hidden="1">
      <c r="B481" s="940"/>
      <c r="C481" s="941"/>
      <c r="D481" s="940" t="str">
        <f>'matrik MISI 6'!J35</f>
        <v>1.20</v>
      </c>
      <c r="E481" s="940" t="str">
        <f>'matrik MISI 6'!K35</f>
        <v>xx</v>
      </c>
      <c r="F481" s="940">
        <f>'matrik MISI 6'!L35</f>
        <v>15</v>
      </c>
      <c r="G481" s="940" t="str">
        <f>'matrik MISI 6'!M35</f>
        <v>Program Peningkatan Kapasitas Lembaga Perwakilan Rakyat Daerah</v>
      </c>
      <c r="H481" s="164"/>
      <c r="I481" s="164"/>
      <c r="J481" s="929"/>
      <c r="K481" s="929"/>
      <c r="L481" s="929"/>
      <c r="M481" s="961"/>
      <c r="N481" s="929"/>
      <c r="O481" s="929"/>
      <c r="P481" s="929"/>
      <c r="Q481" s="929"/>
      <c r="R481" s="929"/>
      <c r="S481" s="929"/>
      <c r="T481" s="929"/>
      <c r="U481" s="929"/>
      <c r="V481" s="929"/>
      <c r="W481" s="929"/>
      <c r="X481" s="929"/>
      <c r="Y481" s="164"/>
      <c r="Z481" s="164"/>
    </row>
    <row r="482" spans="2:26" ht="75">
      <c r="B482" s="940"/>
      <c r="C482" s="941"/>
      <c r="D482" s="939"/>
      <c r="E482" s="939"/>
      <c r="F482" s="939"/>
      <c r="G482" s="939"/>
      <c r="H482" s="164" t="str">
        <f>'matrik MISI 6'!N35</f>
        <v>Persentase Jumlah Peraturan Daerah yang Ditetapkan Terhadap Jumlah Raperda</v>
      </c>
      <c r="I482" s="164" t="str">
        <f>'matrik MISI 6'!O35</f>
        <v>%</v>
      </c>
      <c r="J482" s="929">
        <f>'matrik MISI 6'!P35</f>
        <v>100</v>
      </c>
      <c r="K482" s="929">
        <f>'matrik MISI 6'!Q35</f>
        <v>100</v>
      </c>
      <c r="L482" s="929">
        <f>'matrik MISI 6'!R35</f>
        <v>100</v>
      </c>
      <c r="M482" s="961"/>
      <c r="N482" s="929">
        <f>'matrik MISI 6'!S35</f>
        <v>100</v>
      </c>
      <c r="O482" s="929"/>
      <c r="P482" s="929">
        <f>'matrik MISI 6'!T35</f>
        <v>100</v>
      </c>
      <c r="Q482" s="929"/>
      <c r="R482" s="929">
        <f>'matrik MISI 6'!U35</f>
        <v>100</v>
      </c>
      <c r="S482" s="929"/>
      <c r="T482" s="929">
        <f>'matrik MISI 6'!V35</f>
        <v>100</v>
      </c>
      <c r="U482" s="929"/>
      <c r="V482" s="929">
        <f>'matrik MISI 6'!W35</f>
        <v>100</v>
      </c>
      <c r="W482" s="929"/>
      <c r="X482" s="929" t="str">
        <f>'matrik MISI 6'!X35</f>
        <v>Sekretariat DPRD</v>
      </c>
      <c r="Y482" s="164" t="str">
        <f>'matrik MISI 6'!Y35</f>
        <v>Jumlah Peraturan Daerah yang Ditetapkan dibagi Jumlah prolegda  x 100</v>
      </c>
      <c r="Z482" s="164" t="str">
        <f>'matrik MISI 6'!Z35</f>
        <v xml:space="preserve">Usulan prolegda ditetapkan pada tahun sebelumnya </v>
      </c>
    </row>
    <row r="483" spans="2:26" ht="75">
      <c r="B483" s="940"/>
      <c r="C483" s="941"/>
      <c r="D483" s="940"/>
      <c r="E483" s="940"/>
      <c r="F483" s="940"/>
      <c r="G483" s="940"/>
      <c r="H483" s="164" t="str">
        <f>'matrik MISI 6'!N36</f>
        <v>Persentase Jumlah Keputusan DPRD yang Ditindak Lanjuti Terhadap Keputusan DPRD yang Ditetapkan</v>
      </c>
      <c r="I483" s="164" t="str">
        <f>'matrik MISI 6'!O36</f>
        <v>%</v>
      </c>
      <c r="J483" s="929">
        <f>'matrik MISI 6'!P36</f>
        <v>100</v>
      </c>
      <c r="K483" s="929">
        <f>'matrik MISI 6'!Q36</f>
        <v>100</v>
      </c>
      <c r="L483" s="929">
        <f>'matrik MISI 6'!R36</f>
        <v>100</v>
      </c>
      <c r="M483" s="961"/>
      <c r="N483" s="929">
        <f>'matrik MISI 6'!S36</f>
        <v>100</v>
      </c>
      <c r="O483" s="929"/>
      <c r="P483" s="929">
        <f>'matrik MISI 6'!T36</f>
        <v>100</v>
      </c>
      <c r="Q483" s="929"/>
      <c r="R483" s="929">
        <f>'matrik MISI 6'!U36</f>
        <v>100</v>
      </c>
      <c r="S483" s="929"/>
      <c r="T483" s="929">
        <f>'matrik MISI 6'!V36</f>
        <v>100</v>
      </c>
      <c r="U483" s="929"/>
      <c r="V483" s="929">
        <f>'matrik MISI 6'!W36</f>
        <v>100</v>
      </c>
      <c r="W483" s="929"/>
      <c r="X483" s="929" t="str">
        <f>'matrik MISI 6'!X36</f>
        <v>Sekretariat DPRD</v>
      </c>
      <c r="Y483" s="164" t="str">
        <f>'matrik MISI 6'!Y36</f>
        <v>Jumlah Keputusan DPRD yang Ditindaklanjuti  dibagi Keputusan DPRD yang Ditetapkan x 100</v>
      </c>
      <c r="Z483" s="164">
        <f>'matrik MISI 6'!Z36</f>
        <v>0</v>
      </c>
    </row>
    <row r="484" spans="2:26" hidden="1">
      <c r="B484" s="940"/>
      <c r="C484" s="941"/>
      <c r="D484" s="940"/>
      <c r="E484" s="940"/>
      <c r="F484" s="940"/>
      <c r="G484" s="940"/>
      <c r="H484" s="164"/>
      <c r="I484" s="164"/>
      <c r="J484" s="929"/>
      <c r="K484" s="929"/>
      <c r="L484" s="929"/>
      <c r="M484" s="961"/>
      <c r="N484" s="929"/>
      <c r="O484" s="929"/>
      <c r="P484" s="929"/>
      <c r="Q484" s="929"/>
      <c r="R484" s="929"/>
      <c r="S484" s="929"/>
      <c r="T484" s="929"/>
      <c r="U484" s="929"/>
      <c r="V484" s="929"/>
      <c r="W484" s="929"/>
      <c r="X484" s="929"/>
      <c r="Y484" s="164"/>
      <c r="Z484" s="164"/>
    </row>
    <row r="485" spans="2:26" ht="60">
      <c r="B485" s="940"/>
      <c r="C485" s="941"/>
      <c r="D485" s="940"/>
      <c r="E485" s="940"/>
      <c r="F485" s="940"/>
      <c r="G485" s="940" t="str">
        <f>'matrik MISI 6'!M37</f>
        <v>Program Peningkatan Profesionalisme Tenaga Pemeriksa dan Aparatur Pengawasan</v>
      </c>
      <c r="H485" s="164"/>
      <c r="I485" s="164"/>
      <c r="J485" s="929"/>
      <c r="K485" s="929"/>
      <c r="L485" s="929"/>
      <c r="M485" s="961"/>
      <c r="N485" s="929"/>
      <c r="O485" s="929"/>
      <c r="P485" s="929"/>
      <c r="Q485" s="929"/>
      <c r="R485" s="929"/>
      <c r="S485" s="929"/>
      <c r="T485" s="929"/>
      <c r="U485" s="929"/>
      <c r="V485" s="929"/>
      <c r="W485" s="929"/>
      <c r="X485" s="929"/>
      <c r="Y485" s="164"/>
      <c r="Z485" s="164"/>
    </row>
    <row r="486" spans="2:26" ht="60">
      <c r="B486" s="940"/>
      <c r="C486" s="941"/>
      <c r="D486" s="940" t="str">
        <f>'matrik MISI 6'!J37</f>
        <v>1.20</v>
      </c>
      <c r="E486" s="940" t="str">
        <f>'matrik MISI 6'!K37</f>
        <v>xx</v>
      </c>
      <c r="F486" s="940">
        <f>'matrik MISI 6'!L37</f>
        <v>21</v>
      </c>
      <c r="G486" s="939"/>
      <c r="H486" s="164" t="str">
        <f>'matrik MISI 6'!N37</f>
        <v>Persentase Penanganan Hasil Temuan Pemeriksaan</v>
      </c>
      <c r="I486" s="164" t="str">
        <f>'matrik MISI 6'!O37</f>
        <v>%</v>
      </c>
      <c r="J486" s="929">
        <f>'matrik MISI 6'!P37</f>
        <v>0</v>
      </c>
      <c r="K486" s="929">
        <f>'matrik MISI 6'!Q37</f>
        <v>64</v>
      </c>
      <c r="L486" s="929">
        <f>'matrik MISI 6'!R37</f>
        <v>70</v>
      </c>
      <c r="M486" s="961"/>
      <c r="N486" s="929">
        <f>'matrik MISI 6'!S37</f>
        <v>75</v>
      </c>
      <c r="O486" s="929"/>
      <c r="P486" s="929">
        <f>'matrik MISI 6'!T37</f>
        <v>80</v>
      </c>
      <c r="Q486" s="929"/>
      <c r="R486" s="929">
        <f>'matrik MISI 6'!U37</f>
        <v>85</v>
      </c>
      <c r="S486" s="929"/>
      <c r="T486" s="929">
        <f>'matrik MISI 6'!V37</f>
        <v>90</v>
      </c>
      <c r="U486" s="929"/>
      <c r="V486" s="929">
        <f>'matrik MISI 6'!W37</f>
        <v>90</v>
      </c>
      <c r="W486" s="929"/>
      <c r="X486" s="929" t="str">
        <f>'matrik MISI 6'!X37</f>
        <v>Inspektorat</v>
      </c>
      <c r="Y486" s="164" t="str">
        <f>'matrik MISI 6'!Y37</f>
        <v>Jumlah Penanganan Temuan dibagi Jumlah Temuan x 100</v>
      </c>
      <c r="Z486" s="164" t="str">
        <f>'matrik MISI 6'!Z37</f>
        <v>Pengawasan dilakukan terhadap semua SKPD pada tiap tahunnya</v>
      </c>
    </row>
    <row r="487" spans="2:26" ht="60" hidden="1">
      <c r="B487" s="940"/>
      <c r="C487" s="941"/>
      <c r="D487" s="940" t="str">
        <f>'matrik MISI 6'!J38</f>
        <v>1.20</v>
      </c>
      <c r="E487" s="940" t="str">
        <f>'matrik MISI 6'!K38</f>
        <v>xx</v>
      </c>
      <c r="F487" s="940">
        <f>'matrik MISI 6'!L38</f>
        <v>22</v>
      </c>
      <c r="G487" s="940" t="str">
        <f>'matrik MISI 6'!M38</f>
        <v>Program Penataan dan Penyempurnaan Kebijakan Sistem dan Prosedur Pengawasan</v>
      </c>
      <c r="H487" s="164"/>
      <c r="I487" s="164"/>
      <c r="J487" s="929"/>
      <c r="K487" s="929"/>
      <c r="L487" s="929"/>
      <c r="M487" s="961"/>
      <c r="N487" s="929"/>
      <c r="O487" s="929"/>
      <c r="P487" s="929"/>
      <c r="Q487" s="929"/>
      <c r="R487" s="929"/>
      <c r="S487" s="929"/>
      <c r="T487" s="929"/>
      <c r="U487" s="929"/>
      <c r="V487" s="929"/>
      <c r="W487" s="929"/>
      <c r="X487" s="929"/>
      <c r="Y487" s="164">
        <f>'matrik MISI 6'!Y38</f>
        <v>0</v>
      </c>
      <c r="Z487" s="164">
        <f>'matrik MISI 6'!Z38</f>
        <v>0</v>
      </c>
    </row>
    <row r="488" spans="2:26" ht="105">
      <c r="B488" s="940"/>
      <c r="C488" s="941"/>
      <c r="D488" s="940"/>
      <c r="E488" s="940"/>
      <c r="F488" s="940"/>
      <c r="G488" s="940"/>
      <c r="H488" s="164" t="str">
        <f>'matrik MISI 6'!N39</f>
        <v>Persentase SKPD, Unit Pelayanan, dan Satuan Pendidikan yang Menyusun Standar Pelayanan Publik</v>
      </c>
      <c r="I488" s="164" t="str">
        <f>'matrik MISI 6'!O39</f>
        <v>%</v>
      </c>
      <c r="J488" s="929">
        <f>'matrik MISI 6'!P39</f>
        <v>2.6785714285714284</v>
      </c>
      <c r="K488" s="929">
        <f>'matrik MISI 6'!Q39</f>
        <v>4.1071428571428568</v>
      </c>
      <c r="L488" s="929">
        <f>'matrik MISI 6'!R39</f>
        <v>7</v>
      </c>
      <c r="M488" s="961"/>
      <c r="N488" s="929">
        <f>'matrik MISI 6'!S39</f>
        <v>15</v>
      </c>
      <c r="O488" s="929"/>
      <c r="P488" s="929">
        <f>'matrik MISI 6'!T39</f>
        <v>45</v>
      </c>
      <c r="Q488" s="929"/>
      <c r="R488" s="929">
        <f>'matrik MISI 6'!U39</f>
        <v>70</v>
      </c>
      <c r="S488" s="929"/>
      <c r="T488" s="929">
        <f>'matrik MISI 6'!V39</f>
        <v>100</v>
      </c>
      <c r="U488" s="929"/>
      <c r="V488" s="929">
        <f>'matrik MISI 6'!W39</f>
        <v>100</v>
      </c>
      <c r="W488" s="929"/>
      <c r="X488" s="929" t="str">
        <f>'matrik MISI 6'!X39</f>
        <v>Bagian Organisasi dan Tata Laksana Setda</v>
      </c>
      <c r="Y488" s="164" t="str">
        <f>'matrik MISI 6'!Y39</f>
        <v>Jumlah SKPD yang Menyusun Standar Pelayanan Publik dibagi Jumlah SKPD yang wajib menyusun Standar Pelayanan Publik x 100</v>
      </c>
      <c r="Z488" s="164" t="str">
        <f>'matrik MISI 6'!Z39</f>
        <v>Tahun 2012 Jumlah Unit 560</v>
      </c>
    </row>
    <row r="489" spans="2:26" ht="75">
      <c r="B489" s="940"/>
      <c r="C489" s="941"/>
      <c r="D489" s="940"/>
      <c r="E489" s="940"/>
      <c r="F489" s="940"/>
      <c r="G489" s="940"/>
      <c r="H489" s="164" t="str">
        <f>'matrik MISI 6'!N40</f>
        <v>Persentase SKPD, Unit Pelayanan, dan Satuan Pendidikan yang telah Memiliki SOP</v>
      </c>
      <c r="I489" s="164" t="str">
        <f>'matrik MISI 6'!O40</f>
        <v>%</v>
      </c>
      <c r="J489" s="929">
        <f>'matrik MISI 6'!P40</f>
        <v>1.2403100775193798</v>
      </c>
      <c r="K489" s="929">
        <f>'matrik MISI 6'!Q40</f>
        <v>2.4806201550387597</v>
      </c>
      <c r="L489" s="929">
        <f>'matrik MISI 6'!R40</f>
        <v>8</v>
      </c>
      <c r="M489" s="961"/>
      <c r="N489" s="929">
        <f>'matrik MISI 6'!S40</f>
        <v>25</v>
      </c>
      <c r="O489" s="929"/>
      <c r="P489" s="929">
        <f>'matrik MISI 6'!T40</f>
        <v>50</v>
      </c>
      <c r="Q489" s="929"/>
      <c r="R489" s="929">
        <f>'matrik MISI 6'!U40</f>
        <v>75</v>
      </c>
      <c r="S489" s="929"/>
      <c r="T489" s="929">
        <f>'matrik MISI 6'!V40</f>
        <v>100</v>
      </c>
      <c r="U489" s="929"/>
      <c r="V489" s="929">
        <f>'matrik MISI 6'!W40</f>
        <v>100</v>
      </c>
      <c r="W489" s="929"/>
      <c r="X489" s="929" t="str">
        <f>'matrik MISI 6'!X40</f>
        <v>Bagian Organisasi dan Tata Laksana Setda</v>
      </c>
      <c r="Y489" s="164" t="str">
        <f>'matrik MISI 6'!Y40</f>
        <v>Jumlah SKPD yang Menyusun Standar Operasional Prosedur dibagi Jumlah SKPD x 100</v>
      </c>
      <c r="Z489" s="164" t="str">
        <f>'matrik MISI 6'!Z40</f>
        <v>SOP apa saja yang penetapannya dengan bagian ortala</v>
      </c>
    </row>
    <row r="490" spans="2:26" ht="30" hidden="1">
      <c r="B490" s="940"/>
      <c r="C490" s="941"/>
      <c r="D490" s="940"/>
      <c r="E490" s="940"/>
      <c r="F490" s="940"/>
      <c r="G490" s="940" t="str">
        <f>'matrik MISI 6'!M42</f>
        <v>Program Perencanaan Pembangunan Daerah</v>
      </c>
      <c r="H490" s="164"/>
      <c r="I490" s="164"/>
      <c r="J490" s="929"/>
      <c r="K490" s="929"/>
      <c r="L490" s="929"/>
      <c r="M490" s="961"/>
      <c r="N490" s="929"/>
      <c r="O490" s="929"/>
      <c r="P490" s="929"/>
      <c r="Q490" s="929"/>
      <c r="R490" s="929"/>
      <c r="S490" s="929"/>
      <c r="T490" s="929"/>
      <c r="U490" s="929"/>
      <c r="V490" s="929"/>
      <c r="W490" s="929"/>
      <c r="X490" s="929"/>
      <c r="Y490" s="164"/>
      <c r="Z490" s="164"/>
    </row>
    <row r="491" spans="2:26" ht="45">
      <c r="B491" s="940"/>
      <c r="C491" s="941"/>
      <c r="D491" s="940">
        <f>'matrik MISI 6'!J42</f>
        <v>1.06</v>
      </c>
      <c r="E491" s="940" t="str">
        <f>'matrik MISI 6'!K42</f>
        <v>xx</v>
      </c>
      <c r="F491" s="940">
        <f>'matrik MISI 6'!L42</f>
        <v>15</v>
      </c>
      <c r="G491" s="939"/>
      <c r="H491" s="164" t="str">
        <f>'matrik MISI 6'!N42</f>
        <v>Peningkatan Nilai Sistem Akuntabilitas Kinerja Instansi Pemerintah (SAKIP)</v>
      </c>
      <c r="I491" s="164" t="str">
        <f>'matrik MISI 6'!O42</f>
        <v>Kriteria</v>
      </c>
      <c r="J491" s="929" t="str">
        <f>'matrik MISI 6'!P42</f>
        <v>C</v>
      </c>
      <c r="K491" s="929" t="str">
        <f>'matrik MISI 6'!Q42</f>
        <v>CC</v>
      </c>
      <c r="L491" s="929" t="str">
        <f>'matrik MISI 6'!R42</f>
        <v>CC</v>
      </c>
      <c r="M491" s="961"/>
      <c r="N491" s="929" t="str">
        <f>'matrik MISI 6'!S42</f>
        <v>B</v>
      </c>
      <c r="O491" s="929"/>
      <c r="P491" s="929" t="str">
        <f>'matrik MISI 6'!T42</f>
        <v>B</v>
      </c>
      <c r="Q491" s="929"/>
      <c r="R491" s="929" t="str">
        <f>'matrik MISI 6'!U42</f>
        <v>B</v>
      </c>
      <c r="S491" s="929"/>
      <c r="T491" s="929" t="str">
        <f>'matrik MISI 6'!V42</f>
        <v>B</v>
      </c>
      <c r="U491" s="929"/>
      <c r="V491" s="929" t="str">
        <f>'matrik MISI 6'!W42</f>
        <v>B</v>
      </c>
      <c r="W491" s="929"/>
      <c r="X491" s="929" t="str">
        <f>'matrik MISI 6'!X42</f>
        <v>Bagian Organisasi dan Tata Laksana Setda</v>
      </c>
      <c r="Y491" s="164" t="str">
        <f>'matrik MISI 6'!Y42</f>
        <v>Nilai SAKIP oleh Kemenpan dan RB</v>
      </c>
      <c r="Z491" s="164" t="str">
        <f>'matrik MISI 6'!Z42</f>
        <v>Serasa perlu digabungkan indikatornya</v>
      </c>
    </row>
    <row r="492" spans="2:26" ht="30" hidden="1">
      <c r="B492" s="940"/>
      <c r="C492" s="941"/>
      <c r="D492" s="940"/>
      <c r="E492" s="940"/>
      <c r="F492" s="940"/>
      <c r="G492" s="940" t="str">
        <f>'matrik MISI 6'!M47</f>
        <v>Program Perencanaan Pembangunan Daerah</v>
      </c>
      <c r="H492" s="164"/>
      <c r="I492" s="164"/>
      <c r="J492" s="929"/>
      <c r="K492" s="929"/>
      <c r="L492" s="929"/>
      <c r="M492" s="961"/>
      <c r="N492" s="929"/>
      <c r="O492" s="929"/>
      <c r="P492" s="929"/>
      <c r="Q492" s="929"/>
      <c r="R492" s="929"/>
      <c r="S492" s="929"/>
      <c r="T492" s="929"/>
      <c r="U492" s="929"/>
      <c r="V492" s="929"/>
      <c r="W492" s="929"/>
      <c r="X492" s="929"/>
      <c r="Y492" s="164"/>
      <c r="Z492" s="164"/>
    </row>
    <row r="493" spans="2:26" ht="90">
      <c r="B493" s="940"/>
      <c r="C493" s="941"/>
      <c r="D493" s="940">
        <f>'matrik MISI 6'!J47</f>
        <v>1.06</v>
      </c>
      <c r="E493" s="940" t="str">
        <f>'matrik MISI 6'!K47</f>
        <v>xx</v>
      </c>
      <c r="F493" s="940">
        <f>'matrik MISI 6'!L47</f>
        <v>15</v>
      </c>
      <c r="G493" s="939"/>
      <c r="H493" s="164" t="str">
        <f>'matrik MISI 6'!N47</f>
        <v>Persentase Ketepatan Waktu SKPD dalam Penyampaian Laporan Kinerja (LAKIP dan TAPKIN)</v>
      </c>
      <c r="I493" s="164" t="str">
        <f>'matrik MISI 6'!O47</f>
        <v>%</v>
      </c>
      <c r="J493" s="929">
        <f>'matrik MISI 6'!P47</f>
        <v>50</v>
      </c>
      <c r="K493" s="929">
        <f>'matrik MISI 6'!Q47</f>
        <v>60</v>
      </c>
      <c r="L493" s="929">
        <f>'matrik MISI 6'!R47</f>
        <v>70</v>
      </c>
      <c r="M493" s="961"/>
      <c r="N493" s="929">
        <f>'matrik MISI 6'!S47</f>
        <v>80</v>
      </c>
      <c r="O493" s="929"/>
      <c r="P493" s="929">
        <f>'matrik MISI 6'!T47</f>
        <v>90</v>
      </c>
      <c r="Q493" s="929"/>
      <c r="R493" s="929">
        <f>'matrik MISI 6'!U47</f>
        <v>95</v>
      </c>
      <c r="S493" s="929"/>
      <c r="T493" s="929">
        <f>'matrik MISI 6'!V47</f>
        <v>95</v>
      </c>
      <c r="U493" s="929"/>
      <c r="V493" s="929">
        <f>'matrik MISI 6'!W47</f>
        <v>95</v>
      </c>
      <c r="W493" s="929"/>
      <c r="X493" s="929" t="str">
        <f>'matrik MISI 6'!X47</f>
        <v>Bagian Organisasi dan Tata Laksana Setda</v>
      </c>
      <c r="Y493" s="164" t="str">
        <f>'matrik MISI 6'!Y47</f>
        <v>Jumlah SKPD dalam Penyampaian Laporan Kinerja (LAKIP dan TAPKIN) tepat waktu dibagi jumlah SKPD x 100 %</v>
      </c>
      <c r="Z493" s="164">
        <f>'matrik MISI 6'!Z47</f>
        <v>0</v>
      </c>
    </row>
    <row r="494" spans="2:26" ht="45" hidden="1">
      <c r="B494" s="940"/>
      <c r="C494" s="941"/>
      <c r="D494" s="940"/>
      <c r="E494" s="940"/>
      <c r="F494" s="940"/>
      <c r="G494" s="940" t="str">
        <f>'matrik MISI 6'!M52</f>
        <v>Program Pengendalian Pelaksanaan Kegiatan APBD</v>
      </c>
      <c r="H494" s="164"/>
      <c r="I494" s="164"/>
      <c r="J494" s="929"/>
      <c r="K494" s="929"/>
      <c r="L494" s="929"/>
      <c r="M494" s="961"/>
      <c r="N494" s="929"/>
      <c r="O494" s="929"/>
      <c r="P494" s="929"/>
      <c r="Q494" s="929"/>
      <c r="R494" s="929"/>
      <c r="S494" s="929"/>
      <c r="T494" s="929"/>
      <c r="U494" s="929"/>
      <c r="V494" s="929"/>
      <c r="W494" s="929"/>
      <c r="X494" s="929"/>
      <c r="Y494" s="164"/>
      <c r="Z494" s="164"/>
    </row>
    <row r="495" spans="2:26" ht="60">
      <c r="B495" s="940"/>
      <c r="C495" s="941"/>
      <c r="D495" s="940" t="str">
        <f>'matrik MISI 6'!J52</f>
        <v>1.20</v>
      </c>
      <c r="E495" s="940" t="str">
        <f>'matrik MISI 6'!K52</f>
        <v>xx</v>
      </c>
      <c r="F495" s="940">
        <f>'matrik MISI 6'!L52</f>
        <v>29</v>
      </c>
      <c r="G495" s="939"/>
      <c r="H495" s="164" t="str">
        <f>'matrik MISI 6'!N52</f>
        <v xml:space="preserve">Persentase Keberhasilan pengadaan barang/jasa  </v>
      </c>
      <c r="I495" s="164" t="str">
        <f>'matrik MISI 6'!O52</f>
        <v>%</v>
      </c>
      <c r="J495" s="929">
        <f>'matrik MISI 6'!P52</f>
        <v>0</v>
      </c>
      <c r="K495" s="929">
        <f>'matrik MISI 6'!Q52</f>
        <v>0</v>
      </c>
      <c r="L495" s="929">
        <f>'matrik MISI 6'!R52</f>
        <v>100</v>
      </c>
      <c r="M495" s="961"/>
      <c r="N495" s="929">
        <f>'matrik MISI 6'!S52</f>
        <v>100</v>
      </c>
      <c r="O495" s="929"/>
      <c r="P495" s="929">
        <f>'matrik MISI 6'!T52</f>
        <v>100</v>
      </c>
      <c r="Q495" s="929"/>
      <c r="R495" s="929">
        <f>'matrik MISI 6'!U52</f>
        <v>100</v>
      </c>
      <c r="S495" s="929"/>
      <c r="T495" s="929">
        <f>'matrik MISI 6'!V52</f>
        <v>100</v>
      </c>
      <c r="U495" s="929"/>
      <c r="V495" s="929">
        <f>'matrik MISI 6'!W52</f>
        <v>100</v>
      </c>
      <c r="W495" s="929"/>
      <c r="X495" s="929" t="str">
        <f>'matrik MISI 6'!X52</f>
        <v>Bagian Pembangunan Setda</v>
      </c>
      <c r="Y495" s="164" t="str">
        <f>'matrik MISI 6'!Y52</f>
        <v>Jumlah pengadaan barang/jasa yang Berhasil dibagi jumlah DURP x 100 %</v>
      </c>
      <c r="Z495" s="164">
        <f>'matrik MISI 6'!Z52</f>
        <v>0</v>
      </c>
    </row>
    <row r="496" spans="2:26" ht="45" hidden="1">
      <c r="B496" s="940"/>
      <c r="C496" s="941"/>
      <c r="D496" s="940"/>
      <c r="E496" s="940"/>
      <c r="F496" s="940"/>
      <c r="G496" s="940" t="str">
        <f>'matrik MISI 6'!M53</f>
        <v>Program Pembinaan dan Fasilitasi Pengelolaan Keuangan Kabupaten</v>
      </c>
      <c r="H496" s="164"/>
      <c r="I496" s="164"/>
      <c r="J496" s="929"/>
      <c r="K496" s="929"/>
      <c r="L496" s="929"/>
      <c r="M496" s="961"/>
      <c r="N496" s="929"/>
      <c r="O496" s="929"/>
      <c r="P496" s="929"/>
      <c r="Q496" s="929"/>
      <c r="R496" s="929"/>
      <c r="S496" s="929"/>
      <c r="T496" s="929"/>
      <c r="U496" s="929"/>
      <c r="V496" s="929"/>
      <c r="W496" s="929"/>
      <c r="X496" s="929"/>
      <c r="Y496" s="164"/>
      <c r="Z496" s="164"/>
    </row>
    <row r="497" spans="2:39" ht="90">
      <c r="B497" s="940"/>
      <c r="C497" s="941"/>
      <c r="D497" s="940" t="str">
        <f>'matrik MISI 6'!J53</f>
        <v>1.20</v>
      </c>
      <c r="E497" s="940" t="str">
        <f>'matrik MISI 6'!K53</f>
        <v>xx</v>
      </c>
      <c r="F497" s="940">
        <f>'matrik MISI 6'!L53</f>
        <v>18</v>
      </c>
      <c r="G497" s="939"/>
      <c r="H497" s="164" t="str">
        <f>'matrik MISI 6'!N53</f>
        <v>Persentase Kegiatan yang dilaksanakan tepat waktu</v>
      </c>
      <c r="I497" s="164" t="str">
        <f>'matrik MISI 6'!O53</f>
        <v>%</v>
      </c>
      <c r="J497" s="929">
        <f>'matrik MISI 6'!P53</f>
        <v>0</v>
      </c>
      <c r="K497" s="929">
        <f>'matrik MISI 6'!Q53</f>
        <v>0</v>
      </c>
      <c r="L497" s="929">
        <f>'matrik MISI 6'!R53</f>
        <v>100</v>
      </c>
      <c r="M497" s="961"/>
      <c r="N497" s="929">
        <f>'matrik MISI 6'!S53</f>
        <v>100</v>
      </c>
      <c r="O497" s="929"/>
      <c r="P497" s="929">
        <f>'matrik MISI 6'!T53</f>
        <v>100</v>
      </c>
      <c r="Q497" s="929"/>
      <c r="R497" s="929">
        <f>'matrik MISI 6'!U53</f>
        <v>100</v>
      </c>
      <c r="S497" s="929"/>
      <c r="T497" s="929">
        <f>'matrik MISI 6'!V53</f>
        <v>100</v>
      </c>
      <c r="U497" s="929"/>
      <c r="V497" s="929">
        <f>'matrik MISI 6'!W53</f>
        <v>100</v>
      </c>
      <c r="W497" s="929"/>
      <c r="X497" s="929" t="str">
        <f>'matrik MISI 6'!X53</f>
        <v>Bagian Pembangunan Setda</v>
      </c>
      <c r="Y497" s="164" t="str">
        <f>'matrik MISI 6'!Y53</f>
        <v>Jumlah Kegiatan yang dilaksanakan tepat waktu oleh Pihak ketiga dibagi jumlah kegiatan oleh pihak ketiga x 100 %</v>
      </c>
      <c r="Z497" s="164">
        <f>'matrik MISI 6'!Z53</f>
        <v>0</v>
      </c>
    </row>
    <row r="498" spans="2:39" ht="45" hidden="1">
      <c r="B498" s="940"/>
      <c r="C498" s="941"/>
      <c r="D498" s="940"/>
      <c r="E498" s="940"/>
      <c r="F498" s="940"/>
      <c r="G498" s="940" t="str">
        <f>'matrik MISI 6'!M54</f>
        <v>Program Penataan Peraturan Perundang-undangan</v>
      </c>
      <c r="H498" s="164"/>
      <c r="I498" s="164"/>
      <c r="J498" s="929"/>
      <c r="K498" s="929"/>
      <c r="L498" s="929"/>
      <c r="M498" s="961"/>
      <c r="N498" s="929"/>
      <c r="O498" s="929"/>
      <c r="P498" s="929"/>
      <c r="Q498" s="929"/>
      <c r="R498" s="929"/>
      <c r="S498" s="929"/>
      <c r="T498" s="929"/>
      <c r="U498" s="929"/>
      <c r="V498" s="929"/>
      <c r="W498" s="929"/>
      <c r="X498" s="929"/>
      <c r="Y498" s="164"/>
      <c r="Z498" s="164"/>
    </row>
    <row r="499" spans="2:39" ht="105">
      <c r="B499" s="940"/>
      <c r="C499" s="941"/>
      <c r="D499" s="940" t="str">
        <f>'matrik MISI 6'!J54</f>
        <v>1.20</v>
      </c>
      <c r="E499" s="940" t="str">
        <f>'matrik MISI 6'!K54</f>
        <v>xx</v>
      </c>
      <c r="F499" s="940">
        <f>'matrik MISI 6'!L54</f>
        <v>26</v>
      </c>
      <c r="G499" s="939"/>
      <c r="H499" s="164" t="str">
        <f>'matrik MISI 6'!N54</f>
        <v>Persentase Jumlah Peraturan Daerah yang Ditindaklanjuti Terhadap Jumlah Total Peraturan Daerah dalam 1 (Satu) Tahun</v>
      </c>
      <c r="I499" s="164" t="str">
        <f>'matrik MISI 6'!O54</f>
        <v>%</v>
      </c>
      <c r="J499" s="929" t="str">
        <f>'matrik MISI 6'!P54</f>
        <v>96,6</v>
      </c>
      <c r="K499" s="929">
        <f>'matrik MISI 6'!Q54</f>
        <v>100</v>
      </c>
      <c r="L499" s="929">
        <f>'matrik MISI 6'!R54</f>
        <v>100</v>
      </c>
      <c r="M499" s="961"/>
      <c r="N499" s="929">
        <f>'matrik MISI 6'!S54</f>
        <v>100</v>
      </c>
      <c r="O499" s="929"/>
      <c r="P499" s="929">
        <f>'matrik MISI 6'!T54</f>
        <v>100</v>
      </c>
      <c r="Q499" s="929"/>
      <c r="R499" s="929">
        <f>'matrik MISI 6'!U54</f>
        <v>100</v>
      </c>
      <c r="S499" s="929"/>
      <c r="T499" s="929">
        <f>'matrik MISI 6'!V54</f>
        <v>100</v>
      </c>
      <c r="U499" s="929"/>
      <c r="V499" s="929">
        <f>'matrik MISI 6'!W54</f>
        <v>100</v>
      </c>
      <c r="W499" s="929"/>
      <c r="X499" s="929" t="str">
        <f>'matrik MISI 6'!X54</f>
        <v>Bagian Hukum Setda</v>
      </c>
      <c r="Y499" s="164" t="str">
        <f>'matrik MISI 6'!Y54</f>
        <v>Jumlah Peraturan Daerah yang Ditindaklanjuti dibagi jumlah Total Peraturan Daerah dalam 1 (Satu) Tahun x 100 %</v>
      </c>
      <c r="Z499" s="164" t="str">
        <f>'matrik MISI 6'!Z54</f>
        <v>Kreteria tindak lanjut perda :Perbup,Juklak Juknis untuk diperjelas</v>
      </c>
    </row>
    <row r="500" spans="2:39" hidden="1">
      <c r="B500" s="940"/>
      <c r="C500" s="941"/>
      <c r="D500" s="940"/>
      <c r="E500" s="940"/>
      <c r="F500" s="940"/>
      <c r="G500" s="940"/>
      <c r="H500" s="164"/>
      <c r="I500" s="164"/>
      <c r="J500" s="929"/>
      <c r="K500" s="929"/>
      <c r="L500" s="929"/>
      <c r="M500" s="961"/>
      <c r="N500" s="929"/>
      <c r="O500" s="929"/>
      <c r="P500" s="929"/>
      <c r="Q500" s="929"/>
      <c r="R500" s="929"/>
      <c r="S500" s="929"/>
      <c r="T500" s="929"/>
      <c r="U500" s="929"/>
      <c r="V500" s="929"/>
      <c r="W500" s="929"/>
      <c r="X500" s="929"/>
      <c r="Y500" s="164"/>
      <c r="Z500" s="164"/>
      <c r="AE500" s="569">
        <v>2014</v>
      </c>
      <c r="AG500" s="569">
        <v>15</v>
      </c>
      <c r="AI500" s="569">
        <v>16</v>
      </c>
      <c r="AK500" s="569">
        <v>17</v>
      </c>
      <c r="AM500" s="569">
        <v>18</v>
      </c>
    </row>
    <row r="501" spans="2:39" ht="60" customHeight="1">
      <c r="B501" s="940"/>
      <c r="C501" s="941"/>
      <c r="D501" s="939"/>
      <c r="E501" s="939"/>
      <c r="F501" s="939"/>
      <c r="G501" s="939"/>
      <c r="H501" s="1008" t="str">
        <f>'matrik MISI 6'!N55</f>
        <v>Persentase Anggaran Penata usahaan SKPD terhadap Total Belanja Langsung SKPD dalam 1 (satu) Tahun</v>
      </c>
      <c r="I501" s="164" t="str">
        <f>'matrik MISI 6'!O55</f>
        <v>%</v>
      </c>
      <c r="J501" s="929">
        <f>'matrik MISI 6'!P55</f>
        <v>26</v>
      </c>
      <c r="K501" s="929">
        <f>'matrik MISI 6'!Q55</f>
        <v>26</v>
      </c>
      <c r="L501" s="929">
        <f>'matrik MISI 6'!R55</f>
        <v>26</v>
      </c>
      <c r="M501" s="961"/>
      <c r="N501" s="929">
        <f>'matrik MISI 6'!S55</f>
        <v>25</v>
      </c>
      <c r="O501" s="929"/>
      <c r="P501" s="929">
        <f>'matrik MISI 6'!T55</f>
        <v>25</v>
      </c>
      <c r="Q501" s="929"/>
      <c r="R501" s="929">
        <f>'matrik MISI 6'!U55</f>
        <v>25</v>
      </c>
      <c r="S501" s="929"/>
      <c r="T501" s="929">
        <f>'matrik MISI 6'!V55</f>
        <v>25</v>
      </c>
      <c r="U501" s="929"/>
      <c r="V501" s="929">
        <f>'matrik MISI 6'!W55</f>
        <v>25</v>
      </c>
      <c r="W501" s="929"/>
      <c r="X501" s="929" t="str">
        <f>'matrik MISI 6'!X55</f>
        <v>DPPKAD</v>
      </c>
      <c r="Y501" s="164" t="str">
        <f>'matrik MISI 6'!Y55</f>
        <v xml:space="preserve">Anggaran Penata usahaan SKPD dibagi Total Belanja Langsung SKPD dalam 1 (satu) Tahun x 100 </v>
      </c>
      <c r="Z501" s="164">
        <f>'matrik MISI 6'!Z55</f>
        <v>0</v>
      </c>
    </row>
    <row r="502" spans="2:39" ht="60" hidden="1" customHeight="1">
      <c r="B502" s="940"/>
      <c r="C502" s="941"/>
      <c r="D502" s="939"/>
      <c r="E502" s="939"/>
      <c r="F502" s="939"/>
      <c r="G502" s="940" t="str">
        <f>'matrik MISI 6'!M58</f>
        <v>Program Peningkatan Pelayanan Kedinasan Kepala Daerah/Wakil Kepala Daerah</v>
      </c>
      <c r="H502" s="1008"/>
      <c r="I502" s="164"/>
      <c r="J502" s="929"/>
      <c r="K502" s="929"/>
      <c r="L502" s="929"/>
      <c r="M502" s="961"/>
      <c r="N502" s="929"/>
      <c r="O502" s="929"/>
      <c r="P502" s="929"/>
      <c r="Q502" s="929"/>
      <c r="R502" s="929"/>
      <c r="S502" s="929"/>
      <c r="T502" s="929"/>
      <c r="U502" s="929"/>
      <c r="V502" s="929"/>
      <c r="W502" s="929"/>
      <c r="X502" s="929"/>
      <c r="Y502" s="164"/>
      <c r="Z502" s="164"/>
    </row>
    <row r="503" spans="2:39" ht="60">
      <c r="B503" s="940"/>
      <c r="C503" s="941"/>
      <c r="D503" s="940" t="str">
        <f>'matrik MISI 6'!J58</f>
        <v>1.20</v>
      </c>
      <c r="E503" s="940" t="str">
        <f>'matrik MISI 6'!K58</f>
        <v>xx</v>
      </c>
      <c r="F503" s="940">
        <f>'matrik MISI 6'!L58</f>
        <v>16</v>
      </c>
      <c r="G503" s="939"/>
      <c r="H503" s="164" t="str">
        <f>'matrik MISI 6'!N58</f>
        <v xml:space="preserve">Besaran Ketersediaan sarana dan prasarana kedinasan kepala Daerah/Wakil Kepala Daerah dan Organisasi Perangkat Daerah </v>
      </c>
      <c r="I503" s="164" t="str">
        <f>'matrik MISI 6'!O58</f>
        <v>%</v>
      </c>
      <c r="J503" s="929" t="str">
        <f>'matrik MISI 6'!P58</f>
        <v xml:space="preserve"> - </v>
      </c>
      <c r="K503" s="929" t="str">
        <f>'matrik MISI 6'!Q58</f>
        <v xml:space="preserve"> - </v>
      </c>
      <c r="L503" s="929">
        <f>'matrik MISI 6'!R58</f>
        <v>100</v>
      </c>
      <c r="M503" s="961"/>
      <c r="N503" s="929">
        <f>'matrik MISI 6'!S58</f>
        <v>100</v>
      </c>
      <c r="O503" s="929"/>
      <c r="P503" s="929">
        <f>'matrik MISI 6'!T58</f>
        <v>100</v>
      </c>
      <c r="Q503" s="929"/>
      <c r="R503" s="929">
        <f>'matrik MISI 6'!U58</f>
        <v>100</v>
      </c>
      <c r="S503" s="929"/>
      <c r="T503" s="929">
        <f>'matrik MISI 6'!V58</f>
        <v>100</v>
      </c>
      <c r="U503" s="929"/>
      <c r="V503" s="929">
        <f>'matrik MISI 6'!W58</f>
        <v>100</v>
      </c>
      <c r="W503" s="929"/>
      <c r="X503" s="929" t="str">
        <f>'matrik MISI 6'!X58</f>
        <v>Bagian Umum Setda</v>
      </c>
      <c r="Y503" s="164">
        <f>'matrik MISI 6'!Y58</f>
        <v>0</v>
      </c>
      <c r="Z503" s="164">
        <f>'matrik MISI 6'!Z58</f>
        <v>0</v>
      </c>
    </row>
    <row r="504" spans="2:39" ht="30" hidden="1">
      <c r="B504" s="940"/>
      <c r="C504" s="941"/>
      <c r="D504" s="940"/>
      <c r="E504" s="940"/>
      <c r="F504" s="940"/>
      <c r="G504" s="940" t="str">
        <f>'matrik MISI 6'!M59</f>
        <v>Program Kerjasama  Daerah</v>
      </c>
      <c r="H504" s="164"/>
      <c r="I504" s="164"/>
      <c r="J504" s="929"/>
      <c r="K504" s="929"/>
      <c r="L504" s="929"/>
      <c r="M504" s="961"/>
      <c r="N504" s="929"/>
      <c r="O504" s="929"/>
      <c r="P504" s="929"/>
      <c r="Q504" s="929"/>
      <c r="R504" s="929"/>
      <c r="S504" s="929"/>
      <c r="T504" s="929"/>
      <c r="U504" s="929"/>
      <c r="V504" s="929"/>
      <c r="W504" s="929"/>
      <c r="X504" s="929"/>
      <c r="Y504" s="164"/>
      <c r="Z504" s="164"/>
    </row>
    <row r="505" spans="2:39" ht="90">
      <c r="B505" s="940"/>
      <c r="C505" s="941"/>
      <c r="D505" s="940"/>
      <c r="E505" s="940"/>
      <c r="F505" s="940"/>
      <c r="G505" s="940"/>
      <c r="H505" s="164" t="str">
        <f>'matrik MISI 6'!N62</f>
        <v xml:space="preserve">Persentase Tersusunnya dokumen pelaporan daerah </v>
      </c>
      <c r="I505" s="164" t="str">
        <f>'matrik MISI 6'!O62</f>
        <v>%</v>
      </c>
      <c r="J505" s="929">
        <f>'matrik MISI 6'!P62</f>
        <v>100</v>
      </c>
      <c r="K505" s="929">
        <f>'matrik MISI 6'!Q62</f>
        <v>100</v>
      </c>
      <c r="L505" s="929">
        <f>'matrik MISI 6'!R62</f>
        <v>100</v>
      </c>
      <c r="M505" s="961"/>
      <c r="N505" s="929">
        <f>'matrik MISI 6'!S62</f>
        <v>100</v>
      </c>
      <c r="O505" s="929"/>
      <c r="P505" s="929">
        <f>'matrik MISI 6'!T62</f>
        <v>100</v>
      </c>
      <c r="Q505" s="929"/>
      <c r="R505" s="929">
        <f>'matrik MISI 6'!U62</f>
        <v>100</v>
      </c>
      <c r="S505" s="929"/>
      <c r="T505" s="929">
        <f>'matrik MISI 6'!V62</f>
        <v>100</v>
      </c>
      <c r="U505" s="929"/>
      <c r="V505" s="929">
        <f>'matrik MISI 6'!W62</f>
        <v>100</v>
      </c>
      <c r="W505" s="929"/>
      <c r="X505" s="929" t="str">
        <f>'matrik MISI 6'!X62</f>
        <v>Bagian Pemerintahan Umum Setda</v>
      </c>
      <c r="Y505" s="164" t="str">
        <f>'matrik MISI 6'!Y62</f>
        <v>Jumlah dokumen pelaporan daerah dibagi Jumlah dokumen pelaporan yang seharusnya ada</v>
      </c>
      <c r="Z505" s="164" t="str">
        <f>'matrik MISI 6'!Z62</f>
        <v>Dokumen pelaporan Kepala Daerah yang wajib dibuat meliputi LPPD,LKPJ,ILPPD, LPPD AMJ, LKPJ AMJ, Memori Jabatan</v>
      </c>
    </row>
    <row r="506" spans="2:39" ht="90">
      <c r="B506" s="940"/>
      <c r="C506" s="941"/>
      <c r="D506" s="940"/>
      <c r="E506" s="940"/>
      <c r="F506" s="940"/>
      <c r="G506" s="940"/>
      <c r="H506" s="164" t="str">
        <f>'matrik MISI 6'!N51</f>
        <v>Persentase Jumlah SKPD yang Menyampaikan DURP dengan tepat waktu</v>
      </c>
      <c r="I506" s="164" t="str">
        <f>'matrik MISI 6'!O51</f>
        <v>%</v>
      </c>
      <c r="J506" s="929">
        <f>'matrik MISI 6'!P51</f>
        <v>0</v>
      </c>
      <c r="K506" s="929">
        <f>'matrik MISI 6'!Q51</f>
        <v>0</v>
      </c>
      <c r="L506" s="929">
        <f>'matrik MISI 6'!R51</f>
        <v>100</v>
      </c>
      <c r="M506" s="961"/>
      <c r="N506" s="929">
        <f>'matrik MISI 6'!S51</f>
        <v>100</v>
      </c>
      <c r="O506" s="929"/>
      <c r="P506" s="929">
        <f>'matrik MISI 6'!T51</f>
        <v>100</v>
      </c>
      <c r="Q506" s="929"/>
      <c r="R506" s="929">
        <f>'matrik MISI 6'!U51</f>
        <v>100</v>
      </c>
      <c r="S506" s="929"/>
      <c r="T506" s="929">
        <f>'matrik MISI 6'!V51</f>
        <v>100</v>
      </c>
      <c r="U506" s="929"/>
      <c r="V506" s="929">
        <f>'matrik MISI 6'!W51</f>
        <v>100</v>
      </c>
      <c r="W506" s="929"/>
      <c r="X506" s="929" t="str">
        <f>'matrik MISI 6'!X51</f>
        <v>Bagian Pembangunan Setda</v>
      </c>
      <c r="Y506" s="164" t="str">
        <f>'matrik MISI 6'!Y51</f>
        <v>Jumlah SKPD yang melaporkan DURP tepat waktu dibagi jumlah SKPD yang mempunyai DURP x 100 %</v>
      </c>
      <c r="Z506" s="164">
        <f>'matrik MISI 6'!Z51</f>
        <v>0</v>
      </c>
    </row>
    <row r="507" spans="2:39" ht="45" hidden="1">
      <c r="B507" s="940"/>
      <c r="C507" s="941"/>
      <c r="D507" s="940" t="str">
        <f>'matrik MISI 6'!J63</f>
        <v>1.20</v>
      </c>
      <c r="E507" s="940" t="str">
        <f>'matrik MISI 6'!K63</f>
        <v>xx</v>
      </c>
      <c r="F507" s="940">
        <f>'matrik MISI 6'!L63</f>
        <v>33</v>
      </c>
      <c r="G507" s="940" t="str">
        <f>'matrik MISI 6'!M63</f>
        <v>Program Peningkatan Kapasitas Sumber Daya Aparatur</v>
      </c>
      <c r="H507" s="164"/>
      <c r="I507" s="164"/>
      <c r="J507" s="929"/>
      <c r="K507" s="929"/>
      <c r="L507" s="929"/>
      <c r="M507" s="961"/>
      <c r="N507" s="929"/>
      <c r="O507" s="929"/>
      <c r="P507" s="929"/>
      <c r="Q507" s="929"/>
      <c r="R507" s="929"/>
      <c r="S507" s="929"/>
      <c r="T507" s="929"/>
      <c r="U507" s="929"/>
      <c r="V507" s="929"/>
      <c r="W507" s="929"/>
      <c r="X507" s="929"/>
      <c r="Y507" s="164"/>
      <c r="Z507" s="164"/>
    </row>
    <row r="508" spans="2:39" ht="75">
      <c r="B508" s="940"/>
      <c r="C508" s="941"/>
      <c r="D508" s="939"/>
      <c r="E508" s="939"/>
      <c r="F508" s="939"/>
      <c r="G508" s="939"/>
      <c r="H508" s="164" t="str">
        <f>'matrik MISI 6'!N63</f>
        <v>Persentase Tertib Administrasi di tingkat Kelurahan</v>
      </c>
      <c r="I508" s="164" t="str">
        <f>'matrik MISI 6'!O63</f>
        <v>%</v>
      </c>
      <c r="J508" s="929">
        <f>'matrik MISI 6'!P63</f>
        <v>10</v>
      </c>
      <c r="K508" s="929">
        <f>'matrik MISI 6'!Q63</f>
        <v>10</v>
      </c>
      <c r="L508" s="929">
        <f>'matrik MISI 6'!R63</f>
        <v>10</v>
      </c>
      <c r="M508" s="961"/>
      <c r="N508" s="929">
        <f>'matrik MISI 6'!S63</f>
        <v>25</v>
      </c>
      <c r="O508" s="929"/>
      <c r="P508" s="929">
        <f>'matrik MISI 6'!T63</f>
        <v>50</v>
      </c>
      <c r="Q508" s="929"/>
      <c r="R508" s="929">
        <f>'matrik MISI 6'!U63</f>
        <v>75</v>
      </c>
      <c r="S508" s="929"/>
      <c r="T508" s="929">
        <f>'matrik MISI 6'!V63</f>
        <v>100</v>
      </c>
      <c r="U508" s="929"/>
      <c r="V508" s="929">
        <f>'matrik MISI 6'!W63</f>
        <v>100</v>
      </c>
      <c r="W508" s="929"/>
      <c r="X508" s="929" t="str">
        <f>'matrik MISI 6'!X63</f>
        <v>Bagian Pemerintahan Umum Setda</v>
      </c>
      <c r="Y508" s="164" t="str">
        <f>'matrik MISI 6'!Y63</f>
        <v>Jumlah kecamatan yang melaksanakan tertib administrasi dibagi jumalh Kecamatan kali 100</v>
      </c>
      <c r="Z508" s="164">
        <f>'matrik MISI 6'!Z63</f>
        <v>0</v>
      </c>
    </row>
    <row r="509" spans="2:39" ht="45" hidden="1">
      <c r="B509" s="940"/>
      <c r="C509" s="941"/>
      <c r="D509" s="940" t="str">
        <f>'matrik MISI 6'!J64</f>
        <v>1.20</v>
      </c>
      <c r="E509" s="940" t="str">
        <f>'matrik MISI 6'!K64</f>
        <v>xx</v>
      </c>
      <c r="F509" s="940">
        <f>'matrik MISI 6'!L64</f>
        <v>19</v>
      </c>
      <c r="G509" s="940" t="str">
        <f>'matrik MISI 6'!M64</f>
        <v>Program Pembinaan dan Fasilitasi Pengelolaan Keuangan Desa</v>
      </c>
      <c r="H509" s="164"/>
      <c r="I509" s="164"/>
      <c r="J509" s="929"/>
      <c r="K509" s="929"/>
      <c r="L509" s="929"/>
      <c r="M509" s="961"/>
      <c r="N509" s="929"/>
      <c r="O509" s="929"/>
      <c r="P509" s="929"/>
      <c r="Q509" s="929"/>
      <c r="R509" s="929"/>
      <c r="S509" s="929"/>
      <c r="T509" s="929"/>
      <c r="U509" s="929"/>
      <c r="V509" s="929"/>
      <c r="W509" s="929"/>
      <c r="X509" s="929"/>
      <c r="Y509" s="164"/>
      <c r="Z509" s="164"/>
    </row>
    <row r="510" spans="2:39" ht="45" hidden="1">
      <c r="B510" s="940"/>
      <c r="C510" s="941"/>
      <c r="D510" s="940" t="str">
        <f>'matrik MISI 6'!J65</f>
        <v>1.20</v>
      </c>
      <c r="E510" s="940" t="str">
        <f>'matrik MISI 6'!K65</f>
        <v>xx</v>
      </c>
      <c r="F510" s="940">
        <f>'matrik MISI 6'!L65</f>
        <v>28</v>
      </c>
      <c r="G510" s="940" t="str">
        <f>'matrik MISI 6'!M65</f>
        <v>Program Peningkatan Kapasitas Aparatur Pemerintahan Desa</v>
      </c>
      <c r="H510" s="164"/>
      <c r="I510" s="164"/>
      <c r="J510" s="929"/>
      <c r="K510" s="929"/>
      <c r="L510" s="929"/>
      <c r="M510" s="961"/>
      <c r="N510" s="929"/>
      <c r="O510" s="929"/>
      <c r="P510" s="929"/>
      <c r="Q510" s="929"/>
      <c r="R510" s="929"/>
      <c r="S510" s="929"/>
      <c r="T510" s="929"/>
      <c r="U510" s="929"/>
      <c r="V510" s="929"/>
      <c r="W510" s="929"/>
      <c r="X510" s="929"/>
      <c r="Y510" s="164"/>
      <c r="Z510" s="164"/>
    </row>
    <row r="511" spans="2:39" ht="75">
      <c r="B511" s="940"/>
      <c r="C511" s="941"/>
      <c r="D511" s="939"/>
      <c r="E511" s="939"/>
      <c r="F511" s="939"/>
      <c r="G511" s="939"/>
      <c r="H511" s="164" t="str">
        <f>'matrik MISI 6'!N64</f>
        <v>Cakupan Pembinaan Administrasi Desa</v>
      </c>
      <c r="I511" s="164" t="str">
        <f>'matrik MISI 6'!O64</f>
        <v>%</v>
      </c>
      <c r="J511" s="929">
        <f>'matrik MISI 6'!P64</f>
        <v>100</v>
      </c>
      <c r="K511" s="929">
        <f>'matrik MISI 6'!Q64</f>
        <v>100</v>
      </c>
      <c r="L511" s="929">
        <f>'matrik MISI 6'!R64</f>
        <v>100</v>
      </c>
      <c r="M511" s="961"/>
      <c r="N511" s="929">
        <f>'matrik MISI 6'!S64</f>
        <v>100</v>
      </c>
      <c r="O511" s="929"/>
      <c r="P511" s="929">
        <f>'matrik MISI 6'!T64</f>
        <v>100</v>
      </c>
      <c r="Q511" s="929"/>
      <c r="R511" s="929">
        <f>'matrik MISI 6'!U64</f>
        <v>100</v>
      </c>
      <c r="S511" s="929"/>
      <c r="T511" s="929">
        <f>'matrik MISI 6'!V64</f>
        <v>100</v>
      </c>
      <c r="U511" s="929"/>
      <c r="V511" s="929">
        <f>'matrik MISI 6'!W64</f>
        <v>100</v>
      </c>
      <c r="W511" s="929"/>
      <c r="X511" s="929" t="str">
        <f>'matrik MISI 6'!X64</f>
        <v>Bagian Pemerintahan Desa Setda dan Kecamatan</v>
      </c>
      <c r="Y511" s="164" t="str">
        <f>'matrik MISI 6'!Y64</f>
        <v>Jumlah desa yang mengisi buku administrasi secara benar dibagi Jumlah desa</v>
      </c>
      <c r="Z511" s="164">
        <f>'matrik MISI 6'!Z64</f>
        <v>0</v>
      </c>
    </row>
    <row r="512" spans="2:39" ht="60" hidden="1">
      <c r="B512" s="940"/>
      <c r="C512" s="941"/>
      <c r="D512" s="940" t="str">
        <f>'matrik MISI 6'!J67</f>
        <v>1.20</v>
      </c>
      <c r="E512" s="940" t="str">
        <f>'matrik MISI 6'!K67</f>
        <v>xx</v>
      </c>
      <c r="F512" s="940">
        <f>'matrik MISI 6'!L67</f>
        <v>17</v>
      </c>
      <c r="G512" s="940" t="str">
        <f>'matrik MISI 6'!M67</f>
        <v>Program Peningkatan dan Pengembangan Pengelolaan Keuangan Daerah</v>
      </c>
      <c r="H512" s="164"/>
      <c r="I512" s="164"/>
      <c r="J512" s="929"/>
      <c r="K512" s="929"/>
      <c r="L512" s="929"/>
      <c r="M512" s="961"/>
      <c r="N512" s="929"/>
      <c r="O512" s="929"/>
      <c r="P512" s="929"/>
      <c r="Q512" s="929"/>
      <c r="R512" s="929"/>
      <c r="S512" s="929"/>
      <c r="T512" s="929"/>
      <c r="U512" s="929"/>
      <c r="V512" s="929"/>
      <c r="W512" s="929"/>
      <c r="X512" s="929"/>
      <c r="Y512" s="164"/>
      <c r="Z512" s="164"/>
    </row>
    <row r="513" spans="2:30" ht="60">
      <c r="B513" s="940"/>
      <c r="C513" s="941"/>
      <c r="D513" s="939"/>
      <c r="E513" s="939"/>
      <c r="F513" s="939"/>
      <c r="G513" s="939"/>
      <c r="H513" s="164" t="str">
        <f>'matrik MISI 6'!N67</f>
        <v>Rasio Realisasi Pendapatan Daerah Terhadap Potensi Pendapatan Daerah</v>
      </c>
      <c r="I513" s="164" t="str">
        <f>'matrik MISI 6'!O67</f>
        <v>%</v>
      </c>
      <c r="J513" s="929">
        <f>'matrik MISI 6'!P67</f>
        <v>0.87</v>
      </c>
      <c r="K513" s="929">
        <f>'matrik MISI 6'!Q67</f>
        <v>0.85</v>
      </c>
      <c r="L513" s="929">
        <f>'matrik MISI 6'!R67</f>
        <v>0.87</v>
      </c>
      <c r="M513" s="961"/>
      <c r="N513" s="929">
        <f>'matrik MISI 6'!S67</f>
        <v>0.87</v>
      </c>
      <c r="O513" s="929"/>
      <c r="P513" s="929">
        <f>'matrik MISI 6'!T67</f>
        <v>0.87</v>
      </c>
      <c r="Q513" s="929"/>
      <c r="R513" s="929">
        <f>'matrik MISI 6'!U67</f>
        <v>0.87</v>
      </c>
      <c r="S513" s="929"/>
      <c r="T513" s="929">
        <f>'matrik MISI 6'!V67</f>
        <v>0.87</v>
      </c>
      <c r="U513" s="929"/>
      <c r="V513" s="929">
        <f>'matrik MISI 6'!W67</f>
        <v>0.87</v>
      </c>
      <c r="W513" s="929"/>
      <c r="X513" s="929" t="str">
        <f>'matrik MISI 6'!X67</f>
        <v>DPPKAD</v>
      </c>
      <c r="Y513" s="164" t="str">
        <f>'matrik MISI 6'!Y67</f>
        <v>Jumlah Pendapatan Asli Daerah dibagi Jumlah potensi pendapatan daerah</v>
      </c>
      <c r="Z513" s="164">
        <f>'matrik MISI 6'!Z67</f>
        <v>0</v>
      </c>
    </row>
    <row r="514" spans="2:30" ht="75">
      <c r="B514" s="940"/>
      <c r="C514" s="941"/>
      <c r="D514" s="940"/>
      <c r="E514" s="940"/>
      <c r="F514" s="940"/>
      <c r="G514" s="940"/>
      <c r="H514" s="164" t="str">
        <f>'matrik MISI 6'!N69</f>
        <v>Rasio Pendapatan Asli Daerah Terhadap Pendapatan Daerah</v>
      </c>
      <c r="I514" s="164" t="str">
        <f>'matrik MISI 6'!O69</f>
        <v>%</v>
      </c>
      <c r="J514" s="929" t="str">
        <f>'matrik MISI 6'!P69</f>
        <v>8,75</v>
      </c>
      <c r="K514" s="929" t="str">
        <f>'matrik MISI 6'!Q69</f>
        <v>8,9</v>
      </c>
      <c r="L514" s="929">
        <f>'matrik MISI 6'!R69</f>
        <v>9</v>
      </c>
      <c r="M514" s="961"/>
      <c r="N514" s="929">
        <f>'matrik MISI 6'!S69</f>
        <v>9</v>
      </c>
      <c r="O514" s="929"/>
      <c r="P514" s="929">
        <f>'matrik MISI 6'!T69</f>
        <v>9</v>
      </c>
      <c r="Q514" s="929"/>
      <c r="R514" s="929">
        <f>'matrik MISI 6'!U69</f>
        <v>9</v>
      </c>
      <c r="S514" s="929"/>
      <c r="T514" s="929">
        <f>'matrik MISI 6'!V69</f>
        <v>9</v>
      </c>
      <c r="U514" s="929"/>
      <c r="V514" s="929">
        <f>'matrik MISI 6'!W69</f>
        <v>9</v>
      </c>
      <c r="W514" s="929"/>
      <c r="X514" s="929" t="str">
        <f>'matrik MISI 6'!X69</f>
        <v>DPPKAD</v>
      </c>
      <c r="Y514" s="164" t="str">
        <f>'matrik MISI 6'!Y69</f>
        <v>Jumlah Pendapatan Asli Daerah dibagi Jumlah Anggaran Pendapatan  Daerah kali 100 %</v>
      </c>
      <c r="Z514" s="164">
        <f>'matrik MISI 6'!Z69</f>
        <v>0</v>
      </c>
    </row>
    <row r="515" spans="2:30" ht="75">
      <c r="B515" s="940"/>
      <c r="C515" s="941"/>
      <c r="D515" s="940"/>
      <c r="E515" s="940"/>
      <c r="F515" s="940"/>
      <c r="G515" s="940"/>
      <c r="H515" s="164" t="str">
        <f>'matrik MISI 6'!N72</f>
        <v>Persentase Tertib Administrasi Aset Daerah di SKPD</v>
      </c>
      <c r="I515" s="164" t="str">
        <f>'matrik MISI 6'!O72</f>
        <v>%</v>
      </c>
      <c r="J515" s="929">
        <f>'matrik MISI 6'!P72</f>
        <v>70</v>
      </c>
      <c r="K515" s="929">
        <f>'matrik MISI 6'!Q72</f>
        <v>75</v>
      </c>
      <c r="L515" s="929">
        <f>'matrik MISI 6'!R72</f>
        <v>68</v>
      </c>
      <c r="M515" s="961"/>
      <c r="N515" s="929">
        <f>'matrik MISI 6'!S72</f>
        <v>68</v>
      </c>
      <c r="O515" s="929"/>
      <c r="P515" s="929">
        <f>'matrik MISI 6'!T72</f>
        <v>70</v>
      </c>
      <c r="Q515" s="929"/>
      <c r="R515" s="929">
        <f>'matrik MISI 6'!U72</f>
        <v>75</v>
      </c>
      <c r="S515" s="929"/>
      <c r="T515" s="929">
        <f>'matrik MISI 6'!V72</f>
        <v>80</v>
      </c>
      <c r="U515" s="929"/>
      <c r="V515" s="929">
        <f>'matrik MISI 6'!W72</f>
        <v>80</v>
      </c>
      <c r="W515" s="929"/>
      <c r="X515" s="929" t="str">
        <f>'matrik MISI 6'!X72</f>
        <v>DPPKAD</v>
      </c>
      <c r="Y515" s="164" t="str">
        <f>'matrik MISI 6'!Y72</f>
        <v>Jumlah SKPD yang melaporkan aset daerah yang benar dan tepat waktu dibagi Jumlah SKPD</v>
      </c>
      <c r="Z515" s="164">
        <f>'matrik MISI 6'!Z72</f>
        <v>0</v>
      </c>
    </row>
    <row r="516" spans="2:30" ht="60" hidden="1">
      <c r="B516" s="940"/>
      <c r="C516" s="941"/>
      <c r="D516" s="940" t="str">
        <f>'matrik MISI 6'!J68</f>
        <v>1.20</v>
      </c>
      <c r="E516" s="940" t="str">
        <f>'matrik MISI 6'!K68</f>
        <v>xx</v>
      </c>
      <c r="F516" s="940">
        <f>'matrik MISI 6'!L68</f>
        <v>18</v>
      </c>
      <c r="G516" s="940" t="str">
        <f>'matrik MISI 6'!M68</f>
        <v xml:space="preserve">Program Pembinaan dan Fasilitasi Pengelolaan Keuangan Kabupaten/Kota </v>
      </c>
      <c r="H516" s="164"/>
      <c r="I516" s="164"/>
      <c r="J516" s="929"/>
      <c r="K516" s="929"/>
      <c r="L516" s="929"/>
      <c r="M516" s="961"/>
      <c r="N516" s="929"/>
      <c r="O516" s="929"/>
      <c r="P516" s="929"/>
      <c r="Q516" s="929"/>
      <c r="R516" s="929"/>
      <c r="S516" s="929"/>
      <c r="T516" s="929"/>
      <c r="U516" s="929"/>
      <c r="V516" s="929"/>
      <c r="W516" s="929"/>
      <c r="X516" s="929"/>
      <c r="Y516" s="164"/>
      <c r="Z516" s="164"/>
    </row>
    <row r="517" spans="2:30" ht="30">
      <c r="B517" s="940"/>
      <c r="C517" s="941"/>
      <c r="D517" s="939"/>
      <c r="E517" s="939"/>
      <c r="F517" s="939"/>
      <c r="G517" s="939"/>
      <c r="H517" s="164" t="str">
        <f>'matrik MISI 6'!N68</f>
        <v>Akuntabilitas Pengelolaan Keuangan Daerah</v>
      </c>
      <c r="I517" s="164" t="str">
        <f>'matrik MISI 6'!O68</f>
        <v>Kriteria</v>
      </c>
      <c r="J517" s="929" t="str">
        <f>'matrik MISI 6'!P68</f>
        <v>WTP</v>
      </c>
      <c r="K517" s="929" t="str">
        <f>'matrik MISI 6'!Q68</f>
        <v>WTP</v>
      </c>
      <c r="L517" s="929" t="str">
        <f>'matrik MISI 6'!R68</f>
        <v>WTP</v>
      </c>
      <c r="M517" s="961"/>
      <c r="N517" s="929" t="str">
        <f>'matrik MISI 6'!S68</f>
        <v>WTP</v>
      </c>
      <c r="O517" s="929"/>
      <c r="P517" s="929" t="str">
        <f>'matrik MISI 6'!T68</f>
        <v>WTP</v>
      </c>
      <c r="Q517" s="929"/>
      <c r="R517" s="929" t="str">
        <f>'matrik MISI 6'!U68</f>
        <v>WTP</v>
      </c>
      <c r="S517" s="929"/>
      <c r="T517" s="929" t="str">
        <f>'matrik MISI 6'!V68</f>
        <v>WTP</v>
      </c>
      <c r="U517" s="929"/>
      <c r="V517" s="929" t="str">
        <f>'matrik MISI 6'!W68</f>
        <v>WTP</v>
      </c>
      <c r="W517" s="929"/>
      <c r="X517" s="929" t="str">
        <f>'matrik MISI 6'!X68</f>
        <v>DPPKAD</v>
      </c>
      <c r="Y517" s="164">
        <f>'matrik MISI 6'!Y68</f>
        <v>0</v>
      </c>
      <c r="Z517" s="164">
        <f>'matrik MISI 6'!Z68</f>
        <v>0</v>
      </c>
    </row>
    <row r="518" spans="2:30" ht="30">
      <c r="B518" s="949">
        <v>21</v>
      </c>
      <c r="C518" s="948" t="str">
        <f>'matrik MISI 1'!B59</f>
        <v>KETAHANAN PANGAN</v>
      </c>
      <c r="D518" s="949" t="str">
        <f>'matrik MISI 1'!J60</f>
        <v>1.21</v>
      </c>
      <c r="E518" s="949" t="str">
        <f>'matrik MISI 1'!K60</f>
        <v>xx</v>
      </c>
      <c r="F518" s="949">
        <f>'matrik MISI 1'!L60</f>
        <v>16</v>
      </c>
      <c r="G518" s="949" t="str">
        <f>'matrik MISI 1'!M60</f>
        <v>Program peningkatan ketahanan pangan</v>
      </c>
      <c r="H518" s="164"/>
      <c r="I518" s="164"/>
      <c r="J518" s="929"/>
      <c r="K518" s="929"/>
      <c r="L518" s="929"/>
      <c r="M518" s="961">
        <f>'jangan di hapus 1'!K1109</f>
        <v>321997000</v>
      </c>
      <c r="N518" s="961">
        <f>'jangan di hapus 1'!L1109</f>
        <v>0</v>
      </c>
      <c r="O518" s="961">
        <f>'jangan di hapus 1'!M1109</f>
        <v>604000000</v>
      </c>
      <c r="P518" s="961">
        <f>'jangan di hapus 1'!N1109</f>
        <v>0</v>
      </c>
      <c r="Q518" s="961">
        <f>'jangan di hapus 1'!O1109</f>
        <v>646500000</v>
      </c>
      <c r="R518" s="961">
        <f>'jangan di hapus 1'!P1109</f>
        <v>0</v>
      </c>
      <c r="S518" s="961">
        <f>'jangan di hapus 1'!Q1109</f>
        <v>692500000</v>
      </c>
      <c r="T518" s="961">
        <f>'jangan di hapus 1'!R1109</f>
        <v>0</v>
      </c>
      <c r="U518" s="961">
        <f>'jangan di hapus 1'!S1109</f>
        <v>720000000</v>
      </c>
      <c r="V518" s="961"/>
      <c r="W518" s="961">
        <f>SUM(M518:U518)</f>
        <v>2984997000</v>
      </c>
      <c r="X518" s="961"/>
      <c r="Y518" s="1017"/>
      <c r="Z518" s="1017"/>
      <c r="AA518" s="793"/>
      <c r="AB518" s="793"/>
      <c r="AC518" s="793"/>
      <c r="AD518" s="793"/>
    </row>
    <row r="519" spans="2:30" ht="150">
      <c r="B519" s="939"/>
      <c r="C519" s="939"/>
      <c r="D519" s="939"/>
      <c r="E519" s="939"/>
      <c r="F519" s="939"/>
      <c r="G519" s="939"/>
      <c r="H519" s="164" t="str">
        <f>'matrik MISI 1'!N60</f>
        <v>Cakupan Ketersediaan Energi per Kapita</v>
      </c>
      <c r="I519" s="164" t="str">
        <f>'matrik MISI 1'!O60</f>
        <v>kkal/kap/hr</v>
      </c>
      <c r="J519" s="929">
        <f>'matrik MISI 1'!P60</f>
        <v>2846.55</v>
      </c>
      <c r="K519" s="929">
        <f>'matrik MISI 1'!Q60</f>
        <v>2794.62</v>
      </c>
      <c r="L519" s="929">
        <f>'matrik MISI 1'!R60</f>
        <v>2800</v>
      </c>
      <c r="M519" s="961"/>
      <c r="N519" s="929">
        <f>'matrik MISI 1'!S60</f>
        <v>2850</v>
      </c>
      <c r="O519" s="929"/>
      <c r="P519" s="929">
        <f>'matrik MISI 1'!T60</f>
        <v>2900</v>
      </c>
      <c r="Q519" s="929"/>
      <c r="R519" s="929">
        <f>'matrik MISI 1'!U60</f>
        <v>2940</v>
      </c>
      <c r="S519" s="929"/>
      <c r="T519" s="929">
        <f>'matrik MISI 1'!V60</f>
        <v>2980</v>
      </c>
      <c r="U519" s="929"/>
      <c r="V519" s="929">
        <f>'matrik MISI 1'!W60</f>
        <v>2980</v>
      </c>
      <c r="W519" s="929"/>
      <c r="X519" s="929" t="str">
        <f>'matrik MISI 1'!X60</f>
        <v>KKP</v>
      </c>
      <c r="Y519" s="164" t="str">
        <f>'matrik MISI 1'!Y60</f>
        <v>Ketersediaan pangan per kapita per hari dibagi 100, kali kandungan kalori, kali bagian yang dapat dimakan</v>
      </c>
      <c r="Z519" s="164" t="str">
        <f>'matrik MISI 1'!Z60</f>
        <v>ketersediaan pangan dihitung berdasarkan neraca bahan makanan (NBM) yang menunjukkan ketersediaan seluruh bahan pangan daerah sebagai sumber energi  dalam satuan kkal/kap/hr</v>
      </c>
    </row>
    <row r="520" spans="2:30" ht="150">
      <c r="B520" s="940"/>
      <c r="C520" s="941"/>
      <c r="D520" s="940"/>
      <c r="E520" s="940"/>
      <c r="F520" s="940"/>
      <c r="G520" s="940"/>
      <c r="H520" s="164" t="str">
        <f>'matrik MISI 1'!N61</f>
        <v>Cakupan Ketersediaan protein per Kapita</v>
      </c>
      <c r="I520" s="164" t="str">
        <f>'matrik MISI 1'!O61</f>
        <v>gr/kap/hr</v>
      </c>
      <c r="J520" s="929">
        <f>'matrik MISI 1'!P61</f>
        <v>74.989999999999995</v>
      </c>
      <c r="K520" s="929">
        <f>'matrik MISI 1'!Q61</f>
        <v>70.88</v>
      </c>
      <c r="L520" s="929">
        <f>'matrik MISI 1'!R61</f>
        <v>73.540000000000006</v>
      </c>
      <c r="M520" s="961"/>
      <c r="N520" s="929">
        <f>'matrik MISI 1'!S61</f>
        <v>74</v>
      </c>
      <c r="O520" s="929"/>
      <c r="P520" s="929">
        <f>'matrik MISI 1'!T61</f>
        <v>74.75</v>
      </c>
      <c r="Q520" s="929"/>
      <c r="R520" s="929">
        <f>'matrik MISI 1'!U61</f>
        <v>75.5</v>
      </c>
      <c r="S520" s="929"/>
      <c r="T520" s="929" t="str">
        <f>'matrik MISI 1'!V61</f>
        <v>75,99</v>
      </c>
      <c r="U520" s="929"/>
      <c r="V520" s="929" t="str">
        <f>'matrik MISI 1'!W61</f>
        <v>75,99</v>
      </c>
      <c r="W520" s="929"/>
      <c r="X520" s="929" t="str">
        <f>'matrik MISI 1'!X61</f>
        <v>KKP</v>
      </c>
      <c r="Y520" s="164" t="str">
        <f>'matrik MISI 1'!Y61</f>
        <v>Ketersediaan pangan per kapita per hari dibagi 100, kali kandungan kalori, kali bagian yang dapat dimakan</v>
      </c>
      <c r="Z520" s="164" t="str">
        <f>'matrik MISI 1'!Z61</f>
        <v>ketersediaan pangan dihitung berdasarkan neraca bahan makanan (NBM) yang menunjukkan ketersediaan seluruh bahan pangan daerah sebagai sumber protein dalam satuan gr/kap/hr</v>
      </c>
    </row>
    <row r="521" spans="2:30" ht="120">
      <c r="B521" s="940"/>
      <c r="C521" s="941"/>
      <c r="D521" s="940"/>
      <c r="E521" s="940"/>
      <c r="F521" s="940"/>
      <c r="G521" s="940"/>
      <c r="H521" s="164" t="str">
        <f>'matrik MISI 1'!N62</f>
        <v>Peningkatan cadangan pangan masyarakat</v>
      </c>
      <c r="I521" s="164" t="str">
        <f>'matrik MISI 1'!O62</f>
        <v>unit</v>
      </c>
      <c r="J521" s="929">
        <f>'matrik MISI 1'!P62</f>
        <v>29</v>
      </c>
      <c r="K521" s="929">
        <f>'matrik MISI 1'!Q62</f>
        <v>35</v>
      </c>
      <c r="L521" s="929">
        <f>'matrik MISI 1'!R62</f>
        <v>43</v>
      </c>
      <c r="M521" s="961"/>
      <c r="N521" s="929">
        <f>'matrik MISI 1'!S62</f>
        <v>51</v>
      </c>
      <c r="O521" s="929"/>
      <c r="P521" s="929">
        <f>'matrik MISI 1'!T62</f>
        <v>59</v>
      </c>
      <c r="Q521" s="929"/>
      <c r="R521" s="929">
        <f>'matrik MISI 1'!U62</f>
        <v>67</v>
      </c>
      <c r="S521" s="929"/>
      <c r="T521" s="929">
        <f>'matrik MISI 1'!V62</f>
        <v>75</v>
      </c>
      <c r="U521" s="929"/>
      <c r="V521" s="929">
        <f>'matrik MISI 1'!W62</f>
        <v>75</v>
      </c>
      <c r="W521" s="929"/>
      <c r="X521" s="929" t="str">
        <f>'matrik MISI 1'!X62</f>
        <v>KKP</v>
      </c>
      <c r="Y521" s="164" t="str">
        <f>'matrik MISI 1'!Y62</f>
        <v>Jumlah akumulatif pembinaan/pengembangan kelembagaan cadangan pangan yang telah dilaksanakan pada tahun yang bersangkutan</v>
      </c>
      <c r="Z521" s="164" t="str">
        <f>'matrik MISI 1'!Z62</f>
        <v>sudah jelas</v>
      </c>
    </row>
    <row r="522" spans="2:30" ht="45">
      <c r="B522" s="940"/>
      <c r="C522" s="941"/>
      <c r="D522" s="940"/>
      <c r="E522" s="940"/>
      <c r="F522" s="940"/>
      <c r="G522" s="940"/>
      <c r="H522" s="164" t="str">
        <f>'matrik MISI 1'!N63</f>
        <v>Persentase penguatan cadangan pangan pemerintah</v>
      </c>
      <c r="I522" s="164" t="str">
        <f>'matrik MISI 1'!O63</f>
        <v>%</v>
      </c>
      <c r="J522" s="929">
        <f>'matrik MISI 1'!P63</f>
        <v>2.6</v>
      </c>
      <c r="K522" s="929" t="str">
        <f>'matrik MISI 1'!Q63</f>
        <v>8,8</v>
      </c>
      <c r="L522" s="929">
        <f>'matrik MISI 1'!R63</f>
        <v>10</v>
      </c>
      <c r="M522" s="961"/>
      <c r="N522" s="929">
        <f>'matrik MISI 1'!S63</f>
        <v>10</v>
      </c>
      <c r="O522" s="929"/>
      <c r="P522" s="929">
        <f>'matrik MISI 1'!T63</f>
        <v>10</v>
      </c>
      <c r="Q522" s="929"/>
      <c r="R522" s="929">
        <f>'matrik MISI 1'!U63</f>
        <v>10</v>
      </c>
      <c r="S522" s="929"/>
      <c r="T522" s="929">
        <f>'matrik MISI 1'!V63</f>
        <v>10</v>
      </c>
      <c r="U522" s="929"/>
      <c r="V522" s="929">
        <f>'matrik MISI 1'!W63</f>
        <v>10</v>
      </c>
      <c r="W522" s="929"/>
      <c r="X522" s="929" t="str">
        <f>'matrik MISI 1'!X63</f>
        <v>KKP</v>
      </c>
      <c r="Y522" s="164" t="str">
        <f>'matrik MISI 1'!Y63</f>
        <v>Jumlah cadangan pangan pemerintah per 100 ton kali 100%</v>
      </c>
      <c r="Z522" s="164">
        <f>'matrik MISI 1'!Z63</f>
        <v>0</v>
      </c>
    </row>
    <row r="523" spans="2:30" ht="240">
      <c r="B523" s="940"/>
      <c r="C523" s="941"/>
      <c r="D523" s="940"/>
      <c r="E523" s="940"/>
      <c r="F523" s="940"/>
      <c r="G523" s="940"/>
      <c r="H523" s="164" t="str">
        <f>'matrik MISI 1'!N64</f>
        <v>Cakupan Penanganan Kerawanan Pangan</v>
      </c>
      <c r="I523" s="164" t="str">
        <f>'matrik MISI 1'!O64</f>
        <v>%</v>
      </c>
      <c r="J523" s="929">
        <f>'matrik MISI 1'!P64</f>
        <v>50</v>
      </c>
      <c r="K523" s="929">
        <f>'matrik MISI 1'!Q64</f>
        <v>50</v>
      </c>
      <c r="L523" s="929">
        <f>'matrik MISI 1'!R64</f>
        <v>60</v>
      </c>
      <c r="M523" s="961"/>
      <c r="N523" s="929">
        <f>'matrik MISI 1'!S64</f>
        <v>60</v>
      </c>
      <c r="O523" s="929"/>
      <c r="P523" s="929">
        <f>'matrik MISI 1'!T64</f>
        <v>75</v>
      </c>
      <c r="Q523" s="929"/>
      <c r="R523" s="929">
        <f>'matrik MISI 1'!U64</f>
        <v>75</v>
      </c>
      <c r="S523" s="929"/>
      <c r="T523" s="929">
        <f>'matrik MISI 1'!V64</f>
        <v>85</v>
      </c>
      <c r="U523" s="929"/>
      <c r="V523" s="929">
        <f>'matrik MISI 1'!W64</f>
        <v>85</v>
      </c>
      <c r="W523" s="929"/>
      <c r="X523" s="929" t="str">
        <f>'matrik MISI 1'!X64</f>
        <v>KKP</v>
      </c>
      <c r="Y523" s="164" t="str">
        <f>'matrik MISI 1'!Y64</f>
        <v>Penanganan Kerawanan pangan dibagi jumlah kerawanan pangan yang terjadi kali 100%</v>
      </c>
      <c r="Z523" s="164"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24" spans="2:30" ht="60">
      <c r="B524" s="940"/>
      <c r="C524" s="941"/>
      <c r="D524" s="940"/>
      <c r="E524" s="940"/>
      <c r="F524" s="940"/>
      <c r="G524" s="940"/>
      <c r="H524" s="164" t="str">
        <f>'matrik MISI 1'!N65</f>
        <v>Persentase Meningkatnya Skor Pola Pangan Harapan</v>
      </c>
      <c r="I524" s="164" t="str">
        <f>'matrik MISI 1'!O65</f>
        <v>%</v>
      </c>
      <c r="J524" s="929">
        <f>'matrik MISI 1'!P65</f>
        <v>88</v>
      </c>
      <c r="K524" s="929">
        <f>'matrik MISI 1'!Q65</f>
        <v>88.5</v>
      </c>
      <c r="L524" s="929">
        <f>'matrik MISI 1'!R65</f>
        <v>89</v>
      </c>
      <c r="M524" s="961"/>
      <c r="N524" s="929">
        <f>'matrik MISI 1'!S65</f>
        <v>90</v>
      </c>
      <c r="O524" s="929"/>
      <c r="P524" s="929">
        <f>'matrik MISI 1'!T65</f>
        <v>90.45</v>
      </c>
      <c r="Q524" s="929"/>
      <c r="R524" s="929">
        <f>'matrik MISI 1'!U65</f>
        <v>90.85</v>
      </c>
      <c r="S524" s="929"/>
      <c r="T524" s="929">
        <f>'matrik MISI 1'!V65</f>
        <v>91</v>
      </c>
      <c r="U524" s="929"/>
      <c r="V524" s="929">
        <f>'matrik MISI 1'!W65</f>
        <v>91</v>
      </c>
      <c r="W524" s="929"/>
      <c r="X524" s="929" t="str">
        <f>'matrik MISI 1'!X65</f>
        <v>KKP</v>
      </c>
      <c r="Y524" s="164" t="str">
        <f>'matrik MISI 1'!Y65</f>
        <v>Energi masing-masing komoditas dibagi angka kecukupan gizi kali 100%</v>
      </c>
      <c r="Z524" s="164" t="str">
        <f>'matrik MISI 1'!Z65</f>
        <v>angka dasar adalah capaian skor PPH pada tahun 2013</v>
      </c>
    </row>
    <row r="525" spans="2:30" ht="60">
      <c r="B525" s="940"/>
      <c r="C525" s="941"/>
      <c r="D525" s="940"/>
      <c r="E525" s="940"/>
      <c r="F525" s="940"/>
      <c r="G525" s="940"/>
      <c r="H525" s="164" t="str">
        <f>'matrik MISI 1'!N66</f>
        <v>Cakupan Pengawasan dan Pembinaan Keamanan Pangan</v>
      </c>
      <c r="I525" s="164" t="str">
        <f>'matrik MISI 1'!O66</f>
        <v>%</v>
      </c>
      <c r="J525" s="929" t="str">
        <f>'matrik MISI 1'!P66</f>
        <v>-</v>
      </c>
      <c r="K525" s="929" t="str">
        <f>'matrik MISI 1'!Q66</f>
        <v>-</v>
      </c>
      <c r="L525" s="929">
        <f>'matrik MISI 1'!R66</f>
        <v>60</v>
      </c>
      <c r="M525" s="961"/>
      <c r="N525" s="929">
        <f>'matrik MISI 1'!S66</f>
        <v>80</v>
      </c>
      <c r="O525" s="929"/>
      <c r="P525" s="929">
        <f>'matrik MISI 1'!T66</f>
        <v>80</v>
      </c>
      <c r="Q525" s="929"/>
      <c r="R525" s="929">
        <f>'matrik MISI 1'!U66</f>
        <v>85</v>
      </c>
      <c r="S525" s="929"/>
      <c r="T525" s="929">
        <f>'matrik MISI 1'!V66</f>
        <v>90</v>
      </c>
      <c r="U525" s="929"/>
      <c r="V525" s="929">
        <f>'matrik MISI 1'!W66</f>
        <v>90</v>
      </c>
      <c r="W525" s="929"/>
      <c r="X525" s="929" t="str">
        <f>'matrik MISI 1'!X66</f>
        <v>KKP</v>
      </c>
      <c r="Y525" s="164" t="str">
        <f>'matrik MISI 1'!Y66</f>
        <v xml:space="preserve">jumlah sampel aman dibagi jumlah sampel yang dianalisa kali 100% </v>
      </c>
      <c r="Z525" s="164" t="str">
        <f>'matrik MISI 1'!Z66</f>
        <v>sudah jelas</v>
      </c>
    </row>
    <row r="526" spans="2:30" ht="30">
      <c r="B526" s="940"/>
      <c r="C526" s="941"/>
      <c r="D526" s="940"/>
      <c r="E526" s="940"/>
      <c r="F526" s="940"/>
      <c r="G526" s="940"/>
      <c r="H526" s="164" t="str">
        <f>'matrik MISI 1'!N67</f>
        <v>Besaran Desa Mandiri Pangan</v>
      </c>
      <c r="I526" s="164" t="str">
        <f>'matrik MISI 1'!O67</f>
        <v>Desa</v>
      </c>
      <c r="J526" s="929">
        <f>'matrik MISI 1'!P67</f>
        <v>6</v>
      </c>
      <c r="K526" s="929">
        <f>'matrik MISI 1'!Q67</f>
        <v>8</v>
      </c>
      <c r="L526" s="929">
        <f>'matrik MISI 1'!R67</f>
        <v>8</v>
      </c>
      <c r="M526" s="961"/>
      <c r="N526" s="929">
        <f>'matrik MISI 1'!S67</f>
        <v>9</v>
      </c>
      <c r="O526" s="929"/>
      <c r="P526" s="929">
        <f>'matrik MISI 1'!T67</f>
        <v>9</v>
      </c>
      <c r="Q526" s="929"/>
      <c r="R526" s="929">
        <f>'matrik MISI 1'!U67</f>
        <v>10</v>
      </c>
      <c r="S526" s="929"/>
      <c r="T526" s="929">
        <f>'matrik MISI 1'!V67</f>
        <v>10</v>
      </c>
      <c r="U526" s="929"/>
      <c r="V526" s="929">
        <f>'matrik MISI 1'!W67</f>
        <v>10</v>
      </c>
      <c r="W526" s="929"/>
      <c r="X526" s="929" t="str">
        <f>'matrik MISI 1'!X67</f>
        <v>KKP</v>
      </c>
      <c r="Y526" s="164" t="str">
        <f>'matrik MISI 1'!Y67</f>
        <v>jumlah desa mandiri pangan</v>
      </c>
      <c r="Z526" s="164">
        <f>'matrik MISI 1'!Z67</f>
        <v>0</v>
      </c>
    </row>
    <row r="527" spans="2:30" ht="45">
      <c r="B527" s="940"/>
      <c r="C527" s="941"/>
      <c r="D527" s="940"/>
      <c r="E527" s="940"/>
      <c r="F527" s="940"/>
      <c r="G527" s="940"/>
      <c r="H527" s="164" t="str">
        <f>'matrik MISI 1'!N68</f>
        <v>Besaran percepatan penganekaragaman konsumsi pangan</v>
      </c>
      <c r="I527" s="164" t="str">
        <f>'matrik MISI 1'!O68</f>
        <v>lokasi</v>
      </c>
      <c r="J527" s="929" t="str">
        <f>'matrik MISI 1'!P68</f>
        <v>-</v>
      </c>
      <c r="K527" s="929">
        <f>'matrik MISI 1'!Q68</f>
        <v>2</v>
      </c>
      <c r="L527" s="929">
        <f>'matrik MISI 1'!R68</f>
        <v>3</v>
      </c>
      <c r="M527" s="961"/>
      <c r="N527" s="929">
        <f>'matrik MISI 1'!S68</f>
        <v>4</v>
      </c>
      <c r="O527" s="929"/>
      <c r="P527" s="929">
        <f>'matrik MISI 1'!T68</f>
        <v>4</v>
      </c>
      <c r="Q527" s="929"/>
      <c r="R527" s="929">
        <f>'matrik MISI 1'!U68</f>
        <v>5</v>
      </c>
      <c r="S527" s="929"/>
      <c r="T527" s="929">
        <f>'matrik MISI 1'!V68</f>
        <v>5</v>
      </c>
      <c r="U527" s="929"/>
      <c r="V527" s="929">
        <f>'matrik MISI 1'!W68</f>
        <v>5</v>
      </c>
      <c r="W527" s="929"/>
      <c r="X527" s="929" t="str">
        <f>'matrik MISI 1'!X68</f>
        <v>KKP</v>
      </c>
      <c r="Y527" s="164" t="str">
        <f>'matrik MISI 1'!Y68</f>
        <v>jumlah lokasi pengembangan</v>
      </c>
      <c r="Z527" s="164">
        <f>'matrik MISI 1'!Z68</f>
        <v>0</v>
      </c>
    </row>
    <row r="528" spans="2:30" ht="90">
      <c r="B528" s="940"/>
      <c r="C528" s="941"/>
      <c r="D528" s="940"/>
      <c r="E528" s="940"/>
      <c r="F528" s="940"/>
      <c r="G528" s="940"/>
      <c r="H528" s="164" t="str">
        <f>'matrik MISI 1'!N69</f>
        <v>Persentase Ketersediaan Informasi Pasokan,  Harga, dan Akses Pangan</v>
      </c>
      <c r="I528" s="164" t="str">
        <f>'matrik MISI 1'!O69</f>
        <v>%</v>
      </c>
      <c r="J528" s="929">
        <f>'matrik MISI 1'!P69</f>
        <v>66.67</v>
      </c>
      <c r="K528" s="929">
        <f>'matrik MISI 1'!Q69</f>
        <v>66.67</v>
      </c>
      <c r="L528" s="929">
        <f>'matrik MISI 1'!R69</f>
        <v>70</v>
      </c>
      <c r="M528" s="961"/>
      <c r="N528" s="929">
        <f>'matrik MISI 1'!S69</f>
        <v>90</v>
      </c>
      <c r="O528" s="929"/>
      <c r="P528" s="929">
        <f>'matrik MISI 1'!T69</f>
        <v>95</v>
      </c>
      <c r="Q528" s="929"/>
      <c r="R528" s="929">
        <f>'matrik MISI 1'!U69</f>
        <v>100</v>
      </c>
      <c r="S528" s="929"/>
      <c r="T528" s="929">
        <f>'matrik MISI 1'!V69</f>
        <v>100</v>
      </c>
      <c r="U528" s="929"/>
      <c r="V528" s="929">
        <f>'matrik MISI 1'!W69</f>
        <v>100</v>
      </c>
      <c r="W528" s="929"/>
      <c r="X528" s="929" t="str">
        <f>'matrik MISI 1'!X69</f>
        <v>KKP</v>
      </c>
      <c r="Y528" s="164" t="str">
        <f>'matrik MISI 1'!Y69</f>
        <v>Jumlah komoditas yang tersedia informasinya dibagi jumlah komoditas yang ditargetkan kali 100%</v>
      </c>
      <c r="Z528" s="164">
        <f>'matrik MISI 1'!Z69</f>
        <v>0</v>
      </c>
    </row>
    <row r="529" spans="2:30" ht="45">
      <c r="B529" s="949">
        <v>22</v>
      </c>
      <c r="C529" s="948" t="str">
        <f>'matrik MISI 2'!B43</f>
        <v>PEMBERDAYAAN MASYARAKAT DAN DESA</v>
      </c>
      <c r="D529" s="949">
        <f>'matrik MISI 2'!J44</f>
        <v>1.22</v>
      </c>
      <c r="E529" s="949" t="str">
        <f>'matrik MISI 2'!K44</f>
        <v>xx</v>
      </c>
      <c r="F529" s="949">
        <f>'matrik MISI 2'!L44</f>
        <v>22</v>
      </c>
      <c r="G529" s="949" t="str">
        <f>'matrik MISI 2'!M44</f>
        <v>Program Peningkatan Ketahanan Masyarakat Desa</v>
      </c>
      <c r="H529" s="164"/>
      <c r="I529" s="164"/>
      <c r="J529" s="929"/>
      <c r="K529" s="929"/>
      <c r="L529" s="929"/>
      <c r="M529" s="961">
        <f>'jangan di hapus 1'!K1169</f>
        <v>194000000</v>
      </c>
      <c r="N529" s="961"/>
      <c r="O529" s="961">
        <f>'jangan di hapus 1'!M1169</f>
        <v>194000000</v>
      </c>
      <c r="P529" s="961"/>
      <c r="Q529" s="961">
        <f>'jangan di hapus 1'!O1169</f>
        <v>194000000</v>
      </c>
      <c r="R529" s="961"/>
      <c r="S529" s="961">
        <f>'jangan di hapus 1'!Q1169</f>
        <v>194000000</v>
      </c>
      <c r="T529" s="961"/>
      <c r="U529" s="961">
        <f>'jangan di hapus 1'!S1169</f>
        <v>194000000</v>
      </c>
      <c r="V529" s="961"/>
      <c r="W529" s="961">
        <f>SUM(M529:U529)</f>
        <v>970000000</v>
      </c>
      <c r="X529" s="929"/>
      <c r="Y529" s="164"/>
      <c r="Z529" s="164"/>
    </row>
    <row r="530" spans="2:30" ht="45">
      <c r="B530" s="939"/>
      <c r="C530" s="939"/>
      <c r="D530" s="939"/>
      <c r="E530" s="939"/>
      <c r="F530" s="939"/>
      <c r="G530" s="939"/>
      <c r="H530" s="164" t="str">
        <f>'matrik MISI 2'!N44</f>
        <v xml:space="preserve">Cakupan peningkatan klasifikasi tipe desa </v>
      </c>
      <c r="I530" s="164" t="str">
        <f>'matrik MISI 2'!O44</f>
        <v>%</v>
      </c>
      <c r="J530" s="929" t="str">
        <f>'matrik MISI 2'!P44</f>
        <v>n.a</v>
      </c>
      <c r="K530" s="929" t="str">
        <f>'matrik MISI 2'!Q44</f>
        <v>n.a</v>
      </c>
      <c r="L530" s="929">
        <f>'matrik MISI 2'!R44</f>
        <v>10</v>
      </c>
      <c r="M530" s="961"/>
      <c r="N530" s="929">
        <f>'matrik MISI 2'!S44</f>
        <v>15</v>
      </c>
      <c r="O530" s="929"/>
      <c r="P530" s="929">
        <f>'matrik MISI 2'!T44</f>
        <v>20</v>
      </c>
      <c r="Q530" s="929"/>
      <c r="R530" s="929">
        <f>'matrik MISI 2'!U44</f>
        <v>25</v>
      </c>
      <c r="S530" s="929"/>
      <c r="T530" s="929">
        <f>'matrik MISI 2'!V44</f>
        <v>30</v>
      </c>
      <c r="U530" s="929"/>
      <c r="V530" s="929">
        <f>'matrik MISI 2'!W44</f>
        <v>30</v>
      </c>
      <c r="W530" s="929"/>
      <c r="X530" s="929" t="str">
        <f>'matrik MISI 2'!X44</f>
        <v>BAPERMADES</v>
      </c>
      <c r="Y530" s="164" t="str">
        <f>'matrik MISI 2'!Y44</f>
        <v>Jumlah peningkatan klasifikasi desa dibagi Jumlah Desa x 100</v>
      </c>
      <c r="Z530" s="164">
        <f>'matrik MISI 2'!Z44</f>
        <v>0</v>
      </c>
    </row>
    <row r="531" spans="2:30" ht="60" hidden="1">
      <c r="B531" s="940"/>
      <c r="C531" s="941"/>
      <c r="D531" s="940">
        <f>'matrik MISI 2'!J45</f>
        <v>1.22</v>
      </c>
      <c r="E531" s="940" t="str">
        <f>'matrik MISI 2'!K45</f>
        <v>xx</v>
      </c>
      <c r="F531" s="940">
        <f>'matrik MISI 2'!L45</f>
        <v>17</v>
      </c>
      <c r="G531" s="940" t="str">
        <f>'matrik MISI 2'!M45</f>
        <v>Program Peningkatan Partisipasi Masyarakat dalam Membangun Desa/Kelurahan</v>
      </c>
      <c r="H531" s="164"/>
      <c r="I531" s="164"/>
      <c r="J531" s="929"/>
      <c r="K531" s="929"/>
      <c r="L531" s="929"/>
      <c r="M531" s="961">
        <f>'jangan di hapus 1'!K1156</f>
        <v>9587000000</v>
      </c>
      <c r="N531" s="961"/>
      <c r="O531" s="961">
        <f>'jangan di hapus 1'!M1156</f>
        <v>9567500000</v>
      </c>
      <c r="P531" s="961"/>
      <c r="Q531" s="961">
        <f>'jangan di hapus 1'!O1156</f>
        <v>9567500000</v>
      </c>
      <c r="R531" s="961"/>
      <c r="S531" s="961">
        <f>'jangan di hapus 1'!Q1156</f>
        <v>9567500000</v>
      </c>
      <c r="T531" s="961"/>
      <c r="U531" s="961">
        <f>'jangan di hapus 1'!S1156</f>
        <v>9567500000</v>
      </c>
      <c r="V531" s="929"/>
      <c r="W531" s="961">
        <f>SUM(M531:U531)</f>
        <v>47857000000</v>
      </c>
      <c r="X531" s="929"/>
      <c r="Y531" s="164"/>
      <c r="Z531" s="164"/>
    </row>
    <row r="532" spans="2:30" ht="105">
      <c r="B532" s="940"/>
      <c r="C532" s="941"/>
      <c r="D532" s="939"/>
      <c r="E532" s="939"/>
      <c r="F532" s="939"/>
      <c r="G532" s="939"/>
      <c r="H532" s="164" t="str">
        <f>'matrik MISI 2'!N45</f>
        <v xml:space="preserve">Cakupan Perencanaan Pembangunan Desa yang Partisipatif </v>
      </c>
      <c r="I532" s="164" t="str">
        <f>'matrik MISI 2'!O45</f>
        <v>%</v>
      </c>
      <c r="J532" s="929">
        <f>'matrik MISI 2'!P45</f>
        <v>100</v>
      </c>
      <c r="K532" s="929">
        <f>'matrik MISI 2'!Q45</f>
        <v>100</v>
      </c>
      <c r="L532" s="929">
        <f>'matrik MISI 2'!R45</f>
        <v>100</v>
      </c>
      <c r="M532" s="961"/>
      <c r="N532" s="929">
        <f>'matrik MISI 2'!S45</f>
        <v>100</v>
      </c>
      <c r="O532" s="929"/>
      <c r="P532" s="929">
        <f>'matrik MISI 2'!T45</f>
        <v>100</v>
      </c>
      <c r="Q532" s="929"/>
      <c r="R532" s="929">
        <f>'matrik MISI 2'!U45</f>
        <v>100</v>
      </c>
      <c r="S532" s="929"/>
      <c r="T532" s="929">
        <f>'matrik MISI 2'!V45</f>
        <v>100</v>
      </c>
      <c r="U532" s="929"/>
      <c r="V532" s="929">
        <f>'matrik MISI 2'!W45</f>
        <v>100</v>
      </c>
      <c r="W532" s="929"/>
      <c r="X532" s="929" t="str">
        <f>'matrik MISI 2'!X45</f>
        <v>BAPERMADES</v>
      </c>
      <c r="Y532" s="164" t="str">
        <f>'matrik MISI 2'!Y45</f>
        <v>Jumlah Desa yang melaksanakan perencanaan pembangunan desa secara partisipatif dibagi jumlah desa x 100</v>
      </c>
      <c r="Z532" s="164" t="str">
        <f>'matrik MISI 2'!Z45</f>
        <v>Perencanaan Partisipatif adalah melibatkan seluruh kelembagaan dan perwakilan masyarakat yang ada di Desa.</v>
      </c>
    </row>
    <row r="533" spans="2:30" ht="90">
      <c r="B533" s="940"/>
      <c r="C533" s="941"/>
      <c r="D533" s="940"/>
      <c r="E533" s="940"/>
      <c r="F533" s="940"/>
      <c r="G533" s="940"/>
      <c r="H533" s="164" t="str">
        <f>'matrik MISI 2'!N50</f>
        <v>Persentase Partisipasi Rumah Tangga Sasaran dalam Musyawarah Perencanaan Pembangunan Desa</v>
      </c>
      <c r="I533" s="164" t="str">
        <f>'matrik MISI 2'!O50</f>
        <v>%</v>
      </c>
      <c r="J533" s="929">
        <f>'matrik MISI 2'!P50</f>
        <v>20</v>
      </c>
      <c r="K533" s="929">
        <f>'matrik MISI 2'!Q50</f>
        <v>20</v>
      </c>
      <c r="L533" s="929">
        <f>'matrik MISI 2'!R50</f>
        <v>20</v>
      </c>
      <c r="M533" s="961"/>
      <c r="N533" s="929">
        <f>'matrik MISI 2'!S50</f>
        <v>20</v>
      </c>
      <c r="O533" s="929"/>
      <c r="P533" s="929">
        <f>'matrik MISI 2'!T50</f>
        <v>20</v>
      </c>
      <c r="Q533" s="929"/>
      <c r="R533" s="929">
        <f>'matrik MISI 2'!U50</f>
        <v>20</v>
      </c>
      <c r="S533" s="929"/>
      <c r="T533" s="929">
        <f>'matrik MISI 2'!V50</f>
        <v>20</v>
      </c>
      <c r="U533" s="929"/>
      <c r="V533" s="929">
        <f>'matrik MISI 2'!W50</f>
        <v>20</v>
      </c>
      <c r="W533" s="929"/>
      <c r="X533" s="929" t="str">
        <f>'matrik MISI 2'!X50</f>
        <v>BAPERMADES</v>
      </c>
      <c r="Y533" s="164" t="str">
        <f>'matrik MISI 2'!Y50</f>
        <v>Jumlah Rumah Tangga Sasaran  yang hadir pada Musrenbang Desa dibagi Jumlah Rumah Tangga Sasaran x 100</v>
      </c>
      <c r="Z533" s="164">
        <f>'matrik MISI 2'!Z50</f>
        <v>0</v>
      </c>
    </row>
    <row r="534" spans="2:30" ht="45" hidden="1">
      <c r="B534" s="940"/>
      <c r="C534" s="941"/>
      <c r="D534" s="940">
        <f>'matrik MISI 2'!J46</f>
        <v>1.22</v>
      </c>
      <c r="E534" s="940" t="str">
        <f>'matrik MISI 2'!K46</f>
        <v>xx</v>
      </c>
      <c r="F534" s="940">
        <f>'matrik MISI 2'!L46</f>
        <v>16</v>
      </c>
      <c r="G534" s="940" t="str">
        <f>'matrik MISI 2'!M46</f>
        <v>Program Pengembangan Lembaga Ekonomi Pedesaan</v>
      </c>
      <c r="H534" s="164"/>
      <c r="I534" s="164"/>
      <c r="J534" s="929"/>
      <c r="K534" s="929"/>
      <c r="L534" s="929"/>
      <c r="M534" s="961">
        <f>'jangan di hapus 1'!K1153</f>
        <v>146500000</v>
      </c>
      <c r="N534" s="961"/>
      <c r="O534" s="961">
        <f>'jangan di hapus 1'!M1153</f>
        <v>153000000</v>
      </c>
      <c r="P534" s="961"/>
      <c r="Q534" s="961">
        <f>'jangan di hapus 1'!O1153</f>
        <v>167500000</v>
      </c>
      <c r="R534" s="961"/>
      <c r="S534" s="961">
        <f>'jangan di hapus 1'!Q1153</f>
        <v>167500000</v>
      </c>
      <c r="T534" s="961"/>
      <c r="U534" s="961">
        <f>'jangan di hapus 1'!S1153</f>
        <v>167500000</v>
      </c>
      <c r="V534" s="929"/>
      <c r="W534" s="961">
        <f>SUM(M534:U534)</f>
        <v>802000000</v>
      </c>
      <c r="X534" s="929"/>
      <c r="Y534" s="164"/>
      <c r="Z534" s="164"/>
    </row>
    <row r="535" spans="2:30" ht="90">
      <c r="B535" s="940"/>
      <c r="C535" s="941"/>
      <c r="D535" s="939"/>
      <c r="E535" s="939"/>
      <c r="F535" s="939"/>
      <c r="G535" s="939"/>
      <c r="H535" s="164" t="str">
        <f>'matrik MISI 2'!N46</f>
        <v xml:space="preserve">Cakupan Lembaga Ekonomi Masyarakat Desa yang Aktif ( BUMDes, Pasar Desa , UED-SP, Lumbung Pangan ) </v>
      </c>
      <c r="I535" s="164" t="str">
        <f>'matrik MISI 2'!O46</f>
        <v>%</v>
      </c>
      <c r="J535" s="929">
        <f>'matrik MISI 2'!P46</f>
        <v>12</v>
      </c>
      <c r="K535" s="929">
        <f>'matrik MISI 2'!Q46</f>
        <v>12</v>
      </c>
      <c r="L535" s="929">
        <f>'matrik MISI 2'!R46</f>
        <v>28</v>
      </c>
      <c r="M535" s="961"/>
      <c r="N535" s="929">
        <f>'matrik MISI 2'!S46</f>
        <v>34</v>
      </c>
      <c r="O535" s="929"/>
      <c r="P535" s="929">
        <f>'matrik MISI 2'!T46</f>
        <v>50</v>
      </c>
      <c r="Q535" s="929"/>
      <c r="R535" s="929">
        <f>'matrik MISI 2'!U46</f>
        <v>65</v>
      </c>
      <c r="S535" s="929"/>
      <c r="T535" s="929">
        <f>'matrik MISI 2'!V46</f>
        <v>80</v>
      </c>
      <c r="U535" s="929"/>
      <c r="V535" s="929">
        <f>'matrik MISI 2'!W46</f>
        <v>80</v>
      </c>
      <c r="W535" s="929"/>
      <c r="X535" s="929" t="str">
        <f>'matrik MISI 2'!X46</f>
        <v>BAPERMADES</v>
      </c>
      <c r="Y535" s="164" t="str">
        <f>'matrik MISI 2'!Y46</f>
        <v>Jumlah lembaga ekonomi masyarakat desa yang aktif dibagi jumlah lembaga ekonomi masyarakat desa yang ada x 100</v>
      </c>
      <c r="Z535" s="164">
        <f>'matrik MISI 2'!Z46</f>
        <v>0</v>
      </c>
    </row>
    <row r="536" spans="2:30" ht="45" hidden="1">
      <c r="B536" s="940"/>
      <c r="C536" s="941"/>
      <c r="D536" s="940">
        <f>'matrik MISI 2'!J47</f>
        <v>1.22</v>
      </c>
      <c r="E536" s="940" t="str">
        <f>'matrik MISI 2'!K47</f>
        <v>xx</v>
      </c>
      <c r="F536" s="940">
        <f>'matrik MISI 2'!L47</f>
        <v>15</v>
      </c>
      <c r="G536" s="940" t="str">
        <f>'matrik MISI 2'!M47</f>
        <v>Program Peningkatan Keberdayaan Masyarakat Desa</v>
      </c>
      <c r="H536" s="164"/>
      <c r="I536" s="164"/>
      <c r="J536" s="929"/>
      <c r="K536" s="929"/>
      <c r="L536" s="929"/>
      <c r="M536" s="961">
        <f>'jangan di hapus 1'!K1140</f>
        <v>3752000000</v>
      </c>
      <c r="N536" s="961"/>
      <c r="O536" s="961">
        <f>'jangan di hapus 1'!M1140</f>
        <v>1374000000</v>
      </c>
      <c r="P536" s="961"/>
      <c r="Q536" s="961">
        <f>'jangan di hapus 1'!O1140</f>
        <v>1394200000</v>
      </c>
      <c r="R536" s="961"/>
      <c r="S536" s="961">
        <f>'jangan di hapus 1'!Q1140</f>
        <v>1437920000</v>
      </c>
      <c r="T536" s="961"/>
      <c r="U536" s="961">
        <f>'jangan di hapus 1'!S1140</f>
        <v>1480512000</v>
      </c>
      <c r="V536" s="961"/>
      <c r="W536" s="961">
        <f>SUM(M536:U536)</f>
        <v>9438632000</v>
      </c>
      <c r="X536" s="929"/>
      <c r="Y536" s="164"/>
      <c r="Z536" s="164"/>
    </row>
    <row r="537" spans="2:30" ht="90">
      <c r="B537" s="940"/>
      <c r="C537" s="941"/>
      <c r="D537" s="940"/>
      <c r="E537" s="940"/>
      <c r="F537" s="940"/>
      <c r="G537" s="940"/>
      <c r="H537" s="164" t="str">
        <f>'matrik MISI 2'!N48</f>
        <v>Cakupan Pemberdayaan masyarakat dalam Teknologi Tepat Guna</v>
      </c>
      <c r="I537" s="164" t="str">
        <f>'matrik MISI 2'!O48</f>
        <v>%</v>
      </c>
      <c r="J537" s="929">
        <f>'matrik MISI 2'!P48</f>
        <v>5</v>
      </c>
      <c r="K537" s="929">
        <f>'matrik MISI 2'!Q48</f>
        <v>9</v>
      </c>
      <c r="L537" s="929">
        <f>'matrik MISI 2'!R48</f>
        <v>14</v>
      </c>
      <c r="M537" s="961"/>
      <c r="N537" s="929">
        <f>'matrik MISI 2'!S48</f>
        <v>19</v>
      </c>
      <c r="O537" s="929"/>
      <c r="P537" s="929">
        <f>'matrik MISI 2'!T48</f>
        <v>23</v>
      </c>
      <c r="Q537" s="929"/>
      <c r="R537" s="929">
        <f>'matrik MISI 2'!U48</f>
        <v>28</v>
      </c>
      <c r="S537" s="929"/>
      <c r="T537" s="929">
        <f>'matrik MISI 2'!V48</f>
        <v>33</v>
      </c>
      <c r="U537" s="929"/>
      <c r="V537" s="929">
        <f>'matrik MISI 2'!W48</f>
        <v>37</v>
      </c>
      <c r="W537" s="929"/>
      <c r="X537" s="929" t="str">
        <f>'matrik MISI 2'!X48</f>
        <v>BAPERMADES</v>
      </c>
      <c r="Y537" s="164" t="str">
        <f>'matrik MISI 2'!Y48</f>
        <v>Jumlah kelompok yang menerapkan  Teknologi Tepat Guna dibagi jumlah kelompok TTG yang ada x 100</v>
      </c>
      <c r="Z537" s="164">
        <f>'matrik MISI 2'!Z48</f>
        <v>0</v>
      </c>
    </row>
    <row r="538" spans="2:30" ht="60">
      <c r="B538" s="940"/>
      <c r="C538" s="941"/>
      <c r="D538" s="940"/>
      <c r="E538" s="940"/>
      <c r="F538" s="940"/>
      <c r="G538" s="940"/>
      <c r="H538" s="164" t="str">
        <f>'matrik MISI 2'!N49</f>
        <v xml:space="preserve">Cakupan bantuan Rumah Layak Huni bagi Rumah Tangga Sasaran </v>
      </c>
      <c r="I538" s="164" t="str">
        <f>'matrik MISI 2'!O49</f>
        <v>%</v>
      </c>
      <c r="J538" s="929">
        <f>'matrik MISI 2'!P49</f>
        <v>0.12</v>
      </c>
      <c r="K538" s="929">
        <f>'matrik MISI 2'!Q49</f>
        <v>0.24</v>
      </c>
      <c r="L538" s="929">
        <f>'matrik MISI 2'!R49</f>
        <v>0.26</v>
      </c>
      <c r="M538" s="961"/>
      <c r="N538" s="929">
        <f>'matrik MISI 2'!S49</f>
        <v>0.26</v>
      </c>
      <c r="O538" s="929"/>
      <c r="P538" s="929">
        <f>'matrik MISI 2'!T49</f>
        <v>0.26</v>
      </c>
      <c r="Q538" s="929"/>
      <c r="R538" s="929">
        <f>'matrik MISI 2'!U49</f>
        <v>0.26</v>
      </c>
      <c r="S538" s="929"/>
      <c r="T538" s="929">
        <f>'matrik MISI 2'!V49</f>
        <v>1.26</v>
      </c>
      <c r="U538" s="929"/>
      <c r="V538" s="929">
        <f>'matrik MISI 2'!W49</f>
        <v>1.35</v>
      </c>
      <c r="W538" s="929"/>
      <c r="X538" s="929" t="str">
        <f>'matrik MISI 2'!X49</f>
        <v>BAPERMADES</v>
      </c>
      <c r="Y538" s="164" t="str">
        <f>'matrik MISI 2'!Y49</f>
        <v>Jumlah  bantuan Rumah Layak Huni dibagi jumlah rumah tangga sasaran x 100</v>
      </c>
      <c r="Z538" s="164" t="str">
        <f>'matrik MISI 2'!Z49</f>
        <v>Rumah tangga sasaran adalah rumah tangga yang mempunyai rumah tipe B dan C</v>
      </c>
    </row>
    <row r="539" spans="2:30" ht="45" hidden="1">
      <c r="B539" s="940"/>
      <c r="C539" s="941"/>
      <c r="D539" s="940">
        <f>'matrik MISI 2'!J51</f>
        <v>1.22</v>
      </c>
      <c r="E539" s="940" t="str">
        <f>'matrik MISI 2'!K51</f>
        <v>xx</v>
      </c>
      <c r="F539" s="940">
        <f>'matrik MISI 2'!L51</f>
        <v>18</v>
      </c>
      <c r="G539" s="940" t="str">
        <f>'matrik MISI 2'!M51</f>
        <v>Program Peningkatan Kapasitas Aparatur Pemerintah Desa</v>
      </c>
      <c r="H539" s="164"/>
      <c r="I539" s="164"/>
      <c r="J539" s="929"/>
      <c r="K539" s="929"/>
      <c r="L539" s="929"/>
      <c r="M539" s="961">
        <f>'jangan di hapus 1'!K1165</f>
        <v>180000000</v>
      </c>
      <c r="N539" s="961"/>
      <c r="O539" s="961">
        <f>'jangan di hapus 1'!M1165</f>
        <v>182500000</v>
      </c>
      <c r="P539" s="961"/>
      <c r="Q539" s="961">
        <f>'jangan di hapus 1'!O1165</f>
        <v>115000000</v>
      </c>
      <c r="R539" s="961"/>
      <c r="S539" s="961">
        <f>'jangan di hapus 1'!Q1165</f>
        <v>137500000</v>
      </c>
      <c r="T539" s="961"/>
      <c r="U539" s="961">
        <f>'jangan di hapus 1'!S1165</f>
        <v>90000000</v>
      </c>
      <c r="V539" s="961"/>
      <c r="W539" s="961">
        <f>SUM(M539:U539)</f>
        <v>705000000</v>
      </c>
      <c r="X539" s="929"/>
      <c r="Y539" s="1016"/>
      <c r="Z539" s="1016"/>
    </row>
    <row r="540" spans="2:30" ht="105">
      <c r="B540" s="950"/>
      <c r="C540" s="951"/>
      <c r="D540" s="942"/>
      <c r="E540" s="942"/>
      <c r="F540" s="942"/>
      <c r="G540" s="942"/>
      <c r="H540" s="164" t="str">
        <f>'matrik MISI 2'!N51</f>
        <v>Cakupan Penyusunan Profil Desa/Kelurahan</v>
      </c>
      <c r="I540" s="164" t="str">
        <f>'matrik MISI 2'!O51</f>
        <v>%</v>
      </c>
      <c r="J540" s="929">
        <f>'matrik MISI 2'!P51</f>
        <v>0</v>
      </c>
      <c r="K540" s="929">
        <f>'matrik MISI 2'!Q51</f>
        <v>48</v>
      </c>
      <c r="L540" s="929">
        <f>'matrik MISI 2'!R51</f>
        <v>69</v>
      </c>
      <c r="M540" s="961"/>
      <c r="N540" s="929">
        <f>'matrik MISI 2'!S51</f>
        <v>87</v>
      </c>
      <c r="O540" s="929"/>
      <c r="P540" s="929">
        <f>'matrik MISI 2'!T51</f>
        <v>100</v>
      </c>
      <c r="Q540" s="929"/>
      <c r="R540" s="929">
        <f>'matrik MISI 2'!U51</f>
        <v>100</v>
      </c>
      <c r="S540" s="929"/>
      <c r="T540" s="929">
        <f>'matrik MISI 2'!V51</f>
        <v>100</v>
      </c>
      <c r="U540" s="929"/>
      <c r="V540" s="929">
        <f>'matrik MISI 2'!W51</f>
        <v>100</v>
      </c>
      <c r="W540" s="929"/>
      <c r="X540" s="929" t="str">
        <f>'matrik MISI 2'!X51</f>
        <v>BAPERMADES</v>
      </c>
      <c r="Y540" s="164" t="str">
        <f>'matrik MISI 2'!Y51</f>
        <v>Jumlah Desa dan Kelurahan yang telah menyusun profil secara lengkap dan benar dibagi Jumlah Desa dan Kelurahan x 100</v>
      </c>
      <c r="Z540" s="164">
        <f>'matrik MISI 2'!Z51</f>
        <v>0</v>
      </c>
    </row>
    <row r="541" spans="2:30" ht="45">
      <c r="B541" s="949">
        <v>24</v>
      </c>
      <c r="C541" s="948" t="str">
        <f>'matrik MISI 6'!B74</f>
        <v>KEARSIPAN</v>
      </c>
      <c r="D541" s="949">
        <f>'matrik MISI 6'!J75</f>
        <v>1.24</v>
      </c>
      <c r="E541" s="949" t="str">
        <f>'matrik MISI 6'!K75</f>
        <v>xx</v>
      </c>
      <c r="F541" s="949">
        <f>'matrik MISI 6'!L75</f>
        <v>15</v>
      </c>
      <c r="G541" s="949" t="str">
        <f>'matrik MISI 6'!M75</f>
        <v>Program Perbaikan Sistem Administrasi Kearsipan Daerah</v>
      </c>
      <c r="H541" s="164"/>
      <c r="I541" s="164"/>
      <c r="J541" s="929"/>
      <c r="K541" s="929"/>
      <c r="L541" s="929"/>
      <c r="M541" s="961">
        <f>'jangan di hapus 1'!K1182</f>
        <v>80000000</v>
      </c>
      <c r="N541" s="961">
        <f>'jangan di hapus 1'!L1182</f>
        <v>0</v>
      </c>
      <c r="O541" s="961">
        <f>'jangan di hapus 1'!M1182</f>
        <v>80000000</v>
      </c>
      <c r="P541" s="961">
        <f>'jangan di hapus 1'!N1182</f>
        <v>0</v>
      </c>
      <c r="Q541" s="961">
        <f>'jangan di hapus 1'!O1182</f>
        <v>80000000</v>
      </c>
      <c r="R541" s="961">
        <f>'jangan di hapus 1'!P1182</f>
        <v>0</v>
      </c>
      <c r="S541" s="961">
        <f>'jangan di hapus 1'!Q1182</f>
        <v>80000000</v>
      </c>
      <c r="T541" s="961">
        <f>'jangan di hapus 1'!R1182</f>
        <v>0</v>
      </c>
      <c r="U541" s="961">
        <f>'jangan di hapus 1'!S1182</f>
        <v>80000000</v>
      </c>
      <c r="V541" s="961"/>
      <c r="W541" s="961">
        <f>SUM(M541:U541)</f>
        <v>400000000</v>
      </c>
      <c r="X541" s="961"/>
      <c r="Y541" s="889"/>
      <c r="Z541" s="889"/>
      <c r="AA541" s="677"/>
      <c r="AB541" s="677"/>
      <c r="AC541" s="677"/>
      <c r="AD541" s="677"/>
    </row>
    <row r="542" spans="2:30" ht="45" hidden="1">
      <c r="B542" s="940"/>
      <c r="C542" s="941"/>
      <c r="D542" s="940">
        <f>'matrik MISI 6'!J76</f>
        <v>1.24</v>
      </c>
      <c r="E542" s="940" t="str">
        <f>'matrik MISI 6'!K76</f>
        <v>xx</v>
      </c>
      <c r="F542" s="940">
        <f>'matrik MISI 6'!L76</f>
        <v>16</v>
      </c>
      <c r="G542" s="940" t="str">
        <f>'matrik MISI 6'!M76</f>
        <v>Program Penyelamatan dan Pelestarian Dokumen/Arsip Daerah</v>
      </c>
      <c r="H542" s="164"/>
      <c r="I542" s="164"/>
      <c r="J542" s="929"/>
      <c r="K542" s="929"/>
      <c r="L542" s="929"/>
      <c r="M542" s="961">
        <f>'jangan di hapus 1'!K1185</f>
        <v>50000000</v>
      </c>
      <c r="N542" s="961"/>
      <c r="O542" s="961">
        <f>'jangan di hapus 1'!M1185</f>
        <v>90000000</v>
      </c>
      <c r="P542" s="961"/>
      <c r="Q542" s="961">
        <f>'jangan di hapus 1'!O1185</f>
        <v>40000000</v>
      </c>
      <c r="R542" s="961"/>
      <c r="S542" s="961">
        <f>'jangan di hapus 1'!Q1185</f>
        <v>95000000</v>
      </c>
      <c r="T542" s="961"/>
      <c r="U542" s="961">
        <f>'jangan di hapus 1'!S1185</f>
        <v>40000000</v>
      </c>
      <c r="V542" s="961"/>
      <c r="W542" s="961">
        <f>SUM(M542:U542)</f>
        <v>315000000</v>
      </c>
      <c r="X542" s="961"/>
      <c r="Y542" s="889"/>
      <c r="Z542" s="889"/>
      <c r="AA542" s="677"/>
      <c r="AB542" s="677"/>
      <c r="AC542" s="677"/>
    </row>
    <row r="543" spans="2:30" ht="45" hidden="1">
      <c r="B543" s="940"/>
      <c r="C543" s="941"/>
      <c r="D543" s="940">
        <f>'matrik MISI 6'!J77</f>
        <v>1.24</v>
      </c>
      <c r="E543" s="940" t="str">
        <f>'matrik MISI 6'!K77</f>
        <v>xx</v>
      </c>
      <c r="F543" s="940">
        <f>'matrik MISI 6'!L77</f>
        <v>17</v>
      </c>
      <c r="G543" s="940" t="str">
        <f>'matrik MISI 6'!M77</f>
        <v>Program Pemeliharaan Rutin/Berkala Sarana dan Prasarana Kearsipan</v>
      </c>
      <c r="H543" s="164"/>
      <c r="I543" s="164"/>
      <c r="J543" s="929"/>
      <c r="K543" s="929"/>
      <c r="L543" s="929"/>
      <c r="M543" s="961">
        <f>'jangan di hapus 1'!K1186</f>
        <v>4200000</v>
      </c>
      <c r="N543" s="961">
        <f>'jangan di hapus 1'!L1186</f>
        <v>0</v>
      </c>
      <c r="O543" s="961">
        <f>'jangan di hapus 1'!M1186</f>
        <v>4200000</v>
      </c>
      <c r="P543" s="961">
        <f>'jangan di hapus 1'!N1186</f>
        <v>0</v>
      </c>
      <c r="Q543" s="961">
        <f>'jangan di hapus 1'!O1186</f>
        <v>4200000</v>
      </c>
      <c r="R543" s="961">
        <f>'jangan di hapus 1'!P1186</f>
        <v>0</v>
      </c>
      <c r="S543" s="961">
        <f>'jangan di hapus 1'!Q1186</f>
        <v>4200000</v>
      </c>
      <c r="T543" s="961">
        <f>'jangan di hapus 1'!R1186</f>
        <v>0</v>
      </c>
      <c r="U543" s="961">
        <f>'jangan di hapus 1'!S1186</f>
        <v>4200000</v>
      </c>
      <c r="V543" s="929"/>
      <c r="W543" s="961">
        <f>SUM(M543:U543)</f>
        <v>21000000</v>
      </c>
      <c r="X543" s="929"/>
      <c r="Y543" s="164"/>
      <c r="Z543" s="164"/>
    </row>
    <row r="544" spans="2:30" ht="60">
      <c r="B544" s="942"/>
      <c r="C544" s="942"/>
      <c r="D544" s="942"/>
      <c r="E544" s="942"/>
      <c r="F544" s="942"/>
      <c r="G544" s="942"/>
      <c r="H544" s="164" t="str">
        <f>'matrik MISI 6'!N75</f>
        <v>Persentase Pengelolaan Arsip Secara Baku</v>
      </c>
      <c r="I544" s="164" t="str">
        <f>'matrik MISI 6'!O75</f>
        <v>%</v>
      </c>
      <c r="J544" s="929">
        <f>'matrik MISI 6'!P75</f>
        <v>63</v>
      </c>
      <c r="K544" s="929">
        <f>'matrik MISI 6'!Q75</f>
        <v>86</v>
      </c>
      <c r="L544" s="929">
        <f>'matrik MISI 6'!R75</f>
        <v>100</v>
      </c>
      <c r="M544" s="961"/>
      <c r="N544" s="929">
        <f>'matrik MISI 6'!S75</f>
        <v>100</v>
      </c>
      <c r="O544" s="929"/>
      <c r="P544" s="929">
        <f>'matrik MISI 6'!T75</f>
        <v>100</v>
      </c>
      <c r="Q544" s="929"/>
      <c r="R544" s="929">
        <f>'matrik MISI 6'!U75</f>
        <v>100</v>
      </c>
      <c r="S544" s="929"/>
      <c r="T544" s="929">
        <f>'matrik MISI 6'!V75</f>
        <v>100</v>
      </c>
      <c r="U544" s="929"/>
      <c r="V544" s="929">
        <f>'matrik MISI 6'!W75</f>
        <v>100</v>
      </c>
      <c r="W544" s="929"/>
      <c r="X544" s="929" t="str">
        <f>'matrik MISI 6'!X75</f>
        <v>Kantor Arsip, Perpustakaan, dan Dokumentasi</v>
      </c>
      <c r="Y544" s="164" t="str">
        <f>'matrik MISI 6'!Y75</f>
        <v>Jumlah SKPD yang melaksanakan arsip secara baku dibagi Jumlah SKPD x 100</v>
      </c>
      <c r="Z544" s="164">
        <f>'matrik MISI 6'!Z75</f>
        <v>0</v>
      </c>
    </row>
    <row r="545" spans="2:26" ht="45">
      <c r="B545" s="949">
        <v>25</v>
      </c>
      <c r="C545" s="948" t="str">
        <f>'matrik MISI 6'!B106</f>
        <v>KOMUNIKASI DAN INFORMATIKA</v>
      </c>
      <c r="D545" s="949">
        <f>'matrik MISI 6'!J107</f>
        <v>1.25</v>
      </c>
      <c r="E545" s="949" t="str">
        <f>'matrik MISI 6'!K107</f>
        <v>xx</v>
      </c>
      <c r="F545" s="949">
        <f>'matrik MISI 6'!L107</f>
        <v>20</v>
      </c>
      <c r="G545" s="949" t="str">
        <f>'matrik MISI 6'!M107</f>
        <v>program pengembangan informasi dan komunikasi</v>
      </c>
      <c r="H545" s="164"/>
      <c r="I545" s="164"/>
      <c r="J545" s="929"/>
      <c r="K545" s="929"/>
      <c r="L545" s="929"/>
      <c r="M545" s="961">
        <f>'jangan di hapus 1'!K1237</f>
        <v>9460000</v>
      </c>
      <c r="N545" s="961">
        <f>'jangan di hapus 1'!L1237</f>
        <v>0</v>
      </c>
      <c r="O545" s="961">
        <f>'jangan di hapus 1'!M1237</f>
        <v>250000000</v>
      </c>
      <c r="P545" s="961">
        <f>'jangan di hapus 1'!N1237</f>
        <v>0</v>
      </c>
      <c r="Q545" s="961">
        <f>'jangan di hapus 1'!O1237</f>
        <v>170000000</v>
      </c>
      <c r="R545" s="961">
        <f>'jangan di hapus 1'!P1237</f>
        <v>0</v>
      </c>
      <c r="S545" s="961">
        <f>'jangan di hapus 1'!Q1237</f>
        <v>175000000</v>
      </c>
      <c r="T545" s="961">
        <f>'jangan di hapus 1'!R1237</f>
        <v>0</v>
      </c>
      <c r="U545" s="961">
        <f>'jangan di hapus 1'!S1237</f>
        <v>180000000</v>
      </c>
      <c r="V545" s="929"/>
      <c r="W545" s="961">
        <f>SUM(M545:U545)</f>
        <v>784460000</v>
      </c>
      <c r="X545" s="929"/>
      <c r="Y545" s="164"/>
      <c r="Z545" s="164"/>
    </row>
    <row r="546" spans="2:26" ht="210">
      <c r="B546" s="940"/>
      <c r="C546" s="941"/>
      <c r="D546" s="939"/>
      <c r="E546" s="939"/>
      <c r="F546" s="939"/>
      <c r="G546" s="939"/>
      <c r="H546" s="164" t="str">
        <f>'matrik MISI 6'!N113</f>
        <v>Cakupan Pengembangan dan Pemberdayaan Kelompok Informasi Masyarakat di Tingkat Kecamatan</v>
      </c>
      <c r="I546" s="164" t="str">
        <f>'matrik MISI 6'!O113</f>
        <v>%</v>
      </c>
      <c r="J546" s="929">
        <f>'matrik MISI 6'!P113</f>
        <v>5</v>
      </c>
      <c r="K546" s="929">
        <f>'matrik MISI 6'!Q113</f>
        <v>10</v>
      </c>
      <c r="L546" s="929">
        <f>'matrik MISI 6'!R113</f>
        <v>15</v>
      </c>
      <c r="M546" s="961"/>
      <c r="N546" s="929">
        <f>'matrik MISI 6'!S113</f>
        <v>25</v>
      </c>
      <c r="O546" s="929"/>
      <c r="P546" s="929">
        <f>'matrik MISI 6'!T113</f>
        <v>35</v>
      </c>
      <c r="Q546" s="929"/>
      <c r="R546" s="929">
        <f>'matrik MISI 6'!U113</f>
        <v>45</v>
      </c>
      <c r="S546" s="929"/>
      <c r="T546" s="929">
        <f>'matrik MISI 6'!V113</f>
        <v>55</v>
      </c>
      <c r="U546" s="929"/>
      <c r="V546" s="929">
        <f>'matrik MISI 6'!W113</f>
        <v>55</v>
      </c>
      <c r="W546" s="929"/>
      <c r="X546" s="929" t="str">
        <f>'matrik MISI 6'!X113</f>
        <v>DISHUBKOMINFO</v>
      </c>
      <c r="Y546" s="164" t="str">
        <f>'matrik MISI 6'!Y113</f>
        <v>Jumlah Kelompok Informasi Masyarakat di Tingkat Kecamatan dibagi jumlah kecamatan kali 100</v>
      </c>
      <c r="Z546" s="164"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47" spans="2:26" ht="135">
      <c r="B547" s="940"/>
      <c r="C547" s="941"/>
      <c r="D547" s="940"/>
      <c r="E547" s="940"/>
      <c r="F547" s="940"/>
      <c r="G547" s="940"/>
      <c r="H547" s="164" t="str">
        <f>'matrik MISI 6'!N114</f>
        <v>Tersedianya Informasi Jasa Konstruksi setiap Tahun</v>
      </c>
      <c r="I547" s="164" t="str">
        <f>'matrik MISI 6'!O114</f>
        <v>%</v>
      </c>
      <c r="J547" s="929">
        <f>'matrik MISI 6'!P114</f>
        <v>100</v>
      </c>
      <c r="K547" s="929">
        <f>'matrik MISI 6'!Q114</f>
        <v>100</v>
      </c>
      <c r="L547" s="929">
        <f>'matrik MISI 6'!R114</f>
        <v>100</v>
      </c>
      <c r="M547" s="961"/>
      <c r="N547" s="929">
        <f>'matrik MISI 6'!S114</f>
        <v>100</v>
      </c>
      <c r="O547" s="929"/>
      <c r="P547" s="929">
        <f>'matrik MISI 6'!T114</f>
        <v>100</v>
      </c>
      <c r="Q547" s="929"/>
      <c r="R547" s="929">
        <f>'matrik MISI 6'!U114</f>
        <v>100</v>
      </c>
      <c r="S547" s="929"/>
      <c r="T547" s="929">
        <f>'matrik MISI 6'!V114</f>
        <v>100</v>
      </c>
      <c r="U547" s="929"/>
      <c r="V547" s="929">
        <f>'matrik MISI 6'!W114</f>
        <v>100</v>
      </c>
      <c r="W547" s="929"/>
      <c r="X547" s="929" t="str">
        <f>'matrik MISI 6'!X114</f>
        <v>D P U</v>
      </c>
      <c r="Y547" s="164" t="str">
        <f>'matrik MISI 6'!Y114</f>
        <v>jumlah layanan minimal  sistem informasi jasa konstruksi yang terupdate  dibagi jumlah layanan minimal sistem informasi jasa konstruksi x 100</v>
      </c>
      <c r="Z547" s="164" t="str">
        <f>'matrik MISI 6'!Z114</f>
        <v>Layanan minimal sistem informasi jasa konstruksi sesuai Standar Pelayanan Minimal bidang Pekerjaan Umum dan Penataan Ruang</v>
      </c>
    </row>
    <row r="548" spans="2:26" ht="120">
      <c r="B548" s="940"/>
      <c r="C548" s="941"/>
      <c r="D548" s="940"/>
      <c r="E548" s="940"/>
      <c r="F548" s="940"/>
      <c r="G548" s="940"/>
      <c r="H548" s="164" t="str">
        <f>'matrik MISI 6'!N115</f>
        <v xml:space="preserve">Tersedianya Informasi Mengenai Rencana Tata Ruang (RTR) Wilayah Kabupaten Beserta Rencana Rincinya Melalui Peta Analog </v>
      </c>
      <c r="I548" s="164" t="str">
        <f>'matrik MISI 6'!O115</f>
        <v>%</v>
      </c>
      <c r="J548" s="929" t="str">
        <f>'matrik MISI 6'!P115</f>
        <v xml:space="preserve"> - </v>
      </c>
      <c r="K548" s="929" t="str">
        <f>'matrik MISI 6'!Q115</f>
        <v xml:space="preserve"> - </v>
      </c>
      <c r="L548" s="929" t="str">
        <f>'matrik MISI 6'!R115</f>
        <v xml:space="preserve"> - </v>
      </c>
      <c r="M548" s="961"/>
      <c r="N548" s="929" t="str">
        <f>'matrik MISI 6'!S115</f>
        <v xml:space="preserve"> - </v>
      </c>
      <c r="O548" s="929"/>
      <c r="P548" s="929">
        <f>'matrik MISI 6'!T115</f>
        <v>100</v>
      </c>
      <c r="Q548" s="929"/>
      <c r="R548" s="929" t="str">
        <f>'matrik MISI 6'!U115</f>
        <v xml:space="preserve"> - </v>
      </c>
      <c r="S548" s="929"/>
      <c r="T548" s="929" t="str">
        <f>'matrik MISI 6'!V115</f>
        <v xml:space="preserve"> - </v>
      </c>
      <c r="U548" s="929"/>
      <c r="V548" s="929" t="str">
        <f>'matrik MISI 6'!W115</f>
        <v xml:space="preserve"> - </v>
      </c>
      <c r="W548" s="929"/>
      <c r="X548" s="929" t="str">
        <f>'matrik MISI 6'!X115</f>
        <v>Bappeda</v>
      </c>
      <c r="Y548" s="164" t="str">
        <f>'matrik MISI 6'!Y115</f>
        <v>jumlah peta analog yang tersedia dibagi jumlah kumulatif peta analog yang seharusnya tersedia di Kabupaten, Kecamatan, dan Kelurahan</v>
      </c>
      <c r="Z548" s="164" t="str">
        <f>'matrik MISI 6'!Z115</f>
        <v>Peta analog dimaksud adalah informasi tentang Rencana Tata Ruang Wilayah Kabupaten serta rencana rincinya dalam bentuk cetakan</v>
      </c>
    </row>
    <row r="549" spans="2:26" ht="120">
      <c r="B549" s="940"/>
      <c r="C549" s="941"/>
      <c r="D549" s="940"/>
      <c r="E549" s="940"/>
      <c r="F549" s="940"/>
      <c r="G549" s="940"/>
      <c r="H549" s="164" t="str">
        <f>'matrik MISI 6'!N116</f>
        <v>Tersedianya Informasi Mengenai Rencana Tata Ruang (RTR) Wilayah Kabupaten Beserta Rencana Rincinya Melalui Peta Digital</v>
      </c>
      <c r="I549" s="164" t="str">
        <f>'matrik MISI 6'!O116</f>
        <v>%</v>
      </c>
      <c r="J549" s="929" t="str">
        <f>'matrik MISI 6'!P116</f>
        <v xml:space="preserve"> - </v>
      </c>
      <c r="K549" s="929" t="str">
        <f>'matrik MISI 6'!Q116</f>
        <v xml:space="preserve"> - </v>
      </c>
      <c r="L549" s="929" t="str">
        <f>'matrik MISI 6'!R116</f>
        <v xml:space="preserve"> - </v>
      </c>
      <c r="M549" s="961"/>
      <c r="N549" s="929">
        <f>'matrik MISI 6'!S116</f>
        <v>100</v>
      </c>
      <c r="O549" s="929"/>
      <c r="P549" s="929" t="str">
        <f>'matrik MISI 6'!T116</f>
        <v xml:space="preserve"> - </v>
      </c>
      <c r="Q549" s="929"/>
      <c r="R549" s="929" t="str">
        <f>'matrik MISI 6'!U116</f>
        <v xml:space="preserve"> - </v>
      </c>
      <c r="S549" s="929"/>
      <c r="T549" s="929" t="str">
        <f>'matrik MISI 6'!V116</f>
        <v xml:space="preserve"> - </v>
      </c>
      <c r="U549" s="929"/>
      <c r="V549" s="929" t="str">
        <f>'matrik MISI 6'!W116</f>
        <v xml:space="preserve"> - </v>
      </c>
      <c r="W549" s="929"/>
      <c r="X549" s="929" t="str">
        <f>'matrik MISI 6'!X116</f>
        <v>Bappeda</v>
      </c>
      <c r="Y549" s="164" t="str">
        <f>'matrik MISI 6'!Y116</f>
        <v>jumlah peta digital yang tersedia dibagi jumlah kumulatif peta digital yang seharusnya tersedia Kabupaten, Kecamatan, dan Kelurahan</v>
      </c>
      <c r="Z549" s="164" t="str">
        <f>'matrik MISI 6'!Z116</f>
        <v>Peta digital dimaksud adalah informasi tentang Rencana Tata Ruang Wilayah Kabupaten serta rencana rincinya dalam bentuk JPEG</v>
      </c>
    </row>
    <row r="550" spans="2:26" ht="45" hidden="1">
      <c r="B550" s="939"/>
      <c r="C550" s="939"/>
      <c r="D550" s="940">
        <f>'matrik MISI 6'!J108</f>
        <v>1.25</v>
      </c>
      <c r="E550" s="940" t="str">
        <f>'matrik MISI 6'!K108</f>
        <v>xx</v>
      </c>
      <c r="F550" s="940">
        <f>'matrik MISI 6'!L108</f>
        <v>15</v>
      </c>
      <c r="G550" s="940" t="str">
        <f>'matrik MISI 6'!M108</f>
        <v>program pengembangan  komunikasi, informasi dan media massa</v>
      </c>
      <c r="H550" s="164"/>
      <c r="I550" s="164"/>
      <c r="J550" s="929"/>
      <c r="K550" s="929"/>
      <c r="L550" s="929"/>
      <c r="M550" s="961">
        <f>'jangan di hapus 1'!K1190</f>
        <v>1818651040</v>
      </c>
      <c r="N550" s="961"/>
      <c r="O550" s="961">
        <f>'jangan di hapus 1'!M1190</f>
        <v>2384983000</v>
      </c>
      <c r="P550" s="961"/>
      <c r="Q550" s="961">
        <f>'jangan di hapus 1'!O1190</f>
        <v>4202300000</v>
      </c>
      <c r="R550" s="961"/>
      <c r="S550" s="961">
        <f>'jangan di hapus 1'!Q1190</f>
        <v>4769800000</v>
      </c>
      <c r="T550" s="961"/>
      <c r="U550" s="961">
        <f>'jangan di hapus 1'!S1190</f>
        <v>4847300000</v>
      </c>
      <c r="V550" s="929"/>
      <c r="W550" s="961">
        <f>SUM(M550:U550)</f>
        <v>18023034040</v>
      </c>
      <c r="X550" s="929"/>
      <c r="Y550" s="164"/>
      <c r="Z550" s="164"/>
    </row>
    <row r="551" spans="2:26" ht="90">
      <c r="B551" s="940"/>
      <c r="C551" s="941"/>
      <c r="D551" s="939"/>
      <c r="E551" s="939"/>
      <c r="F551" s="939"/>
      <c r="G551" s="939"/>
      <c r="H551" s="164" t="str">
        <f>'matrik MISI 6'!N108</f>
        <v>Pelaksanaan Diseminasi dan Pendistribusian Informasi melalui Media Tradisional</v>
      </c>
      <c r="I551" s="164" t="str">
        <f>'matrik MISI 6'!O108</f>
        <v>kali</v>
      </c>
      <c r="J551" s="929">
        <f>'matrik MISI 6'!P108</f>
        <v>1</v>
      </c>
      <c r="K551" s="929">
        <f>'matrik MISI 6'!Q108</f>
        <v>2</v>
      </c>
      <c r="L551" s="929">
        <f>'matrik MISI 6'!R108</f>
        <v>2</v>
      </c>
      <c r="M551" s="961"/>
      <c r="N551" s="929">
        <f>'matrik MISI 6'!S108</f>
        <v>3</v>
      </c>
      <c r="O551" s="929"/>
      <c r="P551" s="929">
        <f>'matrik MISI 6'!T108</f>
        <v>4</v>
      </c>
      <c r="Q551" s="929"/>
      <c r="R551" s="929">
        <f>'matrik MISI 6'!U108</f>
        <v>5</v>
      </c>
      <c r="S551" s="929"/>
      <c r="T551" s="929">
        <f>'matrik MISI 6'!V108</f>
        <v>6</v>
      </c>
      <c r="U551" s="929"/>
      <c r="V551" s="929">
        <f>'matrik MISI 6'!W108</f>
        <v>6</v>
      </c>
      <c r="W551" s="929"/>
      <c r="X551" s="929" t="str">
        <f>'matrik MISI 6'!X108</f>
        <v>DISHUBKOMINFO</v>
      </c>
      <c r="Y551" s="164" t="str">
        <f>'matrik MISI 6'!Y108</f>
        <v>Jumlah Pelaksanaan Diseminasi dan Pendistribusian Informasi melalui Media Tradisional pada tahun berjalan</v>
      </c>
      <c r="Z551" s="164" t="str">
        <f>'matrik MISI 6'!Z108</f>
        <v>Contoh media tradisional adalah pertunjukan rakyat</v>
      </c>
    </row>
    <row r="552" spans="2:26" ht="90">
      <c r="B552" s="940"/>
      <c r="C552" s="941"/>
      <c r="D552" s="940"/>
      <c r="E552" s="940"/>
      <c r="F552" s="940"/>
      <c r="G552" s="940"/>
      <c r="H552" s="164" t="str">
        <f>'matrik MISI 6'!N109</f>
        <v>Pelaksanaan Diseminasi dan Pendistribusian Informasi melalui Media Interpersonal</v>
      </c>
      <c r="I552" s="164" t="str">
        <f>'matrik MISI 6'!O109</f>
        <v>kali</v>
      </c>
      <c r="J552" s="929">
        <f>'matrik MISI 6'!P109</f>
        <v>1</v>
      </c>
      <c r="K552" s="929">
        <f>'matrik MISI 6'!Q109</f>
        <v>1</v>
      </c>
      <c r="L552" s="929">
        <f>'matrik MISI 6'!R109</f>
        <v>2</v>
      </c>
      <c r="M552" s="961"/>
      <c r="N552" s="929">
        <f>'matrik MISI 6'!S109</f>
        <v>4</v>
      </c>
      <c r="O552" s="929"/>
      <c r="P552" s="929">
        <f>'matrik MISI 6'!T109</f>
        <v>6</v>
      </c>
      <c r="Q552" s="929"/>
      <c r="R552" s="929">
        <f>'matrik MISI 6'!U109</f>
        <v>8</v>
      </c>
      <c r="S552" s="929"/>
      <c r="T552" s="929">
        <f>'matrik MISI 6'!V109</f>
        <v>10</v>
      </c>
      <c r="U552" s="929"/>
      <c r="V552" s="929">
        <f>'matrik MISI 6'!W109</f>
        <v>10</v>
      </c>
      <c r="W552" s="929"/>
      <c r="X552" s="929" t="str">
        <f>'matrik MISI 6'!X109</f>
        <v>DISHUBKOMINFO</v>
      </c>
      <c r="Y552" s="164" t="str">
        <f>'matrik MISI 6'!Y109</f>
        <v>jumlah Pelaksanaan Diseminasi dan Pendistribusian Informasi melalui Media Interpersonal pada tahun berjalan</v>
      </c>
      <c r="Z552" s="164" t="str">
        <f>'matrik MISI 6'!Z109</f>
        <v>Contoh media interpersonal adalah sarasehan, ceramah, diskusi, lokakarya</v>
      </c>
    </row>
    <row r="553" spans="2:26" ht="90">
      <c r="B553" s="940"/>
      <c r="C553" s="941"/>
      <c r="D553" s="940"/>
      <c r="E553" s="940"/>
      <c r="F553" s="940"/>
      <c r="G553" s="940"/>
      <c r="H553" s="164" t="str">
        <f>'matrik MISI 6'!N110</f>
        <v>Pelaksanaan Diseminasi dan Pendistribusian Informasi melalui Media Luar Ruang</v>
      </c>
      <c r="I553" s="164" t="str">
        <f>'matrik MISI 6'!O110</f>
        <v>kali</v>
      </c>
      <c r="J553" s="929">
        <f>'matrik MISI 6'!P110</f>
        <v>1</v>
      </c>
      <c r="K553" s="929">
        <f>'matrik MISI 6'!Q110</f>
        <v>1</v>
      </c>
      <c r="L553" s="929">
        <f>'matrik MISI 6'!R110</f>
        <v>2</v>
      </c>
      <c r="M553" s="961"/>
      <c r="N553" s="929">
        <f>'matrik MISI 6'!S110</f>
        <v>4</v>
      </c>
      <c r="O553" s="929"/>
      <c r="P553" s="929">
        <f>'matrik MISI 6'!T110</f>
        <v>6</v>
      </c>
      <c r="Q553" s="929"/>
      <c r="R553" s="929">
        <f>'matrik MISI 6'!U110</f>
        <v>8</v>
      </c>
      <c r="S553" s="929"/>
      <c r="T553" s="929">
        <f>'matrik MISI 6'!V110</f>
        <v>10</v>
      </c>
      <c r="U553" s="929"/>
      <c r="V553" s="929">
        <f>'matrik MISI 6'!W110</f>
        <v>10</v>
      </c>
      <c r="W553" s="929"/>
      <c r="X553" s="929" t="str">
        <f>'matrik MISI 6'!X110</f>
        <v>DISHUBKOMINFO / Bagian Humas</v>
      </c>
      <c r="Y553" s="164" t="str">
        <f>'matrik MISI 6'!Y110</f>
        <v>jumlah Pelaksanaan Diseminasi dan Pendistribusian Informasi melalui Media Luar Ruang pada tahun berjalan</v>
      </c>
      <c r="Z553" s="164" t="str">
        <f>'matrik MISI 6'!Z110</f>
        <v>Contoh media luar ruang adalah media buletin, leafleat, bookleat, brosur, spanduk, baliho</v>
      </c>
    </row>
    <row r="554" spans="2:26" ht="90">
      <c r="B554" s="940"/>
      <c r="C554" s="941"/>
      <c r="D554" s="940"/>
      <c r="E554" s="940"/>
      <c r="F554" s="940"/>
      <c r="G554" s="940"/>
      <c r="H554" s="164" t="str">
        <f>'matrik MISI 6'!N111</f>
        <v>Pelaksanaan Diseminasi dan Pendistribusian Informasi melalui Media Masa</v>
      </c>
      <c r="I554" s="164" t="str">
        <f>'matrik MISI 6'!O111</f>
        <v>kali</v>
      </c>
      <c r="J554" s="929">
        <f>'matrik MISI 6'!P111</f>
        <v>1</v>
      </c>
      <c r="K554" s="929">
        <f>'matrik MISI 6'!Q111</f>
        <v>1</v>
      </c>
      <c r="L554" s="929">
        <f>'matrik MISI 6'!R111</f>
        <v>2</v>
      </c>
      <c r="M554" s="961"/>
      <c r="N554" s="929">
        <f>'matrik MISI 6'!S111</f>
        <v>4</v>
      </c>
      <c r="O554" s="929"/>
      <c r="P554" s="929">
        <f>'matrik MISI 6'!T111</f>
        <v>6</v>
      </c>
      <c r="Q554" s="929"/>
      <c r="R554" s="929">
        <f>'matrik MISI 6'!U111</f>
        <v>8</v>
      </c>
      <c r="S554" s="929"/>
      <c r="T554" s="929">
        <f>'matrik MISI 6'!V111</f>
        <v>10</v>
      </c>
      <c r="U554" s="929"/>
      <c r="V554" s="929">
        <f>'matrik MISI 6'!W111</f>
        <v>10</v>
      </c>
      <c r="W554" s="929"/>
      <c r="X554" s="929" t="str">
        <f>'matrik MISI 6'!X111</f>
        <v>DISHUBKOMINFO / Bagian Humas</v>
      </c>
      <c r="Y554" s="164" t="str">
        <f>'matrik MISI 6'!Y111</f>
        <v>jumlah Pelaksanaan Diseminasi dan Pendistribusian Informasi melalui Media Massa pada tahun berjalan</v>
      </c>
      <c r="Z554" s="164" t="str">
        <f>'matrik MISI 6'!Z111</f>
        <v>Contoh media massa adalah majalah, radio, dan televisi</v>
      </c>
    </row>
    <row r="555" spans="2:26" ht="90">
      <c r="B555" s="940"/>
      <c r="C555" s="941"/>
      <c r="D555" s="940"/>
      <c r="E555" s="940"/>
      <c r="F555" s="940"/>
      <c r="G555" s="940"/>
      <c r="H555" s="164" t="str">
        <f>'matrik MISI 6'!N112</f>
        <v xml:space="preserve">Pelaksanaan Diseminasi dan Pendistribusian Informasi melalui media baru </v>
      </c>
      <c r="I555" s="164" t="str">
        <f>'matrik MISI 6'!O112</f>
        <v>hari</v>
      </c>
      <c r="J555" s="929">
        <f>'matrik MISI 6'!P112</f>
        <v>1</v>
      </c>
      <c r="K555" s="929">
        <f>'matrik MISI 6'!Q112</f>
        <v>1</v>
      </c>
      <c r="L555" s="929">
        <f>'matrik MISI 6'!R112</f>
        <v>2</v>
      </c>
      <c r="M555" s="961"/>
      <c r="N555" s="929">
        <f>'matrik MISI 6'!S112</f>
        <v>4</v>
      </c>
      <c r="O555" s="929"/>
      <c r="P555" s="929">
        <f>'matrik MISI 6'!T112</f>
        <v>6</v>
      </c>
      <c r="Q555" s="929"/>
      <c r="R555" s="929">
        <f>'matrik MISI 6'!U112</f>
        <v>8</v>
      </c>
      <c r="S555" s="929"/>
      <c r="T555" s="929">
        <f>'matrik MISI 6'!V112</f>
        <v>10</v>
      </c>
      <c r="U555" s="929"/>
      <c r="V555" s="929">
        <f>'matrik MISI 6'!W112</f>
        <v>10</v>
      </c>
      <c r="W555" s="929"/>
      <c r="X555" s="929" t="str">
        <f>'matrik MISI 6'!X112</f>
        <v>Bagian Humas</v>
      </c>
      <c r="Y555" s="164" t="str">
        <f>'matrik MISI 6'!Y112</f>
        <v>jumlah Pelaksanaan Diseminasi dan Pendistribusian Informasi melalui media baru dalam tahun berjalan</v>
      </c>
      <c r="Z555" s="164" t="str">
        <f>'matrik MISI 6'!Z112</f>
        <v>Media baru adalah Website Daerah</v>
      </c>
    </row>
    <row r="556" spans="2:26" ht="105">
      <c r="B556" s="940"/>
      <c r="C556" s="941"/>
      <c r="D556" s="939"/>
      <c r="E556" s="939"/>
      <c r="F556" s="939"/>
      <c r="G556" s="939"/>
      <c r="H556" s="164" t="str">
        <f>'matrik MISI 6'!N118</f>
        <v>Cakupan Jaringan Sistem Informasi e-Government</v>
      </c>
      <c r="I556" s="164" t="str">
        <f>'matrik MISI 6'!O118</f>
        <v>%</v>
      </c>
      <c r="J556" s="929">
        <f>'matrik MISI 6'!P118</f>
        <v>5</v>
      </c>
      <c r="K556" s="929">
        <f>'matrik MISI 6'!Q118</f>
        <v>9</v>
      </c>
      <c r="L556" s="929">
        <f>'matrik MISI 6'!R118</f>
        <v>15</v>
      </c>
      <c r="M556" s="961"/>
      <c r="N556" s="929">
        <f>'matrik MISI 6'!S118</f>
        <v>35</v>
      </c>
      <c r="O556" s="929"/>
      <c r="P556" s="929">
        <f>'matrik MISI 6'!T118</f>
        <v>55</v>
      </c>
      <c r="Q556" s="929"/>
      <c r="R556" s="929">
        <f>'matrik MISI 6'!U118</f>
        <v>75</v>
      </c>
      <c r="S556" s="929"/>
      <c r="T556" s="929">
        <f>'matrik MISI 6'!V118</f>
        <v>100</v>
      </c>
      <c r="U556" s="929"/>
      <c r="V556" s="929">
        <f>'matrik MISI 6'!W118</f>
        <v>100</v>
      </c>
      <c r="W556" s="929"/>
      <c r="X556" s="929" t="str">
        <f>'matrik MISI 6'!X118</f>
        <v>Bagian Santel dan PDE, Dishubkominfo dan Bappeda</v>
      </c>
      <c r="Y556" s="164" t="str">
        <f>'matrik MISI 6'!Y118</f>
        <v>Jumlah Sistem Informasi e-Government yang tersedia dibagi jumlah organisasi perangkat daerah kali 100</v>
      </c>
      <c r="Z556" s="164" t="str">
        <f>'matrik MISI 6'!Z118</f>
        <v>meliputi pemerintah kabupaten dan pemerintah desa</v>
      </c>
    </row>
    <row r="557" spans="2:26" ht="60" hidden="1">
      <c r="B557" s="940"/>
      <c r="C557" s="941"/>
      <c r="D557" s="940">
        <f>'matrik MISI 6'!J121</f>
        <v>1.25</v>
      </c>
      <c r="E557" s="940" t="str">
        <f>'matrik MISI 6'!K121</f>
        <v>xx</v>
      </c>
      <c r="F557" s="940">
        <f>'matrik MISI 6'!L121</f>
        <v>16</v>
      </c>
      <c r="G557" s="940" t="str">
        <f>'matrik MISI 6'!M121</f>
        <v>program pengkajian dan penelitian bidang informasi dan komunikasi</v>
      </c>
      <c r="H557" s="164"/>
      <c r="I557" s="164"/>
      <c r="J557" s="929"/>
      <c r="K557" s="929"/>
      <c r="L557" s="929"/>
      <c r="M557" s="961">
        <f>'jangan di hapus 1'!K1223</f>
        <v>38845000</v>
      </c>
      <c r="N557" s="961"/>
      <c r="O557" s="961">
        <f>'jangan di hapus 1'!M1223</f>
        <v>703460000</v>
      </c>
      <c r="P557" s="961"/>
      <c r="Q557" s="961">
        <f>'jangan di hapus 1'!O1223</f>
        <v>149000000</v>
      </c>
      <c r="R557" s="961"/>
      <c r="S557" s="961">
        <f>'jangan di hapus 1'!Q1223</f>
        <v>180000000</v>
      </c>
      <c r="T557" s="961"/>
      <c r="U557" s="961">
        <f>'jangan di hapus 1'!S1223</f>
        <v>215000000</v>
      </c>
      <c r="V557" s="929"/>
      <c r="W557" s="961">
        <f>SUM(M557:U557)</f>
        <v>1286305000</v>
      </c>
      <c r="X557" s="929"/>
      <c r="Y557" s="164"/>
      <c r="Z557" s="164"/>
    </row>
    <row r="558" spans="2:26" ht="105">
      <c r="B558" s="950"/>
      <c r="C558" s="951"/>
      <c r="D558" s="942"/>
      <c r="E558" s="942"/>
      <c r="F558" s="942"/>
      <c r="G558" s="942"/>
      <c r="H558" s="164" t="str">
        <f>'matrik MISI 6'!N121</f>
        <v>Cakupan terbangunnya Integrasi Jaringan Informasi dan Komunikasi</v>
      </c>
      <c r="I558" s="164" t="str">
        <f>'matrik MISI 6'!O121</f>
        <v>%</v>
      </c>
      <c r="J558" s="929">
        <f>'matrik MISI 6'!P121</f>
        <v>5</v>
      </c>
      <c r="K558" s="929">
        <f>'matrik MISI 6'!Q121</f>
        <v>9</v>
      </c>
      <c r="L558" s="929">
        <f>'matrik MISI 6'!R121</f>
        <v>15</v>
      </c>
      <c r="M558" s="961"/>
      <c r="N558" s="929">
        <f>'matrik MISI 6'!S121</f>
        <v>35</v>
      </c>
      <c r="O558" s="929"/>
      <c r="P558" s="929">
        <f>'matrik MISI 6'!T121</f>
        <v>55</v>
      </c>
      <c r="Q558" s="929"/>
      <c r="R558" s="929">
        <f>'matrik MISI 6'!U121</f>
        <v>75</v>
      </c>
      <c r="S558" s="929"/>
      <c r="T558" s="929">
        <f>'matrik MISI 6'!V121</f>
        <v>100</v>
      </c>
      <c r="U558" s="929"/>
      <c r="V558" s="929">
        <f>'matrik MISI 6'!W121</f>
        <v>100</v>
      </c>
      <c r="W558" s="929"/>
      <c r="X558" s="929" t="str">
        <f>'matrik MISI 6'!X121</f>
        <v>DISHUBKOMINFO / Bagian Santel dan PDE</v>
      </c>
      <c r="Y558" s="164" t="str">
        <f>'matrik MISI 6'!Y121</f>
        <v>Jumlah organisasi perangkat daerah yang jaringannya terintegrasi dibagi jumlah organisasi perangkat daerah kali 100</v>
      </c>
      <c r="Z558" s="164" t="str">
        <f>'matrik MISI 6'!Z121</f>
        <v>meliputi pemerintah kabupaten dan pemerintah desa</v>
      </c>
    </row>
    <row r="559" spans="2:26" ht="60">
      <c r="B559" s="949">
        <v>26</v>
      </c>
      <c r="C559" s="948" t="str">
        <f>'matrik MISI 6'!B100</f>
        <v>PERPUSTAKAAN</v>
      </c>
      <c r="D559" s="949" t="str">
        <f>'matrik MISI 6'!J101</f>
        <v>1.26</v>
      </c>
      <c r="E559" s="949" t="str">
        <f>'matrik MISI 6'!K101</f>
        <v>xx</v>
      </c>
      <c r="F559" s="949">
        <f>'matrik MISI 6'!L101</f>
        <v>21</v>
      </c>
      <c r="G559" s="949" t="str">
        <f>'matrik MISI 6'!M101</f>
        <v>Program Pengembangan Budaya Baca dan Pembinaan Perpustakaan</v>
      </c>
      <c r="H559" s="164"/>
      <c r="I559" s="164"/>
      <c r="J559" s="929"/>
      <c r="K559" s="929"/>
      <c r="L559" s="929"/>
      <c r="M559" s="961">
        <f>'jangan di hapus 1'!K1244</f>
        <v>694000000</v>
      </c>
      <c r="N559" s="929"/>
      <c r="O559" s="961">
        <f>'jangan di hapus 1'!M1244</f>
        <v>988500000</v>
      </c>
      <c r="P559" s="929"/>
      <c r="Q559" s="961">
        <f>'jangan di hapus 1'!O1244</f>
        <v>1174000000</v>
      </c>
      <c r="R559" s="929"/>
      <c r="S559" s="961">
        <f>'jangan di hapus 1'!Q1244</f>
        <v>1330000000</v>
      </c>
      <c r="T559" s="929"/>
      <c r="U559" s="961">
        <f>'jangan di hapus 1'!S1244</f>
        <v>1482500000</v>
      </c>
      <c r="V559" s="929"/>
      <c r="W559" s="961">
        <f>SUM(M559:U559)</f>
        <v>5669000000</v>
      </c>
      <c r="X559" s="929"/>
      <c r="Y559" s="1016"/>
      <c r="Z559" s="1016"/>
    </row>
    <row r="560" spans="2:26" ht="165">
      <c r="B560" s="939"/>
      <c r="C560" s="939"/>
      <c r="D560" s="939"/>
      <c r="E560" s="939"/>
      <c r="F560" s="939"/>
      <c r="G560" s="939"/>
      <c r="H560" s="164" t="str">
        <f>'matrik MISI 6'!N101</f>
        <v>Rasio Pengunjung Perpustakaan Terhadap Jumlah Penduduk</v>
      </c>
      <c r="I560" s="164" t="str">
        <f>'matrik MISI 6'!O101</f>
        <v>Rasio</v>
      </c>
      <c r="J560" s="929">
        <f>'matrik MISI 6'!P101</f>
        <v>55</v>
      </c>
      <c r="K560" s="929">
        <f>'matrik MISI 6'!Q101</f>
        <v>60</v>
      </c>
      <c r="L560" s="929">
        <f>'matrik MISI 6'!R101</f>
        <v>64</v>
      </c>
      <c r="M560" s="961"/>
      <c r="N560" s="929">
        <f>'matrik MISI 6'!S101</f>
        <v>72</v>
      </c>
      <c r="O560" s="929"/>
      <c r="P560" s="929">
        <f>'matrik MISI 6'!T101</f>
        <v>76</v>
      </c>
      <c r="Q560" s="929"/>
      <c r="R560" s="929">
        <f>'matrik MISI 6'!U101</f>
        <v>80</v>
      </c>
      <c r="S560" s="929"/>
      <c r="T560" s="929">
        <f>'matrik MISI 6'!V101</f>
        <v>82</v>
      </c>
      <c r="U560" s="929"/>
      <c r="V560" s="929">
        <f>'matrik MISI 6'!W101</f>
        <v>84</v>
      </c>
      <c r="W560" s="929"/>
      <c r="X560" s="929" t="str">
        <f>'matrik MISI 6'!X101</f>
        <v>Kantor Arsip, Perpustakaan, dan Dokumentasi</v>
      </c>
      <c r="Y560" s="164" t="str">
        <f>'matrik MISI 6'!Y101</f>
        <v>Jumlah pengunjung perpustakaan dibagi jumlah penduduk yang harus dilayani</v>
      </c>
      <c r="Z560" s="164" t="str">
        <f>'matrik MISI 6'!Z101</f>
        <v>Pengunjung perpustakaan dihitung berdasarkan pengunjung yang mengisi daftar kehadiran atau berdasarkan data yang diperoleh melalui sistem pendataan pengunjung</v>
      </c>
    </row>
    <row r="561" spans="2:26" ht="165">
      <c r="B561" s="940"/>
      <c r="C561" s="941"/>
      <c r="D561" s="940"/>
      <c r="E561" s="940"/>
      <c r="F561" s="940"/>
      <c r="G561" s="940"/>
      <c r="H561" s="949" t="str">
        <f>'matrik MISI 6'!N102</f>
        <v>Persentase Peminjam Buku Perpustakaan Terhadap Jumlah Pengunjung</v>
      </c>
      <c r="I561" s="949" t="str">
        <f>'matrik MISI 6'!O102</f>
        <v>%</v>
      </c>
      <c r="J561" s="1009">
        <f>'matrik MISI 6'!P102</f>
        <v>35</v>
      </c>
      <c r="K561" s="1009">
        <f>'matrik MISI 6'!Q102</f>
        <v>65</v>
      </c>
      <c r="L561" s="1009">
        <f>'matrik MISI 6'!R102</f>
        <v>70</v>
      </c>
      <c r="M561" s="1010"/>
      <c r="N561" s="1009">
        <f>'matrik MISI 6'!S102</f>
        <v>73</v>
      </c>
      <c r="O561" s="1009"/>
      <c r="P561" s="1009">
        <f>'matrik MISI 6'!T102</f>
        <v>79</v>
      </c>
      <c r="Q561" s="1009"/>
      <c r="R561" s="1009">
        <f>'matrik MISI 6'!U102</f>
        <v>83</v>
      </c>
      <c r="S561" s="1009"/>
      <c r="T561" s="1009">
        <f>'matrik MISI 6'!V102</f>
        <v>87</v>
      </c>
      <c r="U561" s="1009"/>
      <c r="V561" s="1009">
        <f>'matrik MISI 6'!W102</f>
        <v>90</v>
      </c>
      <c r="W561" s="1009"/>
      <c r="X561" s="1009" t="str">
        <f>'matrik MISI 6'!X102</f>
        <v>Kantor Arsip, Perpustakaan, dan Dokumentasi</v>
      </c>
      <c r="Y561" s="164" t="str">
        <f>'matrik MISI 6'!Y102</f>
        <v>Jumlah peminjam buku perpustakaan dibagi jumlah pengunjung perpustakaan</v>
      </c>
      <c r="Z561" s="164" t="str">
        <f>'matrik MISI 6'!Z102</f>
        <v>Pengunjung perpustakaan dihitung berdasarkan pengunjung yang mengisi daftar kehadiran atau berdasarkan data yang diperoleh melalui sistem pendataan pengunjung</v>
      </c>
    </row>
    <row r="562" spans="2:26" s="585" customFormat="1">
      <c r="B562" s="1030" t="s">
        <v>5022</v>
      </c>
      <c r="C562" s="968"/>
      <c r="D562" s="969"/>
      <c r="E562" s="969"/>
      <c r="F562" s="969"/>
      <c r="G562" s="969"/>
      <c r="H562" s="969"/>
      <c r="I562" s="969"/>
      <c r="J562" s="970"/>
      <c r="K562" s="970"/>
      <c r="L562" s="970"/>
      <c r="M562" s="1036"/>
      <c r="N562" s="970"/>
      <c r="O562" s="970"/>
      <c r="P562" s="970"/>
      <c r="Q562" s="970"/>
      <c r="R562" s="970"/>
      <c r="S562" s="970"/>
      <c r="T562" s="970"/>
      <c r="U562" s="970"/>
      <c r="V562" s="970"/>
      <c r="W562" s="970"/>
      <c r="X562" s="971"/>
      <c r="Y562" s="937"/>
      <c r="Z562" s="937"/>
    </row>
    <row r="563" spans="2:26" ht="60">
      <c r="B563" s="949">
        <v>1</v>
      </c>
      <c r="C563" s="948" t="str">
        <f>'matrik MISI 1'!B6</f>
        <v>PERTANIAN</v>
      </c>
      <c r="D563" s="949" t="str">
        <f>'matrik MISI 1'!J7</f>
        <v>2.01.</v>
      </c>
      <c r="E563" s="949" t="str">
        <f>'matrik MISI 1'!K7</f>
        <v>xx</v>
      </c>
      <c r="F563" s="949">
        <f>'matrik MISI 1'!L7</f>
        <v>18</v>
      </c>
      <c r="G563" s="949" t="str">
        <f>'matrik MISI 1'!M7</f>
        <v>Program Peningkatan Penerapan Teknologi Pertanian / Peternakan / Perkebunan</v>
      </c>
      <c r="H563" s="164"/>
      <c r="I563" s="164"/>
      <c r="J563" s="929"/>
      <c r="K563" s="929"/>
      <c r="L563" s="929"/>
      <c r="M563" s="961">
        <f>'jangan dihapus 2'!K502</f>
        <v>3060120000</v>
      </c>
      <c r="N563" s="961"/>
      <c r="O563" s="961">
        <f>'jangan dihapus 2'!M502</f>
        <v>2400000000</v>
      </c>
      <c r="P563" s="961"/>
      <c r="Q563" s="961">
        <f>'jangan dihapus 2'!O502</f>
        <v>2420000000</v>
      </c>
      <c r="R563" s="961"/>
      <c r="S563" s="961">
        <f>'jangan dihapus 2'!Q502</f>
        <v>2445000000</v>
      </c>
      <c r="T563" s="961"/>
      <c r="U563" s="961">
        <f>'jangan dihapus 2'!S502</f>
        <v>2465000000</v>
      </c>
      <c r="V563" s="929"/>
      <c r="W563" s="961">
        <f>SUM(M563:U563)</f>
        <v>12790120000</v>
      </c>
      <c r="X563" s="929"/>
      <c r="Y563" s="1016"/>
      <c r="Z563" s="1016"/>
    </row>
    <row r="564" spans="2:26" ht="75">
      <c r="B564" s="939"/>
      <c r="C564" s="939"/>
      <c r="D564" s="939"/>
      <c r="E564" s="939"/>
      <c r="F564" s="939"/>
      <c r="G564" s="939"/>
      <c r="H564" s="164" t="str">
        <f>'matrik MISI 1'!N7</f>
        <v xml:space="preserve">Besaran Kelompok Tani yang menerapkan teknologi dan informasi pertanian dan perkebunan melalui sekolah lapang </v>
      </c>
      <c r="I564" s="164" t="str">
        <f>'matrik MISI 1'!O7</f>
        <v>Kelompok</v>
      </c>
      <c r="J564" s="929">
        <f>'matrik MISI 1'!P7</f>
        <v>500</v>
      </c>
      <c r="K564" s="929">
        <f>'matrik MISI 1'!Q7</f>
        <v>600</v>
      </c>
      <c r="L564" s="929">
        <f>'matrik MISI 1'!R7</f>
        <v>720</v>
      </c>
      <c r="M564" s="961"/>
      <c r="N564" s="929">
        <f>'matrik MISI 1'!S7</f>
        <v>850</v>
      </c>
      <c r="O564" s="929"/>
      <c r="P564" s="929">
        <f>'matrik MISI 1'!T7</f>
        <v>990</v>
      </c>
      <c r="Q564" s="929"/>
      <c r="R564" s="929">
        <f>'matrik MISI 1'!U7</f>
        <v>1140</v>
      </c>
      <c r="S564" s="929"/>
      <c r="T564" s="929">
        <f>'matrik MISI 1'!V7</f>
        <v>1300</v>
      </c>
      <c r="U564" s="929"/>
      <c r="V564" s="929">
        <f>'matrik MISI 1'!W7</f>
        <v>1300</v>
      </c>
      <c r="W564" s="929"/>
      <c r="X564" s="929" t="str">
        <f>'matrik MISI 1'!X7</f>
        <v>DINTANBUNHUT</v>
      </c>
      <c r="Y564" s="164" t="str">
        <f>'matrik MISI 1'!Y7</f>
        <v>Cukup Jelas</v>
      </c>
      <c r="Z564" s="164" t="str">
        <f>'matrik MISI 1'!Z7</f>
        <v>Penyelenggaraan SLGHP, SLGAP, SL sayuran ekspor, SLPTT Padi, SL SRI, SLPHT, SL iklim, SLPPHP</v>
      </c>
    </row>
    <row r="565" spans="2:26" ht="75">
      <c r="B565" s="940"/>
      <c r="C565" s="941"/>
      <c r="D565" s="940"/>
      <c r="E565" s="940"/>
      <c r="F565" s="940"/>
      <c r="G565" s="940"/>
      <c r="H565" s="164" t="str">
        <f>'matrik MISI 1'!N8</f>
        <v>Besaran Penerapan Pertanian dan Perkebunan Mengarah Organik untuk Komoditas Utama</v>
      </c>
      <c r="I565" s="164" t="str">
        <f>'matrik MISI 1'!O8</f>
        <v>Ha</v>
      </c>
      <c r="J565" s="929">
        <f>'matrik MISI 1'!P8</f>
        <v>200</v>
      </c>
      <c r="K565" s="929">
        <f>'matrik MISI 1'!Q8</f>
        <v>300</v>
      </c>
      <c r="L565" s="929">
        <f>'matrik MISI 1'!R8</f>
        <v>400</v>
      </c>
      <c r="M565" s="961"/>
      <c r="N565" s="929">
        <f>'matrik MISI 1'!S8</f>
        <v>550</v>
      </c>
      <c r="O565" s="929"/>
      <c r="P565" s="929">
        <f>'matrik MISI 1'!T8</f>
        <v>750</v>
      </c>
      <c r="Q565" s="929"/>
      <c r="R565" s="929">
        <f>'matrik MISI 1'!U8</f>
        <v>1000</v>
      </c>
      <c r="S565" s="929"/>
      <c r="T565" s="929">
        <f>'matrik MISI 1'!V8</f>
        <v>1300</v>
      </c>
      <c r="U565" s="929"/>
      <c r="V565" s="929">
        <f>'matrik MISI 1'!W8</f>
        <v>1300</v>
      </c>
      <c r="W565" s="929"/>
      <c r="X565" s="929" t="str">
        <f>'matrik MISI 1'!X8</f>
        <v>DINTANBUNHUT</v>
      </c>
      <c r="Y565" s="164" t="str">
        <f>'matrik MISI 1'!Y8</f>
        <v>Cukup Jelas</v>
      </c>
      <c r="Z565" s="164" t="str">
        <f>'matrik MISI 1'!Z8</f>
        <v>Luas baku lahan yang siap digunakan untuk pertanian organik untuk komoditas padi, jagung dan kopi</v>
      </c>
    </row>
    <row r="566" spans="2:26" ht="135">
      <c r="B566" s="940"/>
      <c r="C566" s="941"/>
      <c r="D566" s="940"/>
      <c r="E566" s="940"/>
      <c r="F566" s="940"/>
      <c r="G566" s="940"/>
      <c r="H566" s="164" t="str">
        <f>'matrik MISI 1'!N9</f>
        <v>Besaran Peningkatan Jumlah Alat Mesin Pertanian dan Perkebunan</v>
      </c>
      <c r="I566" s="164" t="str">
        <f>'matrik MISI 1'!O9</f>
        <v>Unit</v>
      </c>
      <c r="J566" s="929">
        <f>'matrik MISI 1'!P9</f>
        <v>882</v>
      </c>
      <c r="K566" s="929">
        <f>'matrik MISI 1'!Q9</f>
        <v>1022</v>
      </c>
      <c r="L566" s="929">
        <f>'matrik MISI 1'!R9</f>
        <v>1072</v>
      </c>
      <c r="M566" s="961"/>
      <c r="N566" s="929">
        <f>'matrik MISI 1'!S9</f>
        <v>1122</v>
      </c>
      <c r="O566" s="929"/>
      <c r="P566" s="929">
        <f>'matrik MISI 1'!T9</f>
        <v>1172</v>
      </c>
      <c r="Q566" s="929"/>
      <c r="R566" s="929">
        <f>'matrik MISI 1'!U9</f>
        <v>1222</v>
      </c>
      <c r="S566" s="929"/>
      <c r="T566" s="929">
        <f>'matrik MISI 1'!V9</f>
        <v>1272</v>
      </c>
      <c r="U566" s="929"/>
      <c r="V566" s="929">
        <f>'matrik MISI 1'!W9</f>
        <v>1272</v>
      </c>
      <c r="W566" s="929"/>
      <c r="X566" s="929" t="str">
        <f>'matrik MISI 1'!X9</f>
        <v>DINTANBUNHUT</v>
      </c>
      <c r="Y566" s="164" t="str">
        <f>'matrik MISI 1'!Y9</f>
        <v>Cukup Jelas</v>
      </c>
      <c r="Z566" s="164" t="str">
        <f>'matrik MISI 1'!Z9</f>
        <v xml:space="preserve">*Jenis alat mesin pertanian perkebunan yang dihitung : handtraktor, kultivator, pompa air, pemipil jagung, pengupas kopi, perajang tembakau </v>
      </c>
    </row>
    <row r="567" spans="2:26" ht="75">
      <c r="B567" s="940"/>
      <c r="C567" s="941"/>
      <c r="D567" s="940"/>
      <c r="E567" s="940"/>
      <c r="F567" s="940"/>
      <c r="G567" s="940"/>
      <c r="H567" s="164" t="str">
        <f>'matrik MISI 1'!N10</f>
        <v>Angka Kelahiran anak sapi (pedet)  melalui Inseminasi Buatan</v>
      </c>
      <c r="I567" s="164" t="str">
        <f>'matrik MISI 1'!O10</f>
        <v>%</v>
      </c>
      <c r="J567" s="929" t="str">
        <f>'matrik MISI 1'!P10</f>
        <v>59,76</v>
      </c>
      <c r="K567" s="929">
        <f>'matrik MISI 1'!Q10</f>
        <v>60</v>
      </c>
      <c r="L567" s="929">
        <f>'matrik MISI 1'!R10</f>
        <v>62</v>
      </c>
      <c r="M567" s="961"/>
      <c r="N567" s="929">
        <f>'matrik MISI 1'!S10</f>
        <v>64</v>
      </c>
      <c r="O567" s="929"/>
      <c r="P567" s="929">
        <f>'matrik MISI 1'!T10</f>
        <v>66</v>
      </c>
      <c r="Q567" s="929"/>
      <c r="R567" s="929">
        <f>'matrik MISI 1'!U10</f>
        <v>68</v>
      </c>
      <c r="S567" s="929"/>
      <c r="T567" s="929">
        <f>'matrik MISI 1'!V10</f>
        <v>70</v>
      </c>
      <c r="U567" s="929"/>
      <c r="V567" s="929">
        <f>'matrik MISI 1'!W10</f>
        <v>70</v>
      </c>
      <c r="W567" s="929"/>
      <c r="X567" s="929" t="str">
        <f>'matrik MISI 1'!X10</f>
        <v>DINAKAN</v>
      </c>
      <c r="Y567" s="164" t="str">
        <f>'matrik MISI 1'!Y10</f>
        <v>Jumlah kelahiran anak sapi (pedet) dibagi jumlah penggunaan straw  kali 100%</v>
      </c>
      <c r="Z567" s="164">
        <f>'matrik MISI 1'!Z10</f>
        <v>0</v>
      </c>
    </row>
    <row r="568" spans="2:26" ht="90">
      <c r="B568" s="940"/>
      <c r="C568" s="941"/>
      <c r="D568" s="940"/>
      <c r="E568" s="940"/>
      <c r="F568" s="940"/>
      <c r="G568" s="940"/>
      <c r="H568" s="164" t="str">
        <f>'matrik MISI 1'!N11</f>
        <v>Persentase Peningkatan Penggunaan Bibit dan benih unggul</v>
      </c>
      <c r="I568" s="164" t="str">
        <f>'matrik MISI 1'!O11</f>
        <v>%</v>
      </c>
      <c r="J568" s="929">
        <f>'matrik MISI 1'!P11</f>
        <v>55</v>
      </c>
      <c r="K568" s="929">
        <f>'matrik MISI 1'!Q11</f>
        <v>60</v>
      </c>
      <c r="L568" s="929">
        <f>'matrik MISI 1'!R11</f>
        <v>60</v>
      </c>
      <c r="M568" s="961"/>
      <c r="N568" s="929">
        <f>'matrik MISI 1'!S11</f>
        <v>65</v>
      </c>
      <c r="O568" s="929"/>
      <c r="P568" s="929">
        <f>'matrik MISI 1'!T11</f>
        <v>65</v>
      </c>
      <c r="Q568" s="929"/>
      <c r="R568" s="929">
        <f>'matrik MISI 1'!U11</f>
        <v>70</v>
      </c>
      <c r="S568" s="929"/>
      <c r="T568" s="929">
        <f>'matrik MISI 1'!V11</f>
        <v>70</v>
      </c>
      <c r="U568" s="929"/>
      <c r="V568" s="929">
        <f>'matrik MISI 1'!W11</f>
        <v>70</v>
      </c>
      <c r="W568" s="929"/>
      <c r="X568" s="929" t="str">
        <f>'matrik MISI 1'!X11</f>
        <v>DINTANBUNHUT</v>
      </c>
      <c r="Y568" s="164" t="str">
        <f>'matrik MISI 1'!Y11</f>
        <v>Luas Areal tanam komoditi yang menggunakan benih unggul dibagi total luas tanam komoditi kali 100%</v>
      </c>
      <c r="Z568" s="164" t="str">
        <f>'matrik MISI 1'!Z11</f>
        <v>komoditi padi, jagung, kopi, tembakau</v>
      </c>
    </row>
    <row r="569" spans="2:26" ht="60" hidden="1">
      <c r="B569" s="940"/>
      <c r="C569" s="941"/>
      <c r="D569" s="940" t="str">
        <f>'matrik MISI 1'!J12</f>
        <v>2.01</v>
      </c>
      <c r="E569" s="940" t="str">
        <f>'matrik MISI 1'!K12</f>
        <v>xx</v>
      </c>
      <c r="F569" s="940">
        <f>'matrik MISI 1'!L12</f>
        <v>17</v>
      </c>
      <c r="G569" s="940" t="str">
        <f>'matrik MISI 1'!M12</f>
        <v>Program Peningkatan Pemasaran hasil produksi pertanian/perkebunan</v>
      </c>
      <c r="H569" s="164"/>
      <c r="I569" s="164"/>
      <c r="J569" s="929"/>
      <c r="K569" s="929"/>
      <c r="L569" s="929"/>
      <c r="M569" s="961">
        <f>'jangan dihapus 2'!K498</f>
        <v>340000000</v>
      </c>
      <c r="N569" s="961"/>
      <c r="O569" s="961">
        <f>'jangan dihapus 2'!M498</f>
        <v>370000000</v>
      </c>
      <c r="P569" s="961"/>
      <c r="Q569" s="961">
        <f>'jangan dihapus 2'!O498</f>
        <v>405000000</v>
      </c>
      <c r="R569" s="961"/>
      <c r="S569" s="961">
        <f>'jangan dihapus 2'!Q498</f>
        <v>415000000</v>
      </c>
      <c r="T569" s="961"/>
      <c r="U569" s="961">
        <f>'jangan dihapus 2'!S498</f>
        <v>420000000</v>
      </c>
      <c r="V569" s="961"/>
      <c r="W569" s="961">
        <f>SUM(M569:U569)</f>
        <v>1950000000</v>
      </c>
      <c r="X569" s="929"/>
      <c r="Y569" s="164"/>
      <c r="Z569" s="164"/>
    </row>
    <row r="570" spans="2:26" ht="60">
      <c r="B570" s="940"/>
      <c r="C570" s="941"/>
      <c r="D570" s="939"/>
      <c r="E570" s="939"/>
      <c r="F570" s="939"/>
      <c r="G570" s="939"/>
      <c r="H570" s="164" t="str">
        <f>'matrik MISI 1'!N12</f>
        <v>Besaran Peningkatan Pemasaran Hasil Pertanian</v>
      </c>
      <c r="I570" s="164" t="str">
        <f>'matrik MISI 1'!O12</f>
        <v>Kelompok</v>
      </c>
      <c r="J570" s="929">
        <f>'matrik MISI 1'!P12</f>
        <v>1</v>
      </c>
      <c r="K570" s="929">
        <f>'matrik MISI 1'!Q12</f>
        <v>2</v>
      </c>
      <c r="L570" s="929">
        <f>'matrik MISI 1'!R12</f>
        <v>4</v>
      </c>
      <c r="M570" s="961"/>
      <c r="N570" s="929">
        <f>'matrik MISI 1'!S12</f>
        <v>6</v>
      </c>
      <c r="O570" s="929"/>
      <c r="P570" s="929">
        <f>'matrik MISI 1'!T12</f>
        <v>8</v>
      </c>
      <c r="Q570" s="929"/>
      <c r="R570" s="929">
        <f>'matrik MISI 1'!U12</f>
        <v>10</v>
      </c>
      <c r="S570" s="929"/>
      <c r="T570" s="929">
        <f>'matrik MISI 1'!V12</f>
        <v>12</v>
      </c>
      <c r="U570" s="929"/>
      <c r="V570" s="929">
        <f>'matrik MISI 1'!W12</f>
        <v>12</v>
      </c>
      <c r="W570" s="929"/>
      <c r="X570" s="929" t="str">
        <f>'matrik MISI 1'!X12</f>
        <v>DINTANBUNHUT</v>
      </c>
      <c r="Y570" s="164">
        <f>'matrik MISI 1'!Y12</f>
        <v>0</v>
      </c>
      <c r="Z570" s="164" t="str">
        <f>'matrik MISI 1'!Z12</f>
        <v xml:space="preserve">Komoditas unggulan :  buncis, cabai, sayuran daun, labu siam, kopi, jahe, salak; </v>
      </c>
    </row>
    <row r="571" spans="2:26" ht="45" hidden="1">
      <c r="B571" s="940"/>
      <c r="C571" s="941"/>
      <c r="D571" s="940" t="str">
        <f>'matrik MISI 1'!J13</f>
        <v>2.01</v>
      </c>
      <c r="E571" s="940" t="str">
        <f>'matrik MISI 1'!K13</f>
        <v>xx</v>
      </c>
      <c r="F571" s="940">
        <f>'matrik MISI 1'!L13</f>
        <v>19</v>
      </c>
      <c r="G571" s="940" t="str">
        <f>'matrik MISI 1'!M13</f>
        <v>Program peningkatan produksi pertanian/perkebunan</v>
      </c>
      <c r="H571" s="164"/>
      <c r="I571" s="164"/>
      <c r="J571" s="929"/>
      <c r="K571" s="929"/>
      <c r="L571" s="929"/>
      <c r="M571" s="961">
        <f>'jangan dihapus 2'!K553</f>
        <v>150000000</v>
      </c>
      <c r="N571" s="961"/>
      <c r="O571" s="961">
        <f>'jangan dihapus 2'!M553</f>
        <v>150000000</v>
      </c>
      <c r="P571" s="961"/>
      <c r="Q571" s="961">
        <f>'jangan dihapus 2'!O553</f>
        <v>150000000</v>
      </c>
      <c r="R571" s="961"/>
      <c r="S571" s="961">
        <f>'jangan dihapus 2'!Q553</f>
        <v>150000000</v>
      </c>
      <c r="T571" s="961"/>
      <c r="U571" s="961">
        <f>'jangan dihapus 2'!S553</f>
        <v>150000000</v>
      </c>
      <c r="V571" s="929"/>
      <c r="W571" s="961">
        <f>SUM(M571:U571)</f>
        <v>750000000</v>
      </c>
      <c r="X571" s="929"/>
      <c r="Y571" s="164"/>
      <c r="Z571" s="164"/>
    </row>
    <row r="572" spans="2:26" ht="75">
      <c r="B572" s="940"/>
      <c r="C572" s="941"/>
      <c r="D572" s="939"/>
      <c r="E572" s="939"/>
      <c r="F572" s="939"/>
      <c r="G572" s="939"/>
      <c r="H572" s="164" t="str">
        <f>'matrik MISI 1'!N13</f>
        <v>Persentase Penanganan Serangan Hama Penyakit</v>
      </c>
      <c r="I572" s="164" t="str">
        <f>'matrik MISI 1'!O13</f>
        <v>%</v>
      </c>
      <c r="J572" s="929">
        <f>'matrik MISI 1'!P13</f>
        <v>60</v>
      </c>
      <c r="K572" s="929">
        <f>'matrik MISI 1'!Q13</f>
        <v>60</v>
      </c>
      <c r="L572" s="929">
        <f>'matrik MISI 1'!R13</f>
        <v>75</v>
      </c>
      <c r="M572" s="961"/>
      <c r="N572" s="929">
        <f>'matrik MISI 1'!S13</f>
        <v>75</v>
      </c>
      <c r="O572" s="929"/>
      <c r="P572" s="929">
        <f>'matrik MISI 1'!T13</f>
        <v>80</v>
      </c>
      <c r="Q572" s="929"/>
      <c r="R572" s="929">
        <f>'matrik MISI 1'!U13</f>
        <v>80</v>
      </c>
      <c r="S572" s="929"/>
      <c r="T572" s="929">
        <f>'matrik MISI 1'!V13</f>
        <v>85</v>
      </c>
      <c r="U572" s="929"/>
      <c r="V572" s="929">
        <f>'matrik MISI 1'!W13</f>
        <v>85</v>
      </c>
      <c r="W572" s="929"/>
      <c r="X572" s="929" t="str">
        <f>'matrik MISI 1'!X13</f>
        <v>DINTANBUNHUT</v>
      </c>
      <c r="Y572" s="164" t="str">
        <f>'matrik MISI 1'!Y13</f>
        <v>Luas serangan hama dan penyakit yang tertangani dibagi Luas serangan hama dan penyakit kali 100%</v>
      </c>
      <c r="Z572" s="164" t="str">
        <f>'matrik MISI 1'!Z13</f>
        <v>komoditi padi, jagung</v>
      </c>
    </row>
    <row r="573" spans="2:26" ht="45" hidden="1">
      <c r="B573" s="940"/>
      <c r="C573" s="941"/>
      <c r="D573" s="940" t="str">
        <f>'matrik MISI 1'!J14</f>
        <v>2.01</v>
      </c>
      <c r="E573" s="940" t="str">
        <f>'matrik MISI 1'!K14</f>
        <v>xx</v>
      </c>
      <c r="F573" s="940">
        <f>'matrik MISI 1'!L14</f>
        <v>21</v>
      </c>
      <c r="G573" s="940" t="str">
        <f>'matrik MISI 1'!M14</f>
        <v>Program pencegahan dan penanggulangan penyakit ternak</v>
      </c>
      <c r="H573" s="164"/>
      <c r="I573" s="164"/>
      <c r="J573" s="929"/>
      <c r="K573" s="929"/>
      <c r="L573" s="929"/>
      <c r="M573" s="961">
        <f>'jangan dihapus 2'!K561</f>
        <v>307670000</v>
      </c>
      <c r="N573" s="961"/>
      <c r="O573" s="961">
        <f>'jangan dihapus 2'!M561</f>
        <v>365000000</v>
      </c>
      <c r="P573" s="961"/>
      <c r="Q573" s="961">
        <f>'jangan dihapus 2'!O561</f>
        <v>420000000</v>
      </c>
      <c r="R573" s="961"/>
      <c r="S573" s="961">
        <f>'jangan dihapus 2'!Q561</f>
        <v>470000000</v>
      </c>
      <c r="T573" s="961"/>
      <c r="U573" s="961">
        <f>'jangan dihapus 2'!S561</f>
        <v>525000000</v>
      </c>
      <c r="V573" s="929"/>
      <c r="W573" s="961">
        <f>SUM(M573:U573)</f>
        <v>2087670000</v>
      </c>
      <c r="X573" s="929"/>
      <c r="Y573" s="164"/>
      <c r="Z573" s="164"/>
    </row>
    <row r="574" spans="2:26" ht="90">
      <c r="B574" s="940"/>
      <c r="C574" s="941"/>
      <c r="D574" s="939"/>
      <c r="E574" s="939"/>
      <c r="F574" s="939"/>
      <c r="G574" s="939"/>
      <c r="H574" s="164" t="str">
        <f>'matrik MISI 1'!N14</f>
        <v>Angka Kematian Ternak unggas</v>
      </c>
      <c r="I574" s="164" t="str">
        <f>'matrik MISI 1'!O14</f>
        <v>%</v>
      </c>
      <c r="J574" s="929">
        <f>'matrik MISI 1'!P14</f>
        <v>2</v>
      </c>
      <c r="K574" s="929">
        <f>'matrik MISI 1'!Q14</f>
        <v>2</v>
      </c>
      <c r="L574" s="929">
        <f>'matrik MISI 1'!R14</f>
        <v>2</v>
      </c>
      <c r="M574" s="961"/>
      <c r="N574" s="929">
        <f>'matrik MISI 1'!S14</f>
        <v>2</v>
      </c>
      <c r="O574" s="929"/>
      <c r="P574" s="929">
        <f>'matrik MISI 1'!T14</f>
        <v>2</v>
      </c>
      <c r="Q574" s="929"/>
      <c r="R574" s="929">
        <f>'matrik MISI 1'!U14</f>
        <v>2</v>
      </c>
      <c r="S574" s="929"/>
      <c r="T574" s="929">
        <f>'matrik MISI 1'!V14</f>
        <v>2</v>
      </c>
      <c r="U574" s="929"/>
      <c r="V574" s="929">
        <f>'matrik MISI 1'!W14</f>
        <v>2</v>
      </c>
      <c r="W574" s="929"/>
      <c r="X574" s="929" t="str">
        <f>'matrik MISI 1'!X14</f>
        <v>DINAKAN</v>
      </c>
      <c r="Y574" s="164" t="str">
        <f>'matrik MISI 1'!Y14</f>
        <v>Jumlah hewan yang mati karena penyakit dibagi jumlah total populasi yang bersangkutan kali 100%</v>
      </c>
      <c r="Z574" s="164" t="str">
        <f>'matrik MISI 1'!Z14</f>
        <v>menurunnya angka kematian (unggas, ternak kecil, ternak besar)</v>
      </c>
    </row>
    <row r="575" spans="2:26">
      <c r="B575" s="940"/>
      <c r="C575" s="941"/>
      <c r="D575" s="940"/>
      <c r="E575" s="940"/>
      <c r="F575" s="940"/>
      <c r="G575" s="940"/>
      <c r="H575" s="164" t="str">
        <f>'matrik MISI 1'!N15</f>
        <v>Angka Kematian Ternak kecil</v>
      </c>
      <c r="I575" s="164" t="str">
        <f>'matrik MISI 1'!O15</f>
        <v>%</v>
      </c>
      <c r="J575" s="929">
        <f>'matrik MISI 1'!P15</f>
        <v>0.1</v>
      </c>
      <c r="K575" s="929">
        <f>'matrik MISI 1'!Q15</f>
        <v>0.1</v>
      </c>
      <c r="L575" s="929">
        <f>'matrik MISI 1'!R15</f>
        <v>0.1</v>
      </c>
      <c r="M575" s="961"/>
      <c r="N575" s="929">
        <f>'matrik MISI 1'!S15</f>
        <v>0.1</v>
      </c>
      <c r="O575" s="929"/>
      <c r="P575" s="929">
        <f>'matrik MISI 1'!T15</f>
        <v>0.1</v>
      </c>
      <c r="Q575" s="929"/>
      <c r="R575" s="929">
        <f>'matrik MISI 1'!U15</f>
        <v>0.1</v>
      </c>
      <c r="S575" s="929"/>
      <c r="T575" s="929">
        <f>'matrik MISI 1'!V15</f>
        <v>0.1</v>
      </c>
      <c r="U575" s="929"/>
      <c r="V575" s="929">
        <f>'matrik MISI 1'!W15</f>
        <v>0.1</v>
      </c>
      <c r="W575" s="929"/>
      <c r="X575" s="929">
        <f>'matrik MISI 1'!X15</f>
        <v>0</v>
      </c>
      <c r="Y575" s="164">
        <f>'matrik MISI 1'!Y15</f>
        <v>0</v>
      </c>
      <c r="Z575" s="164">
        <f>'matrik MISI 1'!Z15</f>
        <v>0</v>
      </c>
    </row>
    <row r="576" spans="2:26">
      <c r="B576" s="940"/>
      <c r="C576" s="941"/>
      <c r="D576" s="940"/>
      <c r="E576" s="940"/>
      <c r="F576" s="940"/>
      <c r="G576" s="940"/>
      <c r="H576" s="164" t="str">
        <f>'matrik MISI 1'!N16</f>
        <v>Angka Kematian Ternak besar</v>
      </c>
      <c r="I576" s="164" t="str">
        <f>'matrik MISI 1'!O16</f>
        <v>%</v>
      </c>
      <c r="J576" s="929">
        <f>'matrik MISI 1'!P16</f>
        <v>0.1</v>
      </c>
      <c r="K576" s="929">
        <f>'matrik MISI 1'!Q16</f>
        <v>0.1</v>
      </c>
      <c r="L576" s="929">
        <f>'matrik MISI 1'!R16</f>
        <v>0.1</v>
      </c>
      <c r="M576" s="961"/>
      <c r="N576" s="929">
        <f>'matrik MISI 1'!S16</f>
        <v>0.1</v>
      </c>
      <c r="O576" s="929"/>
      <c r="P576" s="929">
        <f>'matrik MISI 1'!T16</f>
        <v>0.1</v>
      </c>
      <c r="Q576" s="929"/>
      <c r="R576" s="929">
        <f>'matrik MISI 1'!U16</f>
        <v>0.1</v>
      </c>
      <c r="S576" s="929"/>
      <c r="T576" s="929">
        <f>'matrik MISI 1'!V16</f>
        <v>0.1</v>
      </c>
      <c r="U576" s="929"/>
      <c r="V576" s="929">
        <f>'matrik MISI 1'!W16</f>
        <v>0.1</v>
      </c>
      <c r="W576" s="929"/>
      <c r="X576" s="929">
        <f>'matrik MISI 1'!X16</f>
        <v>0</v>
      </c>
      <c r="Y576" s="164">
        <f>'matrik MISI 1'!Y16</f>
        <v>0</v>
      </c>
      <c r="Z576" s="164">
        <f>'matrik MISI 1'!Z16</f>
        <v>0</v>
      </c>
    </row>
    <row r="577" spans="2:26" ht="60" hidden="1">
      <c r="B577" s="940"/>
      <c r="C577" s="941"/>
      <c r="D577" s="940" t="str">
        <f>'matrik MISI 1'!J18</f>
        <v>2.01</v>
      </c>
      <c r="E577" s="940" t="str">
        <f>'matrik MISI 1'!K18</f>
        <v>xx</v>
      </c>
      <c r="F577" s="940">
        <f>'matrik MISI 1'!L18</f>
        <v>19</v>
      </c>
      <c r="G577" s="940" t="str">
        <f>'matrik MISI 1'!M18</f>
        <v>Program Peningkatan Produksi Pertanian/Perkebunan/peternakan</v>
      </c>
      <c r="H577" s="164"/>
      <c r="I577" s="164"/>
      <c r="J577" s="929"/>
      <c r="K577" s="929"/>
      <c r="L577" s="929"/>
      <c r="M577" s="961">
        <f>'jangan dihapus 2'!K524-'tabel BAB IX'!M603-'tabel BAB IX'!M571</f>
        <v>5256000000</v>
      </c>
      <c r="N577" s="961"/>
      <c r="O577" s="961">
        <f>'jangan dihapus 2'!M524-'tabel BAB IX'!O603-'tabel BAB IX'!O571</f>
        <v>6040000000</v>
      </c>
      <c r="P577" s="961"/>
      <c r="Q577" s="961">
        <f>'jangan dihapus 2'!O524-'tabel BAB IX'!Q603-'tabel BAB IX'!Q571</f>
        <v>6192500000</v>
      </c>
      <c r="R577" s="961">
        <f>'jangan dihapus 2'!P524</f>
        <v>0</v>
      </c>
      <c r="S577" s="961">
        <f>'jangan dihapus 2'!Q524-'tabel BAB IX'!S603-'tabel BAB IX'!S571</f>
        <v>6482500000</v>
      </c>
      <c r="T577" s="961">
        <f>'jangan dihapus 2'!R524</f>
        <v>0</v>
      </c>
      <c r="U577" s="961">
        <f>'jangan dihapus 2'!S524-'tabel BAB IX'!U603-'tabel BAB IX'!U571</f>
        <v>6587500000</v>
      </c>
      <c r="V577" s="929"/>
      <c r="W577" s="961">
        <f>SUM(M577:U577)</f>
        <v>30558500000</v>
      </c>
      <c r="X577" s="929"/>
      <c r="Y577" s="164"/>
      <c r="Z577" s="164"/>
    </row>
    <row r="578" spans="2:26" ht="30">
      <c r="B578" s="940"/>
      <c r="C578" s="941"/>
      <c r="D578" s="939"/>
      <c r="E578" s="939"/>
      <c r="F578" s="939"/>
      <c r="G578" s="939"/>
      <c r="H578" s="164" t="str">
        <f>'matrik MISI 1'!N18</f>
        <v xml:space="preserve">Peningkatan produktifitas Padi </v>
      </c>
      <c r="I578" s="164" t="str">
        <f>'matrik MISI 1'!O18</f>
        <v>Ton/Ha</v>
      </c>
      <c r="J578" s="929" t="str">
        <f>'matrik MISI 1'!P18</f>
        <v>6,15</v>
      </c>
      <c r="K578" s="929">
        <f>'matrik MISI 1'!Q18</f>
        <v>5.67</v>
      </c>
      <c r="L578" s="929" t="str">
        <f>'matrik MISI 1'!R18</f>
        <v>6,19</v>
      </c>
      <c r="M578" s="961"/>
      <c r="N578" s="929" t="str">
        <f>'matrik MISI 1'!S18</f>
        <v>6,38</v>
      </c>
      <c r="O578" s="929"/>
      <c r="P578" s="929" t="str">
        <f>'matrik MISI 1'!T18</f>
        <v>6,58</v>
      </c>
      <c r="Q578" s="929"/>
      <c r="R578" s="929" t="str">
        <f>'matrik MISI 1'!U18</f>
        <v>6,78</v>
      </c>
      <c r="S578" s="929"/>
      <c r="T578" s="929" t="str">
        <f>'matrik MISI 1'!V18</f>
        <v>6,99</v>
      </c>
      <c r="U578" s="929"/>
      <c r="V578" s="929" t="str">
        <f>'matrik MISI 1'!W18</f>
        <v>6,99</v>
      </c>
      <c r="W578" s="929"/>
      <c r="X578" s="929" t="str">
        <f>'matrik MISI 1'!X18</f>
        <v>DINTANBUNHUT</v>
      </c>
      <c r="Y578" s="164" t="str">
        <f>'matrik MISI 1'!Y18</f>
        <v>Total Produksi dibagi Luas Panen</v>
      </c>
      <c r="Z578" s="164">
        <f>'matrik MISI 1'!Z18</f>
        <v>0</v>
      </c>
    </row>
    <row r="579" spans="2:26" ht="30">
      <c r="B579" s="940"/>
      <c r="C579" s="941"/>
      <c r="D579" s="940"/>
      <c r="E579" s="940"/>
      <c r="F579" s="940"/>
      <c r="G579" s="940"/>
      <c r="H579" s="164" t="str">
        <f>'matrik MISI 1'!N19</f>
        <v>Peningkatan produktifitas Jagung</v>
      </c>
      <c r="I579" s="164" t="str">
        <f>'matrik MISI 1'!O19</f>
        <v>Ton/Ha</v>
      </c>
      <c r="J579" s="929" t="str">
        <f>'matrik MISI 1'!P19</f>
        <v>5,6</v>
      </c>
      <c r="K579" s="929" t="str">
        <f>'matrik MISI 1'!Q19</f>
        <v>5,6</v>
      </c>
      <c r="L579" s="929" t="str">
        <f>'matrik MISI 1'!R19</f>
        <v>5,77</v>
      </c>
      <c r="M579" s="961"/>
      <c r="N579" s="929" t="str">
        <f>'matrik MISI 1'!S19</f>
        <v>6,03</v>
      </c>
      <c r="O579" s="929"/>
      <c r="P579" s="929" t="str">
        <f>'matrik MISI 1'!T19</f>
        <v>6,30</v>
      </c>
      <c r="Q579" s="929"/>
      <c r="R579" s="929" t="str">
        <f>'matrik MISI 1'!U19</f>
        <v>6,58</v>
      </c>
      <c r="S579" s="929"/>
      <c r="T579" s="929" t="str">
        <f>'matrik MISI 1'!V19</f>
        <v>6,88</v>
      </c>
      <c r="U579" s="929"/>
      <c r="V579" s="929" t="str">
        <f>'matrik MISI 1'!W19</f>
        <v>6,88</v>
      </c>
      <c r="W579" s="929"/>
      <c r="X579" s="929" t="str">
        <f>'matrik MISI 1'!X19</f>
        <v>DINTANBUNHUT</v>
      </c>
      <c r="Y579" s="164" t="str">
        <f>'matrik MISI 1'!Y19</f>
        <v>Total Produksi dibagi Luas Panen</v>
      </c>
      <c r="Z579" s="164">
        <f>'matrik MISI 1'!Z19</f>
        <v>0</v>
      </c>
    </row>
    <row r="580" spans="2:26" ht="30">
      <c r="B580" s="940"/>
      <c r="C580" s="941"/>
      <c r="D580" s="940"/>
      <c r="E580" s="940"/>
      <c r="F580" s="940"/>
      <c r="G580" s="940"/>
      <c r="H580" s="164" t="str">
        <f>'matrik MISI 1'!N20</f>
        <v>Peningkatan produktifitas Ubi kayu</v>
      </c>
      <c r="I580" s="164" t="str">
        <f>'matrik MISI 1'!O20</f>
        <v>Ton/Ha</v>
      </c>
      <c r="J580" s="929" t="str">
        <f>'matrik MISI 1'!P20</f>
        <v>24,48</v>
      </c>
      <c r="K580" s="929" t="str">
        <f>'matrik MISI 1'!Q20</f>
        <v>25,01</v>
      </c>
      <c r="L580" s="929" t="str">
        <f>'matrik MISI 1'!R20</f>
        <v>25,51</v>
      </c>
      <c r="M580" s="961"/>
      <c r="N580" s="929" t="str">
        <f>'matrik MISI 1'!S20</f>
        <v>26,02</v>
      </c>
      <c r="O580" s="929"/>
      <c r="P580" s="929" t="str">
        <f>'matrik MISI 1'!T20</f>
        <v>26,54</v>
      </c>
      <c r="Q580" s="929"/>
      <c r="R580" s="929" t="str">
        <f>'matrik MISI 1'!U20</f>
        <v>27,07</v>
      </c>
      <c r="S580" s="929"/>
      <c r="T580" s="929" t="str">
        <f>'matrik MISI 1'!V20</f>
        <v>27,61</v>
      </c>
      <c r="U580" s="929"/>
      <c r="V580" s="929" t="str">
        <f>'matrik MISI 1'!W20</f>
        <v>27,61</v>
      </c>
      <c r="W580" s="929"/>
      <c r="X580" s="929" t="str">
        <f>'matrik MISI 1'!X20</f>
        <v>DINTANBUNHUT</v>
      </c>
      <c r="Y580" s="164" t="str">
        <f>'matrik MISI 1'!Y20</f>
        <v>Total Produksi dibagi Luas Panen</v>
      </c>
      <c r="Z580" s="164">
        <f>'matrik MISI 1'!Z20</f>
        <v>0</v>
      </c>
    </row>
    <row r="581" spans="2:26" ht="75">
      <c r="B581" s="940"/>
      <c r="C581" s="941"/>
      <c r="D581" s="940"/>
      <c r="E581" s="940"/>
      <c r="F581" s="940"/>
      <c r="G581" s="940"/>
      <c r="H581" s="164" t="str">
        <f>'matrik MISI 1'!N21</f>
        <v>Peningkatan produktifitas Cabai</v>
      </c>
      <c r="I581" s="164" t="str">
        <f>'matrik MISI 1'!O21</f>
        <v>Ton/Ha</v>
      </c>
      <c r="J581" s="929" t="str">
        <f>'matrik MISI 1'!P21</f>
        <v>4,02</v>
      </c>
      <c r="K581" s="929">
        <f>'matrik MISI 1'!Q21</f>
        <v>6.15</v>
      </c>
      <c r="L581" s="929">
        <f>'matrik MISI 1'!R21</f>
        <v>6.16</v>
      </c>
      <c r="M581" s="961"/>
      <c r="N581" s="929">
        <f>'matrik MISI 1'!S21</f>
        <v>6.2</v>
      </c>
      <c r="O581" s="929"/>
      <c r="P581" s="929" t="str">
        <f>'matrik MISI 1'!T21</f>
        <v>6,30</v>
      </c>
      <c r="Q581" s="929"/>
      <c r="R581" s="929" t="str">
        <f>'matrik MISI 1'!U21</f>
        <v>6,50</v>
      </c>
      <c r="S581" s="929"/>
      <c r="T581" s="929" t="str">
        <f>'matrik MISI 1'!V21</f>
        <v>6,70</v>
      </c>
      <c r="U581" s="929"/>
      <c r="V581" s="929" t="str">
        <f>'matrik MISI 1'!W21</f>
        <v>6,70</v>
      </c>
      <c r="W581" s="929"/>
      <c r="X581" s="929" t="str">
        <f>'matrik MISI 1'!X21</f>
        <v>DINTANBUNHUT</v>
      </c>
      <c r="Y581" s="164" t="str">
        <f>'matrik MISI 1'!Y21</f>
        <v>Produktivitas kali luas panen</v>
      </c>
      <c r="Z581" s="164" t="str">
        <f>'matrik MISI 1'!Z21</f>
        <v>Peningkatan produksi 2% pertahun *produksi tahun 2013 merupakan angka estimasi</v>
      </c>
    </row>
    <row r="582" spans="2:26" ht="30">
      <c r="B582" s="940"/>
      <c r="C582" s="941"/>
      <c r="D582" s="940"/>
      <c r="E582" s="940"/>
      <c r="F582" s="940"/>
      <c r="G582" s="940"/>
      <c r="H582" s="164" t="str">
        <f>'matrik MISI 1'!N22</f>
        <v>Peningkatan produktifitas Kobis</v>
      </c>
      <c r="I582" s="164" t="str">
        <f>'matrik MISI 1'!O22</f>
        <v>Ton/Ha</v>
      </c>
      <c r="J582" s="929" t="str">
        <f>'matrik MISI 1'!P22</f>
        <v>23,90</v>
      </c>
      <c r="K582" s="929" t="str">
        <f>'matrik MISI 1'!Q22</f>
        <v>24,50</v>
      </c>
      <c r="L582" s="929" t="str">
        <f>'matrik MISI 1'!R22</f>
        <v>24,99</v>
      </c>
      <c r="M582" s="961"/>
      <c r="N582" s="929" t="str">
        <f>'matrik MISI 1'!S22</f>
        <v>25,49</v>
      </c>
      <c r="O582" s="929"/>
      <c r="P582" s="929" t="str">
        <f>'matrik MISI 1'!T22</f>
        <v>26,00</v>
      </c>
      <c r="Q582" s="929"/>
      <c r="R582" s="929" t="str">
        <f>'matrik MISI 1'!U22</f>
        <v>26,52</v>
      </c>
      <c r="S582" s="929"/>
      <c r="T582" s="929" t="str">
        <f>'matrik MISI 1'!V22</f>
        <v>27,05</v>
      </c>
      <c r="U582" s="929"/>
      <c r="V582" s="929" t="str">
        <f>'matrik MISI 1'!W22</f>
        <v>27,05</v>
      </c>
      <c r="W582" s="929"/>
      <c r="X582" s="929" t="str">
        <f>'matrik MISI 1'!X22</f>
        <v>DINTANBUNHUT</v>
      </c>
      <c r="Y582" s="164" t="str">
        <f>'matrik MISI 1'!Y22</f>
        <v>Total Produksi dibagi Luas Panen</v>
      </c>
      <c r="Z582" s="164">
        <f>'matrik MISI 1'!Z22</f>
        <v>0</v>
      </c>
    </row>
    <row r="583" spans="2:26" ht="30">
      <c r="B583" s="940"/>
      <c r="C583" s="941"/>
      <c r="D583" s="940"/>
      <c r="E583" s="940"/>
      <c r="F583" s="940"/>
      <c r="G583" s="940"/>
      <c r="H583" s="164" t="str">
        <f>'matrik MISI 1'!N23</f>
        <v>Peningkatan produktifitas Tembakau</v>
      </c>
      <c r="I583" s="164" t="str">
        <f>'matrik MISI 1'!O23</f>
        <v>Ton/Ha</v>
      </c>
      <c r="J583" s="929" t="str">
        <f>'matrik MISI 1'!P23</f>
        <v>0,64</v>
      </c>
      <c r="K583" s="929" t="str">
        <f>'matrik MISI 1'!Q23</f>
        <v>0,64</v>
      </c>
      <c r="L583" s="929" t="str">
        <f>'matrik MISI 1'!R23</f>
        <v>0,66</v>
      </c>
      <c r="M583" s="961"/>
      <c r="N583" s="929" t="str">
        <f>'matrik MISI 1'!S23</f>
        <v>0,69</v>
      </c>
      <c r="O583" s="929"/>
      <c r="P583" s="929" t="str">
        <f>'matrik MISI 1'!T23</f>
        <v>0,72</v>
      </c>
      <c r="Q583" s="929"/>
      <c r="R583" s="929" t="str">
        <f>'matrik MISI 1'!U23</f>
        <v>0,75</v>
      </c>
      <c r="S583" s="929"/>
      <c r="T583" s="929" t="str">
        <f>'matrik MISI 1'!V23</f>
        <v>0,79</v>
      </c>
      <c r="U583" s="929"/>
      <c r="V583" s="929" t="str">
        <f>'matrik MISI 1'!W23</f>
        <v>0,79</v>
      </c>
      <c r="W583" s="929"/>
      <c r="X583" s="929" t="str">
        <f>'matrik MISI 1'!X23</f>
        <v>DINTANBUNHUT</v>
      </c>
      <c r="Y583" s="164" t="str">
        <f>'matrik MISI 1'!Y23</f>
        <v>Total Produksi dibagi Luas Panen</v>
      </c>
      <c r="Z583" s="164">
        <f>'matrik MISI 1'!Z23</f>
        <v>0</v>
      </c>
    </row>
    <row r="584" spans="2:26" ht="30">
      <c r="B584" s="940"/>
      <c r="C584" s="941"/>
      <c r="D584" s="940"/>
      <c r="E584" s="940"/>
      <c r="F584" s="940"/>
      <c r="G584" s="940"/>
      <c r="H584" s="164" t="str">
        <f>'matrik MISI 1'!N24</f>
        <v>Peningkatan produktifitas Kopi Robusta</v>
      </c>
      <c r="I584" s="164" t="str">
        <f>'matrik MISI 1'!O24</f>
        <v>Ton/Ha</v>
      </c>
      <c r="J584" s="929" t="str">
        <f>'matrik MISI 1'!P24</f>
        <v>1,1</v>
      </c>
      <c r="K584" s="929" t="str">
        <f>'matrik MISI 1'!Q24</f>
        <v>0,91</v>
      </c>
      <c r="L584" s="929" t="str">
        <f>'matrik MISI 1'!R24</f>
        <v>0,95</v>
      </c>
      <c r="M584" s="961"/>
      <c r="N584" s="929" t="str">
        <f>'matrik MISI 1'!S24</f>
        <v>0,97</v>
      </c>
      <c r="O584" s="929"/>
      <c r="P584" s="929" t="str">
        <f>'matrik MISI 1'!T24</f>
        <v>0,99</v>
      </c>
      <c r="Q584" s="929"/>
      <c r="R584" s="929" t="str">
        <f>'matrik MISI 1'!U24</f>
        <v>1,00</v>
      </c>
      <c r="S584" s="929"/>
      <c r="T584" s="929" t="str">
        <f>'matrik MISI 1'!V24</f>
        <v>1,10</v>
      </c>
      <c r="U584" s="929"/>
      <c r="V584" s="929" t="str">
        <f>'matrik MISI 1'!W24</f>
        <v>1,10</v>
      </c>
      <c r="W584" s="929"/>
      <c r="X584" s="929" t="str">
        <f>'matrik MISI 1'!X24</f>
        <v>DINTANBUNHUT</v>
      </c>
      <c r="Y584" s="164" t="str">
        <f>'matrik MISI 1'!Y24</f>
        <v>Total Produksi dibagi Luas Panen</v>
      </c>
      <c r="Z584" s="164">
        <f>'matrik MISI 1'!Z24</f>
        <v>0</v>
      </c>
    </row>
    <row r="585" spans="2:26" ht="30">
      <c r="B585" s="940"/>
      <c r="C585" s="941"/>
      <c r="D585" s="940"/>
      <c r="E585" s="940"/>
      <c r="F585" s="940"/>
      <c r="G585" s="940"/>
      <c r="H585" s="164" t="str">
        <f>'matrik MISI 1'!N25</f>
        <v>Peningkatan produktifitas Kopi Arabika</v>
      </c>
      <c r="I585" s="164" t="str">
        <f>'matrik MISI 1'!O25</f>
        <v>Ton/Ha</v>
      </c>
      <c r="J585" s="929" t="str">
        <f>'matrik MISI 1'!P25</f>
        <v>0,95</v>
      </c>
      <c r="K585" s="929" t="str">
        <f>'matrik MISI 1'!Q25</f>
        <v>0,75</v>
      </c>
      <c r="L585" s="929" t="str">
        <f>'matrik MISI 1'!R25</f>
        <v>0,80</v>
      </c>
      <c r="M585" s="961"/>
      <c r="N585" s="929" t="str">
        <f>'matrik MISI 1'!S25</f>
        <v>0,82</v>
      </c>
      <c r="O585" s="929"/>
      <c r="P585" s="929" t="str">
        <f>'matrik MISI 1'!T25</f>
        <v>0,85</v>
      </c>
      <c r="Q585" s="929"/>
      <c r="R585" s="929" t="str">
        <f>'matrik MISI 1'!U25</f>
        <v>0,87</v>
      </c>
      <c r="S585" s="929"/>
      <c r="T585" s="929" t="str">
        <f>'matrik MISI 1'!V25</f>
        <v>0,90</v>
      </c>
      <c r="U585" s="929"/>
      <c r="V585" s="929" t="str">
        <f>'matrik MISI 1'!W25</f>
        <v>0,90</v>
      </c>
      <c r="W585" s="929"/>
      <c r="X585" s="929" t="str">
        <f>'matrik MISI 1'!X25</f>
        <v>DINTANBUNHUT</v>
      </c>
      <c r="Y585" s="164" t="str">
        <f>'matrik MISI 1'!Y25</f>
        <v>Produktivitas kali luas Panen</v>
      </c>
      <c r="Z585" s="164">
        <f>'matrik MISI 1'!Z25</f>
        <v>0</v>
      </c>
    </row>
    <row r="586" spans="2:26" ht="45" hidden="1">
      <c r="B586" s="940"/>
      <c r="C586" s="941"/>
      <c r="D586" s="940" t="str">
        <f>'matrik MISI 1'!J26</f>
        <v>2.01</v>
      </c>
      <c r="E586" s="940" t="str">
        <f>'matrik MISI 1'!K26</f>
        <v>xx</v>
      </c>
      <c r="F586" s="940">
        <f>'matrik MISI 1'!L26</f>
        <v>22</v>
      </c>
      <c r="G586" s="940" t="str">
        <f>'matrik MISI 1'!M26</f>
        <v>Program Peningkatan Produksi Hasil peternakan</v>
      </c>
      <c r="H586" s="164"/>
      <c r="I586" s="164"/>
      <c r="J586" s="929"/>
      <c r="K586" s="929"/>
      <c r="L586" s="929"/>
      <c r="M586" s="961">
        <f>'jangan dihapus 2'!K567</f>
        <v>40000000</v>
      </c>
      <c r="N586" s="929"/>
      <c r="O586" s="961">
        <f>'jangan dihapus 2'!M567</f>
        <v>75000000</v>
      </c>
      <c r="P586" s="929"/>
      <c r="Q586" s="961">
        <f>'jangan dihapus 2'!O567</f>
        <v>85000000</v>
      </c>
      <c r="R586" s="929"/>
      <c r="S586" s="961">
        <f>'jangan dihapus 2'!Q567</f>
        <v>85000000</v>
      </c>
      <c r="T586" s="929"/>
      <c r="U586" s="961">
        <f>'jangan dihapus 2'!S567</f>
        <v>90000000</v>
      </c>
      <c r="V586" s="929"/>
      <c r="W586" s="961">
        <f>SUM(M586:U586)</f>
        <v>375000000</v>
      </c>
      <c r="X586" s="929"/>
      <c r="Y586" s="164"/>
      <c r="Z586" s="164"/>
    </row>
    <row r="587" spans="2:26" ht="45">
      <c r="B587" s="940"/>
      <c r="C587" s="941"/>
      <c r="D587" s="939"/>
      <c r="E587" s="939"/>
      <c r="F587" s="939"/>
      <c r="G587" s="939"/>
      <c r="H587" s="164" t="str">
        <f>'matrik MISI 1'!N26</f>
        <v>Peningkatan Produktivitas daging Sapi</v>
      </c>
      <c r="I587" s="164" t="str">
        <f>'matrik MISI 1'!O26</f>
        <v>Kg/Ekor</v>
      </c>
      <c r="J587" s="929">
        <f>'matrik MISI 1'!P26</f>
        <v>159</v>
      </c>
      <c r="K587" s="929">
        <f>'matrik MISI 1'!Q26</f>
        <v>160</v>
      </c>
      <c r="L587" s="929" t="str">
        <f>'matrik MISI 1'!R26</f>
        <v xml:space="preserve">163,20 </v>
      </c>
      <c r="M587" s="961"/>
      <c r="N587" s="929" t="str">
        <f>'matrik MISI 1'!S26</f>
        <v>166,46</v>
      </c>
      <c r="O587" s="929"/>
      <c r="P587" s="929" t="str">
        <f>'matrik MISI 1'!T26</f>
        <v>169,79</v>
      </c>
      <c r="Q587" s="929"/>
      <c r="R587" s="929" t="str">
        <f>'matrik MISI 1'!U26</f>
        <v>173,19</v>
      </c>
      <c r="S587" s="929"/>
      <c r="T587" s="929" t="str">
        <f>'matrik MISI 1'!V26</f>
        <v>176,65</v>
      </c>
      <c r="U587" s="929"/>
      <c r="V587" s="929">
        <f>'matrik MISI 1'!W26</f>
        <v>176.65</v>
      </c>
      <c r="W587" s="929"/>
      <c r="X587" s="929" t="str">
        <f>'matrik MISI 1'!X26</f>
        <v>DINAKAN</v>
      </c>
      <c r="Y587" s="164" t="str">
        <f>'matrik MISI 1'!Y26</f>
        <v>Produktifitas sapi per ekor</v>
      </c>
      <c r="Z587" s="164" t="str">
        <f>'matrik MISI 1'!Z26</f>
        <v>produkstivitas adalah bobot daging yang dihasilkan per ekor</v>
      </c>
    </row>
    <row r="588" spans="2:26" ht="45">
      <c r="B588" s="940"/>
      <c r="C588" s="941"/>
      <c r="D588" s="940"/>
      <c r="E588" s="940"/>
      <c r="F588" s="940"/>
      <c r="G588" s="940"/>
      <c r="H588" s="164" t="str">
        <f>'matrik MISI 1'!N27</f>
        <v>Peningkatan Produktivitas daging Kambing</v>
      </c>
      <c r="I588" s="164" t="str">
        <f>'matrik MISI 1'!O27</f>
        <v>Kg/Ekor</v>
      </c>
      <c r="J588" s="929">
        <f>'matrik MISI 1'!P27</f>
        <v>12.5</v>
      </c>
      <c r="K588" s="929">
        <f>'matrik MISI 1'!Q27</f>
        <v>13</v>
      </c>
      <c r="L588" s="929" t="str">
        <f>'matrik MISI 1'!R27</f>
        <v>13,13</v>
      </c>
      <c r="M588" s="961"/>
      <c r="N588" s="929" t="str">
        <f>'matrik MISI 1'!S27</f>
        <v>13,26</v>
      </c>
      <c r="O588" s="929"/>
      <c r="P588" s="929" t="str">
        <f>'matrik MISI 1'!T27</f>
        <v>13,39</v>
      </c>
      <c r="Q588" s="929"/>
      <c r="R588" s="929" t="str">
        <f>'matrik MISI 1'!U27</f>
        <v>13,53</v>
      </c>
      <c r="S588" s="929"/>
      <c r="T588" s="929" t="str">
        <f>'matrik MISI 1'!V27</f>
        <v>13,66</v>
      </c>
      <c r="U588" s="929"/>
      <c r="V588" s="929" t="str">
        <f>'matrik MISI 1'!W27</f>
        <v>13,66</v>
      </c>
      <c r="W588" s="929"/>
      <c r="X588" s="929" t="str">
        <f>'matrik MISI 1'!X27</f>
        <v>DINAKAN</v>
      </c>
      <c r="Y588" s="164" t="str">
        <f>'matrik MISI 1'!Y27</f>
        <v>Produktifitas Kambing per ekor</v>
      </c>
      <c r="Z588" s="164" t="str">
        <f>'matrik MISI 1'!Z27</f>
        <v>produkstivitas adalah bobot daging yang dihasilkan per ekor</v>
      </c>
    </row>
    <row r="589" spans="2:26" ht="45">
      <c r="B589" s="940"/>
      <c r="C589" s="941"/>
      <c r="D589" s="940"/>
      <c r="E589" s="940"/>
      <c r="F589" s="940"/>
      <c r="G589" s="940"/>
      <c r="H589" s="164" t="str">
        <f>'matrik MISI 1'!N28</f>
        <v>Peningkatan Produktivitas daging Domba</v>
      </c>
      <c r="I589" s="164" t="str">
        <f>'matrik MISI 1'!O28</f>
        <v>Kg/Ekor</v>
      </c>
      <c r="J589" s="929">
        <f>'matrik MISI 1'!P28</f>
        <v>12.5</v>
      </c>
      <c r="K589" s="929">
        <f>'matrik MISI 1'!Q28</f>
        <v>13</v>
      </c>
      <c r="L589" s="929" t="str">
        <f>'matrik MISI 1'!R28</f>
        <v>13,13</v>
      </c>
      <c r="M589" s="961"/>
      <c r="N589" s="929" t="str">
        <f>'matrik MISI 1'!S28</f>
        <v>13,26</v>
      </c>
      <c r="O589" s="929"/>
      <c r="P589" s="929" t="str">
        <f>'matrik MISI 1'!T28</f>
        <v>13,39</v>
      </c>
      <c r="Q589" s="929"/>
      <c r="R589" s="929" t="str">
        <f>'matrik MISI 1'!U28</f>
        <v>13,53</v>
      </c>
      <c r="S589" s="929"/>
      <c r="T589" s="929" t="str">
        <f>'matrik MISI 1'!V28</f>
        <v>13,66</v>
      </c>
      <c r="U589" s="929"/>
      <c r="V589" s="929" t="str">
        <f>'matrik MISI 1'!W28</f>
        <v>13,66</v>
      </c>
      <c r="W589" s="929"/>
      <c r="X589" s="929" t="str">
        <f>'matrik MISI 1'!X28</f>
        <v>DINAKAN</v>
      </c>
      <c r="Y589" s="164" t="str">
        <f>'matrik MISI 1'!Y28</f>
        <v>Produktifitas domba per ekor</v>
      </c>
      <c r="Z589" s="164" t="str">
        <f>'matrik MISI 1'!Z28</f>
        <v>produkstivitas adalah bobot daging yang dihasilkan per ekor</v>
      </c>
    </row>
    <row r="590" spans="2:26" ht="30">
      <c r="B590" s="940"/>
      <c r="C590" s="941"/>
      <c r="D590" s="940"/>
      <c r="E590" s="940"/>
      <c r="F590" s="940"/>
      <c r="G590" s="940"/>
      <c r="H590" s="164" t="str">
        <f>'matrik MISI 1'!N29</f>
        <v>Peningkatan produksi telur ayam ras petelur</v>
      </c>
      <c r="I590" s="164" t="str">
        <f>'matrik MISI 1'!O29</f>
        <v>Butir</v>
      </c>
      <c r="J590" s="929" t="str">
        <f>'matrik MISI 1'!P29</f>
        <v xml:space="preserve">75.335.043 </v>
      </c>
      <c r="K590" s="929" t="str">
        <f>'matrik MISI 1'!Q29</f>
        <v>75.408.960</v>
      </c>
      <c r="L590" s="929" t="str">
        <f>'matrik MISI 1'!R29</f>
        <v>76.163.949</v>
      </c>
      <c r="M590" s="961"/>
      <c r="N590" s="929" t="str">
        <f>'matrik MISI 1'!S29</f>
        <v>76.924.680</v>
      </c>
      <c r="O590" s="929"/>
      <c r="P590" s="929" t="str">
        <f>'matrik MISI 1'!T29</f>
        <v>77.693.926</v>
      </c>
      <c r="Q590" s="929"/>
      <c r="R590" s="929" t="str">
        <f>'matrik MISI 1'!U29</f>
        <v>78.470.866</v>
      </c>
      <c r="S590" s="929"/>
      <c r="T590" s="929" t="str">
        <f>'matrik MISI 1'!V29</f>
        <v>79.255.574</v>
      </c>
      <c r="U590" s="929"/>
      <c r="V590" s="929" t="str">
        <f>'matrik MISI 1'!W29</f>
        <v>79.255.574</v>
      </c>
      <c r="W590" s="929"/>
      <c r="X590" s="929" t="str">
        <f>'matrik MISI 1'!X29</f>
        <v>DINAKAN</v>
      </c>
      <c r="Y590" s="164" t="str">
        <f>'matrik MISI 1'!Y29</f>
        <v>Jumlah produksi telor</v>
      </c>
      <c r="Z590" s="164">
        <f>'matrik MISI 1'!Z29</f>
        <v>0</v>
      </c>
    </row>
    <row r="591" spans="2:26">
      <c r="B591" s="940"/>
      <c r="C591" s="941"/>
      <c r="D591" s="940"/>
      <c r="E591" s="940"/>
      <c r="F591" s="940"/>
      <c r="G591" s="940"/>
      <c r="H591" s="164" t="str">
        <f>'matrik MISI 1'!N30</f>
        <v>Peningkatan populasi sapi</v>
      </c>
      <c r="I591" s="164" t="str">
        <f>'matrik MISI 1'!O30</f>
        <v>Ekor</v>
      </c>
      <c r="J591" s="929">
        <f>'matrik MISI 1'!P30</f>
        <v>43515</v>
      </c>
      <c r="K591" s="929">
        <f>'matrik MISI 1'!Q30</f>
        <v>26946</v>
      </c>
      <c r="L591" s="929">
        <f>'matrik MISI 1'!R30</f>
        <v>27484</v>
      </c>
      <c r="M591" s="961"/>
      <c r="N591" s="929">
        <f>'matrik MISI 1'!S30</f>
        <v>28034</v>
      </c>
      <c r="O591" s="929"/>
      <c r="P591" s="929">
        <f>'matrik MISI 1'!T30</f>
        <v>28595</v>
      </c>
      <c r="Q591" s="929"/>
      <c r="R591" s="929">
        <f>'matrik MISI 1'!U30</f>
        <v>29167</v>
      </c>
      <c r="S591" s="929"/>
      <c r="T591" s="929">
        <f>'matrik MISI 1'!V30</f>
        <v>29750</v>
      </c>
      <c r="U591" s="929"/>
      <c r="V591" s="929">
        <f>'matrik MISI 1'!W30</f>
        <v>29750</v>
      </c>
      <c r="W591" s="929"/>
      <c r="X591" s="929" t="str">
        <f>'matrik MISI 1'!X30</f>
        <v>DINAKAN</v>
      </c>
      <c r="Y591" s="164" t="str">
        <f>'matrik MISI 1'!Y30</f>
        <v>Jumlah Populasi Sapi</v>
      </c>
      <c r="Z591" s="164">
        <f>'matrik MISI 1'!Z30</f>
        <v>0</v>
      </c>
    </row>
    <row r="592" spans="2:26" ht="30">
      <c r="B592" s="940"/>
      <c r="C592" s="941"/>
      <c r="D592" s="940"/>
      <c r="E592" s="940"/>
      <c r="F592" s="940"/>
      <c r="G592" s="940"/>
      <c r="H592" s="164" t="str">
        <f>'matrik MISI 1'!N31</f>
        <v>Peningkatan populasi domba</v>
      </c>
      <c r="I592" s="164" t="str">
        <f>'matrik MISI 1'!O31</f>
        <v>Ekor</v>
      </c>
      <c r="J592" s="929">
        <f>'matrik MISI 1'!P31</f>
        <v>270497</v>
      </c>
      <c r="K592" s="929">
        <f>'matrik MISI 1'!Q31</f>
        <v>275055</v>
      </c>
      <c r="L592" s="929">
        <f>'matrik MISI 1'!R31</f>
        <v>286057</v>
      </c>
      <c r="M592" s="961"/>
      <c r="N592" s="929">
        <f>'matrik MISI 1'!S31</f>
        <v>297499</v>
      </c>
      <c r="O592" s="929"/>
      <c r="P592" s="929">
        <f>'matrik MISI 1'!T31</f>
        <v>309399</v>
      </c>
      <c r="Q592" s="929"/>
      <c r="R592" s="929">
        <f>'matrik MISI 1'!U31</f>
        <v>321775</v>
      </c>
      <c r="S592" s="929"/>
      <c r="T592" s="929">
        <f>'matrik MISI 1'!V31</f>
        <v>334646</v>
      </c>
      <c r="U592" s="929"/>
      <c r="V592" s="929">
        <f>'matrik MISI 1'!W31</f>
        <v>334646</v>
      </c>
      <c r="W592" s="929"/>
      <c r="X592" s="929" t="str">
        <f>'matrik MISI 1'!X31</f>
        <v>DINAKAN</v>
      </c>
      <c r="Y592" s="164" t="str">
        <f>'matrik MISI 1'!Y31</f>
        <v>Jumlah Populasi Domba</v>
      </c>
      <c r="Z592" s="164">
        <f>'matrik MISI 1'!Z31</f>
        <v>0</v>
      </c>
    </row>
    <row r="593" spans="2:26" ht="30">
      <c r="B593" s="940"/>
      <c r="C593" s="941"/>
      <c r="D593" s="940"/>
      <c r="E593" s="940"/>
      <c r="F593" s="940"/>
      <c r="G593" s="940"/>
      <c r="H593" s="164" t="str">
        <f>'matrik MISI 1'!N32</f>
        <v>Peningkatan populasi kambing</v>
      </c>
      <c r="I593" s="164" t="str">
        <f>'matrik MISI 1'!O32</f>
        <v>Ekor</v>
      </c>
      <c r="J593" s="929">
        <f>'matrik MISI 1'!P32</f>
        <v>58732</v>
      </c>
      <c r="K593" s="929">
        <f>'matrik MISI 1'!Q32</f>
        <v>59769</v>
      </c>
      <c r="L593" s="929">
        <f>'matrik MISI 1'!R32</f>
        <v>60665</v>
      </c>
      <c r="M593" s="961"/>
      <c r="N593" s="929">
        <f>'matrik MISI 1'!S32</f>
        <v>61575</v>
      </c>
      <c r="O593" s="929"/>
      <c r="P593" s="929">
        <f>'matrik MISI 1'!T32</f>
        <v>62499</v>
      </c>
      <c r="Q593" s="929"/>
      <c r="R593" s="929">
        <f>'matrik MISI 1'!U32</f>
        <v>63436</v>
      </c>
      <c r="S593" s="929"/>
      <c r="T593" s="929">
        <f>'matrik MISI 1'!V32</f>
        <v>64388</v>
      </c>
      <c r="U593" s="929"/>
      <c r="V593" s="929">
        <f>'matrik MISI 1'!W32</f>
        <v>64388</v>
      </c>
      <c r="W593" s="929"/>
      <c r="X593" s="929" t="str">
        <f>'matrik MISI 1'!X32</f>
        <v>DINAKAN</v>
      </c>
      <c r="Y593" s="164" t="str">
        <f>'matrik MISI 1'!Y32</f>
        <v>Jumlah Populasi Kambing</v>
      </c>
      <c r="Z593" s="164">
        <f>'matrik MISI 1'!Z32</f>
        <v>0</v>
      </c>
    </row>
    <row r="594" spans="2:26" ht="30">
      <c r="B594" s="940"/>
      <c r="C594" s="941"/>
      <c r="D594" s="940"/>
      <c r="E594" s="940"/>
      <c r="F594" s="940"/>
      <c r="G594" s="940"/>
      <c r="H594" s="164" t="str">
        <f>'matrik MISI 1'!N33</f>
        <v>Peningkatan populasi ayam buras</v>
      </c>
      <c r="I594" s="164" t="str">
        <f>'matrik MISI 1'!O33</f>
        <v>Ekor</v>
      </c>
      <c r="J594" s="929">
        <f>'matrik MISI 1'!P33</f>
        <v>1658993</v>
      </c>
      <c r="K594" s="929">
        <f>'matrik MISI 1'!Q33</f>
        <v>1659079</v>
      </c>
      <c r="L594" s="929">
        <f>'matrik MISI 1'!R33</f>
        <v>1662397</v>
      </c>
      <c r="M594" s="961"/>
      <c r="N594" s="929">
        <f>'matrik MISI 1'!S33</f>
        <v>1665721</v>
      </c>
      <c r="O594" s="929"/>
      <c r="P594" s="929">
        <f>'matrik MISI 1'!T33</f>
        <v>1669053</v>
      </c>
      <c r="Q594" s="929"/>
      <c r="R594" s="929">
        <f>'matrik MISI 1'!U33</f>
        <v>1672391</v>
      </c>
      <c r="S594" s="929"/>
      <c r="T594" s="929">
        <f>'matrik MISI 1'!V33</f>
        <v>1675736</v>
      </c>
      <c r="U594" s="929"/>
      <c r="V594" s="929">
        <f>'matrik MISI 1'!W33</f>
        <v>1675736</v>
      </c>
      <c r="W594" s="929"/>
      <c r="X594" s="929" t="str">
        <f>'matrik MISI 1'!X33</f>
        <v>DINAKAN</v>
      </c>
      <c r="Y594" s="164" t="str">
        <f>'matrik MISI 1'!Y33</f>
        <v>Jumlah Populasi Ayam Buras</v>
      </c>
      <c r="Z594" s="164">
        <f>'matrik MISI 1'!Z33</f>
        <v>0</v>
      </c>
    </row>
    <row r="595" spans="2:26" ht="60" hidden="1">
      <c r="B595" s="940"/>
      <c r="C595" s="941"/>
      <c r="D595" s="940" t="str">
        <f>'matrik MISI 1'!J35</f>
        <v>2.01.</v>
      </c>
      <c r="E595" s="940" t="str">
        <f>'matrik MISI 1'!K35</f>
        <v>xx</v>
      </c>
      <c r="F595" s="940">
        <f>'matrik MISI 1'!L35</f>
        <v>20</v>
      </c>
      <c r="G595" s="940" t="str">
        <f>'matrik MISI 1'!M35</f>
        <v>Program Pemberdayaan Penyuluh Pertanian, Perikanan dan Kehutanan</v>
      </c>
      <c r="H595" s="164"/>
      <c r="I595" s="164"/>
      <c r="J595" s="929"/>
      <c r="K595" s="929"/>
      <c r="L595" s="929"/>
      <c r="M595" s="961">
        <f>'jangan dihapus 2'!K557</f>
        <v>373074800</v>
      </c>
      <c r="N595" s="929"/>
      <c r="O595" s="961">
        <f>'jangan dihapus 2'!M557</f>
        <v>544474800</v>
      </c>
      <c r="P595" s="929"/>
      <c r="Q595" s="961">
        <f>'jangan dihapus 2'!O557</f>
        <v>552541040</v>
      </c>
      <c r="R595" s="929"/>
      <c r="S595" s="961">
        <f>'jangan dihapus 2'!Q557</f>
        <v>584394352</v>
      </c>
      <c r="T595" s="929"/>
      <c r="U595" s="961">
        <f>'jangan dihapus 2'!S557</f>
        <v>596664517.60000002</v>
      </c>
      <c r="V595" s="929"/>
      <c r="W595" s="961">
        <f>SUM(M595:U595)</f>
        <v>2651149509.5999999</v>
      </c>
      <c r="X595" s="929"/>
      <c r="Y595" s="164"/>
      <c r="Z595" s="164"/>
    </row>
    <row r="596" spans="2:26" ht="75">
      <c r="B596" s="940"/>
      <c r="C596" s="941"/>
      <c r="D596" s="940"/>
      <c r="E596" s="940"/>
      <c r="F596" s="940"/>
      <c r="G596" s="940"/>
      <c r="H596" s="164" t="str">
        <f>'matrik MISI 1'!N35</f>
        <v>Jumlah materi penyuluhan yang dipublikasikasi</v>
      </c>
      <c r="I596" s="164" t="str">
        <f>'matrik MISI 1'!O35</f>
        <v>kali/tahun</v>
      </c>
      <c r="J596" s="929">
        <f>'matrik MISI 1'!P35</f>
        <v>0</v>
      </c>
      <c r="K596" s="929">
        <f>'matrik MISI 1'!Q35</f>
        <v>0</v>
      </c>
      <c r="L596" s="929">
        <f>'matrik MISI 1'!R35</f>
        <v>5</v>
      </c>
      <c r="M596" s="961"/>
      <c r="N596" s="929">
        <f>'matrik MISI 1'!S35</f>
        <v>5</v>
      </c>
      <c r="O596" s="929"/>
      <c r="P596" s="929">
        <f>'matrik MISI 1'!T35</f>
        <v>7</v>
      </c>
      <c r="Q596" s="929"/>
      <c r="R596" s="929">
        <f>'matrik MISI 1'!U35</f>
        <v>10</v>
      </c>
      <c r="S596" s="929"/>
      <c r="T596" s="929">
        <f>'matrik MISI 1'!V35</f>
        <v>10</v>
      </c>
      <c r="U596" s="929"/>
      <c r="V596" s="929">
        <f>'matrik MISI 1'!W35</f>
        <v>10</v>
      </c>
      <c r="W596" s="929"/>
      <c r="X596" s="929" t="str">
        <f>'matrik MISI 1'!X35</f>
        <v>BAPELUH</v>
      </c>
      <c r="Y596" s="164" t="str">
        <f>'matrik MISI 1'!Y35</f>
        <v>Jumlah materi penyuluhan yang dipublikasikasi</v>
      </c>
      <c r="Z596" s="164" t="str">
        <f>'matrik MISI 1'!Z35</f>
        <v>Publikasi materi penyuluhan dilakukan dalam media massa skala nasional</v>
      </c>
    </row>
    <row r="597" spans="2:26" ht="30">
      <c r="B597" s="940"/>
      <c r="C597" s="941"/>
      <c r="D597" s="940"/>
      <c r="E597" s="940"/>
      <c r="F597" s="940"/>
      <c r="G597" s="940"/>
      <c r="H597" s="164" t="str">
        <f>'matrik MISI 1'!N36</f>
        <v>Jumlah peningkatan kapasitas SDM Penyuluh</v>
      </c>
      <c r="I597" s="164" t="str">
        <f>'matrik MISI 1'!O36</f>
        <v>orang/thn</v>
      </c>
      <c r="J597" s="929">
        <f>'matrik MISI 1'!P36</f>
        <v>4</v>
      </c>
      <c r="K597" s="929">
        <f>'matrik MISI 1'!Q36</f>
        <v>2</v>
      </c>
      <c r="L597" s="929">
        <f>'matrik MISI 1'!R36</f>
        <v>3</v>
      </c>
      <c r="M597" s="961"/>
      <c r="N597" s="929">
        <f>'matrik MISI 1'!S36</f>
        <v>3</v>
      </c>
      <c r="O597" s="929"/>
      <c r="P597" s="929">
        <f>'matrik MISI 1'!T36</f>
        <v>3</v>
      </c>
      <c r="Q597" s="929"/>
      <c r="R597" s="929">
        <f>'matrik MISI 1'!U36</f>
        <v>3</v>
      </c>
      <c r="S597" s="929"/>
      <c r="T597" s="929">
        <f>'matrik MISI 1'!V36</f>
        <v>3</v>
      </c>
      <c r="U597" s="929"/>
      <c r="V597" s="929">
        <f>'matrik MISI 1'!W36</f>
        <v>3</v>
      </c>
      <c r="W597" s="929"/>
      <c r="X597" s="929" t="str">
        <f>'matrik MISI 1'!X36</f>
        <v>BAPELUH</v>
      </c>
      <c r="Y597" s="164" t="str">
        <f>'matrik MISI 1'!Y36</f>
        <v>cukup jelas</v>
      </c>
      <c r="Z597" s="164" t="str">
        <f>'matrik MISI 1'!Z36</f>
        <v>Meningkatnya kompetensi penyuluh</v>
      </c>
    </row>
    <row r="598" spans="2:26" ht="30" hidden="1">
      <c r="B598" s="940"/>
      <c r="C598" s="941"/>
      <c r="D598" s="940" t="str">
        <f>'matrik MISI 1'!J37</f>
        <v>2.01.</v>
      </c>
      <c r="E598" s="940" t="str">
        <f>'matrik MISI 1'!K37</f>
        <v>xx</v>
      </c>
      <c r="F598" s="940">
        <f>'matrik MISI 1'!L37</f>
        <v>25</v>
      </c>
      <c r="G598" s="940" t="str">
        <f>'matrik MISI 1'!M37</f>
        <v>Program Pemberdayaan Petani</v>
      </c>
      <c r="H598" s="164"/>
      <c r="I598" s="164"/>
      <c r="J598" s="929"/>
      <c r="K598" s="929"/>
      <c r="L598" s="929"/>
      <c r="M598" s="961">
        <f>'jangan dihapus 2'!K574</f>
        <v>698955000</v>
      </c>
      <c r="N598" s="929"/>
      <c r="O598" s="961">
        <f>'jangan dihapus 2'!M574</f>
        <v>988781500</v>
      </c>
      <c r="P598" s="929"/>
      <c r="Q598" s="961">
        <f>'jangan dihapus 2'!O574</f>
        <v>1027395650</v>
      </c>
      <c r="R598" s="929"/>
      <c r="S598" s="961">
        <f>'jangan dihapus 2'!Q574</f>
        <v>978485215</v>
      </c>
      <c r="T598" s="929"/>
      <c r="U598" s="961">
        <f>'jangan dihapus 2'!S574</f>
        <v>985123736.5</v>
      </c>
      <c r="V598" s="929"/>
      <c r="W598" s="961">
        <f>SUM(M598:U598)</f>
        <v>4678741101.5</v>
      </c>
      <c r="X598" s="929"/>
      <c r="Y598" s="164"/>
      <c r="Z598" s="164"/>
    </row>
    <row r="599" spans="2:26" ht="75">
      <c r="B599" s="940"/>
      <c r="C599" s="941"/>
      <c r="D599" s="939"/>
      <c r="E599" s="939"/>
      <c r="F599" s="939"/>
      <c r="G599" s="939"/>
      <c r="H599" s="164" t="str">
        <f>'matrik MISI 1'!N37</f>
        <v xml:space="preserve">Rasio jumlah kelompok tani maju </v>
      </c>
      <c r="I599" s="164" t="str">
        <f>'matrik MISI 1'!O37</f>
        <v>%</v>
      </c>
      <c r="J599" s="929">
        <f>'matrik MISI 1'!P37</f>
        <v>7.1428571428571423</v>
      </c>
      <c r="K599" s="929">
        <f>'matrik MISI 1'!Q37</f>
        <v>7.1428571428571423</v>
      </c>
      <c r="L599" s="929">
        <f>'matrik MISI 1'!R37</f>
        <v>8.0519480519480524</v>
      </c>
      <c r="M599" s="961"/>
      <c r="N599" s="929">
        <f>'matrik MISI 1'!S37</f>
        <v>8.0519480519480524</v>
      </c>
      <c r="O599" s="929"/>
      <c r="P599" s="929">
        <f>'matrik MISI 1'!T37</f>
        <v>8.0519480519480524</v>
      </c>
      <c r="Q599" s="929"/>
      <c r="R599" s="929">
        <f>'matrik MISI 1'!U37</f>
        <v>8.0519480519480524</v>
      </c>
      <c r="S599" s="929"/>
      <c r="T599" s="929">
        <f>'matrik MISI 1'!V37</f>
        <v>8.0519480519480524</v>
      </c>
      <c r="U599" s="929"/>
      <c r="V599" s="929">
        <f>'matrik MISI 1'!W37</f>
        <v>8.0519480519480524</v>
      </c>
      <c r="W599" s="929"/>
      <c r="X599" s="929" t="str">
        <f>'matrik MISI 1'!X37</f>
        <v>BAPELUH</v>
      </c>
      <c r="Y599" s="164" t="str">
        <f>'matrik MISI 1'!Y37</f>
        <v>Rasio jumlah kelompok tani maju dengan jumlah total kelompok tani kali 100 %</v>
      </c>
      <c r="Z599" s="164" t="str">
        <f>'matrik MISI 1'!Z37</f>
        <v>Peningkatan kelas poktan dari pemula-lanjut
lanjut-madya
madya-utama</v>
      </c>
    </row>
    <row r="600" spans="2:26" ht="75">
      <c r="B600" s="940"/>
      <c r="C600" s="941"/>
      <c r="D600" s="940"/>
      <c r="E600" s="940"/>
      <c r="F600" s="940"/>
      <c r="G600" s="940"/>
      <c r="H600" s="164" t="str">
        <f>'matrik MISI 1'!N38</f>
        <v>Jumlah peningkatan kapasitas SDM Petani</v>
      </c>
      <c r="I600" s="164" t="str">
        <f>'matrik MISI 1'!O38</f>
        <v>orang/thn</v>
      </c>
      <c r="J600" s="929">
        <f>'matrik MISI 1'!P38</f>
        <v>0</v>
      </c>
      <c r="K600" s="929">
        <f>'matrik MISI 1'!Q38</f>
        <v>0</v>
      </c>
      <c r="L600" s="929">
        <f>'matrik MISI 1'!R38</f>
        <v>2480</v>
      </c>
      <c r="M600" s="961"/>
      <c r="N600" s="929">
        <f>'matrik MISI 1'!S38</f>
        <v>4960</v>
      </c>
      <c r="O600" s="929"/>
      <c r="P600" s="929">
        <f>'matrik MISI 1'!T38</f>
        <v>7440</v>
      </c>
      <c r="Q600" s="929"/>
      <c r="R600" s="929">
        <f>'matrik MISI 1'!U38</f>
        <v>9920</v>
      </c>
      <c r="S600" s="929"/>
      <c r="T600" s="929">
        <f>'matrik MISI 1'!V38</f>
        <v>12400</v>
      </c>
      <c r="U600" s="929"/>
      <c r="V600" s="929">
        <f>'matrik MISI 1'!W38</f>
        <v>12400</v>
      </c>
      <c r="W600" s="929"/>
      <c r="X600" s="929" t="str">
        <f>'matrik MISI 1'!X38</f>
        <v>BAPELUH</v>
      </c>
      <c r="Y600" s="164" t="str">
        <f>'matrik MISI 1'!Y38</f>
        <v xml:space="preserve">Jumlah petani anggota kelompok yang meningkat </v>
      </c>
      <c r="Z600" s="164" t="str">
        <f>'matrik MISI 1'!Z38</f>
        <v>Peningkatan kapasitas petani (pengetahuan, sikap, keterampilan) dalam penerapan teknologi</v>
      </c>
    </row>
    <row r="601" spans="2:26" ht="135">
      <c r="B601" s="940"/>
      <c r="C601" s="941"/>
      <c r="D601" s="940"/>
      <c r="E601" s="940"/>
      <c r="F601" s="940"/>
      <c r="G601" s="940"/>
      <c r="H601" s="164" t="str">
        <f>'matrik MISI 1'!N39</f>
        <v>Cakupan Pertumbuhan dan peningkatan kapasitas Pos Penyuluhan Desa (Posluhdes)</v>
      </c>
      <c r="I601" s="164" t="str">
        <f>'matrik MISI 1'!O39</f>
        <v>%</v>
      </c>
      <c r="J601" s="929">
        <f>'matrik MISI 1'!P39</f>
        <v>16.260000000000002</v>
      </c>
      <c r="K601" s="929">
        <f>'matrik MISI 1'!Q39</f>
        <v>27.34</v>
      </c>
      <c r="L601" s="929">
        <f>'matrik MISI 1'!R39</f>
        <v>35.99</v>
      </c>
      <c r="M601" s="961"/>
      <c r="N601" s="929">
        <f>'matrik MISI 1'!S39</f>
        <v>46.37</v>
      </c>
      <c r="O601" s="929"/>
      <c r="P601" s="929">
        <f>'matrik MISI 1'!T39</f>
        <v>58.46</v>
      </c>
      <c r="Q601" s="929"/>
      <c r="R601" s="929">
        <f>'matrik MISI 1'!U39</f>
        <v>72.319999999999993</v>
      </c>
      <c r="S601" s="929"/>
      <c r="T601" s="929">
        <f>'matrik MISI 1'!V39</f>
        <v>87.89</v>
      </c>
      <c r="U601" s="929"/>
      <c r="V601" s="929">
        <f>'matrik MISI 1'!W39</f>
        <v>87.89</v>
      </c>
      <c r="W601" s="929"/>
      <c r="X601" s="929" t="str">
        <f>'matrik MISI 1'!X39</f>
        <v>BAPELUH</v>
      </c>
      <c r="Y601" s="164" t="str">
        <f>'matrik MISI 1'!Y39</f>
        <v>Jumlah Desa/Kelurahan yang memiliki Posluhdes dibagi jumlah keseluruhan desa/kelurahan kali 100%</v>
      </c>
      <c r="Z601" s="164" t="str">
        <f>'matrik MISI 1'!Z39</f>
        <v>Tumbuh dan meningkatnya Posluhdes (1 desa 1 Posluhdes). Pada akhir 2018 diharapkan terbentuk 254 (88%) posluhdes dari 289 desa/kelurahan yang ada</v>
      </c>
    </row>
    <row r="602" spans="2:26" ht="75">
      <c r="B602" s="940"/>
      <c r="C602" s="941"/>
      <c r="D602" s="940"/>
      <c r="E602" s="940"/>
      <c r="F602" s="940"/>
      <c r="G602" s="940"/>
      <c r="H602" s="164" t="str">
        <f>'matrik MISI 1'!N40</f>
        <v xml:space="preserve">Besaran pertumbuhan dan peningkatan Kapasitas Lembaga Ekonomi Petani </v>
      </c>
      <c r="I602" s="164" t="str">
        <f>'matrik MISI 1'!O40</f>
        <v>unit/thn</v>
      </c>
      <c r="J602" s="929">
        <f>'matrik MISI 1'!P40</f>
        <v>3</v>
      </c>
      <c r="K602" s="929">
        <f>'matrik MISI 1'!Q40</f>
        <v>1</v>
      </c>
      <c r="L602" s="929">
        <f>'matrik MISI 1'!R40</f>
        <v>10</v>
      </c>
      <c r="M602" s="961"/>
      <c r="N602" s="929">
        <f>'matrik MISI 1'!S40</f>
        <v>25</v>
      </c>
      <c r="O602" s="929"/>
      <c r="P602" s="929">
        <f>'matrik MISI 1'!T40</f>
        <v>40</v>
      </c>
      <c r="Q602" s="929"/>
      <c r="R602" s="929">
        <f>'matrik MISI 1'!U40</f>
        <v>55</v>
      </c>
      <c r="S602" s="929"/>
      <c r="T602" s="929">
        <f>'matrik MISI 1'!V40</f>
        <v>70</v>
      </c>
      <c r="U602" s="929"/>
      <c r="V602" s="929">
        <f>'matrik MISI 1'!W40</f>
        <v>70</v>
      </c>
      <c r="W602" s="929"/>
      <c r="X602" s="929" t="str">
        <f>'matrik MISI 1'!X40</f>
        <v>BAPELUH</v>
      </c>
      <c r="Y602" s="164" t="str">
        <f>'matrik MISI 1'!Y40</f>
        <v>Penambahan jumlah BUMPper tahun</v>
      </c>
      <c r="Z602" s="164" t="str">
        <f>'matrik MISI 1'!Z40</f>
        <v>Badan Umum Milik Petani (BUMP) berbentuk pra koperasi/koperasi/asosiasi</v>
      </c>
    </row>
    <row r="603" spans="2:26" ht="60" hidden="1">
      <c r="B603" s="940"/>
      <c r="C603" s="941"/>
      <c r="D603" s="940" t="str">
        <f>'matrik MISI 1'!J42</f>
        <v>2.01</v>
      </c>
      <c r="E603" s="940" t="str">
        <f>'matrik MISI 1'!K42</f>
        <v>xx</v>
      </c>
      <c r="F603" s="940">
        <f>'matrik MISI 1'!L42</f>
        <v>19</v>
      </c>
      <c r="G603" s="940" t="str">
        <f>'matrik MISI 1'!M42</f>
        <v>Program Peningkatan Produksi Pertanian/Perkebunan/peternakan</v>
      </c>
      <c r="H603" s="164"/>
      <c r="I603" s="164"/>
      <c r="J603" s="929"/>
      <c r="K603" s="929"/>
      <c r="L603" s="929"/>
      <c r="M603" s="961">
        <f>'jangan dihapus 2'!K555+'jangan dihapus 2'!K552+'jangan dihapus 2'!K525</f>
        <v>5514230050</v>
      </c>
      <c r="N603" s="929"/>
      <c r="O603" s="961">
        <f>'jangan dihapus 2'!M555+'jangan dihapus 2'!M552+'jangan dihapus 2'!M525</f>
        <v>5704230000</v>
      </c>
      <c r="P603" s="929"/>
      <c r="Q603" s="961">
        <f>'jangan dihapus 2'!O555+'jangan dihapus 2'!O552+'jangan dihapus 2'!O525</f>
        <v>5704230000</v>
      </c>
      <c r="R603" s="929"/>
      <c r="S603" s="961">
        <f>'jangan dihapus 2'!Q555+'jangan dihapus 2'!Q552+'jangan dihapus 2'!Q525</f>
        <v>5704230000</v>
      </c>
      <c r="T603" s="929"/>
      <c r="U603" s="961">
        <f>'jangan dihapus 2'!S555+'jangan dihapus 2'!S552+'jangan dihapus 2'!S525</f>
        <v>5704230000</v>
      </c>
      <c r="V603" s="929"/>
      <c r="W603" s="961">
        <f>SUM(M603:U603)</f>
        <v>28331150050</v>
      </c>
      <c r="X603" s="929"/>
      <c r="Y603" s="164"/>
      <c r="Z603" s="164"/>
    </row>
    <row r="604" spans="2:26" ht="75">
      <c r="B604" s="940"/>
      <c r="C604" s="941"/>
      <c r="D604" s="939"/>
      <c r="E604" s="939"/>
      <c r="F604" s="939"/>
      <c r="G604" s="939"/>
      <c r="H604" s="164" t="str">
        <f>'matrik MISI 1'!N42</f>
        <v>Persentase meningkatnya pengelolaan kawasan embung</v>
      </c>
      <c r="I604" s="164" t="str">
        <f>'matrik MISI 1'!O42</f>
        <v>%</v>
      </c>
      <c r="J604" s="929">
        <f>'matrik MISI 1'!P42</f>
        <v>17</v>
      </c>
      <c r="K604" s="929">
        <f>'matrik MISI 1'!Q42</f>
        <v>33</v>
      </c>
      <c r="L604" s="929">
        <f>'matrik MISI 1'!R42</f>
        <v>50</v>
      </c>
      <c r="M604" s="967"/>
      <c r="N604" s="929">
        <f>'matrik MISI 1'!S42</f>
        <v>67</v>
      </c>
      <c r="O604" s="929"/>
      <c r="P604" s="929">
        <f>'matrik MISI 1'!T42</f>
        <v>83</v>
      </c>
      <c r="Q604" s="929"/>
      <c r="R604" s="929">
        <f>'matrik MISI 1'!U42</f>
        <v>100</v>
      </c>
      <c r="S604" s="929"/>
      <c r="T604" s="929">
        <f>'matrik MISI 1'!V42</f>
        <v>100</v>
      </c>
      <c r="U604" s="929"/>
      <c r="V604" s="929">
        <f>'matrik MISI 1'!W42</f>
        <v>100</v>
      </c>
      <c r="W604" s="929"/>
      <c r="X604" s="929" t="str">
        <f>'matrik MISI 1'!X42</f>
        <v>DINTANBUNHUT</v>
      </c>
      <c r="Y604" s="164" t="str">
        <f>'matrik MISI 1'!Y42</f>
        <v>Jumlah kawasan embung yang dikelola dibagi jumlah total embung kali 100%</v>
      </c>
      <c r="Z604" s="164" t="str">
        <f>'matrik MISI 1'!Z42</f>
        <v>Embung : Kledung, Nglarangan, Tlogopucang, Ngropoh, Soropadan, Jetis</v>
      </c>
    </row>
    <row r="605" spans="2:26" ht="75">
      <c r="B605" s="940"/>
      <c r="C605" s="941"/>
      <c r="D605" s="940"/>
      <c r="E605" s="940"/>
      <c r="F605" s="940"/>
      <c r="G605" s="940"/>
      <c r="H605" s="164" t="str">
        <f>'matrik MISI 1'!N43</f>
        <v>Besaran jumlah jaringan irigasi usaha tani terbangun</v>
      </c>
      <c r="I605" s="164" t="str">
        <f>'matrik MISI 1'!O43</f>
        <v>unit</v>
      </c>
      <c r="J605" s="929">
        <f>'matrik MISI 1'!P43</f>
        <v>119</v>
      </c>
      <c r="K605" s="929">
        <f>'matrik MISI 1'!Q43</f>
        <v>219</v>
      </c>
      <c r="L605" s="929">
        <f>'matrik MISI 1'!R43</f>
        <v>269</v>
      </c>
      <c r="M605" s="961"/>
      <c r="N605" s="929">
        <f>'matrik MISI 1'!S43</f>
        <v>319</v>
      </c>
      <c r="O605" s="929"/>
      <c r="P605" s="929">
        <f>'matrik MISI 1'!T43</f>
        <v>369</v>
      </c>
      <c r="Q605" s="929"/>
      <c r="R605" s="929">
        <f>'matrik MISI 1'!U43</f>
        <v>419</v>
      </c>
      <c r="S605" s="929"/>
      <c r="T605" s="929">
        <f>'matrik MISI 1'!V43</f>
        <v>469</v>
      </c>
      <c r="U605" s="929"/>
      <c r="V605" s="929">
        <f>'matrik MISI 1'!W43</f>
        <v>469</v>
      </c>
      <c r="W605" s="929"/>
      <c r="X605" s="929" t="str">
        <f>'matrik MISI 1'!X43</f>
        <v>DINTANBUNHUT</v>
      </c>
      <c r="Y605" s="164">
        <f>'matrik MISI 1'!Y43</f>
        <v>0</v>
      </c>
      <c r="Z605" s="164" t="str">
        <f>'matrik MISI 1'!Z43</f>
        <v>Irigasi usahatani adalah irigasi yang menjadi tanggungjawab desa/ kelompok tani</v>
      </c>
    </row>
    <row r="606" spans="2:26" ht="90">
      <c r="B606" s="940"/>
      <c r="C606" s="941"/>
      <c r="D606" s="940"/>
      <c r="E606" s="940"/>
      <c r="F606" s="940"/>
      <c r="G606" s="940"/>
      <c r="H606" s="164" t="str">
        <f>'matrik MISI 1'!N44</f>
        <v>Besaran jumlah jalan usaha tani</v>
      </c>
      <c r="I606" s="164" t="str">
        <f>'matrik MISI 1'!O44</f>
        <v>unit</v>
      </c>
      <c r="J606" s="929">
        <f>'matrik MISI 1'!P44</f>
        <v>100</v>
      </c>
      <c r="K606" s="929">
        <f>'matrik MISI 1'!Q44</f>
        <v>160</v>
      </c>
      <c r="L606" s="929">
        <f>'matrik MISI 1'!R44</f>
        <v>210</v>
      </c>
      <c r="M606" s="961"/>
      <c r="N606" s="929">
        <f>'matrik MISI 1'!S44</f>
        <v>260</v>
      </c>
      <c r="O606" s="929"/>
      <c r="P606" s="929">
        <f>'matrik MISI 1'!T44</f>
        <v>310</v>
      </c>
      <c r="Q606" s="929"/>
      <c r="R606" s="929">
        <f>'matrik MISI 1'!U44</f>
        <v>360</v>
      </c>
      <c r="S606" s="929"/>
      <c r="T606" s="929">
        <f>'matrik MISI 1'!V44</f>
        <v>410</v>
      </c>
      <c r="U606" s="929"/>
      <c r="V606" s="929">
        <f>'matrik MISI 1'!W44</f>
        <v>410</v>
      </c>
      <c r="W606" s="929"/>
      <c r="X606" s="929" t="str">
        <f>'matrik MISI 1'!X44</f>
        <v>DINTANBUNHUT</v>
      </c>
      <c r="Y606" s="164">
        <f>'matrik MISI 1'!Y44</f>
        <v>0</v>
      </c>
      <c r="Z606" s="164" t="str">
        <f>'matrik MISI 1'!Z44</f>
        <v>Jalan usahatani adalah jalan yang digunakan untuk pengangkutan sarana dan hasil produksi pertanian</v>
      </c>
    </row>
    <row r="607" spans="2:26" ht="30" hidden="1">
      <c r="B607" s="940"/>
      <c r="C607" s="941"/>
      <c r="D607" s="940" t="str">
        <f>'matrik MISI 1'!J46</f>
        <v>2.01</v>
      </c>
      <c r="E607" s="940" t="str">
        <f>'matrik MISI 1'!K46</f>
        <v>xx</v>
      </c>
      <c r="F607" s="940">
        <f>'matrik MISI 1'!L46</f>
        <v>27</v>
      </c>
      <c r="G607" s="940" t="str">
        <f>'matrik MISI 1'!M46</f>
        <v>Program Pengembangan Agribisnis</v>
      </c>
      <c r="H607" s="164"/>
      <c r="I607" s="164"/>
      <c r="J607" s="929"/>
      <c r="K607" s="929"/>
      <c r="L607" s="929"/>
      <c r="M607" s="961">
        <f>'jangan dihapus 2'!K604</f>
        <v>125000000</v>
      </c>
      <c r="N607" s="929"/>
      <c r="O607" s="961">
        <f>'jangan dihapus 2'!M604</f>
        <v>550000000</v>
      </c>
      <c r="P607" s="929"/>
      <c r="Q607" s="961">
        <f>'jangan dihapus 2'!O604</f>
        <v>550000000</v>
      </c>
      <c r="R607" s="929"/>
      <c r="S607" s="961">
        <f>'jangan dihapus 2'!Q604</f>
        <v>550000000</v>
      </c>
      <c r="T607" s="929"/>
      <c r="U607" s="961">
        <f>'jangan dihapus 2'!S604</f>
        <v>540000000</v>
      </c>
      <c r="V607" s="929"/>
      <c r="W607" s="961">
        <f>SUM(M607:U607)</f>
        <v>2315000000</v>
      </c>
      <c r="X607" s="929"/>
      <c r="Y607" s="164"/>
      <c r="Z607" s="164"/>
    </row>
    <row r="608" spans="2:26" ht="90">
      <c r="B608" s="950"/>
      <c r="C608" s="951"/>
      <c r="D608" s="942"/>
      <c r="E608" s="942"/>
      <c r="F608" s="942"/>
      <c r="G608" s="942"/>
      <c r="H608" s="164" t="str">
        <f>'matrik MISI 1'!N46</f>
        <v>Persentase Perkembangan Kawasan Agropolitan</v>
      </c>
      <c r="I608" s="164" t="str">
        <f>'matrik MISI 1'!O46</f>
        <v>%</v>
      </c>
      <c r="J608" s="929">
        <f>'matrik MISI 1'!P46</f>
        <v>50</v>
      </c>
      <c r="K608" s="929">
        <f>'matrik MISI 1'!Q46</f>
        <v>75</v>
      </c>
      <c r="L608" s="929">
        <f>'matrik MISI 1'!R46</f>
        <v>100</v>
      </c>
      <c r="M608" s="961"/>
      <c r="N608" s="929">
        <f>'matrik MISI 1'!S46</f>
        <v>100</v>
      </c>
      <c r="O608" s="929"/>
      <c r="P608" s="929">
        <f>'matrik MISI 1'!T46</f>
        <v>100</v>
      </c>
      <c r="Q608" s="929"/>
      <c r="R608" s="929">
        <f>'matrik MISI 1'!U46</f>
        <v>100</v>
      </c>
      <c r="S608" s="929"/>
      <c r="T608" s="929">
        <f>'matrik MISI 1'!V46</f>
        <v>100</v>
      </c>
      <c r="U608" s="929"/>
      <c r="V608" s="929">
        <f>'matrik MISI 1'!W46</f>
        <v>100</v>
      </c>
      <c r="W608" s="929"/>
      <c r="X608" s="929" t="str">
        <f>'matrik MISI 1'!X46</f>
        <v>DINTANBUNHUT</v>
      </c>
      <c r="Y608" s="164" t="str">
        <f>'matrik MISI 1'!Y46</f>
        <v>Jumlah Kawasan Agropolitan yang di kembangkan : Jumlah Kawasan Agropolitan yang ditetapkan x 100%</v>
      </c>
      <c r="Z608" s="164" t="str">
        <f>'matrik MISI 1'!Z46</f>
        <v>Kawasan Agropolitan meliputi : Selopampang, Kledung, Gemawang, dan Pringsurat</v>
      </c>
    </row>
    <row r="609" spans="2:26" ht="30">
      <c r="B609" s="949">
        <v>2</v>
      </c>
      <c r="C609" s="948" t="str">
        <f>'matrik MISI 1'!B102</f>
        <v>KEHUTANAN</v>
      </c>
      <c r="D609" s="949" t="str">
        <f>'matrik MISI 1'!J103</f>
        <v>2.02</v>
      </c>
      <c r="E609" s="949" t="str">
        <f>'matrik MISI 1'!K103</f>
        <v>xx</v>
      </c>
      <c r="F609" s="949">
        <f>'matrik MISI 1'!L103</f>
        <v>16</v>
      </c>
      <c r="G609" s="949" t="str">
        <f>'matrik MISI 1'!M103</f>
        <v>Program Rehabilitasi Hutan dan Lahan</v>
      </c>
      <c r="H609" s="164"/>
      <c r="I609" s="164"/>
      <c r="J609" s="929"/>
      <c r="K609" s="929"/>
      <c r="L609" s="929"/>
      <c r="M609" s="961">
        <f>'jangan dihapus 2'!K609</f>
        <v>907640000</v>
      </c>
      <c r="N609" s="929"/>
      <c r="O609" s="961">
        <f>'jangan dihapus 2'!M609</f>
        <v>977640000</v>
      </c>
      <c r="P609" s="929"/>
      <c r="Q609" s="961">
        <f>'jangan dihapus 2'!O609</f>
        <v>882640000</v>
      </c>
      <c r="R609" s="929"/>
      <c r="S609" s="961">
        <f>'jangan dihapus 2'!Q609</f>
        <v>907640000</v>
      </c>
      <c r="T609" s="929"/>
      <c r="U609" s="961">
        <f>'jangan dihapus 2'!S609</f>
        <v>797640000</v>
      </c>
      <c r="V609" s="929"/>
      <c r="W609" s="961">
        <f>SUM(M609:U609)</f>
        <v>4473200000</v>
      </c>
      <c r="X609" s="929"/>
      <c r="Y609" s="164"/>
      <c r="Z609" s="164"/>
    </row>
    <row r="610" spans="2:26" ht="180">
      <c r="B610" s="939"/>
      <c r="C610" s="939"/>
      <c r="D610" s="939"/>
      <c r="E610" s="939"/>
      <c r="F610" s="939"/>
      <c r="G610" s="939"/>
      <c r="H610" s="164" t="str">
        <f>'matrik MISI 1'!N103</f>
        <v xml:space="preserve">Besaran Penanganan Lahan kritis </v>
      </c>
      <c r="I610" s="164" t="str">
        <f>'matrik MISI 1'!O103</f>
        <v>Ha</v>
      </c>
      <c r="J610" s="929">
        <f>'matrik MISI 1'!P103</f>
        <v>18619</v>
      </c>
      <c r="K610" s="929">
        <f>'matrik MISI 1'!Q103</f>
        <v>26581</v>
      </c>
      <c r="L610" s="929">
        <f>'matrik MISI 1'!R103</f>
        <v>23581</v>
      </c>
      <c r="M610" s="961"/>
      <c r="N610" s="929">
        <f>'matrik MISI 1'!S103</f>
        <v>20581</v>
      </c>
      <c r="O610" s="929"/>
      <c r="P610" s="929">
        <f>'matrik MISI 1'!T103</f>
        <v>17581</v>
      </c>
      <c r="Q610" s="929"/>
      <c r="R610" s="929">
        <f>'matrik MISI 1'!U103</f>
        <v>14581</v>
      </c>
      <c r="S610" s="929"/>
      <c r="T610" s="929">
        <f>'matrik MISI 1'!V103</f>
        <v>11581</v>
      </c>
      <c r="U610" s="929"/>
      <c r="V610" s="929">
        <f>'matrik MISI 1'!W103</f>
        <v>11581</v>
      </c>
      <c r="W610" s="929"/>
      <c r="X610" s="929" t="str">
        <f>'matrik MISI 1'!X103</f>
        <v>DINTANBUNHUT</v>
      </c>
      <c r="Y610" s="164" t="str">
        <f>'matrik MISI 1'!Y103</f>
        <v>Luas lahan kritis dikurangi luas lahan kritis yang ditangani</v>
      </c>
      <c r="Z610" s="164" t="str">
        <f>'matrik MISI 1'!Z103</f>
        <v>*Penanganan lahan krittis meliputi kegiatan kegiatan vegetasi dan bangunan sipil teknis **Data Lahan Kritis 2013 adalah data hasil review lahan kritis oleh BP DAS SOP tahun 2013 ***Target penanganan 3.000 ha per tahun</v>
      </c>
    </row>
    <row r="611" spans="2:26" ht="45" hidden="1">
      <c r="B611" s="939"/>
      <c r="C611" s="939"/>
      <c r="D611" s="940" t="str">
        <f>'matrik MISI 1'!J105</f>
        <v>2.02</v>
      </c>
      <c r="E611" s="940" t="str">
        <f>'matrik MISI 1'!K105</f>
        <v>xx</v>
      </c>
      <c r="F611" s="940">
        <f>'matrik MISI 1'!L105</f>
        <v>17</v>
      </c>
      <c r="G611" s="940" t="str">
        <f>'matrik MISI 1'!M105</f>
        <v>Program Perlindungan dan Konservasi Sumber Daya Hutan</v>
      </c>
      <c r="H611" s="164"/>
      <c r="I611" s="164"/>
      <c r="J611" s="929"/>
      <c r="K611" s="929"/>
      <c r="L611" s="929"/>
      <c r="M611" s="961">
        <f>'jangan dihapus 2'!K616</f>
        <v>0</v>
      </c>
      <c r="N611" s="929"/>
      <c r="O611" s="961">
        <f>'jangan dihapus 2'!M616</f>
        <v>75000000</v>
      </c>
      <c r="P611" s="929"/>
      <c r="Q611" s="961">
        <f>'jangan dihapus 2'!O616</f>
        <v>50000000</v>
      </c>
      <c r="R611" s="929"/>
      <c r="S611" s="961">
        <f>'jangan dihapus 2'!Q616</f>
        <v>50000000</v>
      </c>
      <c r="T611" s="929"/>
      <c r="U611" s="961">
        <f>'jangan dihapus 2'!S616</f>
        <v>50000000</v>
      </c>
      <c r="V611" s="929"/>
      <c r="W611" s="961">
        <f>SUM(M611:U611)</f>
        <v>225000000</v>
      </c>
      <c r="X611" s="929"/>
      <c r="Y611" s="164"/>
      <c r="Z611" s="164"/>
    </row>
    <row r="612" spans="2:26" ht="165">
      <c r="B612" s="940"/>
      <c r="C612" s="941"/>
      <c r="D612" s="939"/>
      <c r="E612" s="939"/>
      <c r="F612" s="939"/>
      <c r="G612" s="939"/>
      <c r="H612" s="164" t="str">
        <f>'matrik MISI 1'!N105</f>
        <v>Persentase Peningkatan Kesadaran Masyarakat dalam Pelestarian Lingkungan Hidup</v>
      </c>
      <c r="I612" s="164" t="str">
        <f>'matrik MISI 1'!O105</f>
        <v>%</v>
      </c>
      <c r="J612" s="929">
        <f>'matrik MISI 1'!P105</f>
        <v>0</v>
      </c>
      <c r="K612" s="929">
        <f>'matrik MISI 1'!Q105</f>
        <v>0</v>
      </c>
      <c r="L612" s="929">
        <f>'matrik MISI 1'!R105</f>
        <v>25</v>
      </c>
      <c r="M612" s="961"/>
      <c r="N612" s="929">
        <f>'matrik MISI 1'!S105</f>
        <v>50</v>
      </c>
      <c r="O612" s="929"/>
      <c r="P612" s="929">
        <f>'matrik MISI 1'!T105</f>
        <v>75</v>
      </c>
      <c r="Q612" s="929"/>
      <c r="R612" s="929">
        <f>'matrik MISI 1'!U105</f>
        <v>100</v>
      </c>
      <c r="S612" s="929"/>
      <c r="T612" s="929">
        <f>'matrik MISI 1'!V105</f>
        <v>100</v>
      </c>
      <c r="U612" s="929"/>
      <c r="V612" s="929">
        <f>'matrik MISI 1'!W105</f>
        <v>100</v>
      </c>
      <c r="W612" s="929"/>
      <c r="X612" s="929" t="str">
        <f>'matrik MISI 1'!X105</f>
        <v>DINTANBUNHUT</v>
      </c>
      <c r="Y612" s="164" t="str">
        <f>'matrik MISI 1'!Y105</f>
        <v>Jumlah Lembaga Masyarakat Desa Hutan (LMDH) dan kelompok konservasi yang diberdayakan dibagi jumlah total LMDH (40 kelompok) dan kelompok konservasi yang ada kali 100%</v>
      </c>
      <c r="Z612" s="164" t="str">
        <f>'matrik MISI 1'!Z105</f>
        <v>*LMDH merupakan kelompok masyarakat yang mengelola hutan negara selain tanaman pokok **Kelompok konservasi adalah kelompok masyarakat yang peduli dan aktif bergerak dalam konservasi lahan</v>
      </c>
    </row>
    <row r="613" spans="2:26" ht="45" hidden="1">
      <c r="B613" s="940"/>
      <c r="C613" s="941"/>
      <c r="D613" s="940" t="str">
        <f>'matrik MISI 1'!J106</f>
        <v>2.02</v>
      </c>
      <c r="E613" s="940" t="str">
        <f>'matrik MISI 1'!K106</f>
        <v>xx</v>
      </c>
      <c r="F613" s="940">
        <f>'matrik MISI 1'!L106</f>
        <v>19</v>
      </c>
      <c r="G613" s="940" t="str">
        <f>'matrik MISI 1'!M106</f>
        <v>Program Pembinaan dan Penertiban Industri Hasil Hutan</v>
      </c>
      <c r="H613" s="164"/>
      <c r="I613" s="164"/>
      <c r="J613" s="929"/>
      <c r="K613" s="929"/>
      <c r="L613" s="929"/>
      <c r="M613" s="961">
        <f>'jangan dihapus 2'!K618</f>
        <v>100000000</v>
      </c>
      <c r="N613" s="929"/>
      <c r="O613" s="961">
        <f>'jangan dihapus 2'!M618</f>
        <v>100000000</v>
      </c>
      <c r="P613" s="929"/>
      <c r="Q613" s="961">
        <f>'jangan dihapus 2'!O618</f>
        <v>110000000</v>
      </c>
      <c r="R613" s="929"/>
      <c r="S613" s="961">
        <f>'jangan dihapus 2'!Q618</f>
        <v>110000000</v>
      </c>
      <c r="T613" s="929"/>
      <c r="U613" s="961">
        <f>'jangan dihapus 2'!S618</f>
        <v>0</v>
      </c>
      <c r="V613" s="929"/>
      <c r="W613" s="961">
        <f>SUM(M613:U613)</f>
        <v>420000000</v>
      </c>
      <c r="X613" s="929"/>
      <c r="Y613" s="164"/>
      <c r="Z613" s="164"/>
    </row>
    <row r="614" spans="2:26" ht="165">
      <c r="B614" s="940"/>
      <c r="C614" s="941"/>
      <c r="D614" s="939"/>
      <c r="E614" s="939"/>
      <c r="F614" s="939"/>
      <c r="G614" s="939"/>
      <c r="H614" s="164" t="str">
        <f>'matrik MISI 1'!N106</f>
        <v>Besaran Peningkatan Kemitraan dalam Pengelolaan Hasil Hutan</v>
      </c>
      <c r="I614" s="164" t="str">
        <f>'matrik MISI 1'!O106</f>
        <v>Kelompok</v>
      </c>
      <c r="J614" s="929">
        <f>'matrik MISI 1'!P106</f>
        <v>0</v>
      </c>
      <c r="K614" s="929">
        <f>'matrik MISI 1'!Q106</f>
        <v>2</v>
      </c>
      <c r="L614" s="929">
        <f>'matrik MISI 1'!R106</f>
        <v>4</v>
      </c>
      <c r="M614" s="961"/>
      <c r="N614" s="929">
        <f>'matrik MISI 1'!S106</f>
        <v>6</v>
      </c>
      <c r="O614" s="929"/>
      <c r="P614" s="929">
        <f>'matrik MISI 1'!T106</f>
        <v>8</v>
      </c>
      <c r="Q614" s="929"/>
      <c r="R614" s="929">
        <f>'matrik MISI 1'!U106</f>
        <v>10</v>
      </c>
      <c r="S614" s="929"/>
      <c r="T614" s="929">
        <f>'matrik MISI 1'!V106</f>
        <v>12</v>
      </c>
      <c r="U614" s="929"/>
      <c r="V614" s="929">
        <f>'matrik MISI 1'!W106</f>
        <v>12</v>
      </c>
      <c r="W614" s="929"/>
      <c r="X614" s="929" t="str">
        <f>'matrik MISI 1'!X106</f>
        <v>DINTANBUNHUT</v>
      </c>
      <c r="Y614" s="164">
        <f>'matrik MISI 1'!Y106</f>
        <v>0</v>
      </c>
      <c r="Z614" s="164" t="str">
        <f>'matrik MISI 1'!Z106</f>
        <v>*APHR merupakan gabungan kelompok tani hutan rakyat yang dilegalisasi sebagai kelompok tani kemitraan perusahaan kayu **syarat luasan hutan rakyat untuk diproses legalisasi (SVLK) sebesar 500 Ha.</v>
      </c>
    </row>
    <row r="615" spans="2:26" ht="45" hidden="1">
      <c r="B615" s="940"/>
      <c r="C615" s="941"/>
      <c r="D615" s="940" t="str">
        <f>'matrik MISI 1'!J107</f>
        <v>2.02</v>
      </c>
      <c r="E615" s="940" t="str">
        <f>'matrik MISI 1'!K107</f>
        <v>xx</v>
      </c>
      <c r="F615" s="940">
        <f>'matrik MISI 1'!L107</f>
        <v>17</v>
      </c>
      <c r="G615" s="940" t="str">
        <f>'matrik MISI 1'!M107</f>
        <v>Program Perlindungan dan Konservasi Sumber Daya Hutan</v>
      </c>
      <c r="H615" s="164"/>
      <c r="I615" s="164"/>
      <c r="J615" s="929"/>
      <c r="K615" s="929"/>
      <c r="L615" s="929"/>
      <c r="M615" s="961">
        <f>'jangan dihapus 2'!M617</f>
        <v>150000000</v>
      </c>
      <c r="N615" s="929"/>
      <c r="O615" s="961">
        <f>'jangan dihapus 2'!O617</f>
        <v>150000000</v>
      </c>
      <c r="P615" s="929"/>
      <c r="Q615" s="961">
        <f>'jangan dihapus 2'!Q617</f>
        <v>150000000</v>
      </c>
      <c r="R615" s="929"/>
      <c r="S615" s="961">
        <f>'jangan dihapus 2'!S617</f>
        <v>150000000</v>
      </c>
      <c r="T615" s="929"/>
      <c r="U615" s="961">
        <f>'jangan dihapus 2'!U617</f>
        <v>150000000</v>
      </c>
      <c r="V615" s="929"/>
      <c r="W615" s="961">
        <f>SUM(M615:U615)</f>
        <v>750000000</v>
      </c>
      <c r="X615" s="929"/>
      <c r="Y615" s="164"/>
      <c r="Z615" s="164"/>
    </row>
    <row r="616" spans="2:26" ht="105">
      <c r="B616" s="950"/>
      <c r="C616" s="951"/>
      <c r="D616" s="942"/>
      <c r="E616" s="942"/>
      <c r="F616" s="942"/>
      <c r="G616" s="942"/>
      <c r="H616" s="164" t="str">
        <f>'matrik MISI 1'!N107</f>
        <v>Besaran Meningkatnya konservasi hutan dan lahan</v>
      </c>
      <c r="I616" s="164" t="str">
        <f>'matrik MISI 1'!O107</f>
        <v>unit</v>
      </c>
      <c r="J616" s="929">
        <f>'matrik MISI 1'!P107</f>
        <v>80</v>
      </c>
      <c r="K616" s="929">
        <f>'matrik MISI 1'!Q107</f>
        <v>120</v>
      </c>
      <c r="L616" s="929">
        <f>'matrik MISI 1'!R107</f>
        <v>170</v>
      </c>
      <c r="M616" s="961"/>
      <c r="N616" s="929">
        <f>'matrik MISI 1'!S107</f>
        <v>220</v>
      </c>
      <c r="O616" s="929"/>
      <c r="P616" s="929">
        <f>'matrik MISI 1'!T107</f>
        <v>270</v>
      </c>
      <c r="Q616" s="929"/>
      <c r="R616" s="929">
        <f>'matrik MISI 1'!U107</f>
        <v>320</v>
      </c>
      <c r="S616" s="929"/>
      <c r="T616" s="929">
        <f>'matrik MISI 1'!V107</f>
        <v>370</v>
      </c>
      <c r="U616" s="929"/>
      <c r="V616" s="929">
        <f>'matrik MISI 1'!W107</f>
        <v>370</v>
      </c>
      <c r="W616" s="929"/>
      <c r="X616" s="929" t="str">
        <f>'matrik MISI 1'!X107</f>
        <v>DINTANBUNHUT</v>
      </c>
      <c r="Y616" s="164" t="str">
        <f>'matrik MISI 1'!Y107</f>
        <v>Jumlah bangunan sipil teknis yang dibangun</v>
      </c>
      <c r="Z616" s="164" t="str">
        <f>'matrik MISI 1'!Z107</f>
        <v>*Bangunan sipil teknis meliputi pengendali jurang, sumur resapan, dam penahan **Target pembangunan 50 unit per tahun</v>
      </c>
    </row>
    <row r="617" spans="2:26" ht="30">
      <c r="B617" s="949">
        <v>4</v>
      </c>
      <c r="C617" s="948" t="str">
        <f>'matrik MISI 1'!B70</f>
        <v>PARIWISATA</v>
      </c>
      <c r="D617" s="949">
        <f>'matrik MISI 1'!J71</f>
        <v>0</v>
      </c>
      <c r="E617" s="949">
        <f>'matrik MISI 1'!K71</f>
        <v>0</v>
      </c>
      <c r="F617" s="949">
        <f>'matrik MISI 1'!L71</f>
        <v>0</v>
      </c>
      <c r="G617" s="949" t="str">
        <f>'jangan dihapus 2'!F628</f>
        <v xml:space="preserve">Program Pengembangan destinasi Wisata </v>
      </c>
      <c r="H617" s="164"/>
      <c r="I617" s="164"/>
      <c r="J617" s="929"/>
      <c r="K617" s="929"/>
      <c r="L617" s="929"/>
      <c r="M617" s="961">
        <f>'jangan dihapus 2'!K628</f>
        <v>96655300</v>
      </c>
      <c r="N617" s="929"/>
      <c r="O617" s="961">
        <f>'jangan dihapus 2'!M628</f>
        <v>1372308000</v>
      </c>
      <c r="P617" s="929"/>
      <c r="Q617" s="961">
        <f>'jangan dihapus 2'!O628</f>
        <v>1100000000</v>
      </c>
      <c r="R617" s="929"/>
      <c r="S617" s="961">
        <f>'jangan dihapus 2'!Q628</f>
        <v>1200000000</v>
      </c>
      <c r="T617" s="929"/>
      <c r="U617" s="961">
        <f>'jangan dihapus 2'!S628</f>
        <v>9600000000</v>
      </c>
      <c r="V617" s="929"/>
      <c r="W617" s="961">
        <f>SUM(M617:U617)</f>
        <v>13368963300</v>
      </c>
      <c r="X617" s="929"/>
      <c r="Y617" s="164"/>
      <c r="Z617" s="164"/>
    </row>
    <row r="618" spans="2:26" ht="315">
      <c r="B618" s="939"/>
      <c r="C618" s="939"/>
      <c r="D618" s="939"/>
      <c r="E618" s="939"/>
      <c r="F618" s="939"/>
      <c r="G618" s="940"/>
      <c r="H618" s="164" t="str">
        <f>'matrik MISI 1'!N71</f>
        <v xml:space="preserve">besaran Berkembangnya Kawasan wisata </v>
      </c>
      <c r="I618" s="164" t="str">
        <f>'matrik MISI 1'!O71</f>
        <v>unit</v>
      </c>
      <c r="J618" s="929">
        <f>'matrik MISI 1'!P71</f>
        <v>8</v>
      </c>
      <c r="K618" s="929">
        <f>'matrik MISI 1'!Q71</f>
        <v>8</v>
      </c>
      <c r="L618" s="929">
        <f>'matrik MISI 1'!R71</f>
        <v>9</v>
      </c>
      <c r="M618" s="961"/>
      <c r="N618" s="929">
        <f>'matrik MISI 1'!S71</f>
        <v>10</v>
      </c>
      <c r="O618" s="929"/>
      <c r="P618" s="929">
        <f>'matrik MISI 1'!T71</f>
        <v>10</v>
      </c>
      <c r="Q618" s="929"/>
      <c r="R618" s="929">
        <f>'matrik MISI 1'!U71</f>
        <v>11</v>
      </c>
      <c r="S618" s="929"/>
      <c r="T618" s="929">
        <f>'matrik MISI 1'!V71</f>
        <v>11</v>
      </c>
      <c r="U618" s="929"/>
      <c r="V618" s="929">
        <f>'matrik MISI 1'!W71</f>
        <v>11</v>
      </c>
      <c r="W618" s="929"/>
      <c r="X618" s="929" t="str">
        <f>'matrik MISI 1'!X71</f>
        <v>DISBUDPARPORA</v>
      </c>
      <c r="Y618" s="164" t="str">
        <f>'matrik MISI 1'!Y71</f>
        <v>jumlah kawasan potensi wisata yang akan dikelola dan dikembangkan menjadi obyek wisata</v>
      </c>
      <c r="Z618" s="164"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19" spans="2:26" ht="30">
      <c r="B619" s="940"/>
      <c r="C619" s="941"/>
      <c r="D619" s="939"/>
      <c r="E619" s="939"/>
      <c r="F619" s="939"/>
      <c r="G619" s="939"/>
      <c r="H619" s="164" t="str">
        <f>'matrik MISI 1'!N72</f>
        <v>Besaran lama tinggal wisatawan</v>
      </c>
      <c r="I619" s="164" t="str">
        <f>'matrik MISI 1'!O72</f>
        <v>jam</v>
      </c>
      <c r="J619" s="929">
        <f>'matrik MISI 1'!P72</f>
        <v>2</v>
      </c>
      <c r="K619" s="929">
        <f>'matrik MISI 1'!Q72</f>
        <v>2</v>
      </c>
      <c r="L619" s="929">
        <f>'matrik MISI 1'!R72</f>
        <v>4</v>
      </c>
      <c r="M619" s="961"/>
      <c r="N619" s="929">
        <f>'matrik MISI 1'!S72</f>
        <v>6</v>
      </c>
      <c r="O619" s="929"/>
      <c r="P619" s="929">
        <f>'matrik MISI 1'!T72</f>
        <v>8</v>
      </c>
      <c r="Q619" s="929"/>
      <c r="R619" s="929">
        <f>'matrik MISI 1'!U72</f>
        <v>10</v>
      </c>
      <c r="S619" s="929"/>
      <c r="T619" s="929">
        <f>'matrik MISI 1'!V72</f>
        <v>12</v>
      </c>
      <c r="U619" s="929"/>
      <c r="V619" s="929">
        <f>'matrik MISI 1'!W72</f>
        <v>12</v>
      </c>
      <c r="W619" s="929"/>
      <c r="X619" s="929" t="str">
        <f>'matrik MISI 1'!X72</f>
        <v>DISBUDPARPORA</v>
      </c>
      <c r="Y619" s="164" t="str">
        <f>'matrik MISI 1'!Y72</f>
        <v>Besaran lama  tinggal wisatawan (jam)</v>
      </c>
      <c r="Z619" s="164" t="str">
        <f>'matrik MISI 1'!Z72</f>
        <v>lamanya wisatawan berkunjung</v>
      </c>
    </row>
    <row r="620" spans="2:26" ht="90">
      <c r="B620" s="940"/>
      <c r="C620" s="941"/>
      <c r="D620" s="940"/>
      <c r="E620" s="940"/>
      <c r="F620" s="940"/>
      <c r="G620" s="940"/>
      <c r="H620" s="164" t="str">
        <f>'matrik MISI 1'!N73</f>
        <v>Persentase meningkatnya kunjungan wisatawan</v>
      </c>
      <c r="I620" s="164" t="str">
        <f>'matrik MISI 1'!O73</f>
        <v>%</v>
      </c>
      <c r="J620" s="929" t="str">
        <f>'matrik MISI 1'!P73</f>
        <v>n.a</v>
      </c>
      <c r="K620" s="929" t="str">
        <f>'matrik MISI 1'!Q73</f>
        <v>n.a</v>
      </c>
      <c r="L620" s="929">
        <f>'matrik MISI 1'!R73</f>
        <v>10</v>
      </c>
      <c r="M620" s="961"/>
      <c r="N620" s="929">
        <f>'matrik MISI 1'!S73</f>
        <v>15</v>
      </c>
      <c r="O620" s="929"/>
      <c r="P620" s="929">
        <f>'matrik MISI 1'!T73</f>
        <v>20</v>
      </c>
      <c r="Q620" s="929"/>
      <c r="R620" s="929">
        <f>'matrik MISI 1'!U73</f>
        <v>25</v>
      </c>
      <c r="S620" s="929"/>
      <c r="T620" s="929">
        <f>'matrik MISI 1'!V73</f>
        <v>30</v>
      </c>
      <c r="U620" s="929"/>
      <c r="V620" s="929">
        <f>'matrik MISI 1'!W73</f>
        <v>30</v>
      </c>
      <c r="W620" s="929"/>
      <c r="X620" s="929" t="str">
        <f>'matrik MISI 1'!X73</f>
        <v>DISBUDPARPORA</v>
      </c>
      <c r="Y620" s="164" t="str">
        <f>'matrik MISI 1'!Y73</f>
        <v>jumlah wisatawan yang berkunjung per tahun dibandinkan tahun sebelumnya dan data dasar</v>
      </c>
      <c r="Z620" s="164" t="str">
        <f>'matrik MISI 1'!Z73</f>
        <v>data dasar : wisatawan nusantara: 360.061 orang;  wisatawan mancanegara 77 orang</v>
      </c>
    </row>
    <row r="621" spans="2:26" ht="30">
      <c r="B621" s="940"/>
      <c r="C621" s="941"/>
      <c r="D621" s="940" t="str">
        <f>'matrik MISI 1'!J74</f>
        <v>2.04</v>
      </c>
      <c r="E621" s="940" t="str">
        <f>'matrik MISI 1'!K74</f>
        <v>xx</v>
      </c>
      <c r="F621" s="940">
        <f>'matrik MISI 1'!L74</f>
        <v>0</v>
      </c>
      <c r="G621" s="940" t="str">
        <f>'matrik MISI 1'!M74</f>
        <v xml:space="preserve">Program Pengembangan Produk Wisata </v>
      </c>
      <c r="H621" s="164"/>
      <c r="I621" s="164"/>
      <c r="J621" s="929"/>
      <c r="K621" s="929"/>
      <c r="L621" s="929"/>
      <c r="M621" s="961">
        <f>'jangan dihapus 2'!K642</f>
        <v>60000000</v>
      </c>
      <c r="N621" s="929"/>
      <c r="O621" s="961">
        <f>'jangan dihapus 2'!M642</f>
        <v>125000000</v>
      </c>
      <c r="P621" s="929"/>
      <c r="Q621" s="961">
        <f>'jangan dihapus 2'!O642</f>
        <v>110000000</v>
      </c>
      <c r="R621" s="929"/>
      <c r="S621" s="961">
        <f>'jangan dihapus 2'!Q642</f>
        <v>110000000</v>
      </c>
      <c r="T621" s="929"/>
      <c r="U621" s="961">
        <f>'jangan dihapus 2'!S642</f>
        <v>110000000</v>
      </c>
      <c r="V621" s="929"/>
      <c r="W621" s="961">
        <f>SUM(M621:U621)</f>
        <v>515000000</v>
      </c>
      <c r="X621" s="929"/>
      <c r="Y621" s="164"/>
      <c r="Z621" s="164"/>
    </row>
    <row r="622" spans="2:26" ht="75">
      <c r="B622" s="940"/>
      <c r="C622" s="941"/>
      <c r="D622" s="939"/>
      <c r="E622" s="939"/>
      <c r="F622" s="939"/>
      <c r="G622" s="939"/>
      <c r="H622" s="164" t="str">
        <f>'matrik MISI 1'!N74</f>
        <v xml:space="preserve">Besaran meningkatnya Pengembangan Produk/event/atraksi Wisata </v>
      </c>
      <c r="I622" s="164" t="str">
        <f>'matrik MISI 1'!O74</f>
        <v>paket</v>
      </c>
      <c r="J622" s="929">
        <f>'matrik MISI 1'!P74</f>
        <v>4</v>
      </c>
      <c r="K622" s="929">
        <f>'matrik MISI 1'!Q74</f>
        <v>4</v>
      </c>
      <c r="L622" s="929">
        <f>'matrik MISI 1'!R74</f>
        <v>5</v>
      </c>
      <c r="M622" s="961"/>
      <c r="N622" s="929">
        <f>'matrik MISI 1'!S74</f>
        <v>6</v>
      </c>
      <c r="O622" s="929"/>
      <c r="P622" s="929">
        <f>'matrik MISI 1'!T74</f>
        <v>7</v>
      </c>
      <c r="Q622" s="929"/>
      <c r="R622" s="929">
        <f>'matrik MISI 1'!U74</f>
        <v>8</v>
      </c>
      <c r="S622" s="929"/>
      <c r="T622" s="929">
        <f>'matrik MISI 1'!V74</f>
        <v>9</v>
      </c>
      <c r="U622" s="929"/>
      <c r="V622" s="929">
        <f>'matrik MISI 1'!W74</f>
        <v>9</v>
      </c>
      <c r="W622" s="929"/>
      <c r="X622" s="929" t="str">
        <f>'matrik MISI 1'!X74</f>
        <v>DISBUDPARPORA</v>
      </c>
      <c r="Y622" s="164" t="str">
        <f>'matrik MISI 1'!Y74</f>
        <v>Besaran event wisata (budaya) dilaksanakan</v>
      </c>
      <c r="Z622" s="164" t="str">
        <f>'matrik MISI 1'!Z74</f>
        <v>Pekan Syawalan, Pemilihan Mas dan Mbak, Festival Budaya, Suran Traji, Ruwat Rigen</v>
      </c>
    </row>
    <row r="623" spans="2:26" ht="105">
      <c r="B623" s="940"/>
      <c r="C623" s="941"/>
      <c r="D623" s="940"/>
      <c r="E623" s="940"/>
      <c r="F623" s="940"/>
      <c r="G623" s="940"/>
      <c r="H623" s="164" t="str">
        <f>'matrik MISI 1'!N75</f>
        <v xml:space="preserve">Besaran Meningkatnya Pengelolaan Wisata </v>
      </c>
      <c r="I623" s="164" t="str">
        <f>'matrik MISI 1'!O75</f>
        <v>unit</v>
      </c>
      <c r="J623" s="929">
        <f>'matrik MISI 1'!P75</f>
        <v>5</v>
      </c>
      <c r="K623" s="929">
        <f>'matrik MISI 1'!Q75</f>
        <v>5</v>
      </c>
      <c r="L623" s="929">
        <f>'matrik MISI 1'!R75</f>
        <v>5</v>
      </c>
      <c r="M623" s="961"/>
      <c r="N623" s="929">
        <f>'matrik MISI 1'!S75</f>
        <v>6</v>
      </c>
      <c r="O623" s="929"/>
      <c r="P623" s="929">
        <f>'matrik MISI 1'!T75</f>
        <v>6</v>
      </c>
      <c r="Q623" s="929"/>
      <c r="R623" s="929">
        <f>'matrik MISI 1'!U75</f>
        <v>7</v>
      </c>
      <c r="S623" s="929"/>
      <c r="T623" s="929">
        <f>'matrik MISI 1'!V75</f>
        <v>7</v>
      </c>
      <c r="U623" s="929"/>
      <c r="V623" s="929">
        <f>'matrik MISI 1'!W75</f>
        <v>7</v>
      </c>
      <c r="W623" s="929"/>
      <c r="X623" s="929" t="str">
        <f>'matrik MISI 1'!X75</f>
        <v>DISBUDPARPORA</v>
      </c>
      <c r="Y623" s="164" t="str">
        <f>'matrik MISI 1'!Y75</f>
        <v>jumlah obyek wisata yang dikelola</v>
      </c>
      <c r="Z623" s="164" t="str">
        <f>'matrik MISI 1'!Z75</f>
        <v>Pikatan water park, Rest Area Kledung, monumen meteorit, kawasan wisata posong, jumprit, curug lawe, curug surodipo/curug lawe</v>
      </c>
    </row>
    <row r="624" spans="2:26" ht="30" hidden="1">
      <c r="B624" s="940"/>
      <c r="C624" s="941"/>
      <c r="D624" s="940" t="str">
        <f>'matrik MISI 1'!J76</f>
        <v>2.04</v>
      </c>
      <c r="E624" s="940" t="str">
        <f>'matrik MISI 1'!K76</f>
        <v>xx</v>
      </c>
      <c r="F624" s="940">
        <f>'matrik MISI 1'!L76</f>
        <v>17</v>
      </c>
      <c r="G624" s="940" t="str">
        <f>'matrik MISI 1'!M76</f>
        <v xml:space="preserve">Program Pengembangan Kemitraan </v>
      </c>
      <c r="H624" s="164"/>
      <c r="I624" s="164"/>
      <c r="J624" s="929"/>
      <c r="K624" s="929"/>
      <c r="L624" s="929"/>
      <c r="M624" s="961">
        <f>'jangan dihapus 2'!K637</f>
        <v>155000000</v>
      </c>
      <c r="N624" s="929"/>
      <c r="O624" s="961">
        <f>'jangan dihapus 2'!M637</f>
        <v>229295000</v>
      </c>
      <c r="P624" s="929"/>
      <c r="Q624" s="961">
        <f>'jangan dihapus 2'!O637</f>
        <v>360000000</v>
      </c>
      <c r="R624" s="929"/>
      <c r="S624" s="961">
        <f>'jangan dihapus 2'!Q637</f>
        <v>290000000</v>
      </c>
      <c r="T624" s="929"/>
      <c r="U624" s="961">
        <f>'jangan dihapus 2'!S637</f>
        <v>290000000</v>
      </c>
      <c r="V624" s="929"/>
      <c r="W624" s="961">
        <f>SUM(M624:U624)</f>
        <v>1324295000</v>
      </c>
      <c r="X624" s="929"/>
      <c r="Y624" s="164"/>
      <c r="Z624" s="164"/>
    </row>
    <row r="625" spans="2:26" ht="225">
      <c r="B625" s="950"/>
      <c r="C625" s="951"/>
      <c r="D625" s="942"/>
      <c r="E625" s="942"/>
      <c r="F625" s="942"/>
      <c r="G625" s="942"/>
      <c r="H625" s="164" t="str">
        <f>'matrik MISI 1'!N76</f>
        <v>Besaran Pengembangan Kemitraan Pariwisata</v>
      </c>
      <c r="I625" s="164" t="str">
        <f>'matrik MISI 1'!O76</f>
        <v>paket</v>
      </c>
      <c r="J625" s="929">
        <f>'matrik MISI 1'!P76</f>
        <v>3</v>
      </c>
      <c r="K625" s="929">
        <f>'matrik MISI 1'!Q76</f>
        <v>3</v>
      </c>
      <c r="L625" s="929">
        <f>'matrik MISI 1'!R76</f>
        <v>5</v>
      </c>
      <c r="M625" s="961"/>
      <c r="N625" s="929">
        <f>'matrik MISI 1'!S76</f>
        <v>7</v>
      </c>
      <c r="O625" s="929"/>
      <c r="P625" s="929">
        <f>'matrik MISI 1'!T76</f>
        <v>8</v>
      </c>
      <c r="Q625" s="929"/>
      <c r="R625" s="929">
        <f>'matrik MISI 1'!U76</f>
        <v>9</v>
      </c>
      <c r="S625" s="929"/>
      <c r="T625" s="929">
        <f>'matrik MISI 1'!V76</f>
        <v>10</v>
      </c>
      <c r="U625" s="929"/>
      <c r="V625" s="929">
        <f>'matrik MISI 1'!W76</f>
        <v>11</v>
      </c>
      <c r="W625" s="929"/>
      <c r="X625" s="929" t="str">
        <f>'matrik MISI 1'!X76</f>
        <v>DISBUDPARPORA</v>
      </c>
      <c r="Y625" s="164" t="str">
        <f>'matrik MISI 1'!Y76</f>
        <v xml:space="preserve">Jumlah Kemitraan yang terjalin </v>
      </c>
      <c r="Z625" s="164"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26" spans="2:26" ht="30">
      <c r="B626" s="949">
        <v>5</v>
      </c>
      <c r="C626" s="948" t="str">
        <f>'matrik MISI 1'!B47</f>
        <v>KELAUTAN DAN PERIKANAN</v>
      </c>
      <c r="D626" s="949" t="str">
        <f>'matrik MISI 1'!J48</f>
        <v>2.05</v>
      </c>
      <c r="E626" s="949" t="str">
        <f>'matrik MISI 1'!K48</f>
        <v>xx</v>
      </c>
      <c r="F626" s="949">
        <f>'matrik MISI 1'!L48</f>
        <v>20</v>
      </c>
      <c r="G626" s="949" t="str">
        <f>'matrik MISI 1'!M48</f>
        <v>Program Pengembangan Budidaya Perikanan</v>
      </c>
      <c r="H626" s="164"/>
      <c r="I626" s="164"/>
      <c r="J626" s="929"/>
      <c r="K626" s="929"/>
      <c r="L626" s="929"/>
      <c r="M626" s="961">
        <f>'jangan dihapus 2'!K649</f>
        <v>3060868000</v>
      </c>
      <c r="N626" s="929"/>
      <c r="O626" s="961">
        <f>'jangan dihapus 2'!M649</f>
        <v>3050000000</v>
      </c>
      <c r="P626" s="929"/>
      <c r="Q626" s="961">
        <f>'jangan dihapus 2'!O649</f>
        <v>2600000000</v>
      </c>
      <c r="R626" s="929"/>
      <c r="S626" s="961">
        <f>'jangan dihapus 2'!Q649</f>
        <v>3550000000</v>
      </c>
      <c r="T626" s="929"/>
      <c r="U626" s="961">
        <f>'jangan dihapus 2'!S649</f>
        <v>3050000000</v>
      </c>
      <c r="V626" s="929"/>
      <c r="W626" s="961">
        <f>SUM(M626:U626)</f>
        <v>15310868000</v>
      </c>
      <c r="X626" s="929"/>
      <c r="Y626" s="164"/>
      <c r="Z626" s="164"/>
    </row>
    <row r="627" spans="2:26" ht="105">
      <c r="B627" s="939"/>
      <c r="C627" s="939"/>
      <c r="D627" s="939"/>
      <c r="E627" s="939"/>
      <c r="F627" s="939"/>
      <c r="G627" s="939"/>
      <c r="H627" s="164" t="str">
        <f>'matrik MISI 1'!N48</f>
        <v xml:space="preserve">Penggunaan induk ikan unggul  </v>
      </c>
      <c r="I627" s="164" t="str">
        <f>'matrik MISI 1'!O48</f>
        <v>%</v>
      </c>
      <c r="J627" s="929">
        <f>'matrik MISI 1'!P48</f>
        <v>10</v>
      </c>
      <c r="K627" s="929">
        <f>'matrik MISI 1'!Q48</f>
        <v>20</v>
      </c>
      <c r="L627" s="929">
        <f>'matrik MISI 1'!R48</f>
        <v>25</v>
      </c>
      <c r="M627" s="961"/>
      <c r="N627" s="929">
        <f>'matrik MISI 1'!S48</f>
        <v>30</v>
      </c>
      <c r="O627" s="929"/>
      <c r="P627" s="929">
        <f>'matrik MISI 1'!T48</f>
        <v>40</v>
      </c>
      <c r="Q627" s="929"/>
      <c r="R627" s="929">
        <f>'matrik MISI 1'!U48</f>
        <v>50</v>
      </c>
      <c r="S627" s="929"/>
      <c r="T627" s="929">
        <f>'matrik MISI 1'!V48</f>
        <v>60</v>
      </c>
      <c r="U627" s="929"/>
      <c r="V627" s="929">
        <f>'matrik MISI 1'!W48</f>
        <v>60</v>
      </c>
      <c r="W627" s="929"/>
      <c r="X627" s="929" t="str">
        <f>'matrik MISI 1'!X48</f>
        <v>DINAKAN</v>
      </c>
      <c r="Y627" s="164" t="str">
        <f>'matrik MISI 1'!Y48</f>
        <v>Jumlah induk unggul yang digunakan dibagi jumlah total  penggunaan induk ikan untuk keg.pembenihan kali 100%</v>
      </c>
      <c r="Z627" s="164">
        <f>'matrik MISI 1'!Z48</f>
        <v>0</v>
      </c>
    </row>
    <row r="628" spans="2:26" ht="30">
      <c r="B628" s="940"/>
      <c r="C628" s="941"/>
      <c r="D628" s="940"/>
      <c r="E628" s="940"/>
      <c r="F628" s="940"/>
      <c r="G628" s="940"/>
      <c r="H628" s="164" t="str">
        <f>'matrik MISI 1'!N49</f>
        <v>Peningkatan produksi benih ikan</v>
      </c>
      <c r="I628" s="164" t="str">
        <f>'matrik MISI 1'!O49</f>
        <v>Ekor</v>
      </c>
      <c r="J628" s="929">
        <f>'matrik MISI 1'!P49</f>
        <v>53088000</v>
      </c>
      <c r="K628" s="929">
        <f>'matrik MISI 1'!Q49</f>
        <v>69200000</v>
      </c>
      <c r="L628" s="929">
        <f>'matrik MISI 1'!R49</f>
        <v>76120000</v>
      </c>
      <c r="M628" s="961"/>
      <c r="N628" s="929">
        <f>'matrik MISI 1'!S49</f>
        <v>83732000</v>
      </c>
      <c r="O628" s="929"/>
      <c r="P628" s="929">
        <f>'matrik MISI 1'!T49</f>
        <v>92105200</v>
      </c>
      <c r="Q628" s="929"/>
      <c r="R628" s="929">
        <f>'matrik MISI 1'!U49</f>
        <v>102236750</v>
      </c>
      <c r="S628" s="929"/>
      <c r="T628" s="929">
        <f>'matrik MISI 1'!V49</f>
        <v>113482800</v>
      </c>
      <c r="U628" s="929"/>
      <c r="V628" s="929">
        <f>'matrik MISI 1'!W49</f>
        <v>113482800</v>
      </c>
      <c r="W628" s="929"/>
      <c r="X628" s="929" t="str">
        <f>'matrik MISI 1'!X49</f>
        <v>DINAKAN</v>
      </c>
      <c r="Y628" s="164" t="str">
        <f>'matrik MISI 1'!Y49</f>
        <v xml:space="preserve">Jumlah produksi benih ikan </v>
      </c>
      <c r="Z628" s="164">
        <f>'matrik MISI 1'!Z49</f>
        <v>0</v>
      </c>
    </row>
    <row r="629" spans="2:26" ht="90">
      <c r="B629" s="940"/>
      <c r="C629" s="941"/>
      <c r="D629" s="940"/>
      <c r="E629" s="940"/>
      <c r="F629" s="940"/>
      <c r="G629" s="940"/>
      <c r="H629" s="164" t="str">
        <f>'matrik MISI 1'!N50</f>
        <v>Peningkatan produksi ikan konsumsi (kolam)</v>
      </c>
      <c r="I629" s="164" t="str">
        <f>'matrik MISI 1'!O50</f>
        <v>Ekor</v>
      </c>
      <c r="J629" s="929" t="str">
        <f>'matrik MISI 1'!P50</f>
        <v xml:space="preserve">1.864,08 </v>
      </c>
      <c r="K629" s="929" t="str">
        <f>'matrik MISI 1'!Q50</f>
        <v xml:space="preserve">2.302,14 </v>
      </c>
      <c r="L629" s="929">
        <f>'matrik MISI 1'!R50</f>
        <v>2854.65</v>
      </c>
      <c r="M629" s="961"/>
      <c r="N629" s="929">
        <f>'matrik MISI 1'!S50</f>
        <v>3539.77</v>
      </c>
      <c r="O629" s="929"/>
      <c r="P629" s="929">
        <f>'matrik MISI 1'!T50</f>
        <v>4389.32</v>
      </c>
      <c r="Q629" s="929"/>
      <c r="R629" s="929">
        <f>'matrik MISI 1'!U50</f>
        <v>5442.75</v>
      </c>
      <c r="S629" s="929"/>
      <c r="T629" s="929">
        <f>'matrik MISI 1'!V50</f>
        <v>6749.01</v>
      </c>
      <c r="U629" s="929"/>
      <c r="V629" s="929">
        <f>'matrik MISI 1'!W50</f>
        <v>6749.01</v>
      </c>
      <c r="W629" s="929"/>
      <c r="X629" s="929" t="str">
        <f>'matrik MISI 1'!X50</f>
        <v>DINAKAN</v>
      </c>
      <c r="Y629" s="164" t="str">
        <f>'matrik MISI 1'!Y50</f>
        <v>Jumlah produksi ikan konsumsi tahun n-(n-1) dibagi jumlah produksi ikan konsumsi tahun ke n-1 kali 100%</v>
      </c>
      <c r="Z629" s="164" t="str">
        <f>'matrik MISI 1'!Z50</f>
        <v>cukup jelas</v>
      </c>
    </row>
    <row r="630" spans="2:26" ht="90">
      <c r="B630" s="940"/>
      <c r="C630" s="941"/>
      <c r="D630" s="940"/>
      <c r="E630" s="940"/>
      <c r="F630" s="940"/>
      <c r="G630" s="940"/>
      <c r="H630" s="164" t="str">
        <f>'matrik MISI 1'!N51</f>
        <v>Peningkatan produksi mina padi</v>
      </c>
      <c r="I630" s="164" t="str">
        <f>'matrik MISI 1'!O51</f>
        <v>Ekor</v>
      </c>
      <c r="J630" s="929">
        <f>'matrik MISI 1'!P51</f>
        <v>1152.26</v>
      </c>
      <c r="K630" s="929">
        <f>'matrik MISI 1'!Q51</f>
        <v>1423.99</v>
      </c>
      <c r="L630" s="929">
        <f>'matrik MISI 1'!R51</f>
        <v>1765.75</v>
      </c>
      <c r="M630" s="961"/>
      <c r="N630" s="929">
        <f>'matrik MISI 1'!S51</f>
        <v>2189.5300000000002</v>
      </c>
      <c r="O630" s="929"/>
      <c r="P630" s="929">
        <f>'matrik MISI 1'!T51</f>
        <v>2715.01</v>
      </c>
      <c r="Q630" s="929"/>
      <c r="R630" s="929">
        <f>'matrik MISI 1'!U51</f>
        <v>3366.62</v>
      </c>
      <c r="S630" s="929"/>
      <c r="T630" s="929">
        <f>'matrik MISI 1'!V51</f>
        <v>4174.6000000000004</v>
      </c>
      <c r="U630" s="929"/>
      <c r="V630" s="929">
        <f>'matrik MISI 1'!W51</f>
        <v>4174.6000000000004</v>
      </c>
      <c r="W630" s="929"/>
      <c r="X630" s="929" t="str">
        <f>'matrik MISI 1'!X51</f>
        <v>DINAKAN</v>
      </c>
      <c r="Y630" s="164" t="str">
        <f>'matrik MISI 1'!Y51</f>
        <v>Jumlah produksi mina padi tahun n-(n-1) dibagi jumlah produksi mina padi tahun ke n-1 kali 100%</v>
      </c>
      <c r="Z630" s="164" t="str">
        <f>'matrik MISI 1'!Z51</f>
        <v>cukup jelas</v>
      </c>
    </row>
    <row r="631" spans="2:26" ht="45">
      <c r="B631" s="940"/>
      <c r="C631" s="941"/>
      <c r="D631" s="940"/>
      <c r="E631" s="940"/>
      <c r="F631" s="940"/>
      <c r="G631" s="940"/>
      <c r="H631" s="164" t="str">
        <f>'matrik MISI 1'!N52</f>
        <v>Produktivitas benih ikan</v>
      </c>
      <c r="I631" s="164" t="str">
        <f>'matrik MISI 1'!O52</f>
        <v>ekor/m2</v>
      </c>
      <c r="J631" s="929">
        <f>'matrik MISI 1'!P52</f>
        <v>70</v>
      </c>
      <c r="K631" s="929">
        <f>'matrik MISI 1'!Q52</f>
        <v>80</v>
      </c>
      <c r="L631" s="929">
        <f>'matrik MISI 1'!R52</f>
        <v>90</v>
      </c>
      <c r="M631" s="961"/>
      <c r="N631" s="929">
        <f>'matrik MISI 1'!S52</f>
        <v>100</v>
      </c>
      <c r="O631" s="929"/>
      <c r="P631" s="929">
        <f>'matrik MISI 1'!T52</f>
        <v>110</v>
      </c>
      <c r="Q631" s="929"/>
      <c r="R631" s="929">
        <f>'matrik MISI 1'!U52</f>
        <v>120</v>
      </c>
      <c r="S631" s="929"/>
      <c r="T631" s="929">
        <f>'matrik MISI 1'!V52</f>
        <v>130</v>
      </c>
      <c r="U631" s="929"/>
      <c r="V631" s="929">
        <f>'matrik MISI 1'!W52</f>
        <v>130</v>
      </c>
      <c r="W631" s="929"/>
      <c r="X631" s="929" t="str">
        <f>'matrik MISI 1'!X52</f>
        <v>DINAKAN</v>
      </c>
      <c r="Y631" s="164" t="str">
        <f>'matrik MISI 1'!Y52</f>
        <v>Jumlah produksi benih ikan (ekor ) per luas kolam (m2)</v>
      </c>
      <c r="Z631" s="164">
        <f>'matrik MISI 1'!Z52</f>
        <v>0</v>
      </c>
    </row>
    <row r="632" spans="2:26" ht="45">
      <c r="B632" s="940"/>
      <c r="C632" s="941"/>
      <c r="D632" s="940"/>
      <c r="E632" s="940"/>
      <c r="F632" s="940"/>
      <c r="G632" s="940"/>
      <c r="H632" s="164" t="str">
        <f>'matrik MISI 1'!N53</f>
        <v>Produktivitas ikan konsumsi</v>
      </c>
      <c r="I632" s="164" t="str">
        <f>'matrik MISI 1'!O53</f>
        <v>kg/m2</v>
      </c>
      <c r="J632" s="929" t="str">
        <f>'matrik MISI 1'!P53</f>
        <v xml:space="preserve">1,58 </v>
      </c>
      <c r="K632" s="929" t="str">
        <f>'matrik MISI 1'!Q53</f>
        <v xml:space="preserve">1,93 </v>
      </c>
      <c r="L632" s="929">
        <f>'matrik MISI 1'!R53</f>
        <v>2.36</v>
      </c>
      <c r="M632" s="961"/>
      <c r="N632" s="929">
        <f>'matrik MISI 1'!S53</f>
        <v>2.89</v>
      </c>
      <c r="O632" s="929"/>
      <c r="P632" s="929">
        <f>'matrik MISI 1'!T53</f>
        <v>3.54</v>
      </c>
      <c r="Q632" s="929"/>
      <c r="R632" s="929">
        <f>'matrik MISI 1'!U53</f>
        <v>4.33</v>
      </c>
      <c r="S632" s="929"/>
      <c r="T632" s="929">
        <f>'matrik MISI 1'!V53</f>
        <v>5.29</v>
      </c>
      <c r="U632" s="929"/>
      <c r="V632" s="929" t="str">
        <f>'matrik MISI 1'!W53</f>
        <v xml:space="preserve">5,29 </v>
      </c>
      <c r="W632" s="929"/>
      <c r="X632" s="929" t="str">
        <f>'matrik MISI 1'!X53</f>
        <v>DINAKAN</v>
      </c>
      <c r="Y632" s="164" t="str">
        <f>'matrik MISI 1'!Y53</f>
        <v>Jumlah produksi ikan konsumsi (kg ) per luas kolam (m2)</v>
      </c>
      <c r="Z632" s="164">
        <f>'matrik MISI 1'!Z53</f>
        <v>0</v>
      </c>
    </row>
    <row r="633" spans="2:26" ht="60">
      <c r="B633" s="940"/>
      <c r="C633" s="941"/>
      <c r="D633" s="940"/>
      <c r="E633" s="940"/>
      <c r="F633" s="940"/>
      <c r="G633" s="940"/>
      <c r="H633" s="164" t="str">
        <f>'matrik MISI 1'!N54</f>
        <v>Produktivitas mina padi</v>
      </c>
      <c r="I633" s="164" t="str">
        <f>'matrik MISI 1'!O54</f>
        <v>kg/Ha/tahun</v>
      </c>
      <c r="J633" s="929" t="str">
        <f>'matrik MISI 1'!P54</f>
        <v xml:space="preserve">375,76 </v>
      </c>
      <c r="K633" s="929" t="str">
        <f>'matrik MISI 1'!Q54</f>
        <v xml:space="preserve">455,26 </v>
      </c>
      <c r="L633" s="929">
        <f>'matrik MISI 1'!R54</f>
        <v>551.58000000000004</v>
      </c>
      <c r="M633" s="961"/>
      <c r="N633" s="929">
        <f>'matrik MISI 1'!S54</f>
        <v>668.28</v>
      </c>
      <c r="O633" s="929"/>
      <c r="P633" s="929">
        <f>'matrik MISI 1'!T54</f>
        <v>809.67</v>
      </c>
      <c r="Q633" s="929"/>
      <c r="R633" s="929">
        <f>'matrik MISI 1'!U54</f>
        <v>980.97</v>
      </c>
      <c r="S633" s="929"/>
      <c r="T633" s="929">
        <f>'matrik MISI 1'!V54</f>
        <v>1188.51</v>
      </c>
      <c r="U633" s="929"/>
      <c r="V633" s="929" t="str">
        <f>'matrik MISI 1'!W54</f>
        <v xml:space="preserve">1188,51 </v>
      </c>
      <c r="W633" s="929"/>
      <c r="X633" s="929" t="str">
        <f>'matrik MISI 1'!X54</f>
        <v>DINAKAN</v>
      </c>
      <c r="Y633" s="164" t="str">
        <f>'matrik MISI 1'!Y54</f>
        <v xml:space="preserve">Jumlah produksi ikan (kg ) per luas lahan budidaya minapadi (Ha) </v>
      </c>
      <c r="Z633" s="164">
        <f>'matrik MISI 1'!Z54</f>
        <v>0</v>
      </c>
    </row>
    <row r="634" spans="2:26" ht="60" hidden="1">
      <c r="B634" s="940"/>
      <c r="C634" s="941"/>
      <c r="D634" s="940" t="str">
        <f>'matrik MISI 1'!J55</f>
        <v>2.05</v>
      </c>
      <c r="E634" s="940" t="str">
        <f>'matrik MISI 1'!K55</f>
        <v>xx</v>
      </c>
      <c r="F634" s="940">
        <f>'matrik MISI 1'!L55</f>
        <v>23</v>
      </c>
      <c r="G634" s="940" t="str">
        <f>'matrik MISI 1'!M55</f>
        <v>Program Optimalisasi pengelolaan dan Pemasaran Produksi Perikanan</v>
      </c>
      <c r="H634" s="164"/>
      <c r="I634" s="164"/>
      <c r="J634" s="929"/>
      <c r="K634" s="929"/>
      <c r="L634" s="929"/>
      <c r="M634" s="961">
        <f>'jangan dihapus 2'!K661</f>
        <v>876128000</v>
      </c>
      <c r="N634" s="929"/>
      <c r="O634" s="961">
        <f>'jangan dihapus 2'!M661</f>
        <v>1065000000</v>
      </c>
      <c r="P634" s="929"/>
      <c r="Q634" s="961">
        <f>'jangan dihapus 2'!O661</f>
        <v>1200000000</v>
      </c>
      <c r="R634" s="929"/>
      <c r="S634" s="961">
        <f>'jangan dihapus 2'!Q661</f>
        <v>1475000000</v>
      </c>
      <c r="T634" s="929"/>
      <c r="U634" s="961">
        <f>'jangan dihapus 2'!S661</f>
        <v>1535000000</v>
      </c>
      <c r="V634" s="929"/>
      <c r="W634" s="961">
        <f>SUM(M634:U634)</f>
        <v>6151128000</v>
      </c>
      <c r="X634" s="929"/>
      <c r="Y634" s="164"/>
      <c r="Z634" s="164"/>
    </row>
    <row r="635" spans="2:26" ht="45">
      <c r="B635" s="940"/>
      <c r="C635" s="941"/>
      <c r="D635" s="939"/>
      <c r="E635" s="939"/>
      <c r="F635" s="939"/>
      <c r="G635" s="939"/>
      <c r="H635" s="164" t="str">
        <f>'matrik MISI 1'!N55</f>
        <v>Peningkatan produksi pengolahan hasil perikanan</v>
      </c>
      <c r="I635" s="164" t="str">
        <f>'matrik MISI 1'!O55</f>
        <v>Kg</v>
      </c>
      <c r="J635" s="929">
        <f>'matrik MISI 1'!P55</f>
        <v>183</v>
      </c>
      <c r="K635" s="929">
        <f>'matrik MISI 1'!Q55</f>
        <v>196</v>
      </c>
      <c r="L635" s="929">
        <f>'matrik MISI 1'!R55</f>
        <v>210</v>
      </c>
      <c r="M635" s="961"/>
      <c r="N635" s="929">
        <f>'matrik MISI 1'!S55</f>
        <v>224</v>
      </c>
      <c r="O635" s="929"/>
      <c r="P635" s="929">
        <f>'matrik MISI 1'!T55</f>
        <v>240</v>
      </c>
      <c r="Q635" s="929"/>
      <c r="R635" s="929">
        <f>'matrik MISI 1'!U55</f>
        <v>258</v>
      </c>
      <c r="S635" s="929"/>
      <c r="T635" s="929">
        <f>'matrik MISI 1'!V55</f>
        <v>277</v>
      </c>
      <c r="U635" s="929"/>
      <c r="V635" s="929">
        <f>'matrik MISI 1'!W55</f>
        <v>277</v>
      </c>
      <c r="W635" s="929"/>
      <c r="X635" s="929" t="str">
        <f>'matrik MISI 1'!X55</f>
        <v>DINAKAN</v>
      </c>
      <c r="Y635" s="164" t="str">
        <f>'matrik MISI 1'!Y55</f>
        <v xml:space="preserve">Jumlah hasil produksi pengolahan ikan per tahun </v>
      </c>
      <c r="Z635" s="164">
        <f>'matrik MISI 1'!Z55</f>
        <v>0</v>
      </c>
    </row>
    <row r="636" spans="2:26" ht="60">
      <c r="B636" s="940"/>
      <c r="C636" s="941"/>
      <c r="D636" s="940"/>
      <c r="E636" s="940"/>
      <c r="F636" s="940"/>
      <c r="G636" s="940"/>
      <c r="H636" s="164" t="str">
        <f>'matrik MISI 1'!N56</f>
        <v xml:space="preserve">Tingkat Konsumsi Ikan </v>
      </c>
      <c r="I636" s="164" t="str">
        <f>'matrik MISI 1'!O56</f>
        <v>kg/kapita/tahun</v>
      </c>
      <c r="J636" s="929">
        <f>'matrik MISI 1'!P56</f>
        <v>14.96</v>
      </c>
      <c r="K636" s="929">
        <f>'matrik MISI 1'!Q56</f>
        <v>15.25</v>
      </c>
      <c r="L636" s="929">
        <f>'matrik MISI 1'!R56</f>
        <v>15.56</v>
      </c>
      <c r="M636" s="961"/>
      <c r="N636" s="929">
        <f>'matrik MISI 1'!S56</f>
        <v>15.87</v>
      </c>
      <c r="O636" s="929"/>
      <c r="P636" s="929">
        <f>'matrik MISI 1'!T56</f>
        <v>16.190000000000001</v>
      </c>
      <c r="Q636" s="929"/>
      <c r="R636" s="929">
        <f>'matrik MISI 1'!U56</f>
        <v>16.53</v>
      </c>
      <c r="S636" s="929"/>
      <c r="T636" s="929">
        <f>'matrik MISI 1'!V56</f>
        <v>16.87</v>
      </c>
      <c r="U636" s="929"/>
      <c r="V636" s="929" t="str">
        <f>'matrik MISI 1'!W56</f>
        <v xml:space="preserve">16,87 </v>
      </c>
      <c r="W636" s="929"/>
      <c r="X636" s="929" t="str">
        <f>'matrik MISI 1'!X56</f>
        <v>DINAKAN</v>
      </c>
      <c r="Y636" s="164" t="str">
        <f>'matrik MISI 1'!Y56</f>
        <v>Jumlah ikan yang dikonsumsi (kg) setiap orang dalam jangka waktu 1 tahun</v>
      </c>
      <c r="Z636" s="164">
        <f>'matrik MISI 1'!Z56</f>
        <v>0</v>
      </c>
    </row>
    <row r="637" spans="2:26" ht="45" hidden="1">
      <c r="B637" s="940"/>
      <c r="C637" s="941"/>
      <c r="D637" s="940" t="str">
        <f>'matrik MISI 1'!J57</f>
        <v>2.05</v>
      </c>
      <c r="E637" s="940" t="str">
        <f>'matrik MISI 1'!K57</f>
        <v>xx</v>
      </c>
      <c r="F637" s="940">
        <f>'matrik MISI 1'!L57</f>
        <v>24</v>
      </c>
      <c r="G637" s="940" t="str">
        <f>'matrik MISI 1'!M57</f>
        <v>Program Pengembangan Kawasan budidaya air tawar</v>
      </c>
      <c r="H637" s="164"/>
      <c r="I637" s="164"/>
      <c r="J637" s="929"/>
      <c r="K637" s="929"/>
      <c r="L637" s="929"/>
      <c r="M637" s="961">
        <f>'jangan dihapus 2'!K666</f>
        <v>456495000</v>
      </c>
      <c r="N637" s="929"/>
      <c r="O637" s="961">
        <f>'jangan dihapus 2'!M666</f>
        <v>685440000</v>
      </c>
      <c r="P637" s="929"/>
      <c r="Q637" s="961">
        <f>'jangan dihapus 2'!O666</f>
        <v>930000000</v>
      </c>
      <c r="R637" s="929"/>
      <c r="S637" s="961">
        <f>'jangan dihapus 2'!Q666</f>
        <v>825000000</v>
      </c>
      <c r="T637" s="929"/>
      <c r="U637" s="961">
        <f>'jangan dihapus 2'!S666</f>
        <v>870000000</v>
      </c>
      <c r="V637" s="929"/>
      <c r="W637" s="961">
        <f>SUM(M637:U637)</f>
        <v>3766935000</v>
      </c>
      <c r="X637" s="929"/>
      <c r="Y637" s="164"/>
      <c r="Z637" s="164"/>
    </row>
    <row r="638" spans="2:26" ht="30">
      <c r="B638" s="940"/>
      <c r="C638" s="941"/>
      <c r="D638" s="939"/>
      <c r="E638" s="939"/>
      <c r="F638" s="939"/>
      <c r="G638" s="939"/>
      <c r="H638" s="164" t="str">
        <f>'matrik MISI 1'!N57</f>
        <v>Peningkatan luas lahan budidaya ikan</v>
      </c>
      <c r="I638" s="164" t="str">
        <f>'matrik MISI 1'!O57</f>
        <v>Ha</v>
      </c>
      <c r="J638" s="929" t="str">
        <f>'matrik MISI 1'!P57</f>
        <v xml:space="preserve">117,88 </v>
      </c>
      <c r="K638" s="929" t="str">
        <f>'matrik MISI 1'!Q57</f>
        <v xml:space="preserve">119,17 </v>
      </c>
      <c r="L638" s="929" t="str">
        <f>'matrik MISI 1'!R57</f>
        <v>120,19</v>
      </c>
      <c r="M638" s="961"/>
      <c r="N638" s="929" t="str">
        <f>'matrik MISI 1'!S57</f>
        <v>121,39</v>
      </c>
      <c r="O638" s="929"/>
      <c r="P638" s="929" t="str">
        <f>'matrik MISI 1'!T57</f>
        <v>122,61</v>
      </c>
      <c r="Q638" s="929"/>
      <c r="R638" s="929" t="str">
        <f>'matrik MISI 1'!U57</f>
        <v>123,83</v>
      </c>
      <c r="S638" s="929"/>
      <c r="T638" s="929" t="str">
        <f>'matrik MISI 1'!V57</f>
        <v>125,07</v>
      </c>
      <c r="U638" s="929"/>
      <c r="V638" s="929" t="str">
        <f>'matrik MISI 1'!W57</f>
        <v>125,07</v>
      </c>
      <c r="W638" s="929"/>
      <c r="X638" s="929" t="str">
        <f>'matrik MISI 1'!X57</f>
        <v>DINAKAN</v>
      </c>
      <c r="Y638" s="164" t="str">
        <f>'matrik MISI 1'!Y57</f>
        <v xml:space="preserve">Luas lahan budidaya ikan </v>
      </c>
      <c r="Z638" s="164">
        <f>'matrik MISI 1'!Z57</f>
        <v>0</v>
      </c>
    </row>
    <row r="639" spans="2:26" ht="30" hidden="1">
      <c r="B639" s="940"/>
      <c r="C639" s="941"/>
      <c r="D639" s="940" t="str">
        <f>'matrik MISI 1'!J58</f>
        <v>2.05</v>
      </c>
      <c r="E639" s="940" t="str">
        <f>'matrik MISI 1'!K58</f>
        <v>xx</v>
      </c>
      <c r="F639" s="940">
        <f>'matrik MISI 1'!L58</f>
        <v>21</v>
      </c>
      <c r="G639" s="940" t="str">
        <f>'matrik MISI 1'!M58</f>
        <v>Program Pengembangan Perikanan Tangkap</v>
      </c>
      <c r="H639" s="164"/>
      <c r="I639" s="164"/>
      <c r="J639" s="929"/>
      <c r="K639" s="929"/>
      <c r="L639" s="929"/>
      <c r="M639" s="961">
        <f>'jangan dihapus 2'!K659</f>
        <v>0</v>
      </c>
      <c r="N639" s="929"/>
      <c r="O639" s="961">
        <f>'jangan dihapus 2'!M659</f>
        <v>50000000</v>
      </c>
      <c r="P639" s="929"/>
      <c r="Q639" s="961">
        <f>'jangan dihapus 2'!O659</f>
        <v>65000000</v>
      </c>
      <c r="R639" s="929"/>
      <c r="S639" s="961">
        <f>'jangan dihapus 2'!Q659</f>
        <v>75000000</v>
      </c>
      <c r="T639" s="929"/>
      <c r="U639" s="961">
        <f>'jangan dihapus 2'!S659</f>
        <v>95000000</v>
      </c>
      <c r="V639" s="929"/>
      <c r="W639" s="961">
        <f>SUM(M639:U639)</f>
        <v>285000000</v>
      </c>
      <c r="X639" s="929"/>
      <c r="Y639" s="164"/>
      <c r="Z639" s="164"/>
    </row>
    <row r="640" spans="2:26" ht="105">
      <c r="B640" s="950"/>
      <c r="C640" s="951"/>
      <c r="D640" s="942"/>
      <c r="E640" s="942"/>
      <c r="F640" s="942"/>
      <c r="G640" s="942"/>
      <c r="H640" s="164" t="str">
        <f>'matrik MISI 1'!N58</f>
        <v>Peningkatan produksi perikanan tangkap di perairan umum</v>
      </c>
      <c r="I640" s="164" t="str">
        <f>'matrik MISI 1'!O58</f>
        <v>Ton</v>
      </c>
      <c r="J640" s="929">
        <f>'matrik MISI 1'!P58</f>
        <v>121.28</v>
      </c>
      <c r="K640" s="929" t="str">
        <f>'matrik MISI 1'!Q58</f>
        <v xml:space="preserve">166,16 </v>
      </c>
      <c r="L640" s="929">
        <f>'matrik MISI 1'!R58</f>
        <v>227.64</v>
      </c>
      <c r="M640" s="961"/>
      <c r="N640" s="929">
        <f>'matrik MISI 1'!S58</f>
        <v>311.87</v>
      </c>
      <c r="O640" s="929"/>
      <c r="P640" s="929">
        <f>'matrik MISI 1'!T58</f>
        <v>427.26</v>
      </c>
      <c r="Q640" s="929"/>
      <c r="R640" s="929">
        <f>'matrik MISI 1'!U58</f>
        <v>585.34</v>
      </c>
      <c r="S640" s="929"/>
      <c r="T640" s="929">
        <f>'matrik MISI 1'!V58</f>
        <v>801.92</v>
      </c>
      <c r="U640" s="929"/>
      <c r="V640" s="929">
        <f>'matrik MISI 1'!W58</f>
        <v>801.92</v>
      </c>
      <c r="W640" s="929"/>
      <c r="X640" s="929" t="str">
        <f>'matrik MISI 1'!X58</f>
        <v>DINAKAN</v>
      </c>
      <c r="Y640" s="164" t="str">
        <f>'matrik MISI 1'!Y58</f>
        <v>Jumlah produksi perikanan tangkap tahun n-(n-1) dibagi jumlah hasil produksi perikanan tangkap tahun ke n-1 kali 100%</v>
      </c>
      <c r="Z640" s="164" t="str">
        <f>'matrik MISI 1'!Z58</f>
        <v>cukup jelas</v>
      </c>
    </row>
    <row r="641" spans="2:26" ht="45">
      <c r="B641" s="949">
        <v>6</v>
      </c>
      <c r="C641" s="948" t="str">
        <f>'matrik MISI 1'!B81</f>
        <v>PERDAGANGAN</v>
      </c>
      <c r="D641" s="949" t="str">
        <f>'matrik MISI 1'!J82</f>
        <v>2.06</v>
      </c>
      <c r="E641" s="949" t="str">
        <f>'matrik MISI 1'!K82</f>
        <v>xx</v>
      </c>
      <c r="F641" s="949">
        <f>'matrik MISI 1'!L82</f>
        <v>21</v>
      </c>
      <c r="G641" s="949" t="str">
        <f>'matrik MISI 1'!M82</f>
        <v>Program Peningkatan Sarana dan Prasarana Lainnya</v>
      </c>
      <c r="H641" s="164"/>
      <c r="I641" s="164"/>
      <c r="J641" s="929"/>
      <c r="K641" s="929"/>
      <c r="L641" s="929"/>
      <c r="M641" s="961">
        <f>'jangan dihapus 2'!K700</f>
        <v>79140626600</v>
      </c>
      <c r="N641" s="929"/>
      <c r="O641" s="961">
        <f>'jangan dihapus 2'!M700</f>
        <v>20739763000</v>
      </c>
      <c r="P641" s="929"/>
      <c r="Q641" s="961">
        <f>'jangan dihapus 2'!O700</f>
        <v>250000000</v>
      </c>
      <c r="R641" s="929"/>
      <c r="S641" s="961">
        <f>'jangan dihapus 2'!Q700</f>
        <v>500000000</v>
      </c>
      <c r="T641" s="929"/>
      <c r="U641" s="961">
        <f>'jangan dihapus 2'!S700</f>
        <v>700000000</v>
      </c>
      <c r="V641" s="929"/>
      <c r="W641" s="961">
        <f>SUM(M641:U641)</f>
        <v>101330389600</v>
      </c>
      <c r="X641" s="929"/>
      <c r="Y641" s="164"/>
      <c r="Z641" s="164"/>
    </row>
    <row r="642" spans="2:26" ht="135">
      <c r="B642" s="939"/>
      <c r="C642" s="939"/>
      <c r="D642" s="939"/>
      <c r="E642" s="939"/>
      <c r="F642" s="939"/>
      <c r="G642" s="939"/>
      <c r="H642" s="164" t="str">
        <f>'matrik MISI 1'!N82</f>
        <v>Besaran meningkatnya  Sarana dan Prasarana Perdagangan</v>
      </c>
      <c r="I642" s="164" t="str">
        <f>'matrik MISI 1'!O82</f>
        <v>unit</v>
      </c>
      <c r="J642" s="929">
        <f>'matrik MISI 1'!P82</f>
        <v>2</v>
      </c>
      <c r="K642" s="929">
        <f>'matrik MISI 1'!Q82</f>
        <v>2</v>
      </c>
      <c r="L642" s="929">
        <f>'matrik MISI 1'!R82</f>
        <v>1</v>
      </c>
      <c r="M642" s="961"/>
      <c r="N642" s="929">
        <f>'matrik MISI 1'!S82</f>
        <v>1</v>
      </c>
      <c r="O642" s="929"/>
      <c r="P642" s="929">
        <f>'matrik MISI 1'!T82</f>
        <v>1</v>
      </c>
      <c r="Q642" s="929"/>
      <c r="R642" s="929">
        <f>'matrik MISI 1'!U82</f>
        <v>1</v>
      </c>
      <c r="S642" s="929"/>
      <c r="T642" s="929">
        <f>'matrik MISI 1'!V82</f>
        <v>1</v>
      </c>
      <c r="U642" s="929"/>
      <c r="V642" s="929">
        <f>'matrik MISI 1'!W82</f>
        <v>5</v>
      </c>
      <c r="W642" s="929"/>
      <c r="X642" s="929" t="str">
        <f>'matrik MISI 1'!X82</f>
        <v>DISPERINDAGKOP DAN UMKM</v>
      </c>
      <c r="Y642" s="164" t="str">
        <f>'matrik MISI 1'!Y82</f>
        <v>Bertambahnya pasar yang di revitalisasi</v>
      </c>
      <c r="Z642" s="164" t="str">
        <f>'matrik MISI 1'!Z82</f>
        <v>pasar dimaksud diluar pasar desa dan Pasar BUMD (Pasar Kranggan, Candiroto, Pingit, Pasar Burung Kerkof, Penataan Kios Komplek Alun alun, Pasar Hewan Temanggung )</v>
      </c>
    </row>
    <row r="643" spans="2:26" ht="30" hidden="1">
      <c r="B643" s="940"/>
      <c r="C643" s="941"/>
      <c r="D643" s="940" t="str">
        <f>'matrik MISI 1'!J83</f>
        <v>2.06</v>
      </c>
      <c r="E643" s="940" t="str">
        <f>'matrik MISI 1'!K83</f>
        <v>xx</v>
      </c>
      <c r="F643" s="940">
        <f>'matrik MISI 1'!L83</f>
        <v>20</v>
      </c>
      <c r="G643" s="940" t="str">
        <f>'matrik MISI 1'!M83</f>
        <v>Program Pengelolaan Pasar Daerah</v>
      </c>
      <c r="H643" s="164"/>
      <c r="I643" s="164"/>
      <c r="J643" s="929"/>
      <c r="K643" s="929"/>
      <c r="L643" s="929"/>
      <c r="M643" s="961">
        <f>'jangan dihapus 2'!K691</f>
        <v>374730000</v>
      </c>
      <c r="N643" s="929"/>
      <c r="O643" s="961">
        <f>'jangan dihapus 2'!M691</f>
        <v>285000000</v>
      </c>
      <c r="P643" s="929"/>
      <c r="Q643" s="961">
        <f>'jangan dihapus 2'!O691</f>
        <v>285000000</v>
      </c>
      <c r="R643" s="929"/>
      <c r="S643" s="961">
        <f>'jangan dihapus 2'!Q691</f>
        <v>335000000</v>
      </c>
      <c r="T643" s="929"/>
      <c r="U643" s="961">
        <f>'jangan dihapus 2'!S691</f>
        <v>355000000</v>
      </c>
      <c r="V643" s="929"/>
      <c r="W643" s="961">
        <f>SUM(M643:U643)</f>
        <v>1634730000</v>
      </c>
      <c r="X643" s="929"/>
      <c r="Y643" s="164"/>
      <c r="Z643" s="164"/>
    </row>
    <row r="644" spans="2:26" ht="60">
      <c r="B644" s="940"/>
      <c r="C644" s="941"/>
      <c r="D644" s="939"/>
      <c r="E644" s="939"/>
      <c r="F644" s="939"/>
      <c r="G644" s="939"/>
      <c r="H644" s="164" t="str">
        <f>'matrik MISI 1'!N83</f>
        <v>Cakupan pengelolaan sarana dan prasarana pasar</v>
      </c>
      <c r="I644" s="164" t="str">
        <f>'matrik MISI 1'!O83</f>
        <v>%</v>
      </c>
      <c r="J644" s="929">
        <f>'matrik MISI 1'!P83</f>
        <v>100</v>
      </c>
      <c r="K644" s="929">
        <f>'matrik MISI 1'!Q83</f>
        <v>100</v>
      </c>
      <c r="L644" s="929">
        <f>'matrik MISI 1'!R83</f>
        <v>100</v>
      </c>
      <c r="M644" s="961"/>
      <c r="N644" s="929">
        <f>'matrik MISI 1'!S83</f>
        <v>100</v>
      </c>
      <c r="O644" s="929"/>
      <c r="P644" s="929">
        <f>'matrik MISI 1'!T83</f>
        <v>100</v>
      </c>
      <c r="Q644" s="929"/>
      <c r="R644" s="929">
        <f>'matrik MISI 1'!U83</f>
        <v>100</v>
      </c>
      <c r="S644" s="929"/>
      <c r="T644" s="929">
        <f>'matrik MISI 1'!V83</f>
        <v>100</v>
      </c>
      <c r="U644" s="929"/>
      <c r="V644" s="929">
        <f>'matrik MISI 1'!W83</f>
        <v>100</v>
      </c>
      <c r="W644" s="929"/>
      <c r="X644" s="929" t="str">
        <f>'matrik MISI 1'!X83</f>
        <v>DISPERINDAGKOP DAN UMKM</v>
      </c>
      <c r="Y644" s="164" t="str">
        <f>'matrik MISI 1'!Y83</f>
        <v>jumlah pasar yang dikelola pemerintah dibagi jumlah pasar yang ada kali 100 %</v>
      </c>
      <c r="Z644" s="164">
        <f>'matrik MISI 1'!Z83</f>
        <v>0</v>
      </c>
    </row>
    <row r="645" spans="2:26" ht="45" hidden="1">
      <c r="B645" s="940"/>
      <c r="C645" s="941"/>
      <c r="D645" s="940" t="str">
        <f>'matrik MISI 1'!J85</f>
        <v>2.06</v>
      </c>
      <c r="E645" s="940" t="str">
        <f>'matrik MISI 1'!K85</f>
        <v>xx</v>
      </c>
      <c r="F645" s="940">
        <f>'matrik MISI 1'!L85</f>
        <v>17</v>
      </c>
      <c r="G645" s="940" t="str">
        <f>'matrik MISI 1'!M85</f>
        <v>Program Peningkatan dan pengembangan  ekspor</v>
      </c>
      <c r="H645" s="164"/>
      <c r="I645" s="164"/>
      <c r="J645" s="929"/>
      <c r="K645" s="929"/>
      <c r="L645" s="929"/>
      <c r="M645" s="961">
        <f>'jangan dihapus 2'!K685</f>
        <v>110000000</v>
      </c>
      <c r="N645" s="929"/>
      <c r="O645" s="961">
        <f>'jangan dihapus 2'!M685</f>
        <v>54000000</v>
      </c>
      <c r="P645" s="929"/>
      <c r="Q645" s="961">
        <f>'jangan dihapus 2'!O685</f>
        <v>255000000</v>
      </c>
      <c r="R645" s="929"/>
      <c r="S645" s="961">
        <f>'jangan dihapus 2'!Q685</f>
        <v>260000000</v>
      </c>
      <c r="T645" s="929"/>
      <c r="U645" s="961">
        <f>'jangan dihapus 2'!S685</f>
        <v>282000000</v>
      </c>
      <c r="V645" s="929"/>
      <c r="W645" s="961">
        <f>SUM(M645:U645)</f>
        <v>961000000</v>
      </c>
      <c r="X645" s="929"/>
      <c r="Y645" s="164"/>
      <c r="Z645" s="164"/>
    </row>
    <row r="646" spans="2:26" ht="75">
      <c r="B646" s="940"/>
      <c r="C646" s="941"/>
      <c r="D646" s="939"/>
      <c r="E646" s="939"/>
      <c r="F646" s="939"/>
      <c r="G646" s="939"/>
      <c r="H646" s="164" t="str">
        <f>'matrik MISI 1'!N85</f>
        <v>Cakupan  Nilai Ekspor produk daerah</v>
      </c>
      <c r="I646" s="164" t="str">
        <f>'matrik MISI 1'!O85</f>
        <v>($)</v>
      </c>
      <c r="J646" s="929">
        <f>'matrik MISI 1'!P85</f>
        <v>108406133.59999999</v>
      </c>
      <c r="K646" s="929">
        <f>'matrik MISI 1'!Q85</f>
        <v>150927864.90000001</v>
      </c>
      <c r="L646" s="929">
        <f>'matrik MISI 1'!R85</f>
        <v>155000000</v>
      </c>
      <c r="M646" s="961"/>
      <c r="N646" s="929">
        <f>'matrik MISI 1'!S85</f>
        <v>160000000</v>
      </c>
      <c r="O646" s="929"/>
      <c r="P646" s="929">
        <f>'matrik MISI 1'!T85</f>
        <v>165000000</v>
      </c>
      <c r="Q646" s="929"/>
      <c r="R646" s="929">
        <f>'matrik MISI 1'!U85</f>
        <v>170000000</v>
      </c>
      <c r="S646" s="929"/>
      <c r="T646" s="929">
        <f>'matrik MISI 1'!V85</f>
        <v>175000000</v>
      </c>
      <c r="U646" s="929"/>
      <c r="V646" s="929">
        <f>'matrik MISI 1'!W85</f>
        <v>175000000</v>
      </c>
      <c r="W646" s="929"/>
      <c r="X646" s="929" t="str">
        <f>'matrik MISI 1'!X85</f>
        <v>DISPERINDAGKOP DAN UMKM</v>
      </c>
      <c r="Y646" s="164" t="str">
        <f>'matrik MISI 1'!Y85</f>
        <v>Jumlah nilai ekspor pada tahun ke n</v>
      </c>
      <c r="Z646" s="164" t="str">
        <f>'matrik MISI 1'!Z85</f>
        <v>Persentase kenaikan nilai dan volume ekspor pada setiap tahunnya (Kayu olahan, radio kayu)</v>
      </c>
    </row>
    <row r="647" spans="2:26" ht="45">
      <c r="B647" s="940"/>
      <c r="C647" s="941"/>
      <c r="D647" s="940"/>
      <c r="E647" s="940"/>
      <c r="F647" s="940"/>
      <c r="G647" s="940"/>
      <c r="H647" s="164" t="str">
        <f>'matrik MISI 1'!N86</f>
        <v>Cakupan promosi produk unggulan daerah</v>
      </c>
      <c r="I647" s="164" t="str">
        <f>'matrik MISI 1'!O86</f>
        <v>kali</v>
      </c>
      <c r="J647" s="929">
        <f>'matrik MISI 1'!P86</f>
        <v>5</v>
      </c>
      <c r="K647" s="929">
        <f>'matrik MISI 1'!Q86</f>
        <v>3</v>
      </c>
      <c r="L647" s="929">
        <f>'matrik MISI 1'!R86</f>
        <v>3</v>
      </c>
      <c r="M647" s="961"/>
      <c r="N647" s="929">
        <f>'matrik MISI 1'!S86</f>
        <v>3</v>
      </c>
      <c r="O647" s="929"/>
      <c r="P647" s="929">
        <f>'matrik MISI 1'!T86</f>
        <v>3</v>
      </c>
      <c r="Q647" s="929"/>
      <c r="R647" s="929">
        <f>'matrik MISI 1'!U86</f>
        <v>3</v>
      </c>
      <c r="S647" s="929"/>
      <c r="T647" s="929">
        <f>'matrik MISI 1'!V86</f>
        <v>3</v>
      </c>
      <c r="U647" s="929"/>
      <c r="V647" s="929">
        <f>'matrik MISI 1'!W86</f>
        <v>3</v>
      </c>
      <c r="W647" s="929"/>
      <c r="X647" s="929" t="str">
        <f>'matrik MISI 1'!X86</f>
        <v>DISPERINDAGKOP DAN UMKM</v>
      </c>
      <c r="Y647" s="164" t="str">
        <f>'matrik MISI 1'!Y86</f>
        <v>jumlah pameran produk unggulan daerah pada tahun n</v>
      </c>
      <c r="Z647" s="164">
        <f>'matrik MISI 1'!Z86</f>
        <v>0</v>
      </c>
    </row>
    <row r="648" spans="2:26" ht="30" hidden="1">
      <c r="B648" s="940"/>
      <c r="C648" s="941"/>
      <c r="D648" s="940" t="str">
        <f>'matrik MISI 1'!J87</f>
        <v>2.06</v>
      </c>
      <c r="E648" s="940" t="str">
        <f>'matrik MISI 1'!K87</f>
        <v>xx</v>
      </c>
      <c r="F648" s="940">
        <f>'matrik MISI 1'!L87</f>
        <v>19</v>
      </c>
      <c r="G648" s="940" t="str">
        <f>'matrik MISI 1'!M87</f>
        <v>Pembinaan pedagang Kaki lima dan Asongan</v>
      </c>
      <c r="H648" s="164"/>
      <c r="I648" s="164"/>
      <c r="J648" s="929"/>
      <c r="K648" s="929"/>
      <c r="L648" s="929"/>
      <c r="M648" s="961">
        <f>'jangan dihapus 2'!K689</f>
        <v>40000000</v>
      </c>
      <c r="N648" s="929"/>
      <c r="O648" s="961">
        <f>'jangan dihapus 2'!M689</f>
        <v>32500000</v>
      </c>
      <c r="P648" s="929"/>
      <c r="Q648" s="961">
        <f>'jangan dihapus 2'!O689</f>
        <v>50000000</v>
      </c>
      <c r="R648" s="929"/>
      <c r="S648" s="961">
        <f>'jangan dihapus 2'!Q689</f>
        <v>60000000</v>
      </c>
      <c r="T648" s="929"/>
      <c r="U648" s="961">
        <f>'jangan dihapus 2'!S689</f>
        <v>65000000</v>
      </c>
      <c r="V648" s="929"/>
      <c r="W648" s="961">
        <f>SUM(M648:U648)</f>
        <v>247500000</v>
      </c>
      <c r="X648" s="929"/>
      <c r="Y648" s="164"/>
      <c r="Z648" s="164"/>
    </row>
    <row r="649" spans="2:26" ht="60">
      <c r="B649" s="940"/>
      <c r="C649" s="941"/>
      <c r="D649" s="939"/>
      <c r="E649" s="939"/>
      <c r="F649" s="939"/>
      <c r="G649" s="939"/>
      <c r="H649" s="164" t="str">
        <f>'matrik MISI 1'!N87</f>
        <v>Cakupan Bina Kelompok Pedagang/ Usaha Informal</v>
      </c>
      <c r="I649" s="164" t="str">
        <f>'matrik MISI 1'!O87</f>
        <v>org</v>
      </c>
      <c r="J649" s="929">
        <f>'matrik MISI 1'!P87</f>
        <v>120</v>
      </c>
      <c r="K649" s="929">
        <f>'matrik MISI 1'!Q87</f>
        <v>120</v>
      </c>
      <c r="L649" s="929">
        <f>'matrik MISI 1'!R87</f>
        <v>120</v>
      </c>
      <c r="M649" s="961"/>
      <c r="N649" s="929">
        <f>'matrik MISI 1'!S87</f>
        <v>240</v>
      </c>
      <c r="O649" s="929"/>
      <c r="P649" s="929">
        <f>'matrik MISI 1'!T87</f>
        <v>360</v>
      </c>
      <c r="Q649" s="929"/>
      <c r="R649" s="929">
        <f>'matrik MISI 1'!U87</f>
        <v>480</v>
      </c>
      <c r="S649" s="929"/>
      <c r="T649" s="929">
        <f>'matrik MISI 1'!V87</f>
        <v>600</v>
      </c>
      <c r="U649" s="929"/>
      <c r="V649" s="929">
        <f>'matrik MISI 1'!W87</f>
        <v>600</v>
      </c>
      <c r="W649" s="929"/>
      <c r="X649" s="929" t="str">
        <f>'matrik MISI 1'!X87</f>
        <v>DISPERINDAGKOP DAN UMKM</v>
      </c>
      <c r="Y649" s="164" t="str">
        <f>'matrik MISI 1'!Y87</f>
        <v>Jumlah pedagang/pelaku usaha kecil yg dibina pada tahun n</v>
      </c>
      <c r="Z649" s="164">
        <f>'matrik MISI 1'!Z87</f>
        <v>0</v>
      </c>
    </row>
    <row r="650" spans="2:26" ht="30" hidden="1">
      <c r="B650" s="940"/>
      <c r="C650" s="941"/>
      <c r="D650" s="940" t="str">
        <f>'matrik MISI 1'!J89</f>
        <v>2.06</v>
      </c>
      <c r="E650" s="940" t="str">
        <f>'matrik MISI 1'!K89</f>
        <v>xx</v>
      </c>
      <c r="F650" s="940">
        <f>'matrik MISI 1'!L89</f>
        <v>15</v>
      </c>
      <c r="G650" s="940" t="str">
        <f>'matrik MISI 1'!M89</f>
        <v>Perlindungan Konsumen</v>
      </c>
      <c r="H650" s="164"/>
      <c r="I650" s="164"/>
      <c r="J650" s="929"/>
      <c r="K650" s="929"/>
      <c r="L650" s="929"/>
      <c r="M650" s="961">
        <f>'jangan dihapus 2'!K675</f>
        <v>229168500</v>
      </c>
      <c r="N650" s="929"/>
      <c r="O650" s="961">
        <f>'jangan dihapus 2'!M675</f>
        <v>379630000</v>
      </c>
      <c r="P650" s="929"/>
      <c r="Q650" s="961">
        <f>'jangan dihapus 2'!O675</f>
        <v>413500000</v>
      </c>
      <c r="R650" s="929"/>
      <c r="S650" s="961">
        <f>'jangan dihapus 2'!Q675</f>
        <v>500500000</v>
      </c>
      <c r="T650" s="929"/>
      <c r="U650" s="961">
        <f>'jangan dihapus 2'!S675</f>
        <v>537500000</v>
      </c>
      <c r="V650" s="929"/>
      <c r="W650" s="961">
        <f>SUM(M650:U650)</f>
        <v>2060298500</v>
      </c>
      <c r="X650" s="929"/>
      <c r="Y650" s="164"/>
      <c r="Z650" s="164"/>
    </row>
    <row r="651" spans="2:26" ht="105">
      <c r="B651" s="940"/>
      <c r="C651" s="941"/>
      <c r="D651" s="939"/>
      <c r="E651" s="939"/>
      <c r="F651" s="939"/>
      <c r="G651" s="939"/>
      <c r="H651" s="164" t="str">
        <f>'matrik MISI 1'!N89</f>
        <v>Cakupan Meningkatnya Ketersediaan informasi harga bahan pokok dan bahan lainnya</v>
      </c>
      <c r="I651" s="164" t="str">
        <f>'matrik MISI 1'!O89</f>
        <v>laporan</v>
      </c>
      <c r="J651" s="929">
        <f>'matrik MISI 1'!P89</f>
        <v>96</v>
      </c>
      <c r="K651" s="929">
        <f>'matrik MISI 1'!Q89</f>
        <v>96</v>
      </c>
      <c r="L651" s="929">
        <f>'matrik MISI 1'!R89</f>
        <v>96</v>
      </c>
      <c r="M651" s="961"/>
      <c r="N651" s="929">
        <f>'matrik MISI 1'!S89</f>
        <v>96</v>
      </c>
      <c r="O651" s="929"/>
      <c r="P651" s="929">
        <f>'matrik MISI 1'!T89</f>
        <v>96</v>
      </c>
      <c r="Q651" s="929"/>
      <c r="R651" s="929">
        <f>'matrik MISI 1'!U89</f>
        <v>96</v>
      </c>
      <c r="S651" s="929"/>
      <c r="T651" s="929">
        <f>'matrik MISI 1'!V89</f>
        <v>96</v>
      </c>
      <c r="U651" s="929"/>
      <c r="V651" s="929">
        <f>'matrik MISI 1'!W89</f>
        <v>96</v>
      </c>
      <c r="W651" s="929"/>
      <c r="X651" s="929" t="str">
        <f>'matrik MISI 1'!X89</f>
        <v>DISPERINDAGKOP DAN UMKM</v>
      </c>
      <c r="Y651" s="164" t="str">
        <f>'matrik MISI 1'!Y89</f>
        <v>Tersedianya jumlah laporan informasi harga dan ketersedian bahan pokok dan bahan lainnya pada setiap minggu</v>
      </c>
      <c r="Z651" s="164" t="str">
        <f>'matrik MISI 1'!Z89</f>
        <v>Meningkatnya ketersediaan informasi harga kebutuhan pokok menjadi bahan utk kebijakan penyelenggaran OP</v>
      </c>
    </row>
    <row r="652" spans="2:26" ht="60">
      <c r="B652" s="940"/>
      <c r="C652" s="941"/>
      <c r="D652" s="940"/>
      <c r="E652" s="940"/>
      <c r="F652" s="940"/>
      <c r="G652" s="940"/>
      <c r="H652" s="164" t="str">
        <f>'matrik MISI 1'!N90</f>
        <v>Cakupan Meningkatnya Jaminan Keamanan Produk yang Beredar</v>
      </c>
      <c r="I652" s="164" t="str">
        <f>'matrik MISI 1'!O90</f>
        <v>produk</v>
      </c>
      <c r="J652" s="929">
        <f>'matrik MISI 1'!P90</f>
        <v>14</v>
      </c>
      <c r="K652" s="929">
        <f>'matrik MISI 1'!Q90</f>
        <v>10</v>
      </c>
      <c r="L652" s="929">
        <f>'matrik MISI 1'!R90</f>
        <v>8</v>
      </c>
      <c r="M652" s="961"/>
      <c r="N652" s="929">
        <f>'matrik MISI 1'!S90</f>
        <v>6</v>
      </c>
      <c r="O652" s="929"/>
      <c r="P652" s="929">
        <f>'matrik MISI 1'!T90</f>
        <v>4</v>
      </c>
      <c r="Q652" s="929"/>
      <c r="R652" s="929">
        <f>'matrik MISI 1'!U90</f>
        <v>2</v>
      </c>
      <c r="S652" s="929"/>
      <c r="T652" s="929">
        <f>'matrik MISI 1'!V90</f>
        <v>2</v>
      </c>
      <c r="U652" s="929"/>
      <c r="V652" s="929">
        <f>'matrik MISI 1'!W90</f>
        <v>2</v>
      </c>
      <c r="W652" s="929"/>
      <c r="X652" s="929" t="str">
        <f>'matrik MISI 1'!X90</f>
        <v>DISPERINDAGKOP DAN UMKM</v>
      </c>
      <c r="Y652" s="164" t="str">
        <f>'matrik MISI 1'!Y90</f>
        <v>jumlah temuan produk tidak layak edar</v>
      </c>
      <c r="Z652" s="164" t="str">
        <f>'matrik MISI 1'!Z90</f>
        <v>Berkurangnya jumlah produk tidak layak edar dari tahun ketahun</v>
      </c>
    </row>
    <row r="653" spans="2:26" ht="60">
      <c r="B653" s="940"/>
      <c r="C653" s="941"/>
      <c r="D653" s="940"/>
      <c r="E653" s="940"/>
      <c r="F653" s="940"/>
      <c r="G653" s="940"/>
      <c r="H653" s="164" t="str">
        <f>'matrik MISI 1'!N91</f>
        <v xml:space="preserve">Cakupan meningkatnya alat Ukur Takar Timbang dan Perlengkapannya yang ditera ulang </v>
      </c>
      <c r="I653" s="164" t="str">
        <f>'matrik MISI 1'!O91</f>
        <v>unit</v>
      </c>
      <c r="J653" s="929">
        <f>'matrik MISI 1'!P91</f>
        <v>16601</v>
      </c>
      <c r="K653" s="929">
        <f>'matrik MISI 1'!Q91</f>
        <v>16.77</v>
      </c>
      <c r="L653" s="929">
        <f>'matrik MISI 1'!R91</f>
        <v>18823</v>
      </c>
      <c r="M653" s="961"/>
      <c r="N653" s="929">
        <f>'matrik MISI 1'!S91</f>
        <v>18879</v>
      </c>
      <c r="O653" s="929"/>
      <c r="P653" s="929">
        <f>'matrik MISI 1'!T91</f>
        <v>18936</v>
      </c>
      <c r="Q653" s="929"/>
      <c r="R653" s="929">
        <f>'matrik MISI 1'!U91</f>
        <v>18993</v>
      </c>
      <c r="S653" s="929"/>
      <c r="T653" s="929">
        <f>'matrik MISI 1'!V91</f>
        <v>19050</v>
      </c>
      <c r="U653" s="929"/>
      <c r="V653" s="929">
        <f>'matrik MISI 1'!W91</f>
        <v>19050</v>
      </c>
      <c r="W653" s="929"/>
      <c r="X653" s="929" t="str">
        <f>'matrik MISI 1'!X91</f>
        <v>DISPERINDAGKOP DAN UMKM</v>
      </c>
      <c r="Y653" s="164" t="str">
        <f>'matrik MISI 1'!Y91</f>
        <v>jumlah alat UTTP yang ditera ulang tahun ke n</v>
      </c>
      <c r="Z653" s="164">
        <f>'matrik MISI 1'!Z91</f>
        <v>0</v>
      </c>
    </row>
    <row r="654" spans="2:26" ht="60">
      <c r="B654" s="950"/>
      <c r="C654" s="951"/>
      <c r="D654" s="950"/>
      <c r="E654" s="950"/>
      <c r="F654" s="950"/>
      <c r="G654" s="950"/>
      <c r="H654" s="164" t="str">
        <f>'matrik MISI 1'!N92</f>
        <v>Persentase penyelesaian sengketa konsumen</v>
      </c>
      <c r="I654" s="164" t="str">
        <f>'matrik MISI 1'!O92</f>
        <v>%</v>
      </c>
      <c r="J654" s="929" t="str">
        <f>'matrik MISI 1'!P92</f>
        <v>-</v>
      </c>
      <c r="K654" s="929" t="str">
        <f>'matrik MISI 1'!Q92</f>
        <v>-</v>
      </c>
      <c r="L654" s="929">
        <f>'matrik MISI 1'!R92</f>
        <v>50</v>
      </c>
      <c r="M654" s="961"/>
      <c r="N654" s="929">
        <f>'matrik MISI 1'!S92</f>
        <v>60</v>
      </c>
      <c r="O654" s="929"/>
      <c r="P654" s="929">
        <f>'matrik MISI 1'!T92</f>
        <v>75</v>
      </c>
      <c r="Q654" s="929"/>
      <c r="R654" s="929">
        <f>'matrik MISI 1'!U92</f>
        <v>80</v>
      </c>
      <c r="S654" s="929"/>
      <c r="T654" s="929">
        <f>'matrik MISI 1'!V92</f>
        <v>85</v>
      </c>
      <c r="U654" s="929"/>
      <c r="V654" s="929">
        <f>'matrik MISI 1'!W92</f>
        <v>85</v>
      </c>
      <c r="W654" s="929"/>
      <c r="X654" s="929" t="str">
        <f>'matrik MISI 1'!X92</f>
        <v>DISPERINDAGKOP DAN UMKM</v>
      </c>
      <c r="Y654" s="164" t="str">
        <f>'matrik MISI 1'!Y92</f>
        <v>Jumlah sengketa yang diselesaikan dibagi total jumlah sengketa yang dilaporkan</v>
      </c>
      <c r="Z654" s="164" t="str">
        <f>'matrik MISI 1'!Z92</f>
        <v>Meningkatnya penyelesaian sengketa</v>
      </c>
    </row>
    <row r="655" spans="2:26" ht="30">
      <c r="B655" s="949">
        <v>7</v>
      </c>
      <c r="C655" s="948" t="str">
        <f>'matrik MISI 1'!B77</f>
        <v>PERINDUSTRIAN</v>
      </c>
      <c r="D655" s="949" t="str">
        <f>'matrik MISI 1'!J78</f>
        <v>2.07</v>
      </c>
      <c r="E655" s="949" t="str">
        <f>'matrik MISI 1'!K78</f>
        <v>xx</v>
      </c>
      <c r="F655" s="949">
        <f>'matrik MISI 1'!L78</f>
        <v>16</v>
      </c>
      <c r="G655" s="949" t="str">
        <f>'matrik MISI 1'!M78</f>
        <v>Program Industri Kecil dan Menengah</v>
      </c>
      <c r="H655" s="164"/>
      <c r="I655" s="164"/>
      <c r="J655" s="929"/>
      <c r="K655" s="929"/>
      <c r="L655" s="929"/>
      <c r="M655" s="961">
        <f>'jangan dihapus 2'!K710</f>
        <v>1249310500</v>
      </c>
      <c r="N655" s="929"/>
      <c r="O655" s="961">
        <f>'jangan dihapus 2'!M710</f>
        <v>1665000000</v>
      </c>
      <c r="P655" s="929"/>
      <c r="Q655" s="961">
        <f>'jangan dihapus 2'!O710</f>
        <v>1795000000</v>
      </c>
      <c r="R655" s="929"/>
      <c r="S655" s="961">
        <f>'jangan dihapus 2'!Q710</f>
        <v>1790000000</v>
      </c>
      <c r="T655" s="929"/>
      <c r="U655" s="961">
        <f>'jangan dihapus 2'!S710</f>
        <v>1925000000</v>
      </c>
      <c r="V655" s="929"/>
      <c r="W655" s="961">
        <f>SUM(M655:U655)</f>
        <v>8424310500</v>
      </c>
      <c r="X655" s="929"/>
      <c r="Y655" s="164"/>
      <c r="Z655" s="164"/>
    </row>
    <row r="656" spans="2:26" ht="90">
      <c r="B656" s="939"/>
      <c r="C656" s="939"/>
      <c r="D656" s="939"/>
      <c r="E656" s="939"/>
      <c r="F656" s="939"/>
      <c r="G656" s="939"/>
      <c r="H656" s="164" t="str">
        <f>'matrik MISI 1'!N78</f>
        <v>Cakupan Meningkatnya prosentase Agroindustri yang Berbasis pada Komoditas Unggulan Daerah</v>
      </c>
      <c r="I656" s="164" t="str">
        <f>'matrik MISI 1'!O78</f>
        <v>%</v>
      </c>
      <c r="J656" s="929">
        <f>'matrik MISI 1'!P78</f>
        <v>54.837478531900011</v>
      </c>
      <c r="K656" s="929">
        <f>'matrik MISI 1'!Q78</f>
        <v>54.837478531900011</v>
      </c>
      <c r="L656" s="929">
        <f>'matrik MISI 1'!R78</f>
        <v>54.87341772151899</v>
      </c>
      <c r="M656" s="961"/>
      <c r="N656" s="929">
        <f>'matrik MISI 1'!S78</f>
        <v>55.242902208201897</v>
      </c>
      <c r="O656" s="929"/>
      <c r="P656" s="929">
        <f>'matrik MISI 1'!T78</f>
        <v>55.283018867924525</v>
      </c>
      <c r="Q656" s="929"/>
      <c r="R656" s="929">
        <f>'matrik MISI 1'!U78</f>
        <v>55.510971786833849</v>
      </c>
      <c r="S656" s="929"/>
      <c r="T656" s="929">
        <f>'matrik MISI 1'!V78</f>
        <v>55.600000000000009</v>
      </c>
      <c r="U656" s="929"/>
      <c r="V656" s="929">
        <f>'matrik MISI 1'!W78</f>
        <v>55.600000000000009</v>
      </c>
      <c r="W656" s="929"/>
      <c r="X656" s="929" t="str">
        <f>'matrik MISI 1'!X78</f>
        <v>DISPERINDAGKOP DAN UMKM</v>
      </c>
      <c r="Y656" s="164" t="str">
        <f>'matrik MISI 1'!Y78</f>
        <v>Jumlah Agroindustri berbasis Komoditas Unggulan daerah dibagi Jumlah Komoditas unggulan Daerah x 100%</v>
      </c>
      <c r="Z656" s="164" t="str">
        <f>'matrik MISI 1'!Z78</f>
        <v>Komoditas Unggulan adalah Tembakau, Kopi , dll (sesuai MP3ET) ditambah Komoditas lain yang ada di analisa IO</v>
      </c>
    </row>
    <row r="657" spans="2:26" ht="75">
      <c r="B657" s="950"/>
      <c r="C657" s="951"/>
      <c r="D657" s="942"/>
      <c r="E657" s="942"/>
      <c r="F657" s="942"/>
      <c r="G657" s="942"/>
      <c r="H657" s="164" t="str">
        <f>'matrik MISI 1'!N80</f>
        <v>Persentase Meningkatnya Struktur Industri Berbahan Baku Lokal yang Tangguh</v>
      </c>
      <c r="I657" s="164" t="str">
        <f>'matrik MISI 1'!O80</f>
        <v>%</v>
      </c>
      <c r="J657" s="929">
        <f>'matrik MISI 1'!P80</f>
        <v>99.484765600152656</v>
      </c>
      <c r="K657" s="929">
        <f>'matrik MISI 1'!Q80</f>
        <v>99.548374785318998</v>
      </c>
      <c r="L657" s="929">
        <f>'matrik MISI 1'!R80</f>
        <v>99.620253164556956</v>
      </c>
      <c r="M657" s="961"/>
      <c r="N657" s="929">
        <f>'matrik MISI 1'!S80</f>
        <v>99.684542586750794</v>
      </c>
      <c r="O657" s="929"/>
      <c r="P657" s="929">
        <f>'matrik MISI 1'!T80</f>
        <v>99.685534591194966</v>
      </c>
      <c r="Q657" s="929"/>
      <c r="R657" s="929">
        <f>'matrik MISI 1'!U80</f>
        <v>99.717868338557992</v>
      </c>
      <c r="S657" s="929"/>
      <c r="T657" s="929">
        <f>'matrik MISI 1'!V80</f>
        <v>99.75</v>
      </c>
      <c r="U657" s="929"/>
      <c r="V657" s="929">
        <f>'matrik MISI 1'!W80</f>
        <v>99.75</v>
      </c>
      <c r="W657" s="929"/>
      <c r="X657" s="929" t="str">
        <f>'matrik MISI 1'!X80</f>
        <v>DISPERINDAGKOP DAN UMKM</v>
      </c>
      <c r="Y657" s="164" t="str">
        <f>'matrik MISI 1'!Y80</f>
        <v>Jumlah industri berbahan baku lokal dibagi Jumlah seluruh industri x 100%</v>
      </c>
      <c r="Z657" s="164" t="str">
        <f>'matrik MISI 1'!Z80</f>
        <v>asumsi industri kecil dan menengah 100% lokal dicari bahan baku luar utk industri besar</v>
      </c>
    </row>
    <row r="658" spans="2:26" ht="30">
      <c r="B658" s="949">
        <v>8</v>
      </c>
      <c r="C658" s="948" t="str">
        <f>'matrik MISI 2'!B52</f>
        <v>TRANSMIGRASI</v>
      </c>
      <c r="D658" s="949">
        <f>'matrik MISI 2'!J53</f>
        <v>2.08</v>
      </c>
      <c r="E658" s="949" t="str">
        <f>'matrik MISI 2'!K53</f>
        <v>xx</v>
      </c>
      <c r="F658" s="949">
        <f>'matrik MISI 2'!L53</f>
        <v>15</v>
      </c>
      <c r="G658" s="949" t="str">
        <f>'matrik MISI 2'!M53</f>
        <v>Program Pengembangan Wilayah Transmigrasi</v>
      </c>
      <c r="H658" s="164"/>
      <c r="I658" s="164"/>
      <c r="J658" s="929"/>
      <c r="K658" s="929"/>
      <c r="L658" s="929"/>
      <c r="M658" s="961">
        <f>'jangan dihapus 2'!K725</f>
        <v>99789000</v>
      </c>
      <c r="N658" s="929"/>
      <c r="O658" s="961">
        <f>'jangan dihapus 2'!M725</f>
        <v>150000000</v>
      </c>
      <c r="P658" s="929"/>
      <c r="Q658" s="961">
        <f>'jangan dihapus 2'!O725</f>
        <v>200000000</v>
      </c>
      <c r="R658" s="929"/>
      <c r="S658" s="961">
        <f>'jangan dihapus 2'!Q725</f>
        <v>250000000</v>
      </c>
      <c r="T658" s="929"/>
      <c r="U658" s="961">
        <f>'jangan dihapus 2'!S725</f>
        <v>300000000</v>
      </c>
      <c r="V658" s="929"/>
      <c r="W658" s="961">
        <f>SUM(M658:U658)</f>
        <v>999789000</v>
      </c>
      <c r="X658" s="929"/>
      <c r="Y658" s="164"/>
      <c r="Z658" s="164"/>
    </row>
    <row r="659" spans="2:26" ht="60">
      <c r="B659" s="942"/>
      <c r="C659" s="942"/>
      <c r="D659" s="942"/>
      <c r="E659" s="942"/>
      <c r="F659" s="942"/>
      <c r="G659" s="942"/>
      <c r="H659" s="164" t="str">
        <f>'matrik MISI 2'!N53</f>
        <v>Persentase Penempatan Transmigran</v>
      </c>
      <c r="I659" s="164" t="str">
        <f>'matrik MISI 2'!O53</f>
        <v>%</v>
      </c>
      <c r="J659" s="929">
        <f>'matrik MISI 2'!P53</f>
        <v>80</v>
      </c>
      <c r="K659" s="929">
        <f>'matrik MISI 2'!Q53</f>
        <v>80</v>
      </c>
      <c r="L659" s="929">
        <f>'matrik MISI 2'!R53</f>
        <v>80</v>
      </c>
      <c r="M659" s="961"/>
      <c r="N659" s="929">
        <f>'matrik MISI 2'!S53</f>
        <v>80</v>
      </c>
      <c r="O659" s="929"/>
      <c r="P659" s="929">
        <f>'matrik MISI 2'!T53</f>
        <v>80</v>
      </c>
      <c r="Q659" s="929"/>
      <c r="R659" s="929">
        <f>'matrik MISI 2'!U53</f>
        <v>80</v>
      </c>
      <c r="S659" s="929"/>
      <c r="T659" s="929">
        <f>'matrik MISI 2'!V53</f>
        <v>80</v>
      </c>
      <c r="U659" s="929"/>
      <c r="V659" s="929">
        <f>'matrik MISI 2'!W53</f>
        <v>80</v>
      </c>
      <c r="W659" s="929"/>
      <c r="X659" s="929" t="str">
        <f>'matrik MISI 2'!X53</f>
        <v>Disnakertran</v>
      </c>
      <c r="Y659" s="164" t="str">
        <f>'matrik MISI 2'!Y53</f>
        <v xml:space="preserve">Jumlah transmigran yang ditempatkan dibagi jumlah calon transmigran X 100 </v>
      </c>
      <c r="Z659" s="164">
        <f>'matrik MISI 2'!Z53</f>
        <v>0</v>
      </c>
    </row>
    <row r="660" spans="2:26">
      <c r="B660" s="1261" t="s">
        <v>5023</v>
      </c>
      <c r="C660" s="1262"/>
      <c r="D660" s="1262"/>
      <c r="E660" s="1262"/>
      <c r="F660" s="1262"/>
      <c r="G660" s="1262"/>
      <c r="H660" s="1263"/>
      <c r="I660" s="1025"/>
      <c r="J660" s="1026"/>
      <c r="K660" s="1026"/>
      <c r="L660" s="1026"/>
      <c r="M660" s="1027"/>
      <c r="N660" s="1027"/>
      <c r="O660" s="1027"/>
      <c r="P660" s="1027"/>
      <c r="Q660" s="1027"/>
      <c r="R660" s="1027"/>
      <c r="S660" s="1027"/>
      <c r="T660" s="1027"/>
      <c r="U660" s="1027"/>
      <c r="V660" s="1027"/>
      <c r="W660" s="1027"/>
      <c r="X660" s="1027"/>
      <c r="Y660" s="1028"/>
      <c r="Z660" s="1028"/>
    </row>
    <row r="661" spans="2:26" s="585" customFormat="1">
      <c r="B661" s="1033" t="s">
        <v>2134</v>
      </c>
      <c r="C661" s="933"/>
      <c r="D661" s="936"/>
      <c r="E661" s="936"/>
      <c r="F661" s="936"/>
      <c r="G661" s="936"/>
      <c r="H661" s="936"/>
      <c r="I661" s="936"/>
      <c r="J661" s="1037"/>
      <c r="K661" s="1037"/>
      <c r="L661" s="1037"/>
      <c r="M661" s="963"/>
      <c r="N661" s="1037"/>
      <c r="O661" s="1037"/>
      <c r="P661" s="1037"/>
      <c r="Q661" s="1037"/>
      <c r="R661" s="1037"/>
      <c r="S661" s="1037"/>
      <c r="T661" s="1037"/>
      <c r="U661" s="1037"/>
      <c r="V661" s="1037"/>
      <c r="W661" s="1037"/>
      <c r="X661" s="1037"/>
      <c r="Y661" s="937"/>
      <c r="Z661" s="937"/>
    </row>
    <row r="662" spans="2:26" ht="45">
      <c r="B662" s="949">
        <v>1</v>
      </c>
      <c r="C662" s="948" t="str">
        <f>'matrik MISI 6'!B104</f>
        <v>STATISTIK</v>
      </c>
      <c r="D662" s="949">
        <f>'matrik MISI 6'!J105</f>
        <v>1.23</v>
      </c>
      <c r="E662" s="949" t="str">
        <f>'matrik MISI 6'!K105</f>
        <v>xx</v>
      </c>
      <c r="F662" s="949">
        <f>'matrik MISI 6'!L105</f>
        <v>15</v>
      </c>
      <c r="G662" s="949" t="str">
        <f>'matrik MISI 6'!M105</f>
        <v>Program Pengembangan Data/Informasi/Statistik Daerah</v>
      </c>
      <c r="H662" s="164"/>
      <c r="I662" s="164"/>
      <c r="J662" s="929"/>
      <c r="K662" s="929"/>
      <c r="L662" s="929"/>
      <c r="M662" s="961">
        <f>'jangan di hapus 1'!K1175</f>
        <v>761542000</v>
      </c>
      <c r="N662" s="961">
        <f>'jangan di hapus 1'!L1175</f>
        <v>0</v>
      </c>
      <c r="O662" s="961">
        <f>'jangan di hapus 1'!M1175</f>
        <v>641029000</v>
      </c>
      <c r="P662" s="961">
        <f>'jangan di hapus 1'!N1175</f>
        <v>0</v>
      </c>
      <c r="Q662" s="961">
        <f>'jangan di hapus 1'!O1175</f>
        <v>688632000</v>
      </c>
      <c r="R662" s="961">
        <f>'jangan di hapus 1'!P1175</f>
        <v>0</v>
      </c>
      <c r="S662" s="961">
        <f>'jangan di hapus 1'!Q1175</f>
        <v>1017995000</v>
      </c>
      <c r="T662" s="961">
        <f>'jangan di hapus 1'!R1175</f>
        <v>0</v>
      </c>
      <c r="U662" s="961">
        <f>'jangan di hapus 1'!S1175</f>
        <v>884294000</v>
      </c>
      <c r="V662" s="961"/>
      <c r="W662" s="961">
        <f>SUM(M662:U662)</f>
        <v>3993492000</v>
      </c>
      <c r="X662" s="929"/>
      <c r="Y662" s="164"/>
      <c r="Z662" s="164"/>
    </row>
    <row r="663" spans="2:26" ht="60">
      <c r="B663" s="942"/>
      <c r="C663" s="942"/>
      <c r="D663" s="942"/>
      <c r="E663" s="942"/>
      <c r="F663" s="942"/>
      <c r="G663" s="942"/>
      <c r="H663" s="164" t="str">
        <f>'matrik MISI 6'!N105</f>
        <v xml:space="preserve">Besaran ketersediaan data statistik </v>
      </c>
      <c r="I663" s="164" t="str">
        <f>'matrik MISI 6'!O105</f>
        <v>dokumen</v>
      </c>
      <c r="J663" s="929">
        <f>'matrik MISI 6'!P105</f>
        <v>9</v>
      </c>
      <c r="K663" s="929">
        <f>'matrik MISI 6'!Q105</f>
        <v>9</v>
      </c>
      <c r="L663" s="929">
        <f>'matrik MISI 6'!R105</f>
        <v>8</v>
      </c>
      <c r="M663" s="961"/>
      <c r="N663" s="929">
        <f>'matrik MISI 6'!S105</f>
        <v>8</v>
      </c>
      <c r="O663" s="929"/>
      <c r="P663" s="929">
        <f>'matrik MISI 6'!T105</f>
        <v>8</v>
      </c>
      <c r="Q663" s="929"/>
      <c r="R663" s="929">
        <f>'matrik MISI 6'!U105</f>
        <v>9</v>
      </c>
      <c r="S663" s="929"/>
      <c r="T663" s="929">
        <f>'matrik MISI 6'!V105</f>
        <v>9</v>
      </c>
      <c r="U663" s="929"/>
      <c r="V663" s="929">
        <f>'matrik MISI 6'!W105</f>
        <v>9</v>
      </c>
      <c r="W663" s="929"/>
      <c r="X663" s="929" t="str">
        <f>'matrik MISI 6'!X105</f>
        <v>Bappeda</v>
      </c>
      <c r="Y663" s="164" t="str">
        <f>'matrik MISI 6'!Y105</f>
        <v xml:space="preserve">Jumlah dokumen data statistik </v>
      </c>
      <c r="Z663" s="164" t="str">
        <f>'matrik MISI 6'!Z105</f>
        <v>meliputi data statistik dasar, sektoral, khusus, dan data daerah</v>
      </c>
    </row>
    <row r="664" spans="2:26" s="585" customFormat="1">
      <c r="B664" s="1033" t="s">
        <v>5024</v>
      </c>
      <c r="C664" s="933"/>
      <c r="D664" s="936"/>
      <c r="E664" s="936"/>
      <c r="F664" s="936"/>
      <c r="G664" s="936"/>
      <c r="H664" s="936"/>
      <c r="I664" s="936"/>
      <c r="J664" s="1037"/>
      <c r="K664" s="1037"/>
      <c r="L664" s="1037"/>
      <c r="M664" s="963"/>
      <c r="N664" s="1037"/>
      <c r="O664" s="1037"/>
      <c r="P664" s="1037"/>
      <c r="Q664" s="1037"/>
      <c r="R664" s="1037"/>
      <c r="S664" s="1037"/>
      <c r="T664" s="1037"/>
      <c r="U664" s="1037"/>
      <c r="V664" s="1037"/>
      <c r="W664" s="1037"/>
      <c r="X664" s="1037"/>
      <c r="Y664" s="937"/>
      <c r="Z664" s="937"/>
    </row>
    <row r="665" spans="2:26">
      <c r="B665" s="164">
        <v>1</v>
      </c>
      <c r="C665" s="931" t="str">
        <f>C315</f>
        <v>PERHUBUNGAN</v>
      </c>
      <c r="D665" s="164"/>
      <c r="E665" s="164"/>
      <c r="F665" s="164"/>
      <c r="G665" s="164"/>
      <c r="H665" s="164"/>
      <c r="I665" s="164"/>
      <c r="J665" s="929"/>
      <c r="K665" s="929"/>
      <c r="L665" s="929"/>
      <c r="M665" s="961"/>
      <c r="N665" s="929"/>
      <c r="O665" s="929"/>
      <c r="P665" s="929"/>
      <c r="Q665" s="929"/>
      <c r="R665" s="929"/>
      <c r="S665" s="929"/>
      <c r="T665" s="929"/>
      <c r="U665" s="929"/>
      <c r="V665" s="929"/>
      <c r="W665" s="929"/>
      <c r="X665" s="929"/>
      <c r="Y665" s="1016"/>
      <c r="Z665" s="1016"/>
    </row>
    <row r="666" spans="2:26" ht="90">
      <c r="B666" s="940"/>
      <c r="C666" s="941"/>
      <c r="D666" s="939"/>
      <c r="E666" s="939"/>
      <c r="F666" s="939"/>
      <c r="G666" s="939"/>
      <c r="H666" s="164" t="str">
        <f>'matrik MISI 3'!N52</f>
        <v>Persentase Angkutan Umum yang Melayani Wilayah yang Tersedia Jaringan Jalan</v>
      </c>
      <c r="I666" s="164" t="str">
        <f>'matrik MISI 3'!O52</f>
        <v>%</v>
      </c>
      <c r="J666" s="929">
        <f>'matrik MISI 3'!P52</f>
        <v>70</v>
      </c>
      <c r="K666" s="929">
        <f>'matrik MISI 3'!Q52</f>
        <v>70</v>
      </c>
      <c r="L666" s="929">
        <f>'matrik MISI 3'!R52</f>
        <v>80</v>
      </c>
      <c r="M666" s="961"/>
      <c r="N666" s="929">
        <f>'matrik MISI 3'!S52</f>
        <v>80</v>
      </c>
      <c r="O666" s="929"/>
      <c r="P666" s="929">
        <f>'matrik MISI 3'!T52</f>
        <v>80</v>
      </c>
      <c r="Q666" s="929"/>
      <c r="R666" s="929">
        <f>'matrik MISI 3'!U52</f>
        <v>80</v>
      </c>
      <c r="S666" s="929"/>
      <c r="T666" s="929">
        <f>'matrik MISI 3'!V52</f>
        <v>90</v>
      </c>
      <c r="U666" s="929"/>
      <c r="V666" s="929">
        <f>'matrik MISI 3'!W52</f>
        <v>90</v>
      </c>
      <c r="W666" s="929"/>
      <c r="X666" s="929" t="str">
        <f>'matrik MISI 3'!X52</f>
        <v>DISHUBKOMINFO</v>
      </c>
      <c r="Y666" s="164" t="str">
        <f>'matrik MISI 3'!Y52</f>
        <v>jumlah trayek angkutan umum dibagi jumlah jaringan jalan kabupaten yang tersedia x 100</v>
      </c>
      <c r="Z666" s="164">
        <f>'matrik MISI 3'!Z52</f>
        <v>0</v>
      </c>
    </row>
    <row r="667" spans="2:26" ht="30">
      <c r="B667" s="940"/>
      <c r="C667" s="941"/>
      <c r="D667" s="939"/>
      <c r="E667" s="939"/>
      <c r="F667" s="939"/>
      <c r="G667" s="939"/>
      <c r="H667" s="164" t="str">
        <f>'matrik MISI 3'!N49</f>
        <v>Tersedianya Fasilitas  Terminal (tipe b)</v>
      </c>
      <c r="I667" s="164" t="str">
        <f>'matrik MISI 3'!O49</f>
        <v>Unit</v>
      </c>
      <c r="J667" s="929">
        <f>'matrik MISI 3'!P49</f>
        <v>1</v>
      </c>
      <c r="K667" s="929">
        <f>'matrik MISI 3'!Q49</f>
        <v>1</v>
      </c>
      <c r="L667" s="929">
        <f>'matrik MISI 3'!R49</f>
        <v>1</v>
      </c>
      <c r="M667" s="961"/>
      <c r="N667" s="929">
        <f>'matrik MISI 3'!S49</f>
        <v>1</v>
      </c>
      <c r="O667" s="929"/>
      <c r="P667" s="929">
        <f>'matrik MISI 3'!T49</f>
        <v>1</v>
      </c>
      <c r="Q667" s="929"/>
      <c r="R667" s="929">
        <f>'matrik MISI 3'!U49</f>
        <v>1</v>
      </c>
      <c r="S667" s="929"/>
      <c r="T667" s="929">
        <f>'matrik MISI 3'!V49</f>
        <v>1</v>
      </c>
      <c r="U667" s="929"/>
      <c r="V667" s="929">
        <f>'matrik MISI 3'!W49</f>
        <v>1</v>
      </c>
      <c r="W667" s="929"/>
      <c r="X667" s="929" t="str">
        <f>'matrik MISI 3'!X49</f>
        <v>DISHUBKOMINFO</v>
      </c>
      <c r="Y667" s="164" t="str">
        <f>'matrik MISI 3'!Y49</f>
        <v>unit</v>
      </c>
      <c r="Z667" s="164">
        <f>'matrik MISI 3'!Z49</f>
        <v>0</v>
      </c>
    </row>
    <row r="668" spans="2:26">
      <c r="B668" s="940"/>
      <c r="C668" s="941"/>
      <c r="D668" s="940"/>
      <c r="E668" s="940"/>
      <c r="F668" s="940"/>
      <c r="G668" s="940"/>
      <c r="H668" s="164" t="str">
        <f>'matrik MISI 3'!N50</f>
        <v>Tersedianya sub terminal (tipe c)</v>
      </c>
      <c r="I668" s="164" t="str">
        <f>'matrik MISI 3'!O50</f>
        <v>Unit</v>
      </c>
      <c r="J668" s="929">
        <f>'matrik MISI 3'!P50</f>
        <v>12</v>
      </c>
      <c r="K668" s="929">
        <f>'matrik MISI 3'!Q50</f>
        <v>12</v>
      </c>
      <c r="L668" s="929">
        <f>'matrik MISI 3'!R50</f>
        <v>12</v>
      </c>
      <c r="M668" s="961"/>
      <c r="N668" s="929">
        <f>'matrik MISI 3'!S50</f>
        <v>12</v>
      </c>
      <c r="O668" s="929"/>
      <c r="P668" s="929">
        <f>'matrik MISI 3'!T50</f>
        <v>12</v>
      </c>
      <c r="Q668" s="929"/>
      <c r="R668" s="929">
        <f>'matrik MISI 3'!U50</f>
        <v>12</v>
      </c>
      <c r="S668" s="929"/>
      <c r="T668" s="929">
        <f>'matrik MISI 3'!V50</f>
        <v>12</v>
      </c>
      <c r="U668" s="929"/>
      <c r="V668" s="929">
        <f>'matrik MISI 3'!W50</f>
        <v>12</v>
      </c>
      <c r="W668" s="929"/>
      <c r="X668" s="929" t="str">
        <f>'matrik MISI 3'!X50</f>
        <v>DISHUBKOMINFO</v>
      </c>
      <c r="Y668" s="164" t="str">
        <f>'matrik MISI 3'!Y50</f>
        <v>unit</v>
      </c>
      <c r="Z668" s="164">
        <f>'matrik MISI 3'!Z50</f>
        <v>0</v>
      </c>
    </row>
    <row r="669" spans="2:26" ht="75">
      <c r="B669" s="940"/>
      <c r="C669" s="941"/>
      <c r="D669" s="940"/>
      <c r="E669" s="940"/>
      <c r="F669" s="940"/>
      <c r="G669" s="940"/>
      <c r="H669" s="164" t="str">
        <f>'matrik MISI 3'!N51</f>
        <v xml:space="preserve">Tersedianya Fasilitas Kelengkapan Jalan </v>
      </c>
      <c r="I669" s="164" t="str">
        <f>'matrik MISI 3'!O51</f>
        <v>%</v>
      </c>
      <c r="J669" s="929">
        <f>'matrik MISI 3'!P51</f>
        <v>50</v>
      </c>
      <c r="K669" s="929">
        <f>'matrik MISI 3'!Q51</f>
        <v>60</v>
      </c>
      <c r="L669" s="929">
        <f>'matrik MISI 3'!R51</f>
        <v>61</v>
      </c>
      <c r="M669" s="961"/>
      <c r="N669" s="929">
        <f>'matrik MISI 3'!S51</f>
        <v>63</v>
      </c>
      <c r="O669" s="929"/>
      <c r="P669" s="929">
        <f>'matrik MISI 3'!T51</f>
        <v>65</v>
      </c>
      <c r="Q669" s="929"/>
      <c r="R669" s="929">
        <f>'matrik MISI 3'!U51</f>
        <v>67</v>
      </c>
      <c r="S669" s="929"/>
      <c r="T669" s="929">
        <f>'matrik MISI 3'!V51</f>
        <v>69</v>
      </c>
      <c r="U669" s="929"/>
      <c r="V669" s="929">
        <f>'matrik MISI 3'!W51</f>
        <v>69</v>
      </c>
      <c r="W669" s="929"/>
      <c r="X669" s="929" t="str">
        <f>'matrik MISI 3'!X51</f>
        <v>DISHUBKOMINFO</v>
      </c>
      <c r="Y669" s="164" t="str">
        <f>'matrik MISI 3'!Y51</f>
        <v>jumlah rambu keselamatan jalan dibagi jumlah rambu yang seharusnya terpasang x 100</v>
      </c>
      <c r="Z669" s="164">
        <f>'matrik MISI 3'!Z51</f>
        <v>0</v>
      </c>
    </row>
    <row r="670" spans="2:26">
      <c r="B670" s="164">
        <v>2</v>
      </c>
      <c r="C670" s="931" t="str">
        <f>C293</f>
        <v>PENATAAN RUANG</v>
      </c>
      <c r="D670" s="164"/>
      <c r="E670" s="164"/>
      <c r="F670" s="164"/>
      <c r="G670" s="164"/>
      <c r="H670" s="164"/>
      <c r="I670" s="164"/>
      <c r="J670" s="929"/>
      <c r="K670" s="929"/>
      <c r="L670" s="929"/>
      <c r="M670" s="961"/>
      <c r="N670" s="929"/>
      <c r="O670" s="929"/>
      <c r="P670" s="929"/>
      <c r="Q670" s="929"/>
      <c r="R670" s="929"/>
      <c r="S670" s="929"/>
      <c r="T670" s="929"/>
      <c r="U670" s="929"/>
      <c r="V670" s="929"/>
      <c r="W670" s="929"/>
      <c r="X670" s="929"/>
      <c r="Y670" s="1016"/>
      <c r="Z670" s="1016"/>
    </row>
    <row r="671" spans="2:26" ht="60">
      <c r="B671" s="940"/>
      <c r="C671" s="941"/>
      <c r="D671" s="939"/>
      <c r="E671" s="939"/>
      <c r="F671" s="939"/>
      <c r="G671" s="939"/>
      <c r="H671" s="164" t="str">
        <f>'matrik MISI 3'!N32</f>
        <v>Cakupan Pemanfaatan Ruang sesuai Peruntukannya</v>
      </c>
      <c r="I671" s="164" t="str">
        <f>'matrik MISI 3'!O32</f>
        <v>%</v>
      </c>
      <c r="J671" s="929">
        <f>'matrik MISI 3'!P32</f>
        <v>100</v>
      </c>
      <c r="K671" s="929">
        <f>'matrik MISI 3'!Q32</f>
        <v>87.5</v>
      </c>
      <c r="L671" s="929">
        <f>'matrik MISI 3'!R32</f>
        <v>100</v>
      </c>
      <c r="M671" s="961"/>
      <c r="N671" s="929">
        <f>'matrik MISI 3'!S32</f>
        <v>100</v>
      </c>
      <c r="O671" s="929"/>
      <c r="P671" s="929">
        <f>'matrik MISI 3'!T32</f>
        <v>100</v>
      </c>
      <c r="Q671" s="929"/>
      <c r="R671" s="929">
        <f>'matrik MISI 3'!U32</f>
        <v>100</v>
      </c>
      <c r="S671" s="929"/>
      <c r="T671" s="929">
        <f>'matrik MISI 3'!V32</f>
        <v>100</v>
      </c>
      <c r="U671" s="929"/>
      <c r="V671" s="929">
        <f>'matrik MISI 3'!W32</f>
        <v>100</v>
      </c>
      <c r="W671" s="929"/>
      <c r="X671" s="929" t="str">
        <f>'matrik MISI 3'!X32</f>
        <v>DPU/BAPPEDA/KP3M</v>
      </c>
      <c r="Y671" s="164" t="str">
        <f>'matrik MISI 3'!Y32</f>
        <v xml:space="preserve">jumlah izin yang disetujui/ jumlah pemohon izin yang masuk x 100 </v>
      </c>
      <c r="Z671" s="164">
        <f>'matrik MISI 3'!Z32</f>
        <v>0</v>
      </c>
    </row>
    <row r="672" spans="2:26" ht="60">
      <c r="B672" s="940"/>
      <c r="C672" s="941"/>
      <c r="D672" s="940"/>
      <c r="E672" s="940"/>
      <c r="F672" s="940"/>
      <c r="G672" s="940"/>
      <c r="H672" s="164" t="str">
        <f>'matrik MISI 3'!N33</f>
        <v xml:space="preserve">Cakupan tindakan awal terhadap pengaduan Masyarakat tentang Pelanggaran di Bidang Penataan Ruang </v>
      </c>
      <c r="I672" s="164" t="str">
        <f>'matrik MISI 3'!O33</f>
        <v>%</v>
      </c>
      <c r="J672" s="929">
        <f>'matrik MISI 3'!P33</f>
        <v>85</v>
      </c>
      <c r="K672" s="929">
        <f>'matrik MISI 3'!Q33</f>
        <v>90</v>
      </c>
      <c r="L672" s="929">
        <f>'matrik MISI 3'!R33</f>
        <v>95</v>
      </c>
      <c r="M672" s="961"/>
      <c r="N672" s="929">
        <f>'matrik MISI 3'!S33</f>
        <v>100</v>
      </c>
      <c r="O672" s="929"/>
      <c r="P672" s="929">
        <f>'matrik MISI 3'!T33</f>
        <v>100</v>
      </c>
      <c r="Q672" s="929"/>
      <c r="R672" s="929">
        <f>'matrik MISI 3'!U33</f>
        <v>100</v>
      </c>
      <c r="S672" s="929"/>
      <c r="T672" s="929">
        <f>'matrik MISI 3'!V33</f>
        <v>100</v>
      </c>
      <c r="U672" s="929"/>
      <c r="V672" s="929">
        <f>'matrik MISI 3'!W33</f>
        <v>100</v>
      </c>
      <c r="W672" s="929"/>
      <c r="X672" s="929" t="str">
        <f>'matrik MISI 3'!X33</f>
        <v>DPU/BAPPEDA/KP3M/               SATPOL PP</v>
      </c>
      <c r="Y672" s="164" t="str">
        <f>'matrik MISI 3'!Y33</f>
        <v>Jumlah pengaduan yg ditindaklanjuti / jumlah pengaduan  x 100</v>
      </c>
      <c r="Z672" s="164">
        <f>'matrik MISI 3'!Z33</f>
        <v>0</v>
      </c>
    </row>
    <row r="673" spans="2:26" ht="90">
      <c r="B673" s="164">
        <v>3</v>
      </c>
      <c r="C673" s="931" t="str">
        <f>C464</f>
        <v>OTONOMI DAERAH, PEMERINTAHAN UMUM, ADMINISTRASI KEUANGAN DAERAH, PERANGKAT DAERAH, KEPEGAWAIAN, DAN PERSANDIAN</v>
      </c>
      <c r="D673" s="164"/>
      <c r="E673" s="164"/>
      <c r="F673" s="164"/>
      <c r="G673" s="164"/>
      <c r="H673" s="164"/>
      <c r="I673" s="164"/>
      <c r="J673" s="929"/>
      <c r="K673" s="929"/>
      <c r="L673" s="929"/>
      <c r="M673" s="961"/>
      <c r="N673" s="929"/>
      <c r="O673" s="929"/>
      <c r="P673" s="929"/>
      <c r="Q673" s="929"/>
      <c r="R673" s="929"/>
      <c r="S673" s="929"/>
      <c r="T673" s="929"/>
      <c r="U673" s="929"/>
      <c r="V673" s="929"/>
      <c r="W673" s="929"/>
      <c r="X673" s="929"/>
      <c r="Y673" s="1016"/>
      <c r="Z673" s="1016"/>
    </row>
    <row r="674" spans="2:26" ht="30">
      <c r="B674" s="940"/>
      <c r="C674" s="941"/>
      <c r="D674" s="940"/>
      <c r="E674" s="940"/>
      <c r="F674" s="940"/>
      <c r="G674" s="940"/>
      <c r="H674" s="164" t="str">
        <f>'matrik MISI 6'!N41</f>
        <v>Meningkatnya Indeks Kepuasan Masyarakat</v>
      </c>
      <c r="I674" s="164" t="str">
        <f>'matrik MISI 6'!O41</f>
        <v>Kriteria</v>
      </c>
      <c r="J674" s="929" t="str">
        <f>'matrik MISI 6'!P41</f>
        <v>B</v>
      </c>
      <c r="K674" s="929" t="str">
        <f>'matrik MISI 6'!Q41</f>
        <v>B</v>
      </c>
      <c r="L674" s="929" t="str">
        <f>'matrik MISI 6'!R41</f>
        <v>B</v>
      </c>
      <c r="M674" s="961"/>
      <c r="N674" s="929" t="str">
        <f>'matrik MISI 6'!S41</f>
        <v>B</v>
      </c>
      <c r="O674" s="929"/>
      <c r="P674" s="929" t="str">
        <f>'matrik MISI 6'!T41</f>
        <v>B</v>
      </c>
      <c r="Q674" s="929"/>
      <c r="R674" s="929" t="str">
        <f>'matrik MISI 6'!U41</f>
        <v>B</v>
      </c>
      <c r="S674" s="929"/>
      <c r="T674" s="929" t="str">
        <f>'matrik MISI 6'!V41</f>
        <v>B</v>
      </c>
      <c r="U674" s="929"/>
      <c r="V674" s="929" t="str">
        <f>'matrik MISI 6'!W41</f>
        <v>B</v>
      </c>
      <c r="W674" s="929"/>
      <c r="X674" s="929" t="str">
        <f>'matrik MISI 6'!X41</f>
        <v>Bagian Organisasi dan Tata Laksana Setda</v>
      </c>
      <c r="Y674" s="164">
        <f>'matrik MISI 6'!Y41</f>
        <v>0</v>
      </c>
      <c r="Z674" s="164">
        <f>'matrik MISI 6'!Z41</f>
        <v>0</v>
      </c>
    </row>
    <row r="675" spans="2:26" ht="30">
      <c r="B675" s="940"/>
      <c r="C675" s="941"/>
      <c r="D675" s="940" t="str">
        <f>'matrik MISI 6'!J59</f>
        <v>1.20</v>
      </c>
      <c r="E675" s="940" t="str">
        <f>'matrik MISI 6'!K59</f>
        <v>xx</v>
      </c>
      <c r="F675" s="940">
        <f>'matrik MISI 6'!L59</f>
        <v>25</v>
      </c>
      <c r="G675" s="939"/>
      <c r="H675" s="164" t="str">
        <f>'matrik MISI 6'!N59</f>
        <v>Besaran kerjasama daerah</v>
      </c>
      <c r="I675" s="164" t="str">
        <f>'matrik MISI 6'!O59</f>
        <v>Dokumen</v>
      </c>
      <c r="J675" s="929">
        <f>'matrik MISI 6'!P59</f>
        <v>1</v>
      </c>
      <c r="K675" s="929">
        <f>'matrik MISI 6'!Q59</f>
        <v>1</v>
      </c>
      <c r="L675" s="929">
        <f>'matrik MISI 6'!R59</f>
        <v>1</v>
      </c>
      <c r="M675" s="961"/>
      <c r="N675" s="929">
        <f>'matrik MISI 6'!S59</f>
        <v>1</v>
      </c>
      <c r="O675" s="929"/>
      <c r="P675" s="929">
        <f>'matrik MISI 6'!T59</f>
        <v>1</v>
      </c>
      <c r="Q675" s="929"/>
      <c r="R675" s="929">
        <f>'matrik MISI 6'!U59</f>
        <v>1</v>
      </c>
      <c r="S675" s="929"/>
      <c r="T675" s="929">
        <f>'matrik MISI 6'!V59</f>
        <v>1</v>
      </c>
      <c r="U675" s="929"/>
      <c r="V675" s="929">
        <f>'matrik MISI 6'!W59</f>
        <v>1</v>
      </c>
      <c r="W675" s="929"/>
      <c r="X675" s="929" t="str">
        <f>'matrik MISI 6'!X59</f>
        <v>Bagian Pemerintahan Umum Setda</v>
      </c>
      <c r="Y675" s="164" t="str">
        <f>'matrik MISI 6'!Y59</f>
        <v xml:space="preserve">Jumlah kerjasama daerah </v>
      </c>
      <c r="Z675" s="164" t="str">
        <f>'matrik MISI 6'!Z59</f>
        <v>Dokumen Perjanjian Kerjasama</v>
      </c>
    </row>
    <row r="676" spans="2:26" ht="90">
      <c r="B676" s="940"/>
      <c r="C676" s="941"/>
      <c r="D676" s="940" t="str">
        <f>'matrik MISI 6'!J60</f>
        <v>1.20</v>
      </c>
      <c r="E676" s="940" t="str">
        <f>'matrik MISI 6'!K60</f>
        <v>xx</v>
      </c>
      <c r="F676" s="940">
        <f>'matrik MISI 6'!L60</f>
        <v>20</v>
      </c>
      <c r="G676" s="940" t="str">
        <f>'matrik MISI 6'!M60</f>
        <v>Program Peningkatan Sistem Pengawasan  Internal dan Pengendalian Pelaksanaan Kebijakan Daerah</v>
      </c>
      <c r="H676" s="164" t="str">
        <f>'matrik MISI 6'!N60</f>
        <v xml:space="preserve">Cakupan Pelaksanaan SPM </v>
      </c>
      <c r="I676" s="164" t="str">
        <f>'matrik MISI 6'!O60</f>
        <v>%</v>
      </c>
      <c r="J676" s="929" t="str">
        <f>'matrik MISI 6'!P60</f>
        <v>5,8</v>
      </c>
      <c r="K676" s="929" t="str">
        <f>'matrik MISI 6'!Q60</f>
        <v>8,3</v>
      </c>
      <c r="L676" s="929" t="str">
        <f>'matrik MISI 6'!R60</f>
        <v>72,4</v>
      </c>
      <c r="M676" s="961"/>
      <c r="N676" s="929" t="str">
        <f>'matrik MISI 6'!S60</f>
        <v>91,7</v>
      </c>
      <c r="O676" s="929"/>
      <c r="P676" s="929" t="str">
        <f>'matrik MISI 6'!T60</f>
        <v>96,8</v>
      </c>
      <c r="Q676" s="929"/>
      <c r="R676" s="929" t="str">
        <f>'matrik MISI 6'!U60</f>
        <v>96,8</v>
      </c>
      <c r="S676" s="929"/>
      <c r="T676" s="929" t="str">
        <f>'matrik MISI 6'!V60</f>
        <v>96,8</v>
      </c>
      <c r="U676" s="929"/>
      <c r="V676" s="929" t="str">
        <f>'matrik MISI 6'!W60</f>
        <v>96,8</v>
      </c>
      <c r="W676" s="929"/>
      <c r="X676" s="929" t="str">
        <f>'matrik MISI 6'!X60</f>
        <v>Bagian Pemerintahan Umum Setda</v>
      </c>
      <c r="Y676" s="164" t="str">
        <f>'matrik MISI 6'!Y60</f>
        <v>Jumlah indikator SPM yang tercapai di tahun target dibagi jumlah indikator dalam SPM x 100</v>
      </c>
      <c r="Z676" s="164" t="str">
        <f>'matrik MISI 6'!Z60</f>
        <v>Target SPM menyesuaikan target nasional</v>
      </c>
    </row>
    <row r="677" spans="2:26">
      <c r="B677" s="164">
        <v>4</v>
      </c>
      <c r="C677" s="931" t="str">
        <f>C322</f>
        <v>LINGKUNGAN HIDUP</v>
      </c>
      <c r="D677" s="164"/>
      <c r="E677" s="164"/>
      <c r="F677" s="164"/>
      <c r="G677" s="164"/>
      <c r="H677" s="164"/>
      <c r="I677" s="164"/>
      <c r="J677" s="929"/>
      <c r="K677" s="929"/>
      <c r="L677" s="929"/>
      <c r="M677" s="961"/>
      <c r="N677" s="929"/>
      <c r="O677" s="929"/>
      <c r="P677" s="929"/>
      <c r="Q677" s="929"/>
      <c r="R677" s="929"/>
      <c r="S677" s="929"/>
      <c r="T677" s="929"/>
      <c r="U677" s="929"/>
      <c r="V677" s="929"/>
      <c r="W677" s="929"/>
      <c r="X677" s="929"/>
      <c r="Y677" s="1016"/>
      <c r="Z677" s="1016"/>
    </row>
    <row r="678" spans="2:26" ht="75">
      <c r="B678" s="940"/>
      <c r="C678" s="941"/>
      <c r="D678" s="940"/>
      <c r="E678" s="940"/>
      <c r="F678" s="940"/>
      <c r="G678" s="940"/>
      <c r="H678" s="164" t="str">
        <f>'matrik MISI 3'!N20</f>
        <v xml:space="preserve">Cakupan Layanan Air Minum yang layak </v>
      </c>
      <c r="I678" s="164" t="str">
        <f>'matrik MISI 3'!O20</f>
        <v>%</v>
      </c>
      <c r="J678" s="929">
        <f>'matrik MISI 3'!P20</f>
        <v>74.48</v>
      </c>
      <c r="K678" s="929">
        <f>'matrik MISI 3'!Q20</f>
        <v>82.48</v>
      </c>
      <c r="L678" s="929">
        <f>'matrik MISI 3'!R20</f>
        <v>84.5</v>
      </c>
      <c r="M678" s="961"/>
      <c r="N678" s="929">
        <f>'matrik MISI 3'!S20</f>
        <v>86.6</v>
      </c>
      <c r="O678" s="929"/>
      <c r="P678" s="929">
        <f>'matrik MISI 3'!T20</f>
        <v>88.1</v>
      </c>
      <c r="Q678" s="929"/>
      <c r="R678" s="929">
        <f>'matrik MISI 3'!U20</f>
        <v>90.2</v>
      </c>
      <c r="S678" s="929"/>
      <c r="T678" s="929">
        <f>'matrik MISI 3'!V20</f>
        <v>91.3</v>
      </c>
      <c r="U678" s="929"/>
      <c r="V678" s="929">
        <f>'matrik MISI 3'!W20</f>
        <v>91.3</v>
      </c>
      <c r="W678" s="929"/>
      <c r="X678" s="929" t="str">
        <f>'matrik MISI 3'!X20</f>
        <v>DPU</v>
      </c>
      <c r="Y678" s="164" t="str">
        <f>'matrik MISI 3'!Y20</f>
        <v>jumlah rumah tangga yang memiliki akses air minum layak / jumlah rumah tangga yang ada x 100%</v>
      </c>
      <c r="Z678" s="164">
        <f>'matrik MISI 3'!Z20</f>
        <v>0</v>
      </c>
    </row>
    <row r="679" spans="2:26" ht="75">
      <c r="B679" s="940"/>
      <c r="C679" s="941"/>
      <c r="D679" s="940"/>
      <c r="E679" s="940"/>
      <c r="F679" s="940"/>
      <c r="G679" s="940"/>
      <c r="H679" s="164" t="str">
        <f>'matrik MISI 3'!N21</f>
        <v>Cakupan sanitasi pemukiman yang layak</v>
      </c>
      <c r="I679" s="164" t="str">
        <f>'matrik MISI 3'!O21</f>
        <v>%</v>
      </c>
      <c r="J679" s="929">
        <f>'matrik MISI 3'!P21</f>
        <v>70.709999999999994</v>
      </c>
      <c r="K679" s="929">
        <f>'matrik MISI 3'!Q21</f>
        <v>74.28</v>
      </c>
      <c r="L679" s="929">
        <f>'matrik MISI 3'!R21</f>
        <v>74.900000000000006</v>
      </c>
      <c r="M679" s="961"/>
      <c r="N679" s="929">
        <f>'matrik MISI 3'!S21</f>
        <v>75.510000000000005</v>
      </c>
      <c r="O679" s="929"/>
      <c r="P679" s="929">
        <f>'matrik MISI 3'!T21</f>
        <v>76.099999999999994</v>
      </c>
      <c r="Q679" s="929"/>
      <c r="R679" s="929">
        <f>'matrik MISI 3'!U21</f>
        <v>77.400000000000006</v>
      </c>
      <c r="S679" s="929"/>
      <c r="T679" s="929">
        <f>'matrik MISI 3'!V21</f>
        <v>78.900000000000006</v>
      </c>
      <c r="U679" s="929"/>
      <c r="V679" s="929">
        <f>'matrik MISI 3'!W21</f>
        <v>78.900000000000006</v>
      </c>
      <c r="W679" s="929"/>
      <c r="X679" s="929" t="str">
        <f>'matrik MISI 3'!X21</f>
        <v>DPU &amp; DINKES</v>
      </c>
      <c r="Y679" s="164" t="str">
        <f>'matrik MISI 3'!Y21</f>
        <v>jumlah rumah tangga yang memiliki sanitasi yang layak / jumlah rumah tangga yang ada x 100%</v>
      </c>
      <c r="Z679" s="164">
        <f>'matrik MISI 3'!Z21</f>
        <v>0</v>
      </c>
    </row>
    <row r="680" spans="2:26" ht="90">
      <c r="B680" s="940"/>
      <c r="C680" s="941"/>
      <c r="D680" s="940"/>
      <c r="E680" s="940"/>
      <c r="F680" s="940"/>
      <c r="G680" s="940"/>
      <c r="H680" s="164" t="str">
        <f>'matrik MISI 3'!N22</f>
        <v>Cakupan Sistem Air limbah Skala Komunitas/ Kawasan/ Kota</v>
      </c>
      <c r="I680" s="164" t="str">
        <f>'matrik MISI 3'!O22</f>
        <v>%</v>
      </c>
      <c r="J680" s="929">
        <f>'matrik MISI 3'!P22</f>
        <v>3.8</v>
      </c>
      <c r="K680" s="929">
        <f>'matrik MISI 3'!Q22</f>
        <v>5.8</v>
      </c>
      <c r="L680" s="929">
        <f>'matrik MISI 3'!R22</f>
        <v>6</v>
      </c>
      <c r="M680" s="961"/>
      <c r="N680" s="929">
        <f>'matrik MISI 3'!S22</f>
        <v>7</v>
      </c>
      <c r="O680" s="929"/>
      <c r="P680" s="929">
        <f>'matrik MISI 3'!T22</f>
        <v>7.5</v>
      </c>
      <c r="Q680" s="929"/>
      <c r="R680" s="929">
        <f>'matrik MISI 3'!U22</f>
        <v>8</v>
      </c>
      <c r="S680" s="929"/>
      <c r="T680" s="929">
        <f>'matrik MISI 3'!V22</f>
        <v>8.1999999999999993</v>
      </c>
      <c r="U680" s="929"/>
      <c r="V680" s="929">
        <f>'matrik MISI 3'!W22</f>
        <v>8.1999999999999993</v>
      </c>
      <c r="W680" s="929"/>
      <c r="X680" s="929" t="str">
        <f>'matrik MISI 3'!X22</f>
        <v>DPU</v>
      </c>
      <c r="Y680" s="164" t="str">
        <f>'matrik MISI 3'!Y22</f>
        <v>jumlah rumah tangga yg terlayani air limbah skala kawasan kota / jumlah rumah tangga pada skala kawasan kota x 100 %</v>
      </c>
      <c r="Z680" s="164">
        <f>'matrik MISI 3'!Z22</f>
        <v>0</v>
      </c>
    </row>
    <row r="681" spans="2:26" ht="105">
      <c r="B681" s="940"/>
      <c r="C681" s="941"/>
      <c r="D681" s="940"/>
      <c r="E681" s="940"/>
      <c r="F681" s="940"/>
      <c r="G681" s="940"/>
      <c r="H681" s="164" t="str">
        <f>'matrik MISI 3'!N23</f>
        <v>Cakupan Lingkungan yang Sehat dan Aman yang Didukung dengan Prasarana dan Sarana Umum</v>
      </c>
      <c r="I681" s="164" t="str">
        <f>'matrik MISI 3'!O23</f>
        <v>%</v>
      </c>
      <c r="J681" s="929" t="str">
        <f>'matrik MISI 3'!P23</f>
        <v>3,46</v>
      </c>
      <c r="K681" s="929" t="str">
        <f>'matrik MISI 3'!Q23</f>
        <v>16,26</v>
      </c>
      <c r="L681" s="929">
        <f>'matrik MISI 3'!R23</f>
        <v>28</v>
      </c>
      <c r="M681" s="961"/>
      <c r="N681" s="929">
        <f>'matrik MISI 3'!S23</f>
        <v>40</v>
      </c>
      <c r="O681" s="929"/>
      <c r="P681" s="929">
        <f>'matrik MISI 3'!T23</f>
        <v>52</v>
      </c>
      <c r="Q681" s="929"/>
      <c r="R681" s="929">
        <f>'matrik MISI 3'!U23</f>
        <v>64</v>
      </c>
      <c r="S681" s="929"/>
      <c r="T681" s="929">
        <f>'matrik MISI 3'!V23</f>
        <v>76</v>
      </c>
      <c r="U681" s="929"/>
      <c r="V681" s="929">
        <f>'matrik MISI 3'!W23</f>
        <v>76</v>
      </c>
      <c r="W681" s="929"/>
      <c r="X681" s="929" t="str">
        <f>'matrik MISI 3'!X23</f>
        <v>DPU</v>
      </c>
      <c r="Y681" s="164" t="str">
        <f>'matrik MISI 3'!Y23</f>
        <v>jumlah lingkungan (desa/ kelurahan) yg sehat dan aman yg didukung prasarana sarana utilitas/ jumlah lingkungan (kelurahan/ desa)</v>
      </c>
      <c r="Z681" s="164">
        <f>'matrik MISI 3'!Z23</f>
        <v>0</v>
      </c>
    </row>
    <row r="682" spans="2:26">
      <c r="B682" s="949">
        <v>5</v>
      </c>
      <c r="C682" s="948" t="str">
        <f>'matrik MISI 3'!B46</f>
        <v>ENERGI DAN ESDM</v>
      </c>
      <c r="D682" s="949">
        <f>'matrik MISI 3'!J46</f>
        <v>2.0299999999999998</v>
      </c>
      <c r="E682" s="949" t="str">
        <f>'matrik MISI 3'!K46</f>
        <v>xx</v>
      </c>
      <c r="F682" s="949">
        <f>'matrik MISI 3'!L46</f>
        <v>17</v>
      </c>
      <c r="G682" s="949"/>
      <c r="H682" s="164"/>
      <c r="I682" s="164"/>
      <c r="J682" s="929"/>
      <c r="K682" s="929"/>
      <c r="L682" s="929"/>
      <c r="M682" s="961">
        <f>'jangan dihapus 2'!K622</f>
        <v>39220000</v>
      </c>
      <c r="N682" s="929"/>
      <c r="O682" s="961">
        <f>'jangan dihapus 2'!M622</f>
        <v>48415000</v>
      </c>
      <c r="P682" s="929"/>
      <c r="Q682" s="961">
        <f>'jangan dihapus 2'!O622</f>
        <v>48415000</v>
      </c>
      <c r="R682" s="929"/>
      <c r="S682" s="961">
        <f>'jangan dihapus 2'!Q622</f>
        <v>53256500.000000007</v>
      </c>
      <c r="T682" s="929"/>
      <c r="U682" s="961">
        <f>'jangan dihapus 2'!S622</f>
        <v>58582150.000000015</v>
      </c>
      <c r="V682" s="929"/>
      <c r="W682" s="961">
        <f>SUM(M682:U682)</f>
        <v>247888650</v>
      </c>
      <c r="X682" s="929"/>
      <c r="Y682" s="164"/>
      <c r="Z682" s="164"/>
    </row>
    <row r="683" spans="2:26" ht="60">
      <c r="B683" s="942"/>
      <c r="C683" s="942"/>
      <c r="D683" s="942"/>
      <c r="E683" s="942"/>
      <c r="F683" s="942"/>
      <c r="G683" s="950" t="str">
        <f>'matrik MISI 3'!M46</f>
        <v>Program pembinaan dan pengembangan bidang ketenagalistrikan</v>
      </c>
      <c r="H683" s="164" t="str">
        <f>'matrik MISI 3'!N46</f>
        <v>terbangunnya sumber energi alternatif terbarukan</v>
      </c>
      <c r="I683" s="164" t="str">
        <f>'matrik MISI 3'!O46</f>
        <v>unit</v>
      </c>
      <c r="J683" s="929">
        <f>'matrik MISI 3'!P46</f>
        <v>5</v>
      </c>
      <c r="K683" s="929">
        <f>'matrik MISI 3'!Q46</f>
        <v>5</v>
      </c>
      <c r="L683" s="929">
        <f>'matrik MISI 3'!R46</f>
        <v>6</v>
      </c>
      <c r="M683" s="961"/>
      <c r="N683" s="929">
        <f>'matrik MISI 3'!S46</f>
        <v>6</v>
      </c>
      <c r="O683" s="929"/>
      <c r="P683" s="929">
        <f>'matrik MISI 3'!T46</f>
        <v>7</v>
      </c>
      <c r="Q683" s="929"/>
      <c r="R683" s="929">
        <f>'matrik MISI 3'!U46</f>
        <v>7</v>
      </c>
      <c r="S683" s="929"/>
      <c r="T683" s="929">
        <f>'matrik MISI 3'!V46</f>
        <v>8</v>
      </c>
      <c r="U683" s="929"/>
      <c r="V683" s="929">
        <f>'matrik MISI 3'!W46</f>
        <v>8</v>
      </c>
      <c r="W683" s="929"/>
      <c r="X683" s="929" t="str">
        <f>'matrik MISI 3'!X46</f>
        <v>DPU, BLH</v>
      </c>
      <c r="Y683" s="164" t="str">
        <f>'matrik MISI 3'!Y46</f>
        <v>jumlah fasilitas sumber energi alternatif yang terbangun</v>
      </c>
      <c r="Z683" s="164">
        <f>'matrik MISI 3'!Z46</f>
        <v>0</v>
      </c>
    </row>
    <row r="684" spans="2:26" ht="30">
      <c r="B684" s="164">
        <v>6</v>
      </c>
      <c r="C684" s="931" t="str">
        <f>C545</f>
        <v>KOMUNIKASI DAN INFORMATIKA</v>
      </c>
      <c r="D684" s="164"/>
      <c r="E684" s="164"/>
      <c r="F684" s="164"/>
      <c r="G684" s="164"/>
      <c r="H684" s="164"/>
      <c r="I684" s="164"/>
      <c r="J684" s="929"/>
      <c r="K684" s="929"/>
      <c r="L684" s="929"/>
      <c r="M684" s="961"/>
      <c r="N684" s="929"/>
      <c r="O684" s="929"/>
      <c r="P684" s="929"/>
      <c r="Q684" s="929"/>
      <c r="R684" s="929"/>
      <c r="S684" s="929"/>
      <c r="T684" s="929"/>
      <c r="U684" s="929"/>
      <c r="V684" s="929"/>
      <c r="W684" s="929"/>
      <c r="X684" s="929"/>
      <c r="Y684" s="1016"/>
      <c r="Z684" s="1016"/>
    </row>
    <row r="685" spans="2:26" ht="60">
      <c r="B685" s="939"/>
      <c r="C685" s="939"/>
      <c r="D685" s="939"/>
      <c r="E685" s="939"/>
      <c r="F685" s="939"/>
      <c r="G685" s="939"/>
      <c r="H685" s="164" t="str">
        <f>'matrik MISI 6'!N107</f>
        <v>Rasio Akses Internet di Ruang Publik</v>
      </c>
      <c r="I685" s="164" t="str">
        <f>'matrik MISI 6'!O107</f>
        <v>rasio</v>
      </c>
      <c r="J685" s="929">
        <f>'matrik MISI 6'!P107</f>
        <v>5</v>
      </c>
      <c r="K685" s="929">
        <f>'matrik MISI 6'!Q107</f>
        <v>9</v>
      </c>
      <c r="L685" s="929">
        <f>'matrik MISI 6'!R107</f>
        <v>15</v>
      </c>
      <c r="M685" s="961"/>
      <c r="N685" s="929">
        <f>'matrik MISI 6'!S107</f>
        <v>35</v>
      </c>
      <c r="O685" s="929"/>
      <c r="P685" s="929">
        <f>'matrik MISI 6'!T107</f>
        <v>55</v>
      </c>
      <c r="Q685" s="929"/>
      <c r="R685" s="929">
        <f>'matrik MISI 6'!U107</f>
        <v>75</v>
      </c>
      <c r="S685" s="929"/>
      <c r="T685" s="929">
        <f>'matrik MISI 6'!V107</f>
        <v>100</v>
      </c>
      <c r="U685" s="929"/>
      <c r="V685" s="929">
        <f>'matrik MISI 6'!W107</f>
        <v>100</v>
      </c>
      <c r="W685" s="929"/>
      <c r="X685" s="929" t="str">
        <f>'matrik MISI 6'!X107</f>
        <v>DISHUBKOMINFO</v>
      </c>
      <c r="Y685" s="164" t="str">
        <f>'matrik MISI 6'!Y107</f>
        <v>jumlah akses internet yang ada di ruang publik dibagi jumlah ruang publik</v>
      </c>
      <c r="Z685" s="164">
        <f>'matrik MISI 6'!Z107</f>
        <v>0</v>
      </c>
    </row>
    <row r="686" spans="2:26" s="585" customFormat="1">
      <c r="B686" s="1033" t="s">
        <v>2135</v>
      </c>
      <c r="C686" s="933"/>
      <c r="D686" s="936"/>
      <c r="E686" s="936"/>
      <c r="F686" s="936"/>
      <c r="G686" s="936"/>
      <c r="H686" s="936"/>
      <c r="I686" s="936"/>
      <c r="J686" s="1037"/>
      <c r="K686" s="1037"/>
      <c r="L686" s="1037"/>
      <c r="M686" s="963"/>
      <c r="N686" s="1037"/>
      <c r="O686" s="1037"/>
      <c r="P686" s="1037"/>
      <c r="Q686" s="1037"/>
      <c r="R686" s="1037"/>
      <c r="S686" s="1037"/>
      <c r="T686" s="1037"/>
      <c r="U686" s="1037"/>
      <c r="V686" s="1037"/>
      <c r="W686" s="1037"/>
      <c r="X686" s="1037"/>
      <c r="Y686" s="937"/>
      <c r="Z686" s="937"/>
    </row>
    <row r="687" spans="2:26">
      <c r="B687" s="164">
        <v>1</v>
      </c>
      <c r="C687" s="931" t="str">
        <f>C405</f>
        <v>KETENAGAKERJAAN</v>
      </c>
      <c r="D687" s="164"/>
      <c r="E687" s="164"/>
      <c r="F687" s="164"/>
      <c r="G687" s="164"/>
      <c r="H687" s="164"/>
      <c r="I687" s="164"/>
      <c r="J687" s="929"/>
      <c r="K687" s="929"/>
      <c r="L687" s="929"/>
      <c r="M687" s="961"/>
      <c r="N687" s="929"/>
      <c r="O687" s="929"/>
      <c r="P687" s="929"/>
      <c r="Q687" s="929"/>
      <c r="R687" s="929"/>
      <c r="S687" s="929"/>
      <c r="T687" s="929"/>
      <c r="U687" s="929"/>
      <c r="V687" s="929"/>
      <c r="W687" s="929"/>
      <c r="X687" s="929"/>
      <c r="Y687" s="1016"/>
      <c r="Z687" s="1016"/>
    </row>
    <row r="688" spans="2:26" ht="75">
      <c r="B688" s="939"/>
      <c r="C688" s="939"/>
      <c r="D688" s="939"/>
      <c r="E688" s="939"/>
      <c r="F688" s="939"/>
      <c r="G688" s="965"/>
      <c r="H688" s="164" t="str">
        <f>'matrik MISI 2'!N30</f>
        <v>Persentase Tenaga Kerja yang Mendapatkan Pelatihan Berbasis Kompetensi</v>
      </c>
      <c r="I688" s="164" t="str">
        <f>'matrik MISI 2'!O30</f>
        <v>%</v>
      </c>
      <c r="J688" s="929">
        <f>'matrik MISI 2'!P30</f>
        <v>80</v>
      </c>
      <c r="K688" s="929">
        <f>'matrik MISI 2'!Q30</f>
        <v>80</v>
      </c>
      <c r="L688" s="929">
        <f>'matrik MISI 2'!R30</f>
        <v>80</v>
      </c>
      <c r="M688" s="961"/>
      <c r="N688" s="929">
        <f>'matrik MISI 2'!S30</f>
        <v>80</v>
      </c>
      <c r="O688" s="929"/>
      <c r="P688" s="929">
        <f>'matrik MISI 2'!T30</f>
        <v>80</v>
      </c>
      <c r="Q688" s="929"/>
      <c r="R688" s="929">
        <f>'matrik MISI 2'!U30</f>
        <v>80</v>
      </c>
      <c r="S688" s="929"/>
      <c r="T688" s="929">
        <f>'matrik MISI 2'!V30</f>
        <v>80</v>
      </c>
      <c r="U688" s="929"/>
      <c r="V688" s="929">
        <f>'matrik MISI 2'!W30</f>
        <v>80</v>
      </c>
      <c r="W688" s="929"/>
      <c r="X688" s="929" t="str">
        <f>'matrik MISI 2'!X30</f>
        <v>Disnakertran</v>
      </c>
      <c r="Y688" s="164" t="str">
        <f>'matrik MISI 2'!Y30</f>
        <v xml:space="preserve">jumlah tenaga kerja yang dilatih dibagi jumlah pendaftar pelatihan berbasis kompetensi X 100 </v>
      </c>
      <c r="Z688" s="164">
        <f>'matrik MISI 2'!Z30</f>
        <v>0</v>
      </c>
    </row>
    <row r="689" spans="2:26" ht="75">
      <c r="B689" s="940"/>
      <c r="C689" s="941"/>
      <c r="D689" s="940"/>
      <c r="E689" s="940"/>
      <c r="F689" s="940"/>
      <c r="G689" s="398"/>
      <c r="H689" s="164" t="str">
        <f>'matrik MISI 2'!N31</f>
        <v>Persentase Tenaga Kerja yang Mendapatkan Pelatihan Berbasis Masyarakat</v>
      </c>
      <c r="I689" s="164" t="str">
        <f>'matrik MISI 2'!O31</f>
        <v>%</v>
      </c>
      <c r="J689" s="929" t="str">
        <f>'matrik MISI 2'!P31</f>
        <v xml:space="preserve"> - </v>
      </c>
      <c r="K689" s="929" t="str">
        <f>'matrik MISI 2'!Q31</f>
        <v xml:space="preserve"> - </v>
      </c>
      <c r="L689" s="929" t="str">
        <f>'matrik MISI 2'!R31</f>
        <v xml:space="preserve"> - </v>
      </c>
      <c r="M689" s="961"/>
      <c r="N689" s="929">
        <f>'matrik MISI 2'!S31</f>
        <v>80</v>
      </c>
      <c r="O689" s="929"/>
      <c r="P689" s="929">
        <f>'matrik MISI 2'!T31</f>
        <v>85</v>
      </c>
      <c r="Q689" s="929"/>
      <c r="R689" s="929">
        <f>'matrik MISI 2'!U31</f>
        <v>90</v>
      </c>
      <c r="S689" s="929"/>
      <c r="T689" s="929">
        <f>'matrik MISI 2'!V31</f>
        <v>95</v>
      </c>
      <c r="U689" s="929"/>
      <c r="V689" s="929">
        <f>'matrik MISI 2'!W31</f>
        <v>95</v>
      </c>
      <c r="W689" s="929"/>
      <c r="X689" s="929" t="str">
        <f>'matrik MISI 2'!X31</f>
        <v>Disnakertran</v>
      </c>
      <c r="Y689" s="164" t="str">
        <f>'matrik MISI 2'!Y31</f>
        <v xml:space="preserve">jumlah tenaga kerja yang dilatih dibagi jumlah pendaftar pelatihan berbasis masyarakat X 100 </v>
      </c>
      <c r="Z689" s="164">
        <f>'matrik MISI 2'!Z31</f>
        <v>0</v>
      </c>
    </row>
    <row r="690" spans="2:26" ht="75">
      <c r="B690" s="950"/>
      <c r="C690" s="951"/>
      <c r="D690" s="940"/>
      <c r="E690" s="940"/>
      <c r="F690" s="940"/>
      <c r="G690" s="398"/>
      <c r="H690" s="164" t="str">
        <f>'matrik MISI 2'!N32</f>
        <v>Persentase Tenaga Kerja yang Mendapatkan Pelatihan Berbasis Kewirausahaan</v>
      </c>
      <c r="I690" s="164" t="str">
        <f>'matrik MISI 2'!O32</f>
        <v>%</v>
      </c>
      <c r="J690" s="929" t="str">
        <f>'matrik MISI 2'!P32</f>
        <v xml:space="preserve"> - </v>
      </c>
      <c r="K690" s="929">
        <f>'matrik MISI 2'!Q32</f>
        <v>80</v>
      </c>
      <c r="L690" s="929">
        <f>'matrik MISI 2'!R32</f>
        <v>80</v>
      </c>
      <c r="M690" s="961"/>
      <c r="N690" s="929">
        <f>'matrik MISI 2'!S32</f>
        <v>80</v>
      </c>
      <c r="O690" s="929"/>
      <c r="P690" s="929">
        <f>'matrik MISI 2'!T32</f>
        <v>80</v>
      </c>
      <c r="Q690" s="929"/>
      <c r="R690" s="929">
        <f>'matrik MISI 2'!U32</f>
        <v>80</v>
      </c>
      <c r="S690" s="929"/>
      <c r="T690" s="929">
        <f>'matrik MISI 2'!V32</f>
        <v>80</v>
      </c>
      <c r="U690" s="929"/>
      <c r="V690" s="929">
        <f>'matrik MISI 2'!W32</f>
        <v>80</v>
      </c>
      <c r="W690" s="929"/>
      <c r="X690" s="929" t="str">
        <f>'matrik MISI 2'!X32</f>
        <v>Disnakertran</v>
      </c>
      <c r="Y690" s="164" t="str">
        <f>'matrik MISI 2'!Y32</f>
        <v xml:space="preserve">jumlah tenaga kerja yang dilatih dibagi jumlah pendaftar pelatihan berbasis kewirausahaan X 100 </v>
      </c>
      <c r="Z690" s="164">
        <f>'matrik MISI 2'!Z32</f>
        <v>0</v>
      </c>
    </row>
  </sheetData>
  <mergeCells count="18">
    <mergeCell ref="B3:C5"/>
    <mergeCell ref="D3:G5"/>
    <mergeCell ref="H3:H5"/>
    <mergeCell ref="I3:I5"/>
    <mergeCell ref="J3:K3"/>
    <mergeCell ref="V3:W3"/>
    <mergeCell ref="X3:X5"/>
    <mergeCell ref="Y3:Y5"/>
    <mergeCell ref="Z3:Z5"/>
    <mergeCell ref="J4:J5"/>
    <mergeCell ref="K4:K5"/>
    <mergeCell ref="L3:T3"/>
    <mergeCell ref="B660:H660"/>
    <mergeCell ref="B6:C6"/>
    <mergeCell ref="D6:G6"/>
    <mergeCell ref="B16:C16"/>
    <mergeCell ref="B54:H54"/>
    <mergeCell ref="B94:H94"/>
  </mergeCells>
  <pageMargins left="0.7" right="0.7" top="0.75" bottom="0.75" header="0.3" footer="0.3"/>
  <pageSetup orientation="portrait" horizontalDpi="300" verticalDpi="300"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A15"/>
  <sheetViews>
    <sheetView topLeftCell="A4" workbookViewId="0">
      <selection activeCell="A11" sqref="A11"/>
    </sheetView>
  </sheetViews>
  <sheetFormatPr defaultRowHeight="15"/>
  <cols>
    <col min="1" max="1" width="82.42578125" style="15" customWidth="1"/>
  </cols>
  <sheetData>
    <row r="1" spans="1:1" s="14" customFormat="1" ht="15.75">
      <c r="A1" s="16" t="s">
        <v>700</v>
      </c>
    </row>
    <row r="2" spans="1:1" s="14" customFormat="1" ht="99.95" customHeight="1">
      <c r="A2" s="16" t="s">
        <v>694</v>
      </c>
    </row>
    <row r="3" spans="1:1" s="14" customFormat="1" ht="15.75">
      <c r="A3" s="16"/>
    </row>
    <row r="4" spans="1:1" s="14" customFormat="1" ht="15.75">
      <c r="A4" s="16" t="s">
        <v>695</v>
      </c>
    </row>
    <row r="5" spans="1:1" s="14" customFormat="1" ht="15.75">
      <c r="A5" s="16" t="s">
        <v>3238</v>
      </c>
    </row>
    <row r="6" spans="1:1" s="14" customFormat="1" ht="15.75">
      <c r="A6" s="16" t="s">
        <v>696</v>
      </c>
    </row>
    <row r="7" spans="1:1" s="14" customFormat="1" ht="31.5">
      <c r="A7" s="16" t="s">
        <v>3239</v>
      </c>
    </row>
    <row r="8" spans="1:1" s="14" customFormat="1" ht="15.75">
      <c r="A8" s="16" t="s">
        <v>697</v>
      </c>
    </row>
    <row r="9" spans="1:1" s="14" customFormat="1" ht="31.5">
      <c r="A9" s="16" t="s">
        <v>3240</v>
      </c>
    </row>
    <row r="10" spans="1:1" s="14" customFormat="1" ht="15.75">
      <c r="A10" s="16" t="s">
        <v>698</v>
      </c>
    </row>
    <row r="11" spans="1:1" s="14" customFormat="1" ht="31.5">
      <c r="A11" s="16" t="s">
        <v>3241</v>
      </c>
    </row>
    <row r="12" spans="1:1" s="14" customFormat="1" ht="15.75">
      <c r="A12" s="16" t="s">
        <v>699</v>
      </c>
    </row>
    <row r="13" spans="1:1" s="14" customFormat="1" ht="15.75">
      <c r="A13" s="16" t="s">
        <v>3242</v>
      </c>
    </row>
    <row r="14" spans="1:1" s="14" customFormat="1" ht="15.75">
      <c r="A14" s="16" t="s">
        <v>154</v>
      </c>
    </row>
    <row r="15" spans="1:1" s="14" customFormat="1" ht="31.5">
      <c r="A15" s="16" t="s">
        <v>3243</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sheetPr>
    <tabColor rgb="FFFF0000"/>
  </sheetPr>
  <dimension ref="B2:M327"/>
  <sheetViews>
    <sheetView topLeftCell="A240" workbookViewId="0">
      <selection activeCell="A250" sqref="A250"/>
    </sheetView>
  </sheetViews>
  <sheetFormatPr defaultColWidth="11.42578125" defaultRowHeight="15.75"/>
  <cols>
    <col min="1" max="1" width="11.42578125" style="6"/>
    <col min="2" max="2" width="16.42578125" style="12" customWidth="1"/>
    <col min="3" max="3" width="52.140625" style="5" customWidth="1"/>
    <col min="4" max="16384" width="11.42578125" style="6"/>
  </cols>
  <sheetData>
    <row r="2" spans="2:8">
      <c r="B2" s="4"/>
      <c r="H2" s="7"/>
    </row>
    <row r="3" spans="2:8" s="9" customFormat="1">
      <c r="B3" s="4" t="s">
        <v>158</v>
      </c>
      <c r="C3" s="8" t="s">
        <v>21</v>
      </c>
    </row>
    <row r="4" spans="2:8">
      <c r="B4" s="10" t="s">
        <v>159</v>
      </c>
      <c r="C4" s="11" t="s">
        <v>160</v>
      </c>
    </row>
    <row r="5" spans="2:8">
      <c r="B5" s="10" t="s">
        <v>161</v>
      </c>
      <c r="C5" s="11" t="s">
        <v>162</v>
      </c>
    </row>
    <row r="6" spans="2:8">
      <c r="B6" s="10" t="s">
        <v>163</v>
      </c>
      <c r="C6" s="11" t="s">
        <v>164</v>
      </c>
    </row>
    <row r="7" spans="2:8">
      <c r="B7" s="10" t="s">
        <v>165</v>
      </c>
      <c r="C7" s="11" t="s">
        <v>166</v>
      </c>
    </row>
    <row r="8" spans="2:8">
      <c r="B8" s="10" t="s">
        <v>167</v>
      </c>
      <c r="C8" s="11" t="s">
        <v>168</v>
      </c>
    </row>
    <row r="9" spans="2:8" ht="31.5">
      <c r="B9" s="10" t="s">
        <v>169</v>
      </c>
      <c r="C9" s="11" t="s">
        <v>170</v>
      </c>
    </row>
    <row r="10" spans="2:8" ht="31.5">
      <c r="B10" s="10" t="s">
        <v>171</v>
      </c>
      <c r="C10" s="11" t="s">
        <v>172</v>
      </c>
    </row>
    <row r="11" spans="2:8">
      <c r="B11" s="10" t="s">
        <v>173</v>
      </c>
      <c r="C11" s="11" t="s">
        <v>174</v>
      </c>
    </row>
    <row r="12" spans="2:8" ht="31.5">
      <c r="B12" s="10" t="s">
        <v>175</v>
      </c>
      <c r="C12" s="11" t="s">
        <v>176</v>
      </c>
    </row>
    <row r="13" spans="2:8">
      <c r="B13" s="10"/>
      <c r="C13" s="11"/>
    </row>
    <row r="14" spans="2:8" s="9" customFormat="1">
      <c r="B14" s="4" t="s">
        <v>177</v>
      </c>
      <c r="C14" s="8" t="s">
        <v>22</v>
      </c>
    </row>
    <row r="15" spans="2:8">
      <c r="B15" s="10" t="s">
        <v>178</v>
      </c>
      <c r="C15" s="11" t="s">
        <v>179</v>
      </c>
    </row>
    <row r="16" spans="2:8">
      <c r="B16" s="10" t="s">
        <v>180</v>
      </c>
      <c r="C16" s="11" t="s">
        <v>152</v>
      </c>
    </row>
    <row r="17" spans="2:3">
      <c r="B17" s="10" t="s">
        <v>181</v>
      </c>
      <c r="C17" s="11" t="s">
        <v>150</v>
      </c>
    </row>
    <row r="18" spans="2:3">
      <c r="B18" s="10" t="s">
        <v>182</v>
      </c>
      <c r="C18" s="11" t="s">
        <v>183</v>
      </c>
    </row>
    <row r="19" spans="2:3" ht="31.5">
      <c r="B19" s="10" t="s">
        <v>184</v>
      </c>
      <c r="C19" s="11" t="s">
        <v>185</v>
      </c>
    </row>
    <row r="20" spans="2:3">
      <c r="B20" s="10" t="s">
        <v>186</v>
      </c>
      <c r="C20" s="11" t="s">
        <v>187</v>
      </c>
    </row>
    <row r="21" spans="2:3">
      <c r="B21" s="10" t="s">
        <v>188</v>
      </c>
      <c r="C21" s="11" t="s">
        <v>189</v>
      </c>
    </row>
    <row r="22" spans="2:3" ht="31.5">
      <c r="B22" s="10" t="s">
        <v>190</v>
      </c>
      <c r="C22" s="11" t="s">
        <v>191</v>
      </c>
    </row>
    <row r="23" spans="2:3">
      <c r="B23" s="10" t="s">
        <v>192</v>
      </c>
      <c r="C23" s="11" t="s">
        <v>193</v>
      </c>
    </row>
    <row r="24" spans="2:3">
      <c r="B24" s="10" t="s">
        <v>194</v>
      </c>
      <c r="C24" s="11" t="s">
        <v>148</v>
      </c>
    </row>
    <row r="25" spans="2:3" ht="47.25">
      <c r="B25" s="10" t="s">
        <v>195</v>
      </c>
      <c r="C25" s="11" t="s">
        <v>151</v>
      </c>
    </row>
    <row r="26" spans="2:3" ht="47.25">
      <c r="B26" s="10" t="s">
        <v>196</v>
      </c>
      <c r="C26" s="11" t="s">
        <v>197</v>
      </c>
    </row>
    <row r="27" spans="2:3" ht="47.25">
      <c r="B27" s="10" t="s">
        <v>198</v>
      </c>
      <c r="C27" s="11" t="s">
        <v>199</v>
      </c>
    </row>
    <row r="28" spans="2:3">
      <c r="B28" s="10" t="s">
        <v>200</v>
      </c>
      <c r="C28" s="11" t="s">
        <v>147</v>
      </c>
    </row>
    <row r="29" spans="2:3">
      <c r="B29" s="10" t="s">
        <v>201</v>
      </c>
      <c r="C29" s="11" t="s">
        <v>202</v>
      </c>
    </row>
    <row r="30" spans="2:3">
      <c r="B30" s="10" t="s">
        <v>203</v>
      </c>
      <c r="C30" s="11" t="s">
        <v>149</v>
      </c>
    </row>
    <row r="31" spans="2:3" ht="31.5">
      <c r="B31" s="10" t="s">
        <v>204</v>
      </c>
      <c r="C31" s="11" t="s">
        <v>205</v>
      </c>
    </row>
    <row r="32" spans="2:3" ht="31.5">
      <c r="B32" s="10" t="s">
        <v>206</v>
      </c>
      <c r="C32" s="11" t="s">
        <v>207</v>
      </c>
    </row>
    <row r="33" spans="2:3" ht="31.5">
      <c r="B33" s="10" t="s">
        <v>208</v>
      </c>
      <c r="C33" s="11" t="s">
        <v>209</v>
      </c>
    </row>
    <row r="34" spans="2:3">
      <c r="B34" s="10"/>
      <c r="C34" s="11"/>
    </row>
    <row r="35" spans="2:3" s="9" customFormat="1">
      <c r="B35" s="4" t="s">
        <v>210</v>
      </c>
      <c r="C35" s="8" t="s">
        <v>18</v>
      </c>
    </row>
    <row r="36" spans="2:3">
      <c r="B36" s="10" t="s">
        <v>211</v>
      </c>
      <c r="C36" s="11" t="s">
        <v>112</v>
      </c>
    </row>
    <row r="37" spans="2:3">
      <c r="B37" s="10" t="s">
        <v>212</v>
      </c>
      <c r="C37" s="11" t="s">
        <v>113</v>
      </c>
    </row>
    <row r="38" spans="2:3">
      <c r="B38" s="10" t="s">
        <v>213</v>
      </c>
      <c r="C38" s="11" t="s">
        <v>214</v>
      </c>
    </row>
    <row r="39" spans="2:3">
      <c r="B39" s="10" t="s">
        <v>215</v>
      </c>
      <c r="C39" s="11" t="s">
        <v>114</v>
      </c>
    </row>
    <row r="40" spans="2:3">
      <c r="B40" s="10" t="s">
        <v>216</v>
      </c>
      <c r="C40" s="11" t="s">
        <v>217</v>
      </c>
    </row>
    <row r="41" spans="2:3">
      <c r="B41" s="10" t="s">
        <v>218</v>
      </c>
      <c r="C41" s="11" t="s">
        <v>219</v>
      </c>
    </row>
    <row r="42" spans="2:3">
      <c r="B42" s="10" t="s">
        <v>220</v>
      </c>
      <c r="C42" s="11" t="s">
        <v>221</v>
      </c>
    </row>
    <row r="43" spans="2:3" ht="31.5">
      <c r="B43" s="10" t="s">
        <v>222</v>
      </c>
      <c r="C43" s="11" t="s">
        <v>223</v>
      </c>
    </row>
    <row r="44" spans="2:3" ht="31.5">
      <c r="B44" s="10" t="s">
        <v>224</v>
      </c>
      <c r="C44" s="11" t="s">
        <v>225</v>
      </c>
    </row>
    <row r="45" spans="2:3" ht="31.5">
      <c r="B45" s="10" t="s">
        <v>226</v>
      </c>
      <c r="C45" s="11" t="s">
        <v>227</v>
      </c>
    </row>
    <row r="46" spans="2:3">
      <c r="B46" s="10" t="s">
        <v>228</v>
      </c>
      <c r="C46" s="11" t="s">
        <v>229</v>
      </c>
    </row>
    <row r="47" spans="2:3" ht="31.5">
      <c r="B47" s="10" t="s">
        <v>230</v>
      </c>
      <c r="C47" s="11" t="s">
        <v>231</v>
      </c>
    </row>
    <row r="48" spans="2:3" ht="31.5">
      <c r="B48" s="10" t="s">
        <v>232</v>
      </c>
      <c r="C48" s="11" t="s">
        <v>233</v>
      </c>
    </row>
    <row r="49" spans="2:3">
      <c r="B49" s="10" t="s">
        <v>234</v>
      </c>
      <c r="C49" s="11" t="s">
        <v>235</v>
      </c>
    </row>
    <row r="50" spans="2:3" ht="31.5">
      <c r="B50" s="10" t="s">
        <v>236</v>
      </c>
      <c r="C50" s="11" t="s">
        <v>237</v>
      </c>
    </row>
    <row r="51" spans="2:3">
      <c r="B51" s="10" t="s">
        <v>238</v>
      </c>
      <c r="C51" s="11" t="s">
        <v>115</v>
      </c>
    </row>
    <row r="52" spans="2:3">
      <c r="B52" s="10" t="s">
        <v>239</v>
      </c>
      <c r="C52" s="11" t="s">
        <v>240</v>
      </c>
    </row>
    <row r="53" spans="2:3" ht="31.5">
      <c r="B53" s="10" t="s">
        <v>241</v>
      </c>
      <c r="C53" s="11" t="s">
        <v>116</v>
      </c>
    </row>
    <row r="54" spans="2:3">
      <c r="B54" s="10" t="s">
        <v>242</v>
      </c>
      <c r="C54" s="11" t="s">
        <v>243</v>
      </c>
    </row>
    <row r="55" spans="2:3">
      <c r="B55" s="10" t="s">
        <v>244</v>
      </c>
      <c r="C55" s="11" t="s">
        <v>245</v>
      </c>
    </row>
    <row r="56" spans="2:3">
      <c r="B56" s="10"/>
      <c r="C56" s="11"/>
    </row>
    <row r="57" spans="2:3" s="9" customFormat="1">
      <c r="B57" s="4" t="s">
        <v>246</v>
      </c>
      <c r="C57" s="8" t="s">
        <v>660</v>
      </c>
    </row>
    <row r="58" spans="2:3">
      <c r="B58" s="10" t="s">
        <v>247</v>
      </c>
      <c r="C58" s="11" t="s">
        <v>117</v>
      </c>
    </row>
    <row r="59" spans="2:3">
      <c r="B59" s="10" t="s">
        <v>248</v>
      </c>
      <c r="C59" s="11" t="s">
        <v>118</v>
      </c>
    </row>
    <row r="60" spans="2:3">
      <c r="B60" s="10" t="s">
        <v>249</v>
      </c>
      <c r="C60" s="11" t="s">
        <v>250</v>
      </c>
    </row>
    <row r="61" spans="2:3" ht="31.5">
      <c r="B61" s="10" t="s">
        <v>251</v>
      </c>
      <c r="C61" s="11" t="s">
        <v>252</v>
      </c>
    </row>
    <row r="62" spans="2:3" ht="31.5">
      <c r="B62" s="10" t="s">
        <v>253</v>
      </c>
      <c r="C62" s="11" t="s">
        <v>119</v>
      </c>
    </row>
    <row r="63" spans="2:3">
      <c r="B63" s="10" t="s">
        <v>254</v>
      </c>
      <c r="C63" s="11" t="s">
        <v>255</v>
      </c>
    </row>
    <row r="64" spans="2:3">
      <c r="B64" s="10"/>
      <c r="C64" s="11"/>
    </row>
    <row r="65" spans="2:3" s="9" customFormat="1">
      <c r="B65" s="4" t="s">
        <v>256</v>
      </c>
      <c r="C65" s="8" t="s">
        <v>661</v>
      </c>
    </row>
    <row r="66" spans="2:3">
      <c r="B66" s="10" t="s">
        <v>257</v>
      </c>
      <c r="C66" s="11" t="s">
        <v>258</v>
      </c>
    </row>
    <row r="67" spans="2:3">
      <c r="B67" s="10" t="s">
        <v>259</v>
      </c>
      <c r="C67" s="11" t="s">
        <v>260</v>
      </c>
    </row>
    <row r="68" spans="2:3">
      <c r="B68" s="10" t="s">
        <v>261</v>
      </c>
      <c r="C68" s="11" t="s">
        <v>120</v>
      </c>
    </row>
    <row r="69" spans="2:3">
      <c r="B69" s="10"/>
      <c r="C69" s="11"/>
    </row>
    <row r="70" spans="2:3" s="9" customFormat="1">
      <c r="B70" s="4" t="s">
        <v>262</v>
      </c>
      <c r="C70" s="8" t="s">
        <v>662</v>
      </c>
    </row>
    <row r="71" spans="2:3">
      <c r="B71" s="10" t="s">
        <v>263</v>
      </c>
      <c r="C71" s="11" t="s">
        <v>264</v>
      </c>
    </row>
    <row r="72" spans="2:3">
      <c r="B72" s="10" t="s">
        <v>265</v>
      </c>
      <c r="C72" s="11" t="s">
        <v>266</v>
      </c>
    </row>
    <row r="73" spans="2:3">
      <c r="B73" s="10" t="s">
        <v>267</v>
      </c>
      <c r="C73" s="11" t="s">
        <v>268</v>
      </c>
    </row>
    <row r="74" spans="2:3" ht="31.5">
      <c r="B74" s="10" t="s">
        <v>269</v>
      </c>
      <c r="C74" s="11" t="s">
        <v>270</v>
      </c>
    </row>
    <row r="75" spans="2:3" ht="31.5">
      <c r="B75" s="10" t="s">
        <v>271</v>
      </c>
      <c r="C75" s="11" t="s">
        <v>272</v>
      </c>
    </row>
    <row r="76" spans="2:3" ht="31.5">
      <c r="B76" s="10" t="s">
        <v>273</v>
      </c>
      <c r="C76" s="11" t="s">
        <v>274</v>
      </c>
    </row>
    <row r="77" spans="2:3">
      <c r="B77" s="10" t="s">
        <v>275</v>
      </c>
      <c r="C77" s="11" t="s">
        <v>276</v>
      </c>
    </row>
    <row r="78" spans="2:3">
      <c r="B78" s="10" t="s">
        <v>277</v>
      </c>
      <c r="C78" s="11" t="s">
        <v>278</v>
      </c>
    </row>
    <row r="79" spans="2:3">
      <c r="B79" s="10" t="s">
        <v>279</v>
      </c>
      <c r="C79" s="11" t="s">
        <v>280</v>
      </c>
    </row>
    <row r="80" spans="2:3" ht="31.5">
      <c r="B80" s="10" t="s">
        <v>281</v>
      </c>
      <c r="C80" s="11" t="s">
        <v>282</v>
      </c>
    </row>
    <row r="81" spans="2:3" ht="31.5">
      <c r="B81" s="10" t="s">
        <v>283</v>
      </c>
      <c r="C81" s="11" t="s">
        <v>284</v>
      </c>
    </row>
    <row r="82" spans="2:3">
      <c r="B82" s="10"/>
      <c r="C82" s="11"/>
    </row>
    <row r="83" spans="2:3" s="9" customFormat="1">
      <c r="B83" s="4" t="s">
        <v>285</v>
      </c>
      <c r="C83" s="8" t="s">
        <v>19</v>
      </c>
    </row>
    <row r="84" spans="2:3" ht="31.5">
      <c r="B84" s="10" t="s">
        <v>286</v>
      </c>
      <c r="C84" s="11" t="s">
        <v>287</v>
      </c>
    </row>
    <row r="85" spans="2:3" ht="31.5">
      <c r="B85" s="10" t="s">
        <v>288</v>
      </c>
      <c r="C85" s="11" t="s">
        <v>128</v>
      </c>
    </row>
    <row r="86" spans="2:3">
      <c r="B86" s="10" t="s">
        <v>289</v>
      </c>
      <c r="C86" s="11" t="s">
        <v>129</v>
      </c>
    </row>
    <row r="87" spans="2:3" ht="31.5">
      <c r="B87" s="10" t="s">
        <v>290</v>
      </c>
      <c r="C87" s="11" t="s">
        <v>130</v>
      </c>
    </row>
    <row r="88" spans="2:3">
      <c r="B88" s="10" t="s">
        <v>291</v>
      </c>
      <c r="C88" s="11" t="s">
        <v>131</v>
      </c>
    </row>
    <row r="89" spans="2:3" ht="31.5">
      <c r="B89" s="10" t="s">
        <v>293</v>
      </c>
      <c r="C89" s="11" t="s">
        <v>294</v>
      </c>
    </row>
    <row r="90" spans="2:3">
      <c r="B90" s="10"/>
      <c r="C90" s="11"/>
    </row>
    <row r="91" spans="2:3" s="9" customFormat="1">
      <c r="B91" s="4" t="s">
        <v>295</v>
      </c>
      <c r="C91" s="8" t="s">
        <v>20</v>
      </c>
    </row>
    <row r="92" spans="2:3" ht="31.5">
      <c r="B92" s="10" t="s">
        <v>296</v>
      </c>
      <c r="C92" s="11" t="s">
        <v>124</v>
      </c>
    </row>
    <row r="93" spans="2:3" ht="31.5">
      <c r="B93" s="10" t="s">
        <v>297</v>
      </c>
      <c r="C93" s="11" t="s">
        <v>125</v>
      </c>
    </row>
    <row r="94" spans="2:3" ht="31.5">
      <c r="B94" s="10" t="s">
        <v>298</v>
      </c>
      <c r="C94" s="11" t="s">
        <v>121</v>
      </c>
    </row>
    <row r="95" spans="2:3" ht="31.5">
      <c r="B95" s="10" t="s">
        <v>299</v>
      </c>
      <c r="C95" s="11" t="s">
        <v>126</v>
      </c>
    </row>
    <row r="96" spans="2:3" ht="31.5">
      <c r="B96" s="10" t="s">
        <v>300</v>
      </c>
      <c r="C96" s="11" t="s">
        <v>127</v>
      </c>
    </row>
    <row r="97" spans="2:3">
      <c r="B97" s="10" t="s">
        <v>301</v>
      </c>
      <c r="C97" s="11" t="s">
        <v>123</v>
      </c>
    </row>
    <row r="98" spans="2:3">
      <c r="B98" s="10" t="s">
        <v>302</v>
      </c>
      <c r="C98" s="11" t="s">
        <v>303</v>
      </c>
    </row>
    <row r="99" spans="2:3" ht="31.5">
      <c r="B99" s="10" t="s">
        <v>304</v>
      </c>
      <c r="C99" s="11" t="s">
        <v>305</v>
      </c>
    </row>
    <row r="100" spans="2:3">
      <c r="B100" s="10" t="s">
        <v>306</v>
      </c>
      <c r="C100" s="11" t="s">
        <v>122</v>
      </c>
    </row>
    <row r="101" spans="2:3">
      <c r="B101" s="10"/>
      <c r="C101" s="11"/>
    </row>
    <row r="102" spans="2:3" s="9" customFormat="1">
      <c r="B102" s="4" t="s">
        <v>307</v>
      </c>
      <c r="C102" s="8" t="s">
        <v>23</v>
      </c>
    </row>
    <row r="103" spans="2:3">
      <c r="B103" s="10" t="s">
        <v>308</v>
      </c>
      <c r="C103" s="11" t="s">
        <v>309</v>
      </c>
    </row>
    <row r="104" spans="2:3" ht="31.5">
      <c r="B104" s="10" t="s">
        <v>310</v>
      </c>
      <c r="C104" s="11" t="s">
        <v>311</v>
      </c>
    </row>
    <row r="105" spans="2:3">
      <c r="B105" s="10" t="s">
        <v>312</v>
      </c>
      <c r="C105" s="11" t="s">
        <v>313</v>
      </c>
    </row>
    <row r="106" spans="2:3">
      <c r="B106" s="10" t="s">
        <v>314</v>
      </c>
      <c r="C106" s="11" t="s">
        <v>315</v>
      </c>
    </row>
    <row r="107" spans="2:3">
      <c r="B107" s="10" t="s">
        <v>316</v>
      </c>
      <c r="C107" s="11" t="s">
        <v>292</v>
      </c>
    </row>
    <row r="108" spans="2:3">
      <c r="B108" s="10"/>
      <c r="C108" s="11"/>
    </row>
    <row r="109" spans="2:3">
      <c r="C109" s="11"/>
    </row>
    <row r="110" spans="2:3" s="9" customFormat="1">
      <c r="B110" s="4" t="s">
        <v>317</v>
      </c>
      <c r="C110" s="8" t="s">
        <v>663</v>
      </c>
    </row>
    <row r="111" spans="2:3">
      <c r="B111" s="10" t="s">
        <v>318</v>
      </c>
      <c r="C111" s="11" t="s">
        <v>111</v>
      </c>
    </row>
    <row r="112" spans="2:3">
      <c r="B112" s="10" t="s">
        <v>319</v>
      </c>
      <c r="C112" s="11" t="s">
        <v>320</v>
      </c>
    </row>
    <row r="113" spans="2:3">
      <c r="B113" s="10"/>
      <c r="C113" s="11"/>
    </row>
    <row r="114" spans="2:3" s="9" customFormat="1">
      <c r="B114" s="4" t="s">
        <v>321</v>
      </c>
      <c r="C114" s="8" t="s">
        <v>664</v>
      </c>
    </row>
    <row r="115" spans="2:3" ht="31.5">
      <c r="B115" s="10" t="s">
        <v>322</v>
      </c>
      <c r="C115" s="11" t="s">
        <v>323</v>
      </c>
    </row>
    <row r="116" spans="2:3" ht="31.5">
      <c r="B116" s="10" t="s">
        <v>324</v>
      </c>
      <c r="C116" s="11" t="s">
        <v>325</v>
      </c>
    </row>
    <row r="117" spans="2:3" ht="31.5">
      <c r="B117" s="10" t="s">
        <v>326</v>
      </c>
      <c r="C117" s="11" t="s">
        <v>327</v>
      </c>
    </row>
    <row r="118" spans="2:3" ht="31.5">
      <c r="B118" s="10" t="s">
        <v>328</v>
      </c>
      <c r="C118" s="11" t="s">
        <v>329</v>
      </c>
    </row>
    <row r="119" spans="2:3" ht="31.5">
      <c r="B119" s="10" t="s">
        <v>330</v>
      </c>
      <c r="C119" s="11" t="s">
        <v>331</v>
      </c>
    </row>
    <row r="120" spans="2:3">
      <c r="B120" s="10"/>
      <c r="C120" s="11"/>
    </row>
    <row r="121" spans="2:3" s="9" customFormat="1">
      <c r="B121" s="4" t="s">
        <v>332</v>
      </c>
      <c r="C121" s="8" t="s">
        <v>665</v>
      </c>
    </row>
    <row r="122" spans="2:3">
      <c r="B122" s="10" t="s">
        <v>333</v>
      </c>
      <c r="C122" s="11" t="s">
        <v>334</v>
      </c>
    </row>
    <row r="123" spans="2:3">
      <c r="B123" s="10" t="s">
        <v>335</v>
      </c>
      <c r="C123" s="11" t="s">
        <v>336</v>
      </c>
    </row>
    <row r="124" spans="2:3">
      <c r="B124" s="10" t="s">
        <v>337</v>
      </c>
      <c r="C124" s="11" t="s">
        <v>338</v>
      </c>
    </row>
    <row r="125" spans="2:3">
      <c r="B125" s="10" t="s">
        <v>339</v>
      </c>
      <c r="C125" s="11" t="s">
        <v>340</v>
      </c>
    </row>
    <row r="126" spans="2:3" ht="31.5">
      <c r="B126" s="10" t="s">
        <v>341</v>
      </c>
      <c r="C126" s="11" t="s">
        <v>342</v>
      </c>
    </row>
    <row r="127" spans="2:3" ht="31.5">
      <c r="B127" s="10" t="s">
        <v>343</v>
      </c>
      <c r="C127" s="11" t="s">
        <v>344</v>
      </c>
    </row>
    <row r="128" spans="2:3" ht="31.5">
      <c r="B128" s="10" t="s">
        <v>345</v>
      </c>
      <c r="C128" s="11" t="s">
        <v>346</v>
      </c>
    </row>
    <row r="129" spans="2:3" ht="31.5">
      <c r="B129" s="10" t="s">
        <v>347</v>
      </c>
      <c r="C129" s="11" t="s">
        <v>348</v>
      </c>
    </row>
    <row r="130" spans="2:3" ht="31.5">
      <c r="B130" s="10" t="s">
        <v>349</v>
      </c>
      <c r="C130" s="11" t="s">
        <v>350</v>
      </c>
    </row>
    <row r="131" spans="2:3" ht="31.5">
      <c r="B131" s="10" t="s">
        <v>351</v>
      </c>
      <c r="C131" s="11" t="s">
        <v>352</v>
      </c>
    </row>
    <row r="132" spans="2:3">
      <c r="B132" s="10" t="s">
        <v>353</v>
      </c>
      <c r="C132" s="11" t="s">
        <v>354</v>
      </c>
    </row>
    <row r="133" spans="2:3">
      <c r="B133" s="10" t="s">
        <v>355</v>
      </c>
      <c r="C133" s="11" t="s">
        <v>356</v>
      </c>
    </row>
    <row r="134" spans="2:3">
      <c r="B134" s="10" t="s">
        <v>357</v>
      </c>
      <c r="C134" s="11" t="s">
        <v>358</v>
      </c>
    </row>
    <row r="135" spans="2:3">
      <c r="B135" s="10" t="s">
        <v>359</v>
      </c>
      <c r="C135" s="11" t="s">
        <v>360</v>
      </c>
    </row>
    <row r="136" spans="2:3">
      <c r="B136" s="10"/>
      <c r="C136" s="11"/>
    </row>
    <row r="137" spans="2:3" s="9" customFormat="1">
      <c r="B137" s="4" t="s">
        <v>361</v>
      </c>
      <c r="C137" s="8" t="s">
        <v>666</v>
      </c>
    </row>
    <row r="138" spans="2:3" ht="47.25">
      <c r="B138" s="10" t="s">
        <v>362</v>
      </c>
      <c r="C138" s="11" t="s">
        <v>105</v>
      </c>
    </row>
    <row r="139" spans="2:3">
      <c r="B139" s="10" t="s">
        <v>363</v>
      </c>
      <c r="C139" s="11" t="s">
        <v>106</v>
      </c>
    </row>
    <row r="140" spans="2:3">
      <c r="B140" s="10" t="s">
        <v>364</v>
      </c>
      <c r="C140" s="11" t="s">
        <v>365</v>
      </c>
    </row>
    <row r="141" spans="2:3">
      <c r="B141" s="10" t="s">
        <v>366</v>
      </c>
      <c r="C141" s="11" t="s">
        <v>367</v>
      </c>
    </row>
    <row r="142" spans="2:3">
      <c r="B142" s="10" t="s">
        <v>368</v>
      </c>
      <c r="C142" s="11" t="s">
        <v>107</v>
      </c>
    </row>
    <row r="143" spans="2:3" ht="31.5">
      <c r="B143" s="10" t="s">
        <v>369</v>
      </c>
      <c r="C143" s="11" t="s">
        <v>370</v>
      </c>
    </row>
    <row r="144" spans="2:3" ht="31.5">
      <c r="B144" s="10" t="s">
        <v>371</v>
      </c>
      <c r="C144" s="11" t="s">
        <v>108</v>
      </c>
    </row>
    <row r="145" spans="2:3">
      <c r="B145" s="10" t="s">
        <v>372</v>
      </c>
      <c r="C145" s="11" t="s">
        <v>373</v>
      </c>
    </row>
    <row r="146" spans="2:3" ht="31.5">
      <c r="B146" s="10" t="s">
        <v>374</v>
      </c>
      <c r="C146" s="11" t="s">
        <v>375</v>
      </c>
    </row>
    <row r="147" spans="2:3">
      <c r="B147" s="10"/>
      <c r="C147" s="11"/>
    </row>
    <row r="148" spans="2:3" s="9" customFormat="1">
      <c r="B148" s="4" t="s">
        <v>376</v>
      </c>
      <c r="C148" s="8" t="s">
        <v>667</v>
      </c>
    </row>
    <row r="149" spans="2:3" ht="31.5">
      <c r="B149" s="10" t="s">
        <v>377</v>
      </c>
      <c r="C149" s="11" t="s">
        <v>139</v>
      </c>
    </row>
    <row r="150" spans="2:3">
      <c r="B150" s="10" t="s">
        <v>378</v>
      </c>
      <c r="C150" s="11" t="s">
        <v>140</v>
      </c>
    </row>
    <row r="151" spans="2:3" ht="31.5">
      <c r="B151" s="10" t="s">
        <v>379</v>
      </c>
      <c r="C151" s="11" t="s">
        <v>141</v>
      </c>
    </row>
    <row r="152" spans="2:3">
      <c r="B152" s="10" t="s">
        <v>380</v>
      </c>
      <c r="C152" s="11" t="s">
        <v>381</v>
      </c>
    </row>
    <row r="153" spans="2:3">
      <c r="B153" s="10"/>
      <c r="C153" s="11"/>
    </row>
    <row r="154" spans="2:3" s="9" customFormat="1">
      <c r="B154" s="4" t="s">
        <v>382</v>
      </c>
      <c r="C154" s="8" t="s">
        <v>383</v>
      </c>
    </row>
    <row r="155" spans="2:3" ht="31.5">
      <c r="B155" s="10" t="s">
        <v>384</v>
      </c>
      <c r="C155" s="11" t="s">
        <v>385</v>
      </c>
    </row>
    <row r="156" spans="2:3" ht="31.5">
      <c r="B156" s="10" t="s">
        <v>386</v>
      </c>
      <c r="C156" s="11" t="s">
        <v>387</v>
      </c>
    </row>
    <row r="157" spans="2:3" ht="31.5">
      <c r="B157" s="10" t="s">
        <v>388</v>
      </c>
      <c r="C157" s="11" t="s">
        <v>77</v>
      </c>
    </row>
    <row r="158" spans="2:3">
      <c r="B158" s="10" t="s">
        <v>389</v>
      </c>
      <c r="C158" s="11" t="s">
        <v>390</v>
      </c>
    </row>
    <row r="159" spans="2:3">
      <c r="B159" s="10" t="s">
        <v>391</v>
      </c>
      <c r="C159" s="11" t="s">
        <v>392</v>
      </c>
    </row>
    <row r="160" spans="2:3">
      <c r="B160" s="10" t="s">
        <v>393</v>
      </c>
      <c r="C160" s="11" t="s">
        <v>104</v>
      </c>
    </row>
    <row r="161" spans="2:3">
      <c r="B161" s="10"/>
      <c r="C161" s="11"/>
    </row>
    <row r="162" spans="2:3" s="9" customFormat="1">
      <c r="B162" s="4" t="s">
        <v>394</v>
      </c>
      <c r="C162" s="8" t="s">
        <v>24</v>
      </c>
    </row>
    <row r="163" spans="2:3">
      <c r="B163" s="10" t="s">
        <v>395</v>
      </c>
      <c r="C163" s="11" t="s">
        <v>153</v>
      </c>
    </row>
    <row r="164" spans="2:3" ht="31.5">
      <c r="B164" s="10" t="s">
        <v>396</v>
      </c>
      <c r="C164" s="11" t="s">
        <v>397</v>
      </c>
    </row>
    <row r="165" spans="2:3" ht="31.5">
      <c r="B165" s="10" t="s">
        <v>398</v>
      </c>
      <c r="C165" s="11" t="s">
        <v>399</v>
      </c>
    </row>
    <row r="166" spans="2:3" ht="31.5">
      <c r="B166" s="10" t="s">
        <v>400</v>
      </c>
      <c r="C166" s="11" t="s">
        <v>401</v>
      </c>
    </row>
    <row r="167" spans="2:3">
      <c r="B167" s="10"/>
      <c r="C167" s="11"/>
    </row>
    <row r="168" spans="2:3" s="9" customFormat="1">
      <c r="B168" s="4" t="s">
        <v>402</v>
      </c>
      <c r="C168" s="8" t="s">
        <v>14</v>
      </c>
    </row>
    <row r="169" spans="2:3">
      <c r="B169" s="10" t="s">
        <v>403</v>
      </c>
      <c r="C169" s="11" t="s">
        <v>404</v>
      </c>
    </row>
    <row r="170" spans="2:3">
      <c r="B170" s="10" t="s">
        <v>405</v>
      </c>
      <c r="C170" s="11" t="s">
        <v>406</v>
      </c>
    </row>
    <row r="171" spans="2:3">
      <c r="B171" s="10" t="s">
        <v>407</v>
      </c>
      <c r="C171" s="11" t="s">
        <v>408</v>
      </c>
    </row>
    <row r="172" spans="2:3" ht="31.5">
      <c r="B172" s="10" t="s">
        <v>409</v>
      </c>
      <c r="C172" s="11" t="s">
        <v>410</v>
      </c>
    </row>
    <row r="173" spans="2:3">
      <c r="B173" s="10"/>
      <c r="C173" s="11"/>
    </row>
    <row r="174" spans="2:3" s="9" customFormat="1">
      <c r="B174" s="4" t="s">
        <v>411</v>
      </c>
      <c r="C174" s="8" t="s">
        <v>15</v>
      </c>
    </row>
    <row r="175" spans="2:3" ht="31.5">
      <c r="B175" s="10" t="s">
        <v>412</v>
      </c>
      <c r="C175" s="11" t="s">
        <v>413</v>
      </c>
    </row>
    <row r="176" spans="2:3">
      <c r="B176" s="10" t="s">
        <v>414</v>
      </c>
      <c r="C176" s="11" t="s">
        <v>415</v>
      </c>
    </row>
    <row r="177" spans="2:3" ht="31.5">
      <c r="B177" s="10" t="s">
        <v>416</v>
      </c>
      <c r="C177" s="11" t="s">
        <v>417</v>
      </c>
    </row>
    <row r="178" spans="2:3">
      <c r="B178" s="10" t="s">
        <v>418</v>
      </c>
      <c r="C178" s="11" t="s">
        <v>419</v>
      </c>
    </row>
    <row r="179" spans="2:3" ht="31.5">
      <c r="B179" s="10" t="s">
        <v>420</v>
      </c>
      <c r="C179" s="11" t="s">
        <v>421</v>
      </c>
    </row>
    <row r="180" spans="2:3">
      <c r="B180" s="10" t="s">
        <v>422</v>
      </c>
      <c r="C180" s="11" t="s">
        <v>143</v>
      </c>
    </row>
    <row r="181" spans="2:3">
      <c r="B181" s="10" t="s">
        <v>423</v>
      </c>
      <c r="C181" s="11" t="s">
        <v>144</v>
      </c>
    </row>
    <row r="182" spans="2:3">
      <c r="B182" s="10"/>
      <c r="C182" s="11"/>
    </row>
    <row r="183" spans="2:3" s="9" customFormat="1">
      <c r="B183" s="4" t="s">
        <v>424</v>
      </c>
      <c r="C183" s="8" t="s">
        <v>425</v>
      </c>
    </row>
    <row r="184" spans="2:3" ht="31.5">
      <c r="B184" s="10" t="s">
        <v>426</v>
      </c>
      <c r="C184" s="11" t="s">
        <v>427</v>
      </c>
    </row>
    <row r="185" spans="2:3" ht="31.5">
      <c r="B185" s="10" t="s">
        <v>428</v>
      </c>
      <c r="C185" s="11" t="s">
        <v>109</v>
      </c>
    </row>
    <row r="186" spans="2:3">
      <c r="B186" s="10" t="s">
        <v>429</v>
      </c>
      <c r="C186" s="11" t="s">
        <v>430</v>
      </c>
    </row>
    <row r="187" spans="2:3">
      <c r="B187" s="10" t="s">
        <v>431</v>
      </c>
      <c r="C187" s="11" t="s">
        <v>432</v>
      </c>
    </row>
    <row r="188" spans="2:3" ht="31.5">
      <c r="B188" s="10" t="s">
        <v>433</v>
      </c>
      <c r="C188" s="11" t="s">
        <v>110</v>
      </c>
    </row>
    <row r="189" spans="2:3" ht="31.5">
      <c r="B189" s="10" t="s">
        <v>434</v>
      </c>
      <c r="C189" s="11" t="s">
        <v>435</v>
      </c>
    </row>
    <row r="190" spans="2:3">
      <c r="B190" s="10" t="s">
        <v>436</v>
      </c>
      <c r="C190" s="11" t="s">
        <v>437</v>
      </c>
    </row>
    <row r="191" spans="2:3" ht="31.5">
      <c r="B191" s="10" t="s">
        <v>438</v>
      </c>
      <c r="C191" s="11" t="s">
        <v>439</v>
      </c>
    </row>
    <row r="192" spans="2:3">
      <c r="B192" s="10" t="s">
        <v>440</v>
      </c>
      <c r="C192" s="11" t="s">
        <v>441</v>
      </c>
    </row>
    <row r="193" spans="2:3">
      <c r="B193" s="10" t="s">
        <v>442</v>
      </c>
      <c r="C193" s="11" t="s">
        <v>443</v>
      </c>
    </row>
    <row r="194" spans="2:3">
      <c r="B194" s="10" t="s">
        <v>444</v>
      </c>
      <c r="C194" s="11" t="s">
        <v>445</v>
      </c>
    </row>
    <row r="195" spans="2:3">
      <c r="B195" s="10" t="s">
        <v>446</v>
      </c>
      <c r="C195" s="11" t="s">
        <v>447</v>
      </c>
    </row>
    <row r="196" spans="2:3">
      <c r="B196" s="10" t="s">
        <v>448</v>
      </c>
      <c r="C196" s="11" t="s">
        <v>449</v>
      </c>
    </row>
    <row r="197" spans="2:3">
      <c r="B197" s="10"/>
      <c r="C197" s="11"/>
    </row>
    <row r="198" spans="2:3" s="9" customFormat="1">
      <c r="B198" s="4" t="s">
        <v>450</v>
      </c>
      <c r="C198" s="8" t="s">
        <v>668</v>
      </c>
    </row>
    <row r="199" spans="2:3" ht="31.5">
      <c r="B199" s="10" t="s">
        <v>451</v>
      </c>
      <c r="C199" s="11" t="s">
        <v>452</v>
      </c>
    </row>
    <row r="200" spans="2:3" ht="31.5">
      <c r="B200" s="10" t="s">
        <v>453</v>
      </c>
      <c r="C200" s="11" t="s">
        <v>454</v>
      </c>
    </row>
    <row r="201" spans="2:3" ht="31.5">
      <c r="B201" s="10" t="s">
        <v>455</v>
      </c>
      <c r="C201" s="11" t="s">
        <v>456</v>
      </c>
    </row>
    <row r="202" spans="2:3" ht="31.5">
      <c r="B202" s="10" t="s">
        <v>457</v>
      </c>
      <c r="C202" s="11" t="s">
        <v>458</v>
      </c>
    </row>
    <row r="203" spans="2:3" ht="31.5">
      <c r="B203" s="10" t="s">
        <v>459</v>
      </c>
      <c r="C203" s="11" t="s">
        <v>460</v>
      </c>
    </row>
    <row r="204" spans="2:3" ht="31.5">
      <c r="B204" s="10" t="s">
        <v>461</v>
      </c>
      <c r="C204" s="11" t="s">
        <v>462</v>
      </c>
    </row>
    <row r="205" spans="2:3" ht="31.5">
      <c r="B205" s="10" t="s">
        <v>463</v>
      </c>
      <c r="C205" s="11" t="s">
        <v>464</v>
      </c>
    </row>
    <row r="206" spans="2:3" ht="31.5">
      <c r="B206" s="10" t="s">
        <v>465</v>
      </c>
      <c r="C206" s="11" t="s">
        <v>466</v>
      </c>
    </row>
    <row r="207" spans="2:3">
      <c r="B207" s="10" t="s">
        <v>467</v>
      </c>
      <c r="C207" s="11" t="s">
        <v>468</v>
      </c>
    </row>
    <row r="208" spans="2:3" ht="31.5">
      <c r="B208" s="10" t="s">
        <v>469</v>
      </c>
      <c r="C208" s="11" t="s">
        <v>470</v>
      </c>
    </row>
    <row r="209" spans="2:3">
      <c r="B209" s="10" t="s">
        <v>471</v>
      </c>
      <c r="C209" s="11" t="s">
        <v>472</v>
      </c>
    </row>
    <row r="210" spans="2:3">
      <c r="B210" s="10" t="s">
        <v>473</v>
      </c>
      <c r="C210" s="11" t="s">
        <v>474</v>
      </c>
    </row>
    <row r="211" spans="2:3">
      <c r="B211" s="10" t="s">
        <v>475</v>
      </c>
      <c r="C211" s="11" t="s">
        <v>476</v>
      </c>
    </row>
    <row r="212" spans="2:3" ht="31.5">
      <c r="B212" s="10" t="s">
        <v>477</v>
      </c>
      <c r="C212" s="11" t="s">
        <v>478</v>
      </c>
    </row>
    <row r="213" spans="2:3">
      <c r="B213" s="10" t="s">
        <v>479</v>
      </c>
      <c r="C213" s="11" t="s">
        <v>480</v>
      </c>
    </row>
    <row r="214" spans="2:3" ht="31.5">
      <c r="B214" s="10" t="s">
        <v>481</v>
      </c>
      <c r="C214" s="11" t="s">
        <v>482</v>
      </c>
    </row>
    <row r="215" spans="2:3">
      <c r="B215" s="10" t="s">
        <v>483</v>
      </c>
      <c r="C215" s="11" t="s">
        <v>484</v>
      </c>
    </row>
    <row r="216" spans="2:3">
      <c r="B216" s="10" t="s">
        <v>485</v>
      </c>
      <c r="C216" s="11" t="s">
        <v>486</v>
      </c>
    </row>
    <row r="217" spans="2:3">
      <c r="B217" s="10" t="s">
        <v>487</v>
      </c>
      <c r="C217" s="11" t="s">
        <v>488</v>
      </c>
    </row>
    <row r="218" spans="2:3">
      <c r="B218" s="10" t="s">
        <v>489</v>
      </c>
      <c r="C218" s="11" t="s">
        <v>490</v>
      </c>
    </row>
    <row r="219" spans="2:3">
      <c r="B219" s="10" t="s">
        <v>491</v>
      </c>
      <c r="C219" s="11" t="s">
        <v>492</v>
      </c>
    </row>
    <row r="220" spans="2:3" ht="31.5">
      <c r="B220" s="10" t="s">
        <v>493</v>
      </c>
      <c r="C220" s="11" t="s">
        <v>494</v>
      </c>
    </row>
    <row r="221" spans="2:3">
      <c r="B221" s="10" t="s">
        <v>495</v>
      </c>
      <c r="C221" s="11" t="s">
        <v>496</v>
      </c>
    </row>
    <row r="222" spans="2:3">
      <c r="B222" s="10" t="s">
        <v>497</v>
      </c>
      <c r="C222" s="11" t="s">
        <v>498</v>
      </c>
    </row>
    <row r="223" spans="2:3">
      <c r="B223" s="10" t="s">
        <v>499</v>
      </c>
      <c r="C223" s="140" t="s">
        <v>500</v>
      </c>
    </row>
    <row r="224" spans="2:3">
      <c r="B224" s="10"/>
      <c r="C224" s="11"/>
    </row>
    <row r="225" spans="2:3" s="9" customFormat="1">
      <c r="B225" s="4">
        <v>1.21</v>
      </c>
      <c r="C225" s="8" t="s">
        <v>29</v>
      </c>
    </row>
    <row r="226" spans="2:3" ht="31.5">
      <c r="B226" s="10" t="s">
        <v>502</v>
      </c>
      <c r="C226" s="11" t="s">
        <v>503</v>
      </c>
    </row>
    <row r="227" spans="2:3">
      <c r="B227" s="10" t="s">
        <v>504</v>
      </c>
      <c r="C227" s="11" t="s">
        <v>505</v>
      </c>
    </row>
    <row r="228" spans="2:3">
      <c r="B228" s="10"/>
      <c r="C228" s="11"/>
    </row>
    <row r="229" spans="2:3" s="9" customFormat="1">
      <c r="B229" s="4" t="s">
        <v>506</v>
      </c>
      <c r="C229" s="8" t="s">
        <v>16</v>
      </c>
    </row>
    <row r="230" spans="2:3">
      <c r="B230" s="10" t="s">
        <v>507</v>
      </c>
      <c r="C230" s="11" t="s">
        <v>508</v>
      </c>
    </row>
    <row r="231" spans="2:3">
      <c r="B231" s="10" t="s">
        <v>509</v>
      </c>
      <c r="C231" s="11" t="s">
        <v>510</v>
      </c>
    </row>
    <row r="232" spans="2:3" ht="31.5">
      <c r="B232" s="10" t="s">
        <v>511</v>
      </c>
      <c r="C232" s="11" t="s">
        <v>512</v>
      </c>
    </row>
    <row r="233" spans="2:3">
      <c r="B233" s="10" t="s">
        <v>513</v>
      </c>
      <c r="C233" s="11" t="s">
        <v>514</v>
      </c>
    </row>
    <row r="234" spans="2:3">
      <c r="B234" s="10" t="s">
        <v>515</v>
      </c>
      <c r="C234" s="11" t="s">
        <v>516</v>
      </c>
    </row>
    <row r="235" spans="2:3" ht="31.5">
      <c r="B235" s="10" t="s">
        <v>517</v>
      </c>
      <c r="C235" s="11" t="s">
        <v>518</v>
      </c>
    </row>
    <row r="236" spans="2:3" ht="31.5">
      <c r="B236" s="10" t="s">
        <v>519</v>
      </c>
      <c r="C236" s="11" t="s">
        <v>520</v>
      </c>
    </row>
    <row r="237" spans="2:3" ht="31.5">
      <c r="B237" s="10" t="s">
        <v>521</v>
      </c>
      <c r="C237" s="11" t="s">
        <v>522</v>
      </c>
    </row>
    <row r="238" spans="2:3">
      <c r="B238" s="10"/>
      <c r="C238" s="11"/>
    </row>
    <row r="239" spans="2:3" s="9" customFormat="1">
      <c r="B239" s="4" t="s">
        <v>523</v>
      </c>
      <c r="C239" s="8" t="s">
        <v>25</v>
      </c>
    </row>
    <row r="240" spans="2:3">
      <c r="B240" s="10" t="s">
        <v>524</v>
      </c>
      <c r="C240" s="11" t="s">
        <v>525</v>
      </c>
    </row>
    <row r="241" spans="2:3">
      <c r="B241" s="10"/>
      <c r="C241" s="11"/>
    </row>
    <row r="242" spans="2:3">
      <c r="B242" s="10" t="s">
        <v>526</v>
      </c>
      <c r="C242" s="8" t="s">
        <v>26</v>
      </c>
    </row>
    <row r="243" spans="2:3">
      <c r="B243" s="10" t="s">
        <v>527</v>
      </c>
      <c r="C243" s="11" t="s">
        <v>528</v>
      </c>
    </row>
    <row r="244" spans="2:3" ht="31.5">
      <c r="B244" s="10" t="s">
        <v>529</v>
      </c>
      <c r="C244" s="11" t="s">
        <v>530</v>
      </c>
    </row>
    <row r="245" spans="2:3" ht="31.5">
      <c r="B245" s="10" t="s">
        <v>531</v>
      </c>
      <c r="C245" s="11" t="s">
        <v>532</v>
      </c>
    </row>
    <row r="246" spans="2:3">
      <c r="B246" s="10" t="s">
        <v>533</v>
      </c>
      <c r="C246" s="11" t="s">
        <v>534</v>
      </c>
    </row>
    <row r="247" spans="2:3">
      <c r="B247" s="10"/>
      <c r="C247" s="11"/>
    </row>
    <row r="248" spans="2:3" s="9" customFormat="1">
      <c r="B248" s="4" t="s">
        <v>535</v>
      </c>
      <c r="C248" s="8" t="s">
        <v>27</v>
      </c>
    </row>
    <row r="249" spans="2:3" ht="31.5">
      <c r="B249" s="10" t="s">
        <v>536</v>
      </c>
      <c r="C249" s="11" t="s">
        <v>537</v>
      </c>
    </row>
    <row r="250" spans="2:3" ht="31.5">
      <c r="B250" s="10" t="s">
        <v>538</v>
      </c>
      <c r="C250" s="11" t="s">
        <v>539</v>
      </c>
    </row>
    <row r="251" spans="2:3" ht="31.5">
      <c r="B251" s="10" t="s">
        <v>540</v>
      </c>
      <c r="C251" s="11" t="s">
        <v>541</v>
      </c>
    </row>
    <row r="252" spans="2:3">
      <c r="B252" s="10" t="s">
        <v>542</v>
      </c>
      <c r="C252" s="11" t="s">
        <v>543</v>
      </c>
    </row>
    <row r="253" spans="2:3">
      <c r="B253" s="10" t="s">
        <v>544</v>
      </c>
      <c r="C253" s="11" t="s">
        <v>155</v>
      </c>
    </row>
    <row r="254" spans="2:3">
      <c r="B254" s="10" t="s">
        <v>545</v>
      </c>
      <c r="C254" s="11" t="s">
        <v>546</v>
      </c>
    </row>
    <row r="255" spans="2:3">
      <c r="B255" s="10"/>
      <c r="C255" s="11"/>
    </row>
    <row r="256" spans="2:3">
      <c r="B256" s="10"/>
      <c r="C256" s="11"/>
    </row>
    <row r="257" spans="2:3">
      <c r="B257" s="10"/>
      <c r="C257" s="11"/>
    </row>
    <row r="258" spans="2:3" s="9" customFormat="1">
      <c r="B258" s="4" t="s">
        <v>547</v>
      </c>
      <c r="C258" s="8" t="s">
        <v>7</v>
      </c>
    </row>
    <row r="259" spans="2:3">
      <c r="B259" s="10" t="s">
        <v>548</v>
      </c>
      <c r="C259" s="11" t="s">
        <v>549</v>
      </c>
    </row>
    <row r="260" spans="2:3" ht="31.5">
      <c r="B260" s="10" t="s">
        <v>550</v>
      </c>
      <c r="C260" s="11" t="s">
        <v>551</v>
      </c>
    </row>
    <row r="261" spans="2:3" ht="31.5">
      <c r="B261" s="10" t="s">
        <v>552</v>
      </c>
      <c r="C261" s="11" t="s">
        <v>553</v>
      </c>
    </row>
    <row r="262" spans="2:3" ht="31.5">
      <c r="B262" s="10" t="s">
        <v>554</v>
      </c>
      <c r="C262" s="11" t="s">
        <v>555</v>
      </c>
    </row>
    <row r="263" spans="2:3">
      <c r="B263" s="10" t="s">
        <v>556</v>
      </c>
      <c r="C263" s="11" t="s">
        <v>557</v>
      </c>
    </row>
    <row r="264" spans="2:3" ht="31.5">
      <c r="B264" s="10" t="s">
        <v>558</v>
      </c>
      <c r="C264" s="11" t="s">
        <v>559</v>
      </c>
    </row>
    <row r="265" spans="2:3" ht="31.5">
      <c r="B265" s="10" t="s">
        <v>560</v>
      </c>
      <c r="C265" s="11" t="s">
        <v>561</v>
      </c>
    </row>
    <row r="266" spans="2:3">
      <c r="B266" s="10" t="s">
        <v>562</v>
      </c>
      <c r="C266" s="11" t="s">
        <v>563</v>
      </c>
    </row>
    <row r="267" spans="2:3" ht="31.5">
      <c r="B267" s="10" t="s">
        <v>564</v>
      </c>
      <c r="C267" s="11" t="s">
        <v>565</v>
      </c>
    </row>
    <row r="268" spans="2:3">
      <c r="B268" s="10" t="s">
        <v>566</v>
      </c>
      <c r="C268" s="11" t="s">
        <v>567</v>
      </c>
    </row>
    <row r="269" spans="2:3">
      <c r="B269" s="10" t="s">
        <v>568</v>
      </c>
      <c r="C269" s="11" t="s">
        <v>569</v>
      </c>
    </row>
    <row r="270" spans="2:3">
      <c r="B270" s="10" t="s">
        <v>570</v>
      </c>
      <c r="C270" s="11" t="s">
        <v>571</v>
      </c>
    </row>
    <row r="271" spans="2:3">
      <c r="B271" s="10"/>
      <c r="C271" s="11"/>
    </row>
    <row r="272" spans="2:3" s="9" customFormat="1">
      <c r="B272" s="4" t="s">
        <v>572</v>
      </c>
      <c r="C272" s="8" t="s">
        <v>8</v>
      </c>
    </row>
    <row r="273" spans="2:3">
      <c r="B273" s="10" t="s">
        <v>573</v>
      </c>
      <c r="C273" s="11" t="s">
        <v>574</v>
      </c>
    </row>
    <row r="274" spans="2:3">
      <c r="B274" s="10" t="s">
        <v>575</v>
      </c>
      <c r="C274" s="11" t="s">
        <v>576</v>
      </c>
    </row>
    <row r="275" spans="2:3">
      <c r="B275" s="10" t="s">
        <v>577</v>
      </c>
      <c r="C275" s="11" t="s">
        <v>578</v>
      </c>
    </row>
    <row r="276" spans="2:3">
      <c r="B276" s="10" t="s">
        <v>579</v>
      </c>
      <c r="C276" s="11" t="s">
        <v>580</v>
      </c>
    </row>
    <row r="277" spans="2:3">
      <c r="B277" s="10" t="s">
        <v>581</v>
      </c>
      <c r="C277" s="11" t="s">
        <v>582</v>
      </c>
    </row>
    <row r="278" spans="2:3">
      <c r="B278" s="10" t="s">
        <v>583</v>
      </c>
      <c r="C278" s="11" t="s">
        <v>584</v>
      </c>
    </row>
    <row r="279" spans="2:3" ht="31.5">
      <c r="B279" s="10" t="s">
        <v>585</v>
      </c>
      <c r="C279" s="11" t="s">
        <v>586</v>
      </c>
    </row>
    <row r="280" spans="2:3">
      <c r="B280" s="10"/>
    </row>
    <row r="281" spans="2:3" s="9" customFormat="1">
      <c r="B281" s="4" t="s">
        <v>587</v>
      </c>
      <c r="C281" s="8" t="s">
        <v>669</v>
      </c>
    </row>
    <row r="282" spans="2:3" ht="31.5">
      <c r="B282" s="10" t="s">
        <v>588</v>
      </c>
      <c r="C282" s="11" t="s">
        <v>589</v>
      </c>
    </row>
    <row r="283" spans="2:3" ht="31.5">
      <c r="B283" s="10" t="s">
        <v>590</v>
      </c>
      <c r="C283" s="11" t="s">
        <v>591</v>
      </c>
    </row>
    <row r="284" spans="2:3" ht="31.5">
      <c r="B284" s="10" t="s">
        <v>592</v>
      </c>
      <c r="C284" s="11" t="s">
        <v>593</v>
      </c>
    </row>
    <row r="285" spans="2:3">
      <c r="B285" s="10"/>
      <c r="C285" s="11"/>
    </row>
    <row r="286" spans="2:3" s="9" customFormat="1">
      <c r="B286" s="4" t="s">
        <v>594</v>
      </c>
      <c r="C286" s="8" t="s">
        <v>9</v>
      </c>
    </row>
    <row r="287" spans="2:3">
      <c r="B287" s="10" t="s">
        <v>595</v>
      </c>
      <c r="C287" s="11" t="s">
        <v>146</v>
      </c>
    </row>
    <row r="288" spans="2:3">
      <c r="B288" s="10" t="s">
        <v>596</v>
      </c>
      <c r="C288" s="11" t="s">
        <v>597</v>
      </c>
    </row>
    <row r="289" spans="2:3">
      <c r="B289" s="10" t="s">
        <v>598</v>
      </c>
      <c r="C289" s="11" t="s">
        <v>599</v>
      </c>
    </row>
    <row r="290" spans="2:3">
      <c r="B290" s="10" t="s">
        <v>600</v>
      </c>
      <c r="C290" s="11" t="s">
        <v>145</v>
      </c>
    </row>
    <row r="291" spans="2:3">
      <c r="B291" s="10"/>
      <c r="C291" s="11"/>
    </row>
    <row r="292" spans="2:3" s="9" customFormat="1">
      <c r="B292" s="4" t="s">
        <v>601</v>
      </c>
      <c r="C292" s="8" t="s">
        <v>670</v>
      </c>
    </row>
    <row r="293" spans="2:3">
      <c r="B293" s="10" t="s">
        <v>602</v>
      </c>
      <c r="C293" s="11" t="s">
        <v>603</v>
      </c>
    </row>
    <row r="294" spans="2:3" ht="31.5">
      <c r="B294" s="10" t="s">
        <v>604</v>
      </c>
      <c r="C294" s="11" t="s">
        <v>605</v>
      </c>
    </row>
    <row r="295" spans="2:3" ht="31.5">
      <c r="B295" s="10" t="s">
        <v>606</v>
      </c>
      <c r="C295" s="11" t="s">
        <v>607</v>
      </c>
    </row>
    <row r="296" spans="2:3" ht="31.5">
      <c r="B296" s="10" t="s">
        <v>608</v>
      </c>
      <c r="C296" s="11" t="s">
        <v>609</v>
      </c>
    </row>
    <row r="297" spans="2:3" ht="31.5">
      <c r="B297" s="10" t="s">
        <v>610</v>
      </c>
      <c r="C297" s="11" t="s">
        <v>611</v>
      </c>
    </row>
    <row r="298" spans="2:3">
      <c r="B298" s="10" t="s">
        <v>612</v>
      </c>
      <c r="C298" s="11" t="s">
        <v>613</v>
      </c>
    </row>
    <row r="299" spans="2:3">
      <c r="B299" s="10" t="s">
        <v>614</v>
      </c>
      <c r="C299" s="11" t="s">
        <v>615</v>
      </c>
    </row>
    <row r="300" spans="2:3">
      <c r="B300" s="10" t="s">
        <v>616</v>
      </c>
      <c r="C300" s="11" t="s">
        <v>617</v>
      </c>
    </row>
    <row r="301" spans="2:3" ht="31.5">
      <c r="B301" s="10" t="s">
        <v>618</v>
      </c>
      <c r="C301" s="11" t="s">
        <v>619</v>
      </c>
    </row>
    <row r="302" spans="2:3" ht="31.5">
      <c r="B302" s="10" t="s">
        <v>620</v>
      </c>
      <c r="C302" s="11" t="s">
        <v>621</v>
      </c>
    </row>
    <row r="303" spans="2:3">
      <c r="B303" s="10"/>
      <c r="C303" s="11"/>
    </row>
    <row r="304" spans="2:3" s="9" customFormat="1">
      <c r="B304" s="4" t="s">
        <v>622</v>
      </c>
      <c r="C304" s="8" t="s">
        <v>11</v>
      </c>
    </row>
    <row r="305" spans="2:3" ht="31.5">
      <c r="B305" s="10" t="s">
        <v>623</v>
      </c>
      <c r="C305" s="11" t="s">
        <v>624</v>
      </c>
    </row>
    <row r="306" spans="2:3" ht="31.5">
      <c r="B306" s="10" t="s">
        <v>625</v>
      </c>
      <c r="C306" s="11" t="s">
        <v>626</v>
      </c>
    </row>
    <row r="307" spans="2:3">
      <c r="B307" s="10" t="s">
        <v>627</v>
      </c>
      <c r="C307" s="11" t="s">
        <v>628</v>
      </c>
    </row>
    <row r="308" spans="2:3" ht="31.5">
      <c r="B308" s="10" t="s">
        <v>629</v>
      </c>
      <c r="C308" s="11" t="s">
        <v>630</v>
      </c>
    </row>
    <row r="309" spans="2:3">
      <c r="B309" s="10" t="s">
        <v>631</v>
      </c>
      <c r="C309" s="11" t="s">
        <v>632</v>
      </c>
    </row>
    <row r="310" spans="2:3">
      <c r="B310" s="10" t="s">
        <v>633</v>
      </c>
      <c r="C310" s="11" t="s">
        <v>634</v>
      </c>
    </row>
    <row r="311" spans="2:3">
      <c r="B311" s="10" t="s">
        <v>635</v>
      </c>
      <c r="C311" s="11" t="s">
        <v>636</v>
      </c>
    </row>
    <row r="312" spans="2:3">
      <c r="B312" s="10" t="s">
        <v>637</v>
      </c>
      <c r="C312" s="11" t="s">
        <v>638</v>
      </c>
    </row>
    <row r="313" spans="2:3">
      <c r="B313" s="10"/>
      <c r="C313" s="11"/>
    </row>
    <row r="314" spans="2:3" s="9" customFormat="1">
      <c r="B314" s="4" t="s">
        <v>639</v>
      </c>
      <c r="C314" s="8" t="s">
        <v>10</v>
      </c>
    </row>
    <row r="315" spans="2:3">
      <c r="B315" s="10" t="s">
        <v>640</v>
      </c>
      <c r="C315" s="11" t="s">
        <v>641</v>
      </c>
    </row>
    <row r="316" spans="2:3">
      <c r="B316" s="10" t="s">
        <v>642</v>
      </c>
      <c r="C316" s="11" t="s">
        <v>643</v>
      </c>
    </row>
    <row r="317" spans="2:3">
      <c r="B317" s="10" t="s">
        <v>644</v>
      </c>
      <c r="C317" s="11" t="s">
        <v>645</v>
      </c>
    </row>
    <row r="318" spans="2:3">
      <c r="B318" s="10" t="s">
        <v>646</v>
      </c>
      <c r="C318" s="11" t="s">
        <v>647</v>
      </c>
    </row>
    <row r="319" spans="2:3">
      <c r="B319" s="10" t="s">
        <v>648</v>
      </c>
      <c r="C319" s="11" t="s">
        <v>649</v>
      </c>
    </row>
    <row r="320" spans="2:3" ht="31.5">
      <c r="B320" s="10" t="s">
        <v>650</v>
      </c>
      <c r="C320" s="11" t="s">
        <v>651</v>
      </c>
    </row>
    <row r="321" spans="2:13">
      <c r="B321" s="10" t="s">
        <v>652</v>
      </c>
      <c r="C321" s="11" t="s">
        <v>653</v>
      </c>
    </row>
    <row r="322" spans="2:13">
      <c r="B322" s="10"/>
      <c r="C322" s="11"/>
    </row>
    <row r="323" spans="2:13">
      <c r="B323" s="4" t="s">
        <v>654</v>
      </c>
      <c r="C323" s="8" t="s">
        <v>17</v>
      </c>
    </row>
    <row r="324" spans="2:13">
      <c r="B324" s="10" t="s">
        <v>655</v>
      </c>
      <c r="C324" s="11" t="s">
        <v>142</v>
      </c>
    </row>
    <row r="325" spans="2:13">
      <c r="B325" s="10" t="s">
        <v>656</v>
      </c>
      <c r="C325" s="11" t="s">
        <v>657</v>
      </c>
    </row>
    <row r="326" spans="2:13">
      <c r="B326" s="10" t="s">
        <v>658</v>
      </c>
      <c r="C326" s="11" t="s">
        <v>659</v>
      </c>
    </row>
    <row r="327" spans="2:13">
      <c r="M327" s="13">
        <v>1</v>
      </c>
    </row>
  </sheetData>
  <pageMargins left="0.39374999999999999" right="0.24791666666666667" top="0.38958333333333334" bottom="1.1812500000000001" header="0.5" footer="0.5"/>
  <pageSetup orientation="portrait" horizontalDpi="300" verticalDpi="300" r:id="rId1"/>
</worksheet>
</file>

<file path=xl/worksheets/sheet2.xml><?xml version="1.0" encoding="utf-8"?>
<worksheet xmlns="http://schemas.openxmlformats.org/spreadsheetml/2006/main" xmlns:r="http://schemas.openxmlformats.org/officeDocument/2006/relationships">
  <sheetPr>
    <tabColor rgb="FFFFFF00"/>
  </sheetPr>
  <dimension ref="A2:AF740"/>
  <sheetViews>
    <sheetView showGridLines="0" topLeftCell="B1" workbookViewId="0">
      <pane xSplit="5" ySplit="8" topLeftCell="G284" activePane="bottomRight" state="frozen"/>
      <selection activeCell="B1" sqref="B1"/>
      <selection pane="topRight" activeCell="G1" sqref="G1"/>
      <selection pane="bottomLeft" activeCell="B9" sqref="B9"/>
      <selection pane="bottomRight" activeCell="F288" sqref="F288"/>
    </sheetView>
  </sheetViews>
  <sheetFormatPr defaultRowHeight="15"/>
  <cols>
    <col min="1" max="1" width="11.42578125" style="154" customWidth="1"/>
    <col min="2" max="2" width="20.7109375" style="154" customWidth="1"/>
    <col min="3" max="3" width="4.7109375" style="432" customWidth="1"/>
    <col min="4" max="5" width="4.7109375" style="166" customWidth="1"/>
    <col min="6" max="6" width="20.7109375" style="433" customWidth="1"/>
    <col min="7" max="7" width="20.7109375" style="154" customWidth="1"/>
    <col min="8" max="8" width="10.7109375" style="154" hidden="1" customWidth="1"/>
    <col min="9" max="9" width="12" style="154" hidden="1" customWidth="1"/>
    <col min="10" max="10" width="10.7109375" style="154" hidden="1" customWidth="1"/>
    <col min="11" max="11" width="20.7109375" style="154" customWidth="1"/>
    <col min="12" max="12" width="10.7109375" style="154" hidden="1" customWidth="1"/>
    <col min="13" max="13" width="20.7109375" style="154" customWidth="1"/>
    <col min="14" max="14" width="10.7109375" style="154" hidden="1" customWidth="1"/>
    <col min="15" max="15" width="20.7109375" style="154" customWidth="1"/>
    <col min="16" max="16" width="10.7109375" style="154" hidden="1" customWidth="1"/>
    <col min="17" max="17" width="20.7109375" style="154" customWidth="1"/>
    <col min="18" max="18" width="10.7109375" style="154" hidden="1" customWidth="1"/>
    <col min="19" max="19" width="20.7109375" style="154" customWidth="1"/>
    <col min="20" max="20" width="10.7109375" style="154" hidden="1" customWidth="1"/>
    <col min="21" max="21" width="20.7109375" style="154" hidden="1" customWidth="1"/>
    <col min="22" max="22" width="10.7109375" style="154" hidden="1" customWidth="1"/>
    <col min="23" max="23" width="20.7109375" style="154" hidden="1" customWidth="1"/>
    <col min="24" max="24" width="15.7109375" style="154" customWidth="1"/>
    <col min="25" max="16384" width="9.140625" style="154"/>
  </cols>
  <sheetData>
    <row r="2" spans="1:32" s="767" customFormat="1">
      <c r="C2" s="768"/>
      <c r="D2" s="769"/>
      <c r="E2" s="769"/>
      <c r="F2" s="770"/>
      <c r="K2" s="767">
        <f>'jangan di hapus 1'!K2</f>
        <v>0</v>
      </c>
      <c r="M2" s="776">
        <f>'jangan di hapus 1'!M2</f>
        <v>-0.25</v>
      </c>
      <c r="N2" s="776">
        <f>'jangan di hapus 1'!N2</f>
        <v>0</v>
      </c>
      <c r="O2" s="776">
        <f>'jangan di hapus 1'!O2</f>
        <v>-0.1199951171875</v>
      </c>
      <c r="P2" s="776">
        <f>'jangan di hapus 1'!P2</f>
        <v>0</v>
      </c>
      <c r="Q2" s="776">
        <f>'jangan di hapus 1'!Q2</f>
        <v>-0.32000732421875</v>
      </c>
      <c r="R2" s="776">
        <f>'jangan di hapus 1'!R2</f>
        <v>0</v>
      </c>
      <c r="S2" s="776">
        <f>'jangan di hapus 1'!S2</f>
        <v>0.169921875</v>
      </c>
    </row>
    <row r="3" spans="1:32" s="386" customFormat="1" ht="15" customHeight="1">
      <c r="B3" s="1111" t="str">
        <f>'[1]matrik 4_ok'!B5</f>
        <v>URUSAN</v>
      </c>
      <c r="C3" s="1114" t="str">
        <f>'[1]matrik 4_ok'!P5</f>
        <v>PROGRAM</v>
      </c>
      <c r="D3" s="1115"/>
      <c r="E3" s="1115"/>
      <c r="F3" s="1116"/>
      <c r="G3" s="1117" t="s">
        <v>2139</v>
      </c>
      <c r="H3" s="1128" t="str">
        <f>'[1]matrik 4_ok'!V5</f>
        <v>KONDISI AWAL KINERJA</v>
      </c>
      <c r="I3" s="1128"/>
      <c r="J3" s="1114" t="str">
        <f>'[1]matrik 4_ok'!X5</f>
        <v>TARGET INDIKATOR SASARAN MISI</v>
      </c>
      <c r="K3" s="1115"/>
      <c r="L3" s="1115"/>
      <c r="M3" s="1115"/>
      <c r="N3" s="1115"/>
      <c r="O3" s="1115"/>
      <c r="P3" s="1115"/>
      <c r="Q3" s="1115"/>
      <c r="R3" s="1115"/>
      <c r="S3" s="523"/>
      <c r="T3" s="1114" t="str">
        <f>'[1]matrik 4_ok'!AC5</f>
        <v>KONDISI AKHIR RPJMD</v>
      </c>
      <c r="U3" s="1116"/>
      <c r="V3" s="1111" t="str">
        <f>'[1]matrik 4_ok'!AD5</f>
        <v>TARGET TAHUN</v>
      </c>
      <c r="W3" s="1117"/>
      <c r="X3" s="1120" t="str">
        <f>'[1]matrik 4_ok'!AE5</f>
        <v>SKPD</v>
      </c>
    </row>
    <row r="4" spans="1:32" s="386" customFormat="1">
      <c r="B4" s="1112"/>
      <c r="C4" s="1111" t="str">
        <f>'[1]matrik 4_ok'!P6</f>
        <v>KODE URUSAN   / PROGRAM</v>
      </c>
      <c r="D4" s="1123"/>
      <c r="E4" s="1123"/>
      <c r="F4" s="1117"/>
      <c r="G4" s="1118"/>
      <c r="H4" s="1120">
        <f>'[1]matrik 4_ok'!V6</f>
        <v>2012</v>
      </c>
      <c r="I4" s="1120">
        <f>'[1]matrik 4_ok'!W6</f>
        <v>2013</v>
      </c>
      <c r="J4" s="1114">
        <f>'[1]matrik 4_ok'!X6</f>
        <v>2014</v>
      </c>
      <c r="K4" s="1116"/>
      <c r="L4" s="1114">
        <f>'[1]matrik 4_ok'!Y6</f>
        <v>2015</v>
      </c>
      <c r="M4" s="1116"/>
      <c r="N4" s="1114">
        <f>'[1]matrik 4_ok'!Z6</f>
        <v>2016</v>
      </c>
      <c r="O4" s="1116"/>
      <c r="P4" s="1114">
        <f>'[1]matrik 4_ok'!AA6</f>
        <v>2017</v>
      </c>
      <c r="Q4" s="1116"/>
      <c r="R4" s="1114">
        <f>'[1]matrik 4_ok'!AB6</f>
        <v>2018</v>
      </c>
      <c r="S4" s="1116"/>
      <c r="T4" s="1114">
        <v>2018</v>
      </c>
      <c r="U4" s="1116"/>
      <c r="V4" s="1112">
        <f>'[1]matrik 4_ok'!AD6</f>
        <v>2019</v>
      </c>
      <c r="W4" s="1118"/>
      <c r="X4" s="1121"/>
    </row>
    <row r="5" spans="1:32" s="386" customFormat="1">
      <c r="B5" s="1113"/>
      <c r="C5" s="1113"/>
      <c r="D5" s="1124"/>
      <c r="E5" s="1124"/>
      <c r="F5" s="1119"/>
      <c r="G5" s="1119"/>
      <c r="H5" s="1122"/>
      <c r="I5" s="1122"/>
      <c r="J5" s="526" t="s">
        <v>1799</v>
      </c>
      <c r="K5" s="526" t="s">
        <v>1802</v>
      </c>
      <c r="L5" s="526" t="s">
        <v>1799</v>
      </c>
      <c r="M5" s="526" t="s">
        <v>1802</v>
      </c>
      <c r="N5" s="526" t="s">
        <v>1799</v>
      </c>
      <c r="O5" s="526" t="s">
        <v>1802</v>
      </c>
      <c r="P5" s="526" t="s">
        <v>1799</v>
      </c>
      <c r="Q5" s="526" t="s">
        <v>1802</v>
      </c>
      <c r="R5" s="526" t="s">
        <v>1799</v>
      </c>
      <c r="S5" s="526" t="s">
        <v>1802</v>
      </c>
      <c r="T5" s="526" t="s">
        <v>1799</v>
      </c>
      <c r="U5" s="526" t="s">
        <v>1802</v>
      </c>
      <c r="V5" s="526" t="s">
        <v>1799</v>
      </c>
      <c r="W5" s="526" t="s">
        <v>1802</v>
      </c>
      <c r="X5" s="1122"/>
    </row>
    <row r="6" spans="1:32" s="389" customFormat="1">
      <c r="B6" s="524">
        <v>1</v>
      </c>
      <c r="C6" s="1125">
        <v>2</v>
      </c>
      <c r="D6" s="1126"/>
      <c r="E6" s="1126"/>
      <c r="F6" s="1127"/>
      <c r="G6" s="525">
        <v>3</v>
      </c>
      <c r="H6" s="390">
        <v>7</v>
      </c>
      <c r="I6" s="390">
        <v>8</v>
      </c>
      <c r="J6" s="390">
        <v>9</v>
      </c>
      <c r="K6" s="390">
        <v>10</v>
      </c>
      <c r="L6" s="390">
        <v>11</v>
      </c>
      <c r="M6" s="390">
        <v>12</v>
      </c>
      <c r="N6" s="390">
        <v>13</v>
      </c>
      <c r="O6" s="390">
        <v>14</v>
      </c>
      <c r="P6" s="390">
        <v>15</v>
      </c>
      <c r="Q6" s="390">
        <v>16</v>
      </c>
      <c r="R6" s="390">
        <v>17</v>
      </c>
      <c r="S6" s="390">
        <v>18</v>
      </c>
      <c r="T6" s="390">
        <v>17</v>
      </c>
      <c r="U6" s="390">
        <v>18</v>
      </c>
      <c r="V6" s="390">
        <v>21</v>
      </c>
      <c r="W6" s="390">
        <v>22</v>
      </c>
      <c r="X6" s="390">
        <v>19</v>
      </c>
    </row>
    <row r="7" spans="1:32" s="169" customFormat="1">
      <c r="B7" s="171"/>
      <c r="C7" s="171"/>
      <c r="D7" s="172"/>
      <c r="E7" s="172"/>
      <c r="F7" s="173"/>
      <c r="G7" s="173"/>
      <c r="H7" s="170"/>
      <c r="I7" s="170"/>
      <c r="J7" s="170"/>
      <c r="K7" s="170"/>
      <c r="L7" s="170"/>
      <c r="M7" s="170"/>
      <c r="N7" s="170"/>
      <c r="O7" s="170"/>
      <c r="P7" s="170"/>
      <c r="Q7" s="170"/>
      <c r="R7" s="170"/>
      <c r="S7" s="170"/>
      <c r="T7" s="170"/>
      <c r="U7" s="170"/>
      <c r="V7" s="170"/>
      <c r="W7" s="170"/>
      <c r="X7" s="170"/>
    </row>
    <row r="8" spans="1:32" s="391" customFormat="1">
      <c r="B8" s="397" t="s">
        <v>1800</v>
      </c>
      <c r="C8" s="392"/>
      <c r="D8" s="393"/>
      <c r="E8" s="393"/>
      <c r="F8" s="394"/>
      <c r="G8" s="394"/>
      <c r="H8" s="395"/>
      <c r="I8" s="395"/>
      <c r="J8" s="395"/>
      <c r="K8" s="395"/>
      <c r="L8" s="395"/>
      <c r="M8" s="395"/>
      <c r="N8" s="395"/>
      <c r="O8" s="395"/>
      <c r="P8" s="395"/>
      <c r="Q8" s="395"/>
      <c r="R8" s="395"/>
      <c r="S8" s="395"/>
      <c r="T8" s="395"/>
      <c r="U8" s="395"/>
      <c r="V8" s="395"/>
      <c r="W8" s="395"/>
      <c r="X8" s="395"/>
    </row>
    <row r="9" spans="1:32">
      <c r="A9" s="165">
        <v>1</v>
      </c>
      <c r="B9" s="62" t="str">
        <f>'[4]matrik MISI 4'!B8</f>
        <v>PENDIDIKAN</v>
      </c>
      <c r="C9" s="56"/>
      <c r="D9" s="57"/>
      <c r="E9" s="57"/>
      <c r="F9" s="58"/>
      <c r="G9" s="58"/>
      <c r="H9" s="52"/>
      <c r="I9" s="52"/>
      <c r="J9" s="52"/>
      <c r="K9" s="52"/>
      <c r="L9" s="52"/>
      <c r="M9" s="52"/>
      <c r="N9" s="52"/>
      <c r="O9" s="52"/>
      <c r="P9" s="52"/>
      <c r="Q9" s="52"/>
      <c r="R9" s="52"/>
      <c r="S9" s="52"/>
      <c r="T9" s="52"/>
      <c r="U9" s="52"/>
      <c r="V9" s="52"/>
      <c r="W9" s="52"/>
      <c r="X9" s="52"/>
      <c r="Y9" s="165"/>
      <c r="Z9" s="165"/>
      <c r="AA9" s="165"/>
      <c r="AB9" s="165"/>
      <c r="AC9" s="165"/>
      <c r="AD9" s="165"/>
      <c r="AE9" s="165"/>
      <c r="AF9" s="165"/>
    </row>
    <row r="10" spans="1:32" s="540" customFormat="1" ht="105">
      <c r="B10" s="545"/>
      <c r="C10" s="593">
        <f>'[4]matrik MISI 4'!P9</f>
        <v>1.01</v>
      </c>
      <c r="D10" s="594" t="str">
        <f>'[4]matrik MISI 4'!Q9</f>
        <v>xx</v>
      </c>
      <c r="E10" s="594">
        <f>'[4]matrik MISI 4'!R9</f>
        <v>15</v>
      </c>
      <c r="F10" s="595" t="str">
        <f>'[4]matrik MISI 4'!S9</f>
        <v>Pendidikan anak usia dini, Wajib belajar pendidikan dasar, Pendidikan menengah , dan Pendidikan nonformal</v>
      </c>
      <c r="G10" s="548"/>
      <c r="H10" s="550"/>
      <c r="I10" s="550"/>
      <c r="J10" s="550"/>
      <c r="K10" s="551">
        <f>SUM(K11:K23)</f>
        <v>1260000000</v>
      </c>
      <c r="L10" s="551">
        <f t="shared" ref="L10:S10" si="0">SUM(L11:L23)</f>
        <v>198.89000000000001</v>
      </c>
      <c r="M10" s="551">
        <f t="shared" si="0"/>
        <v>760000000</v>
      </c>
      <c r="N10" s="551">
        <f t="shared" si="0"/>
        <v>2899.03</v>
      </c>
      <c r="O10" s="551">
        <f t="shared" si="0"/>
        <v>950000000</v>
      </c>
      <c r="P10" s="551">
        <f t="shared" si="0"/>
        <v>2899.17</v>
      </c>
      <c r="Q10" s="551">
        <f t="shared" si="0"/>
        <v>950000000</v>
      </c>
      <c r="R10" s="551">
        <f t="shared" si="0"/>
        <v>2889.31</v>
      </c>
      <c r="S10" s="551">
        <f t="shared" si="0"/>
        <v>900000000</v>
      </c>
      <c r="T10" s="550"/>
      <c r="U10" s="550"/>
      <c r="V10" s="550"/>
      <c r="W10" s="550"/>
      <c r="X10" s="550" t="str">
        <f>'[4]matrik MISI 4'!AE9</f>
        <v>Dinas Pendidikan</v>
      </c>
    </row>
    <row r="11" spans="1:32" ht="60">
      <c r="A11" s="165"/>
      <c r="B11" s="48"/>
      <c r="C11" s="48"/>
      <c r="D11" s="49"/>
      <c r="E11" s="49"/>
      <c r="F11" s="50"/>
      <c r="G11" s="58" t="s">
        <v>2140</v>
      </c>
      <c r="H11" s="527">
        <v>0</v>
      </c>
      <c r="I11" s="527">
        <v>0</v>
      </c>
      <c r="J11" s="527">
        <v>0</v>
      </c>
      <c r="K11" s="527">
        <v>0</v>
      </c>
      <c r="L11" s="527"/>
      <c r="M11" s="527"/>
      <c r="N11" s="527">
        <v>10</v>
      </c>
      <c r="O11" s="527">
        <v>50000000</v>
      </c>
      <c r="P11" s="527">
        <v>10</v>
      </c>
      <c r="Q11" s="527">
        <v>50000000</v>
      </c>
      <c r="R11" s="527">
        <v>0</v>
      </c>
      <c r="S11" s="527">
        <v>0</v>
      </c>
      <c r="T11" s="527">
        <v>0</v>
      </c>
      <c r="U11" s="527">
        <v>0</v>
      </c>
      <c r="V11" s="52"/>
      <c r="W11" s="52"/>
      <c r="X11" s="52"/>
      <c r="Y11" s="165"/>
      <c r="Z11" s="165"/>
      <c r="AA11" s="165"/>
      <c r="AB11" s="165"/>
      <c r="AC11" s="165"/>
      <c r="AD11" s="165"/>
      <c r="AE11" s="165"/>
      <c r="AF11" s="165"/>
    </row>
    <row r="12" spans="1:32" ht="60">
      <c r="A12" s="165"/>
      <c r="B12" s="48"/>
      <c r="C12" s="48"/>
      <c r="D12" s="49"/>
      <c r="E12" s="49"/>
      <c r="F12" s="50"/>
      <c r="G12" s="58" t="s">
        <v>2141</v>
      </c>
      <c r="H12" s="527">
        <v>0</v>
      </c>
      <c r="I12" s="527">
        <v>0</v>
      </c>
      <c r="J12" s="527">
        <v>0</v>
      </c>
      <c r="K12" s="527">
        <v>0</v>
      </c>
      <c r="L12" s="527"/>
      <c r="M12" s="529"/>
      <c r="N12" s="527">
        <v>150</v>
      </c>
      <c r="O12" s="527">
        <f>N12*500000</f>
        <v>75000000</v>
      </c>
      <c r="P12" s="527">
        <v>150</v>
      </c>
      <c r="Q12" s="527">
        <f>P12*500000</f>
        <v>75000000</v>
      </c>
      <c r="R12" s="527">
        <v>150</v>
      </c>
      <c r="S12" s="527">
        <f>R12*500000</f>
        <v>75000000</v>
      </c>
      <c r="T12" s="527">
        <v>150</v>
      </c>
      <c r="U12" s="527">
        <f>T12*500000</f>
        <v>75000000</v>
      </c>
      <c r="V12" s="52"/>
      <c r="W12" s="52"/>
      <c r="X12" s="52"/>
      <c r="Y12" s="165"/>
      <c r="Z12" s="165"/>
      <c r="AA12" s="165"/>
      <c r="AB12" s="165"/>
      <c r="AC12" s="165"/>
      <c r="AD12" s="165"/>
      <c r="AE12" s="165"/>
      <c r="AF12" s="165"/>
    </row>
    <row r="13" spans="1:32" ht="135">
      <c r="A13" s="165"/>
      <c r="B13" s="48"/>
      <c r="C13" s="48"/>
      <c r="D13" s="49"/>
      <c r="E13" s="49"/>
      <c r="F13" s="50"/>
      <c r="G13" s="401" t="s">
        <v>2142</v>
      </c>
      <c r="H13" s="527">
        <v>0</v>
      </c>
      <c r="I13" s="527">
        <v>0</v>
      </c>
      <c r="J13" s="527">
        <v>0</v>
      </c>
      <c r="K13" s="527">
        <v>0</v>
      </c>
      <c r="L13" s="527"/>
      <c r="M13" s="527"/>
      <c r="N13" s="527">
        <v>2500</v>
      </c>
      <c r="O13" s="527">
        <f>N13*20000</f>
        <v>50000000</v>
      </c>
      <c r="P13" s="527">
        <v>2500</v>
      </c>
      <c r="Q13" s="527">
        <f>P13*20000</f>
        <v>50000000</v>
      </c>
      <c r="R13" s="527">
        <v>2500</v>
      </c>
      <c r="S13" s="527">
        <f>R13*20000</f>
        <v>50000000</v>
      </c>
      <c r="T13" s="527">
        <v>2500</v>
      </c>
      <c r="U13" s="527">
        <f>T13*20000</f>
        <v>50000000</v>
      </c>
      <c r="V13" s="52"/>
      <c r="W13" s="52"/>
      <c r="X13" s="52"/>
      <c r="Y13" s="165"/>
      <c r="Z13" s="165"/>
      <c r="AA13" s="165"/>
      <c r="AB13" s="165"/>
      <c r="AC13" s="165"/>
      <c r="AD13" s="165"/>
      <c r="AE13" s="165"/>
      <c r="AF13" s="165"/>
    </row>
    <row r="14" spans="1:32" ht="90">
      <c r="A14" s="165"/>
      <c r="B14" s="48"/>
      <c r="C14" s="48"/>
      <c r="D14" s="49"/>
      <c r="E14" s="49"/>
      <c r="F14" s="50"/>
      <c r="G14" s="58" t="s">
        <v>2143</v>
      </c>
      <c r="H14" s="527">
        <v>0</v>
      </c>
      <c r="I14" s="527">
        <v>0</v>
      </c>
      <c r="J14" s="527">
        <v>0</v>
      </c>
      <c r="K14" s="527">
        <v>0</v>
      </c>
      <c r="L14" s="527">
        <v>0</v>
      </c>
      <c r="M14" s="527">
        <v>0</v>
      </c>
      <c r="N14" s="527">
        <v>40</v>
      </c>
      <c r="O14" s="527">
        <v>10000000</v>
      </c>
      <c r="P14" s="527">
        <v>40</v>
      </c>
      <c r="Q14" s="527">
        <v>10000000</v>
      </c>
      <c r="R14" s="527">
        <v>40</v>
      </c>
      <c r="S14" s="527">
        <v>10000000</v>
      </c>
      <c r="T14" s="527">
        <v>40</v>
      </c>
      <c r="U14" s="527">
        <v>10000000</v>
      </c>
      <c r="V14" s="52"/>
      <c r="W14" s="52"/>
      <c r="X14" s="52"/>
      <c r="Y14" s="165"/>
      <c r="Z14" s="165"/>
      <c r="AA14" s="165"/>
      <c r="AB14" s="165"/>
      <c r="AC14" s="165"/>
      <c r="AD14" s="165"/>
      <c r="AE14" s="165"/>
      <c r="AF14" s="165"/>
    </row>
    <row r="15" spans="1:32" ht="45">
      <c r="A15" s="165"/>
      <c r="B15" s="48"/>
      <c r="C15" s="48"/>
      <c r="D15" s="49"/>
      <c r="E15" s="49"/>
      <c r="F15" s="50"/>
      <c r="G15" s="58" t="s">
        <v>1118</v>
      </c>
      <c r="H15" s="233">
        <v>65.66</v>
      </c>
      <c r="I15" s="233">
        <v>70.28</v>
      </c>
      <c r="J15" s="233">
        <v>65.709999999999994</v>
      </c>
      <c r="K15" s="52"/>
      <c r="L15" s="233">
        <v>65.759999999999991</v>
      </c>
      <c r="M15" s="52"/>
      <c r="N15" s="233">
        <v>65.809999999999988</v>
      </c>
      <c r="O15" s="52"/>
      <c r="P15" s="233">
        <v>65.859999999999985</v>
      </c>
      <c r="Q15" s="52"/>
      <c r="R15" s="233">
        <v>65.909999999999982</v>
      </c>
      <c r="S15" s="52"/>
      <c r="T15" s="233">
        <v>65.909999999999982</v>
      </c>
      <c r="U15" s="52"/>
      <c r="V15" s="52"/>
      <c r="W15" s="52"/>
      <c r="X15" s="52"/>
      <c r="Y15" s="165"/>
      <c r="Z15" s="165"/>
      <c r="AA15" s="165"/>
      <c r="AB15" s="165"/>
      <c r="AC15" s="165"/>
      <c r="AD15" s="165"/>
      <c r="AE15" s="165"/>
      <c r="AF15" s="165"/>
    </row>
    <row r="16" spans="1:32" ht="60">
      <c r="A16" s="165"/>
      <c r="B16" s="48"/>
      <c r="C16" s="48"/>
      <c r="D16" s="49"/>
      <c r="E16" s="49"/>
      <c r="F16" s="50"/>
      <c r="G16" s="58" t="s">
        <v>1125</v>
      </c>
      <c r="H16" s="233">
        <v>32.32</v>
      </c>
      <c r="I16" s="233">
        <v>28.5</v>
      </c>
      <c r="J16" s="233">
        <f>H16+0.04</f>
        <v>32.36</v>
      </c>
      <c r="K16" s="52"/>
      <c r="L16" s="233">
        <f>J16+0.04</f>
        <v>32.4</v>
      </c>
      <c r="M16" s="52"/>
      <c r="N16" s="233">
        <f>L16+0.04</f>
        <v>32.44</v>
      </c>
      <c r="O16" s="52"/>
      <c r="P16" s="233">
        <f>N16+0.04</f>
        <v>32.479999999999997</v>
      </c>
      <c r="Q16" s="52"/>
      <c r="R16" s="233">
        <f>P16+0.04</f>
        <v>32.519999999999996</v>
      </c>
      <c r="S16" s="52"/>
      <c r="T16" s="233">
        <f>R16+0.04</f>
        <v>32.559999999999995</v>
      </c>
      <c r="U16" s="52"/>
      <c r="V16" s="52"/>
      <c r="W16" s="52"/>
      <c r="X16" s="52"/>
      <c r="Y16" s="165"/>
      <c r="Z16" s="165"/>
      <c r="AA16" s="165"/>
      <c r="AB16" s="165"/>
      <c r="AC16" s="165"/>
      <c r="AD16" s="165"/>
      <c r="AE16" s="165"/>
      <c r="AF16" s="165"/>
    </row>
    <row r="17" spans="1:32" ht="60">
      <c r="A17" s="165"/>
      <c r="B17" s="48"/>
      <c r="C17" s="48"/>
      <c r="D17" s="49"/>
      <c r="E17" s="49"/>
      <c r="F17" s="50"/>
      <c r="G17" s="58" t="s">
        <v>1123</v>
      </c>
      <c r="H17" s="233">
        <v>48.611937338885589</v>
      </c>
      <c r="I17" s="234" t="s">
        <v>743</v>
      </c>
      <c r="J17" s="233">
        <v>48.61</v>
      </c>
      <c r="K17" s="52"/>
      <c r="L17" s="292">
        <f>J17+0.03</f>
        <v>48.64</v>
      </c>
      <c r="M17" s="52"/>
      <c r="N17" s="292">
        <f>L17+0.03</f>
        <v>48.67</v>
      </c>
      <c r="O17" s="52"/>
      <c r="P17" s="292">
        <f>N17+0.03</f>
        <v>48.7</v>
      </c>
      <c r="Q17" s="52"/>
      <c r="R17" s="292">
        <f>P17+0.03</f>
        <v>48.730000000000004</v>
      </c>
      <c r="S17" s="52"/>
      <c r="T17" s="292">
        <f>R17+0.03</f>
        <v>48.760000000000005</v>
      </c>
      <c r="U17" s="52"/>
      <c r="V17" s="52"/>
      <c r="W17" s="52"/>
      <c r="X17" s="52"/>
      <c r="Y17" s="165"/>
      <c r="Z17" s="165"/>
      <c r="AA17" s="165"/>
      <c r="AB17" s="165"/>
      <c r="AC17" s="165"/>
      <c r="AD17" s="165"/>
      <c r="AE17" s="165"/>
      <c r="AF17" s="165"/>
    </row>
    <row r="18" spans="1:32" ht="60">
      <c r="A18" s="165"/>
      <c r="B18" s="48"/>
      <c r="C18" s="48"/>
      <c r="D18" s="49"/>
      <c r="E18" s="49"/>
      <c r="F18" s="50"/>
      <c r="G18" s="58" t="s">
        <v>1125</v>
      </c>
      <c r="H18" s="233">
        <v>49.071503263260375</v>
      </c>
      <c r="I18" s="234" t="s">
        <v>743</v>
      </c>
      <c r="J18" s="233">
        <v>49.07</v>
      </c>
      <c r="K18" s="52"/>
      <c r="L18" s="292">
        <f>J18+0.02</f>
        <v>49.09</v>
      </c>
      <c r="M18" s="52"/>
      <c r="N18" s="292">
        <f>L18+0.02</f>
        <v>49.110000000000007</v>
      </c>
      <c r="O18" s="52"/>
      <c r="P18" s="292">
        <f>N18+0.02</f>
        <v>49.13000000000001</v>
      </c>
      <c r="Q18" s="52"/>
      <c r="R18" s="292">
        <f>P18+0.02</f>
        <v>49.150000000000013</v>
      </c>
      <c r="S18" s="52"/>
      <c r="T18" s="292">
        <f>R18+0.02</f>
        <v>49.170000000000016</v>
      </c>
      <c r="U18" s="52"/>
      <c r="V18" s="52"/>
      <c r="W18" s="52"/>
      <c r="X18" s="52"/>
      <c r="Y18" s="165"/>
      <c r="Z18" s="165"/>
      <c r="AA18" s="165"/>
      <c r="AB18" s="165"/>
      <c r="AC18" s="165"/>
      <c r="AD18" s="165"/>
      <c r="AE18" s="165"/>
      <c r="AF18" s="165"/>
    </row>
    <row r="19" spans="1:32" ht="30">
      <c r="A19" s="165"/>
      <c r="B19" s="48"/>
      <c r="C19" s="48"/>
      <c r="D19" s="49"/>
      <c r="E19" s="49"/>
      <c r="F19" s="50"/>
      <c r="G19" s="58" t="s">
        <v>1127</v>
      </c>
      <c r="H19" s="234" t="s">
        <v>1128</v>
      </c>
      <c r="I19" s="234" t="s">
        <v>743</v>
      </c>
      <c r="J19" s="234" t="s">
        <v>1128</v>
      </c>
      <c r="K19" s="52"/>
      <c r="L19" s="234" t="s">
        <v>2156</v>
      </c>
      <c r="M19" s="52"/>
      <c r="N19" s="234" t="s">
        <v>2156</v>
      </c>
      <c r="O19" s="52"/>
      <c r="P19" s="234" t="s">
        <v>2157</v>
      </c>
      <c r="Q19" s="52"/>
      <c r="R19" s="234" t="s">
        <v>2157</v>
      </c>
      <c r="S19" s="52"/>
      <c r="T19" s="234" t="s">
        <v>2157</v>
      </c>
      <c r="U19" s="52"/>
      <c r="V19" s="52"/>
      <c r="W19" s="52"/>
      <c r="X19" s="52"/>
      <c r="Y19" s="165"/>
      <c r="Z19" s="165"/>
      <c r="AA19" s="165"/>
      <c r="AB19" s="165"/>
      <c r="AC19" s="165"/>
      <c r="AD19" s="165"/>
      <c r="AE19" s="165"/>
      <c r="AF19" s="165"/>
    </row>
    <row r="20" spans="1:32" ht="60">
      <c r="A20" s="165"/>
      <c r="B20" s="48"/>
      <c r="C20" s="48"/>
      <c r="D20" s="49"/>
      <c r="E20" s="49"/>
      <c r="F20" s="50"/>
      <c r="G20" s="401" t="s">
        <v>2158</v>
      </c>
      <c r="H20" s="233">
        <v>95.6</v>
      </c>
      <c r="I20" s="233">
        <v>100</v>
      </c>
      <c r="J20" s="233">
        <v>99</v>
      </c>
      <c r="K20" s="527">
        <v>10000000</v>
      </c>
      <c r="L20" s="527">
        <v>1</v>
      </c>
      <c r="M20" s="527">
        <v>10000000</v>
      </c>
      <c r="N20" s="527">
        <v>1</v>
      </c>
      <c r="O20" s="527">
        <v>15000000</v>
      </c>
      <c r="P20" s="527">
        <v>1</v>
      </c>
      <c r="Q20" s="528">
        <v>15000000</v>
      </c>
      <c r="R20" s="527">
        <v>1</v>
      </c>
      <c r="S20" s="528">
        <v>15000000</v>
      </c>
      <c r="T20" s="527">
        <v>1</v>
      </c>
      <c r="U20" s="528">
        <v>15000000</v>
      </c>
      <c r="V20" s="52"/>
      <c r="W20" s="52"/>
      <c r="X20" s="52"/>
      <c r="Y20" s="165"/>
      <c r="Z20" s="165"/>
      <c r="AA20" s="165"/>
      <c r="AB20" s="165"/>
      <c r="AC20" s="165"/>
      <c r="AD20" s="165"/>
      <c r="AE20" s="165"/>
      <c r="AF20" s="165"/>
    </row>
    <row r="21" spans="1:32" ht="30">
      <c r="A21" s="165"/>
      <c r="B21" s="48"/>
      <c r="C21" s="48"/>
      <c r="D21" s="49"/>
      <c r="E21" s="49"/>
      <c r="F21" s="50"/>
      <c r="G21" s="762" t="s">
        <v>4683</v>
      </c>
      <c r="H21" s="233"/>
      <c r="I21" s="233"/>
      <c r="J21" s="233"/>
      <c r="K21" s="742">
        <v>250000000</v>
      </c>
      <c r="L21" s="742"/>
      <c r="M21" s="742">
        <v>250000000</v>
      </c>
      <c r="N21" s="742"/>
      <c r="O21" s="742">
        <v>250000000</v>
      </c>
      <c r="P21" s="742"/>
      <c r="Q21" s="742">
        <v>250000000</v>
      </c>
      <c r="R21" s="742"/>
      <c r="S21" s="742">
        <v>250000000</v>
      </c>
      <c r="T21" s="742"/>
      <c r="U21" s="740"/>
      <c r="V21" s="52"/>
      <c r="W21" s="52"/>
      <c r="X21" s="52"/>
      <c r="Y21" s="165"/>
      <c r="Z21" s="165"/>
      <c r="AA21" s="165"/>
      <c r="AB21" s="165"/>
      <c r="AC21" s="165"/>
      <c r="AD21" s="165"/>
      <c r="AE21" s="165"/>
      <c r="AF21" s="165"/>
    </row>
    <row r="22" spans="1:32" ht="60">
      <c r="A22" s="165"/>
      <c r="B22" s="48"/>
      <c r="C22" s="48"/>
      <c r="D22" s="49"/>
      <c r="E22" s="49"/>
      <c r="F22" s="50"/>
      <c r="G22" s="401" t="s">
        <v>2159</v>
      </c>
      <c r="H22" s="233">
        <v>0</v>
      </c>
      <c r="I22" s="233">
        <v>100</v>
      </c>
      <c r="J22" s="233">
        <v>99</v>
      </c>
      <c r="K22" s="527">
        <v>600000000</v>
      </c>
      <c r="L22" s="527">
        <v>1</v>
      </c>
      <c r="M22" s="527">
        <v>300000000</v>
      </c>
      <c r="N22" s="527">
        <v>1</v>
      </c>
      <c r="O22" s="527">
        <v>300000000</v>
      </c>
      <c r="P22" s="527">
        <v>1</v>
      </c>
      <c r="Q22" s="528">
        <v>300000000</v>
      </c>
      <c r="R22" s="527">
        <v>1</v>
      </c>
      <c r="S22" s="528">
        <v>300000000</v>
      </c>
      <c r="T22" s="527">
        <v>1</v>
      </c>
      <c r="U22" s="528">
        <v>300000000</v>
      </c>
      <c r="V22" s="52"/>
      <c r="W22" s="52"/>
      <c r="X22" s="52"/>
      <c r="Y22" s="165"/>
      <c r="Z22" s="165"/>
      <c r="AA22" s="165"/>
      <c r="AB22" s="165"/>
      <c r="AC22" s="165"/>
      <c r="AD22" s="165"/>
      <c r="AE22" s="165"/>
      <c r="AF22" s="165"/>
    </row>
    <row r="23" spans="1:32" ht="75">
      <c r="A23" s="165"/>
      <c r="B23" s="48"/>
      <c r="C23" s="66"/>
      <c r="D23" s="67"/>
      <c r="E23" s="67"/>
      <c r="F23" s="68"/>
      <c r="G23" s="401" t="s">
        <v>2160</v>
      </c>
      <c r="H23" s="233">
        <v>0</v>
      </c>
      <c r="I23" s="233">
        <v>100</v>
      </c>
      <c r="J23" s="233">
        <v>99</v>
      </c>
      <c r="K23" s="527">
        <v>400000000</v>
      </c>
      <c r="L23" s="527">
        <v>1</v>
      </c>
      <c r="M23" s="527">
        <v>200000000</v>
      </c>
      <c r="N23" s="527">
        <v>1</v>
      </c>
      <c r="O23" s="527">
        <v>200000000</v>
      </c>
      <c r="P23" s="527">
        <v>1</v>
      </c>
      <c r="Q23" s="528">
        <v>200000000</v>
      </c>
      <c r="R23" s="527">
        <v>1</v>
      </c>
      <c r="S23" s="528">
        <v>200000000</v>
      </c>
      <c r="T23" s="527">
        <v>1</v>
      </c>
      <c r="U23" s="528">
        <v>200000000</v>
      </c>
      <c r="V23" s="52"/>
      <c r="W23" s="52"/>
      <c r="X23" s="52"/>
      <c r="Y23" s="165"/>
      <c r="Z23" s="165"/>
      <c r="AA23" s="165"/>
      <c r="AB23" s="165"/>
      <c r="AC23" s="165"/>
      <c r="AD23" s="165"/>
      <c r="AE23" s="165"/>
      <c r="AF23" s="165"/>
    </row>
    <row r="24" spans="1:32" s="540" customFormat="1" ht="45">
      <c r="B24" s="545"/>
      <c r="C24" s="593">
        <f>'[4]matrik MISI 4'!P20</f>
        <v>1.01</v>
      </c>
      <c r="D24" s="594" t="str">
        <f>'[4]matrik MISI 4'!Q20</f>
        <v>xx</v>
      </c>
      <c r="E24" s="594">
        <f>'[4]matrik MISI 4'!R20</f>
        <v>16</v>
      </c>
      <c r="F24" s="595" t="str">
        <f>'[4]matrik MISI 4'!S20</f>
        <v>Program wajib belajar pendidikan dasar sembilan tahun</v>
      </c>
      <c r="G24" s="548"/>
      <c r="H24" s="550"/>
      <c r="I24" s="551"/>
      <c r="J24" s="550"/>
      <c r="K24" s="551">
        <f>SUM(K25:K115)+727224948</f>
        <v>21776586298</v>
      </c>
      <c r="L24" s="551">
        <f t="shared" ref="L24:S24" si="1">SUM(L25:L115)</f>
        <v>142066.72809173589</v>
      </c>
      <c r="M24" s="551">
        <f t="shared" si="1"/>
        <v>18368230250</v>
      </c>
      <c r="N24" s="551">
        <f t="shared" si="1"/>
        <v>146922.57039173585</v>
      </c>
      <c r="O24" s="551">
        <f t="shared" si="1"/>
        <v>19300031650</v>
      </c>
      <c r="P24" s="551">
        <f t="shared" si="1"/>
        <v>147940.4226917359</v>
      </c>
      <c r="Q24" s="551">
        <f t="shared" si="1"/>
        <v>21719531650</v>
      </c>
      <c r="R24" s="551">
        <f t="shared" si="1"/>
        <v>95346.264991735923</v>
      </c>
      <c r="S24" s="551">
        <f t="shared" si="1"/>
        <v>22871031650</v>
      </c>
      <c r="T24" s="550"/>
      <c r="U24" s="550"/>
      <c r="V24" s="550"/>
      <c r="W24" s="550"/>
      <c r="X24" s="550" t="str">
        <f>'[4]matrik MISI 4'!AE20</f>
        <v>Dinas Pendidikan</v>
      </c>
    </row>
    <row r="25" spans="1:32" ht="60">
      <c r="A25" s="165"/>
      <c r="B25" s="48"/>
      <c r="C25" s="48"/>
      <c r="D25" s="49"/>
      <c r="E25" s="49"/>
      <c r="F25" s="50"/>
      <c r="G25" s="58" t="s">
        <v>2144</v>
      </c>
      <c r="H25" s="527">
        <v>0</v>
      </c>
      <c r="I25" s="527">
        <v>0</v>
      </c>
      <c r="J25" s="527">
        <v>0</v>
      </c>
      <c r="K25" s="527">
        <v>0</v>
      </c>
      <c r="L25" s="527">
        <v>2</v>
      </c>
      <c r="M25" s="527">
        <v>15000000</v>
      </c>
      <c r="N25" s="527">
        <v>2</v>
      </c>
      <c r="O25" s="527">
        <v>15000000</v>
      </c>
      <c r="P25" s="527">
        <v>2</v>
      </c>
      <c r="Q25" s="527">
        <v>15000000</v>
      </c>
      <c r="R25" s="527">
        <v>0</v>
      </c>
      <c r="S25" s="527">
        <v>0</v>
      </c>
      <c r="T25" s="527">
        <v>0</v>
      </c>
      <c r="U25" s="527">
        <v>0</v>
      </c>
      <c r="V25" s="52"/>
      <c r="W25" s="52"/>
      <c r="X25" s="52"/>
      <c r="Y25" s="165"/>
      <c r="Z25" s="165"/>
      <c r="AA25" s="165"/>
      <c r="AB25" s="165"/>
      <c r="AC25" s="165"/>
      <c r="AD25" s="165"/>
      <c r="AE25" s="165"/>
      <c r="AF25" s="165"/>
    </row>
    <row r="26" spans="1:32" ht="60">
      <c r="A26" s="165"/>
      <c r="B26" s="48"/>
      <c r="C26" s="48"/>
      <c r="D26" s="49"/>
      <c r="E26" s="49"/>
      <c r="F26" s="50"/>
      <c r="G26" s="58" t="s">
        <v>2145</v>
      </c>
      <c r="H26" s="527">
        <v>0</v>
      </c>
      <c r="I26" s="527">
        <v>0</v>
      </c>
      <c r="J26" s="527">
        <v>0</v>
      </c>
      <c r="K26" s="527">
        <v>0</v>
      </c>
      <c r="L26" s="527"/>
      <c r="M26" s="527"/>
      <c r="N26" s="527">
        <v>150</v>
      </c>
      <c r="O26" s="527">
        <f>N26*500000</f>
        <v>75000000</v>
      </c>
      <c r="P26" s="527">
        <v>150</v>
      </c>
      <c r="Q26" s="527">
        <f>P26*500000</f>
        <v>75000000</v>
      </c>
      <c r="R26" s="527">
        <v>150</v>
      </c>
      <c r="S26" s="527">
        <f>R26*500000</f>
        <v>75000000</v>
      </c>
      <c r="T26" s="527">
        <v>150</v>
      </c>
      <c r="U26" s="527">
        <f>T26*500000</f>
        <v>75000000</v>
      </c>
      <c r="V26" s="52"/>
      <c r="W26" s="52"/>
      <c r="X26" s="52"/>
      <c r="Y26" s="165"/>
      <c r="Z26" s="165"/>
      <c r="AA26" s="165"/>
      <c r="AB26" s="165"/>
      <c r="AC26" s="165"/>
      <c r="AD26" s="165"/>
      <c r="AE26" s="165"/>
      <c r="AF26" s="165"/>
    </row>
    <row r="27" spans="1:32" ht="75">
      <c r="A27" s="165"/>
      <c r="B27" s="48"/>
      <c r="C27" s="48"/>
      <c r="D27" s="49"/>
      <c r="E27" s="49"/>
      <c r="F27" s="50"/>
      <c r="G27" s="58" t="s">
        <v>2146</v>
      </c>
      <c r="H27" s="527">
        <v>0</v>
      </c>
      <c r="I27" s="527">
        <v>0</v>
      </c>
      <c r="J27" s="527">
        <v>0</v>
      </c>
      <c r="K27" s="527">
        <v>0</v>
      </c>
      <c r="L27" s="527"/>
      <c r="M27" s="527"/>
      <c r="N27" s="527">
        <v>35</v>
      </c>
      <c r="O27" s="527">
        <v>10000000</v>
      </c>
      <c r="P27" s="527">
        <v>35</v>
      </c>
      <c r="Q27" s="527">
        <v>10000000</v>
      </c>
      <c r="R27" s="527">
        <v>0</v>
      </c>
      <c r="S27" s="527">
        <v>0</v>
      </c>
      <c r="T27" s="527">
        <v>0</v>
      </c>
      <c r="U27" s="527">
        <v>0</v>
      </c>
      <c r="V27" s="52"/>
      <c r="W27" s="52"/>
      <c r="X27" s="52"/>
      <c r="Y27" s="165"/>
      <c r="Z27" s="165"/>
      <c r="AA27" s="165"/>
      <c r="AB27" s="165"/>
      <c r="AC27" s="165"/>
      <c r="AD27" s="165"/>
      <c r="AE27" s="165"/>
      <c r="AF27" s="165"/>
    </row>
    <row r="28" spans="1:32" ht="75">
      <c r="A28" s="165"/>
      <c r="B28" s="48"/>
      <c r="C28" s="48"/>
      <c r="D28" s="49"/>
      <c r="E28" s="49"/>
      <c r="F28" s="50"/>
      <c r="G28" s="58" t="s">
        <v>2147</v>
      </c>
      <c r="H28" s="527">
        <v>0</v>
      </c>
      <c r="I28" s="527">
        <v>0</v>
      </c>
      <c r="J28" s="527">
        <v>0</v>
      </c>
      <c r="K28" s="527">
        <v>0</v>
      </c>
      <c r="L28" s="527"/>
      <c r="M28" s="527"/>
      <c r="N28" s="527">
        <v>50</v>
      </c>
      <c r="O28" s="527">
        <f>N28*500000</f>
        <v>25000000</v>
      </c>
      <c r="P28" s="527">
        <v>55</v>
      </c>
      <c r="Q28" s="527">
        <f>P28*500000</f>
        <v>27500000</v>
      </c>
      <c r="R28" s="527">
        <v>0</v>
      </c>
      <c r="S28" s="527">
        <v>0</v>
      </c>
      <c r="T28" s="527">
        <v>0</v>
      </c>
      <c r="U28" s="527">
        <v>0</v>
      </c>
      <c r="V28" s="52"/>
      <c r="W28" s="52"/>
      <c r="X28" s="52"/>
      <c r="Y28" s="165"/>
      <c r="Z28" s="165"/>
      <c r="AA28" s="165"/>
      <c r="AB28" s="165"/>
      <c r="AC28" s="165"/>
      <c r="AD28" s="165"/>
      <c r="AE28" s="165"/>
      <c r="AF28" s="165"/>
    </row>
    <row r="29" spans="1:32" ht="135">
      <c r="A29" s="165"/>
      <c r="B29" s="48"/>
      <c r="C29" s="48"/>
      <c r="D29" s="49"/>
      <c r="E29" s="49"/>
      <c r="F29" s="50"/>
      <c r="G29" s="401" t="s">
        <v>2148</v>
      </c>
      <c r="H29" s="527">
        <v>0</v>
      </c>
      <c r="I29" s="527">
        <v>0</v>
      </c>
      <c r="J29" s="527">
        <v>0</v>
      </c>
      <c r="K29" s="527">
        <v>0</v>
      </c>
      <c r="L29" s="527">
        <v>0</v>
      </c>
      <c r="M29" s="527">
        <v>0</v>
      </c>
      <c r="N29" s="527">
        <v>2000</v>
      </c>
      <c r="O29" s="527">
        <f>N29*20000</f>
        <v>40000000</v>
      </c>
      <c r="P29" s="527">
        <v>2000</v>
      </c>
      <c r="Q29" s="527">
        <f>P29*20000</f>
        <v>40000000</v>
      </c>
      <c r="R29" s="527">
        <v>2000</v>
      </c>
      <c r="S29" s="527">
        <f>R29*20000</f>
        <v>40000000</v>
      </c>
      <c r="T29" s="527">
        <v>2000</v>
      </c>
      <c r="U29" s="527">
        <f>T29*20000</f>
        <v>40000000</v>
      </c>
      <c r="V29" s="52"/>
      <c r="W29" s="52"/>
      <c r="X29" s="52"/>
      <c r="Y29" s="165"/>
      <c r="Z29" s="165"/>
      <c r="AA29" s="165"/>
      <c r="AB29" s="165"/>
      <c r="AC29" s="165"/>
      <c r="AD29" s="165"/>
      <c r="AE29" s="165"/>
      <c r="AF29" s="165"/>
    </row>
    <row r="30" spans="1:32" ht="135">
      <c r="A30" s="165"/>
      <c r="B30" s="48"/>
      <c r="C30" s="48"/>
      <c r="D30" s="49"/>
      <c r="E30" s="49"/>
      <c r="F30" s="50"/>
      <c r="G30" s="401" t="s">
        <v>2149</v>
      </c>
      <c r="H30" s="527">
        <v>0</v>
      </c>
      <c r="I30" s="527">
        <v>0</v>
      </c>
      <c r="J30" s="527">
        <v>0</v>
      </c>
      <c r="K30" s="527">
        <v>0</v>
      </c>
      <c r="L30" s="527"/>
      <c r="M30" s="527"/>
      <c r="N30" s="527">
        <v>2000</v>
      </c>
      <c r="O30" s="527">
        <f>N30*25000</f>
        <v>50000000</v>
      </c>
      <c r="P30" s="527">
        <v>2000</v>
      </c>
      <c r="Q30" s="527">
        <f>P30*25000</f>
        <v>50000000</v>
      </c>
      <c r="R30" s="527">
        <v>2000</v>
      </c>
      <c r="S30" s="527">
        <f>R30*25000</f>
        <v>50000000</v>
      </c>
      <c r="T30" s="527">
        <v>2000</v>
      </c>
      <c r="U30" s="527">
        <f>T30*25000</f>
        <v>50000000</v>
      </c>
      <c r="V30" s="52"/>
      <c r="W30" s="52"/>
      <c r="X30" s="52"/>
      <c r="Y30" s="165"/>
      <c r="Z30" s="165"/>
      <c r="AA30" s="165"/>
      <c r="AB30" s="165"/>
      <c r="AC30" s="165"/>
      <c r="AD30" s="165"/>
      <c r="AE30" s="165"/>
      <c r="AF30" s="165"/>
    </row>
    <row r="31" spans="1:32" ht="30">
      <c r="A31" s="165"/>
      <c r="B31" s="48"/>
      <c r="C31" s="48"/>
      <c r="D31" s="49"/>
      <c r="E31" s="49"/>
      <c r="F31" s="50"/>
      <c r="G31" s="58" t="s">
        <v>2001</v>
      </c>
      <c r="H31" s="233">
        <v>103.5</v>
      </c>
      <c r="I31" s="233">
        <v>104</v>
      </c>
      <c r="J31" s="233">
        <v>103.55</v>
      </c>
      <c r="K31" s="52"/>
      <c r="L31" s="233">
        <v>103.58</v>
      </c>
      <c r="M31" s="52"/>
      <c r="N31" s="233">
        <v>103.61</v>
      </c>
      <c r="O31" s="52"/>
      <c r="P31" s="233">
        <v>103.64</v>
      </c>
      <c r="Q31" s="52"/>
      <c r="R31" s="233">
        <v>103.67</v>
      </c>
      <c r="S31" s="52"/>
      <c r="T31" s="233">
        <v>103.67</v>
      </c>
      <c r="U31" s="52"/>
      <c r="V31" s="52"/>
      <c r="W31" s="52"/>
      <c r="X31" s="52"/>
      <c r="Y31" s="165"/>
      <c r="Z31" s="165"/>
      <c r="AA31" s="165"/>
      <c r="AB31" s="165"/>
      <c r="AC31" s="165"/>
      <c r="AD31" s="165"/>
      <c r="AE31" s="165"/>
      <c r="AF31" s="165"/>
    </row>
    <row r="32" spans="1:32" ht="30">
      <c r="A32" s="165"/>
      <c r="B32" s="48"/>
      <c r="C32" s="48"/>
      <c r="D32" s="49"/>
      <c r="E32" s="49"/>
      <c r="F32" s="50"/>
      <c r="G32" s="58" t="s">
        <v>2002</v>
      </c>
      <c r="H32" s="233">
        <v>95.4</v>
      </c>
      <c r="I32" s="233">
        <v>95.45</v>
      </c>
      <c r="J32" s="233">
        <v>95.42</v>
      </c>
      <c r="K32" s="52"/>
      <c r="L32" s="233">
        <v>95.45</v>
      </c>
      <c r="M32" s="52"/>
      <c r="N32" s="233">
        <v>95.48</v>
      </c>
      <c r="O32" s="52"/>
      <c r="P32" s="233">
        <v>95.51</v>
      </c>
      <c r="Q32" s="52"/>
      <c r="R32" s="233">
        <v>95.54</v>
      </c>
      <c r="S32" s="52"/>
      <c r="T32" s="233">
        <v>95.54</v>
      </c>
      <c r="U32" s="52"/>
      <c r="V32" s="52"/>
      <c r="W32" s="52"/>
      <c r="X32" s="52"/>
      <c r="Y32" s="165"/>
      <c r="Z32" s="165"/>
      <c r="AA32" s="165"/>
      <c r="AB32" s="165"/>
      <c r="AC32" s="165"/>
      <c r="AD32" s="165"/>
      <c r="AE32" s="165"/>
      <c r="AF32" s="165"/>
    </row>
    <row r="33" spans="1:32" ht="30">
      <c r="A33" s="165"/>
      <c r="B33" s="48"/>
      <c r="C33" s="48"/>
      <c r="D33" s="49"/>
      <c r="E33" s="49"/>
      <c r="F33" s="50"/>
      <c r="G33" s="58" t="s">
        <v>2003</v>
      </c>
      <c r="H33" s="233">
        <v>96</v>
      </c>
      <c r="I33" s="233">
        <v>98.89</v>
      </c>
      <c r="J33" s="233">
        <v>96.03</v>
      </c>
      <c r="K33" s="527"/>
      <c r="L33" s="233">
        <v>96.06</v>
      </c>
      <c r="M33" s="527"/>
      <c r="N33" s="233">
        <v>96.09</v>
      </c>
      <c r="O33" s="527"/>
      <c r="P33" s="233">
        <v>96.12</v>
      </c>
      <c r="Q33" s="527"/>
      <c r="R33" s="233">
        <v>96.15</v>
      </c>
      <c r="S33" s="527"/>
      <c r="T33" s="233">
        <v>96.15</v>
      </c>
      <c r="U33" s="527"/>
      <c r="V33" s="52"/>
      <c r="W33" s="52"/>
      <c r="X33" s="52"/>
      <c r="Y33" s="165"/>
      <c r="Z33" s="165"/>
      <c r="AA33" s="165"/>
      <c r="AB33" s="165"/>
      <c r="AC33" s="165"/>
      <c r="AD33" s="165"/>
      <c r="AE33" s="165"/>
      <c r="AF33" s="165"/>
    </row>
    <row r="34" spans="1:32" ht="30">
      <c r="A34" s="165"/>
      <c r="B34" s="48"/>
      <c r="C34" s="48"/>
      <c r="D34" s="49"/>
      <c r="E34" s="49"/>
      <c r="F34" s="50"/>
      <c r="G34" s="58" t="s">
        <v>2004</v>
      </c>
      <c r="H34" s="233">
        <v>83.63</v>
      </c>
      <c r="I34" s="233">
        <v>84.54</v>
      </c>
      <c r="J34" s="233">
        <v>83.66</v>
      </c>
      <c r="K34" s="527"/>
      <c r="L34" s="233">
        <v>83.69</v>
      </c>
      <c r="M34" s="527"/>
      <c r="N34" s="233">
        <v>83.72</v>
      </c>
      <c r="O34" s="527"/>
      <c r="P34" s="233">
        <v>83.75</v>
      </c>
      <c r="Q34" s="527"/>
      <c r="R34" s="233">
        <v>83.78</v>
      </c>
      <c r="S34" s="527"/>
      <c r="T34" s="233">
        <v>83.78</v>
      </c>
      <c r="U34" s="527"/>
      <c r="V34" s="52"/>
      <c r="W34" s="52"/>
      <c r="X34" s="52"/>
      <c r="Y34" s="165"/>
      <c r="Z34" s="165"/>
      <c r="AA34" s="165"/>
      <c r="AB34" s="165"/>
      <c r="AC34" s="165"/>
      <c r="AD34" s="165"/>
      <c r="AE34" s="165"/>
      <c r="AF34" s="165"/>
    </row>
    <row r="35" spans="1:32" ht="45">
      <c r="A35" s="165"/>
      <c r="B35" s="48"/>
      <c r="C35" s="48"/>
      <c r="D35" s="49"/>
      <c r="E35" s="49"/>
      <c r="F35" s="50"/>
      <c r="G35" s="58" t="s">
        <v>1137</v>
      </c>
      <c r="H35" s="233">
        <v>95.34094966083542</v>
      </c>
      <c r="I35" s="233">
        <v>98</v>
      </c>
      <c r="J35" s="233">
        <v>95.37</v>
      </c>
      <c r="K35" s="527"/>
      <c r="L35" s="233">
        <v>95.4</v>
      </c>
      <c r="M35" s="527"/>
      <c r="N35" s="233">
        <v>95.43</v>
      </c>
      <c r="O35" s="527"/>
      <c r="P35" s="233">
        <v>95.47</v>
      </c>
      <c r="Q35" s="527"/>
      <c r="R35" s="233">
        <v>95.5</v>
      </c>
      <c r="S35" s="527"/>
      <c r="T35" s="233">
        <v>95.5</v>
      </c>
      <c r="U35" s="527"/>
      <c r="V35" s="52"/>
      <c r="W35" s="52"/>
      <c r="X35" s="52"/>
      <c r="Y35" s="165"/>
      <c r="Z35" s="165"/>
      <c r="AA35" s="165"/>
      <c r="AB35" s="165"/>
      <c r="AC35" s="165"/>
      <c r="AD35" s="165"/>
      <c r="AE35" s="165"/>
      <c r="AF35" s="165"/>
    </row>
    <row r="36" spans="1:32" ht="60">
      <c r="A36" s="165"/>
      <c r="B36" s="48"/>
      <c r="C36" s="48"/>
      <c r="D36" s="49"/>
      <c r="E36" s="49"/>
      <c r="F36" s="50"/>
      <c r="G36" s="58" t="s">
        <v>2005</v>
      </c>
      <c r="H36" s="233">
        <v>48.594462811443769</v>
      </c>
      <c r="I36" s="234">
        <v>0</v>
      </c>
      <c r="J36" s="233">
        <v>48.59</v>
      </c>
      <c r="K36" s="527"/>
      <c r="L36" s="233">
        <v>48.61</v>
      </c>
      <c r="M36" s="527"/>
      <c r="N36" s="233">
        <v>48.63</v>
      </c>
      <c r="O36" s="527"/>
      <c r="P36" s="233">
        <v>48.65</v>
      </c>
      <c r="Q36" s="527"/>
      <c r="R36" s="233">
        <v>48.67</v>
      </c>
      <c r="S36" s="527"/>
      <c r="T36" s="233">
        <v>48.67</v>
      </c>
      <c r="U36" s="527"/>
      <c r="V36" s="52"/>
      <c r="W36" s="52"/>
      <c r="X36" s="52"/>
      <c r="Y36" s="165"/>
      <c r="Z36" s="165"/>
      <c r="AA36" s="165"/>
      <c r="AB36" s="165"/>
      <c r="AC36" s="165"/>
      <c r="AD36" s="165"/>
      <c r="AE36" s="165"/>
      <c r="AF36" s="165"/>
    </row>
    <row r="37" spans="1:32" ht="30">
      <c r="A37" s="165"/>
      <c r="B37" s="48"/>
      <c r="C37" s="48"/>
      <c r="D37" s="49"/>
      <c r="E37" s="49"/>
      <c r="F37" s="50"/>
      <c r="G37" s="58" t="s">
        <v>1140</v>
      </c>
      <c r="H37" s="233">
        <v>21.06</v>
      </c>
      <c r="I37" s="233">
        <v>0</v>
      </c>
      <c r="J37" s="233">
        <v>21.06</v>
      </c>
      <c r="K37" s="527"/>
      <c r="L37" s="233">
        <v>21.08</v>
      </c>
      <c r="M37" s="527"/>
      <c r="N37" s="233">
        <v>21.1</v>
      </c>
      <c r="O37" s="527"/>
      <c r="P37" s="233">
        <v>21.12</v>
      </c>
      <c r="Q37" s="527"/>
      <c r="R37" s="233">
        <v>21.14</v>
      </c>
      <c r="S37" s="527"/>
      <c r="T37" s="233">
        <v>21.14</v>
      </c>
      <c r="U37" s="527"/>
      <c r="V37" s="52"/>
      <c r="W37" s="52"/>
      <c r="X37" s="52"/>
      <c r="Y37" s="165"/>
      <c r="Z37" s="165"/>
      <c r="AA37" s="165"/>
      <c r="AB37" s="165"/>
      <c r="AC37" s="165"/>
      <c r="AD37" s="165"/>
      <c r="AE37" s="165"/>
      <c r="AF37" s="165"/>
    </row>
    <row r="38" spans="1:32" ht="30">
      <c r="A38" s="165"/>
      <c r="B38" s="48"/>
      <c r="C38" s="48"/>
      <c r="D38" s="49"/>
      <c r="E38" s="49"/>
      <c r="F38" s="50"/>
      <c r="G38" s="58" t="s">
        <v>1143</v>
      </c>
      <c r="H38" s="233">
        <v>31.9</v>
      </c>
      <c r="I38" s="233">
        <v>0</v>
      </c>
      <c r="J38" s="233">
        <v>31.9</v>
      </c>
      <c r="K38" s="527"/>
      <c r="L38" s="233">
        <v>31.92</v>
      </c>
      <c r="M38" s="527"/>
      <c r="N38" s="233">
        <v>31.94</v>
      </c>
      <c r="O38" s="527"/>
      <c r="P38" s="233">
        <v>31.96</v>
      </c>
      <c r="Q38" s="527"/>
      <c r="R38" s="233">
        <v>31.98</v>
      </c>
      <c r="S38" s="527"/>
      <c r="T38" s="233">
        <v>31.98</v>
      </c>
      <c r="U38" s="527"/>
      <c r="V38" s="52"/>
      <c r="W38" s="52"/>
      <c r="X38" s="52"/>
      <c r="Y38" s="165"/>
      <c r="Z38" s="165"/>
      <c r="AA38" s="165"/>
      <c r="AB38" s="165"/>
      <c r="AC38" s="165"/>
      <c r="AD38" s="165"/>
      <c r="AE38" s="165"/>
      <c r="AF38" s="165"/>
    </row>
    <row r="39" spans="1:32" ht="75">
      <c r="A39" s="165"/>
      <c r="B39" s="48"/>
      <c r="C39" s="48"/>
      <c r="D39" s="49"/>
      <c r="E39" s="49"/>
      <c r="F39" s="50"/>
      <c r="G39" s="58" t="s">
        <v>1145</v>
      </c>
      <c r="H39" s="233"/>
      <c r="I39" s="233"/>
      <c r="J39" s="233"/>
      <c r="K39" s="527"/>
      <c r="L39" s="233"/>
      <c r="M39" s="527"/>
      <c r="N39" s="233"/>
      <c r="O39" s="527"/>
      <c r="P39" s="233"/>
      <c r="Q39" s="527"/>
      <c r="R39" s="233"/>
      <c r="S39" s="527"/>
      <c r="T39" s="233"/>
      <c r="U39" s="527"/>
      <c r="V39" s="52"/>
      <c r="W39" s="52"/>
      <c r="X39" s="52"/>
      <c r="Y39" s="165"/>
      <c r="Z39" s="165"/>
      <c r="AA39" s="165"/>
      <c r="AB39" s="165"/>
      <c r="AC39" s="165"/>
      <c r="AD39" s="165"/>
      <c r="AE39" s="165"/>
      <c r="AF39" s="165"/>
    </row>
    <row r="40" spans="1:32" ht="45">
      <c r="A40" s="165"/>
      <c r="B40" s="48"/>
      <c r="C40" s="48"/>
      <c r="D40" s="49"/>
      <c r="E40" s="49"/>
      <c r="F40" s="50"/>
      <c r="G40" s="58" t="s">
        <v>2161</v>
      </c>
      <c r="H40" s="233">
        <v>99.37</v>
      </c>
      <c r="I40" s="233">
        <v>0</v>
      </c>
      <c r="J40" s="233">
        <v>99.37</v>
      </c>
      <c r="K40" s="527"/>
      <c r="L40" s="233">
        <f>J40+0.03</f>
        <v>99.4</v>
      </c>
      <c r="M40" s="527"/>
      <c r="N40" s="233">
        <f>L40+0.03</f>
        <v>99.43</v>
      </c>
      <c r="O40" s="527"/>
      <c r="P40" s="233">
        <f>N40+0.03</f>
        <v>99.460000000000008</v>
      </c>
      <c r="Q40" s="527"/>
      <c r="R40" s="233">
        <f>P40+0.03</f>
        <v>99.490000000000009</v>
      </c>
      <c r="S40" s="527"/>
      <c r="T40" s="233">
        <f>R40+0.03</f>
        <v>99.52000000000001</v>
      </c>
      <c r="U40" s="527"/>
      <c r="V40" s="52"/>
      <c r="W40" s="52"/>
      <c r="X40" s="52"/>
      <c r="Y40" s="165"/>
      <c r="Z40" s="165"/>
      <c r="AA40" s="165"/>
      <c r="AB40" s="165"/>
      <c r="AC40" s="165"/>
      <c r="AD40" s="165"/>
      <c r="AE40" s="165"/>
      <c r="AF40" s="165"/>
    </row>
    <row r="41" spans="1:32" ht="45">
      <c r="A41" s="165"/>
      <c r="B41" s="48"/>
      <c r="C41" s="48"/>
      <c r="D41" s="49"/>
      <c r="E41" s="49"/>
      <c r="F41" s="50"/>
      <c r="G41" s="58" t="s">
        <v>2162</v>
      </c>
      <c r="H41" s="233">
        <v>99.25</v>
      </c>
      <c r="I41" s="233">
        <v>0</v>
      </c>
      <c r="J41" s="233">
        <v>99.25</v>
      </c>
      <c r="K41" s="527"/>
      <c r="L41" s="233">
        <f>J41+0.03</f>
        <v>99.28</v>
      </c>
      <c r="M41" s="527"/>
      <c r="N41" s="233">
        <f>L41+0.03</f>
        <v>99.31</v>
      </c>
      <c r="O41" s="527"/>
      <c r="P41" s="233">
        <f>N41+0.03</f>
        <v>99.34</v>
      </c>
      <c r="Q41" s="527"/>
      <c r="R41" s="233">
        <f>P41+0.03</f>
        <v>99.37</v>
      </c>
      <c r="S41" s="527"/>
      <c r="T41" s="233">
        <f>R41+0.03</f>
        <v>99.4</v>
      </c>
      <c r="U41" s="527"/>
      <c r="V41" s="52"/>
      <c r="W41" s="52"/>
      <c r="X41" s="52"/>
      <c r="Y41" s="165"/>
      <c r="Z41" s="165"/>
      <c r="AA41" s="165"/>
      <c r="AB41" s="165"/>
      <c r="AC41" s="165"/>
      <c r="AD41" s="165"/>
      <c r="AE41" s="165"/>
      <c r="AF41" s="165"/>
    </row>
    <row r="42" spans="1:32" ht="45">
      <c r="A42" s="165"/>
      <c r="B42" s="48"/>
      <c r="C42" s="48"/>
      <c r="D42" s="49"/>
      <c r="E42" s="49"/>
      <c r="F42" s="50"/>
      <c r="G42" s="58" t="s">
        <v>2163</v>
      </c>
      <c r="H42" s="233">
        <v>99.68</v>
      </c>
      <c r="I42" s="233">
        <v>100</v>
      </c>
      <c r="J42" s="233">
        <v>99.5</v>
      </c>
      <c r="K42" s="527">
        <v>1722360000</v>
      </c>
      <c r="L42" s="527">
        <f>K42/30000</f>
        <v>57412</v>
      </c>
      <c r="M42" s="527">
        <v>1722360000</v>
      </c>
      <c r="N42" s="527">
        <f>O42/30000</f>
        <v>58000</v>
      </c>
      <c r="O42" s="527">
        <v>1740000000</v>
      </c>
      <c r="P42" s="527">
        <f>Q42/30000</f>
        <v>58500</v>
      </c>
      <c r="Q42" s="527">
        <v>1755000000</v>
      </c>
      <c r="R42" s="527">
        <f>S42/300000</f>
        <v>5900</v>
      </c>
      <c r="S42" s="527">
        <v>1770000000</v>
      </c>
      <c r="T42" s="527">
        <f>U42/300000</f>
        <v>5900</v>
      </c>
      <c r="U42" s="527">
        <v>1770000000</v>
      </c>
      <c r="V42" s="52"/>
      <c r="W42" s="52"/>
      <c r="X42" s="52"/>
      <c r="Y42" s="165"/>
      <c r="Z42" s="165"/>
      <c r="AA42" s="165"/>
      <c r="AB42" s="165"/>
      <c r="AC42" s="165"/>
      <c r="AD42" s="165"/>
      <c r="AE42" s="165"/>
      <c r="AF42" s="165"/>
    </row>
    <row r="43" spans="1:32" ht="45">
      <c r="A43" s="165"/>
      <c r="B43" s="48"/>
      <c r="C43" s="48"/>
      <c r="D43" s="49"/>
      <c r="E43" s="49"/>
      <c r="F43" s="50"/>
      <c r="G43" s="58" t="s">
        <v>2164</v>
      </c>
      <c r="H43" s="233">
        <v>96.18</v>
      </c>
      <c r="I43" s="233">
        <v>100</v>
      </c>
      <c r="J43" s="233">
        <v>96</v>
      </c>
      <c r="K43" s="527">
        <v>1568950000</v>
      </c>
      <c r="L43" s="527">
        <f>M43/50000</f>
        <v>31379</v>
      </c>
      <c r="M43" s="527">
        <v>1568950000</v>
      </c>
      <c r="N43" s="527">
        <f>O43/50000</f>
        <v>31379</v>
      </c>
      <c r="O43" s="527">
        <v>1568950000</v>
      </c>
      <c r="P43" s="527">
        <f>Q43/50000</f>
        <v>31379</v>
      </c>
      <c r="Q43" s="527">
        <v>1568950000</v>
      </c>
      <c r="R43" s="527">
        <f>S43/50000</f>
        <v>31379</v>
      </c>
      <c r="S43" s="527">
        <v>1568950000</v>
      </c>
      <c r="T43" s="527">
        <f>U43/50000</f>
        <v>31379</v>
      </c>
      <c r="U43" s="527">
        <v>1568950000</v>
      </c>
      <c r="V43" s="52"/>
      <c r="W43" s="52"/>
      <c r="X43" s="52"/>
      <c r="Y43" s="165"/>
      <c r="Z43" s="165"/>
      <c r="AA43" s="165"/>
      <c r="AB43" s="165"/>
      <c r="AC43" s="165"/>
      <c r="AD43" s="165"/>
      <c r="AE43" s="165"/>
      <c r="AF43" s="165"/>
    </row>
    <row r="44" spans="1:32" ht="45">
      <c r="A44" s="165"/>
      <c r="B44" s="48"/>
      <c r="C44" s="48"/>
      <c r="D44" s="49"/>
      <c r="E44" s="49"/>
      <c r="F44" s="50"/>
      <c r="G44" s="58" t="s">
        <v>2165</v>
      </c>
      <c r="H44" s="233">
        <v>97.74</v>
      </c>
      <c r="I44" s="233">
        <v>100</v>
      </c>
      <c r="J44" s="233">
        <v>97.5</v>
      </c>
      <c r="K44" s="527">
        <v>60000000</v>
      </c>
      <c r="L44" s="527">
        <v>4</v>
      </c>
      <c r="M44" s="527">
        <v>60000000</v>
      </c>
      <c r="N44" s="527">
        <v>4</v>
      </c>
      <c r="O44" s="527">
        <v>60000000</v>
      </c>
      <c r="P44" s="527">
        <v>4</v>
      </c>
      <c r="Q44" s="527">
        <v>60000000</v>
      </c>
      <c r="R44" s="527">
        <v>4</v>
      </c>
      <c r="S44" s="527">
        <v>60000000</v>
      </c>
      <c r="T44" s="527">
        <v>4</v>
      </c>
      <c r="U44" s="527">
        <v>60000000</v>
      </c>
      <c r="V44" s="52"/>
      <c r="W44" s="52"/>
      <c r="X44" s="52"/>
      <c r="Y44" s="165"/>
      <c r="Z44" s="165"/>
      <c r="AA44" s="165"/>
      <c r="AB44" s="165"/>
      <c r="AC44" s="165"/>
      <c r="AD44" s="165"/>
      <c r="AE44" s="165"/>
      <c r="AF44" s="165"/>
    </row>
    <row r="45" spans="1:32" ht="60">
      <c r="A45" s="165"/>
      <c r="B45" s="48"/>
      <c r="C45" s="48"/>
      <c r="D45" s="49"/>
      <c r="E45" s="49"/>
      <c r="F45" s="50"/>
      <c r="G45" s="58" t="s">
        <v>2166</v>
      </c>
      <c r="H45" s="233">
        <v>96.4</v>
      </c>
      <c r="I45" s="233">
        <v>100</v>
      </c>
      <c r="J45" s="233">
        <v>96.5</v>
      </c>
      <c r="K45" s="527">
        <v>40000000</v>
      </c>
      <c r="L45" s="527">
        <v>4</v>
      </c>
      <c r="M45" s="527">
        <v>60000000</v>
      </c>
      <c r="N45" s="527">
        <v>4</v>
      </c>
      <c r="O45" s="527">
        <v>60000000</v>
      </c>
      <c r="P45" s="527">
        <v>4</v>
      </c>
      <c r="Q45" s="527">
        <v>60000000</v>
      </c>
      <c r="R45" s="527">
        <v>4</v>
      </c>
      <c r="S45" s="527">
        <v>60000000</v>
      </c>
      <c r="T45" s="527">
        <v>4</v>
      </c>
      <c r="U45" s="527">
        <v>60000000</v>
      </c>
      <c r="V45" s="52"/>
      <c r="W45" s="52"/>
      <c r="X45" s="52"/>
      <c r="Y45" s="165"/>
      <c r="Z45" s="165"/>
      <c r="AA45" s="165"/>
      <c r="AB45" s="165"/>
      <c r="AC45" s="165"/>
      <c r="AD45" s="165"/>
      <c r="AE45" s="165"/>
      <c r="AF45" s="165"/>
    </row>
    <row r="46" spans="1:32" ht="30">
      <c r="A46" s="165"/>
      <c r="B46" s="48"/>
      <c r="C46" s="48"/>
      <c r="D46" s="49"/>
      <c r="E46" s="49"/>
      <c r="F46" s="50"/>
      <c r="G46" s="58" t="s">
        <v>2167</v>
      </c>
      <c r="H46" s="233">
        <v>69.599999999999994</v>
      </c>
      <c r="I46" s="233">
        <v>100</v>
      </c>
      <c r="J46" s="233">
        <v>71.2</v>
      </c>
      <c r="K46" s="527">
        <v>20000000</v>
      </c>
      <c r="L46" s="527">
        <v>105</v>
      </c>
      <c r="M46" s="527">
        <v>35281650</v>
      </c>
      <c r="N46" s="527">
        <v>105</v>
      </c>
      <c r="O46" s="527">
        <v>35281650</v>
      </c>
      <c r="P46" s="527">
        <v>105</v>
      </c>
      <c r="Q46" s="527">
        <v>35281650</v>
      </c>
      <c r="R46" s="527">
        <v>105</v>
      </c>
      <c r="S46" s="527">
        <v>35281650</v>
      </c>
      <c r="T46" s="527">
        <v>105</v>
      </c>
      <c r="U46" s="527">
        <v>35281650</v>
      </c>
      <c r="V46" s="52"/>
      <c r="W46" s="52"/>
      <c r="X46" s="52"/>
      <c r="Y46" s="165"/>
      <c r="Z46" s="165"/>
      <c r="AA46" s="165"/>
      <c r="AB46" s="165"/>
      <c r="AC46" s="165"/>
      <c r="AD46" s="165"/>
      <c r="AE46" s="165"/>
      <c r="AF46" s="165"/>
    </row>
    <row r="47" spans="1:32" ht="45">
      <c r="A47" s="165"/>
      <c r="B47" s="48"/>
      <c r="C47" s="48"/>
      <c r="D47" s="49"/>
      <c r="E47" s="49"/>
      <c r="F47" s="50"/>
      <c r="G47" s="58" t="s">
        <v>2168</v>
      </c>
      <c r="H47" s="233"/>
      <c r="I47" s="233"/>
      <c r="J47" s="233"/>
      <c r="K47" s="527"/>
      <c r="L47" s="527"/>
      <c r="M47" s="527">
        <v>79650000</v>
      </c>
      <c r="N47" s="527"/>
      <c r="O47" s="527"/>
      <c r="P47" s="527"/>
      <c r="Q47" s="527"/>
      <c r="R47" s="527"/>
      <c r="S47" s="527"/>
      <c r="T47" s="527"/>
      <c r="U47" s="527"/>
      <c r="V47" s="52"/>
      <c r="W47" s="52"/>
      <c r="X47" s="52"/>
      <c r="Y47" s="165"/>
      <c r="Z47" s="165"/>
      <c r="AA47" s="165"/>
      <c r="AB47" s="165"/>
      <c r="AC47" s="165"/>
      <c r="AD47" s="165"/>
      <c r="AE47" s="165"/>
      <c r="AF47" s="165"/>
    </row>
    <row r="48" spans="1:32" ht="45">
      <c r="A48" s="165"/>
      <c r="B48" s="48"/>
      <c r="C48" s="48"/>
      <c r="D48" s="49"/>
      <c r="E48" s="49"/>
      <c r="F48" s="50"/>
      <c r="G48" s="58" t="s">
        <v>1209</v>
      </c>
      <c r="H48" s="233">
        <v>94.809186374114233</v>
      </c>
      <c r="I48" s="527">
        <v>0</v>
      </c>
      <c r="J48" s="233">
        <f>H48+0.01</f>
        <v>94.819186374114238</v>
      </c>
      <c r="K48" s="527"/>
      <c r="L48" s="233">
        <f>J48+0.01</f>
        <v>94.829186374114244</v>
      </c>
      <c r="M48" s="527"/>
      <c r="N48" s="233">
        <f>L48+0.01</f>
        <v>94.839186374114249</v>
      </c>
      <c r="O48" s="527"/>
      <c r="P48" s="233">
        <f>N48+0.01</f>
        <v>94.849186374114254</v>
      </c>
      <c r="Q48" s="527"/>
      <c r="R48" s="233">
        <f>P48+0.01</f>
        <v>94.859186374114259</v>
      </c>
      <c r="S48" s="527"/>
      <c r="T48" s="233">
        <f>R48+0.01</f>
        <v>94.869186374114264</v>
      </c>
      <c r="U48" s="527"/>
      <c r="V48" s="52"/>
      <c r="W48" s="52"/>
      <c r="X48" s="52"/>
      <c r="Y48" s="165"/>
      <c r="Z48" s="165"/>
      <c r="AA48" s="165"/>
      <c r="AB48" s="165"/>
      <c r="AC48" s="165"/>
      <c r="AD48" s="165"/>
      <c r="AE48" s="165"/>
      <c r="AF48" s="165"/>
    </row>
    <row r="49" spans="1:32" ht="30">
      <c r="A49" s="165"/>
      <c r="B49" s="48"/>
      <c r="C49" s="48"/>
      <c r="D49" s="49"/>
      <c r="E49" s="49"/>
      <c r="F49" s="50"/>
      <c r="G49" s="58" t="s">
        <v>1211</v>
      </c>
      <c r="H49" s="233">
        <v>0.20430536176998204</v>
      </c>
      <c r="I49" s="233">
        <v>0.1</v>
      </c>
      <c r="J49" s="233">
        <f>H49-0.02</f>
        <v>0.18430536176998205</v>
      </c>
      <c r="K49" s="527"/>
      <c r="L49" s="233">
        <f>J49-0.01</f>
        <v>0.17430536176998204</v>
      </c>
      <c r="M49" s="527"/>
      <c r="N49" s="233">
        <f>L49-0.01</f>
        <v>0.16430536176998203</v>
      </c>
      <c r="O49" s="527"/>
      <c r="P49" s="233">
        <f>N49-0.01</f>
        <v>0.15430536176998202</v>
      </c>
      <c r="Q49" s="527"/>
      <c r="R49" s="233">
        <f>P49-0.01</f>
        <v>0.14430536176998202</v>
      </c>
      <c r="S49" s="527"/>
      <c r="T49" s="233">
        <f>R49-0.01</f>
        <v>0.13430536176998201</v>
      </c>
      <c r="U49" s="527"/>
      <c r="V49" s="52"/>
      <c r="W49" s="52"/>
      <c r="X49" s="52"/>
      <c r="Y49" s="165"/>
      <c r="Z49" s="165"/>
      <c r="AA49" s="165"/>
      <c r="AB49" s="165"/>
      <c r="AC49" s="165"/>
      <c r="AD49" s="165"/>
      <c r="AE49" s="165"/>
      <c r="AF49" s="165"/>
    </row>
    <row r="50" spans="1:32" ht="30">
      <c r="A50" s="165"/>
      <c r="B50" s="48"/>
      <c r="C50" s="48"/>
      <c r="D50" s="49"/>
      <c r="E50" s="49"/>
      <c r="F50" s="50"/>
      <c r="G50" s="58" t="s">
        <v>1213</v>
      </c>
      <c r="H50" s="233">
        <v>0.44489263257800449</v>
      </c>
      <c r="I50" s="233">
        <v>1.2</v>
      </c>
      <c r="J50" s="233">
        <v>0.43</v>
      </c>
      <c r="K50" s="527"/>
      <c r="L50" s="233">
        <f>J50-0.01</f>
        <v>0.42</v>
      </c>
      <c r="M50" s="527"/>
      <c r="N50" s="233">
        <f>L50-0.01</f>
        <v>0.41</v>
      </c>
      <c r="O50" s="527"/>
      <c r="P50" s="233">
        <f>N50-0.01</f>
        <v>0.39999999999999997</v>
      </c>
      <c r="Q50" s="527"/>
      <c r="R50" s="233">
        <f>P50-0.01</f>
        <v>0.38999999999999996</v>
      </c>
      <c r="S50" s="527"/>
      <c r="T50" s="233">
        <f>R50-0.01</f>
        <v>0.37999999999999995</v>
      </c>
      <c r="U50" s="527"/>
      <c r="V50" s="52"/>
      <c r="W50" s="52"/>
      <c r="X50" s="52"/>
      <c r="Y50" s="165"/>
      <c r="Z50" s="165"/>
      <c r="AA50" s="165"/>
      <c r="AB50" s="165"/>
      <c r="AC50" s="165"/>
      <c r="AD50" s="165"/>
      <c r="AE50" s="165"/>
      <c r="AF50" s="165"/>
    </row>
    <row r="51" spans="1:32" ht="45">
      <c r="A51" s="165"/>
      <c r="B51" s="48"/>
      <c r="C51" s="48"/>
      <c r="D51" s="49"/>
      <c r="E51" s="49"/>
      <c r="F51" s="50"/>
      <c r="G51" s="58" t="s">
        <v>2186</v>
      </c>
      <c r="H51" s="233">
        <v>73.23</v>
      </c>
      <c r="I51" s="233">
        <v>100</v>
      </c>
      <c r="J51" s="233">
        <v>99</v>
      </c>
      <c r="K51" s="527">
        <v>39989000</v>
      </c>
      <c r="L51" s="527">
        <v>2</v>
      </c>
      <c r="M51" s="527">
        <v>95000000</v>
      </c>
      <c r="N51" s="527">
        <v>2</v>
      </c>
      <c r="O51" s="527">
        <v>40000000</v>
      </c>
      <c r="P51" s="527">
        <v>2</v>
      </c>
      <c r="Q51" s="527">
        <v>50000000</v>
      </c>
      <c r="R51" s="527">
        <v>2</v>
      </c>
      <c r="S51" s="527">
        <v>55000000</v>
      </c>
      <c r="T51" s="527">
        <v>2</v>
      </c>
      <c r="U51" s="527">
        <v>55000000</v>
      </c>
      <c r="V51" s="52"/>
      <c r="W51" s="52"/>
      <c r="X51" s="52"/>
      <c r="Y51" s="165"/>
      <c r="Z51" s="165"/>
      <c r="AA51" s="165"/>
      <c r="AB51" s="165"/>
      <c r="AC51" s="165"/>
      <c r="AD51" s="165"/>
      <c r="AE51" s="165"/>
      <c r="AF51" s="165"/>
    </row>
    <row r="52" spans="1:32" ht="30">
      <c r="A52" s="165"/>
      <c r="B52" s="48"/>
      <c r="C52" s="48"/>
      <c r="D52" s="49"/>
      <c r="E52" s="49"/>
      <c r="F52" s="50"/>
      <c r="G52" s="58" t="s">
        <v>2187</v>
      </c>
      <c r="H52" s="233">
        <v>52.72</v>
      </c>
      <c r="I52" s="233">
        <v>100</v>
      </c>
      <c r="J52" s="233">
        <v>99</v>
      </c>
      <c r="K52" s="527">
        <v>40000000</v>
      </c>
      <c r="L52" s="527">
        <v>5</v>
      </c>
      <c r="M52" s="527">
        <v>39997000</v>
      </c>
      <c r="N52" s="527">
        <v>5</v>
      </c>
      <c r="O52" s="527">
        <v>40000000</v>
      </c>
      <c r="P52" s="527">
        <v>5</v>
      </c>
      <c r="Q52" s="527">
        <v>40000000</v>
      </c>
      <c r="R52" s="527">
        <v>5</v>
      </c>
      <c r="S52" s="527">
        <v>40000000</v>
      </c>
      <c r="T52" s="527">
        <v>5</v>
      </c>
      <c r="U52" s="527">
        <v>40000000</v>
      </c>
      <c r="V52" s="52"/>
      <c r="W52" s="52"/>
      <c r="X52" s="52"/>
      <c r="Y52" s="165"/>
      <c r="Z52" s="165"/>
      <c r="AA52" s="165"/>
      <c r="AB52" s="165"/>
      <c r="AC52" s="165"/>
      <c r="AD52" s="165"/>
      <c r="AE52" s="165"/>
      <c r="AF52" s="165"/>
    </row>
    <row r="53" spans="1:32" ht="75">
      <c r="A53" s="165"/>
      <c r="B53" s="48"/>
      <c r="C53" s="48"/>
      <c r="D53" s="49"/>
      <c r="E53" s="49"/>
      <c r="F53" s="50"/>
      <c r="G53" s="58" t="s">
        <v>2188</v>
      </c>
      <c r="H53" s="233">
        <v>0</v>
      </c>
      <c r="I53" s="233">
        <v>100</v>
      </c>
      <c r="J53" s="233">
        <v>99</v>
      </c>
      <c r="K53" s="527">
        <v>23000000</v>
      </c>
      <c r="L53" s="527">
        <v>2</v>
      </c>
      <c r="M53" s="527">
        <v>23000000</v>
      </c>
      <c r="N53" s="527">
        <v>2</v>
      </c>
      <c r="O53" s="527">
        <v>30000000</v>
      </c>
      <c r="P53" s="527">
        <v>2</v>
      </c>
      <c r="Q53" s="527">
        <v>35000000</v>
      </c>
      <c r="R53" s="527">
        <v>2</v>
      </c>
      <c r="S53" s="527">
        <v>40000000</v>
      </c>
      <c r="T53" s="527">
        <v>2</v>
      </c>
      <c r="U53" s="527">
        <v>40000000</v>
      </c>
      <c r="V53" s="52"/>
      <c r="W53" s="52"/>
      <c r="X53" s="52"/>
      <c r="Y53" s="165"/>
      <c r="Z53" s="165"/>
      <c r="AA53" s="165"/>
      <c r="AB53" s="165"/>
      <c r="AC53" s="165"/>
      <c r="AD53" s="165"/>
      <c r="AE53" s="165"/>
      <c r="AF53" s="165"/>
    </row>
    <row r="54" spans="1:32" ht="45">
      <c r="A54" s="165"/>
      <c r="B54" s="48"/>
      <c r="C54" s="48"/>
      <c r="D54" s="49"/>
      <c r="E54" s="49"/>
      <c r="F54" s="50"/>
      <c r="G54" s="58" t="s">
        <v>2189</v>
      </c>
      <c r="H54" s="233">
        <v>97.65</v>
      </c>
      <c r="I54" s="233">
        <v>100</v>
      </c>
      <c r="J54" s="233">
        <v>99</v>
      </c>
      <c r="K54" s="527">
        <v>50000000</v>
      </c>
      <c r="L54" s="527">
        <v>100</v>
      </c>
      <c r="M54" s="527">
        <v>100000000</v>
      </c>
      <c r="N54" s="527">
        <v>100</v>
      </c>
      <c r="O54" s="527">
        <v>50000000</v>
      </c>
      <c r="P54" s="527">
        <v>100</v>
      </c>
      <c r="Q54" s="527">
        <v>50000000</v>
      </c>
      <c r="R54" s="527">
        <v>115</v>
      </c>
      <c r="S54" s="527">
        <v>50000000</v>
      </c>
      <c r="T54" s="527">
        <v>115</v>
      </c>
      <c r="U54" s="527">
        <v>50000000</v>
      </c>
      <c r="V54" s="52"/>
      <c r="W54" s="52"/>
      <c r="X54" s="52"/>
      <c r="Y54" s="165"/>
      <c r="Z54" s="165"/>
      <c r="AA54" s="165"/>
      <c r="AB54" s="165"/>
      <c r="AC54" s="165"/>
      <c r="AD54" s="165"/>
      <c r="AE54" s="165"/>
      <c r="AF54" s="165"/>
    </row>
    <row r="55" spans="1:32" ht="45">
      <c r="A55" s="165"/>
      <c r="B55" s="48"/>
      <c r="C55" s="48"/>
      <c r="D55" s="49"/>
      <c r="E55" s="49"/>
      <c r="F55" s="50"/>
      <c r="G55" s="58" t="s">
        <v>2190</v>
      </c>
      <c r="H55" s="233">
        <v>100</v>
      </c>
      <c r="I55" s="233">
        <v>100</v>
      </c>
      <c r="J55" s="233">
        <v>99</v>
      </c>
      <c r="K55" s="527">
        <v>15000000</v>
      </c>
      <c r="L55" s="527">
        <v>100</v>
      </c>
      <c r="M55" s="527">
        <v>30000000</v>
      </c>
      <c r="N55" s="527">
        <v>100</v>
      </c>
      <c r="O55" s="527">
        <v>17000000</v>
      </c>
      <c r="P55" s="527">
        <v>100</v>
      </c>
      <c r="Q55" s="527">
        <v>19000000</v>
      </c>
      <c r="R55" s="527">
        <v>100</v>
      </c>
      <c r="S55" s="527">
        <v>20000000</v>
      </c>
      <c r="T55" s="527">
        <v>100</v>
      </c>
      <c r="U55" s="527">
        <v>20000000</v>
      </c>
      <c r="V55" s="52"/>
      <c r="W55" s="52"/>
      <c r="X55" s="52"/>
      <c r="Y55" s="165"/>
      <c r="Z55" s="165"/>
      <c r="AA55" s="165"/>
      <c r="AB55" s="165"/>
      <c r="AC55" s="165"/>
      <c r="AD55" s="165"/>
      <c r="AE55" s="165"/>
      <c r="AF55" s="165"/>
    </row>
    <row r="56" spans="1:32" ht="45">
      <c r="A56" s="165"/>
      <c r="B56" s="48"/>
      <c r="C56" s="48"/>
      <c r="D56" s="49"/>
      <c r="E56" s="49"/>
      <c r="F56" s="50"/>
      <c r="G56" s="58" t="s">
        <v>2191</v>
      </c>
      <c r="H56" s="233">
        <v>100</v>
      </c>
      <c r="I56" s="233">
        <v>100</v>
      </c>
      <c r="J56" s="233">
        <v>99</v>
      </c>
      <c r="K56" s="527">
        <v>10000000</v>
      </c>
      <c r="L56" s="527">
        <v>100</v>
      </c>
      <c r="M56" s="527">
        <v>10000000</v>
      </c>
      <c r="N56" s="527">
        <v>100</v>
      </c>
      <c r="O56" s="527">
        <v>20000000</v>
      </c>
      <c r="P56" s="527">
        <v>100</v>
      </c>
      <c r="Q56" s="527">
        <v>22000000</v>
      </c>
      <c r="R56" s="527">
        <v>115</v>
      </c>
      <c r="S56" s="527">
        <v>25000000</v>
      </c>
      <c r="T56" s="527">
        <v>115</v>
      </c>
      <c r="U56" s="527">
        <v>25000000</v>
      </c>
      <c r="V56" s="52"/>
      <c r="W56" s="52"/>
      <c r="X56" s="52"/>
      <c r="Y56" s="165"/>
      <c r="Z56" s="165"/>
      <c r="AA56" s="165"/>
      <c r="AB56" s="165"/>
      <c r="AC56" s="165"/>
      <c r="AD56" s="165"/>
      <c r="AE56" s="165"/>
      <c r="AF56" s="165"/>
    </row>
    <row r="57" spans="1:32" ht="60">
      <c r="A57" s="165"/>
      <c r="B57" s="48"/>
      <c r="C57" s="48"/>
      <c r="D57" s="49"/>
      <c r="E57" s="49"/>
      <c r="F57" s="50"/>
      <c r="G57" s="58" t="s">
        <v>2192</v>
      </c>
      <c r="H57" s="233">
        <v>100</v>
      </c>
      <c r="I57" s="233">
        <v>100</v>
      </c>
      <c r="J57" s="233">
        <v>99</v>
      </c>
      <c r="K57" s="527">
        <v>38400000</v>
      </c>
      <c r="L57" s="527">
        <v>480</v>
      </c>
      <c r="M57" s="527">
        <v>86400000</v>
      </c>
      <c r="N57" s="527">
        <v>235</v>
      </c>
      <c r="O57" s="527">
        <v>42300000</v>
      </c>
      <c r="P57" s="527">
        <v>235</v>
      </c>
      <c r="Q57" s="527">
        <v>42300000</v>
      </c>
      <c r="R57" s="527">
        <v>235</v>
      </c>
      <c r="S57" s="527">
        <v>42300000</v>
      </c>
      <c r="T57" s="527">
        <v>235</v>
      </c>
      <c r="U57" s="527">
        <v>42300000</v>
      </c>
      <c r="V57" s="52"/>
      <c r="W57" s="52"/>
      <c r="X57" s="52"/>
      <c r="Y57" s="165"/>
      <c r="Z57" s="165"/>
      <c r="AA57" s="165"/>
      <c r="AB57" s="165"/>
      <c r="AC57" s="165"/>
      <c r="AD57" s="165"/>
      <c r="AE57" s="165"/>
      <c r="AF57" s="165"/>
    </row>
    <row r="58" spans="1:32" ht="45">
      <c r="A58" s="165"/>
      <c r="B58" s="48"/>
      <c r="C58" s="48"/>
      <c r="D58" s="49"/>
      <c r="E58" s="49"/>
      <c r="F58" s="50"/>
      <c r="G58" s="58" t="s">
        <v>2193</v>
      </c>
      <c r="H58" s="233">
        <v>0</v>
      </c>
      <c r="I58" s="233">
        <v>100</v>
      </c>
      <c r="J58" s="233">
        <v>99</v>
      </c>
      <c r="K58" s="527">
        <v>80000000</v>
      </c>
      <c r="L58" s="527">
        <v>576</v>
      </c>
      <c r="M58" s="527">
        <v>76000000</v>
      </c>
      <c r="N58" s="527">
        <v>576</v>
      </c>
      <c r="O58" s="527">
        <v>80000000</v>
      </c>
      <c r="P58" s="527">
        <v>576</v>
      </c>
      <c r="Q58" s="527">
        <v>80000000</v>
      </c>
      <c r="R58" s="527">
        <v>576</v>
      </c>
      <c r="S58" s="527">
        <v>80000000</v>
      </c>
      <c r="T58" s="527">
        <v>576</v>
      </c>
      <c r="U58" s="527">
        <v>80000000</v>
      </c>
      <c r="V58" s="52"/>
      <c r="W58" s="52"/>
      <c r="X58" s="52"/>
      <c r="Y58" s="165"/>
      <c r="Z58" s="165"/>
      <c r="AA58" s="165"/>
      <c r="AB58" s="165"/>
      <c r="AC58" s="165"/>
      <c r="AD58" s="165"/>
      <c r="AE58" s="165"/>
      <c r="AF58" s="165"/>
    </row>
    <row r="59" spans="1:32" ht="60">
      <c r="A59" s="165"/>
      <c r="B59" s="48"/>
      <c r="C59" s="48"/>
      <c r="D59" s="49"/>
      <c r="E59" s="49"/>
      <c r="F59" s="50"/>
      <c r="G59" s="58" t="s">
        <v>2194</v>
      </c>
      <c r="H59" s="233">
        <v>0</v>
      </c>
      <c r="I59" s="233">
        <v>100</v>
      </c>
      <c r="J59" s="233">
        <v>99</v>
      </c>
      <c r="K59" s="527">
        <v>43200000</v>
      </c>
      <c r="L59" s="527"/>
      <c r="M59" s="527">
        <v>0</v>
      </c>
      <c r="N59" s="527"/>
      <c r="O59" s="527">
        <v>0</v>
      </c>
      <c r="P59" s="527"/>
      <c r="Q59" s="527">
        <v>0</v>
      </c>
      <c r="R59" s="527"/>
      <c r="S59" s="527">
        <v>0</v>
      </c>
      <c r="T59" s="527"/>
      <c r="U59" s="527">
        <v>0</v>
      </c>
      <c r="V59" s="52"/>
      <c r="W59" s="52"/>
      <c r="X59" s="52"/>
      <c r="Y59" s="165"/>
      <c r="Z59" s="165"/>
      <c r="AA59" s="165"/>
      <c r="AB59" s="165"/>
      <c r="AC59" s="165"/>
      <c r="AD59" s="165"/>
      <c r="AE59" s="165"/>
      <c r="AF59" s="165"/>
    </row>
    <row r="60" spans="1:32" ht="60">
      <c r="A60" s="165"/>
      <c r="B60" s="48"/>
      <c r="C60" s="48"/>
      <c r="D60" s="49"/>
      <c r="E60" s="49"/>
      <c r="F60" s="50"/>
      <c r="G60" s="58" t="s">
        <v>2195</v>
      </c>
      <c r="H60" s="233">
        <v>0</v>
      </c>
      <c r="I60" s="233">
        <v>100</v>
      </c>
      <c r="J60" s="233">
        <v>99</v>
      </c>
      <c r="K60" s="527">
        <v>17500000</v>
      </c>
      <c r="L60" s="527">
        <v>100</v>
      </c>
      <c r="M60" s="527">
        <v>25000000</v>
      </c>
      <c r="N60" s="527">
        <v>100</v>
      </c>
      <c r="O60" s="527">
        <v>18000000</v>
      </c>
      <c r="P60" s="527">
        <v>100</v>
      </c>
      <c r="Q60" s="527">
        <v>20000000</v>
      </c>
      <c r="R60" s="527">
        <v>100</v>
      </c>
      <c r="S60" s="527">
        <v>20000000</v>
      </c>
      <c r="T60" s="527">
        <v>100</v>
      </c>
      <c r="U60" s="527">
        <v>20000000</v>
      </c>
      <c r="V60" s="52"/>
      <c r="W60" s="52"/>
      <c r="X60" s="52"/>
      <c r="Y60" s="165"/>
      <c r="Z60" s="165"/>
      <c r="AA60" s="165"/>
      <c r="AB60" s="165"/>
      <c r="AC60" s="165"/>
      <c r="AD60" s="165"/>
      <c r="AE60" s="165"/>
      <c r="AF60" s="165"/>
    </row>
    <row r="61" spans="1:32" ht="60">
      <c r="A61" s="165"/>
      <c r="B61" s="48"/>
      <c r="C61" s="48"/>
      <c r="D61" s="49"/>
      <c r="E61" s="49"/>
      <c r="F61" s="50"/>
      <c r="G61" s="58" t="s">
        <v>2196</v>
      </c>
      <c r="H61" s="233">
        <v>75.02</v>
      </c>
      <c r="I61" s="233">
        <v>100</v>
      </c>
      <c r="J61" s="233">
        <v>99</v>
      </c>
      <c r="K61" s="527">
        <v>20000000</v>
      </c>
      <c r="L61" s="527">
        <v>20</v>
      </c>
      <c r="M61" s="527">
        <v>47595000</v>
      </c>
      <c r="N61" s="527">
        <v>20</v>
      </c>
      <c r="O61" s="527">
        <v>50000000</v>
      </c>
      <c r="P61" s="527">
        <v>20</v>
      </c>
      <c r="Q61" s="527">
        <v>50000000</v>
      </c>
      <c r="R61" s="527">
        <v>20</v>
      </c>
      <c r="S61" s="527">
        <v>50000000</v>
      </c>
      <c r="T61" s="527">
        <v>20</v>
      </c>
      <c r="U61" s="527">
        <v>50000000</v>
      </c>
      <c r="V61" s="52"/>
      <c r="W61" s="52"/>
      <c r="X61" s="52"/>
      <c r="Y61" s="165"/>
      <c r="Z61" s="165"/>
      <c r="AA61" s="165"/>
      <c r="AB61" s="165"/>
      <c r="AC61" s="165"/>
      <c r="AD61" s="165"/>
      <c r="AE61" s="165"/>
      <c r="AF61" s="165"/>
    </row>
    <row r="62" spans="1:32" ht="45">
      <c r="A62" s="165"/>
      <c r="B62" s="48"/>
      <c r="C62" s="48"/>
      <c r="D62" s="49"/>
      <c r="E62" s="49"/>
      <c r="F62" s="50"/>
      <c r="G62" s="58" t="s">
        <v>2197</v>
      </c>
      <c r="H62" s="233">
        <v>100</v>
      </c>
      <c r="I62" s="233">
        <v>100</v>
      </c>
      <c r="J62" s="233">
        <v>99</v>
      </c>
      <c r="K62" s="527">
        <v>39040000</v>
      </c>
      <c r="L62" s="527">
        <v>4</v>
      </c>
      <c r="M62" s="527">
        <v>40000000</v>
      </c>
      <c r="N62" s="527">
        <v>4</v>
      </c>
      <c r="O62" s="527">
        <v>40000000</v>
      </c>
      <c r="P62" s="527">
        <v>4</v>
      </c>
      <c r="Q62" s="527">
        <v>40000000</v>
      </c>
      <c r="R62" s="527">
        <v>4</v>
      </c>
      <c r="S62" s="527">
        <v>40000000</v>
      </c>
      <c r="T62" s="527">
        <v>4</v>
      </c>
      <c r="U62" s="527">
        <v>40000000</v>
      </c>
      <c r="V62" s="52"/>
      <c r="W62" s="52"/>
      <c r="X62" s="52"/>
      <c r="Y62" s="165"/>
      <c r="Z62" s="165"/>
      <c r="AA62" s="165"/>
      <c r="AB62" s="165"/>
      <c r="AC62" s="165"/>
      <c r="AD62" s="165"/>
      <c r="AE62" s="165"/>
      <c r="AF62" s="165"/>
    </row>
    <row r="63" spans="1:32" ht="60">
      <c r="A63" s="165"/>
      <c r="B63" s="48"/>
      <c r="C63" s="48"/>
      <c r="D63" s="49"/>
      <c r="E63" s="49"/>
      <c r="F63" s="50"/>
      <c r="G63" s="58" t="s">
        <v>2198</v>
      </c>
      <c r="H63" s="233">
        <v>55.06</v>
      </c>
      <c r="I63" s="233">
        <v>100</v>
      </c>
      <c r="J63" s="233">
        <v>90</v>
      </c>
      <c r="K63" s="527">
        <v>20000000</v>
      </c>
      <c r="L63" s="527">
        <v>3</v>
      </c>
      <c r="M63" s="527">
        <v>10000000</v>
      </c>
      <c r="N63" s="527">
        <v>3</v>
      </c>
      <c r="O63" s="527">
        <v>15000000</v>
      </c>
      <c r="P63" s="527">
        <v>3</v>
      </c>
      <c r="Q63" s="527">
        <v>15000000</v>
      </c>
      <c r="R63" s="527">
        <v>3</v>
      </c>
      <c r="S63" s="527">
        <v>15000000</v>
      </c>
      <c r="T63" s="527">
        <v>3</v>
      </c>
      <c r="U63" s="527">
        <v>15000000</v>
      </c>
      <c r="V63" s="52"/>
      <c r="W63" s="52"/>
      <c r="X63" s="52"/>
      <c r="Y63" s="165"/>
      <c r="Z63" s="165"/>
      <c r="AA63" s="165"/>
      <c r="AB63" s="165"/>
      <c r="AC63" s="165"/>
      <c r="AD63" s="165"/>
      <c r="AE63" s="165"/>
      <c r="AF63" s="165"/>
    </row>
    <row r="64" spans="1:32" ht="45">
      <c r="A64" s="165"/>
      <c r="B64" s="48"/>
      <c r="C64" s="48"/>
      <c r="D64" s="49"/>
      <c r="E64" s="49"/>
      <c r="F64" s="50"/>
      <c r="G64" s="58" t="s">
        <v>2199</v>
      </c>
      <c r="H64" s="233">
        <v>100</v>
      </c>
      <c r="I64" s="233">
        <v>100</v>
      </c>
      <c r="J64" s="233">
        <v>99</v>
      </c>
      <c r="K64" s="527">
        <v>34770000</v>
      </c>
      <c r="L64" s="527">
        <v>2</v>
      </c>
      <c r="M64" s="527">
        <v>34325000</v>
      </c>
      <c r="N64" s="527">
        <v>2</v>
      </c>
      <c r="O64" s="527">
        <v>35000000</v>
      </c>
      <c r="P64" s="527">
        <v>2</v>
      </c>
      <c r="Q64" s="527">
        <v>35000000</v>
      </c>
      <c r="R64" s="527">
        <v>2</v>
      </c>
      <c r="S64" s="527">
        <v>35000000</v>
      </c>
      <c r="T64" s="527">
        <v>2</v>
      </c>
      <c r="U64" s="527">
        <v>35000000</v>
      </c>
      <c r="V64" s="52"/>
      <c r="W64" s="52"/>
      <c r="X64" s="52"/>
      <c r="Y64" s="165"/>
      <c r="Z64" s="165"/>
      <c r="AA64" s="165"/>
      <c r="AB64" s="165"/>
      <c r="AC64" s="165"/>
      <c r="AD64" s="165"/>
      <c r="AE64" s="165"/>
      <c r="AF64" s="165"/>
    </row>
    <row r="65" spans="1:32" ht="45">
      <c r="A65" s="165"/>
      <c r="B65" s="48"/>
      <c r="C65" s="48"/>
      <c r="D65" s="49"/>
      <c r="E65" s="49"/>
      <c r="F65" s="50"/>
      <c r="G65" s="58" t="s">
        <v>2200</v>
      </c>
      <c r="H65" s="233">
        <v>97.09</v>
      </c>
      <c r="I65" s="233">
        <v>100</v>
      </c>
      <c r="J65" s="233">
        <v>99</v>
      </c>
      <c r="K65" s="527">
        <v>19244500</v>
      </c>
      <c r="L65" s="527">
        <v>20</v>
      </c>
      <c r="M65" s="527">
        <v>21745000</v>
      </c>
      <c r="N65" s="527">
        <v>20</v>
      </c>
      <c r="O65" s="527">
        <v>25000000</v>
      </c>
      <c r="P65" s="527">
        <v>20</v>
      </c>
      <c r="Q65" s="527">
        <v>25000000</v>
      </c>
      <c r="R65" s="527">
        <v>20</v>
      </c>
      <c r="S65" s="527">
        <v>30000000</v>
      </c>
      <c r="T65" s="527">
        <v>20</v>
      </c>
      <c r="U65" s="527">
        <v>30000000</v>
      </c>
      <c r="V65" s="52"/>
      <c r="W65" s="52"/>
      <c r="X65" s="52"/>
      <c r="Y65" s="165"/>
      <c r="Z65" s="165"/>
      <c r="AA65" s="165"/>
      <c r="AB65" s="165"/>
      <c r="AC65" s="165"/>
      <c r="AD65" s="165"/>
      <c r="AE65" s="165"/>
      <c r="AF65" s="165"/>
    </row>
    <row r="66" spans="1:32" ht="45">
      <c r="A66" s="165"/>
      <c r="B66" s="48"/>
      <c r="C66" s="48"/>
      <c r="D66" s="49"/>
      <c r="E66" s="49"/>
      <c r="F66" s="50"/>
      <c r="G66" s="401" t="s">
        <v>2202</v>
      </c>
      <c r="H66" s="233">
        <v>97.79</v>
      </c>
      <c r="I66" s="233">
        <v>100</v>
      </c>
      <c r="J66" s="233">
        <v>99</v>
      </c>
      <c r="K66" s="527">
        <v>73889300</v>
      </c>
      <c r="L66" s="527">
        <v>100</v>
      </c>
      <c r="M66" s="527">
        <v>110409000</v>
      </c>
      <c r="N66" s="527">
        <v>100</v>
      </c>
      <c r="O66" s="527">
        <v>112500000</v>
      </c>
      <c r="P66" s="527">
        <v>100</v>
      </c>
      <c r="Q66" s="527">
        <v>112500000</v>
      </c>
      <c r="R66" s="527">
        <v>100</v>
      </c>
      <c r="S66" s="527">
        <v>112500000</v>
      </c>
      <c r="T66" s="527">
        <v>100</v>
      </c>
      <c r="U66" s="527">
        <v>112500000</v>
      </c>
      <c r="V66" s="52"/>
      <c r="W66" s="52"/>
      <c r="X66" s="52"/>
      <c r="Y66" s="165"/>
      <c r="Z66" s="165"/>
      <c r="AA66" s="165"/>
      <c r="AB66" s="165"/>
      <c r="AC66" s="165"/>
      <c r="AD66" s="165"/>
      <c r="AE66" s="165"/>
      <c r="AF66" s="165"/>
    </row>
    <row r="67" spans="1:32" ht="45">
      <c r="A67" s="165"/>
      <c r="B67" s="48"/>
      <c r="C67" s="48"/>
      <c r="D67" s="49"/>
      <c r="E67" s="49"/>
      <c r="F67" s="50"/>
      <c r="G67" s="401" t="s">
        <v>2203</v>
      </c>
      <c r="H67" s="233">
        <v>57.68</v>
      </c>
      <c r="I67" s="233">
        <v>100</v>
      </c>
      <c r="J67" s="233">
        <v>92</v>
      </c>
      <c r="K67" s="527">
        <v>49505000</v>
      </c>
      <c r="L67" s="527">
        <v>25</v>
      </c>
      <c r="M67" s="527">
        <v>46913000</v>
      </c>
      <c r="N67" s="527">
        <v>25</v>
      </c>
      <c r="O67" s="527">
        <v>50000000</v>
      </c>
      <c r="P67" s="527">
        <v>25</v>
      </c>
      <c r="Q67" s="527">
        <v>50000000</v>
      </c>
      <c r="R67" s="527">
        <v>25</v>
      </c>
      <c r="S67" s="527">
        <v>50000000</v>
      </c>
      <c r="T67" s="527">
        <v>25</v>
      </c>
      <c r="U67" s="527">
        <v>50000000</v>
      </c>
      <c r="V67" s="52"/>
      <c r="W67" s="52"/>
      <c r="X67" s="52"/>
      <c r="Y67" s="165"/>
      <c r="Z67" s="165"/>
      <c r="AA67" s="165"/>
      <c r="AB67" s="165"/>
      <c r="AC67" s="165"/>
      <c r="AD67" s="165"/>
      <c r="AE67" s="165"/>
      <c r="AF67" s="165"/>
    </row>
    <row r="68" spans="1:32" ht="45">
      <c r="A68" s="165"/>
      <c r="B68" s="48"/>
      <c r="C68" s="48"/>
      <c r="D68" s="49"/>
      <c r="E68" s="49"/>
      <c r="F68" s="50"/>
      <c r="G68" s="401" t="s">
        <v>2204</v>
      </c>
      <c r="H68" s="233">
        <v>94.22</v>
      </c>
      <c r="I68" s="233">
        <v>100</v>
      </c>
      <c r="J68" s="233">
        <v>99</v>
      </c>
      <c r="K68" s="527">
        <v>46999750</v>
      </c>
      <c r="L68" s="527">
        <v>20</v>
      </c>
      <c r="M68" s="527">
        <v>46940000</v>
      </c>
      <c r="N68" s="527">
        <v>20</v>
      </c>
      <c r="O68" s="527">
        <v>50000000</v>
      </c>
      <c r="P68" s="527">
        <v>20</v>
      </c>
      <c r="Q68" s="527">
        <v>50000000</v>
      </c>
      <c r="R68" s="527">
        <v>20</v>
      </c>
      <c r="S68" s="527">
        <v>50000000</v>
      </c>
      <c r="T68" s="527">
        <v>20</v>
      </c>
      <c r="U68" s="527">
        <v>50000000</v>
      </c>
      <c r="V68" s="52"/>
      <c r="W68" s="52"/>
      <c r="X68" s="52"/>
      <c r="Y68" s="165"/>
      <c r="Z68" s="165"/>
      <c r="AA68" s="165"/>
      <c r="AB68" s="165"/>
      <c r="AC68" s="165"/>
      <c r="AD68" s="165"/>
      <c r="AE68" s="165"/>
      <c r="AF68" s="165"/>
    </row>
    <row r="69" spans="1:32" ht="30">
      <c r="A69" s="165"/>
      <c r="B69" s="48"/>
      <c r="C69" s="48"/>
      <c r="D69" s="49"/>
      <c r="E69" s="49"/>
      <c r="F69" s="50"/>
      <c r="G69" s="401" t="s">
        <v>2205</v>
      </c>
      <c r="H69" s="233">
        <v>99.17</v>
      </c>
      <c r="I69" s="233">
        <v>100</v>
      </c>
      <c r="J69" s="233">
        <v>99</v>
      </c>
      <c r="K69" s="527">
        <v>125575000</v>
      </c>
      <c r="L69" s="527">
        <v>1250</v>
      </c>
      <c r="M69" s="527">
        <v>124249000</v>
      </c>
      <c r="N69" s="527">
        <v>1255</v>
      </c>
      <c r="O69" s="527">
        <v>126000000</v>
      </c>
      <c r="P69" s="527">
        <v>1255</v>
      </c>
      <c r="Q69" s="527">
        <v>126000000</v>
      </c>
      <c r="R69" s="527">
        <v>1255</v>
      </c>
      <c r="S69" s="527">
        <v>126000000</v>
      </c>
      <c r="T69" s="527">
        <v>1255</v>
      </c>
      <c r="U69" s="527">
        <v>126000000</v>
      </c>
      <c r="V69" s="52"/>
      <c r="W69" s="52"/>
      <c r="X69" s="52"/>
      <c r="Y69" s="165"/>
      <c r="Z69" s="165"/>
      <c r="AA69" s="165"/>
      <c r="AB69" s="165"/>
      <c r="AC69" s="165"/>
      <c r="AD69" s="165"/>
      <c r="AE69" s="165"/>
      <c r="AF69" s="165"/>
    </row>
    <row r="70" spans="1:32" ht="45">
      <c r="A70" s="165"/>
      <c r="B70" s="48"/>
      <c r="C70" s="48"/>
      <c r="D70" s="49"/>
      <c r="E70" s="49"/>
      <c r="F70" s="50"/>
      <c r="G70" s="401" t="s">
        <v>2206</v>
      </c>
      <c r="H70" s="233">
        <v>0</v>
      </c>
      <c r="I70" s="233">
        <v>0</v>
      </c>
      <c r="J70" s="233">
        <v>0</v>
      </c>
      <c r="K70" s="527">
        <v>35000000</v>
      </c>
      <c r="L70" s="527">
        <v>0</v>
      </c>
      <c r="M70" s="527">
        <v>35000000</v>
      </c>
      <c r="N70" s="527">
        <v>0</v>
      </c>
      <c r="O70" s="527">
        <v>0</v>
      </c>
      <c r="P70" s="527">
        <v>0</v>
      </c>
      <c r="Q70" s="527">
        <v>0</v>
      </c>
      <c r="R70" s="527">
        <v>0</v>
      </c>
      <c r="S70" s="527">
        <v>0</v>
      </c>
      <c r="T70" s="527">
        <v>0</v>
      </c>
      <c r="U70" s="527">
        <v>0</v>
      </c>
      <c r="V70" s="52"/>
      <c r="W70" s="52"/>
      <c r="X70" s="52"/>
      <c r="Y70" s="165"/>
      <c r="Z70" s="165"/>
      <c r="AA70" s="165"/>
      <c r="AB70" s="165"/>
      <c r="AC70" s="165"/>
      <c r="AD70" s="165"/>
      <c r="AE70" s="165"/>
      <c r="AF70" s="165"/>
    </row>
    <row r="71" spans="1:32" ht="45">
      <c r="A71" s="165"/>
      <c r="B71" s="48"/>
      <c r="C71" s="48"/>
      <c r="D71" s="49"/>
      <c r="E71" s="49"/>
      <c r="F71" s="50"/>
      <c r="G71" s="401" t="s">
        <v>2207</v>
      </c>
      <c r="H71" s="233">
        <v>97.07</v>
      </c>
      <c r="I71" s="233">
        <v>100</v>
      </c>
      <c r="J71" s="233">
        <v>96</v>
      </c>
      <c r="K71" s="527">
        <v>400000000</v>
      </c>
      <c r="L71" s="527">
        <f>11799+9502+2347+2830</f>
        <v>26478</v>
      </c>
      <c r="M71" s="527">
        <v>400000000</v>
      </c>
      <c r="N71" s="527">
        <f>11799+9502+2347+2830</f>
        <v>26478</v>
      </c>
      <c r="O71" s="527">
        <v>400000000</v>
      </c>
      <c r="P71" s="527">
        <f>11799+9502+2347+2830</f>
        <v>26478</v>
      </c>
      <c r="Q71" s="527">
        <v>400000000</v>
      </c>
      <c r="R71" s="527">
        <f>11799+9502+2347+2830</f>
        <v>26478</v>
      </c>
      <c r="S71" s="527">
        <v>400000000</v>
      </c>
      <c r="T71" s="527">
        <f>11799+9502+2347+2830</f>
        <v>26478</v>
      </c>
      <c r="U71" s="527">
        <v>400000000</v>
      </c>
      <c r="V71" s="52"/>
      <c r="W71" s="52"/>
      <c r="X71" s="52"/>
      <c r="Y71" s="165"/>
      <c r="Z71" s="165"/>
      <c r="AA71" s="165"/>
      <c r="AB71" s="165"/>
      <c r="AC71" s="165"/>
      <c r="AD71" s="165"/>
      <c r="AE71" s="165"/>
      <c r="AF71" s="165"/>
    </row>
    <row r="72" spans="1:32" ht="30">
      <c r="A72" s="165"/>
      <c r="B72" s="48"/>
      <c r="C72" s="48"/>
      <c r="D72" s="49"/>
      <c r="E72" s="49"/>
      <c r="F72" s="50"/>
      <c r="G72" s="401" t="s">
        <v>2208</v>
      </c>
      <c r="H72" s="233">
        <v>70.680000000000007</v>
      </c>
      <c r="I72" s="233">
        <v>100</v>
      </c>
      <c r="J72" s="233">
        <v>99</v>
      </c>
      <c r="K72" s="527">
        <v>15000000</v>
      </c>
      <c r="L72" s="527">
        <v>3</v>
      </c>
      <c r="M72" s="527">
        <v>13875000</v>
      </c>
      <c r="N72" s="527">
        <v>3</v>
      </c>
      <c r="O72" s="527">
        <v>15000000</v>
      </c>
      <c r="P72" s="527">
        <v>3</v>
      </c>
      <c r="Q72" s="527">
        <v>15000000</v>
      </c>
      <c r="R72" s="527">
        <v>3</v>
      </c>
      <c r="S72" s="527">
        <v>15000000</v>
      </c>
      <c r="T72" s="527">
        <v>3</v>
      </c>
      <c r="U72" s="527">
        <v>15000000</v>
      </c>
      <c r="V72" s="52"/>
      <c r="W72" s="52"/>
      <c r="X72" s="52"/>
      <c r="Y72" s="165"/>
      <c r="Z72" s="165"/>
      <c r="AA72" s="165"/>
      <c r="AB72" s="165"/>
      <c r="AC72" s="165"/>
      <c r="AD72" s="165"/>
      <c r="AE72" s="165"/>
      <c r="AF72" s="165"/>
    </row>
    <row r="73" spans="1:32" ht="45">
      <c r="A73" s="165"/>
      <c r="B73" s="48"/>
      <c r="C73" s="48"/>
      <c r="D73" s="49"/>
      <c r="E73" s="49"/>
      <c r="F73" s="50"/>
      <c r="G73" s="401" t="s">
        <v>2209</v>
      </c>
      <c r="H73" s="233">
        <v>98.96</v>
      </c>
      <c r="I73" s="233">
        <v>100</v>
      </c>
      <c r="J73" s="233">
        <v>99</v>
      </c>
      <c r="K73" s="527">
        <v>300000000</v>
      </c>
      <c r="L73" s="527">
        <v>9</v>
      </c>
      <c r="M73" s="527">
        <v>248055000</v>
      </c>
      <c r="N73" s="527">
        <v>9</v>
      </c>
      <c r="O73" s="527">
        <f>N73*25000000</f>
        <v>225000000</v>
      </c>
      <c r="P73" s="527">
        <v>9</v>
      </c>
      <c r="Q73" s="527">
        <f>P73*25000000</f>
        <v>225000000</v>
      </c>
      <c r="R73" s="527">
        <v>9</v>
      </c>
      <c r="S73" s="527">
        <f>R73*25000000</f>
        <v>225000000</v>
      </c>
      <c r="T73" s="527">
        <v>9</v>
      </c>
      <c r="U73" s="527">
        <f>T73*25000000</f>
        <v>225000000</v>
      </c>
      <c r="V73" s="52"/>
      <c r="W73" s="52"/>
      <c r="X73" s="52"/>
      <c r="Y73" s="165"/>
      <c r="Z73" s="165"/>
      <c r="AA73" s="165"/>
      <c r="AB73" s="165"/>
      <c r="AC73" s="165"/>
      <c r="AD73" s="165"/>
      <c r="AE73" s="165"/>
      <c r="AF73" s="165"/>
    </row>
    <row r="74" spans="1:32" ht="45">
      <c r="A74" s="165"/>
      <c r="B74" s="48"/>
      <c r="C74" s="48"/>
      <c r="D74" s="49"/>
      <c r="E74" s="49"/>
      <c r="F74" s="50"/>
      <c r="G74" s="401" t="s">
        <v>2210</v>
      </c>
      <c r="H74" s="233"/>
      <c r="I74" s="233">
        <v>100</v>
      </c>
      <c r="J74" s="233">
        <v>99</v>
      </c>
      <c r="K74" s="527">
        <v>50000000</v>
      </c>
      <c r="L74" s="527">
        <v>0</v>
      </c>
      <c r="M74" s="527">
        <v>0</v>
      </c>
      <c r="N74" s="527">
        <v>1</v>
      </c>
      <c r="O74" s="527">
        <v>30000000</v>
      </c>
      <c r="P74" s="527">
        <v>1</v>
      </c>
      <c r="Q74" s="527">
        <v>30000000</v>
      </c>
      <c r="R74" s="527">
        <v>1</v>
      </c>
      <c r="S74" s="527">
        <v>30000000</v>
      </c>
      <c r="T74" s="527">
        <v>1</v>
      </c>
      <c r="U74" s="527">
        <v>30000000</v>
      </c>
      <c r="V74" s="52"/>
      <c r="W74" s="52"/>
      <c r="X74" s="52"/>
      <c r="Y74" s="165"/>
      <c r="Z74" s="165"/>
      <c r="AA74" s="165"/>
      <c r="AB74" s="165"/>
      <c r="AC74" s="165"/>
      <c r="AD74" s="165"/>
      <c r="AE74" s="165"/>
      <c r="AF74" s="165"/>
    </row>
    <row r="75" spans="1:32" ht="45">
      <c r="A75" s="165"/>
      <c r="B75" s="48"/>
      <c r="C75" s="48"/>
      <c r="D75" s="49"/>
      <c r="E75" s="49"/>
      <c r="F75" s="50"/>
      <c r="G75" s="401" t="s">
        <v>2211</v>
      </c>
      <c r="H75" s="233">
        <v>0</v>
      </c>
      <c r="I75" s="233">
        <v>100</v>
      </c>
      <c r="J75" s="233">
        <v>99</v>
      </c>
      <c r="K75" s="527">
        <v>50000000</v>
      </c>
      <c r="L75" s="527">
        <v>245</v>
      </c>
      <c r="M75" s="527">
        <v>50000000</v>
      </c>
      <c r="N75" s="527">
        <f>L75+50</f>
        <v>295</v>
      </c>
      <c r="O75" s="527">
        <f>N75*200000</f>
        <v>59000000</v>
      </c>
      <c r="P75" s="527">
        <f>N75+50</f>
        <v>345</v>
      </c>
      <c r="Q75" s="527">
        <f>P75*200000</f>
        <v>69000000</v>
      </c>
      <c r="R75" s="527">
        <f>P75+50</f>
        <v>395</v>
      </c>
      <c r="S75" s="527">
        <f>R75*200000</f>
        <v>79000000</v>
      </c>
      <c r="T75" s="527">
        <f>R75+50</f>
        <v>445</v>
      </c>
      <c r="U75" s="527">
        <f>T75*200000</f>
        <v>89000000</v>
      </c>
      <c r="V75" s="52"/>
      <c r="W75" s="52"/>
      <c r="X75" s="52"/>
      <c r="Y75" s="165"/>
      <c r="Z75" s="165"/>
      <c r="AA75" s="165"/>
      <c r="AB75" s="165"/>
      <c r="AC75" s="165"/>
      <c r="AD75" s="165"/>
      <c r="AE75" s="165"/>
      <c r="AF75" s="165"/>
    </row>
    <row r="76" spans="1:32" ht="45">
      <c r="A76" s="165"/>
      <c r="B76" s="48"/>
      <c r="C76" s="48"/>
      <c r="D76" s="49"/>
      <c r="E76" s="49"/>
      <c r="F76" s="50"/>
      <c r="G76" s="401" t="s">
        <v>2212</v>
      </c>
      <c r="H76" s="233">
        <v>0</v>
      </c>
      <c r="I76" s="233">
        <v>0</v>
      </c>
      <c r="J76" s="233">
        <v>0</v>
      </c>
      <c r="K76" s="527">
        <v>0</v>
      </c>
      <c r="L76" s="527">
        <v>2</v>
      </c>
      <c r="M76" s="527">
        <v>25000000</v>
      </c>
      <c r="N76" s="527">
        <v>2</v>
      </c>
      <c r="O76" s="527">
        <v>25000000</v>
      </c>
      <c r="P76" s="527">
        <v>2</v>
      </c>
      <c r="Q76" s="527">
        <v>25000000</v>
      </c>
      <c r="R76" s="527">
        <v>2</v>
      </c>
      <c r="S76" s="527">
        <v>25000000</v>
      </c>
      <c r="T76" s="527">
        <v>2</v>
      </c>
      <c r="U76" s="527">
        <v>25000000</v>
      </c>
      <c r="V76" s="52"/>
      <c r="W76" s="52"/>
      <c r="X76" s="52"/>
      <c r="Y76" s="165"/>
      <c r="Z76" s="165"/>
      <c r="AA76" s="165"/>
      <c r="AB76" s="165"/>
      <c r="AC76" s="165"/>
      <c r="AD76" s="165"/>
      <c r="AE76" s="165"/>
      <c r="AF76" s="165"/>
    </row>
    <row r="77" spans="1:32" ht="60">
      <c r="A77" s="165"/>
      <c r="B77" s="48"/>
      <c r="C77" s="48"/>
      <c r="D77" s="49"/>
      <c r="E77" s="49"/>
      <c r="F77" s="50"/>
      <c r="G77" s="402" t="s">
        <v>2213</v>
      </c>
      <c r="H77" s="233">
        <v>99.04</v>
      </c>
      <c r="I77" s="233">
        <v>100</v>
      </c>
      <c r="J77" s="233">
        <v>98</v>
      </c>
      <c r="K77" s="527">
        <v>624000000</v>
      </c>
      <c r="L77" s="527">
        <v>11799</v>
      </c>
      <c r="M77" s="527">
        <v>624000000</v>
      </c>
      <c r="N77" s="527">
        <v>11799</v>
      </c>
      <c r="O77" s="527">
        <v>624000000</v>
      </c>
      <c r="P77" s="527">
        <v>11799</v>
      </c>
      <c r="Q77" s="527">
        <v>624000000</v>
      </c>
      <c r="R77" s="527">
        <v>11799</v>
      </c>
      <c r="S77" s="527">
        <v>624000000</v>
      </c>
      <c r="T77" s="527">
        <v>11799</v>
      </c>
      <c r="U77" s="527">
        <v>624000000</v>
      </c>
      <c r="V77" s="52"/>
      <c r="W77" s="52"/>
      <c r="X77" s="52"/>
      <c r="Y77" s="165"/>
      <c r="Z77" s="165"/>
      <c r="AA77" s="165"/>
      <c r="AB77" s="165"/>
      <c r="AC77" s="165"/>
      <c r="AD77" s="165"/>
      <c r="AE77" s="165"/>
      <c r="AF77" s="165"/>
    </row>
    <row r="78" spans="1:32" ht="60">
      <c r="A78" s="165"/>
      <c r="B78" s="48"/>
      <c r="C78" s="48"/>
      <c r="D78" s="49"/>
      <c r="E78" s="49"/>
      <c r="F78" s="50"/>
      <c r="G78" s="402" t="s">
        <v>2214</v>
      </c>
      <c r="H78" s="233">
        <v>99.52</v>
      </c>
      <c r="I78" s="233">
        <v>100</v>
      </c>
      <c r="J78" s="233">
        <v>98</v>
      </c>
      <c r="K78" s="527">
        <v>290000000</v>
      </c>
      <c r="L78" s="527">
        <v>9502</v>
      </c>
      <c r="M78" s="527">
        <v>290000000</v>
      </c>
      <c r="N78" s="527">
        <v>9502</v>
      </c>
      <c r="O78" s="527">
        <v>290000000</v>
      </c>
      <c r="P78" s="527">
        <v>9502</v>
      </c>
      <c r="Q78" s="527">
        <v>290000000</v>
      </c>
      <c r="R78" s="527">
        <v>9502</v>
      </c>
      <c r="S78" s="527">
        <v>290000000</v>
      </c>
      <c r="T78" s="527">
        <v>9502</v>
      </c>
      <c r="U78" s="527">
        <v>290000000</v>
      </c>
      <c r="V78" s="52"/>
      <c r="W78" s="52"/>
      <c r="X78" s="52"/>
      <c r="Y78" s="165"/>
      <c r="Z78" s="165"/>
      <c r="AA78" s="165"/>
      <c r="AB78" s="165"/>
      <c r="AC78" s="165"/>
      <c r="AD78" s="165"/>
      <c r="AE78" s="165"/>
      <c r="AF78" s="165"/>
    </row>
    <row r="79" spans="1:32" ht="45">
      <c r="A79" s="165"/>
      <c r="B79" s="48"/>
      <c r="C79" s="48"/>
      <c r="D79" s="49"/>
      <c r="E79" s="49"/>
      <c r="F79" s="50"/>
      <c r="G79" s="58" t="s">
        <v>2018</v>
      </c>
      <c r="H79" s="233">
        <v>85.01</v>
      </c>
      <c r="I79" s="233">
        <v>90</v>
      </c>
      <c r="J79" s="233">
        <f>H79+1.412</f>
        <v>86.422000000000011</v>
      </c>
      <c r="K79" s="52"/>
      <c r="L79" s="233">
        <f>J79+1.412</f>
        <v>87.834000000000017</v>
      </c>
      <c r="M79" s="52"/>
      <c r="N79" s="233">
        <f>L79+1.412</f>
        <v>89.246000000000024</v>
      </c>
      <c r="O79" s="52"/>
      <c r="P79" s="233">
        <f>N79+1.412</f>
        <v>90.65800000000003</v>
      </c>
      <c r="Q79" s="52"/>
      <c r="R79" s="233">
        <f>P79+1.412</f>
        <v>92.070000000000036</v>
      </c>
      <c r="S79" s="52"/>
      <c r="T79" s="233">
        <f>R79+1.412</f>
        <v>93.482000000000042</v>
      </c>
      <c r="U79" s="52"/>
      <c r="V79" s="52"/>
      <c r="W79" s="52"/>
      <c r="X79" s="52"/>
      <c r="Y79" s="165"/>
      <c r="Z79" s="165"/>
      <c r="AA79" s="165"/>
      <c r="AB79" s="165"/>
      <c r="AC79" s="165"/>
      <c r="AD79" s="165"/>
      <c r="AE79" s="165"/>
      <c r="AF79" s="165"/>
    </row>
    <row r="80" spans="1:32" ht="45">
      <c r="A80" s="165"/>
      <c r="B80" s="48"/>
      <c r="C80" s="48"/>
      <c r="D80" s="49"/>
      <c r="E80" s="49"/>
      <c r="F80" s="50"/>
      <c r="G80" s="58" t="s">
        <v>2266</v>
      </c>
      <c r="H80" s="233">
        <v>87.35</v>
      </c>
      <c r="I80" s="233">
        <v>87.32</v>
      </c>
      <c r="J80" s="233">
        <f>H80+0.98</f>
        <v>88.33</v>
      </c>
      <c r="K80" s="52"/>
      <c r="L80" s="233">
        <f>J80+0.98</f>
        <v>89.31</v>
      </c>
      <c r="M80" s="52"/>
      <c r="N80" s="233">
        <f>L80+0.98</f>
        <v>90.29</v>
      </c>
      <c r="O80" s="52"/>
      <c r="P80" s="233">
        <f>N80+0.98</f>
        <v>91.27000000000001</v>
      </c>
      <c r="Q80" s="52"/>
      <c r="R80" s="233">
        <f>P80+0.98</f>
        <v>92.250000000000014</v>
      </c>
      <c r="S80" s="52"/>
      <c r="T80" s="233">
        <f>R80+0.98</f>
        <v>93.230000000000018</v>
      </c>
      <c r="U80" s="52"/>
      <c r="V80" s="52"/>
      <c r="W80" s="52"/>
      <c r="X80" s="52"/>
      <c r="Y80" s="165"/>
      <c r="Z80" s="165"/>
      <c r="AA80" s="165"/>
      <c r="AB80" s="165"/>
      <c r="AC80" s="165"/>
      <c r="AD80" s="165"/>
      <c r="AE80" s="165"/>
      <c r="AF80" s="165"/>
    </row>
    <row r="81" spans="1:32" ht="75">
      <c r="A81" s="165"/>
      <c r="B81" s="48"/>
      <c r="C81" s="48"/>
      <c r="D81" s="49"/>
      <c r="E81" s="49"/>
      <c r="F81" s="50"/>
      <c r="G81" s="58" t="s">
        <v>2020</v>
      </c>
      <c r="H81" s="233">
        <v>60</v>
      </c>
      <c r="I81" s="233">
        <v>80</v>
      </c>
      <c r="J81" s="233">
        <f>H81+1.7483</f>
        <v>61.7483</v>
      </c>
      <c r="K81" s="527"/>
      <c r="L81" s="233">
        <f>J81+1.7483</f>
        <v>63.496600000000001</v>
      </c>
      <c r="M81" s="527"/>
      <c r="N81" s="233">
        <f>L81+1.7483</f>
        <v>65.244900000000001</v>
      </c>
      <c r="O81" s="527"/>
      <c r="P81" s="233">
        <f>N81+1.7483</f>
        <v>66.993200000000002</v>
      </c>
      <c r="Q81" s="527"/>
      <c r="R81" s="233">
        <f>P81+1.7483</f>
        <v>68.741500000000002</v>
      </c>
      <c r="S81" s="527"/>
      <c r="T81" s="233">
        <f>R81+1.7483</f>
        <v>70.489800000000002</v>
      </c>
      <c r="U81" s="527"/>
      <c r="V81" s="52"/>
      <c r="W81" s="52"/>
      <c r="X81" s="52"/>
      <c r="Y81" s="165"/>
      <c r="Z81" s="165"/>
      <c r="AA81" s="165"/>
      <c r="AB81" s="165"/>
      <c r="AC81" s="165"/>
      <c r="AD81" s="165"/>
      <c r="AE81" s="165"/>
      <c r="AF81" s="165"/>
    </row>
    <row r="82" spans="1:32" ht="75">
      <c r="A82" s="165"/>
      <c r="B82" s="48"/>
      <c r="C82" s="48"/>
      <c r="D82" s="49"/>
      <c r="E82" s="49"/>
      <c r="F82" s="50"/>
      <c r="G82" s="58" t="s">
        <v>2021</v>
      </c>
      <c r="H82" s="233">
        <v>75.239999999999995</v>
      </c>
      <c r="I82" s="233">
        <v>80</v>
      </c>
      <c r="J82" s="233">
        <f>H82+0.95</f>
        <v>76.19</v>
      </c>
      <c r="K82" s="233"/>
      <c r="L82" s="233">
        <f>J82+0.95</f>
        <v>77.14</v>
      </c>
      <c r="M82" s="233"/>
      <c r="N82" s="233">
        <f>L82+0.95</f>
        <v>78.09</v>
      </c>
      <c r="O82" s="527"/>
      <c r="P82" s="233">
        <f>N82+0.95</f>
        <v>79.040000000000006</v>
      </c>
      <c r="Q82" s="527"/>
      <c r="R82" s="233">
        <f>P82+0.95</f>
        <v>79.990000000000009</v>
      </c>
      <c r="S82" s="527"/>
      <c r="T82" s="233">
        <f>R82+0.95</f>
        <v>80.940000000000012</v>
      </c>
      <c r="U82" s="527"/>
      <c r="V82" s="52"/>
      <c r="W82" s="52"/>
      <c r="X82" s="52"/>
      <c r="Y82" s="165"/>
      <c r="Z82" s="165"/>
      <c r="AA82" s="165"/>
      <c r="AB82" s="165"/>
      <c r="AC82" s="165"/>
      <c r="AD82" s="165"/>
      <c r="AE82" s="165"/>
      <c r="AF82" s="165"/>
    </row>
    <row r="83" spans="1:32" ht="180">
      <c r="A83" s="165"/>
      <c r="B83" s="48"/>
      <c r="C83" s="48"/>
      <c r="D83" s="49"/>
      <c r="E83" s="49"/>
      <c r="F83" s="50"/>
      <c r="G83" s="58" t="s">
        <v>4217</v>
      </c>
      <c r="H83" s="233">
        <v>100</v>
      </c>
      <c r="I83" s="233">
        <v>100</v>
      </c>
      <c r="J83" s="233">
        <v>100</v>
      </c>
      <c r="K83" s="527"/>
      <c r="L83" s="233">
        <v>100</v>
      </c>
      <c r="M83" s="527"/>
      <c r="N83" s="233">
        <v>100</v>
      </c>
      <c r="O83" s="527"/>
      <c r="P83" s="233">
        <v>100</v>
      </c>
      <c r="Q83" s="527"/>
      <c r="R83" s="233">
        <v>100</v>
      </c>
      <c r="S83" s="527"/>
      <c r="T83" s="233">
        <v>100</v>
      </c>
      <c r="U83" s="527"/>
      <c r="V83" s="52"/>
      <c r="W83" s="52"/>
      <c r="X83" s="52"/>
      <c r="Y83" s="165"/>
      <c r="Z83" s="165"/>
      <c r="AA83" s="165"/>
      <c r="AB83" s="165"/>
      <c r="AC83" s="165"/>
      <c r="AD83" s="165"/>
      <c r="AE83" s="165"/>
      <c r="AF83" s="165"/>
    </row>
    <row r="84" spans="1:32" ht="255">
      <c r="A84" s="165"/>
      <c r="B84" s="48"/>
      <c r="C84" s="48"/>
      <c r="D84" s="49"/>
      <c r="E84" s="49"/>
      <c r="F84" s="50"/>
      <c r="G84" s="58" t="s">
        <v>2321</v>
      </c>
      <c r="H84" s="233">
        <v>86.69</v>
      </c>
      <c r="I84" s="233">
        <v>91.29</v>
      </c>
      <c r="J84" s="233">
        <f>H84+0.294</f>
        <v>86.983999999999995</v>
      </c>
      <c r="K84" s="527"/>
      <c r="L84" s="233">
        <f>J84+0.294</f>
        <v>87.277999999999992</v>
      </c>
      <c r="M84" s="527"/>
      <c r="N84" s="233">
        <f>L84+0.294</f>
        <v>87.571999999999989</v>
      </c>
      <c r="O84" s="527"/>
      <c r="P84" s="233">
        <f>N84+0.294</f>
        <v>87.865999999999985</v>
      </c>
      <c r="Q84" s="527"/>
      <c r="R84" s="233">
        <f>P84+0.294</f>
        <v>88.159999999999982</v>
      </c>
      <c r="S84" s="527"/>
      <c r="T84" s="233">
        <f>R84+0.294</f>
        <v>88.453999999999979</v>
      </c>
      <c r="U84" s="527"/>
      <c r="V84" s="52"/>
      <c r="W84" s="52"/>
      <c r="X84" s="52"/>
      <c r="Y84" s="165"/>
      <c r="Z84" s="165"/>
      <c r="AA84" s="165"/>
      <c r="AB84" s="165"/>
      <c r="AC84" s="165"/>
      <c r="AD84" s="165"/>
      <c r="AE84" s="165"/>
      <c r="AF84" s="165"/>
    </row>
    <row r="85" spans="1:32" ht="195">
      <c r="A85" s="165"/>
      <c r="B85" s="48"/>
      <c r="C85" s="48"/>
      <c r="D85" s="49"/>
      <c r="E85" s="49"/>
      <c r="F85" s="50"/>
      <c r="G85" s="58" t="s">
        <v>4218</v>
      </c>
      <c r="H85" s="233">
        <v>70</v>
      </c>
      <c r="I85" s="233">
        <v>80.48</v>
      </c>
      <c r="J85" s="233">
        <f>H85+1.904</f>
        <v>71.903999999999996</v>
      </c>
      <c r="K85" s="527"/>
      <c r="L85" s="233">
        <f>J85+1.904</f>
        <v>73.807999999999993</v>
      </c>
      <c r="M85" s="527"/>
      <c r="N85" s="233">
        <f>L85+1.904</f>
        <v>75.711999999999989</v>
      </c>
      <c r="O85" s="527"/>
      <c r="P85" s="233">
        <f>N85+1.904</f>
        <v>77.615999999999985</v>
      </c>
      <c r="Q85" s="527"/>
      <c r="R85" s="233">
        <f>P85+1.904</f>
        <v>79.519999999999982</v>
      </c>
      <c r="S85" s="527"/>
      <c r="T85" s="233">
        <f>R85+1.904</f>
        <v>81.423999999999978</v>
      </c>
      <c r="U85" s="527"/>
      <c r="V85" s="52"/>
      <c r="W85" s="52"/>
      <c r="X85" s="52"/>
      <c r="Y85" s="165"/>
      <c r="Z85" s="165"/>
      <c r="AA85" s="165"/>
      <c r="AB85" s="165"/>
      <c r="AC85" s="165"/>
      <c r="AD85" s="165"/>
      <c r="AE85" s="165"/>
      <c r="AF85" s="165"/>
    </row>
    <row r="86" spans="1:32" ht="210">
      <c r="A86" s="165"/>
      <c r="B86" s="48"/>
      <c r="C86" s="48"/>
      <c r="D86" s="49"/>
      <c r="E86" s="49"/>
      <c r="F86" s="50"/>
      <c r="G86" s="58" t="s">
        <v>4219</v>
      </c>
      <c r="H86" s="233">
        <v>98.38</v>
      </c>
      <c r="I86" s="233">
        <v>99.12</v>
      </c>
      <c r="J86" s="233">
        <f>H86+0.294</f>
        <v>98.673999999999992</v>
      </c>
      <c r="K86" s="527"/>
      <c r="L86" s="233">
        <f>J86+0.294</f>
        <v>98.967999999999989</v>
      </c>
      <c r="M86" s="527"/>
      <c r="N86" s="233">
        <f>L86+0.294</f>
        <v>99.261999999999986</v>
      </c>
      <c r="O86" s="527"/>
      <c r="P86" s="233">
        <f>N86+0.294</f>
        <v>99.555999999999983</v>
      </c>
      <c r="Q86" s="527"/>
      <c r="R86" s="233">
        <f>P86+0.294</f>
        <v>99.84999999999998</v>
      </c>
      <c r="S86" s="527"/>
      <c r="T86" s="233">
        <f>R86+0.294</f>
        <v>100.14399999999998</v>
      </c>
      <c r="U86" s="527"/>
      <c r="V86" s="52"/>
      <c r="W86" s="52"/>
      <c r="X86" s="52"/>
      <c r="Y86" s="165"/>
      <c r="Z86" s="165"/>
      <c r="AA86" s="165"/>
      <c r="AB86" s="165"/>
      <c r="AC86" s="165"/>
      <c r="AD86" s="165"/>
      <c r="AE86" s="165"/>
      <c r="AF86" s="165"/>
    </row>
    <row r="87" spans="1:32" ht="45">
      <c r="A87" s="165"/>
      <c r="B87" s="48"/>
      <c r="C87" s="48"/>
      <c r="D87" s="49"/>
      <c r="E87" s="49"/>
      <c r="F87" s="50"/>
      <c r="G87" s="58" t="s">
        <v>2267</v>
      </c>
      <c r="H87" s="233">
        <v>0</v>
      </c>
      <c r="I87" s="233">
        <v>100</v>
      </c>
      <c r="J87" s="233">
        <v>98</v>
      </c>
      <c r="K87" s="527">
        <v>400000000</v>
      </c>
      <c r="L87" s="527">
        <v>0</v>
      </c>
      <c r="M87" s="527">
        <v>0</v>
      </c>
      <c r="N87" s="527">
        <v>3</v>
      </c>
      <c r="O87" s="527">
        <v>100000000</v>
      </c>
      <c r="P87" s="527">
        <v>3</v>
      </c>
      <c r="Q87" s="527">
        <v>100000000</v>
      </c>
      <c r="R87" s="527">
        <v>3</v>
      </c>
      <c r="S87" s="527">
        <v>100000000</v>
      </c>
      <c r="T87" s="527">
        <v>3</v>
      </c>
      <c r="U87" s="527">
        <v>100000000</v>
      </c>
      <c r="V87" s="52"/>
      <c r="W87" s="52"/>
      <c r="X87" s="52"/>
      <c r="Y87" s="165"/>
      <c r="Z87" s="165"/>
      <c r="AA87" s="165"/>
      <c r="AB87" s="165"/>
      <c r="AC87" s="165"/>
      <c r="AD87" s="165"/>
      <c r="AE87" s="165"/>
      <c r="AF87" s="165"/>
    </row>
    <row r="88" spans="1:32" ht="30">
      <c r="A88" s="165"/>
      <c r="B88" s="48"/>
      <c r="C88" s="48"/>
      <c r="D88" s="49"/>
      <c r="E88" s="49"/>
      <c r="F88" s="50"/>
      <c r="G88" s="58" t="s">
        <v>2268</v>
      </c>
      <c r="H88" s="233">
        <v>94.71</v>
      </c>
      <c r="I88" s="233">
        <v>100</v>
      </c>
      <c r="J88" s="233">
        <v>98</v>
      </c>
      <c r="K88" s="527">
        <v>150000000</v>
      </c>
      <c r="L88" s="527">
        <v>0</v>
      </c>
      <c r="M88" s="527">
        <v>0</v>
      </c>
      <c r="N88" s="527">
        <v>2</v>
      </c>
      <c r="O88" s="527">
        <v>300000000</v>
      </c>
      <c r="P88" s="527">
        <v>2</v>
      </c>
      <c r="Q88" s="527">
        <v>300000000</v>
      </c>
      <c r="R88" s="527">
        <v>2</v>
      </c>
      <c r="S88" s="527">
        <v>300000000</v>
      </c>
      <c r="T88" s="527">
        <v>2</v>
      </c>
      <c r="U88" s="527">
        <v>300000000</v>
      </c>
      <c r="V88" s="52"/>
      <c r="W88" s="52"/>
      <c r="X88" s="52"/>
      <c r="Y88" s="165"/>
      <c r="Z88" s="165"/>
      <c r="AA88" s="165"/>
      <c r="AB88" s="165"/>
      <c r="AC88" s="165"/>
      <c r="AD88" s="165"/>
      <c r="AE88" s="165"/>
      <c r="AF88" s="165"/>
    </row>
    <row r="89" spans="1:32" ht="45">
      <c r="A89" s="165"/>
      <c r="B89" s="48"/>
      <c r="C89" s="48"/>
      <c r="D89" s="49"/>
      <c r="E89" s="49"/>
      <c r="F89" s="50"/>
      <c r="G89" s="58" t="s">
        <v>2269</v>
      </c>
      <c r="H89" s="233">
        <v>83.97</v>
      </c>
      <c r="I89" s="233">
        <v>100</v>
      </c>
      <c r="J89" s="233">
        <v>98</v>
      </c>
      <c r="K89" s="527">
        <v>77543900</v>
      </c>
      <c r="L89" s="527">
        <v>100</v>
      </c>
      <c r="M89" s="527">
        <v>77544000</v>
      </c>
      <c r="N89" s="527">
        <v>100</v>
      </c>
      <c r="O89" s="527">
        <v>80000000</v>
      </c>
      <c r="P89" s="527">
        <v>100</v>
      </c>
      <c r="Q89" s="527">
        <v>90000000</v>
      </c>
      <c r="R89" s="527">
        <v>100</v>
      </c>
      <c r="S89" s="527">
        <v>95000000</v>
      </c>
      <c r="T89" s="527">
        <v>100</v>
      </c>
      <c r="U89" s="527">
        <v>95000000</v>
      </c>
      <c r="V89" s="52"/>
      <c r="W89" s="52"/>
      <c r="X89" s="52"/>
      <c r="Y89" s="165"/>
      <c r="Z89" s="165"/>
      <c r="AA89" s="165"/>
      <c r="AB89" s="165"/>
      <c r="AC89" s="165"/>
      <c r="AD89" s="165"/>
      <c r="AE89" s="165"/>
      <c r="AF89" s="165"/>
    </row>
    <row r="90" spans="1:32" ht="45">
      <c r="A90" s="165"/>
      <c r="B90" s="48"/>
      <c r="C90" s="48"/>
      <c r="D90" s="49"/>
      <c r="E90" s="49"/>
      <c r="F90" s="50"/>
      <c r="G90" s="58" t="s">
        <v>2270</v>
      </c>
      <c r="H90" s="233">
        <v>94.97</v>
      </c>
      <c r="I90" s="233">
        <v>100</v>
      </c>
      <c r="J90" s="233">
        <v>97</v>
      </c>
      <c r="K90" s="527">
        <v>1266096000</v>
      </c>
      <c r="L90" s="527">
        <v>100</v>
      </c>
      <c r="M90" s="527">
        <v>1155581600</v>
      </c>
      <c r="N90" s="527">
        <v>100</v>
      </c>
      <c r="O90" s="527">
        <v>1500000000</v>
      </c>
      <c r="P90" s="527">
        <v>100</v>
      </c>
      <c r="Q90" s="527">
        <v>1750000000</v>
      </c>
      <c r="R90" s="527">
        <v>100</v>
      </c>
      <c r="S90" s="527">
        <v>1900000000</v>
      </c>
      <c r="T90" s="527">
        <v>100</v>
      </c>
      <c r="U90" s="527">
        <v>1900000000</v>
      </c>
      <c r="V90" s="52"/>
      <c r="W90" s="52"/>
      <c r="X90" s="52"/>
      <c r="Y90" s="165"/>
      <c r="Z90" s="165"/>
      <c r="AA90" s="165"/>
      <c r="AB90" s="165"/>
      <c r="AC90" s="165"/>
      <c r="AD90" s="165"/>
      <c r="AE90" s="165"/>
      <c r="AF90" s="165"/>
    </row>
    <row r="91" spans="1:32" ht="45">
      <c r="A91" s="165"/>
      <c r="B91" s="48"/>
      <c r="C91" s="48"/>
      <c r="D91" s="49"/>
      <c r="E91" s="49"/>
      <c r="F91" s="50"/>
      <c r="G91" s="58" t="s">
        <v>2271</v>
      </c>
      <c r="H91" s="233">
        <v>88.41</v>
      </c>
      <c r="I91" s="233">
        <v>100</v>
      </c>
      <c r="J91" s="233">
        <v>98</v>
      </c>
      <c r="K91" s="527">
        <v>225000000</v>
      </c>
      <c r="L91" s="527">
        <v>5</v>
      </c>
      <c r="M91" s="527">
        <f>L91*50000000</f>
        <v>250000000</v>
      </c>
      <c r="N91" s="527">
        <v>5</v>
      </c>
      <c r="O91" s="527">
        <f>N91*50000000</f>
        <v>250000000</v>
      </c>
      <c r="P91" s="527">
        <v>5</v>
      </c>
      <c r="Q91" s="527">
        <f>P91*50000000</f>
        <v>250000000</v>
      </c>
      <c r="R91" s="527">
        <v>5</v>
      </c>
      <c r="S91" s="527">
        <f>R91*50000000</f>
        <v>250000000</v>
      </c>
      <c r="T91" s="527">
        <v>5</v>
      </c>
      <c r="U91" s="527">
        <f>T91*50000000</f>
        <v>250000000</v>
      </c>
      <c r="V91" s="52"/>
      <c r="W91" s="52"/>
      <c r="X91" s="52"/>
      <c r="Y91" s="165"/>
      <c r="Z91" s="165"/>
      <c r="AA91" s="165"/>
      <c r="AB91" s="165"/>
      <c r="AC91" s="165"/>
      <c r="AD91" s="165"/>
      <c r="AE91" s="165"/>
      <c r="AF91" s="165"/>
    </row>
    <row r="92" spans="1:32" ht="30">
      <c r="A92" s="165"/>
      <c r="B92" s="48"/>
      <c r="C92" s="48"/>
      <c r="D92" s="49"/>
      <c r="E92" s="49"/>
      <c r="F92" s="50"/>
      <c r="G92" s="58" t="s">
        <v>2272</v>
      </c>
      <c r="H92" s="233">
        <v>94.3</v>
      </c>
      <c r="I92" s="233">
        <v>100</v>
      </c>
      <c r="J92" s="233">
        <v>98</v>
      </c>
      <c r="K92" s="527">
        <v>480000000</v>
      </c>
      <c r="L92" s="527">
        <v>16</v>
      </c>
      <c r="M92" s="527">
        <v>480000000</v>
      </c>
      <c r="N92" s="527">
        <v>16</v>
      </c>
      <c r="O92" s="527">
        <v>480000000</v>
      </c>
      <c r="P92" s="527">
        <v>16</v>
      </c>
      <c r="Q92" s="527">
        <v>480000000</v>
      </c>
      <c r="R92" s="527">
        <v>16</v>
      </c>
      <c r="S92" s="527">
        <v>480000000</v>
      </c>
      <c r="T92" s="527">
        <v>16</v>
      </c>
      <c r="U92" s="527">
        <v>480000000</v>
      </c>
      <c r="V92" s="52"/>
      <c r="W92" s="52"/>
      <c r="X92" s="52"/>
      <c r="Y92" s="165"/>
      <c r="Z92" s="165"/>
      <c r="AA92" s="165"/>
      <c r="AB92" s="165"/>
      <c r="AC92" s="165"/>
      <c r="AD92" s="165"/>
      <c r="AE92" s="165"/>
      <c r="AF92" s="165"/>
    </row>
    <row r="93" spans="1:32" ht="45">
      <c r="A93" s="165"/>
      <c r="B93" s="48"/>
      <c r="C93" s="48"/>
      <c r="D93" s="49"/>
      <c r="E93" s="49"/>
      <c r="F93" s="50"/>
      <c r="G93" s="58" t="s">
        <v>2273</v>
      </c>
      <c r="H93" s="233">
        <v>94.71</v>
      </c>
      <c r="I93" s="233">
        <v>100</v>
      </c>
      <c r="J93" s="233">
        <v>97</v>
      </c>
      <c r="K93" s="527">
        <v>240000000</v>
      </c>
      <c r="L93" s="527">
        <v>4</v>
      </c>
      <c r="M93" s="527">
        <v>480000000</v>
      </c>
      <c r="N93" s="527">
        <v>4</v>
      </c>
      <c r="O93" s="527">
        <v>480000000</v>
      </c>
      <c r="P93" s="527">
        <v>4</v>
      </c>
      <c r="Q93" s="527">
        <v>480000000</v>
      </c>
      <c r="R93" s="527">
        <v>4</v>
      </c>
      <c r="S93" s="527">
        <v>480000000</v>
      </c>
      <c r="T93" s="527">
        <v>4</v>
      </c>
      <c r="U93" s="527">
        <v>480000000</v>
      </c>
      <c r="V93" s="52"/>
      <c r="W93" s="52"/>
      <c r="X93" s="52"/>
      <c r="Y93" s="165"/>
      <c r="Z93" s="165"/>
      <c r="AA93" s="165"/>
      <c r="AB93" s="165"/>
      <c r="AC93" s="165"/>
      <c r="AD93" s="165"/>
      <c r="AE93" s="165"/>
      <c r="AF93" s="165"/>
    </row>
    <row r="94" spans="1:32" ht="45">
      <c r="A94" s="165"/>
      <c r="B94" s="48"/>
      <c r="C94" s="48"/>
      <c r="D94" s="49"/>
      <c r="E94" s="49"/>
      <c r="F94" s="50"/>
      <c r="G94" s="58" t="s">
        <v>2274</v>
      </c>
      <c r="H94" s="233">
        <v>97.29</v>
      </c>
      <c r="I94" s="233">
        <v>100</v>
      </c>
      <c r="J94" s="233">
        <v>97</v>
      </c>
      <c r="K94" s="527">
        <v>80000000</v>
      </c>
      <c r="L94" s="527">
        <v>10</v>
      </c>
      <c r="M94" s="527">
        <v>100000000</v>
      </c>
      <c r="N94" s="527">
        <v>16</v>
      </c>
      <c r="O94" s="527">
        <v>160000000</v>
      </c>
      <c r="P94" s="527">
        <v>16</v>
      </c>
      <c r="Q94" s="527">
        <v>160000000</v>
      </c>
      <c r="R94" s="527">
        <v>16</v>
      </c>
      <c r="S94" s="527">
        <v>160000000</v>
      </c>
      <c r="T94" s="527">
        <v>16</v>
      </c>
      <c r="U94" s="527">
        <v>160000000</v>
      </c>
      <c r="V94" s="52"/>
      <c r="W94" s="52"/>
      <c r="X94" s="52"/>
      <c r="Y94" s="165"/>
      <c r="Z94" s="165"/>
      <c r="AA94" s="165"/>
      <c r="AB94" s="165"/>
      <c r="AC94" s="165"/>
      <c r="AD94" s="165"/>
      <c r="AE94" s="165"/>
      <c r="AF94" s="165"/>
    </row>
    <row r="95" spans="1:32" ht="45">
      <c r="A95" s="165"/>
      <c r="B95" s="48"/>
      <c r="C95" s="48"/>
      <c r="D95" s="49"/>
      <c r="E95" s="49"/>
      <c r="F95" s="50"/>
      <c r="G95" s="58" t="s">
        <v>2275</v>
      </c>
      <c r="H95" s="233">
        <v>97.5</v>
      </c>
      <c r="I95" s="233">
        <v>100</v>
      </c>
      <c r="J95" s="233">
        <v>98</v>
      </c>
      <c r="K95" s="527">
        <v>70000000</v>
      </c>
      <c r="L95" s="527">
        <v>4</v>
      </c>
      <c r="M95" s="527">
        <v>80000000</v>
      </c>
      <c r="N95" s="527">
        <v>4</v>
      </c>
      <c r="O95" s="527">
        <v>80000000</v>
      </c>
      <c r="P95" s="527">
        <v>4</v>
      </c>
      <c r="Q95" s="527">
        <v>80000000</v>
      </c>
      <c r="R95" s="527">
        <v>4</v>
      </c>
      <c r="S95" s="527">
        <v>80000000</v>
      </c>
      <c r="T95" s="527">
        <v>4</v>
      </c>
      <c r="U95" s="527">
        <v>80000000</v>
      </c>
      <c r="V95" s="52"/>
      <c r="W95" s="52"/>
      <c r="X95" s="52"/>
      <c r="Y95" s="165"/>
      <c r="Z95" s="165"/>
      <c r="AA95" s="165"/>
      <c r="AB95" s="165"/>
      <c r="AC95" s="165"/>
      <c r="AD95" s="165"/>
      <c r="AE95" s="165"/>
      <c r="AF95" s="165"/>
    </row>
    <row r="96" spans="1:32" ht="45">
      <c r="A96" s="165"/>
      <c r="B96" s="48"/>
      <c r="C96" s="48"/>
      <c r="D96" s="49"/>
      <c r="E96" s="49"/>
      <c r="F96" s="50"/>
      <c r="G96" s="58" t="s">
        <v>2276</v>
      </c>
      <c r="H96" s="233">
        <v>96.62</v>
      </c>
      <c r="I96" s="233">
        <v>100</v>
      </c>
      <c r="J96" s="233">
        <v>99</v>
      </c>
      <c r="K96" s="527">
        <v>8000000</v>
      </c>
      <c r="L96" s="527">
        <v>200</v>
      </c>
      <c r="M96" s="527">
        <v>8000000</v>
      </c>
      <c r="N96" s="527">
        <v>400</v>
      </c>
      <c r="O96" s="527">
        <v>16000000</v>
      </c>
      <c r="P96" s="527">
        <v>800</v>
      </c>
      <c r="Q96" s="527">
        <v>32000000</v>
      </c>
      <c r="R96" s="527">
        <v>800</v>
      </c>
      <c r="S96" s="527">
        <v>32000000</v>
      </c>
      <c r="T96" s="527">
        <v>800</v>
      </c>
      <c r="U96" s="527">
        <v>32000000</v>
      </c>
      <c r="V96" s="52"/>
      <c r="W96" s="52"/>
      <c r="X96" s="52"/>
      <c r="Y96" s="165"/>
      <c r="Z96" s="165"/>
      <c r="AA96" s="165"/>
      <c r="AB96" s="165"/>
      <c r="AC96" s="165"/>
      <c r="AD96" s="165"/>
      <c r="AE96" s="165"/>
      <c r="AF96" s="165"/>
    </row>
    <row r="97" spans="1:32" ht="30">
      <c r="A97" s="165"/>
      <c r="B97" s="48"/>
      <c r="C97" s="48"/>
      <c r="D97" s="49"/>
      <c r="E97" s="49"/>
      <c r="F97" s="50"/>
      <c r="G97" s="58" t="s">
        <v>2277</v>
      </c>
      <c r="H97" s="233">
        <v>99.56</v>
      </c>
      <c r="I97" s="233">
        <v>100</v>
      </c>
      <c r="J97" s="233">
        <v>99</v>
      </c>
      <c r="K97" s="527">
        <v>60000000</v>
      </c>
      <c r="L97" s="527">
        <v>10</v>
      </c>
      <c r="M97" s="527">
        <v>200000000</v>
      </c>
      <c r="N97" s="527">
        <v>8</v>
      </c>
      <c r="O97" s="527">
        <v>160000000</v>
      </c>
      <c r="P97" s="527">
        <v>8</v>
      </c>
      <c r="Q97" s="527">
        <v>160000000</v>
      </c>
      <c r="R97" s="527">
        <v>8</v>
      </c>
      <c r="S97" s="527">
        <v>160000000</v>
      </c>
      <c r="T97" s="527">
        <v>8</v>
      </c>
      <c r="U97" s="527">
        <v>160000000</v>
      </c>
      <c r="V97" s="52"/>
      <c r="W97" s="52"/>
      <c r="X97" s="52"/>
      <c r="Y97" s="165"/>
      <c r="Z97" s="165"/>
      <c r="AA97" s="165"/>
      <c r="AB97" s="165"/>
      <c r="AC97" s="165"/>
      <c r="AD97" s="165"/>
      <c r="AE97" s="165"/>
      <c r="AF97" s="165"/>
    </row>
    <row r="98" spans="1:32" ht="60">
      <c r="A98" s="165"/>
      <c r="B98" s="48"/>
      <c r="C98" s="48"/>
      <c r="D98" s="49"/>
      <c r="E98" s="49"/>
      <c r="F98" s="50"/>
      <c r="G98" s="58" t="s">
        <v>2278</v>
      </c>
      <c r="H98" s="233">
        <v>97.62</v>
      </c>
      <c r="I98" s="233">
        <v>100</v>
      </c>
      <c r="J98" s="233">
        <v>99</v>
      </c>
      <c r="K98" s="527">
        <v>8696360000</v>
      </c>
      <c r="L98" s="527">
        <v>100</v>
      </c>
      <c r="M98" s="527">
        <v>8696360000</v>
      </c>
      <c r="N98" s="527">
        <v>110</v>
      </c>
      <c r="O98" s="527">
        <v>9000000000</v>
      </c>
      <c r="P98" s="527">
        <v>160</v>
      </c>
      <c r="Q98" s="527">
        <v>11000000000</v>
      </c>
      <c r="R98" s="527">
        <v>170</v>
      </c>
      <c r="S98" s="527">
        <v>12000000000</v>
      </c>
      <c r="T98" s="527">
        <v>170</v>
      </c>
      <c r="U98" s="527">
        <v>12000000000</v>
      </c>
      <c r="V98" s="52"/>
      <c r="W98" s="52"/>
      <c r="X98" s="52"/>
      <c r="Y98" s="165"/>
      <c r="Z98" s="165"/>
      <c r="AA98" s="165"/>
      <c r="AB98" s="165"/>
      <c r="AC98" s="165"/>
      <c r="AD98" s="165"/>
      <c r="AE98" s="165"/>
      <c r="AF98" s="165"/>
    </row>
    <row r="99" spans="1:32" ht="60">
      <c r="A99" s="165"/>
      <c r="B99" s="48"/>
      <c r="C99" s="48"/>
      <c r="D99" s="49"/>
      <c r="E99" s="49"/>
      <c r="F99" s="50"/>
      <c r="G99" s="58" t="s">
        <v>2279</v>
      </c>
      <c r="H99" s="233">
        <v>0</v>
      </c>
      <c r="I99" s="233">
        <v>100</v>
      </c>
      <c r="J99" s="233">
        <v>98</v>
      </c>
      <c r="K99" s="527">
        <v>304000000</v>
      </c>
      <c r="L99" s="527"/>
      <c r="M99" s="527">
        <v>0</v>
      </c>
      <c r="N99" s="527"/>
      <c r="O99" s="527">
        <v>0</v>
      </c>
      <c r="P99" s="527"/>
      <c r="Q99" s="527">
        <v>0</v>
      </c>
      <c r="R99" s="527"/>
      <c r="S99" s="527">
        <v>0</v>
      </c>
      <c r="T99" s="527"/>
      <c r="U99" s="527">
        <v>0</v>
      </c>
      <c r="V99" s="52"/>
      <c r="W99" s="52"/>
      <c r="X99" s="52"/>
      <c r="Y99" s="165"/>
      <c r="Z99" s="165"/>
      <c r="AA99" s="165"/>
      <c r="AB99" s="165"/>
      <c r="AC99" s="165"/>
      <c r="AD99" s="165"/>
      <c r="AE99" s="165"/>
      <c r="AF99" s="165"/>
    </row>
    <row r="100" spans="1:32" ht="60">
      <c r="A100" s="165"/>
      <c r="B100" s="48"/>
      <c r="C100" s="48"/>
      <c r="D100" s="49"/>
      <c r="E100" s="49"/>
      <c r="F100" s="50"/>
      <c r="G100" s="58" t="s">
        <v>2280</v>
      </c>
      <c r="H100" s="233">
        <v>0</v>
      </c>
      <c r="I100" s="233">
        <v>100</v>
      </c>
      <c r="J100" s="233">
        <v>97</v>
      </c>
      <c r="K100" s="527">
        <v>152000000</v>
      </c>
      <c r="L100" s="527"/>
      <c r="M100" s="527">
        <v>0</v>
      </c>
      <c r="N100" s="527"/>
      <c r="O100" s="527">
        <v>0</v>
      </c>
      <c r="P100" s="527"/>
      <c r="Q100" s="527">
        <v>0</v>
      </c>
      <c r="R100" s="527"/>
      <c r="S100" s="527">
        <v>0</v>
      </c>
      <c r="T100" s="527"/>
      <c r="U100" s="527">
        <v>0</v>
      </c>
      <c r="V100" s="52"/>
      <c r="W100" s="52"/>
      <c r="X100" s="52"/>
      <c r="Y100" s="165"/>
      <c r="Z100" s="165"/>
      <c r="AA100" s="165"/>
      <c r="AB100" s="165"/>
      <c r="AC100" s="165"/>
      <c r="AD100" s="165"/>
      <c r="AE100" s="165"/>
      <c r="AF100" s="165"/>
    </row>
    <row r="101" spans="1:32" ht="45">
      <c r="A101" s="165"/>
      <c r="B101" s="48"/>
      <c r="C101" s="48"/>
      <c r="D101" s="49"/>
      <c r="E101" s="49"/>
      <c r="F101" s="50"/>
      <c r="G101" s="58" t="s">
        <v>2281</v>
      </c>
      <c r="H101" s="233">
        <v>0</v>
      </c>
      <c r="I101" s="233">
        <v>100</v>
      </c>
      <c r="J101" s="233">
        <v>97</v>
      </c>
      <c r="K101" s="527">
        <v>470000000</v>
      </c>
      <c r="L101" s="527"/>
      <c r="M101" s="527">
        <v>0</v>
      </c>
      <c r="N101" s="527"/>
      <c r="O101" s="527">
        <v>0</v>
      </c>
      <c r="P101" s="527"/>
      <c r="Q101" s="527">
        <v>0</v>
      </c>
      <c r="R101" s="527"/>
      <c r="S101" s="527">
        <v>0</v>
      </c>
      <c r="T101" s="527"/>
      <c r="U101" s="527">
        <v>0</v>
      </c>
      <c r="V101" s="52"/>
      <c r="W101" s="52"/>
      <c r="X101" s="52"/>
      <c r="Y101" s="165"/>
      <c r="Z101" s="165"/>
      <c r="AA101" s="165"/>
      <c r="AB101" s="165"/>
      <c r="AC101" s="165"/>
      <c r="AD101" s="165"/>
      <c r="AE101" s="165"/>
      <c r="AF101" s="165"/>
    </row>
    <row r="102" spans="1:32" ht="60">
      <c r="A102" s="165"/>
      <c r="B102" s="48"/>
      <c r="C102" s="48"/>
      <c r="D102" s="49"/>
      <c r="E102" s="49"/>
      <c r="F102" s="50"/>
      <c r="G102" s="58" t="s">
        <v>2282</v>
      </c>
      <c r="H102" s="233">
        <v>0</v>
      </c>
      <c r="I102" s="233">
        <v>100</v>
      </c>
      <c r="J102" s="233">
        <v>97</v>
      </c>
      <c r="K102" s="527">
        <v>188000000</v>
      </c>
      <c r="L102" s="527"/>
      <c r="M102" s="527">
        <v>0</v>
      </c>
      <c r="N102" s="527"/>
      <c r="O102" s="527">
        <v>0</v>
      </c>
      <c r="P102" s="527"/>
      <c r="Q102" s="527">
        <v>0</v>
      </c>
      <c r="R102" s="527"/>
      <c r="S102" s="527">
        <v>0</v>
      </c>
      <c r="T102" s="527"/>
      <c r="U102" s="527">
        <v>0</v>
      </c>
      <c r="V102" s="52"/>
      <c r="W102" s="52"/>
      <c r="X102" s="52"/>
      <c r="Y102" s="165"/>
      <c r="Z102" s="165"/>
      <c r="AA102" s="165"/>
      <c r="AB102" s="165"/>
      <c r="AC102" s="165"/>
      <c r="AD102" s="165"/>
      <c r="AE102" s="165"/>
      <c r="AF102" s="165"/>
    </row>
    <row r="103" spans="1:32" ht="45">
      <c r="A103" s="165"/>
      <c r="B103" s="48"/>
      <c r="C103" s="48"/>
      <c r="D103" s="49"/>
      <c r="E103" s="49"/>
      <c r="F103" s="50"/>
      <c r="G103" s="58" t="s">
        <v>2283</v>
      </c>
      <c r="H103" s="233">
        <v>0</v>
      </c>
      <c r="I103" s="233">
        <v>100</v>
      </c>
      <c r="J103" s="233">
        <v>97</v>
      </c>
      <c r="K103" s="527">
        <v>185850000</v>
      </c>
      <c r="L103" s="527"/>
      <c r="M103" s="527">
        <v>0</v>
      </c>
      <c r="N103" s="527"/>
      <c r="O103" s="527">
        <v>0</v>
      </c>
      <c r="P103" s="527"/>
      <c r="Q103" s="527">
        <v>0</v>
      </c>
      <c r="R103" s="527"/>
      <c r="S103" s="527">
        <v>0</v>
      </c>
      <c r="T103" s="527"/>
      <c r="U103" s="527">
        <v>0</v>
      </c>
      <c r="V103" s="52"/>
      <c r="W103" s="52"/>
      <c r="X103" s="52"/>
      <c r="Y103" s="165"/>
      <c r="Z103" s="165"/>
      <c r="AA103" s="165"/>
      <c r="AB103" s="165"/>
      <c r="AC103" s="165"/>
      <c r="AD103" s="165"/>
      <c r="AE103" s="165"/>
      <c r="AF103" s="165"/>
    </row>
    <row r="104" spans="1:32" ht="30">
      <c r="A104" s="165"/>
      <c r="B104" s="48"/>
      <c r="C104" s="48"/>
      <c r="D104" s="49"/>
      <c r="E104" s="49"/>
      <c r="F104" s="50"/>
      <c r="G104" s="58" t="s">
        <v>2284</v>
      </c>
      <c r="H104" s="233">
        <v>0</v>
      </c>
      <c r="I104" s="233">
        <v>100</v>
      </c>
      <c r="J104" s="233">
        <v>97</v>
      </c>
      <c r="K104" s="527">
        <v>20650000</v>
      </c>
      <c r="L104" s="527"/>
      <c r="M104" s="527">
        <v>0</v>
      </c>
      <c r="N104" s="527"/>
      <c r="O104" s="527">
        <v>0</v>
      </c>
      <c r="P104" s="527"/>
      <c r="Q104" s="527">
        <v>0</v>
      </c>
      <c r="R104" s="527"/>
      <c r="S104" s="527">
        <v>0</v>
      </c>
      <c r="T104" s="527"/>
      <c r="U104" s="527">
        <v>0</v>
      </c>
      <c r="V104" s="52"/>
      <c r="W104" s="52"/>
      <c r="X104" s="52"/>
      <c r="Y104" s="165"/>
      <c r="Z104" s="165"/>
      <c r="AA104" s="165"/>
      <c r="AB104" s="165"/>
      <c r="AC104" s="165"/>
      <c r="AD104" s="165"/>
      <c r="AE104" s="165"/>
      <c r="AF104" s="165"/>
    </row>
    <row r="105" spans="1:32" ht="45">
      <c r="A105" s="165"/>
      <c r="B105" s="48"/>
      <c r="C105" s="48"/>
      <c r="D105" s="49"/>
      <c r="E105" s="49"/>
      <c r="F105" s="50"/>
      <c r="G105" s="58" t="s">
        <v>2285</v>
      </c>
      <c r="H105" s="233">
        <v>0</v>
      </c>
      <c r="I105" s="233">
        <v>100</v>
      </c>
      <c r="J105" s="233">
        <v>97</v>
      </c>
      <c r="K105" s="527">
        <v>672000000</v>
      </c>
      <c r="L105" s="527"/>
      <c r="M105" s="527">
        <v>0</v>
      </c>
      <c r="N105" s="527"/>
      <c r="O105" s="527">
        <v>0</v>
      </c>
      <c r="P105" s="527"/>
      <c r="Q105" s="527">
        <v>0</v>
      </c>
      <c r="R105" s="527"/>
      <c r="S105" s="527">
        <v>0</v>
      </c>
      <c r="T105" s="527"/>
      <c r="U105" s="527">
        <v>0</v>
      </c>
      <c r="V105" s="52"/>
      <c r="W105" s="52"/>
      <c r="X105" s="52"/>
      <c r="Y105" s="165"/>
      <c r="Z105" s="165"/>
      <c r="AA105" s="165"/>
      <c r="AB105" s="165"/>
      <c r="AC105" s="165"/>
      <c r="AD105" s="165"/>
      <c r="AE105" s="165"/>
      <c r="AF105" s="165"/>
    </row>
    <row r="106" spans="1:32" ht="45">
      <c r="A106" s="165"/>
      <c r="B106" s="48"/>
      <c r="C106" s="48"/>
      <c r="D106" s="49"/>
      <c r="E106" s="49"/>
      <c r="F106" s="50"/>
      <c r="G106" s="58" t="s">
        <v>2286</v>
      </c>
      <c r="H106" s="233">
        <v>0</v>
      </c>
      <c r="I106" s="233">
        <v>100</v>
      </c>
      <c r="J106" s="233">
        <v>98</v>
      </c>
      <c r="K106" s="527">
        <v>60000000</v>
      </c>
      <c r="L106" s="527">
        <v>9</v>
      </c>
      <c r="M106" s="527">
        <v>270000000</v>
      </c>
      <c r="N106" s="527">
        <v>4</v>
      </c>
      <c r="O106" s="527">
        <v>120000000</v>
      </c>
      <c r="P106" s="527">
        <v>10</v>
      </c>
      <c r="Q106" s="527">
        <v>300000000</v>
      </c>
      <c r="R106" s="527">
        <v>10</v>
      </c>
      <c r="S106" s="527">
        <v>300000000</v>
      </c>
      <c r="T106" s="527">
        <v>10</v>
      </c>
      <c r="U106" s="527">
        <v>300000000</v>
      </c>
      <c r="V106" s="52"/>
      <c r="W106" s="52"/>
      <c r="X106" s="52"/>
      <c r="Y106" s="165"/>
      <c r="Z106" s="165"/>
      <c r="AA106" s="165"/>
      <c r="AB106" s="165"/>
      <c r="AC106" s="165"/>
      <c r="AD106" s="165"/>
      <c r="AE106" s="165"/>
      <c r="AF106" s="165"/>
    </row>
    <row r="107" spans="1:32" ht="45">
      <c r="A107" s="165"/>
      <c r="B107" s="48"/>
      <c r="C107" s="48"/>
      <c r="D107" s="49"/>
      <c r="E107" s="49"/>
      <c r="F107" s="50"/>
      <c r="G107" s="58" t="s">
        <v>2287</v>
      </c>
      <c r="H107" s="233">
        <v>100</v>
      </c>
      <c r="I107" s="233">
        <v>100</v>
      </c>
      <c r="J107" s="233">
        <v>99</v>
      </c>
      <c r="K107" s="527">
        <v>8000000</v>
      </c>
      <c r="L107" s="527">
        <v>3</v>
      </c>
      <c r="M107" s="527">
        <v>24000000</v>
      </c>
      <c r="N107" s="527">
        <v>3</v>
      </c>
      <c r="O107" s="527">
        <v>24000000</v>
      </c>
      <c r="P107" s="527">
        <v>3</v>
      </c>
      <c r="Q107" s="527">
        <v>24000000</v>
      </c>
      <c r="R107" s="527">
        <v>3</v>
      </c>
      <c r="S107" s="527">
        <v>24000000</v>
      </c>
      <c r="T107" s="527">
        <v>3</v>
      </c>
      <c r="U107" s="527">
        <v>24000000</v>
      </c>
      <c r="V107" s="52"/>
      <c r="W107" s="52"/>
      <c r="X107" s="52"/>
      <c r="Y107" s="165"/>
      <c r="Z107" s="165"/>
      <c r="AA107" s="165"/>
      <c r="AB107" s="165"/>
      <c r="AC107" s="165"/>
      <c r="AD107" s="165"/>
      <c r="AE107" s="165"/>
      <c r="AF107" s="165"/>
    </row>
    <row r="108" spans="1:32" ht="45">
      <c r="A108" s="165"/>
      <c r="B108" s="48"/>
      <c r="C108" s="48"/>
      <c r="D108" s="49"/>
      <c r="E108" s="49"/>
      <c r="F108" s="50"/>
      <c r="G108" s="58" t="s">
        <v>2288</v>
      </c>
      <c r="H108" s="233">
        <v>99</v>
      </c>
      <c r="I108" s="233">
        <v>100</v>
      </c>
      <c r="J108" s="233">
        <v>99</v>
      </c>
      <c r="K108" s="527">
        <v>40000000</v>
      </c>
      <c r="L108" s="527">
        <v>2</v>
      </c>
      <c r="M108" s="527">
        <v>80000000</v>
      </c>
      <c r="N108" s="527">
        <v>2</v>
      </c>
      <c r="O108" s="527">
        <v>80000000</v>
      </c>
      <c r="P108" s="527">
        <v>2</v>
      </c>
      <c r="Q108" s="527">
        <v>80000000</v>
      </c>
      <c r="R108" s="527">
        <v>2</v>
      </c>
      <c r="S108" s="527">
        <v>80000000</v>
      </c>
      <c r="T108" s="527">
        <v>2</v>
      </c>
      <c r="U108" s="527">
        <v>80000000</v>
      </c>
      <c r="V108" s="52"/>
      <c r="W108" s="52"/>
      <c r="X108" s="52"/>
      <c r="Y108" s="165"/>
      <c r="Z108" s="165"/>
      <c r="AA108" s="165"/>
      <c r="AB108" s="165"/>
      <c r="AC108" s="165"/>
      <c r="AD108" s="165"/>
      <c r="AE108" s="165"/>
      <c r="AF108" s="165"/>
    </row>
    <row r="109" spans="1:32" ht="60">
      <c r="A109" s="165"/>
      <c r="B109" s="48"/>
      <c r="C109" s="48"/>
      <c r="D109" s="49"/>
      <c r="E109" s="49"/>
      <c r="F109" s="50"/>
      <c r="G109" s="58" t="s">
        <v>2289</v>
      </c>
      <c r="H109" s="233">
        <v>0</v>
      </c>
      <c r="I109" s="233">
        <v>100</v>
      </c>
      <c r="J109" s="233">
        <v>97</v>
      </c>
      <c r="K109" s="527">
        <v>766775000</v>
      </c>
      <c r="L109" s="527"/>
      <c r="M109" s="527">
        <v>0</v>
      </c>
      <c r="N109" s="527"/>
      <c r="O109" s="527">
        <v>0</v>
      </c>
      <c r="P109" s="527"/>
      <c r="Q109" s="527">
        <v>0</v>
      </c>
      <c r="R109" s="527"/>
      <c r="S109" s="527">
        <v>0</v>
      </c>
      <c r="T109" s="527"/>
      <c r="U109" s="527">
        <v>0</v>
      </c>
      <c r="V109" s="52"/>
      <c r="W109" s="52"/>
      <c r="X109" s="52"/>
      <c r="Y109" s="165"/>
      <c r="Z109" s="165"/>
      <c r="AA109" s="165"/>
      <c r="AB109" s="165"/>
      <c r="AC109" s="165"/>
      <c r="AD109" s="165"/>
      <c r="AE109" s="165"/>
      <c r="AF109" s="165"/>
    </row>
    <row r="110" spans="1:32" ht="60">
      <c r="A110" s="165"/>
      <c r="B110" s="48"/>
      <c r="C110" s="48"/>
      <c r="D110" s="49"/>
      <c r="E110" s="49"/>
      <c r="F110" s="50"/>
      <c r="G110" s="58" t="s">
        <v>2290</v>
      </c>
      <c r="H110" s="233">
        <v>0</v>
      </c>
      <c r="I110" s="233">
        <v>100</v>
      </c>
      <c r="J110" s="233">
        <v>97</v>
      </c>
      <c r="K110" s="527">
        <v>313200000</v>
      </c>
      <c r="L110" s="527"/>
      <c r="M110" s="527">
        <v>0</v>
      </c>
      <c r="N110" s="527"/>
      <c r="O110" s="527">
        <v>0</v>
      </c>
      <c r="P110" s="527"/>
      <c r="Q110" s="527">
        <v>0</v>
      </c>
      <c r="R110" s="527"/>
      <c r="S110" s="527">
        <v>0</v>
      </c>
      <c r="T110" s="527"/>
      <c r="U110" s="527">
        <v>0</v>
      </c>
      <c r="V110" s="52"/>
      <c r="W110" s="52"/>
      <c r="X110" s="52"/>
      <c r="Y110" s="165"/>
      <c r="Z110" s="165"/>
      <c r="AA110" s="165"/>
      <c r="AB110" s="165"/>
      <c r="AC110" s="165"/>
      <c r="AD110" s="165"/>
      <c r="AE110" s="165"/>
      <c r="AF110" s="165"/>
    </row>
    <row r="111" spans="1:32" ht="60">
      <c r="A111" s="165"/>
      <c r="B111" s="48"/>
      <c r="C111" s="48"/>
      <c r="D111" s="49"/>
      <c r="E111" s="49"/>
      <c r="F111" s="50"/>
      <c r="G111" s="58" t="s">
        <v>2291</v>
      </c>
      <c r="H111" s="233">
        <v>0</v>
      </c>
      <c r="I111" s="233">
        <v>100</v>
      </c>
      <c r="J111" s="233">
        <v>97</v>
      </c>
      <c r="K111" s="527">
        <v>25025000</v>
      </c>
      <c r="L111" s="527"/>
      <c r="M111" s="527">
        <v>0</v>
      </c>
      <c r="N111" s="527"/>
      <c r="O111" s="527">
        <v>0</v>
      </c>
      <c r="P111" s="527"/>
      <c r="Q111" s="527">
        <v>0</v>
      </c>
      <c r="R111" s="527"/>
      <c r="S111" s="527">
        <v>0</v>
      </c>
      <c r="T111" s="527"/>
      <c r="U111" s="527">
        <v>0</v>
      </c>
      <c r="V111" s="52"/>
      <c r="W111" s="52"/>
      <c r="X111" s="52"/>
      <c r="Y111" s="165"/>
      <c r="Z111" s="165"/>
      <c r="AA111" s="165"/>
      <c r="AB111" s="165"/>
      <c r="AC111" s="165"/>
      <c r="AD111" s="165"/>
      <c r="AE111" s="165"/>
      <c r="AF111" s="165"/>
    </row>
    <row r="112" spans="1:32" ht="45">
      <c r="A112" s="165"/>
      <c r="B112" s="48"/>
      <c r="C112" s="48"/>
      <c r="D112" s="49"/>
      <c r="E112" s="49"/>
      <c r="F112" s="50"/>
      <c r="G112" s="58" t="s">
        <v>2292</v>
      </c>
      <c r="H112" s="233">
        <v>0</v>
      </c>
      <c r="I112" s="233">
        <v>100</v>
      </c>
      <c r="J112" s="233">
        <v>99</v>
      </c>
      <c r="K112" s="527">
        <v>51895000</v>
      </c>
      <c r="L112" s="527">
        <v>1</v>
      </c>
      <c r="M112" s="527">
        <v>52000000</v>
      </c>
      <c r="N112" s="527">
        <v>1</v>
      </c>
      <c r="O112" s="527">
        <v>52000000</v>
      </c>
      <c r="P112" s="527">
        <v>1</v>
      </c>
      <c r="Q112" s="527">
        <v>52000000</v>
      </c>
      <c r="R112" s="527">
        <v>1</v>
      </c>
      <c r="S112" s="527">
        <v>52000000</v>
      </c>
      <c r="T112" s="527">
        <v>1</v>
      </c>
      <c r="U112" s="527">
        <v>52000000</v>
      </c>
      <c r="V112" s="52"/>
      <c r="W112" s="52"/>
      <c r="X112" s="52"/>
      <c r="Y112" s="165"/>
      <c r="Z112" s="165"/>
      <c r="AA112" s="165"/>
      <c r="AB112" s="165"/>
      <c r="AC112" s="165"/>
      <c r="AD112" s="165"/>
      <c r="AE112" s="165"/>
      <c r="AF112" s="165"/>
    </row>
    <row r="113" spans="1:32" ht="30">
      <c r="A113" s="165"/>
      <c r="B113" s="48"/>
      <c r="C113" s="48"/>
      <c r="D113" s="49"/>
      <c r="E113" s="49"/>
      <c r="F113" s="50"/>
      <c r="G113" s="58" t="s">
        <v>2293</v>
      </c>
      <c r="H113" s="233">
        <v>0</v>
      </c>
      <c r="I113" s="233">
        <v>100</v>
      </c>
      <c r="J113" s="233">
        <v>99</v>
      </c>
      <c r="K113" s="527">
        <v>77543900</v>
      </c>
      <c r="L113" s="527">
        <v>100</v>
      </c>
      <c r="M113" s="527">
        <v>80000000</v>
      </c>
      <c r="N113" s="527">
        <v>100</v>
      </c>
      <c r="O113" s="527">
        <v>90000000</v>
      </c>
      <c r="P113" s="527">
        <v>100</v>
      </c>
      <c r="Q113" s="527">
        <v>95000000</v>
      </c>
      <c r="R113" s="527">
        <v>100</v>
      </c>
      <c r="S113" s="527">
        <v>100000000</v>
      </c>
      <c r="T113" s="527">
        <v>100</v>
      </c>
      <c r="U113" s="527">
        <v>100000000</v>
      </c>
      <c r="V113" s="52"/>
      <c r="W113" s="52"/>
      <c r="X113" s="52"/>
      <c r="Y113" s="165"/>
      <c r="Z113" s="165"/>
      <c r="AA113" s="165"/>
      <c r="AB113" s="165"/>
      <c r="AC113" s="165"/>
      <c r="AD113" s="165"/>
      <c r="AE113" s="165"/>
      <c r="AF113" s="165"/>
    </row>
    <row r="114" spans="1:32" ht="30">
      <c r="A114" s="165"/>
      <c r="B114" s="48"/>
      <c r="C114" s="48"/>
      <c r="D114" s="49"/>
      <c r="E114" s="49"/>
      <c r="F114" s="50"/>
      <c r="G114" s="58" t="s">
        <v>2294</v>
      </c>
      <c r="H114" s="233">
        <v>100</v>
      </c>
      <c r="I114" s="233">
        <v>0</v>
      </c>
      <c r="J114" s="233">
        <v>0</v>
      </c>
      <c r="K114" s="527">
        <v>0</v>
      </c>
      <c r="L114" s="527">
        <v>1</v>
      </c>
      <c r="M114" s="527">
        <v>50000000</v>
      </c>
      <c r="N114" s="527">
        <v>1</v>
      </c>
      <c r="O114" s="527">
        <v>50000000</v>
      </c>
      <c r="P114" s="527">
        <v>1</v>
      </c>
      <c r="Q114" s="527">
        <v>50000000</v>
      </c>
      <c r="R114" s="527">
        <v>1</v>
      </c>
      <c r="S114" s="527">
        <v>50000000</v>
      </c>
      <c r="T114" s="527">
        <v>1</v>
      </c>
      <c r="U114" s="527">
        <v>50000000</v>
      </c>
      <c r="V114" s="52"/>
      <c r="W114" s="52"/>
      <c r="X114" s="52"/>
      <c r="Y114" s="165"/>
      <c r="Z114" s="165"/>
      <c r="AA114" s="165"/>
      <c r="AB114" s="165"/>
      <c r="AC114" s="165"/>
      <c r="AD114" s="165"/>
      <c r="AE114" s="165"/>
      <c r="AF114" s="165"/>
    </row>
    <row r="115" spans="1:32" ht="45">
      <c r="A115" s="165"/>
      <c r="B115" s="48"/>
      <c r="C115" s="66"/>
      <c r="D115" s="67"/>
      <c r="E115" s="67"/>
      <c r="F115" s="68"/>
      <c r="G115" s="58" t="s">
        <v>2295</v>
      </c>
      <c r="H115" s="233">
        <v>99.37</v>
      </c>
      <c r="I115" s="233">
        <v>0</v>
      </c>
      <c r="J115" s="233">
        <v>0</v>
      </c>
      <c r="K115" s="527">
        <v>0</v>
      </c>
      <c r="L115" s="527">
        <v>1</v>
      </c>
      <c r="M115" s="527">
        <v>90000000</v>
      </c>
      <c r="N115" s="527">
        <v>1</v>
      </c>
      <c r="O115" s="527">
        <v>90000000</v>
      </c>
      <c r="P115" s="527">
        <v>0</v>
      </c>
      <c r="Q115" s="527">
        <v>0</v>
      </c>
      <c r="R115" s="527">
        <v>0</v>
      </c>
      <c r="S115" s="527">
        <v>0</v>
      </c>
      <c r="T115" s="527">
        <v>0</v>
      </c>
      <c r="U115" s="527">
        <v>0</v>
      </c>
      <c r="V115" s="52"/>
      <c r="W115" s="52"/>
      <c r="X115" s="52"/>
      <c r="Y115" s="165"/>
      <c r="Z115" s="165"/>
      <c r="AA115" s="165"/>
      <c r="AB115" s="165"/>
      <c r="AC115" s="165"/>
      <c r="AD115" s="165"/>
      <c r="AE115" s="165"/>
      <c r="AF115" s="165"/>
    </row>
    <row r="116" spans="1:32" s="540" customFormat="1" ht="30">
      <c r="B116" s="545"/>
      <c r="C116" s="593">
        <f>'[4]matrik MISI 4'!P34</f>
        <v>1.01</v>
      </c>
      <c r="D116" s="594" t="str">
        <f>'[4]matrik MISI 4'!Q34</f>
        <v>xx</v>
      </c>
      <c r="E116" s="594">
        <f>'[4]matrik MISI 4'!R34</f>
        <v>17</v>
      </c>
      <c r="F116" s="595" t="str">
        <f>'[4]matrik MISI 4'!S34</f>
        <v xml:space="preserve">Program pendidikan menengah </v>
      </c>
      <c r="G116" s="548"/>
      <c r="H116" s="550"/>
      <c r="I116" s="550"/>
      <c r="J116" s="550"/>
      <c r="K116" s="551">
        <f>SUM(K117:K161)</f>
        <v>16340145100</v>
      </c>
      <c r="L116" s="551">
        <f t="shared" ref="L116:S116" si="2">SUM(L117:L161)</f>
        <v>6514.9045781895747</v>
      </c>
      <c r="M116" s="551">
        <f t="shared" si="2"/>
        <v>16450985000</v>
      </c>
      <c r="N116" s="551">
        <f t="shared" si="2"/>
        <v>28614.537322669072</v>
      </c>
      <c r="O116" s="551">
        <f t="shared" si="2"/>
        <v>18086620000</v>
      </c>
      <c r="P116" s="551">
        <f t="shared" si="2"/>
        <v>8576.9445781895738</v>
      </c>
      <c r="Q116" s="551">
        <f t="shared" si="2"/>
        <v>16961620000</v>
      </c>
      <c r="R116" s="551">
        <f t="shared" si="2"/>
        <v>8543.0145781895735</v>
      </c>
      <c r="S116" s="551">
        <f t="shared" si="2"/>
        <v>16551620000</v>
      </c>
      <c r="T116" s="550"/>
      <c r="U116" s="550"/>
      <c r="V116" s="550"/>
      <c r="W116" s="550"/>
      <c r="X116" s="550" t="str">
        <f>'[4]matrik MISI 4'!AE34</f>
        <v>Dinas Pendidikan</v>
      </c>
    </row>
    <row r="117" spans="1:32" ht="75">
      <c r="A117" s="165"/>
      <c r="B117" s="48"/>
      <c r="C117" s="62"/>
      <c r="D117" s="63"/>
      <c r="E117" s="63"/>
      <c r="F117" s="64"/>
      <c r="G117" s="58" t="s">
        <v>2150</v>
      </c>
      <c r="H117" s="527">
        <v>0</v>
      </c>
      <c r="I117" s="527">
        <v>0</v>
      </c>
      <c r="J117" s="527">
        <v>0</v>
      </c>
      <c r="K117" s="527">
        <v>0</v>
      </c>
      <c r="L117" s="527"/>
      <c r="M117" s="527"/>
      <c r="N117" s="527">
        <v>35</v>
      </c>
      <c r="O117" s="527">
        <v>10000000</v>
      </c>
      <c r="P117" s="527">
        <v>35</v>
      </c>
      <c r="Q117" s="527">
        <v>10000000</v>
      </c>
      <c r="R117" s="527">
        <v>0</v>
      </c>
      <c r="S117" s="527">
        <v>0</v>
      </c>
      <c r="T117" s="527">
        <v>0</v>
      </c>
      <c r="U117" s="527">
        <v>0</v>
      </c>
      <c r="V117" s="52"/>
      <c r="W117" s="52"/>
      <c r="X117" s="52"/>
      <c r="Y117" s="165"/>
      <c r="Z117" s="165"/>
      <c r="AA117" s="165"/>
      <c r="AB117" s="165"/>
      <c r="AC117" s="165"/>
      <c r="AD117" s="165"/>
      <c r="AE117" s="165"/>
      <c r="AF117" s="165"/>
    </row>
    <row r="118" spans="1:32" ht="75">
      <c r="A118" s="165"/>
      <c r="B118" s="48"/>
      <c r="C118" s="48"/>
      <c r="D118" s="49"/>
      <c r="E118" s="49"/>
      <c r="F118" s="50"/>
      <c r="G118" s="58" t="s">
        <v>2151</v>
      </c>
      <c r="H118" s="527">
        <v>0</v>
      </c>
      <c r="I118" s="527">
        <v>0</v>
      </c>
      <c r="J118" s="527">
        <v>0</v>
      </c>
      <c r="K118" s="527">
        <v>0</v>
      </c>
      <c r="L118" s="527"/>
      <c r="M118" s="527"/>
      <c r="N118" s="527">
        <v>50</v>
      </c>
      <c r="O118" s="527">
        <f>N118*500000</f>
        <v>25000000</v>
      </c>
      <c r="P118" s="527"/>
      <c r="Q118" s="527"/>
      <c r="R118" s="527"/>
      <c r="S118" s="527"/>
      <c r="T118" s="527"/>
      <c r="U118" s="527"/>
      <c r="V118" s="52"/>
      <c r="W118" s="52"/>
      <c r="X118" s="52"/>
      <c r="Y118" s="165"/>
      <c r="Z118" s="165"/>
      <c r="AA118" s="165"/>
      <c r="AB118" s="165"/>
      <c r="AC118" s="165"/>
      <c r="AD118" s="165"/>
      <c r="AE118" s="165"/>
      <c r="AF118" s="165"/>
    </row>
    <row r="119" spans="1:32" ht="135">
      <c r="A119" s="165"/>
      <c r="B119" s="48"/>
      <c r="C119" s="48"/>
      <c r="D119" s="49"/>
      <c r="E119" s="49"/>
      <c r="F119" s="50"/>
      <c r="G119" s="401" t="s">
        <v>2152</v>
      </c>
      <c r="H119" s="527">
        <v>0</v>
      </c>
      <c r="I119" s="527">
        <v>0</v>
      </c>
      <c r="J119" s="527">
        <v>0</v>
      </c>
      <c r="K119" s="527">
        <v>0</v>
      </c>
      <c r="L119" s="527"/>
      <c r="M119" s="527"/>
      <c r="N119" s="527">
        <v>2000</v>
      </c>
      <c r="O119" s="527">
        <f>N119*25000</f>
        <v>50000000</v>
      </c>
      <c r="P119" s="527">
        <v>2000</v>
      </c>
      <c r="Q119" s="527">
        <f>P119*25000</f>
        <v>50000000</v>
      </c>
      <c r="R119" s="527">
        <v>2000</v>
      </c>
      <c r="S119" s="527">
        <f>R119*25000</f>
        <v>50000000</v>
      </c>
      <c r="T119" s="527">
        <v>2000</v>
      </c>
      <c r="U119" s="527">
        <f>T119*25000</f>
        <v>50000000</v>
      </c>
      <c r="V119" s="52"/>
      <c r="W119" s="52"/>
      <c r="X119" s="52"/>
      <c r="Y119" s="165"/>
      <c r="Z119" s="165"/>
      <c r="AA119" s="165"/>
      <c r="AB119" s="165"/>
      <c r="AC119" s="165"/>
      <c r="AD119" s="165"/>
      <c r="AE119" s="165"/>
      <c r="AF119" s="165"/>
    </row>
    <row r="120" spans="1:32" ht="45">
      <c r="A120" s="165"/>
      <c r="B120" s="48"/>
      <c r="C120" s="48"/>
      <c r="D120" s="49"/>
      <c r="E120" s="49"/>
      <c r="F120" s="50"/>
      <c r="G120" s="58" t="s">
        <v>2006</v>
      </c>
      <c r="H120" s="233">
        <v>56.56</v>
      </c>
      <c r="I120" s="233">
        <v>44.56</v>
      </c>
      <c r="J120" s="233">
        <f>H120+0.1</f>
        <v>56.660000000000004</v>
      </c>
      <c r="K120" s="52"/>
      <c r="L120" s="233">
        <f>J120+0.1</f>
        <v>56.760000000000005</v>
      </c>
      <c r="M120" s="52"/>
      <c r="N120" s="233">
        <f>L120+0.1</f>
        <v>56.860000000000007</v>
      </c>
      <c r="O120" s="52"/>
      <c r="P120" s="233">
        <f>N120+0.1</f>
        <v>56.960000000000008</v>
      </c>
      <c r="Q120" s="52"/>
      <c r="R120" s="233">
        <f>P120+0.1</f>
        <v>57.060000000000009</v>
      </c>
      <c r="S120" s="52"/>
      <c r="T120" s="233">
        <f>R120+0.1</f>
        <v>57.160000000000011</v>
      </c>
      <c r="U120" s="52"/>
      <c r="V120" s="52"/>
      <c r="W120" s="52"/>
      <c r="X120" s="52"/>
      <c r="Y120" s="165"/>
      <c r="Z120" s="165"/>
      <c r="AA120" s="165"/>
      <c r="AB120" s="165"/>
      <c r="AC120" s="165"/>
      <c r="AD120" s="165"/>
      <c r="AE120" s="165"/>
      <c r="AF120" s="165"/>
    </row>
    <row r="121" spans="1:32" ht="45">
      <c r="A121" s="165"/>
      <c r="B121" s="48"/>
      <c r="C121" s="48"/>
      <c r="D121" s="49"/>
      <c r="E121" s="49"/>
      <c r="F121" s="50"/>
      <c r="G121" s="58" t="s">
        <v>2007</v>
      </c>
      <c r="H121" s="233">
        <v>39.549999999999997</v>
      </c>
      <c r="I121" s="233">
        <v>30.94</v>
      </c>
      <c r="J121" s="233">
        <f>H121+0.1</f>
        <v>39.65</v>
      </c>
      <c r="K121" s="527"/>
      <c r="L121" s="233">
        <f>J121+0.1</f>
        <v>39.75</v>
      </c>
      <c r="M121" s="527"/>
      <c r="N121" s="233">
        <f>L121+0.1</f>
        <v>39.85</v>
      </c>
      <c r="O121" s="527"/>
      <c r="P121" s="233">
        <f>N121+0.1</f>
        <v>39.950000000000003</v>
      </c>
      <c r="Q121" s="527"/>
      <c r="R121" s="233">
        <f>P121+0.1</f>
        <v>40.050000000000004</v>
      </c>
      <c r="S121" s="527"/>
      <c r="T121" s="233">
        <f>R121+0.1</f>
        <v>40.150000000000006</v>
      </c>
      <c r="U121" s="527"/>
      <c r="V121" s="52"/>
      <c r="W121" s="52"/>
      <c r="X121" s="52"/>
      <c r="Y121" s="165"/>
      <c r="Z121" s="165"/>
      <c r="AA121" s="165"/>
      <c r="AB121" s="165"/>
      <c r="AC121" s="165"/>
      <c r="AD121" s="165"/>
      <c r="AE121" s="165"/>
      <c r="AF121" s="165"/>
    </row>
    <row r="122" spans="1:32" ht="60">
      <c r="A122" s="165"/>
      <c r="B122" s="48"/>
      <c r="C122" s="48"/>
      <c r="D122" s="49"/>
      <c r="E122" s="49"/>
      <c r="F122" s="50"/>
      <c r="G122" s="58" t="s">
        <v>1156</v>
      </c>
      <c r="H122" s="233">
        <v>65.479140850888058</v>
      </c>
      <c r="I122" s="233">
        <v>82.72</v>
      </c>
      <c r="J122" s="233">
        <f>H122+0.09</f>
        <v>65.569140850888061</v>
      </c>
      <c r="K122" s="527"/>
      <c r="L122" s="233">
        <f>J122+0.09</f>
        <v>65.659140850888065</v>
      </c>
      <c r="M122" s="527"/>
      <c r="N122" s="233">
        <f>L122+0.09</f>
        <v>65.749140850888068</v>
      </c>
      <c r="O122" s="527"/>
      <c r="P122" s="233">
        <f>N122+0.09</f>
        <v>65.839140850888072</v>
      </c>
      <c r="Q122" s="527"/>
      <c r="R122" s="233">
        <f>P122+0.09</f>
        <v>65.929140850888075</v>
      </c>
      <c r="S122" s="527"/>
      <c r="T122" s="233">
        <f>R122+0.09</f>
        <v>66.019140850888078</v>
      </c>
      <c r="U122" s="527"/>
      <c r="V122" s="52"/>
      <c r="W122" s="52"/>
      <c r="X122" s="52"/>
      <c r="Y122" s="165"/>
      <c r="Z122" s="165"/>
      <c r="AA122" s="165"/>
      <c r="AB122" s="165"/>
      <c r="AC122" s="165"/>
      <c r="AD122" s="165"/>
      <c r="AE122" s="165"/>
      <c r="AF122" s="165"/>
    </row>
    <row r="123" spans="1:32" ht="60">
      <c r="A123" s="165"/>
      <c r="B123" s="48"/>
      <c r="C123" s="48"/>
      <c r="D123" s="49"/>
      <c r="E123" s="49"/>
      <c r="F123" s="50"/>
      <c r="G123" s="58" t="s">
        <v>2008</v>
      </c>
      <c r="H123" s="233">
        <v>51.247836525040483</v>
      </c>
      <c r="I123" s="233">
        <v>0</v>
      </c>
      <c r="J123" s="233">
        <v>51.25</v>
      </c>
      <c r="K123" s="527"/>
      <c r="L123" s="233">
        <f>J123-0.08</f>
        <v>51.17</v>
      </c>
      <c r="M123" s="527"/>
      <c r="N123" s="233">
        <f>L123-0.08</f>
        <v>51.09</v>
      </c>
      <c r="O123" s="527"/>
      <c r="P123" s="233">
        <f>N123-0.08</f>
        <v>51.010000000000005</v>
      </c>
      <c r="Q123" s="527"/>
      <c r="R123" s="233">
        <f>P123-0.08</f>
        <v>50.930000000000007</v>
      </c>
      <c r="S123" s="527"/>
      <c r="T123" s="233">
        <f>R123-0.08</f>
        <v>50.850000000000009</v>
      </c>
      <c r="U123" s="527"/>
      <c r="V123" s="52"/>
      <c r="W123" s="52"/>
      <c r="X123" s="52"/>
      <c r="Y123" s="165"/>
      <c r="Z123" s="165"/>
      <c r="AA123" s="165"/>
      <c r="AB123" s="165"/>
      <c r="AC123" s="165"/>
      <c r="AD123" s="165"/>
      <c r="AE123" s="165"/>
      <c r="AF123" s="165"/>
    </row>
    <row r="124" spans="1:32" ht="30">
      <c r="A124" s="165"/>
      <c r="B124" s="48"/>
      <c r="C124" s="48"/>
      <c r="D124" s="49"/>
      <c r="E124" s="49"/>
      <c r="F124" s="50"/>
      <c r="G124" s="58" t="s">
        <v>1159</v>
      </c>
      <c r="H124" s="234" t="s">
        <v>1160</v>
      </c>
      <c r="I124" s="527">
        <v>0</v>
      </c>
      <c r="J124" s="234" t="s">
        <v>1160</v>
      </c>
      <c r="K124" s="527"/>
      <c r="L124" s="234" t="s">
        <v>2169</v>
      </c>
      <c r="M124" s="527"/>
      <c r="N124" s="234" t="s">
        <v>2169</v>
      </c>
      <c r="O124" s="527"/>
      <c r="P124" s="234" t="s">
        <v>2170</v>
      </c>
      <c r="Q124" s="527"/>
      <c r="R124" s="234" t="s">
        <v>2170</v>
      </c>
      <c r="S124" s="527"/>
      <c r="T124" s="234" t="s">
        <v>2170</v>
      </c>
      <c r="U124" s="527"/>
      <c r="V124" s="52"/>
      <c r="W124" s="52"/>
      <c r="X124" s="52"/>
      <c r="Y124" s="165"/>
      <c r="Z124" s="165"/>
      <c r="AA124" s="165"/>
      <c r="AB124" s="165"/>
      <c r="AC124" s="165"/>
      <c r="AD124" s="165"/>
      <c r="AE124" s="165"/>
      <c r="AF124" s="165"/>
    </row>
    <row r="125" spans="1:32" ht="30">
      <c r="A125" s="165"/>
      <c r="B125" s="48"/>
      <c r="C125" s="48"/>
      <c r="D125" s="49"/>
      <c r="E125" s="49"/>
      <c r="F125" s="50"/>
      <c r="G125" s="58" t="s">
        <v>1162</v>
      </c>
      <c r="H125" s="234" t="s">
        <v>1163</v>
      </c>
      <c r="I125" s="527">
        <v>0</v>
      </c>
      <c r="J125" s="234" t="s">
        <v>1163</v>
      </c>
      <c r="K125" s="527"/>
      <c r="L125" s="234" t="s">
        <v>1163</v>
      </c>
      <c r="M125" s="527"/>
      <c r="N125" s="234" t="s">
        <v>1163</v>
      </c>
      <c r="O125" s="527"/>
      <c r="P125" s="234" t="s">
        <v>1163</v>
      </c>
      <c r="Q125" s="527"/>
      <c r="R125" s="234" t="s">
        <v>1163</v>
      </c>
      <c r="S125" s="527"/>
      <c r="T125" s="234" t="s">
        <v>1163</v>
      </c>
      <c r="U125" s="527"/>
      <c r="V125" s="52"/>
      <c r="W125" s="52"/>
      <c r="X125" s="52"/>
      <c r="Y125" s="165"/>
      <c r="Z125" s="165"/>
      <c r="AA125" s="165"/>
      <c r="AB125" s="165"/>
      <c r="AC125" s="165"/>
      <c r="AD125" s="165"/>
      <c r="AE125" s="165"/>
      <c r="AF125" s="165"/>
    </row>
    <row r="126" spans="1:32" ht="90">
      <c r="A126" s="165"/>
      <c r="B126" s="48"/>
      <c r="C126" s="48"/>
      <c r="D126" s="49"/>
      <c r="E126" s="49"/>
      <c r="F126" s="50"/>
      <c r="G126" s="58" t="s">
        <v>1165</v>
      </c>
      <c r="H126" s="233"/>
      <c r="I126" s="527"/>
      <c r="J126" s="233"/>
      <c r="K126" s="527"/>
      <c r="L126" s="527"/>
      <c r="M126" s="527"/>
      <c r="N126" s="527"/>
      <c r="O126" s="527"/>
      <c r="P126" s="527"/>
      <c r="Q126" s="527"/>
      <c r="R126" s="527"/>
      <c r="S126" s="527"/>
      <c r="T126" s="527"/>
      <c r="U126" s="527"/>
      <c r="V126" s="52"/>
      <c r="W126" s="52"/>
      <c r="X126" s="52"/>
      <c r="Y126" s="165"/>
      <c r="Z126" s="165"/>
      <c r="AA126" s="165"/>
      <c r="AB126" s="165"/>
      <c r="AC126" s="165"/>
      <c r="AD126" s="165"/>
      <c r="AE126" s="165"/>
      <c r="AF126" s="165"/>
    </row>
    <row r="127" spans="1:32" ht="60">
      <c r="A127" s="165"/>
      <c r="B127" s="48"/>
      <c r="C127" s="48"/>
      <c r="D127" s="49"/>
      <c r="E127" s="49"/>
      <c r="F127" s="50"/>
      <c r="G127" s="58" t="s">
        <v>1167</v>
      </c>
      <c r="H127" s="233"/>
      <c r="I127" s="527"/>
      <c r="J127" s="233"/>
      <c r="K127" s="527"/>
      <c r="L127" s="527"/>
      <c r="M127" s="527"/>
      <c r="N127" s="527"/>
      <c r="O127" s="527"/>
      <c r="P127" s="527"/>
      <c r="Q127" s="527"/>
      <c r="R127" s="527"/>
      <c r="S127" s="527"/>
      <c r="T127" s="527"/>
      <c r="U127" s="527"/>
      <c r="V127" s="52"/>
      <c r="W127" s="52"/>
      <c r="X127" s="52"/>
      <c r="Y127" s="165"/>
      <c r="Z127" s="165"/>
      <c r="AA127" s="165"/>
      <c r="AB127" s="165"/>
      <c r="AC127" s="165"/>
      <c r="AD127" s="165"/>
      <c r="AE127" s="165"/>
      <c r="AF127" s="165"/>
    </row>
    <row r="128" spans="1:32" ht="45">
      <c r="A128" s="165"/>
      <c r="B128" s="48"/>
      <c r="C128" s="48"/>
      <c r="D128" s="49"/>
      <c r="E128" s="49"/>
      <c r="F128" s="50"/>
      <c r="G128" s="58" t="s">
        <v>2171</v>
      </c>
      <c r="H128" s="233">
        <v>43.89</v>
      </c>
      <c r="I128" s="527">
        <v>0</v>
      </c>
      <c r="J128" s="233">
        <v>43.89</v>
      </c>
      <c r="K128" s="527"/>
      <c r="L128" s="233">
        <f>J128+0.08</f>
        <v>43.97</v>
      </c>
      <c r="M128" s="527"/>
      <c r="N128" s="233">
        <f>L128+0.08</f>
        <v>44.05</v>
      </c>
      <c r="O128" s="527"/>
      <c r="P128" s="233">
        <f>N128+0.08</f>
        <v>44.129999999999995</v>
      </c>
      <c r="Q128" s="527"/>
      <c r="R128" s="233">
        <f>P128+0.08</f>
        <v>44.209999999999994</v>
      </c>
      <c r="S128" s="527"/>
      <c r="T128" s="233">
        <f>R128+0.08</f>
        <v>44.289999999999992</v>
      </c>
      <c r="U128" s="527"/>
      <c r="V128" s="52"/>
      <c r="W128" s="52"/>
      <c r="X128" s="52"/>
      <c r="Y128" s="165"/>
      <c r="Z128" s="165"/>
      <c r="AA128" s="165"/>
      <c r="AB128" s="165"/>
      <c r="AC128" s="165"/>
      <c r="AD128" s="165"/>
      <c r="AE128" s="165"/>
      <c r="AF128" s="165"/>
    </row>
    <row r="129" spans="1:32" ht="75">
      <c r="A129" s="165"/>
      <c r="B129" s="48"/>
      <c r="C129" s="48"/>
      <c r="D129" s="49"/>
      <c r="E129" s="49"/>
      <c r="F129" s="50"/>
      <c r="G129" s="401" t="s">
        <v>2172</v>
      </c>
      <c r="H129" s="233">
        <v>100</v>
      </c>
      <c r="I129" s="233">
        <v>100</v>
      </c>
      <c r="J129" s="233">
        <v>99</v>
      </c>
      <c r="K129" s="527">
        <v>188000000</v>
      </c>
      <c r="L129" s="527">
        <v>340</v>
      </c>
      <c r="M129" s="527">
        <v>340000000</v>
      </c>
      <c r="N129" s="527">
        <v>340</v>
      </c>
      <c r="O129" s="527">
        <v>340000000</v>
      </c>
      <c r="P129" s="527">
        <v>340</v>
      </c>
      <c r="Q129" s="527">
        <v>340000000</v>
      </c>
      <c r="R129" s="527">
        <v>340</v>
      </c>
      <c r="S129" s="527">
        <v>340000000</v>
      </c>
      <c r="T129" s="527">
        <v>340</v>
      </c>
      <c r="U129" s="527">
        <v>340000000</v>
      </c>
      <c r="V129" s="52"/>
      <c r="W129" s="52"/>
      <c r="X129" s="52"/>
      <c r="Y129" s="165"/>
      <c r="Z129" s="165"/>
      <c r="AA129" s="165"/>
      <c r="AB129" s="165"/>
      <c r="AC129" s="165"/>
      <c r="AD129" s="165"/>
      <c r="AE129" s="165"/>
      <c r="AF129" s="165"/>
    </row>
    <row r="130" spans="1:32" ht="45">
      <c r="A130" s="165"/>
      <c r="B130" s="48"/>
      <c r="C130" s="48"/>
      <c r="D130" s="49"/>
      <c r="E130" s="49"/>
      <c r="F130" s="50"/>
      <c r="G130" s="58" t="s">
        <v>2173</v>
      </c>
      <c r="H130" s="233">
        <v>99.99</v>
      </c>
      <c r="I130" s="233">
        <v>100</v>
      </c>
      <c r="J130" s="233">
        <v>99</v>
      </c>
      <c r="K130" s="527">
        <v>176800000</v>
      </c>
      <c r="L130" s="527">
        <v>36</v>
      </c>
      <c r="M130" s="527">
        <v>180000000</v>
      </c>
      <c r="N130" s="527">
        <v>36</v>
      </c>
      <c r="O130" s="527">
        <v>180000000</v>
      </c>
      <c r="P130" s="527">
        <v>36</v>
      </c>
      <c r="Q130" s="527">
        <v>180000000</v>
      </c>
      <c r="R130" s="527">
        <v>36</v>
      </c>
      <c r="S130" s="527">
        <v>180000000</v>
      </c>
      <c r="T130" s="527">
        <v>36</v>
      </c>
      <c r="U130" s="527">
        <v>180000000</v>
      </c>
      <c r="V130" s="52"/>
      <c r="W130" s="52"/>
      <c r="X130" s="52"/>
      <c r="Y130" s="165"/>
      <c r="Z130" s="165"/>
      <c r="AA130" s="165"/>
      <c r="AB130" s="165"/>
      <c r="AC130" s="165"/>
      <c r="AD130" s="165"/>
      <c r="AE130" s="165"/>
      <c r="AF130" s="165"/>
    </row>
    <row r="131" spans="1:32" ht="45">
      <c r="A131" s="165"/>
      <c r="B131" s="48"/>
      <c r="C131" s="48"/>
      <c r="D131" s="49"/>
      <c r="E131" s="49"/>
      <c r="F131" s="50"/>
      <c r="G131" s="58" t="s">
        <v>2174</v>
      </c>
      <c r="H131" s="233">
        <v>100</v>
      </c>
      <c r="I131" s="233">
        <v>100</v>
      </c>
      <c r="J131" s="233">
        <v>99</v>
      </c>
      <c r="K131" s="527">
        <v>180000000</v>
      </c>
      <c r="L131" s="527">
        <v>4</v>
      </c>
      <c r="M131" s="527">
        <v>400000000</v>
      </c>
      <c r="N131" s="527">
        <v>4</v>
      </c>
      <c r="O131" s="527">
        <v>400000000</v>
      </c>
      <c r="P131" s="527">
        <v>4</v>
      </c>
      <c r="Q131" s="527">
        <v>400000000</v>
      </c>
      <c r="R131" s="527">
        <v>4</v>
      </c>
      <c r="S131" s="527">
        <v>400000000</v>
      </c>
      <c r="T131" s="527">
        <v>4</v>
      </c>
      <c r="U131" s="527">
        <v>400000000</v>
      </c>
      <c r="V131" s="52"/>
      <c r="W131" s="52"/>
      <c r="X131" s="52"/>
      <c r="Y131" s="165"/>
      <c r="Z131" s="165"/>
      <c r="AA131" s="165"/>
      <c r="AB131" s="165"/>
      <c r="AC131" s="165"/>
      <c r="AD131" s="165"/>
      <c r="AE131" s="165"/>
      <c r="AF131" s="165"/>
    </row>
    <row r="132" spans="1:32" ht="60">
      <c r="A132" s="165"/>
      <c r="B132" s="48"/>
      <c r="C132" s="48"/>
      <c r="D132" s="49"/>
      <c r="E132" s="49"/>
      <c r="F132" s="50"/>
      <c r="G132" s="58" t="s">
        <v>2175</v>
      </c>
      <c r="H132" s="233">
        <v>100</v>
      </c>
      <c r="I132" s="233">
        <v>100</v>
      </c>
      <c r="J132" s="233">
        <v>99</v>
      </c>
      <c r="K132" s="527">
        <v>25000000</v>
      </c>
      <c r="L132" s="527">
        <v>4</v>
      </c>
      <c r="M132" s="527">
        <v>100000000</v>
      </c>
      <c r="N132" s="527">
        <v>4</v>
      </c>
      <c r="O132" s="527">
        <v>100000000</v>
      </c>
      <c r="P132" s="527">
        <v>4</v>
      </c>
      <c r="Q132" s="527">
        <v>100000000</v>
      </c>
      <c r="R132" s="527">
        <v>4</v>
      </c>
      <c r="S132" s="527">
        <v>100000000</v>
      </c>
      <c r="T132" s="527">
        <v>4</v>
      </c>
      <c r="U132" s="527">
        <v>100000000</v>
      </c>
      <c r="V132" s="52"/>
      <c r="W132" s="52"/>
      <c r="X132" s="52"/>
      <c r="Y132" s="165"/>
      <c r="Z132" s="165"/>
      <c r="AA132" s="165"/>
      <c r="AB132" s="165"/>
      <c r="AC132" s="165"/>
      <c r="AD132" s="165"/>
      <c r="AE132" s="165"/>
      <c r="AF132" s="165"/>
    </row>
    <row r="133" spans="1:32" ht="60">
      <c r="A133" s="165"/>
      <c r="B133" s="48"/>
      <c r="C133" s="48"/>
      <c r="D133" s="49"/>
      <c r="E133" s="49"/>
      <c r="F133" s="50"/>
      <c r="G133" s="58" t="s">
        <v>2176</v>
      </c>
      <c r="H133" s="233">
        <v>0</v>
      </c>
      <c r="I133" s="233">
        <v>0</v>
      </c>
      <c r="J133" s="233">
        <v>0</v>
      </c>
      <c r="K133" s="527">
        <v>0</v>
      </c>
      <c r="L133" s="527">
        <v>0</v>
      </c>
      <c r="M133" s="527">
        <v>0</v>
      </c>
      <c r="N133" s="527">
        <v>20000</v>
      </c>
      <c r="O133" s="527">
        <f>N133*75000</f>
        <v>1500000000</v>
      </c>
      <c r="P133" s="527">
        <v>0</v>
      </c>
      <c r="Q133" s="527">
        <v>0</v>
      </c>
      <c r="R133" s="527">
        <v>0</v>
      </c>
      <c r="S133" s="527">
        <v>0</v>
      </c>
      <c r="T133" s="527">
        <v>0</v>
      </c>
      <c r="U133" s="527">
        <v>0</v>
      </c>
      <c r="V133" s="52"/>
      <c r="W133" s="52"/>
      <c r="X133" s="52"/>
      <c r="Y133" s="165"/>
      <c r="Z133" s="165"/>
      <c r="AA133" s="165"/>
      <c r="AB133" s="165"/>
      <c r="AC133" s="165"/>
      <c r="AD133" s="165"/>
      <c r="AE133" s="165"/>
      <c r="AF133" s="165"/>
    </row>
    <row r="134" spans="1:32" ht="45">
      <c r="A134" s="165"/>
      <c r="B134" s="48"/>
      <c r="C134" s="48"/>
      <c r="D134" s="49"/>
      <c r="E134" s="49"/>
      <c r="F134" s="50"/>
      <c r="G134" s="58" t="s">
        <v>2177</v>
      </c>
      <c r="H134" s="233">
        <v>0</v>
      </c>
      <c r="I134" s="233">
        <v>0</v>
      </c>
      <c r="J134" s="233">
        <v>0</v>
      </c>
      <c r="K134" s="527">
        <v>0</v>
      </c>
      <c r="L134" s="527">
        <v>0</v>
      </c>
      <c r="M134" s="527">
        <v>0</v>
      </c>
      <c r="N134" s="527">
        <v>0</v>
      </c>
      <c r="O134" s="527">
        <v>0</v>
      </c>
      <c r="P134" s="527">
        <v>1</v>
      </c>
      <c r="Q134" s="527">
        <v>500000000</v>
      </c>
      <c r="R134" s="527">
        <v>0</v>
      </c>
      <c r="S134" s="527">
        <v>0</v>
      </c>
      <c r="T134" s="527">
        <v>0</v>
      </c>
      <c r="U134" s="527">
        <v>0</v>
      </c>
      <c r="V134" s="52"/>
      <c r="W134" s="52"/>
      <c r="X134" s="52"/>
      <c r="Y134" s="165"/>
      <c r="Z134" s="165"/>
      <c r="AA134" s="165"/>
      <c r="AB134" s="165"/>
      <c r="AC134" s="165"/>
      <c r="AD134" s="165"/>
      <c r="AE134" s="165"/>
      <c r="AF134" s="165"/>
    </row>
    <row r="135" spans="1:32" ht="60">
      <c r="A135" s="165"/>
      <c r="B135" s="48"/>
      <c r="C135" s="48"/>
      <c r="D135" s="49"/>
      <c r="E135" s="49"/>
      <c r="F135" s="50"/>
      <c r="G135" s="58" t="s">
        <v>2216</v>
      </c>
      <c r="H135" s="233">
        <v>75.02</v>
      </c>
      <c r="I135" s="233">
        <v>100</v>
      </c>
      <c r="J135" s="233">
        <v>98</v>
      </c>
      <c r="K135" s="527">
        <v>150000000</v>
      </c>
      <c r="L135" s="527">
        <v>30</v>
      </c>
      <c r="M135" s="527">
        <v>150000000</v>
      </c>
      <c r="N135" s="527">
        <v>30</v>
      </c>
      <c r="O135" s="527">
        <v>150000000</v>
      </c>
      <c r="P135" s="527">
        <v>30</v>
      </c>
      <c r="Q135" s="527">
        <v>150000000</v>
      </c>
      <c r="R135" s="527">
        <v>30</v>
      </c>
      <c r="S135" s="527">
        <v>150000000</v>
      </c>
      <c r="T135" s="527">
        <v>30</v>
      </c>
      <c r="U135" s="527">
        <v>150000000</v>
      </c>
      <c r="V135" s="52"/>
      <c r="W135" s="52"/>
      <c r="X135" s="52"/>
      <c r="Y135" s="165"/>
      <c r="Z135" s="165"/>
      <c r="AA135" s="165"/>
      <c r="AB135" s="165"/>
      <c r="AC135" s="165"/>
      <c r="AD135" s="165"/>
      <c r="AE135" s="165"/>
      <c r="AF135" s="165"/>
    </row>
    <row r="136" spans="1:32" ht="45">
      <c r="A136" s="165"/>
      <c r="B136" s="48"/>
      <c r="C136" s="48"/>
      <c r="D136" s="49"/>
      <c r="E136" s="49"/>
      <c r="F136" s="50"/>
      <c r="G136" s="58" t="s">
        <v>2217</v>
      </c>
      <c r="H136" s="233">
        <v>34.78</v>
      </c>
      <c r="I136" s="233">
        <v>100</v>
      </c>
      <c r="J136" s="233">
        <v>98</v>
      </c>
      <c r="K136" s="527">
        <v>75000000</v>
      </c>
      <c r="L136" s="527">
        <f>3*6*3</f>
        <v>54</v>
      </c>
      <c r="M136" s="527">
        <v>75000000</v>
      </c>
      <c r="N136" s="527">
        <v>54</v>
      </c>
      <c r="O136" s="527">
        <v>75000000</v>
      </c>
      <c r="P136" s="527">
        <v>54</v>
      </c>
      <c r="Q136" s="527">
        <v>75000000</v>
      </c>
      <c r="R136" s="527">
        <v>54</v>
      </c>
      <c r="S136" s="527">
        <v>75000000</v>
      </c>
      <c r="T136" s="527">
        <v>54</v>
      </c>
      <c r="U136" s="527">
        <v>75000000</v>
      </c>
      <c r="V136" s="52"/>
      <c r="W136" s="52"/>
      <c r="X136" s="52"/>
      <c r="Y136" s="165"/>
      <c r="Z136" s="165"/>
      <c r="AA136" s="165"/>
      <c r="AB136" s="165"/>
      <c r="AC136" s="165"/>
      <c r="AD136" s="165"/>
      <c r="AE136" s="165"/>
      <c r="AF136" s="165"/>
    </row>
    <row r="137" spans="1:32" ht="45">
      <c r="A137" s="165"/>
      <c r="B137" s="48"/>
      <c r="C137" s="48"/>
      <c r="D137" s="49"/>
      <c r="E137" s="49"/>
      <c r="F137" s="50"/>
      <c r="G137" s="58" t="s">
        <v>2218</v>
      </c>
      <c r="H137" s="233">
        <v>100</v>
      </c>
      <c r="I137" s="233">
        <v>100</v>
      </c>
      <c r="J137" s="233">
        <v>97</v>
      </c>
      <c r="K137" s="527">
        <v>40000000</v>
      </c>
      <c r="L137" s="527">
        <v>4</v>
      </c>
      <c r="M137" s="527">
        <v>80000000</v>
      </c>
      <c r="N137" s="527">
        <v>4</v>
      </c>
      <c r="O137" s="527">
        <v>80000000</v>
      </c>
      <c r="P137" s="527">
        <v>4</v>
      </c>
      <c r="Q137" s="527">
        <v>80000000</v>
      </c>
      <c r="R137" s="527">
        <v>4</v>
      </c>
      <c r="S137" s="527">
        <v>80000000</v>
      </c>
      <c r="T137" s="527">
        <v>4</v>
      </c>
      <c r="U137" s="527">
        <v>80000000</v>
      </c>
      <c r="V137" s="52"/>
      <c r="W137" s="52"/>
      <c r="X137" s="52"/>
      <c r="Y137" s="165"/>
      <c r="Z137" s="165"/>
      <c r="AA137" s="165"/>
      <c r="AB137" s="165"/>
      <c r="AC137" s="165"/>
      <c r="AD137" s="165"/>
      <c r="AE137" s="165"/>
      <c r="AF137" s="165"/>
    </row>
    <row r="138" spans="1:32" ht="45">
      <c r="A138" s="165"/>
      <c r="B138" s="48"/>
      <c r="C138" s="48"/>
      <c r="D138" s="49"/>
      <c r="E138" s="49"/>
      <c r="F138" s="50"/>
      <c r="G138" s="58" t="s">
        <v>2219</v>
      </c>
      <c r="H138" s="233">
        <v>0</v>
      </c>
      <c r="I138" s="233">
        <v>100</v>
      </c>
      <c r="J138" s="233">
        <v>97</v>
      </c>
      <c r="K138" s="527">
        <v>25000000</v>
      </c>
      <c r="L138" s="527">
        <v>2</v>
      </c>
      <c r="M138" s="527">
        <v>100000000</v>
      </c>
      <c r="N138" s="527">
        <v>2</v>
      </c>
      <c r="O138" s="527">
        <v>50000000</v>
      </c>
      <c r="P138" s="527">
        <v>2</v>
      </c>
      <c r="Q138" s="527">
        <v>50000000</v>
      </c>
      <c r="R138" s="527">
        <v>2</v>
      </c>
      <c r="S138" s="527">
        <v>50000000</v>
      </c>
      <c r="T138" s="527">
        <v>2</v>
      </c>
      <c r="U138" s="527">
        <v>50000000</v>
      </c>
      <c r="V138" s="52"/>
      <c r="W138" s="52"/>
      <c r="X138" s="52"/>
      <c r="Y138" s="165"/>
      <c r="Z138" s="165"/>
      <c r="AA138" s="165"/>
      <c r="AB138" s="165"/>
      <c r="AC138" s="165"/>
      <c r="AD138" s="165"/>
      <c r="AE138" s="165"/>
      <c r="AF138" s="165"/>
    </row>
    <row r="139" spans="1:32" ht="45">
      <c r="A139" s="165"/>
      <c r="B139" s="48"/>
      <c r="C139" s="48"/>
      <c r="D139" s="49"/>
      <c r="E139" s="49"/>
      <c r="F139" s="50"/>
      <c r="G139" s="58" t="s">
        <v>2220</v>
      </c>
      <c r="H139" s="233">
        <v>100</v>
      </c>
      <c r="I139" s="233">
        <v>100</v>
      </c>
      <c r="J139" s="233">
        <v>98</v>
      </c>
      <c r="K139" s="527">
        <v>22500000</v>
      </c>
      <c r="L139" s="527">
        <v>3</v>
      </c>
      <c r="M139" s="527">
        <v>37500000</v>
      </c>
      <c r="N139" s="527">
        <v>3</v>
      </c>
      <c r="O139" s="527">
        <v>37500000</v>
      </c>
      <c r="P139" s="527">
        <v>3</v>
      </c>
      <c r="Q139" s="527">
        <v>37500000</v>
      </c>
      <c r="R139" s="527">
        <v>3</v>
      </c>
      <c r="S139" s="527">
        <v>37500000</v>
      </c>
      <c r="T139" s="527">
        <v>3</v>
      </c>
      <c r="U139" s="527">
        <v>37500000</v>
      </c>
      <c r="V139" s="52"/>
      <c r="W139" s="52"/>
      <c r="X139" s="52"/>
      <c r="Y139" s="165"/>
      <c r="Z139" s="165"/>
      <c r="AA139" s="165"/>
      <c r="AB139" s="165"/>
      <c r="AC139" s="165"/>
      <c r="AD139" s="165"/>
      <c r="AE139" s="165"/>
      <c r="AF139" s="165"/>
    </row>
    <row r="140" spans="1:32" ht="60">
      <c r="A140" s="165"/>
      <c r="B140" s="48"/>
      <c r="C140" s="48"/>
      <c r="D140" s="49"/>
      <c r="E140" s="49"/>
      <c r="F140" s="50"/>
      <c r="G140" s="58" t="s">
        <v>2223</v>
      </c>
      <c r="H140" s="233">
        <v>100</v>
      </c>
      <c r="I140" s="233">
        <v>100</v>
      </c>
      <c r="J140" s="233">
        <v>98</v>
      </c>
      <c r="K140" s="527">
        <v>20000000</v>
      </c>
      <c r="L140" s="527">
        <v>2</v>
      </c>
      <c r="M140" s="527">
        <v>40000000</v>
      </c>
      <c r="N140" s="527">
        <v>2</v>
      </c>
      <c r="O140" s="527">
        <v>40000000</v>
      </c>
      <c r="P140" s="527">
        <v>2</v>
      </c>
      <c r="Q140" s="527">
        <v>40000000</v>
      </c>
      <c r="R140" s="527">
        <v>2</v>
      </c>
      <c r="S140" s="527">
        <v>40000000</v>
      </c>
      <c r="T140" s="527">
        <v>2</v>
      </c>
      <c r="U140" s="527">
        <v>40000000</v>
      </c>
      <c r="V140" s="52"/>
      <c r="W140" s="52"/>
      <c r="X140" s="52"/>
      <c r="Y140" s="165"/>
      <c r="Z140" s="165"/>
      <c r="AA140" s="165"/>
      <c r="AB140" s="165"/>
      <c r="AC140" s="165"/>
      <c r="AD140" s="165"/>
      <c r="AE140" s="165"/>
      <c r="AF140" s="165"/>
    </row>
    <row r="141" spans="1:32" ht="45">
      <c r="A141" s="165"/>
      <c r="B141" s="48"/>
      <c r="C141" s="48"/>
      <c r="D141" s="49"/>
      <c r="E141" s="49"/>
      <c r="F141" s="50"/>
      <c r="G141" s="58" t="s">
        <v>2224</v>
      </c>
      <c r="H141" s="233">
        <v>100</v>
      </c>
      <c r="I141" s="233">
        <v>100</v>
      </c>
      <c r="J141" s="233">
        <v>99</v>
      </c>
      <c r="K141" s="527">
        <v>15000000</v>
      </c>
      <c r="L141" s="527">
        <v>4</v>
      </c>
      <c r="M141" s="527">
        <v>14445000</v>
      </c>
      <c r="N141" s="527">
        <v>4</v>
      </c>
      <c r="O141" s="527">
        <v>15000000</v>
      </c>
      <c r="P141" s="527">
        <v>4</v>
      </c>
      <c r="Q141" s="527">
        <v>15000000</v>
      </c>
      <c r="R141" s="527">
        <v>4</v>
      </c>
      <c r="S141" s="527">
        <v>15000000</v>
      </c>
      <c r="T141" s="527">
        <v>4</v>
      </c>
      <c r="U141" s="527">
        <v>15000000</v>
      </c>
      <c r="V141" s="52"/>
      <c r="W141" s="52"/>
      <c r="X141" s="52"/>
      <c r="Y141" s="165"/>
      <c r="Z141" s="165"/>
      <c r="AA141" s="165"/>
      <c r="AB141" s="165"/>
      <c r="AC141" s="165"/>
      <c r="AD141" s="165"/>
      <c r="AE141" s="165"/>
      <c r="AF141" s="165"/>
    </row>
    <row r="142" spans="1:32" ht="45">
      <c r="A142" s="165"/>
      <c r="B142" s="48"/>
      <c r="C142" s="48"/>
      <c r="D142" s="49"/>
      <c r="E142" s="49"/>
      <c r="F142" s="50"/>
      <c r="G142" s="58" t="s">
        <v>2225</v>
      </c>
      <c r="H142" s="233">
        <v>0</v>
      </c>
      <c r="I142" s="233">
        <v>0</v>
      </c>
      <c r="J142" s="233">
        <v>0</v>
      </c>
      <c r="K142" s="527">
        <v>0</v>
      </c>
      <c r="L142" s="527">
        <v>1</v>
      </c>
      <c r="M142" s="527">
        <v>50000000</v>
      </c>
      <c r="N142" s="527">
        <v>1</v>
      </c>
      <c r="O142" s="527">
        <v>50000000</v>
      </c>
      <c r="P142" s="527">
        <v>1</v>
      </c>
      <c r="Q142" s="527">
        <v>50000000</v>
      </c>
      <c r="R142" s="527">
        <v>1</v>
      </c>
      <c r="S142" s="527">
        <v>50000000</v>
      </c>
      <c r="T142" s="527">
        <v>1</v>
      </c>
      <c r="U142" s="527">
        <v>50000000</v>
      </c>
      <c r="V142" s="52"/>
      <c r="W142" s="52"/>
      <c r="X142" s="52"/>
      <c r="Y142" s="165"/>
      <c r="Z142" s="165"/>
      <c r="AA142" s="165"/>
      <c r="AB142" s="165"/>
      <c r="AC142" s="165"/>
      <c r="AD142" s="165"/>
      <c r="AE142" s="165"/>
      <c r="AF142" s="165"/>
    </row>
    <row r="143" spans="1:32" ht="105">
      <c r="A143" s="165"/>
      <c r="B143" s="48"/>
      <c r="C143" s="48"/>
      <c r="D143" s="49"/>
      <c r="E143" s="49"/>
      <c r="F143" s="50"/>
      <c r="G143" s="58" t="s">
        <v>2226</v>
      </c>
      <c r="H143" s="233">
        <v>70.25</v>
      </c>
      <c r="I143" s="233">
        <v>100</v>
      </c>
      <c r="J143" s="233">
        <v>97</v>
      </c>
      <c r="K143" s="527">
        <v>100000000</v>
      </c>
      <c r="L143" s="527">
        <v>10</v>
      </c>
      <c r="M143" s="527">
        <v>100000000</v>
      </c>
      <c r="N143" s="527">
        <v>10</v>
      </c>
      <c r="O143" s="527">
        <v>100000000</v>
      </c>
      <c r="P143" s="527">
        <v>10</v>
      </c>
      <c r="Q143" s="527">
        <v>100000000</v>
      </c>
      <c r="R143" s="527">
        <v>10</v>
      </c>
      <c r="S143" s="527">
        <v>100000000</v>
      </c>
      <c r="T143" s="527">
        <v>10</v>
      </c>
      <c r="U143" s="527">
        <v>100000000</v>
      </c>
      <c r="V143" s="52"/>
      <c r="W143" s="52"/>
      <c r="X143" s="52"/>
      <c r="Y143" s="165"/>
      <c r="Z143" s="165"/>
      <c r="AA143" s="165"/>
      <c r="AB143" s="165"/>
      <c r="AC143" s="165"/>
      <c r="AD143" s="165"/>
      <c r="AE143" s="165"/>
      <c r="AF143" s="165"/>
    </row>
    <row r="144" spans="1:32" ht="75">
      <c r="A144" s="165"/>
      <c r="B144" s="48"/>
      <c r="C144" s="48"/>
      <c r="D144" s="49"/>
      <c r="E144" s="49"/>
      <c r="F144" s="50"/>
      <c r="G144" s="58" t="s">
        <v>2227</v>
      </c>
      <c r="H144" s="233">
        <v>99.06</v>
      </c>
      <c r="I144" s="233">
        <v>100</v>
      </c>
      <c r="J144" s="233">
        <v>98</v>
      </c>
      <c r="K144" s="527">
        <v>300000000</v>
      </c>
      <c r="L144" s="527">
        <v>5177</v>
      </c>
      <c r="M144" s="527">
        <v>300000000</v>
      </c>
      <c r="N144" s="527">
        <v>5177</v>
      </c>
      <c r="O144" s="527">
        <v>300000000</v>
      </c>
      <c r="P144" s="527">
        <v>5177</v>
      </c>
      <c r="Q144" s="527">
        <v>300000000</v>
      </c>
      <c r="R144" s="527">
        <v>5177</v>
      </c>
      <c r="S144" s="527">
        <v>300000000</v>
      </c>
      <c r="T144" s="527">
        <v>5177</v>
      </c>
      <c r="U144" s="527">
        <v>300000000</v>
      </c>
      <c r="V144" s="52"/>
      <c r="W144" s="52"/>
      <c r="X144" s="52"/>
      <c r="Y144" s="165"/>
      <c r="Z144" s="165"/>
      <c r="AA144" s="165"/>
      <c r="AB144" s="165"/>
      <c r="AC144" s="165"/>
      <c r="AD144" s="165"/>
      <c r="AE144" s="165"/>
      <c r="AF144" s="165"/>
    </row>
    <row r="145" spans="1:32" ht="45">
      <c r="A145" s="165"/>
      <c r="B145" s="48"/>
      <c r="C145" s="48"/>
      <c r="D145" s="49"/>
      <c r="E145" s="49"/>
      <c r="F145" s="50"/>
      <c r="G145" s="58" t="s">
        <v>1321</v>
      </c>
      <c r="H145" s="233">
        <v>95.31</v>
      </c>
      <c r="I145" s="233">
        <v>96.59</v>
      </c>
      <c r="J145" s="233">
        <v>96.59</v>
      </c>
      <c r="K145" s="233"/>
      <c r="L145" s="162">
        <f>J145+0.78</f>
        <v>97.37</v>
      </c>
      <c r="M145" s="52"/>
      <c r="N145" s="162">
        <f>L145+0.78</f>
        <v>98.15</v>
      </c>
      <c r="O145" s="52"/>
      <c r="P145" s="162">
        <f>N145+0.78</f>
        <v>98.93</v>
      </c>
      <c r="Q145" s="52"/>
      <c r="R145" s="162">
        <f>P145+0.78</f>
        <v>99.710000000000008</v>
      </c>
      <c r="S145" s="52"/>
      <c r="T145" s="162">
        <f>R145+0.78</f>
        <v>100.49000000000001</v>
      </c>
      <c r="U145" s="52"/>
      <c r="V145" s="52"/>
      <c r="W145" s="52"/>
      <c r="X145" s="52"/>
      <c r="Y145" s="165"/>
      <c r="Z145" s="165"/>
      <c r="AA145" s="165"/>
      <c r="AB145" s="165"/>
      <c r="AC145" s="165"/>
      <c r="AD145" s="165"/>
      <c r="AE145" s="165"/>
      <c r="AF145" s="165"/>
    </row>
    <row r="146" spans="1:32" ht="45">
      <c r="A146" s="165"/>
      <c r="B146" s="48"/>
      <c r="C146" s="48"/>
      <c r="D146" s="49"/>
      <c r="E146" s="49"/>
      <c r="F146" s="50"/>
      <c r="G146" s="58" t="s">
        <v>1323</v>
      </c>
      <c r="H146" s="233">
        <v>98.107255520504737</v>
      </c>
      <c r="I146" s="233">
        <v>96.59</v>
      </c>
      <c r="J146" s="233">
        <f>H146+0.64</f>
        <v>98.747255520504737</v>
      </c>
      <c r="K146" s="233"/>
      <c r="L146" s="233">
        <f>J146+0.64</f>
        <v>99.387255520504738</v>
      </c>
      <c r="M146" s="527"/>
      <c r="N146" s="233">
        <v>100</v>
      </c>
      <c r="O146" s="527"/>
      <c r="P146" s="233">
        <v>99.387255520504738</v>
      </c>
      <c r="Q146" s="527"/>
      <c r="R146" s="233">
        <v>99.387255520504738</v>
      </c>
      <c r="S146" s="527"/>
      <c r="T146" s="233">
        <v>99.387255520504738</v>
      </c>
      <c r="U146" s="527"/>
      <c r="V146" s="52"/>
      <c r="W146" s="52"/>
      <c r="X146" s="52"/>
      <c r="Y146" s="165"/>
      <c r="Z146" s="165"/>
      <c r="AA146" s="165"/>
      <c r="AB146" s="165"/>
      <c r="AC146" s="165"/>
      <c r="AD146" s="165"/>
      <c r="AE146" s="165"/>
      <c r="AF146" s="165"/>
    </row>
    <row r="147" spans="1:32" ht="75">
      <c r="A147" s="165"/>
      <c r="B147" s="48"/>
      <c r="C147" s="48"/>
      <c r="D147" s="49"/>
      <c r="E147" s="49"/>
      <c r="F147" s="50"/>
      <c r="G147" s="58" t="s">
        <v>1325</v>
      </c>
      <c r="H147" s="233">
        <v>80</v>
      </c>
      <c r="I147" s="233">
        <v>85</v>
      </c>
      <c r="J147" s="233">
        <v>74.069999999999993</v>
      </c>
      <c r="K147" s="233"/>
      <c r="L147" s="233">
        <f>J147+7.4</f>
        <v>81.47</v>
      </c>
      <c r="M147" s="527"/>
      <c r="N147" s="233">
        <f>L147+7.4</f>
        <v>88.87</v>
      </c>
      <c r="O147" s="527"/>
      <c r="P147" s="233">
        <f>N147+7.4</f>
        <v>96.27000000000001</v>
      </c>
      <c r="Q147" s="527"/>
      <c r="R147" s="233">
        <f>P147</f>
        <v>96.27000000000001</v>
      </c>
      <c r="S147" s="527"/>
      <c r="T147" s="233">
        <f>R147</f>
        <v>96.27000000000001</v>
      </c>
      <c r="U147" s="527"/>
      <c r="V147" s="52"/>
      <c r="W147" s="52"/>
      <c r="X147" s="52"/>
      <c r="Y147" s="165"/>
      <c r="Z147" s="165"/>
      <c r="AA147" s="165"/>
      <c r="AB147" s="165"/>
      <c r="AC147" s="165"/>
      <c r="AD147" s="165"/>
      <c r="AE147" s="165"/>
      <c r="AF147" s="165"/>
    </row>
    <row r="148" spans="1:32" ht="75">
      <c r="A148" s="165"/>
      <c r="B148" s="48"/>
      <c r="C148" s="48"/>
      <c r="D148" s="49"/>
      <c r="E148" s="49"/>
      <c r="F148" s="50"/>
      <c r="G148" s="58" t="s">
        <v>1327</v>
      </c>
      <c r="H148" s="233">
        <v>80</v>
      </c>
      <c r="I148" s="233">
        <v>85</v>
      </c>
      <c r="J148" s="233">
        <f>18/22*100</f>
        <v>81.818181818181827</v>
      </c>
      <c r="K148" s="233"/>
      <c r="L148" s="233">
        <f>J148+4.55</f>
        <v>86.368181818181824</v>
      </c>
      <c r="M148" s="527"/>
      <c r="N148" s="233">
        <f>L148+4.55</f>
        <v>90.918181818181822</v>
      </c>
      <c r="O148" s="527"/>
      <c r="P148" s="233">
        <f>N148+4.55</f>
        <v>95.468181818181819</v>
      </c>
      <c r="Q148" s="527"/>
      <c r="R148" s="233">
        <f>P148</f>
        <v>95.468181818181819</v>
      </c>
      <c r="S148" s="527"/>
      <c r="T148" s="233">
        <f>R148</f>
        <v>95.468181818181819</v>
      </c>
      <c r="U148" s="527"/>
      <c r="V148" s="52"/>
      <c r="W148" s="52"/>
      <c r="X148" s="52"/>
      <c r="Y148" s="165"/>
      <c r="Z148" s="165"/>
      <c r="AA148" s="165"/>
      <c r="AB148" s="165"/>
      <c r="AC148" s="165"/>
      <c r="AD148" s="165"/>
      <c r="AE148" s="165"/>
      <c r="AF148" s="165"/>
    </row>
    <row r="149" spans="1:32" ht="90">
      <c r="A149" s="165"/>
      <c r="B149" s="48"/>
      <c r="C149" s="48"/>
      <c r="D149" s="49"/>
      <c r="E149" s="49"/>
      <c r="F149" s="50"/>
      <c r="G149" s="58" t="s">
        <v>2296</v>
      </c>
      <c r="H149" s="233">
        <v>100</v>
      </c>
      <c r="I149" s="233">
        <v>100</v>
      </c>
      <c r="J149" s="233">
        <v>97</v>
      </c>
      <c r="K149" s="527">
        <v>140000000</v>
      </c>
      <c r="L149" s="527">
        <v>1</v>
      </c>
      <c r="M149" s="527">
        <v>140000000</v>
      </c>
      <c r="N149" s="527">
        <v>1</v>
      </c>
      <c r="O149" s="527">
        <v>140000000</v>
      </c>
      <c r="P149" s="527">
        <v>1</v>
      </c>
      <c r="Q149" s="527">
        <v>140000000</v>
      </c>
      <c r="R149" s="527">
        <v>1</v>
      </c>
      <c r="S149" s="527">
        <v>140000000</v>
      </c>
      <c r="T149" s="527">
        <v>1</v>
      </c>
      <c r="U149" s="527">
        <v>140000000</v>
      </c>
      <c r="V149" s="52"/>
      <c r="W149" s="52"/>
      <c r="X149" s="52"/>
      <c r="Y149" s="165"/>
      <c r="Z149" s="165"/>
      <c r="AA149" s="165"/>
      <c r="AB149" s="165"/>
      <c r="AC149" s="165"/>
      <c r="AD149" s="165"/>
      <c r="AE149" s="165"/>
      <c r="AF149" s="165"/>
    </row>
    <row r="150" spans="1:32" ht="45">
      <c r="A150" s="165"/>
      <c r="B150" s="48"/>
      <c r="C150" s="48"/>
      <c r="D150" s="49"/>
      <c r="E150" s="49"/>
      <c r="F150" s="50"/>
      <c r="G150" s="58" t="s">
        <v>2297</v>
      </c>
      <c r="H150" s="233">
        <v>100</v>
      </c>
      <c r="I150" s="233">
        <v>100</v>
      </c>
      <c r="J150" s="233">
        <v>97</v>
      </c>
      <c r="K150" s="527">
        <v>140000000</v>
      </c>
      <c r="L150" s="527">
        <v>1</v>
      </c>
      <c r="M150" s="527">
        <v>150000000</v>
      </c>
      <c r="N150" s="527">
        <v>1</v>
      </c>
      <c r="O150" s="527">
        <v>150000000</v>
      </c>
      <c r="P150" s="527">
        <v>1</v>
      </c>
      <c r="Q150" s="527">
        <v>150000000</v>
      </c>
      <c r="R150" s="527">
        <v>1</v>
      </c>
      <c r="S150" s="527">
        <v>150000000</v>
      </c>
      <c r="T150" s="527">
        <v>1</v>
      </c>
      <c r="U150" s="527">
        <v>150000000</v>
      </c>
      <c r="V150" s="52"/>
      <c r="W150" s="52"/>
      <c r="X150" s="52"/>
      <c r="Y150" s="165"/>
      <c r="Z150" s="165"/>
      <c r="AA150" s="165"/>
      <c r="AB150" s="165"/>
      <c r="AC150" s="165"/>
      <c r="AD150" s="165"/>
      <c r="AE150" s="165"/>
      <c r="AF150" s="165"/>
    </row>
    <row r="151" spans="1:32" ht="60">
      <c r="A151" s="165"/>
      <c r="B151" s="48"/>
      <c r="C151" s="48"/>
      <c r="D151" s="49"/>
      <c r="E151" s="49"/>
      <c r="F151" s="50"/>
      <c r="G151" s="58" t="s">
        <v>2298</v>
      </c>
      <c r="H151" s="233">
        <v>100</v>
      </c>
      <c r="I151" s="233">
        <v>100</v>
      </c>
      <c r="J151" s="233">
        <v>96</v>
      </c>
      <c r="K151" s="527">
        <v>320000000</v>
      </c>
      <c r="L151" s="527">
        <v>3</v>
      </c>
      <c r="M151" s="527">
        <v>300000000</v>
      </c>
      <c r="N151" s="527">
        <v>2</v>
      </c>
      <c r="O151" s="527">
        <v>200000000</v>
      </c>
      <c r="P151" s="527">
        <v>2</v>
      </c>
      <c r="Q151" s="527">
        <v>200000000</v>
      </c>
      <c r="R151" s="527">
        <v>2</v>
      </c>
      <c r="S151" s="527">
        <v>200000000</v>
      </c>
      <c r="T151" s="527">
        <v>2</v>
      </c>
      <c r="U151" s="527">
        <v>200000000</v>
      </c>
      <c r="V151" s="52"/>
      <c r="W151" s="52"/>
      <c r="X151" s="52"/>
      <c r="Y151" s="165"/>
      <c r="Z151" s="165"/>
      <c r="AA151" s="165"/>
      <c r="AB151" s="165"/>
      <c r="AC151" s="165"/>
      <c r="AD151" s="165"/>
      <c r="AE151" s="165"/>
      <c r="AF151" s="165"/>
    </row>
    <row r="152" spans="1:32" ht="60">
      <c r="A152" s="165"/>
      <c r="B152" s="48"/>
      <c r="C152" s="48"/>
      <c r="D152" s="49"/>
      <c r="E152" s="49"/>
      <c r="F152" s="50"/>
      <c r="G152" s="58" t="s">
        <v>2299</v>
      </c>
      <c r="H152" s="233">
        <v>0</v>
      </c>
      <c r="I152" s="233">
        <v>100</v>
      </c>
      <c r="J152" s="233">
        <v>95</v>
      </c>
      <c r="K152" s="527">
        <v>719900000</v>
      </c>
      <c r="L152" s="527">
        <v>0</v>
      </c>
      <c r="M152" s="527">
        <f>L152*100000000</f>
        <v>0</v>
      </c>
      <c r="N152" s="527">
        <v>2</v>
      </c>
      <c r="O152" s="527">
        <f>N152*100000000</f>
        <v>200000000</v>
      </c>
      <c r="P152" s="527">
        <v>1</v>
      </c>
      <c r="Q152" s="527">
        <f>P152*100000000</f>
        <v>100000000</v>
      </c>
      <c r="R152" s="527">
        <v>2</v>
      </c>
      <c r="S152" s="527">
        <f>R152*100000000</f>
        <v>200000000</v>
      </c>
      <c r="T152" s="527">
        <v>2</v>
      </c>
      <c r="U152" s="527">
        <f>T152*100000000</f>
        <v>200000000</v>
      </c>
      <c r="V152" s="52"/>
      <c r="W152" s="52"/>
      <c r="X152" s="52"/>
      <c r="Y152" s="165"/>
      <c r="Z152" s="165"/>
      <c r="AA152" s="165"/>
      <c r="AB152" s="165"/>
      <c r="AC152" s="165"/>
      <c r="AD152" s="165"/>
      <c r="AE152" s="165"/>
      <c r="AF152" s="165"/>
    </row>
    <row r="153" spans="1:32" ht="30">
      <c r="A153" s="165"/>
      <c r="B153" s="48"/>
      <c r="C153" s="48"/>
      <c r="D153" s="49"/>
      <c r="E153" s="49"/>
      <c r="F153" s="50"/>
      <c r="G153" s="58" t="s">
        <v>2300</v>
      </c>
      <c r="H153" s="233">
        <v>85.76</v>
      </c>
      <c r="I153" s="233">
        <v>100</v>
      </c>
      <c r="J153" s="233">
        <v>95</v>
      </c>
      <c r="K153" s="527">
        <v>65837000</v>
      </c>
      <c r="L153" s="527">
        <v>1</v>
      </c>
      <c r="M153" s="527">
        <v>60420000</v>
      </c>
      <c r="N153" s="527">
        <v>1</v>
      </c>
      <c r="O153" s="527">
        <v>60500000</v>
      </c>
      <c r="P153" s="527">
        <v>1</v>
      </c>
      <c r="Q153" s="527">
        <v>60500000</v>
      </c>
      <c r="R153" s="527">
        <v>1</v>
      </c>
      <c r="S153" s="527">
        <v>60500000</v>
      </c>
      <c r="T153" s="527">
        <v>1</v>
      </c>
      <c r="U153" s="527">
        <v>60500000</v>
      </c>
      <c r="V153" s="52"/>
      <c r="W153" s="52"/>
      <c r="X153" s="52"/>
      <c r="Y153" s="165"/>
      <c r="Z153" s="165"/>
      <c r="AA153" s="165"/>
      <c r="AB153" s="165"/>
      <c r="AC153" s="165"/>
      <c r="AD153" s="165"/>
      <c r="AE153" s="165"/>
      <c r="AF153" s="165"/>
    </row>
    <row r="154" spans="1:32" ht="30">
      <c r="A154" s="165"/>
      <c r="B154" s="48"/>
      <c r="C154" s="48"/>
      <c r="D154" s="49"/>
      <c r="E154" s="49"/>
      <c r="F154" s="50"/>
      <c r="G154" s="58" t="s">
        <v>2301</v>
      </c>
      <c r="H154" s="233">
        <v>0</v>
      </c>
      <c r="I154" s="233">
        <v>100</v>
      </c>
      <c r="J154" s="233">
        <v>95</v>
      </c>
      <c r="K154" s="527">
        <v>50000000</v>
      </c>
      <c r="L154" s="527">
        <v>6</v>
      </c>
      <c r="M154" s="527">
        <v>300000000</v>
      </c>
      <c r="N154" s="527">
        <v>6</v>
      </c>
      <c r="O154" s="527">
        <v>300000000</v>
      </c>
      <c r="P154" s="527">
        <v>6</v>
      </c>
      <c r="Q154" s="527">
        <v>300000000</v>
      </c>
      <c r="R154" s="527">
        <v>6</v>
      </c>
      <c r="S154" s="527">
        <v>300000000</v>
      </c>
      <c r="T154" s="527">
        <v>6</v>
      </c>
      <c r="U154" s="527">
        <v>300000000</v>
      </c>
      <c r="V154" s="52"/>
      <c r="W154" s="52"/>
      <c r="X154" s="52"/>
      <c r="Y154" s="165"/>
      <c r="Z154" s="165"/>
      <c r="AA154" s="165"/>
      <c r="AB154" s="165"/>
      <c r="AC154" s="165"/>
      <c r="AD154" s="165"/>
      <c r="AE154" s="165"/>
      <c r="AF154" s="165"/>
    </row>
    <row r="155" spans="1:32" ht="30">
      <c r="A155" s="165"/>
      <c r="B155" s="48"/>
      <c r="C155" s="48"/>
      <c r="D155" s="49"/>
      <c r="E155" s="49"/>
      <c r="F155" s="50"/>
      <c r="G155" s="58" t="s">
        <v>2302</v>
      </c>
      <c r="H155" s="233">
        <v>99.82</v>
      </c>
      <c r="I155" s="233">
        <v>100</v>
      </c>
      <c r="J155" s="233">
        <v>96</v>
      </c>
      <c r="K155" s="527">
        <v>50000000</v>
      </c>
      <c r="L155" s="527">
        <v>2</v>
      </c>
      <c r="M155" s="527">
        <v>100000000</v>
      </c>
      <c r="N155" s="527">
        <v>2</v>
      </c>
      <c r="O155" s="527">
        <v>100000000</v>
      </c>
      <c r="P155" s="527">
        <v>2</v>
      </c>
      <c r="Q155" s="527">
        <v>100000000</v>
      </c>
      <c r="R155" s="527">
        <v>2</v>
      </c>
      <c r="S155" s="527">
        <v>100000000</v>
      </c>
      <c r="T155" s="527">
        <v>2</v>
      </c>
      <c r="U155" s="527">
        <v>100000000</v>
      </c>
      <c r="V155" s="52"/>
      <c r="W155" s="52"/>
      <c r="X155" s="52"/>
      <c r="Y155" s="165"/>
      <c r="Z155" s="165"/>
      <c r="AA155" s="165"/>
      <c r="AB155" s="165"/>
      <c r="AC155" s="165"/>
      <c r="AD155" s="165"/>
      <c r="AE155" s="165"/>
      <c r="AF155" s="165"/>
    </row>
    <row r="156" spans="1:32" ht="30">
      <c r="A156" s="165"/>
      <c r="B156" s="48"/>
      <c r="C156" s="48"/>
      <c r="D156" s="49"/>
      <c r="E156" s="49"/>
      <c r="F156" s="50"/>
      <c r="G156" s="58" t="s">
        <v>2303</v>
      </c>
      <c r="H156" s="233"/>
      <c r="I156" s="233">
        <v>100</v>
      </c>
      <c r="J156" s="233">
        <v>99</v>
      </c>
      <c r="K156" s="527">
        <v>40000000</v>
      </c>
      <c r="L156" s="527">
        <v>2</v>
      </c>
      <c r="M156" s="527">
        <v>80000000</v>
      </c>
      <c r="N156" s="527">
        <v>2</v>
      </c>
      <c r="O156" s="527">
        <v>80000000</v>
      </c>
      <c r="P156" s="527">
        <v>2</v>
      </c>
      <c r="Q156" s="527">
        <v>80000000</v>
      </c>
      <c r="R156" s="527">
        <v>2</v>
      </c>
      <c r="S156" s="527">
        <v>80000000</v>
      </c>
      <c r="T156" s="527">
        <v>2</v>
      </c>
      <c r="U156" s="527">
        <v>80000000</v>
      </c>
      <c r="V156" s="52"/>
      <c r="W156" s="52"/>
      <c r="X156" s="52"/>
      <c r="Y156" s="165"/>
      <c r="Z156" s="165"/>
      <c r="AA156" s="165"/>
      <c r="AB156" s="165"/>
      <c r="AC156" s="165"/>
      <c r="AD156" s="165"/>
      <c r="AE156" s="165"/>
      <c r="AF156" s="165"/>
    </row>
    <row r="157" spans="1:32" ht="75">
      <c r="A157" s="165"/>
      <c r="B157" s="48"/>
      <c r="C157" s="48"/>
      <c r="D157" s="49"/>
      <c r="E157" s="49"/>
      <c r="F157" s="50"/>
      <c r="G157" s="58" t="s">
        <v>2304</v>
      </c>
      <c r="H157" s="233"/>
      <c r="I157" s="233">
        <v>100</v>
      </c>
      <c r="J157" s="233">
        <v>100</v>
      </c>
      <c r="K157" s="527">
        <v>11426120000</v>
      </c>
      <c r="L157" s="527">
        <v>100</v>
      </c>
      <c r="M157" s="527">
        <v>11426120000</v>
      </c>
      <c r="N157" s="527">
        <v>100</v>
      </c>
      <c r="O157" s="527">
        <v>11426120000</v>
      </c>
      <c r="P157" s="527">
        <v>100</v>
      </c>
      <c r="Q157" s="527">
        <v>11426120000</v>
      </c>
      <c r="R157" s="527">
        <v>100</v>
      </c>
      <c r="S157" s="527">
        <v>11426120000</v>
      </c>
      <c r="T157" s="527">
        <v>100</v>
      </c>
      <c r="U157" s="527">
        <v>11426120000</v>
      </c>
      <c r="V157" s="52"/>
      <c r="W157" s="52"/>
      <c r="X157" s="52"/>
      <c r="Y157" s="165"/>
      <c r="Z157" s="165"/>
      <c r="AA157" s="165"/>
      <c r="AB157" s="165"/>
      <c r="AC157" s="165"/>
      <c r="AD157" s="165"/>
      <c r="AE157" s="165"/>
      <c r="AF157" s="165"/>
    </row>
    <row r="158" spans="1:32" ht="75">
      <c r="A158" s="165"/>
      <c r="B158" s="48"/>
      <c r="C158" s="48"/>
      <c r="D158" s="49"/>
      <c r="E158" s="49"/>
      <c r="F158" s="50"/>
      <c r="G158" s="58" t="s">
        <v>2305</v>
      </c>
      <c r="H158" s="233"/>
      <c r="I158" s="233">
        <v>100</v>
      </c>
      <c r="J158" s="233">
        <v>100</v>
      </c>
      <c r="K158" s="527">
        <v>1470988100</v>
      </c>
      <c r="L158" s="527">
        <v>100</v>
      </c>
      <c r="M158" s="527">
        <v>1427500000</v>
      </c>
      <c r="N158" s="527">
        <v>100</v>
      </c>
      <c r="O158" s="527">
        <v>1427500000</v>
      </c>
      <c r="P158" s="527">
        <v>100</v>
      </c>
      <c r="Q158" s="527">
        <v>1427500000</v>
      </c>
      <c r="R158" s="527">
        <v>100</v>
      </c>
      <c r="S158" s="527">
        <v>1427500000</v>
      </c>
      <c r="T158" s="527">
        <v>100</v>
      </c>
      <c r="U158" s="527">
        <v>1427500000</v>
      </c>
      <c r="V158" s="52"/>
      <c r="W158" s="52"/>
      <c r="X158" s="52"/>
      <c r="Y158" s="165"/>
      <c r="Z158" s="165"/>
      <c r="AA158" s="165"/>
      <c r="AB158" s="165"/>
      <c r="AC158" s="165"/>
      <c r="AD158" s="165"/>
      <c r="AE158" s="165"/>
      <c r="AF158" s="165"/>
    </row>
    <row r="159" spans="1:32" ht="30">
      <c r="A159" s="165"/>
      <c r="B159" s="48"/>
      <c r="C159" s="48"/>
      <c r="D159" s="49"/>
      <c r="E159" s="49"/>
      <c r="F159" s="50"/>
      <c r="G159" s="58" t="s">
        <v>2306</v>
      </c>
      <c r="H159" s="233"/>
      <c r="I159" s="233">
        <v>100</v>
      </c>
      <c r="J159" s="233">
        <v>97</v>
      </c>
      <c r="K159" s="527">
        <v>100000000</v>
      </c>
      <c r="L159" s="527">
        <v>0</v>
      </c>
      <c r="M159" s="527">
        <v>0</v>
      </c>
      <c r="N159" s="527">
        <v>0</v>
      </c>
      <c r="O159" s="527">
        <v>0</v>
      </c>
      <c r="P159" s="527">
        <v>0</v>
      </c>
      <c r="Q159" s="527">
        <v>0</v>
      </c>
      <c r="R159" s="527">
        <v>0</v>
      </c>
      <c r="S159" s="527">
        <v>0</v>
      </c>
      <c r="T159" s="527">
        <v>0</v>
      </c>
      <c r="U159" s="527">
        <v>0</v>
      </c>
      <c r="V159" s="52"/>
      <c r="W159" s="52"/>
      <c r="X159" s="52"/>
      <c r="Y159" s="165"/>
      <c r="Z159" s="165"/>
      <c r="AA159" s="165"/>
      <c r="AB159" s="165"/>
      <c r="AC159" s="165"/>
      <c r="AD159" s="165"/>
      <c r="AE159" s="165"/>
      <c r="AF159" s="165"/>
    </row>
    <row r="160" spans="1:32" ht="45">
      <c r="A160" s="165"/>
      <c r="B160" s="48"/>
      <c r="C160" s="48"/>
      <c r="D160" s="49"/>
      <c r="E160" s="49"/>
      <c r="F160" s="50"/>
      <c r="G160" s="58" t="s">
        <v>2307</v>
      </c>
      <c r="H160" s="233"/>
      <c r="I160" s="233">
        <v>100</v>
      </c>
      <c r="J160" s="233">
        <v>97</v>
      </c>
      <c r="K160" s="527">
        <v>400000000</v>
      </c>
      <c r="L160" s="527">
        <v>4</v>
      </c>
      <c r="M160" s="527">
        <v>400000000</v>
      </c>
      <c r="N160" s="527">
        <v>4</v>
      </c>
      <c r="O160" s="527">
        <v>400000000</v>
      </c>
      <c r="P160" s="527">
        <v>4</v>
      </c>
      <c r="Q160" s="527">
        <v>400000000</v>
      </c>
      <c r="R160" s="527">
        <v>4</v>
      </c>
      <c r="S160" s="527">
        <v>400000000</v>
      </c>
      <c r="T160" s="527">
        <v>4</v>
      </c>
      <c r="U160" s="527">
        <v>400000000</v>
      </c>
      <c r="V160" s="52"/>
      <c r="W160" s="52"/>
      <c r="X160" s="52"/>
      <c r="Y160" s="165"/>
      <c r="Z160" s="165"/>
      <c r="AA160" s="165"/>
      <c r="AB160" s="165"/>
      <c r="AC160" s="165"/>
      <c r="AD160" s="165"/>
      <c r="AE160" s="165"/>
      <c r="AF160" s="165"/>
    </row>
    <row r="161" spans="1:32" ht="30">
      <c r="A161" s="165"/>
      <c r="B161" s="48"/>
      <c r="C161" s="66"/>
      <c r="D161" s="67"/>
      <c r="E161" s="67"/>
      <c r="F161" s="68"/>
      <c r="G161" s="58" t="s">
        <v>2308</v>
      </c>
      <c r="H161" s="233">
        <v>99</v>
      </c>
      <c r="I161" s="233">
        <v>100</v>
      </c>
      <c r="J161" s="233">
        <v>98</v>
      </c>
      <c r="K161" s="527">
        <v>100000000</v>
      </c>
      <c r="L161" s="527">
        <v>2</v>
      </c>
      <c r="M161" s="527">
        <v>100000000</v>
      </c>
      <c r="N161" s="527">
        <v>2</v>
      </c>
      <c r="O161" s="527">
        <v>100000000</v>
      </c>
      <c r="P161" s="527">
        <v>2</v>
      </c>
      <c r="Q161" s="527">
        <v>100000000</v>
      </c>
      <c r="R161" s="527">
        <v>2</v>
      </c>
      <c r="S161" s="527">
        <v>100000000</v>
      </c>
      <c r="T161" s="527">
        <v>2</v>
      </c>
      <c r="U161" s="527">
        <v>100000000</v>
      </c>
      <c r="V161" s="52"/>
      <c r="W161" s="52"/>
      <c r="X161" s="52"/>
      <c r="Y161" s="165"/>
      <c r="Z161" s="165"/>
      <c r="AA161" s="165"/>
      <c r="AB161" s="165"/>
      <c r="AC161" s="165"/>
      <c r="AD161" s="165"/>
      <c r="AE161" s="165"/>
      <c r="AF161" s="165"/>
    </row>
    <row r="162" spans="1:32" s="540" customFormat="1" ht="30">
      <c r="B162" s="545"/>
      <c r="C162" s="593">
        <f>'[4]matrik MISI 4'!P45</f>
        <v>1.01</v>
      </c>
      <c r="D162" s="594" t="str">
        <f>'[4]matrik MISI 4'!Q45</f>
        <v>xx</v>
      </c>
      <c r="E162" s="594">
        <f>'[4]matrik MISI 4'!R45</f>
        <v>18</v>
      </c>
      <c r="F162" s="595" t="str">
        <f>'[4]matrik MISI 4'!S45</f>
        <v>Program Pendidikan Non Formal</v>
      </c>
      <c r="G162" s="548"/>
      <c r="H162" s="550"/>
      <c r="I162" s="550"/>
      <c r="J162" s="550"/>
      <c r="K162" s="551">
        <f>SUM(K163:K195)</f>
        <v>1076441500</v>
      </c>
      <c r="L162" s="551">
        <f t="shared" ref="L162:S162" si="3">SUM(L163:L195)</f>
        <v>668.07255144032933</v>
      </c>
      <c r="M162" s="551">
        <f t="shared" si="3"/>
        <v>1136455000</v>
      </c>
      <c r="N162" s="551">
        <f t="shared" si="3"/>
        <v>100002071.51655145</v>
      </c>
      <c r="O162" s="551">
        <f t="shared" si="3"/>
        <v>2499250000</v>
      </c>
      <c r="P162" s="551">
        <f t="shared" si="3"/>
        <v>100002038.46055146</v>
      </c>
      <c r="Q162" s="551">
        <f t="shared" si="3"/>
        <v>2509250000</v>
      </c>
      <c r="R162" s="551">
        <f t="shared" si="3"/>
        <v>100001805.20455146</v>
      </c>
      <c r="S162" s="551">
        <f t="shared" si="3"/>
        <v>2523000000</v>
      </c>
      <c r="T162" s="550"/>
      <c r="U162" s="550"/>
      <c r="V162" s="550"/>
      <c r="W162" s="550"/>
      <c r="X162" s="550" t="str">
        <f>'[4]matrik MISI 4'!AE45</f>
        <v>Dinas Pendidikan</v>
      </c>
    </row>
    <row r="163" spans="1:32" ht="90">
      <c r="A163" s="165"/>
      <c r="B163" s="48"/>
      <c r="C163" s="62"/>
      <c r="D163" s="63"/>
      <c r="E163" s="63"/>
      <c r="F163" s="64"/>
      <c r="G163" s="58" t="s">
        <v>2153</v>
      </c>
      <c r="H163" s="527">
        <v>0</v>
      </c>
      <c r="I163" s="527">
        <v>0</v>
      </c>
      <c r="J163" s="527">
        <v>0</v>
      </c>
      <c r="K163" s="527">
        <v>0</v>
      </c>
      <c r="L163" s="527"/>
      <c r="M163" s="527"/>
      <c r="N163" s="527">
        <v>35</v>
      </c>
      <c r="O163" s="527">
        <v>10000000</v>
      </c>
      <c r="P163" s="527">
        <v>0</v>
      </c>
      <c r="Q163" s="527">
        <v>0</v>
      </c>
      <c r="R163" s="527">
        <v>0</v>
      </c>
      <c r="S163" s="527">
        <v>0</v>
      </c>
      <c r="T163" s="527">
        <v>0</v>
      </c>
      <c r="U163" s="527">
        <v>0</v>
      </c>
      <c r="V163" s="52"/>
      <c r="W163" s="52"/>
      <c r="X163" s="52"/>
      <c r="Y163" s="165"/>
      <c r="Z163" s="165"/>
      <c r="AA163" s="165"/>
      <c r="AB163" s="165"/>
      <c r="AC163" s="165"/>
      <c r="AD163" s="165"/>
      <c r="AE163" s="165"/>
      <c r="AF163" s="165"/>
    </row>
    <row r="164" spans="1:32" ht="45">
      <c r="A164" s="165"/>
      <c r="B164" s="48"/>
      <c r="C164" s="48"/>
      <c r="D164" s="49"/>
      <c r="E164" s="49"/>
      <c r="F164" s="50"/>
      <c r="G164" s="55" t="s">
        <v>5052</v>
      </c>
      <c r="H164" s="1057"/>
      <c r="I164" s="1057"/>
      <c r="J164" s="1057"/>
      <c r="K164" s="1057">
        <v>100000000</v>
      </c>
      <c r="L164" s="1057"/>
      <c r="M164" s="1057">
        <v>100000000</v>
      </c>
      <c r="N164" s="1057">
        <v>100000000</v>
      </c>
      <c r="O164" s="1057">
        <v>100000000</v>
      </c>
      <c r="P164" s="1057">
        <v>100000000</v>
      </c>
      <c r="Q164" s="1057">
        <v>100000000</v>
      </c>
      <c r="R164" s="1057">
        <v>100000000</v>
      </c>
      <c r="S164" s="1057">
        <v>100000000</v>
      </c>
      <c r="T164" s="1057"/>
      <c r="U164" s="1057"/>
      <c r="V164" s="52"/>
      <c r="W164" s="52"/>
      <c r="X164" s="52"/>
      <c r="Y164" s="165"/>
      <c r="Z164" s="165"/>
      <c r="AA164" s="165"/>
      <c r="AB164" s="165"/>
      <c r="AC164" s="165"/>
      <c r="AD164" s="165"/>
      <c r="AE164" s="165"/>
      <c r="AF164" s="165"/>
    </row>
    <row r="165" spans="1:32" ht="90">
      <c r="A165" s="165"/>
      <c r="B165" s="48"/>
      <c r="C165" s="48"/>
      <c r="D165" s="49"/>
      <c r="E165" s="49"/>
      <c r="F165" s="50"/>
      <c r="G165" s="58" t="s">
        <v>2154</v>
      </c>
      <c r="H165" s="527">
        <v>0</v>
      </c>
      <c r="I165" s="527">
        <v>0</v>
      </c>
      <c r="J165" s="527">
        <v>0</v>
      </c>
      <c r="K165" s="527">
        <v>0</v>
      </c>
      <c r="L165" s="527"/>
      <c r="M165" s="527"/>
      <c r="N165" s="527">
        <v>50</v>
      </c>
      <c r="O165" s="527">
        <v>56250000</v>
      </c>
      <c r="P165" s="527">
        <v>50</v>
      </c>
      <c r="Q165" s="527">
        <v>56250000</v>
      </c>
      <c r="R165" s="527">
        <v>40</v>
      </c>
      <c r="S165" s="527">
        <v>40000000</v>
      </c>
      <c r="T165" s="527">
        <v>40</v>
      </c>
      <c r="U165" s="527">
        <v>40000000</v>
      </c>
      <c r="V165" s="52"/>
      <c r="W165" s="52"/>
      <c r="X165" s="52"/>
      <c r="Y165" s="165"/>
      <c r="Z165" s="165"/>
      <c r="AA165" s="165"/>
      <c r="AB165" s="165"/>
      <c r="AC165" s="165"/>
      <c r="AD165" s="165"/>
      <c r="AE165" s="165"/>
      <c r="AF165" s="165"/>
    </row>
    <row r="166" spans="1:32" ht="150">
      <c r="A166" s="165"/>
      <c r="B166" s="48"/>
      <c r="C166" s="48"/>
      <c r="D166" s="49"/>
      <c r="E166" s="49"/>
      <c r="F166" s="50"/>
      <c r="G166" s="401" t="s">
        <v>2155</v>
      </c>
      <c r="H166" s="527">
        <v>0</v>
      </c>
      <c r="I166" s="527">
        <v>0</v>
      </c>
      <c r="J166" s="527">
        <v>0</v>
      </c>
      <c r="K166" s="527">
        <v>0</v>
      </c>
      <c r="L166" s="527"/>
      <c r="M166" s="527"/>
      <c r="N166" s="527">
        <v>1225</v>
      </c>
      <c r="O166" s="527">
        <v>49000000</v>
      </c>
      <c r="P166" s="527">
        <v>1225</v>
      </c>
      <c r="Q166" s="527">
        <v>49000000</v>
      </c>
      <c r="R166" s="527">
        <v>1000</v>
      </c>
      <c r="S166" s="527">
        <v>40000000</v>
      </c>
      <c r="T166" s="527">
        <v>1000</v>
      </c>
      <c r="U166" s="527">
        <v>40000000</v>
      </c>
      <c r="V166" s="52"/>
      <c r="W166" s="52"/>
      <c r="X166" s="52"/>
      <c r="Y166" s="165"/>
      <c r="Z166" s="165"/>
      <c r="AA166" s="165"/>
      <c r="AB166" s="165"/>
      <c r="AC166" s="165"/>
      <c r="AD166" s="165"/>
      <c r="AE166" s="165"/>
      <c r="AF166" s="165"/>
    </row>
    <row r="167" spans="1:32" ht="45">
      <c r="A167" s="165"/>
      <c r="B167" s="48"/>
      <c r="C167" s="48"/>
      <c r="D167" s="49"/>
      <c r="E167" s="49"/>
      <c r="F167" s="50"/>
      <c r="G167" s="58" t="s">
        <v>2178</v>
      </c>
      <c r="H167" s="233">
        <v>97.82</v>
      </c>
      <c r="I167" s="233">
        <v>98.72</v>
      </c>
      <c r="J167" s="233">
        <v>97.9</v>
      </c>
      <c r="K167" s="52"/>
      <c r="L167" s="233">
        <v>98.09</v>
      </c>
      <c r="M167" s="52"/>
      <c r="N167" s="233">
        <v>98.36</v>
      </c>
      <c r="O167" s="52"/>
      <c r="P167" s="233">
        <v>98.63</v>
      </c>
      <c r="Q167" s="52"/>
      <c r="R167" s="233">
        <v>98.7</v>
      </c>
      <c r="S167" s="52"/>
      <c r="T167" s="233">
        <v>98.7</v>
      </c>
      <c r="U167" s="52"/>
      <c r="V167" s="52"/>
      <c r="W167" s="52"/>
      <c r="X167" s="52"/>
      <c r="Y167" s="165"/>
      <c r="Z167" s="165"/>
      <c r="AA167" s="165"/>
      <c r="AB167" s="165"/>
      <c r="AC167" s="165"/>
      <c r="AD167" s="165"/>
      <c r="AE167" s="165"/>
      <c r="AF167" s="165"/>
    </row>
    <row r="168" spans="1:32" ht="30">
      <c r="A168" s="165"/>
      <c r="B168" s="48"/>
      <c r="C168" s="48"/>
      <c r="D168" s="49"/>
      <c r="E168" s="49"/>
      <c r="F168" s="50"/>
      <c r="G168" s="58" t="s">
        <v>1175</v>
      </c>
      <c r="H168" s="233">
        <v>7.1</v>
      </c>
      <c r="I168" s="233">
        <v>7.1</v>
      </c>
      <c r="J168" s="233">
        <v>7.1</v>
      </c>
      <c r="K168" s="527"/>
      <c r="L168" s="233">
        <v>7.11</v>
      </c>
      <c r="M168" s="527"/>
      <c r="N168" s="233">
        <v>7.13</v>
      </c>
      <c r="O168" s="527"/>
      <c r="P168" s="233">
        <v>7.15</v>
      </c>
      <c r="Q168" s="527"/>
      <c r="R168" s="233">
        <v>7.17</v>
      </c>
      <c r="S168" s="527"/>
      <c r="T168" s="233">
        <v>7.17</v>
      </c>
      <c r="U168" s="527"/>
      <c r="V168" s="52"/>
      <c r="W168" s="52"/>
      <c r="X168" s="52"/>
      <c r="Y168" s="165"/>
      <c r="Z168" s="165"/>
      <c r="AA168" s="165"/>
      <c r="AB168" s="165"/>
      <c r="AC168" s="165"/>
      <c r="AD168" s="165"/>
      <c r="AE168" s="165"/>
      <c r="AF168" s="165"/>
    </row>
    <row r="169" spans="1:32" ht="105">
      <c r="A169" s="165"/>
      <c r="B169" s="48"/>
      <c r="C169" s="48"/>
      <c r="D169" s="49"/>
      <c r="E169" s="49"/>
      <c r="F169" s="50"/>
      <c r="G169" s="58" t="s">
        <v>2011</v>
      </c>
      <c r="H169" s="233">
        <v>5</v>
      </c>
      <c r="I169" s="233">
        <v>3</v>
      </c>
      <c r="J169" s="233">
        <v>4</v>
      </c>
      <c r="K169" s="527"/>
      <c r="L169" s="233">
        <v>5</v>
      </c>
      <c r="M169" s="527"/>
      <c r="N169" s="233">
        <v>4</v>
      </c>
      <c r="O169" s="527"/>
      <c r="P169" s="233">
        <v>3</v>
      </c>
      <c r="Q169" s="527"/>
      <c r="R169" s="233">
        <v>2</v>
      </c>
      <c r="S169" s="527"/>
      <c r="T169" s="233">
        <v>2</v>
      </c>
      <c r="U169" s="527"/>
      <c r="V169" s="52"/>
      <c r="W169" s="52"/>
      <c r="X169" s="52"/>
      <c r="Y169" s="165"/>
      <c r="Z169" s="165"/>
      <c r="AA169" s="165"/>
      <c r="AB169" s="165"/>
      <c r="AC169" s="165"/>
      <c r="AD169" s="165"/>
      <c r="AE169" s="165"/>
      <c r="AF169" s="165"/>
    </row>
    <row r="170" spans="1:32" ht="60">
      <c r="A170" s="165"/>
      <c r="B170" s="48"/>
      <c r="C170" s="48"/>
      <c r="D170" s="49"/>
      <c r="E170" s="49"/>
      <c r="F170" s="50"/>
      <c r="G170" s="58" t="s">
        <v>2012</v>
      </c>
      <c r="H170" s="233"/>
      <c r="I170" s="233"/>
      <c r="J170" s="233"/>
      <c r="K170" s="527"/>
      <c r="L170" s="233"/>
      <c r="M170" s="527"/>
      <c r="N170" s="233"/>
      <c r="O170" s="527"/>
      <c r="P170" s="233"/>
      <c r="Q170" s="527"/>
      <c r="R170" s="233"/>
      <c r="S170" s="527"/>
      <c r="T170" s="233"/>
      <c r="U170" s="527"/>
      <c r="V170" s="52"/>
      <c r="W170" s="52"/>
      <c r="X170" s="52"/>
      <c r="Y170" s="165"/>
      <c r="Z170" s="165"/>
      <c r="AA170" s="165"/>
      <c r="AB170" s="165"/>
      <c r="AC170" s="165"/>
      <c r="AD170" s="165"/>
      <c r="AE170" s="165"/>
      <c r="AF170" s="165"/>
    </row>
    <row r="171" spans="1:32" ht="60">
      <c r="A171" s="165"/>
      <c r="B171" s="48"/>
      <c r="C171" s="48"/>
      <c r="D171" s="49"/>
      <c r="E171" s="49"/>
      <c r="F171" s="50"/>
      <c r="G171" s="58" t="s">
        <v>2179</v>
      </c>
      <c r="H171" s="233">
        <v>100</v>
      </c>
      <c r="I171" s="233">
        <v>100</v>
      </c>
      <c r="J171" s="233">
        <v>99</v>
      </c>
      <c r="K171" s="527">
        <v>30000000</v>
      </c>
      <c r="L171" s="527">
        <v>1</v>
      </c>
      <c r="M171" s="527">
        <v>30000000</v>
      </c>
      <c r="N171" s="527">
        <v>1</v>
      </c>
      <c r="O171" s="527">
        <v>35000000</v>
      </c>
      <c r="P171" s="527">
        <v>1</v>
      </c>
      <c r="Q171" s="527">
        <v>40000000</v>
      </c>
      <c r="R171" s="527">
        <v>1</v>
      </c>
      <c r="S171" s="527">
        <v>40000000</v>
      </c>
      <c r="T171" s="527">
        <v>1</v>
      </c>
      <c r="U171" s="527">
        <v>40000000</v>
      </c>
      <c r="V171" s="52"/>
      <c r="W171" s="52"/>
      <c r="X171" s="52"/>
      <c r="Y171" s="165"/>
      <c r="Z171" s="165"/>
      <c r="AA171" s="165"/>
      <c r="AB171" s="165"/>
      <c r="AC171" s="165"/>
      <c r="AD171" s="165"/>
      <c r="AE171" s="165"/>
      <c r="AF171" s="165"/>
    </row>
    <row r="172" spans="1:32" ht="45">
      <c r="A172" s="165"/>
      <c r="B172" s="48"/>
      <c r="C172" s="48"/>
      <c r="D172" s="49"/>
      <c r="E172" s="49"/>
      <c r="F172" s="50"/>
      <c r="G172" s="58" t="s">
        <v>2180</v>
      </c>
      <c r="H172" s="233">
        <v>92.73</v>
      </c>
      <c r="I172" s="233">
        <v>100</v>
      </c>
      <c r="J172" s="233">
        <v>99</v>
      </c>
      <c r="K172" s="527">
        <v>117000000</v>
      </c>
      <c r="L172" s="527">
        <v>20</v>
      </c>
      <c r="M172" s="527">
        <v>125000000</v>
      </c>
      <c r="N172" s="527">
        <v>20</v>
      </c>
      <c r="O172" s="527">
        <v>125000000</v>
      </c>
      <c r="P172" s="527">
        <v>20</v>
      </c>
      <c r="Q172" s="527">
        <v>130000000</v>
      </c>
      <c r="R172" s="527">
        <v>20</v>
      </c>
      <c r="S172" s="527">
        <v>130000000</v>
      </c>
      <c r="T172" s="527">
        <v>20</v>
      </c>
      <c r="U172" s="527">
        <v>130000000</v>
      </c>
      <c r="V172" s="52"/>
      <c r="W172" s="52"/>
      <c r="X172" s="52"/>
      <c r="Y172" s="165"/>
      <c r="Z172" s="165"/>
      <c r="AA172" s="165"/>
      <c r="AB172" s="165"/>
      <c r="AC172" s="165"/>
      <c r="AD172" s="165"/>
      <c r="AE172" s="165"/>
      <c r="AF172" s="165"/>
    </row>
    <row r="173" spans="1:32" ht="60">
      <c r="A173" s="165"/>
      <c r="B173" s="48"/>
      <c r="C173" s="48"/>
      <c r="D173" s="49"/>
      <c r="E173" s="49"/>
      <c r="F173" s="50"/>
      <c r="G173" s="58" t="s">
        <v>2181</v>
      </c>
      <c r="H173" s="233">
        <v>100</v>
      </c>
      <c r="I173" s="233">
        <v>100</v>
      </c>
      <c r="J173" s="233">
        <v>99</v>
      </c>
      <c r="K173" s="527">
        <v>97200000</v>
      </c>
      <c r="L173" s="527">
        <v>20</v>
      </c>
      <c r="M173" s="527">
        <v>144000000</v>
      </c>
      <c r="N173" s="527">
        <v>20</v>
      </c>
      <c r="O173" s="527">
        <v>144000000</v>
      </c>
      <c r="P173" s="527">
        <v>20</v>
      </c>
      <c r="Q173" s="527">
        <v>144000000</v>
      </c>
      <c r="R173" s="527">
        <v>20</v>
      </c>
      <c r="S173" s="527">
        <v>168000000</v>
      </c>
      <c r="T173" s="527">
        <v>20</v>
      </c>
      <c r="U173" s="527">
        <v>168000000</v>
      </c>
      <c r="V173" s="52"/>
      <c r="W173" s="52"/>
      <c r="X173" s="52"/>
      <c r="Y173" s="165"/>
      <c r="Z173" s="165"/>
      <c r="AA173" s="165"/>
      <c r="AB173" s="165"/>
      <c r="AC173" s="165"/>
      <c r="AD173" s="165"/>
      <c r="AE173" s="165"/>
      <c r="AF173" s="165"/>
    </row>
    <row r="174" spans="1:32" ht="45">
      <c r="A174" s="165"/>
      <c r="B174" s="48"/>
      <c r="C174" s="48"/>
      <c r="D174" s="49"/>
      <c r="E174" s="49"/>
      <c r="F174" s="50"/>
      <c r="G174" s="58" t="s">
        <v>2182</v>
      </c>
      <c r="H174" s="233">
        <v>77.69</v>
      </c>
      <c r="I174" s="233">
        <v>100</v>
      </c>
      <c r="J174" s="233">
        <v>99</v>
      </c>
      <c r="K174" s="527">
        <v>13000000</v>
      </c>
      <c r="L174" s="527">
        <v>1</v>
      </c>
      <c r="M174" s="527">
        <v>17725000</v>
      </c>
      <c r="N174" s="527">
        <v>1</v>
      </c>
      <c r="O174" s="527">
        <v>20000000</v>
      </c>
      <c r="P174" s="527">
        <v>1</v>
      </c>
      <c r="Q174" s="527">
        <v>20000000</v>
      </c>
      <c r="R174" s="527">
        <v>1</v>
      </c>
      <c r="S174" s="527">
        <v>25000000</v>
      </c>
      <c r="T174" s="527">
        <v>1</v>
      </c>
      <c r="U174" s="527">
        <v>25000000</v>
      </c>
      <c r="V174" s="52"/>
      <c r="W174" s="52"/>
      <c r="X174" s="52"/>
      <c r="Y174" s="165"/>
      <c r="Z174" s="165"/>
      <c r="AA174" s="165"/>
      <c r="AB174" s="165"/>
      <c r="AC174" s="165"/>
      <c r="AD174" s="165"/>
      <c r="AE174" s="165"/>
      <c r="AF174" s="165"/>
    </row>
    <row r="175" spans="1:32" ht="45">
      <c r="A175" s="165"/>
      <c r="B175" s="48"/>
      <c r="C175" s="48"/>
      <c r="D175" s="49"/>
      <c r="E175" s="49"/>
      <c r="F175" s="50"/>
      <c r="G175" s="58" t="s">
        <v>2016</v>
      </c>
      <c r="H175" s="233">
        <v>90.39</v>
      </c>
      <c r="I175" s="233">
        <v>100</v>
      </c>
      <c r="J175" s="233">
        <v>81.56</v>
      </c>
      <c r="K175" s="52"/>
      <c r="L175" s="292">
        <f>J175+5.5</f>
        <v>87.06</v>
      </c>
      <c r="M175" s="52"/>
      <c r="N175" s="292">
        <f>L175+5.5</f>
        <v>92.56</v>
      </c>
      <c r="O175" s="52"/>
      <c r="P175" s="292">
        <f>N175</f>
        <v>92.56</v>
      </c>
      <c r="Q175" s="52"/>
      <c r="R175" s="292">
        <f>P175</f>
        <v>92.56</v>
      </c>
      <c r="S175" s="52"/>
      <c r="T175" s="292">
        <f>R175</f>
        <v>92.56</v>
      </c>
      <c r="U175" s="52"/>
      <c r="V175" s="52"/>
      <c r="W175" s="52"/>
      <c r="X175" s="52"/>
      <c r="Y175" s="165"/>
      <c r="Z175" s="165"/>
      <c r="AA175" s="165"/>
      <c r="AB175" s="165"/>
      <c r="AC175" s="165"/>
      <c r="AD175" s="165"/>
      <c r="AE175" s="165"/>
      <c r="AF175" s="165"/>
    </row>
    <row r="176" spans="1:32" ht="45">
      <c r="A176" s="165"/>
      <c r="B176" s="48"/>
      <c r="C176" s="48"/>
      <c r="D176" s="49"/>
      <c r="E176" s="49"/>
      <c r="F176" s="50"/>
      <c r="G176" s="58" t="s">
        <v>2228</v>
      </c>
      <c r="H176" s="233">
        <v>100</v>
      </c>
      <c r="I176" s="233">
        <v>100</v>
      </c>
      <c r="J176" s="233">
        <v>99</v>
      </c>
      <c r="K176" s="527">
        <v>49795000</v>
      </c>
      <c r="L176" s="527">
        <v>2</v>
      </c>
      <c r="M176" s="527">
        <v>49730000</v>
      </c>
      <c r="N176" s="527">
        <v>2</v>
      </c>
      <c r="O176" s="528">
        <v>50000000</v>
      </c>
      <c r="P176" s="527">
        <v>2</v>
      </c>
      <c r="Q176" s="528">
        <v>60000000</v>
      </c>
      <c r="R176" s="527">
        <v>2</v>
      </c>
      <c r="S176" s="528">
        <v>70000000</v>
      </c>
      <c r="T176" s="527">
        <v>2</v>
      </c>
      <c r="U176" s="528">
        <v>70000000</v>
      </c>
      <c r="V176" s="52"/>
      <c r="W176" s="52"/>
      <c r="X176" s="52"/>
      <c r="Y176" s="165"/>
      <c r="Z176" s="165"/>
      <c r="AA176" s="165"/>
      <c r="AB176" s="165"/>
      <c r="AC176" s="165"/>
      <c r="AD176" s="165"/>
      <c r="AE176" s="165"/>
      <c r="AF176" s="165"/>
    </row>
    <row r="177" spans="1:32" ht="75">
      <c r="A177" s="165"/>
      <c r="B177" s="48"/>
      <c r="C177" s="48"/>
      <c r="D177" s="49"/>
      <c r="E177" s="49"/>
      <c r="F177" s="50"/>
      <c r="G177" s="58" t="s">
        <v>1299</v>
      </c>
      <c r="H177" s="233">
        <v>86.45</v>
      </c>
      <c r="I177" s="527"/>
      <c r="J177" s="233">
        <f>H177+0.39</f>
        <v>86.84</v>
      </c>
      <c r="K177" s="527"/>
      <c r="L177" s="233">
        <f>J177+0.39</f>
        <v>87.23</v>
      </c>
      <c r="M177" s="527"/>
      <c r="N177" s="233">
        <f>L177+0.39</f>
        <v>87.62</v>
      </c>
      <c r="O177" s="527"/>
      <c r="P177" s="233">
        <f>N177+0.39</f>
        <v>88.01</v>
      </c>
      <c r="Q177" s="527"/>
      <c r="R177" s="233">
        <f>P177+0.39</f>
        <v>88.4</v>
      </c>
      <c r="S177" s="527"/>
      <c r="T177" s="233">
        <f>R177+0.39</f>
        <v>88.79</v>
      </c>
      <c r="U177" s="527"/>
      <c r="V177" s="52"/>
      <c r="W177" s="52"/>
      <c r="X177" s="52"/>
      <c r="Y177" s="165"/>
      <c r="Z177" s="165"/>
      <c r="AA177" s="165"/>
      <c r="AB177" s="165"/>
      <c r="AC177" s="165"/>
      <c r="AD177" s="165"/>
      <c r="AE177" s="165"/>
      <c r="AF177" s="165"/>
    </row>
    <row r="178" spans="1:32" ht="45">
      <c r="A178" s="165"/>
      <c r="B178" s="48"/>
      <c r="C178" s="48"/>
      <c r="D178" s="49"/>
      <c r="E178" s="49"/>
      <c r="F178" s="50"/>
      <c r="G178" s="58" t="s">
        <v>1301</v>
      </c>
      <c r="H178" s="233">
        <v>85</v>
      </c>
      <c r="I178" s="527"/>
      <c r="J178" s="233">
        <f>H178+0.412</f>
        <v>85.412000000000006</v>
      </c>
      <c r="K178" s="527"/>
      <c r="L178" s="233">
        <f>J178+0.412</f>
        <v>85.824000000000012</v>
      </c>
      <c r="M178" s="527"/>
      <c r="N178" s="233">
        <f>L178+0.412</f>
        <v>86.236000000000018</v>
      </c>
      <c r="O178" s="527"/>
      <c r="P178" s="233">
        <f>N178+0.412</f>
        <v>86.648000000000025</v>
      </c>
      <c r="Q178" s="527"/>
      <c r="R178" s="233">
        <f>P178+0.412</f>
        <v>87.060000000000031</v>
      </c>
      <c r="S178" s="527"/>
      <c r="T178" s="233">
        <f>R178+0.412</f>
        <v>87.472000000000037</v>
      </c>
      <c r="U178" s="527"/>
      <c r="V178" s="52"/>
      <c r="W178" s="52"/>
      <c r="X178" s="52"/>
      <c r="Y178" s="165"/>
      <c r="Z178" s="165"/>
      <c r="AA178" s="165"/>
      <c r="AB178" s="165"/>
      <c r="AC178" s="165"/>
      <c r="AD178" s="165"/>
      <c r="AE178" s="165"/>
      <c r="AF178" s="165"/>
    </row>
    <row r="179" spans="1:32" ht="60">
      <c r="A179" s="165"/>
      <c r="B179" s="48"/>
      <c r="C179" s="48"/>
      <c r="D179" s="49"/>
      <c r="E179" s="49"/>
      <c r="F179" s="50"/>
      <c r="G179" s="58" t="s">
        <v>1303</v>
      </c>
      <c r="H179" s="233">
        <v>23.662551440329217</v>
      </c>
      <c r="I179" s="527"/>
      <c r="J179" s="233">
        <f>H179+0.42</f>
        <v>24.082551440329219</v>
      </c>
      <c r="K179" s="527"/>
      <c r="L179" s="233">
        <f>J179+1.028</f>
        <v>25.110551440329218</v>
      </c>
      <c r="M179" s="527"/>
      <c r="N179" s="233">
        <f>L179+1.028</f>
        <v>26.138551440329216</v>
      </c>
      <c r="O179" s="527"/>
      <c r="P179" s="233">
        <f>N179+1.028</f>
        <v>27.166551440329215</v>
      </c>
      <c r="Q179" s="527"/>
      <c r="R179" s="233">
        <f>P179+1.028</f>
        <v>28.194551440329214</v>
      </c>
      <c r="S179" s="527"/>
      <c r="T179" s="233">
        <f>R179+1.028</f>
        <v>29.222551440329212</v>
      </c>
      <c r="U179" s="527"/>
      <c r="V179" s="52"/>
      <c r="W179" s="52"/>
      <c r="X179" s="52"/>
      <c r="Y179" s="165"/>
      <c r="Z179" s="165"/>
      <c r="AA179" s="165"/>
      <c r="AB179" s="165"/>
      <c r="AC179" s="165"/>
      <c r="AD179" s="165"/>
      <c r="AE179" s="165"/>
      <c r="AF179" s="165"/>
    </row>
    <row r="180" spans="1:32" ht="60">
      <c r="A180" s="165"/>
      <c r="B180" s="48"/>
      <c r="C180" s="48"/>
      <c r="D180" s="49"/>
      <c r="E180" s="49"/>
      <c r="F180" s="50"/>
      <c r="G180" s="58" t="s">
        <v>1305</v>
      </c>
      <c r="H180" s="233">
        <v>85</v>
      </c>
      <c r="I180" s="527"/>
      <c r="J180" s="233">
        <f>H180+0.412</f>
        <v>85.412000000000006</v>
      </c>
      <c r="K180" s="527"/>
      <c r="L180" s="233">
        <f>J180+0.412</f>
        <v>85.824000000000012</v>
      </c>
      <c r="M180" s="527"/>
      <c r="N180" s="233">
        <f>L180+0.412</f>
        <v>86.236000000000018</v>
      </c>
      <c r="O180" s="527"/>
      <c r="P180" s="233">
        <f>N180+0.412</f>
        <v>86.648000000000025</v>
      </c>
      <c r="Q180" s="527"/>
      <c r="R180" s="233">
        <f>P180+0.412</f>
        <v>87.060000000000031</v>
      </c>
      <c r="S180" s="527"/>
      <c r="T180" s="233">
        <f>R180+0.412</f>
        <v>87.472000000000037</v>
      </c>
      <c r="U180" s="527"/>
      <c r="V180" s="52"/>
      <c r="W180" s="52"/>
      <c r="X180" s="52"/>
      <c r="Y180" s="165"/>
      <c r="Z180" s="165"/>
      <c r="AA180" s="165"/>
      <c r="AB180" s="165"/>
      <c r="AC180" s="165"/>
      <c r="AD180" s="165"/>
      <c r="AE180" s="165"/>
      <c r="AF180" s="165"/>
    </row>
    <row r="181" spans="1:32" ht="60">
      <c r="A181" s="165"/>
      <c r="B181" s="48"/>
      <c r="C181" s="48"/>
      <c r="D181" s="49"/>
      <c r="E181" s="49"/>
      <c r="F181" s="50"/>
      <c r="G181" s="58" t="s">
        <v>1307</v>
      </c>
      <c r="H181" s="233">
        <v>85</v>
      </c>
      <c r="I181" s="527"/>
      <c r="J181" s="233">
        <f>H181+0.412</f>
        <v>85.412000000000006</v>
      </c>
      <c r="K181" s="527"/>
      <c r="L181" s="233">
        <f>J181+0.412</f>
        <v>85.824000000000012</v>
      </c>
      <c r="M181" s="527"/>
      <c r="N181" s="233">
        <f>L181+0.412</f>
        <v>86.236000000000018</v>
      </c>
      <c r="O181" s="527"/>
      <c r="P181" s="233">
        <f>N181+0.412</f>
        <v>86.648000000000025</v>
      </c>
      <c r="Q181" s="527"/>
      <c r="R181" s="233">
        <f>P181+0.412</f>
        <v>87.060000000000031</v>
      </c>
      <c r="S181" s="527"/>
      <c r="T181" s="233">
        <f>R181+0.412</f>
        <v>87.472000000000037</v>
      </c>
      <c r="U181" s="527"/>
      <c r="V181" s="52"/>
      <c r="W181" s="52"/>
      <c r="X181" s="52"/>
      <c r="Y181" s="165"/>
      <c r="Z181" s="165"/>
      <c r="AA181" s="165"/>
      <c r="AB181" s="165"/>
      <c r="AC181" s="165"/>
      <c r="AD181" s="165"/>
      <c r="AE181" s="165"/>
      <c r="AF181" s="165"/>
    </row>
    <row r="182" spans="1:32" ht="45">
      <c r="A182" s="165"/>
      <c r="B182" s="48"/>
      <c r="C182" s="48"/>
      <c r="D182" s="49"/>
      <c r="E182" s="49"/>
      <c r="F182" s="50"/>
      <c r="G182" s="401" t="s">
        <v>2261</v>
      </c>
      <c r="H182" s="233">
        <v>92.02</v>
      </c>
      <c r="I182" s="233">
        <v>100</v>
      </c>
      <c r="J182" s="233">
        <v>93</v>
      </c>
      <c r="K182" s="527">
        <v>49446500</v>
      </c>
      <c r="L182" s="527">
        <v>3</v>
      </c>
      <c r="M182" s="527">
        <v>50000000</v>
      </c>
      <c r="N182" s="527">
        <v>0</v>
      </c>
      <c r="O182" s="527">
        <v>0</v>
      </c>
      <c r="P182" s="527">
        <v>0</v>
      </c>
      <c r="Q182" s="528">
        <v>0</v>
      </c>
      <c r="R182" s="527">
        <v>0</v>
      </c>
      <c r="S182" s="528">
        <v>0</v>
      </c>
      <c r="T182" s="527">
        <v>0</v>
      </c>
      <c r="U182" s="528">
        <v>0</v>
      </c>
      <c r="V182" s="52"/>
      <c r="W182" s="52"/>
      <c r="X182" s="52"/>
      <c r="Y182" s="165"/>
      <c r="Z182" s="165"/>
      <c r="AA182" s="165"/>
      <c r="AB182" s="165"/>
      <c r="AC182" s="165"/>
      <c r="AD182" s="165"/>
      <c r="AE182" s="165"/>
      <c r="AF182" s="165"/>
    </row>
    <row r="183" spans="1:32" ht="45">
      <c r="A183" s="165"/>
      <c r="B183" s="48"/>
      <c r="C183" s="48"/>
      <c r="D183" s="49"/>
      <c r="E183" s="49"/>
      <c r="F183" s="50"/>
      <c r="G183" s="401" t="s">
        <v>2262</v>
      </c>
      <c r="H183" s="233">
        <v>0</v>
      </c>
      <c r="I183" s="233">
        <v>0</v>
      </c>
      <c r="J183" s="233">
        <v>0</v>
      </c>
      <c r="K183" s="527">
        <v>0</v>
      </c>
      <c r="L183" s="527">
        <v>0</v>
      </c>
      <c r="M183" s="527">
        <v>0</v>
      </c>
      <c r="N183" s="527">
        <v>10</v>
      </c>
      <c r="O183" s="527">
        <v>250000000</v>
      </c>
      <c r="P183" s="527">
        <v>10</v>
      </c>
      <c r="Q183" s="527">
        <v>250000000</v>
      </c>
      <c r="R183" s="527">
        <v>10</v>
      </c>
      <c r="S183" s="527">
        <v>250000000</v>
      </c>
      <c r="T183" s="527">
        <v>10</v>
      </c>
      <c r="U183" s="527">
        <v>250000000</v>
      </c>
      <c r="V183" s="52"/>
      <c r="W183" s="52"/>
      <c r="X183" s="52"/>
      <c r="Y183" s="165"/>
      <c r="Z183" s="165"/>
      <c r="AA183" s="165"/>
      <c r="AB183" s="165"/>
      <c r="AC183" s="165"/>
      <c r="AD183" s="165"/>
      <c r="AE183" s="165"/>
      <c r="AF183" s="165"/>
    </row>
    <row r="184" spans="1:32" ht="45">
      <c r="A184" s="165"/>
      <c r="B184" s="48"/>
      <c r="C184" s="48"/>
      <c r="D184" s="49"/>
      <c r="E184" s="49"/>
      <c r="F184" s="50"/>
      <c r="G184" s="401" t="s">
        <v>2263</v>
      </c>
      <c r="H184" s="233">
        <v>0</v>
      </c>
      <c r="I184" s="233">
        <v>0</v>
      </c>
      <c r="J184" s="233">
        <v>0</v>
      </c>
      <c r="K184" s="527">
        <v>0</v>
      </c>
      <c r="L184" s="527">
        <v>0</v>
      </c>
      <c r="M184" s="527">
        <v>0</v>
      </c>
      <c r="N184" s="527">
        <v>5</v>
      </c>
      <c r="O184" s="527">
        <v>150000000</v>
      </c>
      <c r="P184" s="527">
        <v>5</v>
      </c>
      <c r="Q184" s="528">
        <v>150000000</v>
      </c>
      <c r="R184" s="527">
        <v>5</v>
      </c>
      <c r="S184" s="528">
        <v>150000000</v>
      </c>
      <c r="T184" s="527">
        <v>5</v>
      </c>
      <c r="U184" s="528">
        <v>150000000</v>
      </c>
      <c r="V184" s="52"/>
      <c r="W184" s="52"/>
      <c r="X184" s="52"/>
      <c r="Y184" s="165"/>
      <c r="Z184" s="165"/>
      <c r="AA184" s="165"/>
      <c r="AB184" s="165"/>
      <c r="AC184" s="165"/>
      <c r="AD184" s="165"/>
      <c r="AE184" s="165"/>
      <c r="AF184" s="165"/>
    </row>
    <row r="185" spans="1:32" ht="30">
      <c r="A185" s="165"/>
      <c r="B185" s="48"/>
      <c r="C185" s="48"/>
      <c r="D185" s="49"/>
      <c r="E185" s="49"/>
      <c r="F185" s="50"/>
      <c r="G185" s="401" t="s">
        <v>2264</v>
      </c>
      <c r="H185" s="233">
        <v>0</v>
      </c>
      <c r="I185" s="233">
        <v>0</v>
      </c>
      <c r="J185" s="233">
        <v>0</v>
      </c>
      <c r="K185" s="527">
        <v>0</v>
      </c>
      <c r="L185" s="527">
        <v>0</v>
      </c>
      <c r="M185" s="527">
        <v>0</v>
      </c>
      <c r="N185" s="527">
        <v>10</v>
      </c>
      <c r="O185" s="527">
        <v>250000000</v>
      </c>
      <c r="P185" s="527">
        <v>10</v>
      </c>
      <c r="Q185" s="528">
        <v>250000000</v>
      </c>
      <c r="R185" s="527">
        <v>10</v>
      </c>
      <c r="S185" s="528">
        <v>250000000</v>
      </c>
      <c r="T185" s="527">
        <v>10</v>
      </c>
      <c r="U185" s="528">
        <v>250000000</v>
      </c>
      <c r="V185" s="52"/>
      <c r="W185" s="52"/>
      <c r="X185" s="52"/>
      <c r="Y185" s="165"/>
      <c r="Z185" s="165"/>
      <c r="AA185" s="165"/>
      <c r="AB185" s="165"/>
      <c r="AC185" s="165"/>
      <c r="AD185" s="165"/>
      <c r="AE185" s="165"/>
      <c r="AF185" s="165"/>
    </row>
    <row r="186" spans="1:32" ht="45">
      <c r="A186" s="165"/>
      <c r="B186" s="48"/>
      <c r="C186" s="48"/>
      <c r="D186" s="49"/>
      <c r="E186" s="49"/>
      <c r="F186" s="50"/>
      <c r="G186" s="58" t="s">
        <v>2265</v>
      </c>
      <c r="H186" s="233">
        <v>0</v>
      </c>
      <c r="I186" s="233">
        <v>0</v>
      </c>
      <c r="J186" s="233">
        <v>0</v>
      </c>
      <c r="K186" s="527">
        <v>0</v>
      </c>
      <c r="L186" s="527">
        <v>0</v>
      </c>
      <c r="M186" s="527">
        <v>0</v>
      </c>
      <c r="N186" s="527">
        <v>64</v>
      </c>
      <c r="O186" s="527">
        <v>640000000</v>
      </c>
      <c r="P186" s="527">
        <v>64</v>
      </c>
      <c r="Q186" s="527">
        <v>640000000</v>
      </c>
      <c r="R186" s="527">
        <v>64</v>
      </c>
      <c r="S186" s="527">
        <v>640000000</v>
      </c>
      <c r="T186" s="527">
        <v>64</v>
      </c>
      <c r="U186" s="527">
        <v>640000000</v>
      </c>
      <c r="V186" s="52"/>
      <c r="W186" s="52"/>
      <c r="X186" s="52"/>
      <c r="Y186" s="165"/>
      <c r="Z186" s="165"/>
      <c r="AA186" s="165"/>
      <c r="AB186" s="165"/>
      <c r="AC186" s="165"/>
      <c r="AD186" s="165"/>
      <c r="AE186" s="165"/>
      <c r="AF186" s="165"/>
    </row>
    <row r="187" spans="1:32" ht="45">
      <c r="A187" s="165"/>
      <c r="B187" s="48"/>
      <c r="C187" s="48"/>
      <c r="D187" s="49"/>
      <c r="E187" s="49"/>
      <c r="F187" s="50"/>
      <c r="G187" s="58" t="s">
        <v>2309</v>
      </c>
      <c r="H187" s="233">
        <v>100</v>
      </c>
      <c r="I187" s="233">
        <v>100</v>
      </c>
      <c r="J187" s="233">
        <v>100</v>
      </c>
      <c r="K187" s="527">
        <v>7500000</v>
      </c>
      <c r="L187" s="527">
        <v>1</v>
      </c>
      <c r="M187" s="527">
        <v>7500000</v>
      </c>
      <c r="N187" s="527">
        <v>1</v>
      </c>
      <c r="O187" s="527">
        <v>7500000</v>
      </c>
      <c r="P187" s="527">
        <v>1</v>
      </c>
      <c r="Q187" s="527">
        <v>7500000</v>
      </c>
      <c r="R187" s="527">
        <v>1</v>
      </c>
      <c r="S187" s="527">
        <v>7500000</v>
      </c>
      <c r="T187" s="527">
        <v>1</v>
      </c>
      <c r="U187" s="527">
        <v>7500000</v>
      </c>
      <c r="V187" s="52"/>
      <c r="W187" s="52"/>
      <c r="X187" s="52"/>
      <c r="Y187" s="165"/>
      <c r="Z187" s="165"/>
      <c r="AA187" s="165"/>
      <c r="AB187" s="165"/>
      <c r="AC187" s="165"/>
      <c r="AD187" s="165"/>
      <c r="AE187" s="165"/>
      <c r="AF187" s="165"/>
    </row>
    <row r="188" spans="1:32" ht="60">
      <c r="A188" s="165"/>
      <c r="B188" s="48"/>
      <c r="C188" s="48"/>
      <c r="D188" s="49"/>
      <c r="E188" s="49"/>
      <c r="F188" s="50"/>
      <c r="G188" s="58" t="s">
        <v>2310</v>
      </c>
      <c r="H188" s="233">
        <v>100</v>
      </c>
      <c r="I188" s="233">
        <v>100</v>
      </c>
      <c r="J188" s="233">
        <v>100</v>
      </c>
      <c r="K188" s="527">
        <v>150000000</v>
      </c>
      <c r="L188" s="527">
        <v>1</v>
      </c>
      <c r="M188" s="527">
        <v>150000000</v>
      </c>
      <c r="N188" s="527">
        <v>1</v>
      </c>
      <c r="O188" s="527">
        <v>150000000</v>
      </c>
      <c r="P188" s="527">
        <v>1</v>
      </c>
      <c r="Q188" s="527">
        <v>150000000</v>
      </c>
      <c r="R188" s="527">
        <v>1</v>
      </c>
      <c r="S188" s="527">
        <v>150000000</v>
      </c>
      <c r="T188" s="527">
        <v>1</v>
      </c>
      <c r="U188" s="527">
        <v>150000000</v>
      </c>
      <c r="V188" s="52"/>
      <c r="W188" s="52"/>
      <c r="X188" s="52"/>
      <c r="Y188" s="165"/>
      <c r="Z188" s="165"/>
      <c r="AA188" s="165"/>
      <c r="AB188" s="165"/>
      <c r="AC188" s="165"/>
      <c r="AD188" s="165"/>
      <c r="AE188" s="165"/>
      <c r="AF188" s="165"/>
    </row>
    <row r="189" spans="1:32" ht="75">
      <c r="A189" s="165"/>
      <c r="B189" s="48"/>
      <c r="C189" s="48"/>
      <c r="D189" s="49"/>
      <c r="E189" s="49"/>
      <c r="F189" s="50"/>
      <c r="G189" s="58" t="s">
        <v>2311</v>
      </c>
      <c r="H189" s="233">
        <v>100</v>
      </c>
      <c r="I189" s="233">
        <v>100</v>
      </c>
      <c r="J189" s="233">
        <v>100</v>
      </c>
      <c r="K189" s="527">
        <v>30000000</v>
      </c>
      <c r="L189" s="527">
        <v>3</v>
      </c>
      <c r="M189" s="527">
        <v>30000000</v>
      </c>
      <c r="N189" s="527">
        <v>3</v>
      </c>
      <c r="O189" s="527">
        <v>30000000</v>
      </c>
      <c r="P189" s="527">
        <v>3</v>
      </c>
      <c r="Q189" s="527">
        <v>30000000</v>
      </c>
      <c r="R189" s="527">
        <v>3</v>
      </c>
      <c r="S189" s="527">
        <v>30000000</v>
      </c>
      <c r="T189" s="527">
        <v>3</v>
      </c>
      <c r="U189" s="527">
        <v>30000000</v>
      </c>
      <c r="V189" s="52"/>
      <c r="W189" s="52"/>
      <c r="X189" s="52"/>
      <c r="Y189" s="165"/>
      <c r="Z189" s="165"/>
      <c r="AA189" s="165"/>
      <c r="AB189" s="165"/>
      <c r="AC189" s="165"/>
      <c r="AD189" s="165"/>
      <c r="AE189" s="165"/>
      <c r="AF189" s="165"/>
    </row>
    <row r="190" spans="1:32" ht="75">
      <c r="A190" s="165"/>
      <c r="B190" s="48"/>
      <c r="C190" s="48"/>
      <c r="D190" s="49"/>
      <c r="E190" s="49"/>
      <c r="F190" s="50"/>
      <c r="G190" s="58" t="s">
        <v>2312</v>
      </c>
      <c r="H190" s="233">
        <v>100</v>
      </c>
      <c r="I190" s="233">
        <v>100</v>
      </c>
      <c r="J190" s="233">
        <v>100</v>
      </c>
      <c r="K190" s="527">
        <v>105000000</v>
      </c>
      <c r="L190" s="527">
        <v>7</v>
      </c>
      <c r="M190" s="527">
        <v>105000000</v>
      </c>
      <c r="N190" s="527">
        <v>7</v>
      </c>
      <c r="O190" s="527">
        <v>105000000</v>
      </c>
      <c r="P190" s="527">
        <v>7</v>
      </c>
      <c r="Q190" s="527">
        <v>105000000</v>
      </c>
      <c r="R190" s="527">
        <v>7</v>
      </c>
      <c r="S190" s="527">
        <v>105000000</v>
      </c>
      <c r="T190" s="527">
        <v>7</v>
      </c>
      <c r="U190" s="527">
        <v>105000000</v>
      </c>
      <c r="V190" s="52"/>
      <c r="W190" s="52"/>
      <c r="X190" s="52"/>
      <c r="Y190" s="165"/>
      <c r="Z190" s="165"/>
      <c r="AA190" s="165"/>
      <c r="AB190" s="165"/>
      <c r="AC190" s="165"/>
      <c r="AD190" s="165"/>
      <c r="AE190" s="165"/>
      <c r="AF190" s="165"/>
    </row>
    <row r="191" spans="1:32" ht="90">
      <c r="A191" s="165"/>
      <c r="B191" s="48"/>
      <c r="C191" s="48"/>
      <c r="D191" s="49"/>
      <c r="E191" s="49"/>
      <c r="F191" s="50"/>
      <c r="G191" s="58" t="s">
        <v>2313</v>
      </c>
      <c r="H191" s="233">
        <v>100</v>
      </c>
      <c r="I191" s="233">
        <v>100</v>
      </c>
      <c r="J191" s="233">
        <v>100</v>
      </c>
      <c r="K191" s="527">
        <v>45000000</v>
      </c>
      <c r="L191" s="527">
        <v>3</v>
      </c>
      <c r="M191" s="527">
        <v>45000000</v>
      </c>
      <c r="N191" s="527">
        <v>3</v>
      </c>
      <c r="O191" s="527">
        <v>45000000</v>
      </c>
      <c r="P191" s="527">
        <v>3</v>
      </c>
      <c r="Q191" s="527">
        <v>45000000</v>
      </c>
      <c r="R191" s="527">
        <v>3</v>
      </c>
      <c r="S191" s="527">
        <v>45000000</v>
      </c>
      <c r="T191" s="527">
        <v>3</v>
      </c>
      <c r="U191" s="527">
        <v>45000000</v>
      </c>
      <c r="V191" s="52"/>
      <c r="W191" s="52"/>
      <c r="X191" s="52"/>
      <c r="Y191" s="165"/>
      <c r="Z191" s="165"/>
      <c r="AA191" s="165"/>
      <c r="AB191" s="165"/>
      <c r="AC191" s="165"/>
      <c r="AD191" s="165"/>
      <c r="AE191" s="165"/>
      <c r="AF191" s="165"/>
    </row>
    <row r="192" spans="1:32" ht="75">
      <c r="A192" s="165"/>
      <c r="B192" s="48"/>
      <c r="C192" s="48"/>
      <c r="D192" s="49"/>
      <c r="E192" s="49"/>
      <c r="F192" s="50"/>
      <c r="G192" s="58" t="s">
        <v>2314</v>
      </c>
      <c r="H192" s="233">
        <v>100</v>
      </c>
      <c r="I192" s="233">
        <v>100</v>
      </c>
      <c r="J192" s="233">
        <v>100</v>
      </c>
      <c r="K192" s="527">
        <v>157500000</v>
      </c>
      <c r="L192" s="527">
        <v>35</v>
      </c>
      <c r="M192" s="527">
        <v>157500000</v>
      </c>
      <c r="N192" s="527">
        <v>35</v>
      </c>
      <c r="O192" s="527">
        <v>157500000</v>
      </c>
      <c r="P192" s="527">
        <v>35</v>
      </c>
      <c r="Q192" s="527">
        <v>157500000</v>
      </c>
      <c r="R192" s="527">
        <v>35</v>
      </c>
      <c r="S192" s="527">
        <v>157500000</v>
      </c>
      <c r="T192" s="527">
        <v>35</v>
      </c>
      <c r="U192" s="527">
        <v>157500000</v>
      </c>
      <c r="V192" s="52"/>
      <c r="W192" s="52"/>
      <c r="X192" s="52"/>
      <c r="Y192" s="165"/>
      <c r="Z192" s="165"/>
      <c r="AA192" s="165"/>
      <c r="AB192" s="165"/>
      <c r="AC192" s="165"/>
      <c r="AD192" s="165"/>
      <c r="AE192" s="165"/>
      <c r="AF192" s="165"/>
    </row>
    <row r="193" spans="1:32" ht="195">
      <c r="A193" s="165"/>
      <c r="B193" s="48"/>
      <c r="C193" s="48"/>
      <c r="D193" s="49"/>
      <c r="E193" s="49"/>
      <c r="F193" s="50"/>
      <c r="G193" s="58" t="s">
        <v>2315</v>
      </c>
      <c r="H193" s="233" t="s">
        <v>2316</v>
      </c>
      <c r="I193" s="233" t="s">
        <v>2317</v>
      </c>
      <c r="J193" s="233">
        <v>100</v>
      </c>
      <c r="K193" s="527" t="s">
        <v>2318</v>
      </c>
      <c r="L193" s="527" t="s">
        <v>2317</v>
      </c>
      <c r="M193" s="527" t="s">
        <v>2318</v>
      </c>
      <c r="N193" s="527" t="s">
        <v>2317</v>
      </c>
      <c r="O193" s="527" t="s">
        <v>2318</v>
      </c>
      <c r="P193" s="527" t="s">
        <v>2317</v>
      </c>
      <c r="Q193" s="527" t="s">
        <v>2318</v>
      </c>
      <c r="R193" s="527" t="s">
        <v>2317</v>
      </c>
      <c r="S193" s="527" t="s">
        <v>2318</v>
      </c>
      <c r="T193" s="527" t="s">
        <v>2317</v>
      </c>
      <c r="U193" s="527" t="s">
        <v>2318</v>
      </c>
      <c r="V193" s="52"/>
      <c r="W193" s="52"/>
      <c r="X193" s="52"/>
      <c r="Y193" s="165"/>
      <c r="Z193" s="165"/>
      <c r="AA193" s="165"/>
      <c r="AB193" s="165"/>
      <c r="AC193" s="165"/>
      <c r="AD193" s="165"/>
      <c r="AE193" s="165"/>
      <c r="AF193" s="165"/>
    </row>
    <row r="194" spans="1:32" ht="90">
      <c r="A194" s="165"/>
      <c r="B194" s="48"/>
      <c r="C194" s="48"/>
      <c r="D194" s="49"/>
      <c r="E194" s="49"/>
      <c r="F194" s="50"/>
      <c r="G194" s="58" t="s">
        <v>2319</v>
      </c>
      <c r="H194" s="233">
        <v>100</v>
      </c>
      <c r="I194" s="233">
        <v>100</v>
      </c>
      <c r="J194" s="233">
        <v>100</v>
      </c>
      <c r="K194" s="527">
        <v>75000000</v>
      </c>
      <c r="L194" s="527">
        <v>3</v>
      </c>
      <c r="M194" s="527">
        <v>75000000</v>
      </c>
      <c r="N194" s="527">
        <v>3</v>
      </c>
      <c r="O194" s="527">
        <v>75000000</v>
      </c>
      <c r="P194" s="527">
        <v>3</v>
      </c>
      <c r="Q194" s="527">
        <v>75000000</v>
      </c>
      <c r="R194" s="527">
        <v>3</v>
      </c>
      <c r="S194" s="527">
        <v>75000000</v>
      </c>
      <c r="T194" s="527">
        <v>3</v>
      </c>
      <c r="U194" s="527">
        <v>75000000</v>
      </c>
      <c r="V194" s="52"/>
      <c r="W194" s="52"/>
      <c r="X194" s="52"/>
      <c r="Y194" s="165"/>
      <c r="Z194" s="165"/>
      <c r="AA194" s="165"/>
      <c r="AB194" s="165"/>
      <c r="AC194" s="165"/>
      <c r="AD194" s="165"/>
      <c r="AE194" s="165"/>
      <c r="AF194" s="165"/>
    </row>
    <row r="195" spans="1:32" ht="150">
      <c r="A195" s="165"/>
      <c r="B195" s="48"/>
      <c r="C195" s="66"/>
      <c r="D195" s="67"/>
      <c r="E195" s="67"/>
      <c r="F195" s="68"/>
      <c r="G195" s="58" t="s">
        <v>2320</v>
      </c>
      <c r="H195" s="233">
        <v>100</v>
      </c>
      <c r="I195" s="233">
        <v>100</v>
      </c>
      <c r="J195" s="233">
        <v>100</v>
      </c>
      <c r="K195" s="527">
        <v>50000000</v>
      </c>
      <c r="L195" s="527">
        <v>1</v>
      </c>
      <c r="M195" s="527">
        <v>50000000</v>
      </c>
      <c r="N195" s="527">
        <v>1</v>
      </c>
      <c r="O195" s="527">
        <v>50000000</v>
      </c>
      <c r="P195" s="527">
        <v>1</v>
      </c>
      <c r="Q195" s="527">
        <v>50000000</v>
      </c>
      <c r="R195" s="527">
        <v>1</v>
      </c>
      <c r="S195" s="527">
        <v>50000000</v>
      </c>
      <c r="T195" s="527">
        <v>1</v>
      </c>
      <c r="U195" s="527">
        <v>50000000</v>
      </c>
      <c r="V195" s="52"/>
      <c r="W195" s="52"/>
      <c r="X195" s="52"/>
      <c r="Y195" s="165"/>
      <c r="Z195" s="165"/>
      <c r="AA195" s="165"/>
      <c r="AB195" s="165"/>
      <c r="AC195" s="165"/>
      <c r="AD195" s="165"/>
      <c r="AE195" s="165"/>
      <c r="AF195" s="165"/>
    </row>
    <row r="196" spans="1:32" s="540" customFormat="1" ht="45">
      <c r="B196" s="545"/>
      <c r="C196" s="591">
        <f>'[4]matrik MISI 4'!P11</f>
        <v>1.01</v>
      </c>
      <c r="D196" s="592" t="str">
        <f>'[4]matrik MISI 4'!Q11</f>
        <v>xx</v>
      </c>
      <c r="E196" s="592">
        <f>'[4]matrik MISI 4'!R11</f>
        <v>20</v>
      </c>
      <c r="F196" s="548" t="str">
        <f>'[4]matrik MISI 4'!S11</f>
        <v>Program peningkatan mutu pendidik dan tenaga kependidikan</v>
      </c>
      <c r="G196" s="548"/>
      <c r="H196" s="550"/>
      <c r="I196" s="550"/>
      <c r="J196" s="550"/>
      <c r="K196" s="551">
        <f>SUM(K197:K257)</f>
        <v>8234183000</v>
      </c>
      <c r="L196" s="551">
        <f t="shared" ref="L196:S196" si="4">SUM(L197:L257)</f>
        <v>10623.184933710208</v>
      </c>
      <c r="M196" s="551">
        <f t="shared" si="4"/>
        <v>8048701500</v>
      </c>
      <c r="N196" s="551">
        <f t="shared" si="4"/>
        <v>16271.738405932432</v>
      </c>
      <c r="O196" s="551">
        <f t="shared" si="4"/>
        <v>8135486500</v>
      </c>
      <c r="P196" s="551">
        <f t="shared" si="4"/>
        <v>16626.188405932433</v>
      </c>
      <c r="Q196" s="551">
        <f t="shared" si="4"/>
        <v>8117086500</v>
      </c>
      <c r="R196" s="551">
        <f t="shared" si="4"/>
        <v>17108.638405932434</v>
      </c>
      <c r="S196" s="551">
        <f t="shared" si="4"/>
        <v>8178086500</v>
      </c>
      <c r="T196" s="550"/>
      <c r="U196" s="550"/>
      <c r="V196" s="550"/>
      <c r="W196" s="550"/>
      <c r="X196" s="550" t="str">
        <f>'[4]matrik MISI 4'!AE11</f>
        <v>Dinas Pendidikan</v>
      </c>
    </row>
    <row r="197" spans="1:32" ht="45">
      <c r="A197" s="165"/>
      <c r="B197" s="48"/>
      <c r="C197" s="62"/>
      <c r="D197" s="63"/>
      <c r="E197" s="63"/>
      <c r="F197" s="64"/>
      <c r="G197" s="58" t="s">
        <v>2221</v>
      </c>
      <c r="H197" s="233">
        <v>100</v>
      </c>
      <c r="I197" s="233">
        <v>100</v>
      </c>
      <c r="J197" s="233">
        <v>99</v>
      </c>
      <c r="K197" s="527">
        <v>100000000</v>
      </c>
      <c r="L197" s="527">
        <v>2</v>
      </c>
      <c r="M197" s="527">
        <v>100000000</v>
      </c>
      <c r="N197" s="527">
        <v>2</v>
      </c>
      <c r="O197" s="527">
        <v>100000000</v>
      </c>
      <c r="P197" s="527">
        <v>2</v>
      </c>
      <c r="Q197" s="527">
        <v>100000000</v>
      </c>
      <c r="R197" s="527">
        <v>2</v>
      </c>
      <c r="S197" s="527">
        <v>100000000</v>
      </c>
      <c r="T197" s="527">
        <v>2</v>
      </c>
      <c r="U197" s="527">
        <v>100000000</v>
      </c>
      <c r="V197" s="52"/>
      <c r="W197" s="52"/>
      <c r="X197" s="52"/>
      <c r="Y197" s="165"/>
      <c r="Z197" s="165"/>
      <c r="AA197" s="165"/>
      <c r="AB197" s="165"/>
      <c r="AC197" s="165"/>
      <c r="AD197" s="165"/>
      <c r="AE197" s="165"/>
      <c r="AF197" s="165"/>
    </row>
    <row r="198" spans="1:32" ht="45">
      <c r="A198" s="165"/>
      <c r="B198" s="48"/>
      <c r="C198" s="48"/>
      <c r="D198" s="49"/>
      <c r="E198" s="49"/>
      <c r="F198" s="50"/>
      <c r="G198" s="58" t="s">
        <v>2222</v>
      </c>
      <c r="H198" s="233">
        <v>100</v>
      </c>
      <c r="I198" s="233">
        <v>100</v>
      </c>
      <c r="J198" s="233">
        <v>97</v>
      </c>
      <c r="K198" s="527">
        <v>50000000</v>
      </c>
      <c r="L198" s="527">
        <v>1</v>
      </c>
      <c r="M198" s="527">
        <v>50000000</v>
      </c>
      <c r="N198" s="527">
        <v>1</v>
      </c>
      <c r="O198" s="527">
        <v>50000000</v>
      </c>
      <c r="P198" s="527">
        <v>1</v>
      </c>
      <c r="Q198" s="527">
        <v>50000000</v>
      </c>
      <c r="R198" s="527">
        <v>1</v>
      </c>
      <c r="S198" s="527">
        <v>50000000</v>
      </c>
      <c r="T198" s="527">
        <v>1</v>
      </c>
      <c r="U198" s="527">
        <v>50000000</v>
      </c>
      <c r="V198" s="52"/>
      <c r="W198" s="52"/>
      <c r="X198" s="52"/>
      <c r="Y198" s="165"/>
      <c r="Z198" s="165"/>
      <c r="AA198" s="165"/>
      <c r="AB198" s="165"/>
      <c r="AC198" s="165"/>
      <c r="AD198" s="165"/>
      <c r="AE198" s="165"/>
      <c r="AF198" s="165"/>
    </row>
    <row r="199" spans="1:32" ht="75">
      <c r="A199" s="165"/>
      <c r="B199" s="48"/>
      <c r="C199" s="48"/>
      <c r="D199" s="49"/>
      <c r="E199" s="49"/>
      <c r="F199" s="50"/>
      <c r="G199" s="58" t="s">
        <v>2229</v>
      </c>
      <c r="H199" s="233">
        <v>100</v>
      </c>
      <c r="I199" s="233">
        <v>100</v>
      </c>
      <c r="J199" s="233">
        <v>99</v>
      </c>
      <c r="K199" s="527">
        <v>8472500</v>
      </c>
      <c r="L199" s="527">
        <v>1</v>
      </c>
      <c r="M199" s="527">
        <v>8075000</v>
      </c>
      <c r="N199" s="527"/>
      <c r="O199" s="528">
        <v>0</v>
      </c>
      <c r="P199" s="527"/>
      <c r="Q199" s="528">
        <v>0</v>
      </c>
      <c r="R199" s="527"/>
      <c r="S199" s="528">
        <v>0</v>
      </c>
      <c r="T199" s="527"/>
      <c r="U199" s="528">
        <v>0</v>
      </c>
      <c r="V199" s="52"/>
      <c r="W199" s="52"/>
      <c r="X199" s="52"/>
      <c r="Y199" s="165"/>
      <c r="Z199" s="165"/>
      <c r="AA199" s="165"/>
      <c r="AB199" s="165"/>
      <c r="AC199" s="165"/>
      <c r="AD199" s="165"/>
      <c r="AE199" s="165"/>
      <c r="AF199" s="165"/>
    </row>
    <row r="200" spans="1:32" ht="60">
      <c r="A200" s="165"/>
      <c r="B200" s="48"/>
      <c r="C200" s="48"/>
      <c r="D200" s="49"/>
      <c r="E200" s="49"/>
      <c r="F200" s="50"/>
      <c r="G200" s="401" t="s">
        <v>2230</v>
      </c>
      <c r="H200" s="233">
        <v>0</v>
      </c>
      <c r="I200" s="233">
        <v>0</v>
      </c>
      <c r="J200" s="233">
        <v>0</v>
      </c>
      <c r="K200" s="527">
        <v>0</v>
      </c>
      <c r="L200" s="527">
        <v>0</v>
      </c>
      <c r="M200" s="527">
        <v>0</v>
      </c>
      <c r="N200" s="527">
        <v>1</v>
      </c>
      <c r="O200" s="528">
        <v>15000000</v>
      </c>
      <c r="P200" s="527">
        <v>1</v>
      </c>
      <c r="Q200" s="528">
        <v>15000000</v>
      </c>
      <c r="R200" s="527">
        <v>1</v>
      </c>
      <c r="S200" s="528">
        <v>20000000</v>
      </c>
      <c r="T200" s="527">
        <v>1</v>
      </c>
      <c r="U200" s="528">
        <v>20000000</v>
      </c>
      <c r="V200" s="52"/>
      <c r="W200" s="52"/>
      <c r="X200" s="52"/>
      <c r="Y200" s="165"/>
      <c r="Z200" s="165"/>
      <c r="AA200" s="165"/>
      <c r="AB200" s="165"/>
      <c r="AC200" s="165"/>
      <c r="AD200" s="165"/>
      <c r="AE200" s="165"/>
      <c r="AF200" s="165"/>
    </row>
    <row r="201" spans="1:32" ht="30">
      <c r="A201" s="165"/>
      <c r="B201" s="48"/>
      <c r="C201" s="48"/>
      <c r="D201" s="49"/>
      <c r="E201" s="49"/>
      <c r="F201" s="50"/>
      <c r="G201" s="58" t="s">
        <v>1243</v>
      </c>
      <c r="H201" s="527" t="s">
        <v>1244</v>
      </c>
      <c r="I201" s="527" t="s">
        <v>1244</v>
      </c>
      <c r="J201" s="527" t="s">
        <v>1244</v>
      </c>
      <c r="K201" s="52"/>
      <c r="L201" s="527" t="s">
        <v>1244</v>
      </c>
      <c r="M201" s="52"/>
      <c r="N201" s="527" t="s">
        <v>1244</v>
      </c>
      <c r="O201" s="52"/>
      <c r="P201" s="527" t="s">
        <v>1244</v>
      </c>
      <c r="Q201" s="52"/>
      <c r="R201" s="527" t="s">
        <v>1244</v>
      </c>
      <c r="S201" s="52"/>
      <c r="T201" s="527" t="s">
        <v>1244</v>
      </c>
      <c r="U201" s="52"/>
      <c r="V201" s="52"/>
      <c r="W201" s="52"/>
      <c r="X201" s="52"/>
      <c r="Y201" s="165"/>
      <c r="Z201" s="165"/>
      <c r="AA201" s="165"/>
      <c r="AB201" s="165"/>
      <c r="AC201" s="165"/>
      <c r="AD201" s="165"/>
      <c r="AE201" s="165"/>
      <c r="AF201" s="165"/>
    </row>
    <row r="202" spans="1:32" ht="30">
      <c r="A202" s="165"/>
      <c r="B202" s="48"/>
      <c r="C202" s="48"/>
      <c r="D202" s="49"/>
      <c r="E202" s="49"/>
      <c r="F202" s="50"/>
      <c r="G202" s="58" t="s">
        <v>1246</v>
      </c>
      <c r="H202" s="527" t="s">
        <v>1244</v>
      </c>
      <c r="I202" s="527" t="s">
        <v>1244</v>
      </c>
      <c r="J202" s="527" t="s">
        <v>1244</v>
      </c>
      <c r="K202" s="52"/>
      <c r="L202" s="527" t="s">
        <v>1244</v>
      </c>
      <c r="M202" s="52"/>
      <c r="N202" s="527" t="s">
        <v>1244</v>
      </c>
      <c r="O202" s="52"/>
      <c r="P202" s="527" t="s">
        <v>1244</v>
      </c>
      <c r="Q202" s="52"/>
      <c r="R202" s="527" t="s">
        <v>1244</v>
      </c>
      <c r="S202" s="52"/>
      <c r="T202" s="527" t="s">
        <v>1244</v>
      </c>
      <c r="U202" s="52"/>
      <c r="V202" s="52"/>
      <c r="W202" s="52"/>
      <c r="X202" s="52"/>
      <c r="Y202" s="165"/>
      <c r="Z202" s="165"/>
      <c r="AA202" s="165"/>
      <c r="AB202" s="165"/>
      <c r="AC202" s="165"/>
      <c r="AD202" s="165"/>
      <c r="AE202" s="165"/>
      <c r="AF202" s="165"/>
    </row>
    <row r="203" spans="1:32" ht="30">
      <c r="A203" s="165"/>
      <c r="B203" s="48"/>
      <c r="C203" s="48"/>
      <c r="D203" s="49"/>
      <c r="E203" s="49"/>
      <c r="F203" s="50"/>
      <c r="G203" s="58" t="s">
        <v>1248</v>
      </c>
      <c r="H203" s="527" t="s">
        <v>1249</v>
      </c>
      <c r="I203" s="527" t="s">
        <v>1249</v>
      </c>
      <c r="J203" s="527" t="s">
        <v>1249</v>
      </c>
      <c r="K203" s="52"/>
      <c r="L203" s="527" t="s">
        <v>1249</v>
      </c>
      <c r="M203" s="52"/>
      <c r="N203" s="293">
        <v>5.2083333333333336E-2</v>
      </c>
      <c r="O203" s="52"/>
      <c r="P203" s="293">
        <v>5.2083333333333336E-2</v>
      </c>
      <c r="Q203" s="52"/>
      <c r="R203" s="293">
        <v>5.2083333333333336E-2</v>
      </c>
      <c r="S203" s="52"/>
      <c r="T203" s="293">
        <v>5.2083333333333336E-2</v>
      </c>
      <c r="U203" s="52"/>
      <c r="V203" s="52"/>
      <c r="W203" s="52"/>
      <c r="X203" s="52"/>
      <c r="Y203" s="165"/>
      <c r="Z203" s="165"/>
      <c r="AA203" s="165"/>
      <c r="AB203" s="165"/>
      <c r="AC203" s="165"/>
      <c r="AD203" s="165"/>
      <c r="AE203" s="165"/>
      <c r="AF203" s="165"/>
    </row>
    <row r="204" spans="1:32" ht="30">
      <c r="A204" s="165"/>
      <c r="B204" s="48"/>
      <c r="C204" s="48"/>
      <c r="D204" s="49"/>
      <c r="E204" s="49"/>
      <c r="F204" s="50"/>
      <c r="G204" s="58" t="s">
        <v>1251</v>
      </c>
      <c r="H204" s="527" t="s">
        <v>1252</v>
      </c>
      <c r="I204" s="527" t="s">
        <v>1252</v>
      </c>
      <c r="J204" s="527" t="s">
        <v>1252</v>
      </c>
      <c r="K204" s="52"/>
      <c r="L204" s="527" t="s">
        <v>1252</v>
      </c>
      <c r="M204" s="52"/>
      <c r="N204" s="527" t="s">
        <v>1252</v>
      </c>
      <c r="O204" s="52"/>
      <c r="P204" s="527" t="s">
        <v>1252</v>
      </c>
      <c r="Q204" s="52"/>
      <c r="R204" s="527" t="s">
        <v>1252</v>
      </c>
      <c r="S204" s="52"/>
      <c r="T204" s="527" t="s">
        <v>1252</v>
      </c>
      <c r="U204" s="52"/>
      <c r="V204" s="52"/>
      <c r="W204" s="52"/>
      <c r="X204" s="52"/>
      <c r="Y204" s="165"/>
      <c r="Z204" s="165"/>
      <c r="AA204" s="165"/>
      <c r="AB204" s="165"/>
      <c r="AC204" s="165"/>
      <c r="AD204" s="165"/>
      <c r="AE204" s="165"/>
      <c r="AF204" s="165"/>
    </row>
    <row r="205" spans="1:32" ht="30">
      <c r="A205" s="165"/>
      <c r="B205" s="48"/>
      <c r="C205" s="48"/>
      <c r="D205" s="49"/>
      <c r="E205" s="49"/>
      <c r="F205" s="50"/>
      <c r="G205" s="58" t="s">
        <v>1254</v>
      </c>
      <c r="H205" s="527" t="s">
        <v>1255</v>
      </c>
      <c r="I205" s="527" t="s">
        <v>1255</v>
      </c>
      <c r="J205" s="527" t="s">
        <v>1255</v>
      </c>
      <c r="K205" s="52"/>
      <c r="L205" s="527" t="s">
        <v>1255</v>
      </c>
      <c r="M205" s="52"/>
      <c r="N205" s="293">
        <v>5.1388888888888894E-2</v>
      </c>
      <c r="O205" s="52"/>
      <c r="P205" s="293">
        <v>5.1388888888888894E-2</v>
      </c>
      <c r="Q205" s="52"/>
      <c r="R205" s="293">
        <v>5.1388888888888894E-2</v>
      </c>
      <c r="S205" s="52"/>
      <c r="T205" s="293">
        <v>5.1388888888888894E-2</v>
      </c>
      <c r="U205" s="52"/>
      <c r="V205" s="52"/>
      <c r="W205" s="52"/>
      <c r="X205" s="52"/>
      <c r="Y205" s="165"/>
      <c r="Z205" s="165"/>
      <c r="AA205" s="165"/>
      <c r="AB205" s="165"/>
      <c r="AC205" s="165"/>
      <c r="AD205" s="165"/>
      <c r="AE205" s="165"/>
      <c r="AF205" s="165"/>
    </row>
    <row r="206" spans="1:32">
      <c r="A206" s="165"/>
      <c r="B206" s="48"/>
      <c r="C206" s="48"/>
      <c r="D206" s="49"/>
      <c r="E206" s="49"/>
      <c r="F206" s="50"/>
      <c r="G206" s="58"/>
      <c r="H206" s="233"/>
      <c r="I206" s="233"/>
      <c r="J206" s="233"/>
      <c r="K206" s="52"/>
      <c r="L206" s="233"/>
      <c r="M206" s="52"/>
      <c r="N206" s="233"/>
      <c r="O206" s="52"/>
      <c r="P206" s="233"/>
      <c r="Q206" s="52"/>
      <c r="R206" s="233"/>
      <c r="S206" s="52"/>
      <c r="T206" s="233"/>
      <c r="U206" s="52"/>
      <c r="V206" s="52"/>
      <c r="W206" s="52"/>
      <c r="X206" s="52"/>
      <c r="Y206" s="165"/>
      <c r="Z206" s="165"/>
      <c r="AA206" s="165"/>
      <c r="AB206" s="165"/>
      <c r="AC206" s="165"/>
      <c r="AD206" s="165"/>
      <c r="AE206" s="165"/>
      <c r="AF206" s="165"/>
    </row>
    <row r="207" spans="1:32" ht="60">
      <c r="A207" s="165"/>
      <c r="B207" s="48"/>
      <c r="C207" s="48"/>
      <c r="D207" s="49"/>
      <c r="E207" s="49"/>
      <c r="F207" s="50"/>
      <c r="G207" s="58" t="s">
        <v>1259</v>
      </c>
      <c r="H207" s="233">
        <v>35.15</v>
      </c>
      <c r="I207" s="233">
        <v>20</v>
      </c>
      <c r="J207" s="233">
        <f>H207+0.05</f>
        <v>35.199999999999996</v>
      </c>
      <c r="K207" s="52"/>
      <c r="L207" s="233">
        <f>J207+0.05</f>
        <v>35.249999999999993</v>
      </c>
      <c r="M207" s="52"/>
      <c r="N207" s="233">
        <f>L207+0.05</f>
        <v>35.29999999999999</v>
      </c>
      <c r="O207" s="52"/>
      <c r="P207" s="233">
        <f>N207+0.05</f>
        <v>35.349999999999987</v>
      </c>
      <c r="Q207" s="52"/>
      <c r="R207" s="233">
        <f>P207+0.05</f>
        <v>35.399999999999984</v>
      </c>
      <c r="S207" s="52"/>
      <c r="T207" s="233">
        <f>R207+0.05</f>
        <v>35.449999999999982</v>
      </c>
      <c r="U207" s="52"/>
      <c r="V207" s="52"/>
      <c r="W207" s="52"/>
      <c r="X207" s="52"/>
      <c r="Y207" s="165"/>
      <c r="Z207" s="165"/>
      <c r="AA207" s="165"/>
      <c r="AB207" s="165"/>
      <c r="AC207" s="165"/>
      <c r="AD207" s="165"/>
      <c r="AE207" s="165"/>
      <c r="AF207" s="165"/>
    </row>
    <row r="208" spans="1:32" ht="60">
      <c r="A208" s="165"/>
      <c r="B208" s="48"/>
      <c r="C208" s="48"/>
      <c r="D208" s="49"/>
      <c r="E208" s="49"/>
      <c r="F208" s="50"/>
      <c r="G208" s="58" t="s">
        <v>1260</v>
      </c>
      <c r="H208" s="233">
        <v>63.370350784417418</v>
      </c>
      <c r="I208" s="233">
        <v>60</v>
      </c>
      <c r="J208" s="233">
        <f>H208+0.05</f>
        <v>63.420350784417415</v>
      </c>
      <c r="K208" s="527"/>
      <c r="L208" s="233">
        <f>J208+0.05</f>
        <v>63.470350784417413</v>
      </c>
      <c r="M208" s="527"/>
      <c r="N208" s="233">
        <f>L208+0.05</f>
        <v>63.52035078441741</v>
      </c>
      <c r="O208" s="527"/>
      <c r="P208" s="233">
        <f>N208+0.05</f>
        <v>63.570350784417407</v>
      </c>
      <c r="Q208" s="527"/>
      <c r="R208" s="233">
        <f>P208+0.05</f>
        <v>63.620350784417404</v>
      </c>
      <c r="S208" s="527"/>
      <c r="T208" s="233">
        <f>R208+0.05</f>
        <v>63.670350784417401</v>
      </c>
      <c r="U208" s="527"/>
      <c r="V208" s="52"/>
      <c r="W208" s="52"/>
      <c r="X208" s="52"/>
      <c r="Y208" s="165"/>
      <c r="Z208" s="165"/>
      <c r="AA208" s="165"/>
      <c r="AB208" s="165"/>
      <c r="AC208" s="165"/>
      <c r="AD208" s="165"/>
      <c r="AE208" s="165"/>
      <c r="AF208" s="165"/>
    </row>
    <row r="209" spans="1:32" ht="60">
      <c r="A209" s="165"/>
      <c r="B209" s="48"/>
      <c r="C209" s="48"/>
      <c r="D209" s="49"/>
      <c r="E209" s="49"/>
      <c r="F209" s="50"/>
      <c r="G209" s="58" t="s">
        <v>1261</v>
      </c>
      <c r="H209" s="233">
        <v>83.286516853932582</v>
      </c>
      <c r="I209" s="233">
        <v>80</v>
      </c>
      <c r="J209" s="233">
        <f>H209+0.05</f>
        <v>83.336516853932579</v>
      </c>
      <c r="K209" s="527"/>
      <c r="L209" s="233">
        <f>J209+0.05</f>
        <v>83.386516853932577</v>
      </c>
      <c r="M209" s="527"/>
      <c r="N209" s="233">
        <f>L209+0.05</f>
        <v>83.436516853932574</v>
      </c>
      <c r="O209" s="527"/>
      <c r="P209" s="233">
        <f>N209+0.05</f>
        <v>83.486516853932571</v>
      </c>
      <c r="Q209" s="527"/>
      <c r="R209" s="233">
        <f>P209+0.05</f>
        <v>83.536516853932568</v>
      </c>
      <c r="S209" s="527"/>
      <c r="T209" s="233">
        <f>R209+0.05</f>
        <v>83.586516853932565</v>
      </c>
      <c r="U209" s="527"/>
      <c r="V209" s="52"/>
      <c r="W209" s="52"/>
      <c r="X209" s="52"/>
      <c r="Y209" s="165"/>
      <c r="Z209" s="165"/>
      <c r="AA209" s="165"/>
      <c r="AB209" s="165"/>
      <c r="AC209" s="165"/>
      <c r="AD209" s="165"/>
      <c r="AE209" s="165"/>
      <c r="AF209" s="165"/>
    </row>
    <row r="210" spans="1:32" ht="60">
      <c r="A210" s="165"/>
      <c r="B210" s="48"/>
      <c r="C210" s="48"/>
      <c r="D210" s="49"/>
      <c r="E210" s="49"/>
      <c r="F210" s="50"/>
      <c r="G210" s="58" t="s">
        <v>1262</v>
      </c>
      <c r="H210" s="233">
        <v>91.448275862068968</v>
      </c>
      <c r="I210" s="233">
        <v>90</v>
      </c>
      <c r="J210" s="233">
        <f>H210+0.05</f>
        <v>91.498275862068965</v>
      </c>
      <c r="K210" s="527"/>
      <c r="L210" s="233">
        <f>J210+0.05</f>
        <v>91.548275862068962</v>
      </c>
      <c r="M210" s="527"/>
      <c r="N210" s="233">
        <f>L210+0.05</f>
        <v>91.598275862068959</v>
      </c>
      <c r="O210" s="527"/>
      <c r="P210" s="233">
        <f>N210+0.05</f>
        <v>91.648275862068957</v>
      </c>
      <c r="Q210" s="527"/>
      <c r="R210" s="233">
        <f>P210+0.05</f>
        <v>91.698275862068954</v>
      </c>
      <c r="S210" s="527"/>
      <c r="T210" s="233">
        <f>R210+0.05</f>
        <v>91.748275862068951</v>
      </c>
      <c r="U210" s="527"/>
      <c r="V210" s="52"/>
      <c r="W210" s="52"/>
      <c r="X210" s="52"/>
      <c r="Y210" s="165"/>
      <c r="Z210" s="165"/>
      <c r="AA210" s="165"/>
      <c r="AB210" s="165"/>
      <c r="AC210" s="165"/>
      <c r="AD210" s="165"/>
      <c r="AE210" s="165"/>
      <c r="AF210" s="165"/>
    </row>
    <row r="211" spans="1:32" ht="60">
      <c r="A211" s="165"/>
      <c r="B211" s="48"/>
      <c r="C211" s="48"/>
      <c r="D211" s="49"/>
      <c r="E211" s="49"/>
      <c r="F211" s="50"/>
      <c r="G211" s="58" t="s">
        <v>1263</v>
      </c>
      <c r="H211" s="233">
        <v>90.209790209790214</v>
      </c>
      <c r="I211" s="233">
        <v>90</v>
      </c>
      <c r="J211" s="233">
        <f>H211+0.05</f>
        <v>90.259790209790211</v>
      </c>
      <c r="K211" s="527"/>
      <c r="L211" s="233">
        <f>J211+0.05</f>
        <v>90.309790209790208</v>
      </c>
      <c r="M211" s="527"/>
      <c r="N211" s="233">
        <f>L211+0.05</f>
        <v>90.359790209790205</v>
      </c>
      <c r="O211" s="527"/>
      <c r="P211" s="233">
        <f>N211+0.05</f>
        <v>90.409790209790202</v>
      </c>
      <c r="Q211" s="527"/>
      <c r="R211" s="233">
        <f>P211+0.05</f>
        <v>90.459790209790199</v>
      </c>
      <c r="S211" s="527"/>
      <c r="T211" s="233">
        <f>R211+0.05</f>
        <v>90.509790209790197</v>
      </c>
      <c r="U211" s="527"/>
      <c r="V211" s="52"/>
      <c r="W211" s="52"/>
      <c r="X211" s="52"/>
      <c r="Y211" s="165"/>
      <c r="Z211" s="165"/>
      <c r="AA211" s="165"/>
      <c r="AB211" s="165"/>
      <c r="AC211" s="165"/>
      <c r="AD211" s="165"/>
      <c r="AE211" s="165"/>
      <c r="AF211" s="165"/>
    </row>
    <row r="212" spans="1:32" ht="120">
      <c r="A212" s="165"/>
      <c r="B212" s="48"/>
      <c r="C212" s="48"/>
      <c r="D212" s="49"/>
      <c r="E212" s="49"/>
      <c r="F212" s="50"/>
      <c r="G212" s="58" t="s">
        <v>4220</v>
      </c>
      <c r="H212" s="233">
        <v>90.87</v>
      </c>
      <c r="I212" s="233">
        <v>93.91</v>
      </c>
      <c r="J212" s="233">
        <v>92</v>
      </c>
      <c r="K212" s="527"/>
      <c r="L212" s="233">
        <f>J212+0.6</f>
        <v>92.6</v>
      </c>
      <c r="M212" s="527"/>
      <c r="N212" s="233">
        <f>L212+0.6</f>
        <v>93.199999999999989</v>
      </c>
      <c r="O212" s="527"/>
      <c r="P212" s="233">
        <f>N212+0.6</f>
        <v>93.799999999999983</v>
      </c>
      <c r="Q212" s="527"/>
      <c r="R212" s="233">
        <f>P212+0.6</f>
        <v>94.399999999999977</v>
      </c>
      <c r="S212" s="527"/>
      <c r="T212" s="233">
        <f>R212+0.6</f>
        <v>94.999999999999972</v>
      </c>
      <c r="U212" s="527"/>
      <c r="V212" s="52"/>
      <c r="W212" s="52"/>
      <c r="X212" s="52"/>
      <c r="Y212" s="165"/>
      <c r="Z212" s="165"/>
      <c r="AA212" s="165"/>
      <c r="AB212" s="165"/>
      <c r="AC212" s="165"/>
      <c r="AD212" s="165"/>
      <c r="AE212" s="165"/>
      <c r="AF212" s="165"/>
    </row>
    <row r="213" spans="1:32" ht="75">
      <c r="A213" s="165"/>
      <c r="B213" s="48"/>
      <c r="C213" s="48"/>
      <c r="D213" s="49"/>
      <c r="E213" s="49"/>
      <c r="F213" s="50"/>
      <c r="G213" s="58" t="s">
        <v>4221</v>
      </c>
      <c r="H213" s="233">
        <v>78.099999999999994</v>
      </c>
      <c r="I213" s="233">
        <v>83.81</v>
      </c>
      <c r="J213" s="233">
        <v>78.5</v>
      </c>
      <c r="K213" s="527"/>
      <c r="L213" s="233">
        <f>J213+1.2</f>
        <v>79.7</v>
      </c>
      <c r="M213" s="527"/>
      <c r="N213" s="233">
        <f>L213+1.2</f>
        <v>80.900000000000006</v>
      </c>
      <c r="O213" s="527"/>
      <c r="P213" s="233">
        <f>N213+1.2</f>
        <v>82.100000000000009</v>
      </c>
      <c r="Q213" s="527"/>
      <c r="R213" s="233">
        <f>P213+1.2</f>
        <v>83.300000000000011</v>
      </c>
      <c r="S213" s="527"/>
      <c r="T213" s="233">
        <f>R213+1.2</f>
        <v>84.500000000000014</v>
      </c>
      <c r="U213" s="527"/>
      <c r="V213" s="52"/>
      <c r="W213" s="52"/>
      <c r="X213" s="52"/>
      <c r="Y213" s="165"/>
      <c r="Z213" s="165"/>
      <c r="AA213" s="165"/>
      <c r="AB213" s="165"/>
      <c r="AC213" s="165"/>
      <c r="AD213" s="165"/>
      <c r="AE213" s="165"/>
      <c r="AF213" s="165"/>
    </row>
    <row r="214" spans="1:32" ht="135">
      <c r="A214" s="165"/>
      <c r="B214" s="48"/>
      <c r="C214" s="48"/>
      <c r="D214" s="49"/>
      <c r="E214" s="49"/>
      <c r="F214" s="50"/>
      <c r="G214" s="58" t="s">
        <v>4222</v>
      </c>
      <c r="H214" s="233">
        <v>81.3</v>
      </c>
      <c r="I214" s="233">
        <v>84.52</v>
      </c>
      <c r="J214" s="233">
        <v>81.5</v>
      </c>
      <c r="K214" s="527"/>
      <c r="L214" s="233">
        <f>J214+1.5</f>
        <v>83</v>
      </c>
      <c r="M214" s="527"/>
      <c r="N214" s="233">
        <f>L214+1.5</f>
        <v>84.5</v>
      </c>
      <c r="O214" s="527"/>
      <c r="P214" s="233">
        <f>N214+1.5</f>
        <v>86</v>
      </c>
      <c r="Q214" s="527"/>
      <c r="R214" s="233">
        <f>P214+1.5</f>
        <v>87.5</v>
      </c>
      <c r="S214" s="527"/>
      <c r="T214" s="233">
        <f>R214+1.5</f>
        <v>89</v>
      </c>
      <c r="U214" s="527"/>
      <c r="V214" s="52"/>
      <c r="W214" s="52"/>
      <c r="X214" s="52"/>
      <c r="Y214" s="165"/>
      <c r="Z214" s="165"/>
      <c r="AA214" s="165"/>
      <c r="AB214" s="165"/>
      <c r="AC214" s="165"/>
      <c r="AD214" s="165"/>
      <c r="AE214" s="165"/>
      <c r="AF214" s="165"/>
    </row>
    <row r="215" spans="1:32" ht="150">
      <c r="A215" s="165"/>
      <c r="B215" s="48"/>
      <c r="C215" s="48"/>
      <c r="D215" s="49"/>
      <c r="E215" s="49"/>
      <c r="F215" s="50"/>
      <c r="G215" s="58" t="s">
        <v>4223</v>
      </c>
      <c r="H215" s="233">
        <v>72.38</v>
      </c>
      <c r="I215" s="233">
        <v>80</v>
      </c>
      <c r="J215" s="233">
        <v>72.5</v>
      </c>
      <c r="K215" s="527"/>
      <c r="L215" s="233">
        <f>J215+2</f>
        <v>74.5</v>
      </c>
      <c r="M215" s="527"/>
      <c r="N215" s="233">
        <f>L215+2</f>
        <v>76.5</v>
      </c>
      <c r="O215" s="527"/>
      <c r="P215" s="233">
        <f>N215+2</f>
        <v>78.5</v>
      </c>
      <c r="Q215" s="527"/>
      <c r="R215" s="233">
        <f>P215+2</f>
        <v>80.5</v>
      </c>
      <c r="S215" s="527"/>
      <c r="T215" s="233">
        <f>R215+2</f>
        <v>82.5</v>
      </c>
      <c r="U215" s="527"/>
      <c r="V215" s="52"/>
      <c r="W215" s="52"/>
      <c r="X215" s="52"/>
      <c r="Y215" s="165"/>
      <c r="Z215" s="165"/>
      <c r="AA215" s="165"/>
      <c r="AB215" s="165"/>
      <c r="AC215" s="165"/>
      <c r="AD215" s="165"/>
      <c r="AE215" s="165"/>
      <c r="AF215" s="165"/>
    </row>
    <row r="216" spans="1:32" ht="195">
      <c r="A216" s="165"/>
      <c r="B216" s="48"/>
      <c r="C216" s="48"/>
      <c r="D216" s="49"/>
      <c r="E216" s="49"/>
      <c r="F216" s="50"/>
      <c r="G216" s="58" t="s">
        <v>4224</v>
      </c>
      <c r="H216" s="233">
        <v>65.709999999999994</v>
      </c>
      <c r="I216" s="233">
        <v>74.290000000000006</v>
      </c>
      <c r="J216" s="233">
        <v>66</v>
      </c>
      <c r="K216" s="527"/>
      <c r="L216" s="233">
        <f>J216+1.7</f>
        <v>67.7</v>
      </c>
      <c r="M216" s="527"/>
      <c r="N216" s="233">
        <f>L216+1.7</f>
        <v>69.400000000000006</v>
      </c>
      <c r="O216" s="527"/>
      <c r="P216" s="233">
        <f>N216+1.7</f>
        <v>71.100000000000009</v>
      </c>
      <c r="Q216" s="527"/>
      <c r="R216" s="233">
        <f>P216+1.7</f>
        <v>72.800000000000011</v>
      </c>
      <c r="S216" s="527"/>
      <c r="T216" s="233">
        <f>R216+1.7</f>
        <v>74.500000000000014</v>
      </c>
      <c r="U216" s="527"/>
      <c r="V216" s="52"/>
      <c r="W216" s="52"/>
      <c r="X216" s="52"/>
      <c r="Y216" s="165"/>
      <c r="Z216" s="165"/>
      <c r="AA216" s="165"/>
      <c r="AB216" s="165"/>
      <c r="AC216" s="165"/>
      <c r="AD216" s="165"/>
      <c r="AE216" s="165"/>
      <c r="AF216" s="165"/>
    </row>
    <row r="217" spans="1:32" ht="105">
      <c r="A217" s="165"/>
      <c r="B217" s="48"/>
      <c r="C217" s="48"/>
      <c r="D217" s="49"/>
      <c r="E217" s="49"/>
      <c r="F217" s="50"/>
      <c r="G217" s="58" t="s">
        <v>4225</v>
      </c>
      <c r="H217" s="233">
        <v>82.96</v>
      </c>
      <c r="I217" s="233">
        <v>86.43</v>
      </c>
      <c r="J217" s="233">
        <v>83</v>
      </c>
      <c r="K217" s="527"/>
      <c r="L217" s="233">
        <f>J217+1.2</f>
        <v>84.2</v>
      </c>
      <c r="M217" s="527"/>
      <c r="N217" s="233">
        <f>L217+1.2</f>
        <v>85.4</v>
      </c>
      <c r="O217" s="527"/>
      <c r="P217" s="233">
        <f>N217+1.2</f>
        <v>86.600000000000009</v>
      </c>
      <c r="Q217" s="527"/>
      <c r="R217" s="233">
        <f>P217+1.2</f>
        <v>87.800000000000011</v>
      </c>
      <c r="S217" s="527"/>
      <c r="T217" s="233">
        <f>R217+1.2</f>
        <v>89.000000000000014</v>
      </c>
      <c r="U217" s="527"/>
      <c r="V217" s="52"/>
      <c r="W217" s="52"/>
      <c r="X217" s="52"/>
      <c r="Y217" s="165"/>
      <c r="Z217" s="165"/>
      <c r="AA217" s="165"/>
      <c r="AB217" s="165"/>
      <c r="AC217" s="165"/>
      <c r="AD217" s="165"/>
      <c r="AE217" s="165"/>
      <c r="AF217" s="165"/>
    </row>
    <row r="218" spans="1:32" ht="120">
      <c r="A218" s="165"/>
      <c r="B218" s="48"/>
      <c r="C218" s="48"/>
      <c r="D218" s="49"/>
      <c r="E218" s="49"/>
      <c r="F218" s="50"/>
      <c r="G218" s="58" t="s">
        <v>4226</v>
      </c>
      <c r="H218" s="233">
        <v>90.48</v>
      </c>
      <c r="I218" s="233">
        <v>94.29</v>
      </c>
      <c r="J218" s="233">
        <v>90.5</v>
      </c>
      <c r="K218" s="527"/>
      <c r="L218" s="233">
        <f>J218+1.5</f>
        <v>92</v>
      </c>
      <c r="M218" s="527"/>
      <c r="N218" s="233">
        <f>L218+1.5</f>
        <v>93.5</v>
      </c>
      <c r="O218" s="527"/>
      <c r="P218" s="233">
        <f>N218+1.5</f>
        <v>95</v>
      </c>
      <c r="Q218" s="527"/>
      <c r="R218" s="233">
        <f>P218+1.5</f>
        <v>96.5</v>
      </c>
      <c r="S218" s="527"/>
      <c r="T218" s="233">
        <f>R218+1.5</f>
        <v>98</v>
      </c>
      <c r="U218" s="527"/>
      <c r="V218" s="52"/>
      <c r="W218" s="52"/>
      <c r="X218" s="52"/>
      <c r="Y218" s="165"/>
      <c r="Z218" s="165"/>
      <c r="AA218" s="165"/>
      <c r="AB218" s="165"/>
      <c r="AC218" s="165"/>
      <c r="AD218" s="165"/>
      <c r="AE218" s="165"/>
      <c r="AF218" s="165"/>
    </row>
    <row r="219" spans="1:32" ht="120">
      <c r="A219" s="165"/>
      <c r="B219" s="48"/>
      <c r="C219" s="48"/>
      <c r="D219" s="49"/>
      <c r="E219" s="49"/>
      <c r="F219" s="50"/>
      <c r="G219" s="58" t="s">
        <v>4227</v>
      </c>
      <c r="H219" s="233">
        <v>100</v>
      </c>
      <c r="I219" s="233">
        <v>100</v>
      </c>
      <c r="J219" s="233">
        <v>95.92</v>
      </c>
      <c r="K219" s="527"/>
      <c r="L219" s="233">
        <v>95.92</v>
      </c>
      <c r="M219" s="527"/>
      <c r="N219" s="233">
        <v>95.92</v>
      </c>
      <c r="O219" s="527"/>
      <c r="P219" s="233">
        <v>95.92</v>
      </c>
      <c r="Q219" s="527"/>
      <c r="R219" s="233">
        <v>95.92</v>
      </c>
      <c r="S219" s="527"/>
      <c r="T219" s="233">
        <v>95.92</v>
      </c>
      <c r="U219" s="527"/>
      <c r="V219" s="52"/>
      <c r="W219" s="52"/>
      <c r="X219" s="52"/>
      <c r="Y219" s="165"/>
      <c r="Z219" s="165"/>
      <c r="AA219" s="165"/>
      <c r="AB219" s="165"/>
      <c r="AC219" s="165"/>
      <c r="AD219" s="165"/>
      <c r="AE219" s="165"/>
      <c r="AF219" s="165"/>
    </row>
    <row r="220" spans="1:32" ht="60">
      <c r="A220" s="165"/>
      <c r="B220" s="48"/>
      <c r="C220" s="48"/>
      <c r="D220" s="49"/>
      <c r="E220" s="49"/>
      <c r="F220" s="50"/>
      <c r="G220" s="58" t="s">
        <v>2231</v>
      </c>
      <c r="H220" s="233">
        <v>0</v>
      </c>
      <c r="I220" s="233">
        <v>100</v>
      </c>
      <c r="J220" s="233">
        <v>99</v>
      </c>
      <c r="K220" s="527">
        <v>25865000</v>
      </c>
      <c r="L220" s="527">
        <v>1</v>
      </c>
      <c r="M220" s="527">
        <v>23465000</v>
      </c>
      <c r="N220" s="527">
        <v>1</v>
      </c>
      <c r="O220" s="527">
        <v>23465000</v>
      </c>
      <c r="P220" s="527">
        <v>1</v>
      </c>
      <c r="Q220" s="527">
        <v>23465000</v>
      </c>
      <c r="R220" s="527">
        <v>1</v>
      </c>
      <c r="S220" s="527">
        <v>23465000</v>
      </c>
      <c r="T220" s="527">
        <v>1</v>
      </c>
      <c r="U220" s="527">
        <v>23465000</v>
      </c>
      <c r="V220" s="52"/>
      <c r="W220" s="52"/>
      <c r="X220" s="52"/>
      <c r="Y220" s="165"/>
      <c r="Z220" s="165"/>
      <c r="AA220" s="165"/>
      <c r="AB220" s="165"/>
      <c r="AC220" s="165"/>
      <c r="AD220" s="165"/>
      <c r="AE220" s="165"/>
      <c r="AF220" s="165"/>
    </row>
    <row r="221" spans="1:32" ht="60">
      <c r="A221" s="165"/>
      <c r="B221" s="48"/>
      <c r="C221" s="48"/>
      <c r="D221" s="49"/>
      <c r="E221" s="49"/>
      <c r="F221" s="50"/>
      <c r="G221" s="58" t="s">
        <v>2232</v>
      </c>
      <c r="H221" s="233">
        <v>0</v>
      </c>
      <c r="I221" s="233">
        <v>100</v>
      </c>
      <c r="J221" s="233">
        <v>99</v>
      </c>
      <c r="K221" s="527">
        <v>15000000</v>
      </c>
      <c r="L221" s="527">
        <v>1</v>
      </c>
      <c r="M221" s="527">
        <v>14621500</v>
      </c>
      <c r="N221" s="527">
        <v>1</v>
      </c>
      <c r="O221" s="527">
        <v>14621500</v>
      </c>
      <c r="P221" s="527">
        <v>1</v>
      </c>
      <c r="Q221" s="527">
        <v>14621500</v>
      </c>
      <c r="R221" s="527">
        <v>1</v>
      </c>
      <c r="S221" s="527">
        <v>14621500</v>
      </c>
      <c r="T221" s="527">
        <v>1</v>
      </c>
      <c r="U221" s="527">
        <v>14621500</v>
      </c>
      <c r="V221" s="52"/>
      <c r="W221" s="52"/>
      <c r="X221" s="52"/>
      <c r="Y221" s="165"/>
      <c r="Z221" s="165"/>
      <c r="AA221" s="165"/>
      <c r="AB221" s="165"/>
      <c r="AC221" s="165"/>
      <c r="AD221" s="165"/>
      <c r="AE221" s="165"/>
      <c r="AF221" s="165"/>
    </row>
    <row r="222" spans="1:32" ht="90">
      <c r="A222" s="165"/>
      <c r="B222" s="48"/>
      <c r="C222" s="48"/>
      <c r="D222" s="49"/>
      <c r="E222" s="49"/>
      <c r="F222" s="50"/>
      <c r="G222" s="58" t="s">
        <v>2233</v>
      </c>
      <c r="H222" s="233">
        <v>0</v>
      </c>
      <c r="I222" s="233">
        <v>100</v>
      </c>
      <c r="J222" s="233">
        <v>99</v>
      </c>
      <c r="K222" s="527">
        <v>25000000</v>
      </c>
      <c r="L222" s="527">
        <v>1</v>
      </c>
      <c r="M222" s="527">
        <v>25000000</v>
      </c>
      <c r="N222" s="527">
        <v>1</v>
      </c>
      <c r="O222" s="527">
        <v>25000000</v>
      </c>
      <c r="P222" s="527">
        <v>1</v>
      </c>
      <c r="Q222" s="527">
        <v>25000000</v>
      </c>
      <c r="R222" s="527">
        <v>1</v>
      </c>
      <c r="S222" s="527">
        <v>25000000</v>
      </c>
      <c r="T222" s="527">
        <v>1</v>
      </c>
      <c r="U222" s="527">
        <v>25000000</v>
      </c>
      <c r="V222" s="52"/>
      <c r="W222" s="52"/>
      <c r="X222" s="52"/>
      <c r="Y222" s="165"/>
      <c r="Z222" s="165"/>
      <c r="AA222" s="165"/>
      <c r="AB222" s="165"/>
      <c r="AC222" s="165"/>
      <c r="AD222" s="165"/>
      <c r="AE222" s="165"/>
      <c r="AF222" s="165"/>
    </row>
    <row r="223" spans="1:32" ht="45">
      <c r="A223" s="165"/>
      <c r="B223" s="48"/>
      <c r="C223" s="48"/>
      <c r="D223" s="49"/>
      <c r="E223" s="49"/>
      <c r="F223" s="50"/>
      <c r="G223" s="58" t="s">
        <v>2234</v>
      </c>
      <c r="H223" s="233">
        <v>93.06</v>
      </c>
      <c r="I223" s="233">
        <v>100</v>
      </c>
      <c r="J223" s="233">
        <v>67.069999999999993</v>
      </c>
      <c r="K223" s="527">
        <v>30050000</v>
      </c>
      <c r="L223" s="527">
        <v>80</v>
      </c>
      <c r="M223" s="527">
        <v>39715000</v>
      </c>
      <c r="N223" s="527">
        <v>80</v>
      </c>
      <c r="O223" s="527">
        <v>40000000</v>
      </c>
      <c r="P223" s="527">
        <v>80</v>
      </c>
      <c r="Q223" s="527">
        <v>45000000</v>
      </c>
      <c r="R223" s="527">
        <v>80</v>
      </c>
      <c r="S223" s="527">
        <v>50000000</v>
      </c>
      <c r="T223" s="527">
        <v>80</v>
      </c>
      <c r="U223" s="527">
        <v>50000000</v>
      </c>
      <c r="V223" s="52"/>
      <c r="W223" s="52"/>
      <c r="X223" s="52"/>
      <c r="Y223" s="165"/>
      <c r="Z223" s="165"/>
      <c r="AA223" s="165"/>
      <c r="AB223" s="165"/>
      <c r="AC223" s="165"/>
      <c r="AD223" s="165"/>
      <c r="AE223" s="165"/>
      <c r="AF223" s="165"/>
    </row>
    <row r="224" spans="1:32" ht="30">
      <c r="A224" s="165"/>
      <c r="B224" s="48"/>
      <c r="C224" s="48"/>
      <c r="D224" s="49"/>
      <c r="E224" s="49"/>
      <c r="F224" s="50"/>
      <c r="G224" s="58" t="s">
        <v>2235</v>
      </c>
      <c r="H224" s="233">
        <v>95.2</v>
      </c>
      <c r="I224" s="233">
        <v>100</v>
      </c>
      <c r="J224" s="233">
        <v>92.85</v>
      </c>
      <c r="K224" s="527">
        <v>50000000</v>
      </c>
      <c r="L224" s="527">
        <v>80</v>
      </c>
      <c r="M224" s="527">
        <v>48500000</v>
      </c>
      <c r="N224" s="527">
        <v>90</v>
      </c>
      <c r="O224" s="527">
        <v>55000000</v>
      </c>
      <c r="P224" s="527">
        <v>100</v>
      </c>
      <c r="Q224" s="527">
        <v>60000000</v>
      </c>
      <c r="R224" s="527">
        <v>100</v>
      </c>
      <c r="S224" s="527">
        <v>65000000</v>
      </c>
      <c r="T224" s="527">
        <v>100</v>
      </c>
      <c r="U224" s="527">
        <v>65000000</v>
      </c>
      <c r="V224" s="52"/>
      <c r="W224" s="52"/>
      <c r="X224" s="52"/>
      <c r="Y224" s="165"/>
      <c r="Z224" s="165"/>
      <c r="AA224" s="165"/>
      <c r="AB224" s="165"/>
      <c r="AC224" s="165"/>
      <c r="AD224" s="165"/>
      <c r="AE224" s="165"/>
      <c r="AF224" s="165"/>
    </row>
    <row r="225" spans="1:32" ht="45">
      <c r="A225" s="165"/>
      <c r="B225" s="48"/>
      <c r="C225" s="48"/>
      <c r="D225" s="49"/>
      <c r="E225" s="49"/>
      <c r="F225" s="50"/>
      <c r="G225" s="58" t="s">
        <v>2236</v>
      </c>
      <c r="H225" s="233">
        <v>97.66</v>
      </c>
      <c r="I225" s="233">
        <v>100</v>
      </c>
      <c r="J225" s="233">
        <v>78.400000000000006</v>
      </c>
      <c r="K225" s="527">
        <v>22092000</v>
      </c>
      <c r="L225" s="527">
        <v>15</v>
      </c>
      <c r="M225" s="527">
        <v>22660000</v>
      </c>
      <c r="N225" s="527">
        <v>15</v>
      </c>
      <c r="O225" s="527">
        <v>40000000</v>
      </c>
      <c r="P225" s="527">
        <v>15</v>
      </c>
      <c r="Q225" s="527">
        <v>50000000</v>
      </c>
      <c r="R225" s="527">
        <v>15</v>
      </c>
      <c r="S225" s="527">
        <v>60000000</v>
      </c>
      <c r="T225" s="527">
        <v>15</v>
      </c>
      <c r="U225" s="527">
        <v>60000000</v>
      </c>
      <c r="V225" s="52"/>
      <c r="W225" s="52"/>
      <c r="X225" s="52"/>
      <c r="Y225" s="165"/>
      <c r="Z225" s="165"/>
      <c r="AA225" s="165"/>
      <c r="AB225" s="165"/>
      <c r="AC225" s="165"/>
      <c r="AD225" s="165"/>
      <c r="AE225" s="165"/>
      <c r="AF225" s="165"/>
    </row>
    <row r="226" spans="1:32" ht="60">
      <c r="A226" s="165"/>
      <c r="B226" s="48"/>
      <c r="C226" s="48"/>
      <c r="D226" s="49"/>
      <c r="E226" s="49"/>
      <c r="F226" s="50"/>
      <c r="G226" s="58" t="s">
        <v>2237</v>
      </c>
      <c r="H226" s="233">
        <v>83.49</v>
      </c>
      <c r="I226" s="233">
        <v>100</v>
      </c>
      <c r="J226" s="233">
        <v>100</v>
      </c>
      <c r="K226" s="527">
        <v>19045000</v>
      </c>
      <c r="L226" s="527">
        <v>1837</v>
      </c>
      <c r="M226" s="527">
        <v>19260000</v>
      </c>
      <c r="N226" s="527">
        <v>1837</v>
      </c>
      <c r="O226" s="527">
        <v>20000000</v>
      </c>
      <c r="P226" s="527">
        <v>1837</v>
      </c>
      <c r="Q226" s="527">
        <v>25000000</v>
      </c>
      <c r="R226" s="527">
        <v>1837</v>
      </c>
      <c r="S226" s="527">
        <v>30000000</v>
      </c>
      <c r="T226" s="527">
        <v>1837</v>
      </c>
      <c r="U226" s="527">
        <v>30000000</v>
      </c>
      <c r="V226" s="52"/>
      <c r="W226" s="52"/>
      <c r="X226" s="52"/>
      <c r="Y226" s="165"/>
      <c r="Z226" s="165"/>
      <c r="AA226" s="165"/>
      <c r="AB226" s="165"/>
      <c r="AC226" s="165"/>
      <c r="AD226" s="165"/>
      <c r="AE226" s="165"/>
      <c r="AF226" s="165"/>
    </row>
    <row r="227" spans="1:32" ht="45">
      <c r="A227" s="165"/>
      <c r="B227" s="48"/>
      <c r="C227" s="48"/>
      <c r="D227" s="49"/>
      <c r="E227" s="49"/>
      <c r="F227" s="50"/>
      <c r="G227" s="58" t="s">
        <v>2238</v>
      </c>
      <c r="H227" s="233">
        <v>100</v>
      </c>
      <c r="I227" s="233">
        <v>100</v>
      </c>
      <c r="J227" s="233">
        <v>100</v>
      </c>
      <c r="K227" s="527">
        <v>6990000</v>
      </c>
      <c r="L227" s="527">
        <v>350</v>
      </c>
      <c r="M227" s="527">
        <v>9330000</v>
      </c>
      <c r="N227" s="527">
        <v>350</v>
      </c>
      <c r="O227" s="527">
        <v>10000000</v>
      </c>
      <c r="P227" s="527">
        <v>350</v>
      </c>
      <c r="Q227" s="527">
        <v>15000000</v>
      </c>
      <c r="R227" s="527">
        <v>350</v>
      </c>
      <c r="S227" s="527">
        <v>20000000</v>
      </c>
      <c r="T227" s="527">
        <v>350</v>
      </c>
      <c r="U227" s="527">
        <v>20000000</v>
      </c>
      <c r="V227" s="52"/>
      <c r="W227" s="52"/>
      <c r="X227" s="52"/>
      <c r="Y227" s="165"/>
      <c r="Z227" s="165"/>
      <c r="AA227" s="165"/>
      <c r="AB227" s="165"/>
      <c r="AC227" s="165"/>
      <c r="AD227" s="165"/>
      <c r="AE227" s="165"/>
      <c r="AF227" s="165"/>
    </row>
    <row r="228" spans="1:32" ht="30">
      <c r="A228" s="165"/>
      <c r="B228" s="48"/>
      <c r="C228" s="48"/>
      <c r="D228" s="49"/>
      <c r="E228" s="49"/>
      <c r="F228" s="50"/>
      <c r="G228" s="58" t="s">
        <v>2239</v>
      </c>
      <c r="H228" s="233">
        <v>91.67</v>
      </c>
      <c r="I228" s="233">
        <v>100</v>
      </c>
      <c r="J228" s="233">
        <v>100</v>
      </c>
      <c r="K228" s="527">
        <v>35000000</v>
      </c>
      <c r="L228" s="527">
        <v>10</v>
      </c>
      <c r="M228" s="527">
        <v>35000000</v>
      </c>
      <c r="N228" s="527">
        <v>12</v>
      </c>
      <c r="O228" s="527">
        <v>40000000</v>
      </c>
      <c r="P228" s="527">
        <v>12</v>
      </c>
      <c r="Q228" s="527">
        <v>45000000</v>
      </c>
      <c r="R228" s="527">
        <v>14</v>
      </c>
      <c r="S228" s="527">
        <v>50000000</v>
      </c>
      <c r="T228" s="527">
        <v>14</v>
      </c>
      <c r="U228" s="527">
        <v>50000000</v>
      </c>
      <c r="V228" s="52"/>
      <c r="W228" s="52"/>
      <c r="X228" s="52"/>
      <c r="Y228" s="165"/>
      <c r="Z228" s="165"/>
      <c r="AA228" s="165"/>
      <c r="AB228" s="165"/>
      <c r="AC228" s="165"/>
      <c r="AD228" s="165"/>
      <c r="AE228" s="165"/>
      <c r="AF228" s="165"/>
    </row>
    <row r="229" spans="1:32" ht="60">
      <c r="A229" s="165"/>
      <c r="B229" s="48"/>
      <c r="C229" s="48"/>
      <c r="D229" s="49"/>
      <c r="E229" s="49"/>
      <c r="F229" s="50"/>
      <c r="G229" s="58" t="s">
        <v>2240</v>
      </c>
      <c r="H229" s="233">
        <v>84.93</v>
      </c>
      <c r="I229" s="233">
        <v>100</v>
      </c>
      <c r="J229" s="233">
        <v>78.400000000000006</v>
      </c>
      <c r="K229" s="527">
        <v>25000000</v>
      </c>
      <c r="L229" s="527">
        <v>15</v>
      </c>
      <c r="M229" s="527">
        <v>50000000</v>
      </c>
      <c r="N229" s="527">
        <v>15</v>
      </c>
      <c r="O229" s="527">
        <v>30000000</v>
      </c>
      <c r="P229" s="527">
        <v>15</v>
      </c>
      <c r="Q229" s="527">
        <v>35000000</v>
      </c>
      <c r="R229" s="527">
        <v>15</v>
      </c>
      <c r="S229" s="527">
        <v>40000000</v>
      </c>
      <c r="T229" s="527">
        <v>15</v>
      </c>
      <c r="U229" s="527">
        <v>40000000</v>
      </c>
      <c r="V229" s="52"/>
      <c r="W229" s="52"/>
      <c r="X229" s="52"/>
      <c r="Y229" s="165"/>
      <c r="Z229" s="165"/>
      <c r="AA229" s="165"/>
      <c r="AB229" s="165"/>
      <c r="AC229" s="165"/>
      <c r="AD229" s="165"/>
      <c r="AE229" s="165"/>
      <c r="AF229" s="165"/>
    </row>
    <row r="230" spans="1:32" ht="30">
      <c r="A230" s="165"/>
      <c r="B230" s="48"/>
      <c r="C230" s="48"/>
      <c r="D230" s="49"/>
      <c r="E230" s="49"/>
      <c r="F230" s="50"/>
      <c r="G230" s="58" t="s">
        <v>2241</v>
      </c>
      <c r="H230" s="233">
        <v>73.569999999999993</v>
      </c>
      <c r="I230" s="233">
        <v>100</v>
      </c>
      <c r="J230" s="233">
        <v>100</v>
      </c>
      <c r="K230" s="527">
        <v>4685000</v>
      </c>
      <c r="L230" s="527">
        <v>20</v>
      </c>
      <c r="M230" s="527">
        <v>4875000</v>
      </c>
      <c r="N230" s="527">
        <v>30</v>
      </c>
      <c r="O230" s="527">
        <v>8000000</v>
      </c>
      <c r="P230" s="527">
        <v>30</v>
      </c>
      <c r="Q230" s="527">
        <v>9000000</v>
      </c>
      <c r="R230" s="527">
        <v>30</v>
      </c>
      <c r="S230" s="527">
        <v>10000000</v>
      </c>
      <c r="T230" s="527">
        <v>30</v>
      </c>
      <c r="U230" s="527">
        <v>10000000</v>
      </c>
      <c r="V230" s="52"/>
      <c r="W230" s="52"/>
      <c r="X230" s="52"/>
      <c r="Y230" s="165"/>
      <c r="Z230" s="165"/>
      <c r="AA230" s="165"/>
      <c r="AB230" s="165"/>
      <c r="AC230" s="165"/>
      <c r="AD230" s="165"/>
      <c r="AE230" s="165"/>
      <c r="AF230" s="165"/>
    </row>
    <row r="231" spans="1:32" ht="75">
      <c r="A231" s="165"/>
      <c r="B231" s="48"/>
      <c r="C231" s="48"/>
      <c r="D231" s="49"/>
      <c r="E231" s="49"/>
      <c r="F231" s="50"/>
      <c r="G231" s="58" t="s">
        <v>2242</v>
      </c>
      <c r="H231" s="233">
        <v>85.41</v>
      </c>
      <c r="I231" s="233">
        <v>100</v>
      </c>
      <c r="J231" s="233">
        <v>96</v>
      </c>
      <c r="K231" s="527">
        <v>71846000</v>
      </c>
      <c r="L231" s="527">
        <v>600</v>
      </c>
      <c r="M231" s="527">
        <v>69650000</v>
      </c>
      <c r="N231" s="527">
        <v>5000</v>
      </c>
      <c r="O231" s="527">
        <v>50000000</v>
      </c>
      <c r="P231" s="527">
        <v>5000</v>
      </c>
      <c r="Q231" s="527">
        <v>90000000</v>
      </c>
      <c r="R231" s="527">
        <v>5000</v>
      </c>
      <c r="S231" s="527">
        <v>95000000</v>
      </c>
      <c r="T231" s="527">
        <v>5000</v>
      </c>
      <c r="U231" s="527">
        <v>95000000</v>
      </c>
      <c r="V231" s="52"/>
      <c r="W231" s="52"/>
      <c r="X231" s="52"/>
      <c r="Y231" s="165"/>
      <c r="Z231" s="165"/>
      <c r="AA231" s="165"/>
      <c r="AB231" s="165"/>
      <c r="AC231" s="165"/>
      <c r="AD231" s="165"/>
      <c r="AE231" s="165"/>
      <c r="AF231" s="165"/>
    </row>
    <row r="232" spans="1:32" ht="30">
      <c r="A232" s="165"/>
      <c r="B232" s="48"/>
      <c r="C232" s="48"/>
      <c r="D232" s="49"/>
      <c r="E232" s="49"/>
      <c r="F232" s="50"/>
      <c r="G232" s="58" t="s">
        <v>2243</v>
      </c>
      <c r="H232" s="233">
        <v>81.13</v>
      </c>
      <c r="I232" s="233">
        <v>100</v>
      </c>
      <c r="J232" s="233">
        <v>100</v>
      </c>
      <c r="K232" s="527">
        <v>94461500</v>
      </c>
      <c r="L232" s="527">
        <v>150</v>
      </c>
      <c r="M232" s="527">
        <v>87100000</v>
      </c>
      <c r="N232" s="527">
        <v>150</v>
      </c>
      <c r="O232" s="527">
        <v>95000000</v>
      </c>
      <c r="P232" s="527">
        <v>0</v>
      </c>
      <c r="Q232" s="527">
        <v>0</v>
      </c>
      <c r="R232" s="527">
        <v>0</v>
      </c>
      <c r="S232" s="527">
        <v>0</v>
      </c>
      <c r="T232" s="527">
        <v>0</v>
      </c>
      <c r="U232" s="527">
        <v>0</v>
      </c>
      <c r="V232" s="52"/>
      <c r="W232" s="52"/>
      <c r="X232" s="52"/>
      <c r="Y232" s="165"/>
      <c r="Z232" s="165"/>
      <c r="AA232" s="165"/>
      <c r="AB232" s="165"/>
      <c r="AC232" s="165"/>
      <c r="AD232" s="165"/>
      <c r="AE232" s="165"/>
      <c r="AF232" s="165"/>
    </row>
    <row r="233" spans="1:32" ht="30">
      <c r="A233" s="165"/>
      <c r="B233" s="48"/>
      <c r="C233" s="48"/>
      <c r="D233" s="49"/>
      <c r="E233" s="49"/>
      <c r="F233" s="50"/>
      <c r="G233" s="58" t="s">
        <v>2244</v>
      </c>
      <c r="H233" s="233">
        <v>95.67</v>
      </c>
      <c r="I233" s="233">
        <v>100</v>
      </c>
      <c r="J233" s="233">
        <v>100</v>
      </c>
      <c r="K233" s="527">
        <v>5631925000</v>
      </c>
      <c r="L233" s="527">
        <v>1837</v>
      </c>
      <c r="M233" s="527">
        <v>5631925000</v>
      </c>
      <c r="N233" s="527">
        <v>1837</v>
      </c>
      <c r="O233" s="527">
        <v>5800000000</v>
      </c>
      <c r="P233" s="527">
        <v>1837</v>
      </c>
      <c r="Q233" s="527">
        <v>5800000000</v>
      </c>
      <c r="R233" s="527">
        <v>1837</v>
      </c>
      <c r="S233" s="527">
        <v>5800000000</v>
      </c>
      <c r="T233" s="527">
        <v>1837</v>
      </c>
      <c r="U233" s="527">
        <v>5800000000</v>
      </c>
      <c r="V233" s="52"/>
      <c r="W233" s="52"/>
      <c r="X233" s="52"/>
      <c r="Y233" s="165"/>
      <c r="Z233" s="165"/>
      <c r="AA233" s="165"/>
      <c r="AB233" s="165"/>
      <c r="AC233" s="165"/>
      <c r="AD233" s="165"/>
      <c r="AE233" s="165"/>
      <c r="AF233" s="165"/>
    </row>
    <row r="234" spans="1:32" ht="60">
      <c r="A234" s="165"/>
      <c r="B234" s="48"/>
      <c r="C234" s="48"/>
      <c r="D234" s="49"/>
      <c r="E234" s="49"/>
      <c r="F234" s="50"/>
      <c r="G234" s="58" t="s">
        <v>2245</v>
      </c>
      <c r="H234" s="233">
        <v>92.35</v>
      </c>
      <c r="I234" s="233">
        <v>100</v>
      </c>
      <c r="J234" s="233">
        <v>100</v>
      </c>
      <c r="K234" s="527">
        <v>739375000</v>
      </c>
      <c r="L234" s="527">
        <v>325</v>
      </c>
      <c r="M234" s="527">
        <v>739375000</v>
      </c>
      <c r="N234" s="527">
        <v>325</v>
      </c>
      <c r="O234" s="527">
        <v>740000000</v>
      </c>
      <c r="P234" s="527">
        <v>329</v>
      </c>
      <c r="Q234" s="527">
        <v>750000000</v>
      </c>
      <c r="R234" s="527">
        <v>329</v>
      </c>
      <c r="S234" s="527">
        <v>750000000</v>
      </c>
      <c r="T234" s="527">
        <v>329</v>
      </c>
      <c r="U234" s="527">
        <v>750000000</v>
      </c>
      <c r="V234" s="52"/>
      <c r="W234" s="52"/>
      <c r="X234" s="52"/>
      <c r="Y234" s="165"/>
      <c r="Z234" s="165"/>
      <c r="AA234" s="165"/>
      <c r="AB234" s="165"/>
      <c r="AC234" s="165"/>
      <c r="AD234" s="165"/>
      <c r="AE234" s="165"/>
      <c r="AF234" s="165"/>
    </row>
    <row r="235" spans="1:32" ht="45">
      <c r="A235" s="165"/>
      <c r="B235" s="48"/>
      <c r="C235" s="48"/>
      <c r="D235" s="49"/>
      <c r="E235" s="49"/>
      <c r="F235" s="50"/>
      <c r="G235" s="58" t="s">
        <v>2246</v>
      </c>
      <c r="H235" s="233">
        <v>96.63</v>
      </c>
      <c r="I235" s="233">
        <v>100</v>
      </c>
      <c r="J235" s="233">
        <v>98</v>
      </c>
      <c r="K235" s="527">
        <v>322000000</v>
      </c>
      <c r="L235" s="527">
        <v>100</v>
      </c>
      <c r="M235" s="527">
        <v>315000000</v>
      </c>
      <c r="N235" s="527">
        <v>100</v>
      </c>
      <c r="O235" s="527">
        <v>350000000</v>
      </c>
      <c r="P235" s="527">
        <v>100</v>
      </c>
      <c r="Q235" s="527">
        <v>350000000</v>
      </c>
      <c r="R235" s="527">
        <v>100</v>
      </c>
      <c r="S235" s="527">
        <v>350000000</v>
      </c>
      <c r="T235" s="527">
        <v>100</v>
      </c>
      <c r="U235" s="527">
        <v>350000000</v>
      </c>
      <c r="V235" s="52"/>
      <c r="W235" s="52"/>
      <c r="X235" s="52"/>
      <c r="Y235" s="165"/>
      <c r="Z235" s="165"/>
      <c r="AA235" s="165"/>
      <c r="AB235" s="165"/>
      <c r="AC235" s="165"/>
      <c r="AD235" s="165"/>
      <c r="AE235" s="165"/>
      <c r="AF235" s="165"/>
    </row>
    <row r="236" spans="1:32" ht="60">
      <c r="A236" s="165"/>
      <c r="B236" s="48"/>
      <c r="C236" s="48"/>
      <c r="D236" s="49"/>
      <c r="E236" s="49"/>
      <c r="F236" s="50"/>
      <c r="G236" s="58" t="s">
        <v>2247</v>
      </c>
      <c r="H236" s="233">
        <v>100</v>
      </c>
      <c r="I236" s="233">
        <v>100</v>
      </c>
      <c r="J236" s="233"/>
      <c r="K236" s="527">
        <v>530075000</v>
      </c>
      <c r="L236" s="527"/>
      <c r="M236" s="527">
        <v>530075000</v>
      </c>
      <c r="N236" s="527"/>
      <c r="O236" s="527"/>
      <c r="P236" s="527"/>
      <c r="Q236" s="527"/>
      <c r="R236" s="527"/>
      <c r="S236" s="527"/>
      <c r="T236" s="527"/>
      <c r="U236" s="527"/>
      <c r="V236" s="52"/>
      <c r="W236" s="52"/>
      <c r="X236" s="52"/>
      <c r="Y236" s="165"/>
      <c r="Z236" s="165"/>
      <c r="AA236" s="165"/>
      <c r="AB236" s="165"/>
      <c r="AC236" s="165"/>
      <c r="AD236" s="165"/>
      <c r="AE236" s="165"/>
      <c r="AF236" s="165"/>
    </row>
    <row r="237" spans="1:32" ht="60">
      <c r="A237" s="165"/>
      <c r="B237" s="48"/>
      <c r="C237" s="48"/>
      <c r="D237" s="49"/>
      <c r="E237" s="49"/>
      <c r="F237" s="50"/>
      <c r="G237" s="58" t="s">
        <v>2248</v>
      </c>
      <c r="H237" s="233">
        <v>0</v>
      </c>
      <c r="I237" s="233">
        <v>100</v>
      </c>
      <c r="J237" s="233">
        <v>95</v>
      </c>
      <c r="K237" s="527">
        <v>100000000</v>
      </c>
      <c r="L237" s="527">
        <v>1</v>
      </c>
      <c r="M237" s="527">
        <v>100000000</v>
      </c>
      <c r="N237" s="527">
        <v>1</v>
      </c>
      <c r="O237" s="527">
        <v>110000000</v>
      </c>
      <c r="P237" s="527">
        <v>1</v>
      </c>
      <c r="Q237" s="527">
        <v>110000000</v>
      </c>
      <c r="R237" s="527">
        <v>1</v>
      </c>
      <c r="S237" s="527">
        <v>110000000</v>
      </c>
      <c r="T237" s="527">
        <v>1</v>
      </c>
      <c r="U237" s="527">
        <v>110000000</v>
      </c>
      <c r="V237" s="52"/>
      <c r="W237" s="52"/>
      <c r="X237" s="52"/>
      <c r="Y237" s="165"/>
      <c r="Z237" s="165"/>
      <c r="AA237" s="165"/>
      <c r="AB237" s="165"/>
      <c r="AC237" s="165"/>
      <c r="AD237" s="165"/>
      <c r="AE237" s="165"/>
      <c r="AF237" s="165"/>
    </row>
    <row r="238" spans="1:32" ht="45">
      <c r="A238" s="165"/>
      <c r="B238" s="48"/>
      <c r="C238" s="48"/>
      <c r="D238" s="49"/>
      <c r="E238" s="49"/>
      <c r="F238" s="50"/>
      <c r="G238" s="58" t="s">
        <v>1274</v>
      </c>
      <c r="H238" s="233">
        <v>3.13</v>
      </c>
      <c r="I238" s="233"/>
      <c r="J238" s="233">
        <f>H238+0.1</f>
        <v>3.23</v>
      </c>
      <c r="K238" s="52"/>
      <c r="L238" s="233">
        <f>J238+0.1</f>
        <v>3.33</v>
      </c>
      <c r="M238" s="52"/>
      <c r="N238" s="233">
        <f>L238+0.1</f>
        <v>3.43</v>
      </c>
      <c r="O238" s="52"/>
      <c r="P238" s="233">
        <f>N238+0.1</f>
        <v>3.5300000000000002</v>
      </c>
      <c r="Q238" s="52"/>
      <c r="R238" s="233">
        <f>P238+0.1</f>
        <v>3.6300000000000003</v>
      </c>
      <c r="S238" s="52"/>
      <c r="T238" s="233">
        <f>R238+0.1</f>
        <v>3.7300000000000004</v>
      </c>
      <c r="U238" s="52"/>
      <c r="V238" s="52"/>
      <c r="W238" s="52"/>
      <c r="X238" s="52"/>
      <c r="Y238" s="165"/>
      <c r="Z238" s="165"/>
      <c r="AA238" s="165"/>
      <c r="AB238" s="165"/>
      <c r="AC238" s="165"/>
      <c r="AD238" s="165"/>
      <c r="AE238" s="165"/>
      <c r="AF238" s="165"/>
    </row>
    <row r="239" spans="1:32" ht="45">
      <c r="A239" s="165"/>
      <c r="B239" s="48"/>
      <c r="C239" s="48"/>
      <c r="D239" s="49"/>
      <c r="E239" s="49"/>
      <c r="F239" s="50"/>
      <c r="G239" s="58" t="s">
        <v>1277</v>
      </c>
      <c r="H239" s="233">
        <v>30.8</v>
      </c>
      <c r="I239" s="233"/>
      <c r="J239" s="233">
        <f>H239+0.1</f>
        <v>30.900000000000002</v>
      </c>
      <c r="K239" s="527"/>
      <c r="L239" s="233">
        <f>J239+0.1</f>
        <v>31.000000000000004</v>
      </c>
      <c r="M239" s="527"/>
      <c r="N239" s="233">
        <f>L239+0.1</f>
        <v>31.100000000000005</v>
      </c>
      <c r="O239" s="527"/>
      <c r="P239" s="233">
        <f>N239+0.1</f>
        <v>31.200000000000006</v>
      </c>
      <c r="Q239" s="527"/>
      <c r="R239" s="233">
        <f>P239+0.1</f>
        <v>31.300000000000008</v>
      </c>
      <c r="S239" s="527"/>
      <c r="T239" s="233">
        <f>R239+0.1</f>
        <v>31.400000000000009</v>
      </c>
      <c r="U239" s="527"/>
      <c r="V239" s="52"/>
      <c r="W239" s="52"/>
      <c r="X239" s="52"/>
      <c r="Y239" s="165"/>
      <c r="Z239" s="165"/>
      <c r="AA239" s="165"/>
      <c r="AB239" s="165"/>
      <c r="AC239" s="165"/>
      <c r="AD239" s="165"/>
      <c r="AE239" s="165"/>
      <c r="AF239" s="165"/>
    </row>
    <row r="240" spans="1:32" ht="60">
      <c r="A240" s="165"/>
      <c r="B240" s="48"/>
      <c r="C240" s="48"/>
      <c r="D240" s="49"/>
      <c r="E240" s="49"/>
      <c r="F240" s="50"/>
      <c r="G240" s="58" t="s">
        <v>1279</v>
      </c>
      <c r="H240" s="233">
        <v>50.09</v>
      </c>
      <c r="I240" s="233"/>
      <c r="J240" s="233">
        <f>H240+0.1</f>
        <v>50.190000000000005</v>
      </c>
      <c r="K240" s="527"/>
      <c r="L240" s="233">
        <f>J240+0.1</f>
        <v>50.290000000000006</v>
      </c>
      <c r="M240" s="527"/>
      <c r="N240" s="233">
        <f>L240+0.1</f>
        <v>50.390000000000008</v>
      </c>
      <c r="O240" s="527"/>
      <c r="P240" s="233">
        <f>N240+0.1</f>
        <v>50.490000000000009</v>
      </c>
      <c r="Q240" s="527"/>
      <c r="R240" s="233">
        <f>P240+0.1</f>
        <v>50.590000000000011</v>
      </c>
      <c r="S240" s="527"/>
      <c r="T240" s="233">
        <f>R240+0.1</f>
        <v>50.690000000000012</v>
      </c>
      <c r="U240" s="527"/>
      <c r="V240" s="52"/>
      <c r="W240" s="52"/>
      <c r="X240" s="52"/>
      <c r="Y240" s="165"/>
      <c r="Z240" s="165"/>
      <c r="AA240" s="165"/>
      <c r="AB240" s="165"/>
      <c r="AC240" s="165"/>
      <c r="AD240" s="165"/>
      <c r="AE240" s="165"/>
      <c r="AF240" s="165"/>
    </row>
    <row r="241" spans="1:32" ht="60">
      <c r="A241" s="165"/>
      <c r="B241" s="48"/>
      <c r="C241" s="48"/>
      <c r="D241" s="49"/>
      <c r="E241" s="49"/>
      <c r="F241" s="50"/>
      <c r="G241" s="58" t="s">
        <v>1281</v>
      </c>
      <c r="H241" s="233">
        <v>44.79</v>
      </c>
      <c r="I241" s="233"/>
      <c r="J241" s="233">
        <f>H241+0.1</f>
        <v>44.89</v>
      </c>
      <c r="K241" s="527"/>
      <c r="L241" s="233">
        <f>J241+0.1</f>
        <v>44.99</v>
      </c>
      <c r="M241" s="527"/>
      <c r="N241" s="233">
        <f>L241+0.1</f>
        <v>45.09</v>
      </c>
      <c r="O241" s="527"/>
      <c r="P241" s="233">
        <f>N241+0.1</f>
        <v>45.190000000000005</v>
      </c>
      <c r="Q241" s="527"/>
      <c r="R241" s="233">
        <f>P241+0.1</f>
        <v>45.290000000000006</v>
      </c>
      <c r="S241" s="527"/>
      <c r="T241" s="233">
        <f>R241+0.1</f>
        <v>45.390000000000008</v>
      </c>
      <c r="U241" s="527"/>
      <c r="V241" s="52"/>
      <c r="W241" s="52"/>
      <c r="X241" s="52"/>
      <c r="Y241" s="165"/>
      <c r="Z241" s="165"/>
      <c r="AA241" s="165"/>
      <c r="AB241" s="165"/>
      <c r="AC241" s="165"/>
      <c r="AD241" s="165"/>
      <c r="AE241" s="165"/>
      <c r="AF241" s="165"/>
    </row>
    <row r="242" spans="1:32" ht="45">
      <c r="A242" s="165"/>
      <c r="B242" s="48"/>
      <c r="C242" s="48"/>
      <c r="D242" s="49"/>
      <c r="E242" s="49"/>
      <c r="F242" s="50"/>
      <c r="G242" s="58" t="s">
        <v>1283</v>
      </c>
      <c r="H242" s="233">
        <v>44.79</v>
      </c>
      <c r="I242" s="233"/>
      <c r="J242" s="233">
        <f>H242+0.1</f>
        <v>44.89</v>
      </c>
      <c r="K242" s="527"/>
      <c r="L242" s="233">
        <f>J242+0.1</f>
        <v>44.99</v>
      </c>
      <c r="M242" s="527"/>
      <c r="N242" s="233">
        <f>L242+0.1</f>
        <v>45.09</v>
      </c>
      <c r="O242" s="527"/>
      <c r="P242" s="233">
        <f>N242+0.1</f>
        <v>45.190000000000005</v>
      </c>
      <c r="Q242" s="527"/>
      <c r="R242" s="233">
        <f>P242+0.1</f>
        <v>45.290000000000006</v>
      </c>
      <c r="S242" s="527"/>
      <c r="T242" s="233">
        <f>R242+0.1</f>
        <v>45.390000000000008</v>
      </c>
      <c r="U242" s="527"/>
      <c r="V242" s="52"/>
      <c r="W242" s="52"/>
      <c r="X242" s="52"/>
      <c r="Y242" s="165"/>
      <c r="Z242" s="165"/>
      <c r="AA242" s="165"/>
      <c r="AB242" s="165"/>
      <c r="AC242" s="165"/>
      <c r="AD242" s="165"/>
      <c r="AE242" s="165"/>
      <c r="AF242" s="165"/>
    </row>
    <row r="243" spans="1:32" ht="30">
      <c r="A243" s="165"/>
      <c r="B243" s="48"/>
      <c r="C243" s="48"/>
      <c r="D243" s="49"/>
      <c r="E243" s="49"/>
      <c r="F243" s="50"/>
      <c r="G243" s="58" t="s">
        <v>2249</v>
      </c>
      <c r="H243" s="233">
        <v>95.38</v>
      </c>
      <c r="I243" s="233">
        <v>100</v>
      </c>
      <c r="J243" s="233">
        <v>100</v>
      </c>
      <c r="K243" s="527">
        <v>77301000</v>
      </c>
      <c r="L243" s="527">
        <v>3585</v>
      </c>
      <c r="M243" s="527">
        <v>75075000</v>
      </c>
      <c r="N243" s="527">
        <v>4085</v>
      </c>
      <c r="O243" s="527">
        <v>80000000</v>
      </c>
      <c r="P243" s="527">
        <v>4600</v>
      </c>
      <c r="Q243" s="527">
        <v>85000000</v>
      </c>
      <c r="R243" s="527">
        <v>5100</v>
      </c>
      <c r="S243" s="527">
        <v>90000000</v>
      </c>
      <c r="T243" s="527">
        <v>5100</v>
      </c>
      <c r="U243" s="527">
        <v>90000000</v>
      </c>
      <c r="V243" s="52"/>
      <c r="W243" s="52"/>
      <c r="X243" s="52"/>
      <c r="Y243" s="165"/>
      <c r="Z243" s="165"/>
      <c r="AA243" s="165"/>
      <c r="AB243" s="165"/>
      <c r="AC243" s="165"/>
      <c r="AD243" s="165"/>
      <c r="AE243" s="165"/>
      <c r="AF243" s="165"/>
    </row>
    <row r="244" spans="1:32" ht="75">
      <c r="A244" s="165"/>
      <c r="B244" s="48"/>
      <c r="C244" s="48"/>
      <c r="D244" s="49"/>
      <c r="E244" s="49"/>
      <c r="F244" s="50"/>
      <c r="G244" s="401" t="s">
        <v>2250</v>
      </c>
      <c r="H244" s="233">
        <v>85.12</v>
      </c>
      <c r="I244" s="233">
        <v>100</v>
      </c>
      <c r="J244" s="233">
        <v>95</v>
      </c>
      <c r="K244" s="527">
        <v>25000000</v>
      </c>
      <c r="L244" s="527">
        <v>100</v>
      </c>
      <c r="M244" s="527">
        <v>25000000</v>
      </c>
      <c r="N244" s="527">
        <v>100</v>
      </c>
      <c r="O244" s="527">
        <v>30000000</v>
      </c>
      <c r="P244" s="527">
        <v>100</v>
      </c>
      <c r="Q244" s="527">
        <v>30000000</v>
      </c>
      <c r="R244" s="527">
        <v>100</v>
      </c>
      <c r="S244" s="527">
        <v>35000000</v>
      </c>
      <c r="T244" s="527">
        <v>100</v>
      </c>
      <c r="U244" s="527">
        <v>35000000</v>
      </c>
      <c r="V244" s="52"/>
      <c r="W244" s="52"/>
      <c r="X244" s="52"/>
      <c r="Y244" s="165"/>
      <c r="Z244" s="165"/>
      <c r="AA244" s="165"/>
      <c r="AB244" s="165"/>
      <c r="AC244" s="165"/>
      <c r="AD244" s="165"/>
      <c r="AE244" s="165"/>
      <c r="AF244" s="165"/>
    </row>
    <row r="245" spans="1:32" ht="60">
      <c r="A245" s="165"/>
      <c r="B245" s="48"/>
      <c r="C245" s="48"/>
      <c r="D245" s="49"/>
      <c r="E245" s="49"/>
      <c r="F245" s="50"/>
      <c r="G245" s="58" t="s">
        <v>2251</v>
      </c>
      <c r="H245" s="233">
        <v>0</v>
      </c>
      <c r="I245" s="233">
        <v>100</v>
      </c>
      <c r="J245" s="233">
        <v>96</v>
      </c>
      <c r="K245" s="527">
        <v>225000000</v>
      </c>
      <c r="L245" s="527">
        <v>0</v>
      </c>
      <c r="M245" s="527">
        <v>0</v>
      </c>
      <c r="N245" s="527">
        <v>0</v>
      </c>
      <c r="O245" s="527">
        <v>0</v>
      </c>
      <c r="P245" s="527">
        <v>0</v>
      </c>
      <c r="Q245" s="527">
        <v>0</v>
      </c>
      <c r="R245" s="527">
        <v>0</v>
      </c>
      <c r="S245" s="527">
        <v>0</v>
      </c>
      <c r="T245" s="527">
        <v>0</v>
      </c>
      <c r="U245" s="527">
        <v>0</v>
      </c>
      <c r="V245" s="52"/>
      <c r="W245" s="52"/>
      <c r="X245" s="52"/>
      <c r="Y245" s="165"/>
      <c r="Z245" s="165"/>
      <c r="AA245" s="165"/>
      <c r="AB245" s="165"/>
      <c r="AC245" s="165"/>
      <c r="AD245" s="165"/>
      <c r="AE245" s="165"/>
      <c r="AF245" s="165"/>
    </row>
    <row r="246" spans="1:32" ht="30">
      <c r="A246" s="165"/>
      <c r="B246" s="48"/>
      <c r="C246" s="48"/>
      <c r="D246" s="49"/>
      <c r="E246" s="49"/>
      <c r="F246" s="50"/>
      <c r="G246" s="58" t="s">
        <v>2252</v>
      </c>
      <c r="H246" s="233">
        <v>0</v>
      </c>
      <c r="I246" s="233">
        <v>0</v>
      </c>
      <c r="J246" s="233">
        <v>0</v>
      </c>
      <c r="K246" s="527">
        <v>0</v>
      </c>
      <c r="L246" s="527">
        <v>100</v>
      </c>
      <c r="M246" s="527">
        <v>25000000</v>
      </c>
      <c r="N246" s="527">
        <v>100</v>
      </c>
      <c r="O246" s="527">
        <v>30000000</v>
      </c>
      <c r="P246" s="527">
        <v>100</v>
      </c>
      <c r="Q246" s="527">
        <v>35000000</v>
      </c>
      <c r="R246" s="527">
        <v>100</v>
      </c>
      <c r="S246" s="527">
        <v>40000000</v>
      </c>
      <c r="T246" s="527">
        <v>100</v>
      </c>
      <c r="U246" s="527">
        <v>40000000</v>
      </c>
      <c r="V246" s="52"/>
      <c r="W246" s="52"/>
      <c r="X246" s="52"/>
      <c r="Y246" s="165"/>
      <c r="Z246" s="165"/>
      <c r="AA246" s="165"/>
      <c r="AB246" s="165"/>
      <c r="AC246" s="165"/>
      <c r="AD246" s="165"/>
      <c r="AE246" s="165"/>
      <c r="AF246" s="165"/>
    </row>
    <row r="247" spans="1:32" ht="45">
      <c r="A247" s="165"/>
      <c r="B247" s="48"/>
      <c r="C247" s="48"/>
      <c r="D247" s="49"/>
      <c r="E247" s="49"/>
      <c r="F247" s="50"/>
      <c r="G247" s="58" t="s">
        <v>2253</v>
      </c>
      <c r="H247" s="233">
        <v>0</v>
      </c>
      <c r="I247" s="233">
        <v>0</v>
      </c>
      <c r="J247" s="233">
        <v>0</v>
      </c>
      <c r="K247" s="527">
        <v>0</v>
      </c>
      <c r="L247" s="527">
        <v>0</v>
      </c>
      <c r="M247" s="527">
        <v>0</v>
      </c>
      <c r="N247" s="527">
        <v>120</v>
      </c>
      <c r="O247" s="527">
        <v>65000000</v>
      </c>
      <c r="P247" s="527">
        <v>120</v>
      </c>
      <c r="Q247" s="527">
        <v>70000000</v>
      </c>
      <c r="R247" s="527">
        <v>120</v>
      </c>
      <c r="S247" s="527">
        <v>75000000</v>
      </c>
      <c r="T247" s="527">
        <v>120</v>
      </c>
      <c r="U247" s="527">
        <v>75000000</v>
      </c>
      <c r="V247" s="52"/>
      <c r="W247" s="52"/>
      <c r="X247" s="52"/>
      <c r="Y247" s="165"/>
      <c r="Z247" s="165"/>
      <c r="AA247" s="165"/>
      <c r="AB247" s="165"/>
      <c r="AC247" s="165"/>
      <c r="AD247" s="165"/>
      <c r="AE247" s="165"/>
      <c r="AF247" s="165"/>
    </row>
    <row r="248" spans="1:32" ht="60">
      <c r="A248" s="165"/>
      <c r="B248" s="48"/>
      <c r="C248" s="48"/>
      <c r="D248" s="49"/>
      <c r="E248" s="49"/>
      <c r="F248" s="50"/>
      <c r="G248" s="58" t="s">
        <v>2254</v>
      </c>
      <c r="H248" s="233">
        <v>0</v>
      </c>
      <c r="I248" s="233">
        <v>0</v>
      </c>
      <c r="J248" s="233">
        <v>0</v>
      </c>
      <c r="K248" s="527">
        <v>0</v>
      </c>
      <c r="L248" s="527">
        <v>0</v>
      </c>
      <c r="M248" s="527">
        <v>0</v>
      </c>
      <c r="N248" s="527">
        <v>200</v>
      </c>
      <c r="O248" s="527">
        <v>186000000</v>
      </c>
      <c r="P248" s="527">
        <v>100</v>
      </c>
      <c r="Q248" s="527">
        <v>100000000</v>
      </c>
      <c r="R248" s="527">
        <v>100</v>
      </c>
      <c r="S248" s="527">
        <v>100000000</v>
      </c>
      <c r="T248" s="527">
        <v>100</v>
      </c>
      <c r="U248" s="527">
        <v>100000000</v>
      </c>
      <c r="V248" s="52"/>
      <c r="W248" s="52"/>
      <c r="X248" s="52"/>
      <c r="Y248" s="165"/>
      <c r="Z248" s="165"/>
      <c r="AA248" s="165"/>
      <c r="AB248" s="165"/>
      <c r="AC248" s="165"/>
      <c r="AD248" s="165"/>
      <c r="AE248" s="165"/>
      <c r="AF248" s="165"/>
    </row>
    <row r="249" spans="1:32" ht="45">
      <c r="A249" s="165"/>
      <c r="B249" s="48"/>
      <c r="C249" s="48"/>
      <c r="D249" s="49"/>
      <c r="E249" s="49"/>
      <c r="F249" s="50"/>
      <c r="G249" s="58" t="s">
        <v>2255</v>
      </c>
      <c r="H249" s="233">
        <v>0</v>
      </c>
      <c r="I249" s="233">
        <v>0</v>
      </c>
      <c r="J249" s="233">
        <v>0</v>
      </c>
      <c r="K249" s="527">
        <v>0</v>
      </c>
      <c r="L249" s="527">
        <v>0</v>
      </c>
      <c r="M249" s="527">
        <v>0</v>
      </c>
      <c r="N249" s="527">
        <v>210</v>
      </c>
      <c r="O249" s="527">
        <v>35000000</v>
      </c>
      <c r="P249" s="527">
        <v>210</v>
      </c>
      <c r="Q249" s="527">
        <v>35000000</v>
      </c>
      <c r="R249" s="527">
        <v>210</v>
      </c>
      <c r="S249" s="527">
        <v>40000000</v>
      </c>
      <c r="T249" s="527">
        <v>210</v>
      </c>
      <c r="U249" s="527">
        <v>40000000</v>
      </c>
      <c r="V249" s="52"/>
      <c r="W249" s="52"/>
      <c r="X249" s="52"/>
      <c r="Y249" s="165"/>
      <c r="Z249" s="165"/>
      <c r="AA249" s="165"/>
      <c r="AB249" s="165"/>
      <c r="AC249" s="165"/>
      <c r="AD249" s="165"/>
      <c r="AE249" s="165"/>
      <c r="AF249" s="165"/>
    </row>
    <row r="250" spans="1:32" ht="45">
      <c r="A250" s="165"/>
      <c r="B250" s="48"/>
      <c r="C250" s="48"/>
      <c r="D250" s="49"/>
      <c r="E250" s="49"/>
      <c r="F250" s="50"/>
      <c r="G250" s="58" t="s">
        <v>2256</v>
      </c>
      <c r="H250" s="233">
        <v>0</v>
      </c>
      <c r="I250" s="233">
        <v>0</v>
      </c>
      <c r="J250" s="233">
        <v>0</v>
      </c>
      <c r="K250" s="527">
        <v>0</v>
      </c>
      <c r="L250" s="527">
        <v>0</v>
      </c>
      <c r="M250" s="527">
        <v>0</v>
      </c>
      <c r="N250" s="527">
        <v>30</v>
      </c>
      <c r="O250" s="527">
        <v>15000000</v>
      </c>
      <c r="P250" s="527">
        <v>30</v>
      </c>
      <c r="Q250" s="527">
        <v>20000000</v>
      </c>
      <c r="R250" s="527">
        <v>0</v>
      </c>
      <c r="S250" s="527">
        <v>0</v>
      </c>
      <c r="T250" s="527">
        <v>0</v>
      </c>
      <c r="U250" s="527">
        <v>0</v>
      </c>
      <c r="V250" s="52"/>
      <c r="W250" s="52"/>
      <c r="X250" s="52"/>
      <c r="Y250" s="165"/>
      <c r="Z250" s="165"/>
      <c r="AA250" s="165"/>
      <c r="AB250" s="165"/>
      <c r="AC250" s="165"/>
      <c r="AD250" s="165"/>
      <c r="AE250" s="165"/>
      <c r="AF250" s="165"/>
    </row>
    <row r="251" spans="1:32" ht="30">
      <c r="A251" s="165"/>
      <c r="B251" s="48"/>
      <c r="C251" s="48"/>
      <c r="D251" s="49"/>
      <c r="E251" s="49"/>
      <c r="F251" s="50"/>
      <c r="G251" s="58" t="s">
        <v>2257</v>
      </c>
      <c r="H251" s="233">
        <v>0</v>
      </c>
      <c r="I251" s="233">
        <v>0</v>
      </c>
      <c r="J251" s="233">
        <v>0</v>
      </c>
      <c r="K251" s="527">
        <v>0</v>
      </c>
      <c r="L251" s="527">
        <v>0</v>
      </c>
      <c r="M251" s="527">
        <v>0</v>
      </c>
      <c r="N251" s="527">
        <v>80</v>
      </c>
      <c r="O251" s="527">
        <v>38400000</v>
      </c>
      <c r="P251" s="527">
        <v>80</v>
      </c>
      <c r="Q251" s="527">
        <v>50000000</v>
      </c>
      <c r="R251" s="527">
        <v>80</v>
      </c>
      <c r="S251" s="527">
        <v>50000000</v>
      </c>
      <c r="T251" s="527">
        <v>80</v>
      </c>
      <c r="U251" s="527">
        <v>50000000</v>
      </c>
      <c r="V251" s="52"/>
      <c r="W251" s="52"/>
      <c r="X251" s="52"/>
      <c r="Y251" s="165"/>
      <c r="Z251" s="165"/>
      <c r="AA251" s="165"/>
      <c r="AB251" s="165"/>
      <c r="AC251" s="165"/>
      <c r="AD251" s="165"/>
      <c r="AE251" s="165"/>
      <c r="AF251" s="165"/>
    </row>
    <row r="252" spans="1:32" ht="30">
      <c r="A252" s="165"/>
      <c r="B252" s="48"/>
      <c r="C252" s="48"/>
      <c r="D252" s="49"/>
      <c r="E252" s="49"/>
      <c r="F252" s="50"/>
      <c r="G252" s="58" t="s">
        <v>2258</v>
      </c>
      <c r="H252" s="233">
        <v>0</v>
      </c>
      <c r="I252" s="233">
        <v>0</v>
      </c>
      <c r="J252" s="233">
        <v>0</v>
      </c>
      <c r="K252" s="527">
        <v>0</v>
      </c>
      <c r="L252" s="527">
        <v>0</v>
      </c>
      <c r="M252" s="527">
        <v>0</v>
      </c>
      <c r="N252" s="527">
        <v>30</v>
      </c>
      <c r="O252" s="527">
        <v>15000000</v>
      </c>
      <c r="P252" s="527">
        <v>90</v>
      </c>
      <c r="Q252" s="527">
        <v>50000000</v>
      </c>
      <c r="R252" s="527">
        <v>90</v>
      </c>
      <c r="S252" s="527">
        <v>50000000</v>
      </c>
      <c r="T252" s="527">
        <v>90</v>
      </c>
      <c r="U252" s="527">
        <v>50000000</v>
      </c>
      <c r="V252" s="52"/>
      <c r="W252" s="52"/>
      <c r="X252" s="52"/>
      <c r="Y252" s="165"/>
      <c r="Z252" s="165"/>
      <c r="AA252" s="165"/>
      <c r="AB252" s="165"/>
      <c r="AC252" s="165"/>
      <c r="AD252" s="165"/>
      <c r="AE252" s="165"/>
      <c r="AF252" s="165"/>
    </row>
    <row r="253" spans="1:32" ht="45">
      <c r="A253" s="165"/>
      <c r="B253" s="48"/>
      <c r="C253" s="48"/>
      <c r="D253" s="49"/>
      <c r="E253" s="49"/>
      <c r="F253" s="50"/>
      <c r="G253" s="58" t="s">
        <v>2259</v>
      </c>
      <c r="H253" s="233">
        <v>0</v>
      </c>
      <c r="I253" s="233">
        <v>0</v>
      </c>
      <c r="J253" s="233">
        <v>0</v>
      </c>
      <c r="K253" s="527">
        <v>0</v>
      </c>
      <c r="L253" s="527">
        <v>0</v>
      </c>
      <c r="M253" s="527">
        <v>0</v>
      </c>
      <c r="N253" s="527">
        <v>46</v>
      </c>
      <c r="O253" s="527">
        <v>25000000</v>
      </c>
      <c r="P253" s="527">
        <v>50</v>
      </c>
      <c r="Q253" s="527">
        <v>30000000</v>
      </c>
      <c r="R253" s="527">
        <v>50</v>
      </c>
      <c r="S253" s="527">
        <v>35000000</v>
      </c>
      <c r="T253" s="527">
        <v>50</v>
      </c>
      <c r="U253" s="527">
        <v>35000000</v>
      </c>
      <c r="V253" s="52"/>
      <c r="W253" s="52"/>
      <c r="X253" s="52"/>
      <c r="Y253" s="165"/>
      <c r="Z253" s="165"/>
      <c r="AA253" s="165"/>
      <c r="AB253" s="165"/>
      <c r="AC253" s="165"/>
      <c r="AD253" s="165"/>
      <c r="AE253" s="165"/>
      <c r="AF253" s="165"/>
    </row>
    <row r="254" spans="1:32" ht="30">
      <c r="A254" s="165"/>
      <c r="B254" s="48"/>
      <c r="C254" s="48"/>
      <c r="D254" s="49"/>
      <c r="E254" s="49"/>
      <c r="F254" s="50"/>
      <c r="G254" s="58" t="s">
        <v>1287</v>
      </c>
      <c r="H254" s="527">
        <v>181</v>
      </c>
      <c r="I254" s="527">
        <v>181</v>
      </c>
      <c r="J254" s="527">
        <v>181</v>
      </c>
      <c r="K254" s="527"/>
      <c r="L254" s="527">
        <v>181</v>
      </c>
      <c r="M254" s="527"/>
      <c r="N254" s="527">
        <v>181</v>
      </c>
      <c r="O254" s="527"/>
      <c r="P254" s="527">
        <v>181</v>
      </c>
      <c r="Q254" s="527"/>
      <c r="R254" s="527">
        <v>181</v>
      </c>
      <c r="S254" s="527"/>
      <c r="T254" s="527">
        <v>181</v>
      </c>
      <c r="U254" s="527"/>
      <c r="V254" s="52"/>
      <c r="W254" s="52"/>
      <c r="X254" s="52"/>
      <c r="Y254" s="165"/>
      <c r="Z254" s="165"/>
      <c r="AA254" s="165"/>
      <c r="AB254" s="165"/>
      <c r="AC254" s="165"/>
      <c r="AD254" s="165"/>
      <c r="AE254" s="165"/>
      <c r="AF254" s="165"/>
    </row>
    <row r="255" spans="1:32" ht="45">
      <c r="A255" s="165"/>
      <c r="B255" s="48"/>
      <c r="C255" s="48"/>
      <c r="D255" s="49"/>
      <c r="E255" s="49"/>
      <c r="F255" s="50"/>
      <c r="G255" s="58" t="s">
        <v>2017</v>
      </c>
      <c r="H255" s="527">
        <v>18</v>
      </c>
      <c r="I255" s="527">
        <v>18</v>
      </c>
      <c r="J255" s="527">
        <v>18</v>
      </c>
      <c r="K255" s="527"/>
      <c r="L255" s="527">
        <v>18</v>
      </c>
      <c r="M255" s="527"/>
      <c r="N255" s="527">
        <v>18</v>
      </c>
      <c r="O255" s="527"/>
      <c r="P255" s="527">
        <v>18</v>
      </c>
      <c r="Q255" s="527"/>
      <c r="R255" s="527">
        <v>18</v>
      </c>
      <c r="S255" s="527"/>
      <c r="T255" s="527">
        <v>18</v>
      </c>
      <c r="U255" s="527"/>
      <c r="V255" s="52"/>
      <c r="W255" s="52"/>
      <c r="X255" s="52"/>
      <c r="Y255" s="165"/>
      <c r="Z255" s="165"/>
      <c r="AA255" s="165"/>
      <c r="AB255" s="165"/>
      <c r="AC255" s="165"/>
      <c r="AD255" s="165"/>
      <c r="AE255" s="165"/>
      <c r="AF255" s="165"/>
    </row>
    <row r="256" spans="1:32" ht="30">
      <c r="A256" s="165"/>
      <c r="B256" s="48"/>
      <c r="C256" s="48"/>
      <c r="D256" s="49"/>
      <c r="E256" s="49"/>
      <c r="F256" s="50"/>
      <c r="G256" s="58" t="s">
        <v>1291</v>
      </c>
      <c r="H256" s="534" t="s">
        <v>2260</v>
      </c>
      <c r="I256" s="534" t="s">
        <v>2260</v>
      </c>
      <c r="J256" s="534" t="s">
        <v>2260</v>
      </c>
      <c r="K256" s="527"/>
      <c r="L256" s="534" t="s">
        <v>2260</v>
      </c>
      <c r="M256" s="527"/>
      <c r="N256" s="534" t="s">
        <v>2260</v>
      </c>
      <c r="O256" s="527"/>
      <c r="P256" s="534" t="s">
        <v>2260</v>
      </c>
      <c r="Q256" s="527"/>
      <c r="R256" s="534" t="s">
        <v>2260</v>
      </c>
      <c r="S256" s="527"/>
      <c r="T256" s="534" t="s">
        <v>2260</v>
      </c>
      <c r="U256" s="527"/>
      <c r="V256" s="52"/>
      <c r="W256" s="52"/>
      <c r="X256" s="52"/>
      <c r="Y256" s="165"/>
      <c r="Z256" s="165"/>
      <c r="AA256" s="165"/>
      <c r="AB256" s="165"/>
      <c r="AC256" s="165"/>
      <c r="AD256" s="165"/>
      <c r="AE256" s="165"/>
      <c r="AF256" s="165"/>
    </row>
    <row r="257" spans="1:32" ht="30">
      <c r="A257" s="165"/>
      <c r="B257" s="48"/>
      <c r="C257" s="66"/>
      <c r="D257" s="67"/>
      <c r="E257" s="67"/>
      <c r="F257" s="68"/>
      <c r="G257" s="58" t="s">
        <v>1293</v>
      </c>
      <c r="H257" s="527">
        <v>3</v>
      </c>
      <c r="I257" s="527">
        <v>3</v>
      </c>
      <c r="J257" s="527">
        <v>3</v>
      </c>
      <c r="K257" s="527"/>
      <c r="L257" s="527">
        <v>4</v>
      </c>
      <c r="M257" s="527"/>
      <c r="N257" s="527">
        <v>4</v>
      </c>
      <c r="O257" s="527"/>
      <c r="P257" s="527">
        <v>5</v>
      </c>
      <c r="Q257" s="527"/>
      <c r="R257" s="527">
        <v>5</v>
      </c>
      <c r="S257" s="527"/>
      <c r="T257" s="527">
        <v>5</v>
      </c>
      <c r="U257" s="527"/>
      <c r="V257" s="52"/>
      <c r="W257" s="52"/>
      <c r="X257" s="52"/>
      <c r="Y257" s="165"/>
      <c r="Z257" s="165"/>
      <c r="AA257" s="165"/>
      <c r="AB257" s="165"/>
      <c r="AC257" s="165"/>
      <c r="AD257" s="165"/>
      <c r="AE257" s="165"/>
      <c r="AF257" s="165"/>
    </row>
    <row r="258" spans="1:32" s="540" customFormat="1" ht="45">
      <c r="B258" s="545"/>
      <c r="C258" s="591">
        <f>'[4]matrik MISI 4'!P12</f>
        <v>1.01</v>
      </c>
      <c r="D258" s="592" t="str">
        <f>'[4]matrik MISI 4'!Q12</f>
        <v>xx</v>
      </c>
      <c r="E258" s="592">
        <f>'[4]matrik MISI 4'!R12</f>
        <v>22</v>
      </c>
      <c r="F258" s="548" t="str">
        <f>'[4]matrik MISI 4'!S12</f>
        <v>Program manajemen pelayanan pendidikan</v>
      </c>
      <c r="G258" s="548"/>
      <c r="H258" s="550"/>
      <c r="I258" s="550"/>
      <c r="J258" s="550"/>
      <c r="K258" s="549">
        <f>SUM(K259:K285)</f>
        <v>133000000</v>
      </c>
      <c r="L258" s="549">
        <f t="shared" ref="L258:S258" si="5">SUM(L259:L285)</f>
        <v>1074.6630178775595</v>
      </c>
      <c r="M258" s="549">
        <f t="shared" si="5"/>
        <v>133000000</v>
      </c>
      <c r="N258" s="549">
        <f t="shared" si="5"/>
        <v>1084.2630178775594</v>
      </c>
      <c r="O258" s="549">
        <f t="shared" si="5"/>
        <v>137500000</v>
      </c>
      <c r="P258" s="549">
        <f t="shared" si="5"/>
        <v>1093.8630178775595</v>
      </c>
      <c r="Q258" s="549">
        <f t="shared" si="5"/>
        <v>137500000</v>
      </c>
      <c r="R258" s="549">
        <f t="shared" si="5"/>
        <v>1103.4630178775594</v>
      </c>
      <c r="S258" s="549">
        <f t="shared" si="5"/>
        <v>145000000</v>
      </c>
      <c r="T258" s="550"/>
      <c r="U258" s="550"/>
      <c r="V258" s="550"/>
      <c r="W258" s="550"/>
      <c r="X258" s="550" t="str">
        <f>'[4]matrik MISI 4'!AE12</f>
        <v>Dinas Pendidikan</v>
      </c>
    </row>
    <row r="259" spans="1:32" ht="30">
      <c r="A259" s="165"/>
      <c r="B259" s="48"/>
      <c r="C259" s="62"/>
      <c r="D259" s="63"/>
      <c r="E259" s="63"/>
      <c r="F259" s="64"/>
      <c r="G259" s="58" t="s">
        <v>1183</v>
      </c>
      <c r="H259" s="233">
        <v>5.83</v>
      </c>
      <c r="I259" s="233"/>
      <c r="J259" s="233">
        <v>5.83</v>
      </c>
      <c r="K259" s="52"/>
      <c r="L259" s="233">
        <v>5.83</v>
      </c>
      <c r="M259" s="52"/>
      <c r="N259" s="233">
        <v>5.83</v>
      </c>
      <c r="O259" s="52"/>
      <c r="P259" s="233">
        <v>5.83</v>
      </c>
      <c r="Q259" s="52"/>
      <c r="R259" s="233">
        <v>5.83</v>
      </c>
      <c r="S259" s="52"/>
      <c r="T259" s="233">
        <v>5.83</v>
      </c>
      <c r="U259" s="52"/>
      <c r="V259" s="52"/>
      <c r="W259" s="52"/>
      <c r="X259" s="52"/>
      <c r="Y259" s="165"/>
      <c r="Z259" s="165"/>
      <c r="AA259" s="165"/>
      <c r="AB259" s="165"/>
      <c r="AC259" s="165"/>
      <c r="AD259" s="165"/>
      <c r="AE259" s="165"/>
      <c r="AF259" s="165"/>
    </row>
    <row r="260" spans="1:32" ht="30">
      <c r="A260" s="165"/>
      <c r="B260" s="48"/>
      <c r="C260" s="48"/>
      <c r="D260" s="49"/>
      <c r="E260" s="49"/>
      <c r="F260" s="50"/>
      <c r="G260" s="58" t="s">
        <v>1185</v>
      </c>
      <c r="H260" s="233">
        <v>42.71</v>
      </c>
      <c r="I260" s="233"/>
      <c r="J260" s="233">
        <v>42.71</v>
      </c>
      <c r="K260" s="527"/>
      <c r="L260" s="233">
        <v>42.71</v>
      </c>
      <c r="M260" s="527"/>
      <c r="N260" s="233">
        <v>42.71</v>
      </c>
      <c r="O260" s="527"/>
      <c r="P260" s="233">
        <v>42.71</v>
      </c>
      <c r="Q260" s="527"/>
      <c r="R260" s="233">
        <v>42.71</v>
      </c>
      <c r="S260" s="527"/>
      <c r="T260" s="233">
        <v>42.71</v>
      </c>
      <c r="U260" s="527"/>
      <c r="V260" s="52"/>
      <c r="W260" s="52"/>
      <c r="X260" s="52"/>
      <c r="Y260" s="165"/>
      <c r="Z260" s="165"/>
      <c r="AA260" s="165"/>
      <c r="AB260" s="165"/>
      <c r="AC260" s="165"/>
      <c r="AD260" s="165"/>
      <c r="AE260" s="165"/>
      <c r="AF260" s="165"/>
    </row>
    <row r="261" spans="1:32" ht="30">
      <c r="A261" s="165"/>
      <c r="B261" s="48"/>
      <c r="C261" s="48"/>
      <c r="D261" s="49"/>
      <c r="E261" s="49"/>
      <c r="F261" s="50"/>
      <c r="G261" s="58" t="s">
        <v>1187</v>
      </c>
      <c r="H261" s="233">
        <v>42.29</v>
      </c>
      <c r="I261" s="233"/>
      <c r="J261" s="233">
        <v>42.29</v>
      </c>
      <c r="K261" s="527"/>
      <c r="L261" s="233">
        <v>42.29</v>
      </c>
      <c r="M261" s="527"/>
      <c r="N261" s="233">
        <v>42.29</v>
      </c>
      <c r="O261" s="527"/>
      <c r="P261" s="233">
        <v>42.29</v>
      </c>
      <c r="Q261" s="527"/>
      <c r="R261" s="233">
        <v>42.29</v>
      </c>
      <c r="S261" s="527"/>
      <c r="T261" s="233">
        <v>42.29</v>
      </c>
      <c r="U261" s="527"/>
      <c r="V261" s="52"/>
      <c r="W261" s="52"/>
      <c r="X261" s="52"/>
      <c r="Y261" s="165"/>
      <c r="Z261" s="165"/>
      <c r="AA261" s="165"/>
      <c r="AB261" s="165"/>
      <c r="AC261" s="165"/>
      <c r="AD261" s="165"/>
      <c r="AE261" s="165"/>
      <c r="AF261" s="165"/>
    </row>
    <row r="262" spans="1:32" ht="45">
      <c r="A262" s="165"/>
      <c r="B262" s="48"/>
      <c r="C262" s="48"/>
      <c r="D262" s="49"/>
      <c r="E262" s="49"/>
      <c r="F262" s="50"/>
      <c r="G262" s="58" t="s">
        <v>2183</v>
      </c>
      <c r="H262" s="233">
        <v>0</v>
      </c>
      <c r="I262" s="233">
        <v>100</v>
      </c>
      <c r="J262" s="233">
        <v>99</v>
      </c>
      <c r="K262" s="527">
        <v>100000000</v>
      </c>
      <c r="L262" s="527">
        <v>1</v>
      </c>
      <c r="M262" s="527">
        <v>100000000</v>
      </c>
      <c r="N262" s="527">
        <v>1</v>
      </c>
      <c r="O262" s="527">
        <v>100000000</v>
      </c>
      <c r="P262" s="527">
        <v>1</v>
      </c>
      <c r="Q262" s="527">
        <v>100000000</v>
      </c>
      <c r="R262" s="527">
        <v>1</v>
      </c>
      <c r="S262" s="527">
        <v>100000000</v>
      </c>
      <c r="T262" s="527">
        <v>1</v>
      </c>
      <c r="U262" s="527">
        <v>100000000</v>
      </c>
      <c r="V262" s="52"/>
      <c r="W262" s="52"/>
      <c r="X262" s="52"/>
      <c r="Y262" s="165"/>
      <c r="Z262" s="165"/>
      <c r="AA262" s="165"/>
      <c r="AB262" s="165"/>
      <c r="AC262" s="165"/>
      <c r="AD262" s="165"/>
      <c r="AE262" s="165"/>
      <c r="AF262" s="165"/>
    </row>
    <row r="263" spans="1:32" ht="60">
      <c r="A263" s="165"/>
      <c r="B263" s="48"/>
      <c r="C263" s="48"/>
      <c r="D263" s="49"/>
      <c r="E263" s="49"/>
      <c r="F263" s="50"/>
      <c r="G263" s="58" t="s">
        <v>2184</v>
      </c>
      <c r="H263" s="233">
        <v>0</v>
      </c>
      <c r="I263" s="233">
        <v>100</v>
      </c>
      <c r="J263" s="233">
        <v>99</v>
      </c>
      <c r="K263" s="527">
        <v>18000000</v>
      </c>
      <c r="L263" s="527">
        <v>2</v>
      </c>
      <c r="M263" s="527">
        <v>18000000</v>
      </c>
      <c r="N263" s="527">
        <v>2</v>
      </c>
      <c r="O263" s="527">
        <v>20000000</v>
      </c>
      <c r="P263" s="527">
        <v>2</v>
      </c>
      <c r="Q263" s="527">
        <v>20000000</v>
      </c>
      <c r="R263" s="527">
        <v>2</v>
      </c>
      <c r="S263" s="527">
        <v>25000000</v>
      </c>
      <c r="T263" s="527">
        <v>2</v>
      </c>
      <c r="U263" s="527">
        <v>25000000</v>
      </c>
      <c r="V263" s="52"/>
      <c r="W263" s="52"/>
      <c r="X263" s="52"/>
      <c r="Y263" s="165"/>
      <c r="Z263" s="165"/>
      <c r="AA263" s="165"/>
      <c r="AB263" s="165"/>
      <c r="AC263" s="165"/>
      <c r="AD263" s="165"/>
      <c r="AE263" s="165"/>
      <c r="AF263" s="165"/>
    </row>
    <row r="264" spans="1:32" ht="30">
      <c r="A264" s="165"/>
      <c r="B264" s="48"/>
      <c r="C264" s="48"/>
      <c r="D264" s="49"/>
      <c r="E264" s="49"/>
      <c r="F264" s="50"/>
      <c r="G264" s="58" t="s">
        <v>2185</v>
      </c>
      <c r="H264" s="233">
        <v>0</v>
      </c>
      <c r="I264" s="233">
        <v>100</v>
      </c>
      <c r="J264" s="233">
        <v>99</v>
      </c>
      <c r="K264" s="527">
        <v>15000000</v>
      </c>
      <c r="L264" s="527">
        <v>1</v>
      </c>
      <c r="M264" s="527">
        <v>15000000</v>
      </c>
      <c r="N264" s="527">
        <v>1</v>
      </c>
      <c r="O264" s="527">
        <v>17500000</v>
      </c>
      <c r="P264" s="527">
        <v>1</v>
      </c>
      <c r="Q264" s="527">
        <v>17500000</v>
      </c>
      <c r="R264" s="527">
        <v>1</v>
      </c>
      <c r="S264" s="527">
        <v>20000000</v>
      </c>
      <c r="T264" s="527">
        <v>1</v>
      </c>
      <c r="U264" s="527">
        <v>20000000</v>
      </c>
      <c r="V264" s="52"/>
      <c r="W264" s="52"/>
      <c r="X264" s="52"/>
      <c r="Y264" s="165"/>
      <c r="Z264" s="165"/>
      <c r="AA264" s="165"/>
      <c r="AB264" s="165"/>
      <c r="AC264" s="165"/>
      <c r="AD264" s="165"/>
      <c r="AE264" s="165"/>
      <c r="AF264" s="165"/>
    </row>
    <row r="265" spans="1:32" ht="30">
      <c r="A265" s="165"/>
      <c r="B265" s="48"/>
      <c r="C265" s="48"/>
      <c r="D265" s="49"/>
      <c r="E265" s="49"/>
      <c r="F265" s="50"/>
      <c r="G265" s="58" t="s">
        <v>1191</v>
      </c>
      <c r="H265" s="233">
        <v>2.97</v>
      </c>
      <c r="I265" s="233">
        <v>0</v>
      </c>
      <c r="J265" s="233">
        <v>2.97</v>
      </c>
      <c r="K265" s="527"/>
      <c r="L265" s="233">
        <f>J265+0.34</f>
        <v>3.31</v>
      </c>
      <c r="M265" s="527"/>
      <c r="N265" s="233">
        <f>L265+0.34</f>
        <v>3.65</v>
      </c>
      <c r="O265" s="527"/>
      <c r="P265" s="233">
        <f>N265+0.34</f>
        <v>3.9899999999999998</v>
      </c>
      <c r="Q265" s="527"/>
      <c r="R265" s="233">
        <f>P265+0.34</f>
        <v>4.33</v>
      </c>
      <c r="S265" s="527"/>
      <c r="T265" s="233">
        <f>R265+0.34</f>
        <v>4.67</v>
      </c>
      <c r="U265" s="527"/>
      <c r="V265" s="52"/>
      <c r="W265" s="52"/>
      <c r="X265" s="52"/>
      <c r="Y265" s="165"/>
      <c r="Z265" s="165"/>
      <c r="AA265" s="165"/>
      <c r="AB265" s="165"/>
      <c r="AC265" s="165"/>
      <c r="AD265" s="165"/>
      <c r="AE265" s="165"/>
      <c r="AF265" s="165"/>
    </row>
    <row r="266" spans="1:32" ht="30">
      <c r="A266" s="165"/>
      <c r="B266" s="48"/>
      <c r="C266" s="48"/>
      <c r="D266" s="49"/>
      <c r="E266" s="49"/>
      <c r="F266" s="50"/>
      <c r="G266" s="58" t="s">
        <v>1193</v>
      </c>
      <c r="H266" s="233">
        <v>61.01</v>
      </c>
      <c r="I266" s="233">
        <v>0</v>
      </c>
      <c r="J266" s="233">
        <v>61.01</v>
      </c>
      <c r="K266" s="527"/>
      <c r="L266" s="233">
        <f>J266</f>
        <v>61.01</v>
      </c>
      <c r="M266" s="527"/>
      <c r="N266" s="233">
        <f>L266</f>
        <v>61.01</v>
      </c>
      <c r="O266" s="527"/>
      <c r="P266" s="233">
        <f>N266</f>
        <v>61.01</v>
      </c>
      <c r="Q266" s="527"/>
      <c r="R266" s="233">
        <f>P266</f>
        <v>61.01</v>
      </c>
      <c r="S266" s="527"/>
      <c r="T266" s="233">
        <f>R266</f>
        <v>61.01</v>
      </c>
      <c r="U266" s="527"/>
      <c r="V266" s="52"/>
      <c r="W266" s="52"/>
      <c r="X266" s="52"/>
      <c r="Y266" s="165"/>
      <c r="Z266" s="165"/>
      <c r="AA266" s="165"/>
      <c r="AB266" s="165"/>
      <c r="AC266" s="165"/>
      <c r="AD266" s="165"/>
      <c r="AE266" s="165"/>
      <c r="AF266" s="165"/>
    </row>
    <row r="267" spans="1:32" ht="30">
      <c r="A267" s="165"/>
      <c r="B267" s="48"/>
      <c r="C267" s="48"/>
      <c r="D267" s="49"/>
      <c r="E267" s="49"/>
      <c r="F267" s="50"/>
      <c r="G267" s="58" t="s">
        <v>1195</v>
      </c>
      <c r="H267" s="233">
        <v>33.22</v>
      </c>
      <c r="I267" s="233">
        <v>0</v>
      </c>
      <c r="J267" s="233">
        <v>33.22</v>
      </c>
      <c r="K267" s="527"/>
      <c r="L267" s="233">
        <f>J267</f>
        <v>33.22</v>
      </c>
      <c r="M267" s="527"/>
      <c r="N267" s="233">
        <f>L267</f>
        <v>33.22</v>
      </c>
      <c r="O267" s="527"/>
      <c r="P267" s="233">
        <f>N267</f>
        <v>33.22</v>
      </c>
      <c r="Q267" s="527"/>
      <c r="R267" s="233">
        <f>P267</f>
        <v>33.22</v>
      </c>
      <c r="S267" s="527"/>
      <c r="T267" s="233">
        <f>R267</f>
        <v>33.22</v>
      </c>
      <c r="U267" s="527"/>
      <c r="V267" s="52"/>
      <c r="W267" s="52"/>
      <c r="X267" s="52"/>
      <c r="Y267" s="165"/>
      <c r="Z267" s="165"/>
      <c r="AA267" s="165"/>
      <c r="AB267" s="165"/>
      <c r="AC267" s="165"/>
      <c r="AD267" s="165"/>
      <c r="AE267" s="165"/>
      <c r="AF267" s="165"/>
    </row>
    <row r="268" spans="1:32" ht="30">
      <c r="A268" s="165"/>
      <c r="B268" s="48"/>
      <c r="C268" s="48"/>
      <c r="D268" s="49"/>
      <c r="E268" s="49"/>
      <c r="F268" s="50"/>
      <c r="G268" s="58" t="s">
        <v>1197</v>
      </c>
      <c r="H268" s="233">
        <v>21.9</v>
      </c>
      <c r="I268" s="233">
        <v>0</v>
      </c>
      <c r="J268" s="233">
        <v>21.9</v>
      </c>
      <c r="K268" s="233"/>
      <c r="L268" s="233">
        <f>J268+1.9</f>
        <v>23.799999999999997</v>
      </c>
      <c r="M268" s="527"/>
      <c r="N268" s="233">
        <f>L268+1.9</f>
        <v>25.699999999999996</v>
      </c>
      <c r="O268" s="527"/>
      <c r="P268" s="233">
        <f>N268+1.9</f>
        <v>27.599999999999994</v>
      </c>
      <c r="Q268" s="527"/>
      <c r="R268" s="233">
        <f>P268+1.9</f>
        <v>29.499999999999993</v>
      </c>
      <c r="S268" s="527"/>
      <c r="T268" s="233">
        <f>R268+1.9</f>
        <v>31.399999999999991</v>
      </c>
      <c r="U268" s="527"/>
      <c r="V268" s="52"/>
      <c r="W268" s="52"/>
      <c r="X268" s="52"/>
      <c r="Y268" s="165"/>
      <c r="Z268" s="165"/>
      <c r="AA268" s="165"/>
      <c r="AB268" s="165"/>
      <c r="AC268" s="165"/>
      <c r="AD268" s="165"/>
      <c r="AE268" s="165"/>
      <c r="AF268" s="165"/>
    </row>
    <row r="269" spans="1:32" ht="30">
      <c r="A269" s="165"/>
      <c r="B269" s="48"/>
      <c r="C269" s="48"/>
      <c r="D269" s="49"/>
      <c r="E269" s="49"/>
      <c r="F269" s="50"/>
      <c r="G269" s="58" t="s">
        <v>1199</v>
      </c>
      <c r="H269" s="233">
        <v>40</v>
      </c>
      <c r="I269" s="233">
        <v>0</v>
      </c>
      <c r="J269" s="233">
        <v>40</v>
      </c>
      <c r="K269" s="527"/>
      <c r="L269" s="233">
        <f>J269</f>
        <v>40</v>
      </c>
      <c r="M269" s="527"/>
      <c r="N269" s="233">
        <f>L269</f>
        <v>40</v>
      </c>
      <c r="O269" s="527"/>
      <c r="P269" s="233">
        <f>N269</f>
        <v>40</v>
      </c>
      <c r="Q269" s="527"/>
      <c r="R269" s="233">
        <f>P269</f>
        <v>40</v>
      </c>
      <c r="S269" s="527"/>
      <c r="T269" s="233">
        <f>R269</f>
        <v>40</v>
      </c>
      <c r="U269" s="527"/>
      <c r="V269" s="52"/>
      <c r="W269" s="52"/>
      <c r="X269" s="52"/>
      <c r="Y269" s="165"/>
      <c r="Z269" s="165"/>
      <c r="AA269" s="165"/>
      <c r="AB269" s="165"/>
      <c r="AC269" s="165"/>
      <c r="AD269" s="165"/>
      <c r="AE269" s="165"/>
      <c r="AF269" s="165"/>
    </row>
    <row r="270" spans="1:32" ht="30">
      <c r="A270" s="165"/>
      <c r="B270" s="48"/>
      <c r="C270" s="48"/>
      <c r="D270" s="49"/>
      <c r="E270" s="49"/>
      <c r="F270" s="50"/>
      <c r="G270" s="58" t="s">
        <v>1201</v>
      </c>
      <c r="H270" s="233">
        <v>27.62</v>
      </c>
      <c r="I270" s="233">
        <v>0</v>
      </c>
      <c r="J270" s="233">
        <v>27.62</v>
      </c>
      <c r="K270" s="527"/>
      <c r="L270" s="233">
        <f>J270</f>
        <v>27.62</v>
      </c>
      <c r="M270" s="527"/>
      <c r="N270" s="233">
        <f>L270</f>
        <v>27.62</v>
      </c>
      <c r="O270" s="527"/>
      <c r="P270" s="233">
        <f>N270</f>
        <v>27.62</v>
      </c>
      <c r="Q270" s="527"/>
      <c r="R270" s="233">
        <f>P270</f>
        <v>27.62</v>
      </c>
      <c r="S270" s="527"/>
      <c r="T270" s="233">
        <f>R270</f>
        <v>27.62</v>
      </c>
      <c r="U270" s="527"/>
      <c r="V270" s="52"/>
      <c r="W270" s="52"/>
      <c r="X270" s="52"/>
      <c r="Y270" s="165"/>
      <c r="Z270" s="165"/>
      <c r="AA270" s="165"/>
      <c r="AB270" s="165"/>
      <c r="AC270" s="165"/>
      <c r="AD270" s="165"/>
      <c r="AE270" s="165"/>
      <c r="AF270" s="165"/>
    </row>
    <row r="271" spans="1:32" ht="30">
      <c r="A271" s="165"/>
      <c r="B271" s="48"/>
      <c r="C271" s="48"/>
      <c r="D271" s="49"/>
      <c r="E271" s="49"/>
      <c r="F271" s="50"/>
      <c r="G271" s="58" t="s">
        <v>2013</v>
      </c>
      <c r="H271" s="233">
        <v>99.99</v>
      </c>
      <c r="I271" s="233">
        <v>99.92</v>
      </c>
      <c r="J271" s="233">
        <v>100</v>
      </c>
      <c r="K271" s="233"/>
      <c r="L271" s="233">
        <v>99</v>
      </c>
      <c r="M271" s="527"/>
      <c r="N271" s="233">
        <v>99</v>
      </c>
      <c r="O271" s="527"/>
      <c r="P271" s="233">
        <v>99</v>
      </c>
      <c r="Q271" s="527"/>
      <c r="R271" s="233">
        <v>99</v>
      </c>
      <c r="S271" s="527"/>
      <c r="T271" s="233">
        <v>99</v>
      </c>
      <c r="U271" s="527"/>
      <c r="V271" s="52"/>
      <c r="W271" s="52"/>
      <c r="X271" s="52"/>
      <c r="Y271" s="165"/>
      <c r="Z271" s="165"/>
      <c r="AA271" s="165"/>
      <c r="AB271" s="165"/>
      <c r="AC271" s="165"/>
      <c r="AD271" s="165"/>
      <c r="AE271" s="165"/>
      <c r="AF271" s="165"/>
    </row>
    <row r="272" spans="1:32" ht="30">
      <c r="A272" s="165"/>
      <c r="B272" s="48"/>
      <c r="C272" s="48"/>
      <c r="D272" s="49"/>
      <c r="E272" s="49"/>
      <c r="F272" s="50"/>
      <c r="G272" s="58" t="s">
        <v>2014</v>
      </c>
      <c r="H272" s="233">
        <v>98.13</v>
      </c>
      <c r="I272" s="233">
        <v>88.04</v>
      </c>
      <c r="J272" s="233">
        <v>99.17</v>
      </c>
      <c r="K272" s="527"/>
      <c r="L272" s="233">
        <v>98</v>
      </c>
      <c r="M272" s="527"/>
      <c r="N272" s="233">
        <v>98</v>
      </c>
      <c r="O272" s="527"/>
      <c r="P272" s="233">
        <v>98</v>
      </c>
      <c r="Q272" s="527"/>
      <c r="R272" s="233">
        <v>98</v>
      </c>
      <c r="S272" s="527"/>
      <c r="T272" s="233">
        <v>98</v>
      </c>
      <c r="U272" s="527"/>
      <c r="V272" s="52"/>
      <c r="W272" s="52"/>
      <c r="X272" s="52"/>
      <c r="Y272" s="165"/>
      <c r="Z272" s="165"/>
      <c r="AA272" s="165"/>
      <c r="AB272" s="165"/>
      <c r="AC272" s="165"/>
      <c r="AD272" s="165"/>
      <c r="AE272" s="165"/>
      <c r="AF272" s="165"/>
    </row>
    <row r="273" spans="1:32" ht="75">
      <c r="A273" s="165"/>
      <c r="B273" s="48"/>
      <c r="C273" s="48"/>
      <c r="D273" s="49"/>
      <c r="E273" s="49"/>
      <c r="F273" s="50"/>
      <c r="G273" s="58" t="s">
        <v>1205</v>
      </c>
      <c r="H273" s="233">
        <v>73.150000000000006</v>
      </c>
      <c r="I273" s="233"/>
      <c r="J273" s="233">
        <v>73.192643444359689</v>
      </c>
      <c r="K273" s="527"/>
      <c r="L273" s="233">
        <f>J273+0.04</f>
        <v>73.232643444359695</v>
      </c>
      <c r="M273" s="527"/>
      <c r="N273" s="233">
        <f>L273+0.04</f>
        <v>73.272643444359701</v>
      </c>
      <c r="O273" s="527"/>
      <c r="P273" s="233">
        <f>N273+0.04</f>
        <v>73.312643444359708</v>
      </c>
      <c r="Q273" s="527"/>
      <c r="R273" s="233">
        <f>P273+0.04</f>
        <v>73.352643444359714</v>
      </c>
      <c r="S273" s="527"/>
      <c r="T273" s="233">
        <f>R273+0.04</f>
        <v>73.39264344435972</v>
      </c>
      <c r="U273" s="527"/>
      <c r="V273" s="52"/>
      <c r="W273" s="52"/>
      <c r="X273" s="52"/>
      <c r="Y273" s="165"/>
      <c r="Z273" s="165"/>
      <c r="AA273" s="165"/>
      <c r="AB273" s="165"/>
      <c r="AC273" s="165"/>
      <c r="AD273" s="165"/>
      <c r="AE273" s="165"/>
      <c r="AF273" s="165"/>
    </row>
    <row r="274" spans="1:32" ht="75">
      <c r="A274" s="165"/>
      <c r="B274" s="48"/>
      <c r="C274" s="48"/>
      <c r="D274" s="49"/>
      <c r="E274" s="49"/>
      <c r="F274" s="50"/>
      <c r="G274" s="58" t="s">
        <v>2201</v>
      </c>
      <c r="H274" s="233">
        <v>27.633419948031179</v>
      </c>
      <c r="I274" s="233"/>
      <c r="J274" s="233">
        <v>21.029365329965266</v>
      </c>
      <c r="K274" s="527"/>
      <c r="L274" s="233">
        <f>J274+0.05</f>
        <v>21.079365329965267</v>
      </c>
      <c r="M274" s="527"/>
      <c r="N274" s="233">
        <f>L274+0.05</f>
        <v>21.129365329965268</v>
      </c>
      <c r="O274" s="527"/>
      <c r="P274" s="233">
        <f>N274+0.05</f>
        <v>21.179365329965268</v>
      </c>
      <c r="Q274" s="527"/>
      <c r="R274" s="233">
        <f>P274+0.05</f>
        <v>21.229365329965269</v>
      </c>
      <c r="S274" s="527"/>
      <c r="T274" s="233">
        <f>R274+0.05</f>
        <v>21.27936532996527</v>
      </c>
      <c r="U274" s="527"/>
      <c r="V274" s="52"/>
      <c r="W274" s="52"/>
      <c r="X274" s="52"/>
      <c r="Y274" s="165"/>
      <c r="Z274" s="165"/>
      <c r="AA274" s="165"/>
      <c r="AB274" s="165"/>
      <c r="AC274" s="165"/>
      <c r="AD274" s="165"/>
      <c r="AE274" s="165"/>
      <c r="AF274" s="165"/>
    </row>
    <row r="275" spans="1:32" ht="165">
      <c r="A275" s="165"/>
      <c r="B275" s="48"/>
      <c r="C275" s="48"/>
      <c r="D275" s="49"/>
      <c r="E275" s="49"/>
      <c r="F275" s="50"/>
      <c r="G275" s="58" t="s">
        <v>4228</v>
      </c>
      <c r="H275" s="527">
        <v>100</v>
      </c>
      <c r="I275" s="527">
        <v>100</v>
      </c>
      <c r="J275" s="527">
        <v>100</v>
      </c>
      <c r="K275" s="527"/>
      <c r="L275" s="527">
        <v>100</v>
      </c>
      <c r="M275" s="527"/>
      <c r="N275" s="527">
        <v>100</v>
      </c>
      <c r="O275" s="527"/>
      <c r="P275" s="527">
        <v>100</v>
      </c>
      <c r="Q275" s="527"/>
      <c r="R275" s="527">
        <v>100</v>
      </c>
      <c r="S275" s="527"/>
      <c r="T275" s="527">
        <v>100</v>
      </c>
      <c r="U275" s="527"/>
      <c r="V275" s="52"/>
      <c r="W275" s="52"/>
      <c r="X275" s="52"/>
      <c r="Y275" s="165"/>
      <c r="Z275" s="165"/>
      <c r="AA275" s="165"/>
      <c r="AB275" s="165"/>
      <c r="AC275" s="165"/>
      <c r="AD275" s="165"/>
      <c r="AE275" s="165"/>
      <c r="AF275" s="165"/>
    </row>
    <row r="276" spans="1:32" ht="135">
      <c r="A276" s="165"/>
      <c r="B276" s="48"/>
      <c r="C276" s="48"/>
      <c r="D276" s="49"/>
      <c r="E276" s="49"/>
      <c r="F276" s="50"/>
      <c r="G276" s="58" t="s">
        <v>4229</v>
      </c>
      <c r="H276" s="233">
        <v>66.180000000000007</v>
      </c>
      <c r="I276" s="233">
        <v>74.260000000000005</v>
      </c>
      <c r="J276" s="233">
        <v>74</v>
      </c>
      <c r="K276" s="527"/>
      <c r="L276" s="233">
        <f>J276+0.26</f>
        <v>74.260000000000005</v>
      </c>
      <c r="M276" s="527"/>
      <c r="N276" s="233">
        <f>L276+0.26</f>
        <v>74.52000000000001</v>
      </c>
      <c r="O276" s="527"/>
      <c r="P276" s="233">
        <f>N276+0.26</f>
        <v>74.780000000000015</v>
      </c>
      <c r="Q276" s="527"/>
      <c r="R276" s="233">
        <f>P276+0.26</f>
        <v>75.04000000000002</v>
      </c>
      <c r="S276" s="527"/>
      <c r="T276" s="233">
        <f>R276+0.26</f>
        <v>75.300000000000026</v>
      </c>
      <c r="U276" s="527"/>
      <c r="V276" s="52"/>
      <c r="W276" s="52"/>
      <c r="X276" s="52"/>
      <c r="Y276" s="165"/>
      <c r="Z276" s="165"/>
      <c r="AA276" s="165"/>
      <c r="AB276" s="165"/>
      <c r="AC276" s="165"/>
      <c r="AD276" s="165"/>
      <c r="AE276" s="165"/>
      <c r="AF276" s="165"/>
    </row>
    <row r="277" spans="1:32" ht="30">
      <c r="A277" s="165"/>
      <c r="B277" s="48"/>
      <c r="C277" s="48"/>
      <c r="D277" s="49"/>
      <c r="E277" s="49"/>
      <c r="F277" s="50"/>
      <c r="G277" s="58" t="s">
        <v>1220</v>
      </c>
      <c r="H277" s="233">
        <v>29.63</v>
      </c>
      <c r="I277" s="233"/>
      <c r="J277" s="233">
        <v>29.63</v>
      </c>
      <c r="K277" s="52"/>
      <c r="L277" s="292">
        <f>J277+3.7</f>
        <v>33.33</v>
      </c>
      <c r="M277" s="52"/>
      <c r="N277" s="292">
        <f>L277+3.7</f>
        <v>37.03</v>
      </c>
      <c r="O277" s="52"/>
      <c r="P277" s="292">
        <f>N277+3.7</f>
        <v>40.730000000000004</v>
      </c>
      <c r="Q277" s="52"/>
      <c r="R277" s="292">
        <f>P277+3.7</f>
        <v>44.430000000000007</v>
      </c>
      <c r="S277" s="52"/>
      <c r="T277" s="292">
        <f>R277+3.7</f>
        <v>48.13000000000001</v>
      </c>
      <c r="U277" s="52"/>
      <c r="V277" s="52"/>
      <c r="W277" s="52"/>
      <c r="X277" s="52"/>
      <c r="Y277" s="165"/>
      <c r="Z277" s="165"/>
      <c r="AA277" s="165"/>
      <c r="AB277" s="165"/>
      <c r="AC277" s="165"/>
      <c r="AD277" s="165"/>
      <c r="AE277" s="165"/>
      <c r="AF277" s="165"/>
    </row>
    <row r="278" spans="1:32" ht="30">
      <c r="A278" s="165"/>
      <c r="B278" s="48"/>
      <c r="C278" s="48"/>
      <c r="D278" s="49"/>
      <c r="E278" s="49"/>
      <c r="F278" s="50"/>
      <c r="G278" s="58" t="s">
        <v>1222</v>
      </c>
      <c r="H278" s="233">
        <v>25.93</v>
      </c>
      <c r="I278" s="233"/>
      <c r="J278" s="233">
        <v>25.93</v>
      </c>
      <c r="K278" s="527"/>
      <c r="L278" s="233">
        <f>J278</f>
        <v>25.93</v>
      </c>
      <c r="M278" s="527"/>
      <c r="N278" s="233">
        <f>L278</f>
        <v>25.93</v>
      </c>
      <c r="O278" s="527"/>
      <c r="P278" s="233">
        <f>N278</f>
        <v>25.93</v>
      </c>
      <c r="Q278" s="527"/>
      <c r="R278" s="233">
        <f>P278</f>
        <v>25.93</v>
      </c>
      <c r="S278" s="527"/>
      <c r="T278" s="233">
        <f>R278</f>
        <v>25.93</v>
      </c>
      <c r="U278" s="527"/>
      <c r="V278" s="52"/>
      <c r="W278" s="52"/>
      <c r="X278" s="52"/>
      <c r="Y278" s="165"/>
      <c r="Z278" s="165"/>
      <c r="AA278" s="165"/>
      <c r="AB278" s="165"/>
      <c r="AC278" s="165"/>
      <c r="AD278" s="165"/>
      <c r="AE278" s="165"/>
      <c r="AF278" s="165"/>
    </row>
    <row r="279" spans="1:32" ht="30">
      <c r="A279" s="165"/>
      <c r="B279" s="48"/>
      <c r="C279" s="48"/>
      <c r="D279" s="49"/>
      <c r="E279" s="49"/>
      <c r="F279" s="50"/>
      <c r="G279" s="58" t="s">
        <v>1224</v>
      </c>
      <c r="H279" s="233">
        <v>22.22</v>
      </c>
      <c r="I279" s="233"/>
      <c r="J279" s="233">
        <v>22.22</v>
      </c>
      <c r="K279" s="527"/>
      <c r="L279" s="233">
        <f>J279</f>
        <v>22.22</v>
      </c>
      <c r="M279" s="527"/>
      <c r="N279" s="233">
        <f>L279</f>
        <v>22.22</v>
      </c>
      <c r="O279" s="527"/>
      <c r="P279" s="233">
        <f>N279</f>
        <v>22.22</v>
      </c>
      <c r="Q279" s="527"/>
      <c r="R279" s="233">
        <f>P279</f>
        <v>22.22</v>
      </c>
      <c r="S279" s="527"/>
      <c r="T279" s="233">
        <f>R279</f>
        <v>22.22</v>
      </c>
      <c r="U279" s="527"/>
      <c r="V279" s="52"/>
      <c r="W279" s="52"/>
      <c r="X279" s="52"/>
      <c r="Y279" s="165"/>
      <c r="Z279" s="165"/>
      <c r="AA279" s="165"/>
      <c r="AB279" s="165"/>
      <c r="AC279" s="165"/>
      <c r="AD279" s="165"/>
      <c r="AE279" s="165"/>
      <c r="AF279" s="165"/>
    </row>
    <row r="280" spans="1:32" ht="45">
      <c r="A280" s="165"/>
      <c r="B280" s="48"/>
      <c r="C280" s="48"/>
      <c r="D280" s="49"/>
      <c r="E280" s="49"/>
      <c r="F280" s="50"/>
      <c r="G280" s="58" t="s">
        <v>1226</v>
      </c>
      <c r="H280" s="233">
        <v>15.87</v>
      </c>
      <c r="I280" s="527"/>
      <c r="J280" s="233">
        <v>15.87</v>
      </c>
      <c r="K280" s="233"/>
      <c r="L280" s="233">
        <f>J280+3.18</f>
        <v>19.05</v>
      </c>
      <c r="M280" s="527"/>
      <c r="N280" s="233">
        <f>L280+3.18</f>
        <v>22.23</v>
      </c>
      <c r="O280" s="527"/>
      <c r="P280" s="233">
        <f>N280+3.18</f>
        <v>25.41</v>
      </c>
      <c r="Q280" s="527"/>
      <c r="R280" s="233">
        <f>P280+3.18</f>
        <v>28.59</v>
      </c>
      <c r="S280" s="527"/>
      <c r="T280" s="233">
        <f>R280+3.18</f>
        <v>31.77</v>
      </c>
      <c r="U280" s="527"/>
      <c r="V280" s="52"/>
      <c r="W280" s="52"/>
      <c r="X280" s="52"/>
      <c r="Y280" s="165"/>
      <c r="Z280" s="165"/>
      <c r="AA280" s="165"/>
      <c r="AB280" s="165"/>
      <c r="AC280" s="165"/>
      <c r="AD280" s="165"/>
      <c r="AE280" s="165"/>
      <c r="AF280" s="165"/>
    </row>
    <row r="281" spans="1:32" ht="45">
      <c r="A281" s="165"/>
      <c r="B281" s="48"/>
      <c r="C281" s="48"/>
      <c r="D281" s="49"/>
      <c r="E281" s="49"/>
      <c r="F281" s="50"/>
      <c r="G281" s="58" t="s">
        <v>1228</v>
      </c>
      <c r="H281" s="233">
        <v>47.62</v>
      </c>
      <c r="I281" s="527"/>
      <c r="J281" s="233">
        <v>47.62</v>
      </c>
      <c r="K281" s="527"/>
      <c r="L281" s="233">
        <f>J281</f>
        <v>47.62</v>
      </c>
      <c r="M281" s="527"/>
      <c r="N281" s="233">
        <f>L281</f>
        <v>47.62</v>
      </c>
      <c r="O281" s="527"/>
      <c r="P281" s="233">
        <f>N281</f>
        <v>47.62</v>
      </c>
      <c r="Q281" s="527"/>
      <c r="R281" s="233">
        <f>P281</f>
        <v>47.62</v>
      </c>
      <c r="S281" s="527"/>
      <c r="T281" s="233">
        <f>R281</f>
        <v>47.62</v>
      </c>
      <c r="U281" s="527"/>
      <c r="V281" s="52"/>
      <c r="W281" s="52"/>
      <c r="X281" s="52"/>
      <c r="Y281" s="165"/>
      <c r="Z281" s="165"/>
      <c r="AA281" s="165"/>
      <c r="AB281" s="165"/>
      <c r="AC281" s="165"/>
      <c r="AD281" s="165"/>
      <c r="AE281" s="165"/>
      <c r="AF281" s="165"/>
    </row>
    <row r="282" spans="1:32" ht="45">
      <c r="A282" s="165"/>
      <c r="B282" s="48"/>
      <c r="C282" s="48"/>
      <c r="D282" s="49"/>
      <c r="E282" s="49"/>
      <c r="F282" s="50"/>
      <c r="G282" s="58" t="s">
        <v>1230</v>
      </c>
      <c r="H282" s="233">
        <v>19.05</v>
      </c>
      <c r="I282" s="527"/>
      <c r="J282" s="233">
        <v>19.05</v>
      </c>
      <c r="K282" s="233"/>
      <c r="L282" s="233">
        <f>J282</f>
        <v>19.05</v>
      </c>
      <c r="M282" s="233"/>
      <c r="N282" s="233">
        <f>L282</f>
        <v>19.05</v>
      </c>
      <c r="O282" s="527"/>
      <c r="P282" s="233">
        <f>N282</f>
        <v>19.05</v>
      </c>
      <c r="Q282" s="527"/>
      <c r="R282" s="233">
        <f>P282</f>
        <v>19.05</v>
      </c>
      <c r="S282" s="527"/>
      <c r="T282" s="233">
        <f>R282</f>
        <v>19.05</v>
      </c>
      <c r="U282" s="527"/>
      <c r="V282" s="52"/>
      <c r="W282" s="52"/>
      <c r="X282" s="52"/>
      <c r="Y282" s="165"/>
      <c r="Z282" s="165"/>
      <c r="AA282" s="165"/>
      <c r="AB282" s="165"/>
      <c r="AC282" s="165"/>
      <c r="AD282" s="165"/>
      <c r="AE282" s="165"/>
      <c r="AF282" s="165"/>
    </row>
    <row r="283" spans="1:32" ht="45">
      <c r="A283" s="165"/>
      <c r="B283" s="48"/>
      <c r="C283" s="48"/>
      <c r="D283" s="49"/>
      <c r="E283" s="49"/>
      <c r="F283" s="50"/>
      <c r="G283" s="58" t="s">
        <v>2015</v>
      </c>
      <c r="H283" s="233">
        <v>99.320568252007419</v>
      </c>
      <c r="I283" s="233">
        <v>95.41</v>
      </c>
      <c r="J283" s="233">
        <v>99.864786555920418</v>
      </c>
      <c r="K283" s="527"/>
      <c r="L283" s="233">
        <v>99</v>
      </c>
      <c r="M283" s="527"/>
      <c r="N283" s="233">
        <v>99</v>
      </c>
      <c r="O283" s="527"/>
      <c r="P283" s="233">
        <v>99</v>
      </c>
      <c r="Q283" s="527"/>
      <c r="R283" s="233">
        <v>99</v>
      </c>
      <c r="S283" s="527"/>
      <c r="T283" s="233">
        <v>99</v>
      </c>
      <c r="U283" s="527"/>
      <c r="V283" s="52"/>
      <c r="W283" s="52"/>
      <c r="X283" s="52"/>
      <c r="Y283" s="165"/>
      <c r="Z283" s="165"/>
      <c r="AA283" s="165"/>
      <c r="AB283" s="165"/>
      <c r="AC283" s="165"/>
      <c r="AD283" s="165"/>
      <c r="AE283" s="165"/>
      <c r="AF283" s="165"/>
    </row>
    <row r="284" spans="1:32" ht="75">
      <c r="A284" s="165"/>
      <c r="B284" s="48"/>
      <c r="C284" s="48"/>
      <c r="D284" s="49"/>
      <c r="E284" s="49"/>
      <c r="F284" s="50"/>
      <c r="G284" s="58" t="s">
        <v>2215</v>
      </c>
      <c r="H284" s="233">
        <v>72.122709491455623</v>
      </c>
      <c r="I284" s="233"/>
      <c r="J284" s="233">
        <v>57.331009103234557</v>
      </c>
      <c r="K284" s="527"/>
      <c r="L284" s="233">
        <f>J284+0.15</f>
        <v>57.481009103234555</v>
      </c>
      <c r="M284" s="527"/>
      <c r="N284" s="233">
        <f>L284+0.15</f>
        <v>57.631009103234554</v>
      </c>
      <c r="O284" s="527"/>
      <c r="P284" s="233">
        <f>N284+0.15</f>
        <v>57.781009103234553</v>
      </c>
      <c r="Q284" s="527"/>
      <c r="R284" s="233">
        <f>P284+0.15</f>
        <v>57.931009103234551</v>
      </c>
      <c r="S284" s="527"/>
      <c r="T284" s="233">
        <f>R284+0.15</f>
        <v>58.08100910323455</v>
      </c>
      <c r="U284" s="527"/>
      <c r="V284" s="52"/>
      <c r="W284" s="52"/>
      <c r="X284" s="52"/>
      <c r="Y284" s="165"/>
      <c r="Z284" s="165"/>
      <c r="AA284" s="165"/>
      <c r="AB284" s="165"/>
      <c r="AC284" s="165"/>
      <c r="AD284" s="165"/>
      <c r="AE284" s="165"/>
      <c r="AF284" s="165"/>
    </row>
    <row r="285" spans="1:32" ht="30">
      <c r="A285" s="165"/>
      <c r="B285" s="48"/>
      <c r="C285" s="48"/>
      <c r="D285" s="49"/>
      <c r="E285" s="49"/>
      <c r="F285" s="50"/>
      <c r="G285" s="64" t="s">
        <v>1234</v>
      </c>
      <c r="H285" s="294">
        <v>1.18</v>
      </c>
      <c r="I285" s="294">
        <v>1.64</v>
      </c>
      <c r="J285" s="294">
        <v>1.64</v>
      </c>
      <c r="K285" s="295"/>
      <c r="L285" s="294">
        <f>J285-0.02</f>
        <v>1.6199999999999999</v>
      </c>
      <c r="M285" s="295"/>
      <c r="N285" s="294">
        <f>L285-0.02</f>
        <v>1.5999999999999999</v>
      </c>
      <c r="O285" s="295"/>
      <c r="P285" s="294">
        <f>N285-0.02</f>
        <v>1.5799999999999998</v>
      </c>
      <c r="Q285" s="295"/>
      <c r="R285" s="294">
        <f>P285-0.02</f>
        <v>1.5599999999999998</v>
      </c>
      <c r="S285" s="295"/>
      <c r="T285" s="294">
        <f>R285-0.02</f>
        <v>1.5399999999999998</v>
      </c>
      <c r="U285" s="295"/>
      <c r="V285" s="65"/>
      <c r="W285" s="65"/>
      <c r="X285" s="65"/>
      <c r="Y285" s="165"/>
      <c r="Z285" s="165"/>
      <c r="AA285" s="165"/>
      <c r="AB285" s="165"/>
      <c r="AC285" s="165"/>
      <c r="AD285" s="165"/>
      <c r="AE285" s="165"/>
      <c r="AF285" s="165"/>
    </row>
    <row r="286" spans="1:32" s="276" customFormat="1" ht="30" customHeight="1">
      <c r="A286" s="283"/>
      <c r="B286" s="1106" t="s">
        <v>4234</v>
      </c>
      <c r="C286" s="1106"/>
      <c r="D286" s="1106"/>
      <c r="E286" s="1106"/>
      <c r="F286" s="1106"/>
      <c r="G286" s="1106"/>
      <c r="H286" s="296"/>
      <c r="I286" s="296"/>
      <c r="J286" s="296"/>
      <c r="K286" s="297">
        <f>SUM(K10:K285)</f>
        <v>96913486848</v>
      </c>
      <c r="L286" s="297"/>
      <c r="M286" s="297">
        <f t="shared" ref="M286:W286" si="6">SUM(M10:M285)</f>
        <v>89794743500</v>
      </c>
      <c r="N286" s="297"/>
      <c r="O286" s="297">
        <f t="shared" si="6"/>
        <v>98217776300</v>
      </c>
      <c r="P286" s="297"/>
      <c r="Q286" s="297">
        <f t="shared" si="6"/>
        <v>100789976300</v>
      </c>
      <c r="R286" s="297"/>
      <c r="S286" s="297">
        <f t="shared" si="6"/>
        <v>102337476300</v>
      </c>
      <c r="T286" s="297"/>
      <c r="U286" s="297">
        <f t="shared" si="6"/>
        <v>50828738150</v>
      </c>
      <c r="V286" s="297">
        <f t="shared" si="6"/>
        <v>0</v>
      </c>
      <c r="W286" s="297">
        <f t="shared" si="6"/>
        <v>0</v>
      </c>
      <c r="X286" s="274"/>
      <c r="Y286" s="283"/>
      <c r="Z286" s="283"/>
      <c r="AA286" s="283"/>
      <c r="AB286" s="283"/>
      <c r="AC286" s="283"/>
      <c r="AD286" s="283"/>
      <c r="AE286" s="283"/>
      <c r="AF286" s="283"/>
    </row>
    <row r="287" spans="1:32">
      <c r="A287" s="165">
        <v>1</v>
      </c>
      <c r="B287" s="62" t="str">
        <f>'[4]matrik MISI 3.1'!B6</f>
        <v>PEKERJAAN UMUM</v>
      </c>
      <c r="C287" s="56"/>
      <c r="D287" s="57"/>
      <c r="E287" s="57"/>
      <c r="F287" s="58"/>
      <c r="G287" s="58"/>
      <c r="H287" s="52"/>
      <c r="I287" s="52"/>
      <c r="J287" s="52"/>
      <c r="K287" s="52"/>
      <c r="L287" s="52"/>
      <c r="M287" s="52"/>
      <c r="N287" s="52"/>
      <c r="O287" s="52"/>
      <c r="P287" s="52"/>
      <c r="Q287" s="52"/>
      <c r="R287" s="52"/>
      <c r="S287" s="52"/>
      <c r="T287" s="52"/>
      <c r="U287" s="52"/>
      <c r="V287" s="52"/>
      <c r="W287" s="52"/>
      <c r="X287" s="52"/>
      <c r="Y287" s="165"/>
      <c r="Z287" s="165"/>
      <c r="AA287" s="165"/>
      <c r="AB287" s="165"/>
      <c r="AC287" s="165"/>
      <c r="AD287" s="165"/>
      <c r="AE287" s="165"/>
      <c r="AF287" s="165"/>
    </row>
    <row r="288" spans="1:32" s="540" customFormat="1" ht="45">
      <c r="B288" s="545"/>
      <c r="C288" s="593">
        <f>'[4]matrik MISI 3.1'!P7</f>
        <v>1.03</v>
      </c>
      <c r="D288" s="594" t="str">
        <f>'[4]matrik MISI 3.1'!Q7</f>
        <v>xx</v>
      </c>
      <c r="E288" s="594">
        <f>'[4]matrik MISI 3.1'!R7</f>
        <v>15</v>
      </c>
      <c r="F288" s="595" t="str">
        <f>'[4]matrik MISI 3.1'!S7</f>
        <v>Program Pembangunan Jalan dan Jembatan</v>
      </c>
      <c r="G288" s="548"/>
      <c r="H288" s="550"/>
      <c r="I288" s="550"/>
      <c r="J288" s="550"/>
      <c r="K288" s="603">
        <f>SUM(K289:K295)</f>
        <v>39236019300</v>
      </c>
      <c r="L288" s="603">
        <f t="shared" ref="L288:U288" si="7">SUM(L289:L295)</f>
        <v>0</v>
      </c>
      <c r="M288" s="603">
        <f>SUM(M289:M295)-600000000</f>
        <v>44618667000</v>
      </c>
      <c r="N288" s="603">
        <f t="shared" si="7"/>
        <v>0</v>
      </c>
      <c r="O288" s="603">
        <f>SUM(O289:O295)-400000000</f>
        <v>40111398105</v>
      </c>
      <c r="P288" s="603">
        <f t="shared" si="7"/>
        <v>0</v>
      </c>
      <c r="Q288" s="603">
        <f>SUM(Q289:Q295)-400000000</f>
        <v>45633821088</v>
      </c>
      <c r="R288" s="603">
        <f t="shared" si="7"/>
        <v>0</v>
      </c>
      <c r="S288" s="603">
        <f>SUM(S289:S295)-400000000</f>
        <v>52544000000</v>
      </c>
      <c r="T288" s="603">
        <f t="shared" si="7"/>
        <v>0</v>
      </c>
      <c r="U288" s="603">
        <f t="shared" si="7"/>
        <v>58114000000</v>
      </c>
      <c r="V288" s="550"/>
      <c r="W288" s="550"/>
      <c r="X288" s="550" t="str">
        <f>'[4]matrik MISI 3.1'!AE7</f>
        <v>DPU</v>
      </c>
    </row>
    <row r="289" spans="1:32" ht="30">
      <c r="A289" s="165"/>
      <c r="B289" s="48"/>
      <c r="C289" s="62"/>
      <c r="D289" s="63"/>
      <c r="E289" s="63"/>
      <c r="F289" s="64"/>
      <c r="G289" s="58" t="s">
        <v>2472</v>
      </c>
      <c r="H289" s="52" t="s">
        <v>2473</v>
      </c>
      <c r="I289" s="52" t="s">
        <v>2473</v>
      </c>
      <c r="J289" s="52" t="s">
        <v>2473</v>
      </c>
      <c r="K289" s="533">
        <f>4501315000-170000000</f>
        <v>4331315000</v>
      </c>
      <c r="L289" s="52" t="s">
        <v>2474</v>
      </c>
      <c r="M289" s="533">
        <f>7991020000-500000000-170000000</f>
        <v>7321020000</v>
      </c>
      <c r="N289" s="52" t="s">
        <v>2474</v>
      </c>
      <c r="O289" s="533">
        <f>8217500001-200000000-170000000</f>
        <v>7847500001</v>
      </c>
      <c r="P289" s="52" t="s">
        <v>2474</v>
      </c>
      <c r="Q289" s="218">
        <f>9000000000-170000000</f>
        <v>8830000000</v>
      </c>
      <c r="R289" s="52" t="s">
        <v>2474</v>
      </c>
      <c r="S289" s="533">
        <f>9864000000-170000000</f>
        <v>9694000000</v>
      </c>
      <c r="T289" s="52" t="s">
        <v>2474</v>
      </c>
      <c r="U289" s="533">
        <v>9864000000</v>
      </c>
      <c r="V289" s="52"/>
      <c r="W289" s="52"/>
      <c r="X289" s="52"/>
      <c r="Y289" s="165"/>
      <c r="Z289" s="165"/>
      <c r="AA289" s="165"/>
      <c r="AB289" s="165"/>
      <c r="AC289" s="165"/>
      <c r="AD289" s="165"/>
      <c r="AE289" s="165"/>
      <c r="AF289" s="165"/>
    </row>
    <row r="290" spans="1:32" ht="45">
      <c r="A290" s="165"/>
      <c r="B290" s="48"/>
      <c r="C290" s="62"/>
      <c r="D290" s="63"/>
      <c r="E290" s="63"/>
      <c r="F290" s="64"/>
      <c r="G290" s="58" t="s">
        <v>2475</v>
      </c>
      <c r="H290" s="52" t="s">
        <v>2476</v>
      </c>
      <c r="I290" s="52" t="s">
        <v>2477</v>
      </c>
      <c r="J290" s="52" t="s">
        <v>2477</v>
      </c>
      <c r="K290" s="533">
        <v>3242853000</v>
      </c>
      <c r="L290" s="52" t="s">
        <v>2478</v>
      </c>
      <c r="M290" s="533">
        <v>5847530000</v>
      </c>
      <c r="N290" s="52" t="str">
        <f>L290</f>
        <v>10 Unit</v>
      </c>
      <c r="O290" s="218">
        <v>7000000000</v>
      </c>
      <c r="P290" s="52" t="str">
        <f>N290</f>
        <v>10 Unit</v>
      </c>
      <c r="Q290" s="533">
        <v>7500000000</v>
      </c>
      <c r="R290" s="52" t="str">
        <f>P290</f>
        <v>10 Unit</v>
      </c>
      <c r="S290" s="533">
        <v>8500000000</v>
      </c>
      <c r="T290" s="52" t="str">
        <f>R290</f>
        <v>10 Unit</v>
      </c>
      <c r="U290" s="533">
        <v>8500000000</v>
      </c>
      <c r="V290" s="52"/>
      <c r="W290" s="52"/>
      <c r="X290" s="52"/>
      <c r="Y290" s="165"/>
      <c r="Z290" s="165"/>
      <c r="AA290" s="165"/>
      <c r="AB290" s="165"/>
      <c r="AC290" s="165"/>
      <c r="AD290" s="165"/>
      <c r="AE290" s="165"/>
      <c r="AF290" s="165"/>
    </row>
    <row r="291" spans="1:32" ht="45">
      <c r="A291" s="165"/>
      <c r="B291" s="48"/>
      <c r="C291" s="62"/>
      <c r="D291" s="63"/>
      <c r="E291" s="63"/>
      <c r="F291" s="64"/>
      <c r="G291" s="58" t="s">
        <v>2479</v>
      </c>
      <c r="H291" s="52" t="s">
        <v>2480</v>
      </c>
      <c r="I291" s="52" t="s">
        <v>2481</v>
      </c>
      <c r="J291" s="52" t="s">
        <v>2481</v>
      </c>
      <c r="K291" s="533">
        <f>7884870000-84893700</f>
        <v>7799976300</v>
      </c>
      <c r="L291" s="52" t="s">
        <v>2482</v>
      </c>
      <c r="M291" s="533">
        <v>10039140000</v>
      </c>
      <c r="N291" s="52" t="s">
        <v>2483</v>
      </c>
      <c r="O291" s="218">
        <f>11000000000-500000000</f>
        <v>10500000000</v>
      </c>
      <c r="P291" s="52" t="s">
        <v>2483</v>
      </c>
      <c r="Q291" s="533">
        <f>12000000000-250000000</f>
        <v>11750000000</v>
      </c>
      <c r="R291" s="52" t="s">
        <v>2483</v>
      </c>
      <c r="S291" s="533">
        <f>Q291</f>
        <v>11750000000</v>
      </c>
      <c r="T291" s="52" t="s">
        <v>2483</v>
      </c>
      <c r="U291" s="533">
        <f>S291</f>
        <v>11750000000</v>
      </c>
      <c r="V291" s="52"/>
      <c r="W291" s="52"/>
      <c r="X291" s="52"/>
      <c r="Y291" s="165"/>
      <c r="Z291" s="165"/>
      <c r="AA291" s="165"/>
      <c r="AB291" s="165"/>
      <c r="AC291" s="165"/>
      <c r="AD291" s="165"/>
      <c r="AE291" s="165"/>
      <c r="AF291" s="165"/>
    </row>
    <row r="292" spans="1:32" ht="45">
      <c r="A292" s="165"/>
      <c r="B292" s="48"/>
      <c r="C292" s="62"/>
      <c r="D292" s="63"/>
      <c r="E292" s="63"/>
      <c r="F292" s="64"/>
      <c r="G292" s="58" t="s">
        <v>2484</v>
      </c>
      <c r="H292" s="52" t="s">
        <v>2485</v>
      </c>
      <c r="I292" s="52" t="s">
        <v>2473</v>
      </c>
      <c r="J292" s="52" t="str">
        <f>I292</f>
        <v>8 Ruas</v>
      </c>
      <c r="K292" s="533">
        <f>4644120000+620000000</f>
        <v>5264120000</v>
      </c>
      <c r="L292" s="52" t="s">
        <v>2486</v>
      </c>
      <c r="M292" s="533">
        <v>6750000000</v>
      </c>
      <c r="N292" s="52" t="s">
        <v>2486</v>
      </c>
      <c r="O292" s="218">
        <f>5450000000-450000000</f>
        <v>5000000000</v>
      </c>
      <c r="P292" s="52" t="s">
        <v>2474</v>
      </c>
      <c r="Q292" s="533">
        <f>8000000000-2296178912</f>
        <v>5703821088</v>
      </c>
      <c r="R292" s="52" t="s">
        <v>2474</v>
      </c>
      <c r="S292" s="533">
        <f>9000000000</f>
        <v>9000000000</v>
      </c>
      <c r="T292" s="52" t="s">
        <v>2474</v>
      </c>
      <c r="U292" s="533">
        <v>9000000000</v>
      </c>
      <c r="V292" s="52"/>
      <c r="W292" s="52"/>
      <c r="X292" s="52"/>
      <c r="Y292" s="165"/>
      <c r="Z292" s="165"/>
      <c r="AA292" s="165"/>
      <c r="AB292" s="165"/>
      <c r="AC292" s="165"/>
      <c r="AD292" s="165"/>
      <c r="AE292" s="165"/>
      <c r="AF292" s="165"/>
    </row>
    <row r="293" spans="1:32" ht="45">
      <c r="A293" s="165"/>
      <c r="B293" s="48"/>
      <c r="C293" s="62"/>
      <c r="D293" s="63"/>
      <c r="E293" s="63"/>
      <c r="F293" s="64"/>
      <c r="G293" s="58" t="s">
        <v>2487</v>
      </c>
      <c r="H293" s="52" t="s">
        <v>743</v>
      </c>
      <c r="I293" s="52" t="s">
        <v>2476</v>
      </c>
      <c r="J293" s="52" t="s">
        <v>2476</v>
      </c>
      <c r="K293" s="533">
        <v>2424650000</v>
      </c>
      <c r="L293" s="52" t="s">
        <v>2480</v>
      </c>
      <c r="M293" s="533">
        <v>2668967500</v>
      </c>
      <c r="N293" s="52" t="str">
        <f>L293</f>
        <v>7 Unit</v>
      </c>
      <c r="O293" s="533">
        <v>3000000000</v>
      </c>
      <c r="P293" s="52" t="s">
        <v>2488</v>
      </c>
      <c r="Q293" s="533">
        <v>3500000000</v>
      </c>
      <c r="R293" s="52" t="str">
        <f>P293</f>
        <v>9 unit</v>
      </c>
      <c r="S293" s="533">
        <v>4000000000</v>
      </c>
      <c r="T293" s="52" t="str">
        <f>R293</f>
        <v>9 unit</v>
      </c>
      <c r="U293" s="533">
        <v>4000000000</v>
      </c>
      <c r="V293" s="52"/>
      <c r="W293" s="52"/>
      <c r="X293" s="52"/>
      <c r="Y293" s="165"/>
      <c r="Z293" s="165"/>
      <c r="AA293" s="165"/>
      <c r="AB293" s="165"/>
      <c r="AC293" s="165"/>
      <c r="AD293" s="165"/>
      <c r="AE293" s="165"/>
      <c r="AF293" s="165"/>
    </row>
    <row r="294" spans="1:32" ht="45">
      <c r="A294" s="165"/>
      <c r="B294" s="48"/>
      <c r="C294" s="62"/>
      <c r="D294" s="63"/>
      <c r="E294" s="63"/>
      <c r="F294" s="64"/>
      <c r="G294" s="58" t="s">
        <v>2490</v>
      </c>
      <c r="H294" s="52" t="s">
        <v>2491</v>
      </c>
      <c r="I294" s="52" t="s">
        <v>2483</v>
      </c>
      <c r="J294" s="52" t="s">
        <v>2483</v>
      </c>
      <c r="K294" s="533">
        <v>16173105000</v>
      </c>
      <c r="L294" s="52" t="s">
        <v>2492</v>
      </c>
      <c r="M294" s="533">
        <v>12492192000</v>
      </c>
      <c r="N294" s="52" t="s">
        <v>2493</v>
      </c>
      <c r="O294" s="533">
        <f>7500000000-336101896</f>
        <v>7163898104</v>
      </c>
      <c r="P294" s="52" t="str">
        <f>N294</f>
        <v>25 ruas</v>
      </c>
      <c r="Q294" s="533">
        <f>9000000000-250000000</f>
        <v>8750000000</v>
      </c>
      <c r="R294" s="52" t="s">
        <v>2494</v>
      </c>
      <c r="S294" s="533">
        <v>10000000000</v>
      </c>
      <c r="T294" s="52" t="s">
        <v>2494</v>
      </c>
      <c r="U294" s="533">
        <v>15000000000</v>
      </c>
      <c r="V294" s="52"/>
      <c r="W294" s="52"/>
      <c r="X294" s="52"/>
      <c r="Y294" s="165"/>
      <c r="Z294" s="165"/>
      <c r="AA294" s="165"/>
      <c r="AB294" s="165"/>
      <c r="AC294" s="165"/>
      <c r="AD294" s="165"/>
      <c r="AE294" s="165"/>
      <c r="AF294" s="165"/>
    </row>
    <row r="295" spans="1:32" ht="60">
      <c r="A295" s="165"/>
      <c r="B295" s="48"/>
      <c r="C295" s="62"/>
      <c r="D295" s="63"/>
      <c r="E295" s="63"/>
      <c r="F295" s="64"/>
      <c r="G295" s="58" t="s">
        <v>2495</v>
      </c>
      <c r="H295" s="52" t="s">
        <v>743</v>
      </c>
      <c r="I295" s="52" t="s">
        <v>743</v>
      </c>
      <c r="J295" s="52" t="s">
        <v>743</v>
      </c>
      <c r="K295" s="237" t="s">
        <v>743</v>
      </c>
      <c r="L295" s="52" t="s">
        <v>2496</v>
      </c>
      <c r="M295" s="533">
        <v>99817500</v>
      </c>
      <c r="N295" s="52" t="s">
        <v>743</v>
      </c>
      <c r="O295" s="52" t="s">
        <v>743</v>
      </c>
      <c r="P295" s="52" t="s">
        <v>743</v>
      </c>
      <c r="Q295" s="52" t="s">
        <v>743</v>
      </c>
      <c r="R295" s="52" t="s">
        <v>743</v>
      </c>
      <c r="S295" s="52" t="s">
        <v>743</v>
      </c>
      <c r="T295" s="52" t="s">
        <v>743</v>
      </c>
      <c r="U295" s="52" t="s">
        <v>743</v>
      </c>
      <c r="V295" s="52"/>
      <c r="W295" s="52"/>
      <c r="X295" s="52"/>
      <c r="Y295" s="165"/>
      <c r="Z295" s="165"/>
      <c r="AA295" s="165"/>
      <c r="AB295" s="165"/>
      <c r="AC295" s="165"/>
      <c r="AD295" s="165"/>
      <c r="AE295" s="165"/>
      <c r="AF295" s="165"/>
    </row>
    <row r="296" spans="1:32" s="540" customFormat="1" ht="75">
      <c r="B296" s="545"/>
      <c r="C296" s="593">
        <v>1.03</v>
      </c>
      <c r="D296" s="594" t="s">
        <v>773</v>
      </c>
      <c r="E296" s="594">
        <v>16</v>
      </c>
      <c r="F296" s="616" t="s">
        <v>2498</v>
      </c>
      <c r="G296" s="548"/>
      <c r="H296" s="550"/>
      <c r="I296" s="550"/>
      <c r="J296" s="550"/>
      <c r="K296" s="603">
        <f>SUM(K297:K298)</f>
        <v>700000000</v>
      </c>
      <c r="L296" s="603">
        <f t="shared" ref="L296:S296" si="8">SUM(L297:L298)</f>
        <v>0</v>
      </c>
      <c r="M296" s="603">
        <f t="shared" si="8"/>
        <v>1297662500</v>
      </c>
      <c r="N296" s="603">
        <f t="shared" si="8"/>
        <v>0</v>
      </c>
      <c r="O296" s="603">
        <f t="shared" si="8"/>
        <v>3110000000</v>
      </c>
      <c r="P296" s="603">
        <f t="shared" si="8"/>
        <v>0</v>
      </c>
      <c r="Q296" s="603">
        <f t="shared" si="8"/>
        <v>2570000000</v>
      </c>
      <c r="R296" s="603">
        <f t="shared" si="8"/>
        <v>0</v>
      </c>
      <c r="S296" s="603">
        <f t="shared" si="8"/>
        <v>2642000000</v>
      </c>
      <c r="T296" s="550"/>
      <c r="U296" s="550"/>
      <c r="V296" s="550"/>
      <c r="W296" s="550"/>
      <c r="X296" s="550"/>
    </row>
    <row r="297" spans="1:32" ht="75">
      <c r="A297" s="165"/>
      <c r="B297" s="48"/>
      <c r="C297" s="62"/>
      <c r="D297" s="63"/>
      <c r="E297" s="63"/>
      <c r="F297" s="64"/>
      <c r="G297" s="58" t="s">
        <v>2499</v>
      </c>
      <c r="H297" s="52" t="s">
        <v>743</v>
      </c>
      <c r="I297" s="52" t="s">
        <v>2500</v>
      </c>
      <c r="J297" s="52" t="str">
        <f>I297</f>
        <v>1039 m</v>
      </c>
      <c r="K297" s="533">
        <v>500000000</v>
      </c>
      <c r="L297" s="52" t="s">
        <v>2501</v>
      </c>
      <c r="M297" s="533">
        <v>997662500</v>
      </c>
      <c r="N297" s="52" t="str">
        <f>L297</f>
        <v>5 lokasi</v>
      </c>
      <c r="O297" s="533">
        <v>2810000000</v>
      </c>
      <c r="P297" s="52" t="str">
        <f>N297</f>
        <v>5 lokasi</v>
      </c>
      <c r="Q297" s="533">
        <v>2210000000</v>
      </c>
      <c r="R297" s="52" t="str">
        <f>P297</f>
        <v>5 lokasi</v>
      </c>
      <c r="S297" s="533">
        <v>2210000000</v>
      </c>
      <c r="T297" s="52" t="str">
        <f>R297</f>
        <v>5 lokasi</v>
      </c>
      <c r="U297" s="533">
        <v>2210000000</v>
      </c>
      <c r="V297" s="52"/>
      <c r="W297" s="52"/>
      <c r="X297" s="52"/>
      <c r="Y297" s="165"/>
      <c r="Z297" s="165"/>
      <c r="AA297" s="165"/>
      <c r="AB297" s="165"/>
      <c r="AC297" s="165"/>
      <c r="AD297" s="165"/>
      <c r="AE297" s="165"/>
      <c r="AF297" s="165"/>
    </row>
    <row r="298" spans="1:32" ht="45">
      <c r="A298" s="165"/>
      <c r="B298" s="48"/>
      <c r="C298" s="62"/>
      <c r="D298" s="63"/>
      <c r="E298" s="63"/>
      <c r="F298" s="64"/>
      <c r="G298" s="58" t="s">
        <v>2502</v>
      </c>
      <c r="H298" s="52" t="s">
        <v>2503</v>
      </c>
      <c r="I298" s="52" t="s">
        <v>2503</v>
      </c>
      <c r="J298" s="52" t="str">
        <f>I298</f>
        <v>6 UPTD</v>
      </c>
      <c r="K298" s="533">
        <v>200000000</v>
      </c>
      <c r="L298" s="52" t="s">
        <v>2503</v>
      </c>
      <c r="M298" s="533">
        <v>300000000</v>
      </c>
      <c r="N298" s="52" t="str">
        <f>L298</f>
        <v>6 UPTD</v>
      </c>
      <c r="O298" s="218">
        <f>M298</f>
        <v>300000000</v>
      </c>
      <c r="P298" s="52" t="str">
        <f>N298</f>
        <v>6 UPTD</v>
      </c>
      <c r="Q298" s="533">
        <f>1.2*O298</f>
        <v>360000000</v>
      </c>
      <c r="R298" s="52" t="str">
        <f>P298</f>
        <v>6 UPTD</v>
      </c>
      <c r="S298" s="533">
        <f>1.2*Q298</f>
        <v>432000000</v>
      </c>
      <c r="T298" s="52" t="str">
        <f>R298</f>
        <v>6 UPTD</v>
      </c>
      <c r="U298" s="533">
        <f>1.2*S298</f>
        <v>518400000</v>
      </c>
      <c r="V298" s="52"/>
      <c r="W298" s="52"/>
      <c r="X298" s="52"/>
      <c r="Y298" s="165"/>
      <c r="Z298" s="165"/>
      <c r="AA298" s="165"/>
      <c r="AB298" s="165"/>
      <c r="AC298" s="165"/>
      <c r="AD298" s="165"/>
      <c r="AE298" s="165"/>
      <c r="AF298" s="165"/>
    </row>
    <row r="299" spans="1:32" s="540" customFormat="1" ht="45">
      <c r="B299" s="545"/>
      <c r="C299" s="591">
        <f>'[4]matrik MISI 3.1'!P18</f>
        <v>1.03</v>
      </c>
      <c r="D299" s="592" t="str">
        <f>'[4]matrik MISI 3.1'!Q18</f>
        <v>xx</v>
      </c>
      <c r="E299" s="592">
        <f>'[4]matrik MISI 3.1'!R18</f>
        <v>23</v>
      </c>
      <c r="F299" s="548" t="str">
        <f>'[4]matrik MISI 3.1'!S18</f>
        <v xml:space="preserve">Program peningkatan sarana dan prasarana kebinamargaan </v>
      </c>
      <c r="G299" s="548"/>
      <c r="H299" s="550"/>
      <c r="I299" s="550"/>
      <c r="J299" s="550"/>
      <c r="K299" s="603">
        <f>SUM(K300:K301)</f>
        <v>1330500000</v>
      </c>
      <c r="L299" s="603">
        <f t="shared" ref="L299:U299" si="9">SUM(L300:L301)</f>
        <v>0</v>
      </c>
      <c r="M299" s="603">
        <f t="shared" si="9"/>
        <v>1409029000</v>
      </c>
      <c r="N299" s="603">
        <f t="shared" si="9"/>
        <v>0</v>
      </c>
      <c r="O299" s="603">
        <f t="shared" si="9"/>
        <v>1979986800</v>
      </c>
      <c r="P299" s="603">
        <f t="shared" si="9"/>
        <v>0</v>
      </c>
      <c r="Q299" s="603">
        <f t="shared" si="9"/>
        <v>2575984160</v>
      </c>
      <c r="R299" s="603">
        <f t="shared" si="9"/>
        <v>0</v>
      </c>
      <c r="S299" s="603">
        <f t="shared" si="9"/>
        <v>2691180992</v>
      </c>
      <c r="T299" s="603">
        <f t="shared" si="9"/>
        <v>0</v>
      </c>
      <c r="U299" s="603">
        <f t="shared" si="9"/>
        <v>2829417190.4000001</v>
      </c>
      <c r="V299" s="550"/>
      <c r="W299" s="550"/>
      <c r="X299" s="550" t="str">
        <f>'[4]matrik MISI 3.1'!AE18</f>
        <v>DPU/Pemerintahan Umum</v>
      </c>
    </row>
    <row r="300" spans="1:32" ht="45">
      <c r="A300" s="165"/>
      <c r="B300" s="48"/>
      <c r="C300" s="62"/>
      <c r="D300" s="63"/>
      <c r="E300" s="63"/>
      <c r="F300" s="64"/>
      <c r="G300" s="58" t="s">
        <v>2517</v>
      </c>
      <c r="H300" s="52" t="s">
        <v>2504</v>
      </c>
      <c r="I300" s="52" t="s">
        <v>2505</v>
      </c>
      <c r="J300" s="52" t="str">
        <f>I300</f>
        <v>2 lokasi</v>
      </c>
      <c r="K300" s="533">
        <v>590500000</v>
      </c>
      <c r="L300" s="52" t="s">
        <v>2506</v>
      </c>
      <c r="M300" s="533">
        <v>399989000</v>
      </c>
      <c r="N300" s="52" t="str">
        <f>L300</f>
        <v>3 Lokasi</v>
      </c>
      <c r="O300" s="229">
        <f>1.2*M300</f>
        <v>479986800</v>
      </c>
      <c r="P300" s="52" t="str">
        <f>N300</f>
        <v>3 Lokasi</v>
      </c>
      <c r="Q300" s="229">
        <f>1.2*O300</f>
        <v>575984160</v>
      </c>
      <c r="R300" s="52" t="str">
        <f>P300</f>
        <v>3 Lokasi</v>
      </c>
      <c r="S300" s="229">
        <f>1.2*Q300</f>
        <v>691180992</v>
      </c>
      <c r="T300" s="52" t="str">
        <f>R300</f>
        <v>3 Lokasi</v>
      </c>
      <c r="U300" s="229">
        <f>1.2*S300</f>
        <v>829417190.39999998</v>
      </c>
      <c r="V300" s="52"/>
      <c r="W300" s="52"/>
      <c r="X300" s="52"/>
      <c r="Y300" s="165"/>
      <c r="Z300" s="165"/>
      <c r="AA300" s="165"/>
      <c r="AB300" s="165"/>
      <c r="AC300" s="165"/>
      <c r="AD300" s="165"/>
      <c r="AE300" s="165"/>
      <c r="AF300" s="165"/>
    </row>
    <row r="301" spans="1:32" ht="45">
      <c r="A301" s="165"/>
      <c r="B301" s="48"/>
      <c r="C301" s="62"/>
      <c r="D301" s="63"/>
      <c r="E301" s="63"/>
      <c r="F301" s="64"/>
      <c r="G301" s="58" t="s">
        <v>2518</v>
      </c>
      <c r="H301" s="52" t="s">
        <v>2507</v>
      </c>
      <c r="I301" s="52" t="s">
        <v>2508</v>
      </c>
      <c r="J301" s="52" t="str">
        <f>I301</f>
        <v>5 Lokasi</v>
      </c>
      <c r="K301" s="533">
        <v>740000000</v>
      </c>
      <c r="L301" s="52" t="s">
        <v>2509</v>
      </c>
      <c r="M301" s="533">
        <v>1009040000</v>
      </c>
      <c r="N301" s="52" t="s">
        <v>2510</v>
      </c>
      <c r="O301" s="533">
        <v>1500000000</v>
      </c>
      <c r="P301" s="52" t="s">
        <v>2511</v>
      </c>
      <c r="Q301" s="533">
        <v>2000000000</v>
      </c>
      <c r="R301" s="52" t="s">
        <v>2512</v>
      </c>
      <c r="S301" s="533">
        <v>2000000000</v>
      </c>
      <c r="T301" s="52" t="s">
        <v>2512</v>
      </c>
      <c r="U301" s="533">
        <v>2000000000</v>
      </c>
      <c r="V301" s="52"/>
      <c r="W301" s="52"/>
      <c r="X301" s="52"/>
      <c r="Y301" s="165"/>
      <c r="Z301" s="165"/>
      <c r="AA301" s="165"/>
      <c r="AB301" s="165"/>
      <c r="AC301" s="165"/>
      <c r="AD301" s="165"/>
      <c r="AE301" s="165"/>
      <c r="AF301" s="165"/>
    </row>
    <row r="302" spans="1:32" s="540" customFormat="1" ht="45">
      <c r="B302" s="545"/>
      <c r="C302" s="593">
        <f>'[4]matrik MISI 3.1'!P10</f>
        <v>1.03</v>
      </c>
      <c r="D302" s="594" t="str">
        <f>'[4]matrik MISI 3.1'!Q10</f>
        <v>xx</v>
      </c>
      <c r="E302" s="594">
        <f>'[4]matrik MISI 3.1'!R10</f>
        <v>18</v>
      </c>
      <c r="F302" s="595" t="str">
        <f>'[4]matrik MISI 3.1'!S10</f>
        <v>Program rehabilitasi/ pemeliharaan Jalan dan Jembatan</v>
      </c>
      <c r="G302" s="548"/>
      <c r="H302" s="550"/>
      <c r="I302" s="550"/>
      <c r="J302" s="550"/>
      <c r="K302" s="603">
        <f>SUM(K303:K304)</f>
        <v>2746202500</v>
      </c>
      <c r="L302" s="603">
        <f t="shared" ref="L302:U302" si="10">SUM(L303:L304)</f>
        <v>0</v>
      </c>
      <c r="M302" s="603">
        <f>SUM(M303:M304)+533068954</f>
        <v>4457818954</v>
      </c>
      <c r="N302" s="603">
        <f t="shared" si="10"/>
        <v>0</v>
      </c>
      <c r="O302" s="603">
        <f>SUM(O303:O304)+1165800000</f>
        <v>4525030000</v>
      </c>
      <c r="P302" s="603">
        <f t="shared" si="10"/>
        <v>0</v>
      </c>
      <c r="Q302" s="603">
        <f>SUM(Q303:Q304)+552125000</f>
        <v>4583201000</v>
      </c>
      <c r="R302" s="603">
        <f t="shared" si="10"/>
        <v>0</v>
      </c>
      <c r="S302" s="603">
        <f t="shared" si="10"/>
        <v>4837291200</v>
      </c>
      <c r="T302" s="603">
        <f t="shared" si="10"/>
        <v>0</v>
      </c>
      <c r="U302" s="603">
        <f t="shared" si="10"/>
        <v>5804749440</v>
      </c>
      <c r="V302" s="550"/>
      <c r="W302" s="550"/>
      <c r="X302" s="550" t="str">
        <f>'[4]matrik MISI 3.1'!AE10</f>
        <v>DPU</v>
      </c>
    </row>
    <row r="303" spans="1:32" ht="45">
      <c r="A303" s="165"/>
      <c r="B303" s="48"/>
      <c r="C303" s="62"/>
      <c r="D303" s="63"/>
      <c r="E303" s="63"/>
      <c r="F303" s="64"/>
      <c r="G303" s="58" t="s">
        <v>2519</v>
      </c>
      <c r="H303" s="52" t="s">
        <v>743</v>
      </c>
      <c r="I303" s="52" t="s">
        <v>2513</v>
      </c>
      <c r="J303" s="52" t="str">
        <f>I303</f>
        <v>1 Unit</v>
      </c>
      <c r="K303" s="533">
        <v>247990000</v>
      </c>
      <c r="L303" s="52" t="s">
        <v>2514</v>
      </c>
      <c r="M303" s="533">
        <v>1440520000</v>
      </c>
      <c r="N303" s="52" t="s">
        <v>2515</v>
      </c>
      <c r="O303" s="218">
        <v>875000000</v>
      </c>
      <c r="P303" s="52" t="str">
        <f>N303</f>
        <v>4 unit</v>
      </c>
      <c r="Q303" s="533">
        <f>1.2*O303</f>
        <v>1050000000</v>
      </c>
      <c r="R303" s="52" t="str">
        <f>P303</f>
        <v>4 unit</v>
      </c>
      <c r="S303" s="533">
        <f>1.2*Q303</f>
        <v>1260000000</v>
      </c>
      <c r="T303" s="52" t="str">
        <f>R303</f>
        <v>4 unit</v>
      </c>
      <c r="U303" s="533">
        <f>1.2*S303</f>
        <v>1512000000</v>
      </c>
      <c r="V303" s="52"/>
      <c r="W303" s="52"/>
      <c r="X303" s="52"/>
      <c r="Y303" s="165"/>
      <c r="Z303" s="165"/>
      <c r="AA303" s="165"/>
      <c r="AB303" s="165"/>
      <c r="AC303" s="165"/>
      <c r="AD303" s="165"/>
      <c r="AE303" s="165"/>
      <c r="AF303" s="165"/>
    </row>
    <row r="304" spans="1:32" ht="45">
      <c r="A304" s="165"/>
      <c r="B304" s="48"/>
      <c r="C304" s="62"/>
      <c r="D304" s="63"/>
      <c r="E304" s="63"/>
      <c r="F304" s="64"/>
      <c r="G304" s="58" t="s">
        <v>2484</v>
      </c>
      <c r="H304" s="52" t="s">
        <v>2516</v>
      </c>
      <c r="I304" s="52" t="str">
        <f>H304</f>
        <v>1 Kegiatan ( 6 UPTD)</v>
      </c>
      <c r="J304" s="52" t="str">
        <f>I304</f>
        <v>1 Kegiatan ( 6 UPTD)</v>
      </c>
      <c r="K304" s="533">
        <v>2498212500</v>
      </c>
      <c r="L304" s="52" t="str">
        <f>J304</f>
        <v>1 Kegiatan ( 6 UPTD)</v>
      </c>
      <c r="M304" s="533">
        <v>2484230000</v>
      </c>
      <c r="N304" s="52" t="str">
        <f>L304</f>
        <v>1 Kegiatan ( 6 UPTD)</v>
      </c>
      <c r="O304" s="218">
        <f>M304</f>
        <v>2484230000</v>
      </c>
      <c r="P304" s="52" t="str">
        <f>N304</f>
        <v>1 Kegiatan ( 6 UPTD)</v>
      </c>
      <c r="Q304" s="229">
        <f>1.2*O304</f>
        <v>2981076000</v>
      </c>
      <c r="R304" s="52" t="str">
        <f>P304</f>
        <v>1 Kegiatan ( 6 UPTD)</v>
      </c>
      <c r="S304" s="229">
        <f>1.2*Q304</f>
        <v>3577291200</v>
      </c>
      <c r="T304" s="52" t="str">
        <f>R304</f>
        <v>1 Kegiatan ( 6 UPTD)</v>
      </c>
      <c r="U304" s="229">
        <f>1.2*S304</f>
        <v>4292749440</v>
      </c>
      <c r="V304" s="52"/>
      <c r="W304" s="52"/>
      <c r="X304" s="52"/>
      <c r="Y304" s="165"/>
      <c r="Z304" s="165"/>
      <c r="AA304" s="165"/>
      <c r="AB304" s="165"/>
      <c r="AC304" s="165"/>
      <c r="AD304" s="165"/>
      <c r="AE304" s="165"/>
      <c r="AF304" s="165"/>
    </row>
    <row r="305" spans="1:32" s="540" customFormat="1">
      <c r="B305" s="545"/>
      <c r="C305" s="591">
        <f>'[4]matrik MISI 3.1'!P16</f>
        <v>1.03</v>
      </c>
      <c r="D305" s="592" t="str">
        <f>'[4]matrik MISI 3.1'!Q16</f>
        <v>xx</v>
      </c>
      <c r="E305" s="592">
        <f>'[4]matrik MISI 3.1'!R16</f>
        <v>22</v>
      </c>
      <c r="F305" s="548">
        <f>'[4]matrik MISI 3.1'!S16</f>
        <v>0</v>
      </c>
      <c r="G305" s="548"/>
      <c r="H305" s="550"/>
      <c r="I305" s="550"/>
      <c r="J305" s="550"/>
      <c r="K305" s="603">
        <f>SUM(K306:K307)</f>
        <v>104920000</v>
      </c>
      <c r="L305" s="603">
        <f t="shared" ref="L305:U305" si="11">SUM(L306:L307)</f>
        <v>0</v>
      </c>
      <c r="M305" s="603">
        <f t="shared" si="11"/>
        <v>41594500</v>
      </c>
      <c r="N305" s="603">
        <f t="shared" si="11"/>
        <v>0</v>
      </c>
      <c r="O305" s="603">
        <f t="shared" si="11"/>
        <v>141594500</v>
      </c>
      <c r="P305" s="603">
        <f t="shared" si="11"/>
        <v>0</v>
      </c>
      <c r="Q305" s="603">
        <f t="shared" si="11"/>
        <v>191594500</v>
      </c>
      <c r="R305" s="603">
        <f t="shared" si="11"/>
        <v>0</v>
      </c>
      <c r="S305" s="603">
        <f t="shared" si="11"/>
        <v>41594500</v>
      </c>
      <c r="T305" s="603">
        <f t="shared" si="11"/>
        <v>0</v>
      </c>
      <c r="U305" s="603">
        <f t="shared" si="11"/>
        <v>41594500</v>
      </c>
      <c r="V305" s="550"/>
      <c r="W305" s="550"/>
      <c r="X305" s="550" t="str">
        <f>'[4]matrik MISI 3.1'!AE16</f>
        <v>DPU</v>
      </c>
    </row>
    <row r="306" spans="1:32" s="165" customFormat="1" ht="60">
      <c r="B306" s="48"/>
      <c r="C306" s="56"/>
      <c r="D306" s="57"/>
      <c r="E306" s="57"/>
      <c r="F306" s="58"/>
      <c r="G306" s="58" t="s">
        <v>2520</v>
      </c>
      <c r="H306" s="52" t="s">
        <v>743</v>
      </c>
      <c r="I306" s="52" t="s">
        <v>2496</v>
      </c>
      <c r="J306" s="52" t="str">
        <f>I306</f>
        <v>1 Kegiatan</v>
      </c>
      <c r="K306" s="533">
        <v>70920000</v>
      </c>
      <c r="L306" s="52" t="s">
        <v>743</v>
      </c>
      <c r="M306" s="533" t="s">
        <v>743</v>
      </c>
      <c r="N306" s="52" t="s">
        <v>2521</v>
      </c>
      <c r="O306" s="533">
        <v>100000000</v>
      </c>
      <c r="P306" s="52" t="str">
        <f>N306</f>
        <v>1 kegiatan</v>
      </c>
      <c r="Q306" s="533">
        <v>150000000</v>
      </c>
      <c r="R306" s="52" t="s">
        <v>743</v>
      </c>
      <c r="S306" s="52" t="s">
        <v>743</v>
      </c>
      <c r="T306" s="52" t="s">
        <v>743</v>
      </c>
      <c r="U306" s="52" t="s">
        <v>743</v>
      </c>
      <c r="V306" s="52"/>
      <c r="W306" s="52"/>
      <c r="X306" s="52"/>
    </row>
    <row r="307" spans="1:32" s="165" customFormat="1" ht="60">
      <c r="B307" s="48"/>
      <c r="C307" s="56"/>
      <c r="D307" s="57"/>
      <c r="E307" s="57"/>
      <c r="F307" s="58"/>
      <c r="G307" s="58" t="s">
        <v>2588</v>
      </c>
      <c r="H307" s="52" t="s">
        <v>2496</v>
      </c>
      <c r="I307" s="52" t="str">
        <f>H307</f>
        <v>1 Kegiatan</v>
      </c>
      <c r="J307" s="52" t="str">
        <f>I307</f>
        <v>1 Kegiatan</v>
      </c>
      <c r="K307" s="533">
        <v>34000000</v>
      </c>
      <c r="L307" s="52" t="str">
        <f>J307</f>
        <v>1 Kegiatan</v>
      </c>
      <c r="M307" s="533">
        <v>41594500</v>
      </c>
      <c r="N307" s="52" t="str">
        <f t="shared" ref="N307:U307" si="12">L307</f>
        <v>1 Kegiatan</v>
      </c>
      <c r="O307" s="218">
        <f>M307</f>
        <v>41594500</v>
      </c>
      <c r="P307" s="52" t="str">
        <f t="shared" si="12"/>
        <v>1 Kegiatan</v>
      </c>
      <c r="Q307" s="218">
        <f t="shared" si="12"/>
        <v>41594500</v>
      </c>
      <c r="R307" s="52" t="str">
        <f t="shared" si="12"/>
        <v>1 Kegiatan</v>
      </c>
      <c r="S307" s="218">
        <f t="shared" si="12"/>
        <v>41594500</v>
      </c>
      <c r="T307" s="52" t="str">
        <f t="shared" si="12"/>
        <v>1 Kegiatan</v>
      </c>
      <c r="U307" s="218">
        <f t="shared" si="12"/>
        <v>41594500</v>
      </c>
      <c r="V307" s="52"/>
      <c r="W307" s="52"/>
      <c r="X307" s="52"/>
    </row>
    <row r="308" spans="1:32" s="540" customFormat="1">
      <c r="B308" s="545"/>
      <c r="C308" s="591">
        <f>'[4]matrik MISI 3.1'!P17</f>
        <v>0</v>
      </c>
      <c r="D308" s="592">
        <f>'[4]matrik MISI 3.1'!Q17</f>
        <v>0</v>
      </c>
      <c r="E308" s="592">
        <f>'[4]matrik MISI 3.1'!R17</f>
        <v>0</v>
      </c>
      <c r="F308" s="548">
        <f>'[4]matrik MISI 3.1'!S17</f>
        <v>0</v>
      </c>
      <c r="G308" s="548"/>
      <c r="H308" s="550"/>
      <c r="I308" s="550"/>
      <c r="J308" s="550"/>
      <c r="K308" s="603">
        <f>SUM(K309:K311)</f>
        <v>129313000</v>
      </c>
      <c r="L308" s="603">
        <f t="shared" ref="L308:U308" si="13">SUM(L309:L311)</f>
        <v>0</v>
      </c>
      <c r="M308" s="603">
        <f t="shared" si="13"/>
        <v>1728992000</v>
      </c>
      <c r="N308" s="603">
        <f t="shared" si="13"/>
        <v>0</v>
      </c>
      <c r="O308" s="603">
        <f t="shared" si="13"/>
        <v>1805438400</v>
      </c>
      <c r="P308" s="603">
        <f t="shared" si="13"/>
        <v>0</v>
      </c>
      <c r="Q308" s="603">
        <f t="shared" si="13"/>
        <v>186526080</v>
      </c>
      <c r="R308" s="603">
        <f t="shared" si="13"/>
        <v>0</v>
      </c>
      <c r="S308" s="603">
        <f t="shared" si="13"/>
        <v>223831296</v>
      </c>
      <c r="T308" s="603">
        <f t="shared" si="13"/>
        <v>0</v>
      </c>
      <c r="U308" s="603">
        <f t="shared" si="13"/>
        <v>268597555.19999999</v>
      </c>
      <c r="V308" s="550"/>
      <c r="W308" s="550"/>
      <c r="X308" s="550" t="str">
        <f>'[4]matrik MISI 3.1'!AE17</f>
        <v>DPU</v>
      </c>
    </row>
    <row r="309" spans="1:32" ht="45">
      <c r="A309" s="165"/>
      <c r="B309" s="48"/>
      <c r="C309" s="56"/>
      <c r="D309" s="57"/>
      <c r="E309" s="57"/>
      <c r="F309" s="58"/>
      <c r="G309" s="58" t="s">
        <v>2522</v>
      </c>
      <c r="H309" s="52" t="s">
        <v>2496</v>
      </c>
      <c r="I309" s="52" t="str">
        <f>H309</f>
        <v>1 Kegiatan</v>
      </c>
      <c r="J309" s="52" t="str">
        <f>I309</f>
        <v>1 Kegiatan</v>
      </c>
      <c r="K309" s="533">
        <v>30000000</v>
      </c>
      <c r="L309" s="52" t="str">
        <f>J309</f>
        <v>1 Kegiatan</v>
      </c>
      <c r="M309" s="533">
        <v>49619500</v>
      </c>
      <c r="N309" s="52" t="str">
        <f>L309</f>
        <v>1 Kegiatan</v>
      </c>
      <c r="O309" s="533">
        <f>1.2*M309</f>
        <v>59543400</v>
      </c>
      <c r="P309" s="52" t="str">
        <f>N309</f>
        <v>1 Kegiatan</v>
      </c>
      <c r="Q309" s="533">
        <f>1.2*O309</f>
        <v>71452080</v>
      </c>
      <c r="R309" s="52" t="str">
        <f>P309</f>
        <v>1 Kegiatan</v>
      </c>
      <c r="S309" s="533">
        <f>1.2*Q309</f>
        <v>85742496</v>
      </c>
      <c r="T309" s="52" t="str">
        <f>R309</f>
        <v>1 Kegiatan</v>
      </c>
      <c r="U309" s="533">
        <f>1.2*S309</f>
        <v>102890995.2</v>
      </c>
      <c r="V309" s="52"/>
      <c r="W309" s="52"/>
      <c r="X309" s="52"/>
      <c r="Y309" s="165"/>
      <c r="Z309" s="165"/>
      <c r="AA309" s="165"/>
      <c r="AB309" s="165"/>
      <c r="AC309" s="165"/>
      <c r="AD309" s="165"/>
      <c r="AE309" s="165"/>
      <c r="AF309" s="165"/>
    </row>
    <row r="310" spans="1:32" ht="45">
      <c r="A310" s="165"/>
      <c r="B310" s="48"/>
      <c r="C310" s="56"/>
      <c r="D310" s="57"/>
      <c r="E310" s="57"/>
      <c r="F310" s="58"/>
      <c r="G310" s="58" t="s">
        <v>2523</v>
      </c>
      <c r="H310" s="52" t="str">
        <f>H309</f>
        <v>1 Kegiatan</v>
      </c>
      <c r="I310" s="52" t="str">
        <f>I309</f>
        <v>1 Kegiatan</v>
      </c>
      <c r="J310" s="52" t="str">
        <f>I310</f>
        <v>1 Kegiatan</v>
      </c>
      <c r="K310" s="237">
        <v>99313000</v>
      </c>
      <c r="L310" s="52" t="str">
        <f>J310</f>
        <v>1 Kegiatan</v>
      </c>
      <c r="M310" s="533">
        <v>79912500</v>
      </c>
      <c r="N310" s="52" t="str">
        <f>L310</f>
        <v>1 Kegiatan</v>
      </c>
      <c r="O310" s="229">
        <f>1.2*M310</f>
        <v>95895000</v>
      </c>
      <c r="P310" s="52" t="str">
        <f>N310</f>
        <v>1 Kegiatan</v>
      </c>
      <c r="Q310" s="229">
        <f>1.2*O310</f>
        <v>115074000</v>
      </c>
      <c r="R310" s="52" t="str">
        <f>P310</f>
        <v>1 Kegiatan</v>
      </c>
      <c r="S310" s="229">
        <f>1.2*Q310</f>
        <v>138088800</v>
      </c>
      <c r="T310" s="52" t="str">
        <f>R310</f>
        <v>1 Kegiatan</v>
      </c>
      <c r="U310" s="229">
        <f>1.2*S310</f>
        <v>165706560</v>
      </c>
      <c r="V310" s="52"/>
      <c r="W310" s="52"/>
      <c r="X310" s="52"/>
      <c r="Y310" s="165"/>
      <c r="Z310" s="165"/>
      <c r="AA310" s="165"/>
      <c r="AB310" s="165"/>
      <c r="AC310" s="165"/>
      <c r="AD310" s="165"/>
      <c r="AE310" s="165"/>
      <c r="AF310" s="165"/>
    </row>
    <row r="311" spans="1:32" ht="30">
      <c r="A311" s="165"/>
      <c r="B311" s="48"/>
      <c r="C311" s="56"/>
      <c r="D311" s="57"/>
      <c r="E311" s="57"/>
      <c r="F311" s="58"/>
      <c r="G311" s="58" t="s">
        <v>2524</v>
      </c>
      <c r="H311" s="52" t="s">
        <v>743</v>
      </c>
      <c r="I311" s="52" t="s">
        <v>743</v>
      </c>
      <c r="J311" s="52" t="s">
        <v>743</v>
      </c>
      <c r="K311" s="237" t="s">
        <v>743</v>
      </c>
      <c r="L311" s="52" t="str">
        <f>L310</f>
        <v>1 Kegiatan</v>
      </c>
      <c r="M311" s="533">
        <v>1599460000</v>
      </c>
      <c r="N311" s="237" t="str">
        <f>L311</f>
        <v>1 Kegiatan</v>
      </c>
      <c r="O311" s="237">
        <v>1650000000</v>
      </c>
      <c r="P311" s="237" t="s">
        <v>743</v>
      </c>
      <c r="Q311" s="237" t="s">
        <v>743</v>
      </c>
      <c r="R311" s="237" t="s">
        <v>743</v>
      </c>
      <c r="S311" s="237" t="s">
        <v>743</v>
      </c>
      <c r="T311" s="237" t="s">
        <v>743</v>
      </c>
      <c r="U311" s="237" t="s">
        <v>743</v>
      </c>
      <c r="V311" s="52"/>
      <c r="W311" s="52"/>
      <c r="X311" s="52"/>
      <c r="Y311" s="165"/>
      <c r="Z311" s="165"/>
      <c r="AA311" s="165"/>
      <c r="AB311" s="165"/>
      <c r="AC311" s="165"/>
      <c r="AD311" s="165"/>
      <c r="AE311" s="165"/>
      <c r="AF311" s="165"/>
    </row>
    <row r="312" spans="1:32" s="540" customFormat="1" ht="90">
      <c r="B312" s="601"/>
      <c r="C312" s="591">
        <f>'[4]matrik MISI 3.1'!P23</f>
        <v>1.03</v>
      </c>
      <c r="D312" s="592" t="str">
        <f>'[4]matrik MISI 3.1'!Q23</f>
        <v>xx</v>
      </c>
      <c r="E312" s="592">
        <f>'[4]matrik MISI 3.1'!R23</f>
        <v>24</v>
      </c>
      <c r="F312" s="548" t="str">
        <f>'[4]matrik MISI 3.1'!S23</f>
        <v>Program pengembangan dan pengelolaan jaringan irigasi, rawa dan jaringan pengairan lainnya</v>
      </c>
      <c r="G312" s="548"/>
      <c r="H312" s="550"/>
      <c r="I312" s="550"/>
      <c r="J312" s="550"/>
      <c r="K312" s="603">
        <f>SUM(K313:K325)</f>
        <v>6989047900</v>
      </c>
      <c r="L312" s="603">
        <f t="shared" ref="L312:U312" si="14">SUM(L313:L325)</f>
        <v>0</v>
      </c>
      <c r="M312" s="603">
        <f t="shared" si="14"/>
        <v>10609452201</v>
      </c>
      <c r="N312" s="603">
        <f t="shared" si="14"/>
        <v>0</v>
      </c>
      <c r="O312" s="603">
        <f t="shared" si="14"/>
        <v>12566011900</v>
      </c>
      <c r="P312" s="603">
        <f t="shared" si="14"/>
        <v>0</v>
      </c>
      <c r="Q312" s="603">
        <f t="shared" si="14"/>
        <v>15281976260</v>
      </c>
      <c r="R312" s="603">
        <f t="shared" si="14"/>
        <v>0</v>
      </c>
      <c r="S312" s="603">
        <f t="shared" si="14"/>
        <v>16785519701</v>
      </c>
      <c r="T312" s="603">
        <f t="shared" si="14"/>
        <v>0</v>
      </c>
      <c r="U312" s="603">
        <f t="shared" si="14"/>
        <v>20849476876.400002</v>
      </c>
      <c r="V312" s="550"/>
      <c r="W312" s="550"/>
      <c r="X312" s="550"/>
    </row>
    <row r="313" spans="1:32" ht="45">
      <c r="A313" s="165"/>
      <c r="B313" s="48"/>
      <c r="C313" s="56"/>
      <c r="D313" s="57"/>
      <c r="E313" s="57"/>
      <c r="F313" s="58"/>
      <c r="G313" s="58" t="s">
        <v>2525</v>
      </c>
      <c r="H313" s="52" t="s">
        <v>2526</v>
      </c>
      <c r="I313" s="52" t="s">
        <v>2527</v>
      </c>
      <c r="J313" s="52" t="str">
        <f>I313</f>
        <v>4 lokasi</v>
      </c>
      <c r="K313" s="533">
        <v>619983000</v>
      </c>
      <c r="L313" s="52" t="s">
        <v>743</v>
      </c>
      <c r="M313" s="237" t="s">
        <v>743</v>
      </c>
      <c r="N313" s="52" t="s">
        <v>2527</v>
      </c>
      <c r="O313" s="229">
        <v>743979600</v>
      </c>
      <c r="P313" s="52" t="s">
        <v>2527</v>
      </c>
      <c r="Q313" s="229">
        <v>892775520</v>
      </c>
      <c r="R313" s="52" t="s">
        <v>2527</v>
      </c>
      <c r="S313" s="229">
        <v>1071330624</v>
      </c>
      <c r="T313" s="52" t="s">
        <v>2527</v>
      </c>
      <c r="U313" s="229">
        <v>1071330624</v>
      </c>
      <c r="V313" s="52"/>
      <c r="W313" s="52"/>
      <c r="X313" s="52"/>
      <c r="Y313" s="165"/>
      <c r="Z313" s="165"/>
      <c r="AA313" s="165"/>
      <c r="AB313" s="165"/>
      <c r="AC313" s="165"/>
      <c r="AD313" s="165"/>
      <c r="AE313" s="165"/>
      <c r="AF313" s="165"/>
    </row>
    <row r="314" spans="1:32" ht="30">
      <c r="A314" s="165"/>
      <c r="B314" s="48"/>
      <c r="C314" s="56"/>
      <c r="D314" s="57"/>
      <c r="E314" s="57"/>
      <c r="F314" s="58"/>
      <c r="G314" s="58" t="s">
        <v>2528</v>
      </c>
      <c r="H314" s="52" t="s">
        <v>2511</v>
      </c>
      <c r="I314" s="52" t="s">
        <v>2529</v>
      </c>
      <c r="J314" s="52" t="str">
        <f>I314</f>
        <v>12 lokasi</v>
      </c>
      <c r="K314" s="533">
        <v>2754020000</v>
      </c>
      <c r="L314" s="52" t="s">
        <v>2530</v>
      </c>
      <c r="M314" s="533">
        <v>2700000000</v>
      </c>
      <c r="N314" s="52" t="str">
        <f>L314</f>
        <v>14 Lokasi</v>
      </c>
      <c r="O314" s="218">
        <f>M314</f>
        <v>2700000000</v>
      </c>
      <c r="P314" s="52" t="str">
        <f>N314</f>
        <v>14 Lokasi</v>
      </c>
      <c r="Q314" s="533">
        <f>1.2*O314</f>
        <v>3240000000</v>
      </c>
      <c r="R314" s="52" t="str">
        <f t="shared" ref="R314:R323" si="15">P314</f>
        <v>14 Lokasi</v>
      </c>
      <c r="S314" s="533">
        <f>1.2*Q314</f>
        <v>3888000000</v>
      </c>
      <c r="T314" s="52" t="str">
        <f t="shared" ref="T314:T323" si="16">R314</f>
        <v>14 Lokasi</v>
      </c>
      <c r="U314" s="533">
        <f>1.2*S314</f>
        <v>4665600000</v>
      </c>
      <c r="V314" s="52"/>
      <c r="W314" s="52"/>
      <c r="X314" s="52"/>
      <c r="Y314" s="165"/>
      <c r="Z314" s="165"/>
      <c r="AA314" s="165"/>
      <c r="AB314" s="165"/>
      <c r="AC314" s="165"/>
      <c r="AD314" s="165"/>
      <c r="AE314" s="165"/>
      <c r="AF314" s="165"/>
    </row>
    <row r="315" spans="1:32" ht="45">
      <c r="A315" s="165"/>
      <c r="B315" s="48"/>
      <c r="C315" s="56"/>
      <c r="D315" s="57"/>
      <c r="E315" s="57"/>
      <c r="F315" s="58"/>
      <c r="G315" s="58" t="s">
        <v>2531</v>
      </c>
      <c r="H315" s="52" t="s">
        <v>2532</v>
      </c>
      <c r="I315" s="52" t="str">
        <f>H315</f>
        <v>4 Lokasi</v>
      </c>
      <c r="J315" s="52" t="str">
        <f>I315</f>
        <v>4 Lokasi</v>
      </c>
      <c r="K315" s="533">
        <v>1105270000</v>
      </c>
      <c r="L315" s="52" t="s">
        <v>2533</v>
      </c>
      <c r="M315" s="533">
        <v>1000000000</v>
      </c>
      <c r="N315" s="52" t="str">
        <f>L315</f>
        <v>7 Lokasi</v>
      </c>
      <c r="O315" s="533">
        <f>1.2*M315</f>
        <v>1200000000</v>
      </c>
      <c r="P315" s="52" t="str">
        <f t="shared" ref="P315:P323" si="17">N315</f>
        <v>7 Lokasi</v>
      </c>
      <c r="Q315" s="533">
        <f>1.2*O315</f>
        <v>1440000000</v>
      </c>
      <c r="R315" s="52" t="str">
        <f t="shared" si="15"/>
        <v>7 Lokasi</v>
      </c>
      <c r="S315" s="533">
        <f>1.2*Q315</f>
        <v>1728000000</v>
      </c>
      <c r="T315" s="52" t="str">
        <f t="shared" si="16"/>
        <v>7 Lokasi</v>
      </c>
      <c r="U315" s="533">
        <f>1.2*S315</f>
        <v>2073600000</v>
      </c>
      <c r="V315" s="52"/>
      <c r="W315" s="52"/>
      <c r="X315" s="52"/>
      <c r="Y315" s="165"/>
      <c r="Z315" s="165"/>
      <c r="AA315" s="165"/>
      <c r="AB315" s="165"/>
      <c r="AC315" s="165"/>
      <c r="AD315" s="165"/>
      <c r="AE315" s="165"/>
      <c r="AF315" s="165"/>
    </row>
    <row r="316" spans="1:32" ht="45">
      <c r="A316" s="165"/>
      <c r="B316" s="48"/>
      <c r="C316" s="56"/>
      <c r="D316" s="57"/>
      <c r="E316" s="57"/>
      <c r="F316" s="58"/>
      <c r="G316" s="58" t="s">
        <v>2534</v>
      </c>
      <c r="H316" s="52" t="s">
        <v>2496</v>
      </c>
      <c r="I316" s="52" t="str">
        <f>H316</f>
        <v>1 Kegiatan</v>
      </c>
      <c r="J316" s="52" t="str">
        <f>I316</f>
        <v>1 Kegiatan</v>
      </c>
      <c r="K316" s="237">
        <v>98769400</v>
      </c>
      <c r="L316" s="52" t="str">
        <f>J316</f>
        <v>1 Kegiatan</v>
      </c>
      <c r="M316" s="533">
        <v>199865000</v>
      </c>
      <c r="N316" s="52" t="str">
        <f>L316</f>
        <v>1 Kegiatan</v>
      </c>
      <c r="O316" s="218">
        <f>M316</f>
        <v>199865000</v>
      </c>
      <c r="P316" s="52" t="str">
        <f t="shared" si="17"/>
        <v>1 Kegiatan</v>
      </c>
      <c r="Q316" s="218">
        <f>O316*1.2</f>
        <v>239838000</v>
      </c>
      <c r="R316" s="52" t="str">
        <f t="shared" si="15"/>
        <v>1 Kegiatan</v>
      </c>
      <c r="S316" s="218">
        <f>Q316*1.2</f>
        <v>287805600</v>
      </c>
      <c r="T316" s="52" t="str">
        <f t="shared" si="16"/>
        <v>1 Kegiatan</v>
      </c>
      <c r="U316" s="218">
        <f>S316*1.2</f>
        <v>345366720</v>
      </c>
      <c r="V316" s="52"/>
      <c r="W316" s="52"/>
      <c r="X316" s="52"/>
      <c r="Y316" s="165"/>
      <c r="Z316" s="165"/>
      <c r="AA316" s="165"/>
      <c r="AB316" s="165"/>
      <c r="AC316" s="165"/>
      <c r="AD316" s="165"/>
      <c r="AE316" s="165"/>
      <c r="AF316" s="165"/>
    </row>
    <row r="317" spans="1:32" ht="30">
      <c r="A317" s="165"/>
      <c r="B317" s="48"/>
      <c r="C317" s="56"/>
      <c r="D317" s="57"/>
      <c r="E317" s="57"/>
      <c r="F317" s="58"/>
      <c r="G317" s="58" t="s">
        <v>2535</v>
      </c>
      <c r="H317" s="52" t="s">
        <v>2496</v>
      </c>
      <c r="I317" s="52" t="str">
        <f>H317</f>
        <v>1 Kegiatan</v>
      </c>
      <c r="J317" s="52" t="s">
        <v>2536</v>
      </c>
      <c r="K317" s="533">
        <v>749204300</v>
      </c>
      <c r="L317" s="52" t="s">
        <v>2537</v>
      </c>
      <c r="M317" s="533">
        <v>1998482000</v>
      </c>
      <c r="N317" s="52" t="str">
        <f>L317</f>
        <v>6 lokasi</v>
      </c>
      <c r="O317" s="218">
        <f>M317</f>
        <v>1998482000</v>
      </c>
      <c r="P317" s="52" t="str">
        <f t="shared" si="17"/>
        <v>6 lokasi</v>
      </c>
      <c r="Q317" s="230">
        <f>1.2*O317</f>
        <v>2398178400</v>
      </c>
      <c r="R317" s="52" t="str">
        <f t="shared" si="15"/>
        <v>6 lokasi</v>
      </c>
      <c r="S317" s="230">
        <f>1.2*Q317</f>
        <v>2877814080</v>
      </c>
      <c r="T317" s="52" t="str">
        <f t="shared" si="16"/>
        <v>6 lokasi</v>
      </c>
      <c r="U317" s="230">
        <f>1.2*S317</f>
        <v>3453376896</v>
      </c>
      <c r="V317" s="52"/>
      <c r="W317" s="52"/>
      <c r="X317" s="52"/>
      <c r="Y317" s="165"/>
      <c r="Z317" s="165"/>
      <c r="AA317" s="165"/>
      <c r="AB317" s="165"/>
      <c r="AC317" s="165"/>
      <c r="AD317" s="165"/>
      <c r="AE317" s="165"/>
      <c r="AF317" s="165"/>
    </row>
    <row r="318" spans="1:32" ht="45">
      <c r="A318" s="165"/>
      <c r="B318" s="48"/>
      <c r="C318" s="56"/>
      <c r="D318" s="57"/>
      <c r="E318" s="57"/>
      <c r="F318" s="58"/>
      <c r="G318" s="58" t="s">
        <v>2538</v>
      </c>
      <c r="H318" s="52" t="s">
        <v>2496</v>
      </c>
      <c r="I318" s="52" t="str">
        <f>H318</f>
        <v>1 Kegiatan</v>
      </c>
      <c r="J318" s="52" t="str">
        <f>I318</f>
        <v>1 Kegiatan</v>
      </c>
      <c r="K318" s="237">
        <v>24487900</v>
      </c>
      <c r="L318" s="52" t="str">
        <f>J318</f>
        <v>1 Kegiatan</v>
      </c>
      <c r="M318" s="533">
        <v>49035000</v>
      </c>
      <c r="N318" s="52" t="str">
        <f>L318</f>
        <v>1 Kegiatan</v>
      </c>
      <c r="O318" s="218">
        <f>M318</f>
        <v>49035000</v>
      </c>
      <c r="P318" s="52" t="str">
        <f t="shared" si="17"/>
        <v>1 Kegiatan</v>
      </c>
      <c r="Q318" s="229">
        <f>1.2*O318</f>
        <v>58842000</v>
      </c>
      <c r="R318" s="52" t="str">
        <f t="shared" si="15"/>
        <v>1 Kegiatan</v>
      </c>
      <c r="S318" s="229">
        <f>1.2*Q318</f>
        <v>70610400</v>
      </c>
      <c r="T318" s="52" t="str">
        <f t="shared" si="16"/>
        <v>1 Kegiatan</v>
      </c>
      <c r="U318" s="229">
        <f>1.2*S318</f>
        <v>84732480</v>
      </c>
      <c r="V318" s="52"/>
      <c r="W318" s="52"/>
      <c r="X318" s="52"/>
      <c r="Y318" s="165"/>
      <c r="Z318" s="165"/>
      <c r="AA318" s="165"/>
      <c r="AB318" s="165"/>
      <c r="AC318" s="165"/>
      <c r="AD318" s="165"/>
      <c r="AE318" s="165"/>
      <c r="AF318" s="165"/>
    </row>
    <row r="319" spans="1:32" ht="30">
      <c r="A319" s="165"/>
      <c r="B319" s="48"/>
      <c r="C319" s="56"/>
      <c r="D319" s="57"/>
      <c r="E319" s="57"/>
      <c r="F319" s="58"/>
      <c r="G319" s="58" t="s">
        <v>2539</v>
      </c>
      <c r="H319" s="52" t="s">
        <v>2505</v>
      </c>
      <c r="I319" s="52" t="s">
        <v>2506</v>
      </c>
      <c r="J319" s="52" t="str">
        <f>I319</f>
        <v>3 Lokasi</v>
      </c>
      <c r="K319" s="533">
        <v>609091600</v>
      </c>
      <c r="L319" s="52" t="str">
        <f>J319</f>
        <v>3 Lokasi</v>
      </c>
      <c r="M319" s="533">
        <v>600000000</v>
      </c>
      <c r="N319" s="52" t="s">
        <v>2532</v>
      </c>
      <c r="O319" s="218">
        <f>M319</f>
        <v>600000000</v>
      </c>
      <c r="P319" s="52" t="str">
        <f t="shared" si="17"/>
        <v>4 Lokasi</v>
      </c>
      <c r="Q319" s="229">
        <f>1.2*O319</f>
        <v>720000000</v>
      </c>
      <c r="R319" s="52" t="str">
        <f t="shared" si="15"/>
        <v>4 Lokasi</v>
      </c>
      <c r="S319" s="229">
        <f>1.2*Q319</f>
        <v>864000000</v>
      </c>
      <c r="T319" s="52" t="str">
        <f t="shared" si="16"/>
        <v>4 Lokasi</v>
      </c>
      <c r="U319" s="229">
        <f>1.2*S319</f>
        <v>1036800000</v>
      </c>
      <c r="V319" s="52"/>
      <c r="W319" s="52"/>
      <c r="X319" s="52"/>
      <c r="Y319" s="165"/>
      <c r="Z319" s="165"/>
      <c r="AA319" s="165"/>
      <c r="AB319" s="165"/>
      <c r="AC319" s="165"/>
      <c r="AD319" s="165"/>
      <c r="AE319" s="165"/>
      <c r="AF319" s="165"/>
    </row>
    <row r="320" spans="1:32" ht="30">
      <c r="A320" s="165"/>
      <c r="B320" s="48"/>
      <c r="C320" s="56"/>
      <c r="D320" s="57"/>
      <c r="E320" s="57"/>
      <c r="F320" s="58"/>
      <c r="G320" s="58" t="s">
        <v>2540</v>
      </c>
      <c r="H320" s="52" t="s">
        <v>2511</v>
      </c>
      <c r="I320" s="52" t="s">
        <v>2529</v>
      </c>
      <c r="J320" s="52" t="str">
        <f>I320</f>
        <v>12 lokasi</v>
      </c>
      <c r="K320" s="533">
        <v>334259500</v>
      </c>
      <c r="L320" s="52" t="s">
        <v>2541</v>
      </c>
      <c r="M320" s="533">
        <v>314905000</v>
      </c>
      <c r="N320" s="52" t="str">
        <f>N314</f>
        <v>14 Lokasi</v>
      </c>
      <c r="O320" s="229">
        <f>M320</f>
        <v>314905000</v>
      </c>
      <c r="P320" s="52" t="str">
        <f t="shared" si="17"/>
        <v>14 Lokasi</v>
      </c>
      <c r="Q320" s="229">
        <f>1.2*O320</f>
        <v>377886000</v>
      </c>
      <c r="R320" s="52" t="str">
        <f t="shared" si="15"/>
        <v>14 Lokasi</v>
      </c>
      <c r="S320" s="229">
        <f>1.2*Q320</f>
        <v>453463200</v>
      </c>
      <c r="T320" s="52" t="str">
        <f t="shared" si="16"/>
        <v>14 Lokasi</v>
      </c>
      <c r="U320" s="229">
        <f>1.2*S320</f>
        <v>544155840</v>
      </c>
      <c r="V320" s="52"/>
      <c r="W320" s="52"/>
      <c r="X320" s="52"/>
      <c r="Y320" s="165"/>
      <c r="Z320" s="165"/>
      <c r="AA320" s="165"/>
      <c r="AB320" s="165"/>
      <c r="AC320" s="165"/>
      <c r="AD320" s="165"/>
      <c r="AE320" s="165"/>
      <c r="AF320" s="165"/>
    </row>
    <row r="321" spans="1:32" ht="45">
      <c r="A321" s="165"/>
      <c r="B321" s="48"/>
      <c r="C321" s="56"/>
      <c r="D321" s="57"/>
      <c r="E321" s="57"/>
      <c r="F321" s="58"/>
      <c r="G321" s="58" t="s">
        <v>2542</v>
      </c>
      <c r="H321" s="52" t="s">
        <v>743</v>
      </c>
      <c r="I321" s="52" t="s">
        <v>743</v>
      </c>
      <c r="J321" s="52" t="s">
        <v>743</v>
      </c>
      <c r="K321" s="52" t="s">
        <v>743</v>
      </c>
      <c r="L321" s="52" t="s">
        <v>2543</v>
      </c>
      <c r="M321" s="533">
        <v>2598220000</v>
      </c>
      <c r="N321" s="52" t="s">
        <v>2543</v>
      </c>
      <c r="O321" s="533">
        <v>1198220000</v>
      </c>
      <c r="P321" s="52" t="str">
        <f t="shared" si="17"/>
        <v>9 lokasi</v>
      </c>
      <c r="Q321" s="229">
        <f>1.1*O321</f>
        <v>1318042000</v>
      </c>
      <c r="R321" s="52" t="str">
        <f t="shared" si="15"/>
        <v>9 lokasi</v>
      </c>
      <c r="S321" s="229">
        <f>1.1*Q321</f>
        <v>1449846200</v>
      </c>
      <c r="T321" s="52" t="str">
        <f t="shared" si="16"/>
        <v>9 lokasi</v>
      </c>
      <c r="U321" s="229">
        <f>1.1*S321</f>
        <v>1594830820.0000002</v>
      </c>
      <c r="V321" s="52"/>
      <c r="W321" s="52"/>
      <c r="X321" s="52"/>
      <c r="Y321" s="165"/>
      <c r="Z321" s="165"/>
      <c r="AA321" s="165"/>
      <c r="AB321" s="165"/>
      <c r="AC321" s="165"/>
      <c r="AD321" s="165"/>
      <c r="AE321" s="165"/>
      <c r="AF321" s="165"/>
    </row>
    <row r="322" spans="1:32" ht="45">
      <c r="A322" s="165"/>
      <c r="B322" s="48"/>
      <c r="C322" s="56"/>
      <c r="D322" s="57"/>
      <c r="E322" s="57"/>
      <c r="F322" s="58"/>
      <c r="G322" s="58" t="s">
        <v>2531</v>
      </c>
      <c r="H322" s="52" t="s">
        <v>2532</v>
      </c>
      <c r="I322" s="52" t="str">
        <f>H322</f>
        <v>4 Lokasi</v>
      </c>
      <c r="J322" s="52" t="str">
        <f>I322</f>
        <v>4 Lokasi</v>
      </c>
      <c r="K322" s="533">
        <v>143112200</v>
      </c>
      <c r="L322" s="52" t="s">
        <v>2533</v>
      </c>
      <c r="M322" s="533">
        <v>125695200</v>
      </c>
      <c r="N322" s="52" t="str">
        <f>L322</f>
        <v>7 Lokasi</v>
      </c>
      <c r="O322" s="218">
        <f>M322</f>
        <v>125695200</v>
      </c>
      <c r="P322" s="52" t="str">
        <f t="shared" si="17"/>
        <v>7 Lokasi</v>
      </c>
      <c r="Q322" s="229">
        <f>1.2*O322</f>
        <v>150834240</v>
      </c>
      <c r="R322" s="52" t="str">
        <f t="shared" si="15"/>
        <v>7 Lokasi</v>
      </c>
      <c r="S322" s="229">
        <f>1.2*Q322</f>
        <v>181001088</v>
      </c>
      <c r="T322" s="52" t="str">
        <f t="shared" si="16"/>
        <v>7 Lokasi</v>
      </c>
      <c r="U322" s="229">
        <f>1.2*S322</f>
        <v>217201305.59999999</v>
      </c>
      <c r="V322" s="52"/>
      <c r="W322" s="52"/>
      <c r="X322" s="52"/>
      <c r="Y322" s="165"/>
      <c r="Z322" s="165"/>
      <c r="AA322" s="165"/>
      <c r="AB322" s="165"/>
      <c r="AC322" s="165"/>
      <c r="AD322" s="165"/>
      <c r="AE322" s="165"/>
      <c r="AF322" s="165"/>
    </row>
    <row r="323" spans="1:32" ht="30">
      <c r="A323" s="165"/>
      <c r="B323" s="48"/>
      <c r="C323" s="48"/>
      <c r="D323" s="49"/>
      <c r="E323" s="49"/>
      <c r="F323" s="50"/>
      <c r="G323" s="58" t="s">
        <v>2528</v>
      </c>
      <c r="H323" s="52" t="s">
        <v>2544</v>
      </c>
      <c r="I323" s="52" t="s">
        <v>2506</v>
      </c>
      <c r="J323" s="52" t="s">
        <v>2506</v>
      </c>
      <c r="K323" s="533">
        <v>550850000</v>
      </c>
      <c r="L323" s="52" t="s">
        <v>2527</v>
      </c>
      <c r="M323" s="533">
        <f>450750000+572500001</f>
        <v>1023250001</v>
      </c>
      <c r="N323" s="52" t="str">
        <f>L323</f>
        <v>4 lokasi</v>
      </c>
      <c r="O323" s="741">
        <v>450750000</v>
      </c>
      <c r="P323" s="52" t="str">
        <f t="shared" si="17"/>
        <v>4 lokasi</v>
      </c>
      <c r="Q323" s="229">
        <v>540900000</v>
      </c>
      <c r="R323" s="52" t="str">
        <f t="shared" si="15"/>
        <v>4 lokasi</v>
      </c>
      <c r="S323" s="229">
        <f>649080000+279488409</f>
        <v>928568409</v>
      </c>
      <c r="T323" s="52" t="str">
        <f t="shared" si="16"/>
        <v>4 lokasi</v>
      </c>
      <c r="U323" s="229">
        <f>1.2*S323</f>
        <v>1114282090.8</v>
      </c>
      <c r="V323" s="52"/>
      <c r="W323" s="52"/>
      <c r="X323" s="52"/>
      <c r="Y323" s="165"/>
      <c r="Z323" s="165"/>
      <c r="AA323" s="165"/>
      <c r="AB323" s="165"/>
      <c r="AC323" s="165"/>
      <c r="AD323" s="165"/>
      <c r="AE323" s="165"/>
      <c r="AF323" s="165"/>
    </row>
    <row r="324" spans="1:32" ht="60">
      <c r="A324" s="165"/>
      <c r="B324" s="48"/>
      <c r="C324" s="56"/>
      <c r="D324" s="57"/>
      <c r="E324" s="57"/>
      <c r="F324" s="58"/>
      <c r="G324" s="58" t="s">
        <v>2545</v>
      </c>
      <c r="H324" s="52" t="s">
        <v>2546</v>
      </c>
      <c r="I324" s="52" t="s">
        <v>743</v>
      </c>
      <c r="J324" s="52" t="s">
        <v>743</v>
      </c>
      <c r="K324" s="237" t="s">
        <v>743</v>
      </c>
      <c r="L324" s="237" t="s">
        <v>743</v>
      </c>
      <c r="M324" s="237" t="s">
        <v>743</v>
      </c>
      <c r="N324" s="52" t="s">
        <v>2547</v>
      </c>
      <c r="O324" s="218">
        <v>2798000000</v>
      </c>
      <c r="P324" s="52" t="s">
        <v>2547</v>
      </c>
      <c r="Q324" s="229">
        <v>3717600000</v>
      </c>
      <c r="R324" s="52" t="s">
        <v>2547</v>
      </c>
      <c r="S324" s="218">
        <v>2798000000</v>
      </c>
      <c r="T324" s="52" t="s">
        <v>2547</v>
      </c>
      <c r="U324" s="229">
        <v>4461120000</v>
      </c>
      <c r="V324" s="52"/>
      <c r="W324" s="52"/>
      <c r="X324" s="52"/>
      <c r="Y324" s="165"/>
      <c r="Z324" s="165"/>
      <c r="AA324" s="165"/>
      <c r="AB324" s="165"/>
      <c r="AC324" s="165"/>
      <c r="AD324" s="165"/>
      <c r="AE324" s="165"/>
      <c r="AF324" s="165"/>
    </row>
    <row r="325" spans="1:32" ht="45">
      <c r="A325" s="165"/>
      <c r="B325" s="48"/>
      <c r="C325" s="56"/>
      <c r="D325" s="57"/>
      <c r="E325" s="57"/>
      <c r="F325" s="58"/>
      <c r="G325" s="58" t="s">
        <v>2548</v>
      </c>
      <c r="H325" s="52" t="s">
        <v>2504</v>
      </c>
      <c r="I325" s="52" t="s">
        <v>743</v>
      </c>
      <c r="J325" s="52" t="s">
        <v>743</v>
      </c>
      <c r="K325" s="237" t="s">
        <v>743</v>
      </c>
      <c r="L325" s="237" t="s">
        <v>743</v>
      </c>
      <c r="M325" s="237" t="s">
        <v>743</v>
      </c>
      <c r="N325" s="52" t="s">
        <v>2504</v>
      </c>
      <c r="O325" s="218">
        <v>187080100</v>
      </c>
      <c r="P325" s="52" t="s">
        <v>2504</v>
      </c>
      <c r="Q325" s="218">
        <v>187080100</v>
      </c>
      <c r="R325" s="52" t="s">
        <v>2504</v>
      </c>
      <c r="S325" s="218">
        <v>187080100</v>
      </c>
      <c r="T325" s="52" t="s">
        <v>2504</v>
      </c>
      <c r="U325" s="218">
        <v>187080100</v>
      </c>
      <c r="V325" s="52"/>
      <c r="W325" s="52"/>
      <c r="X325" s="52"/>
      <c r="Y325" s="165"/>
      <c r="Z325" s="165"/>
      <c r="AA325" s="165"/>
      <c r="AB325" s="165"/>
      <c r="AC325" s="165"/>
      <c r="AD325" s="165"/>
      <c r="AE325" s="165"/>
      <c r="AF325" s="165"/>
    </row>
    <row r="326" spans="1:32" s="540" customFormat="1" ht="90">
      <c r="B326" s="545"/>
      <c r="C326" s="591">
        <f>'[4]matrik MISI 3.1'!P22</f>
        <v>1.03</v>
      </c>
      <c r="D326" s="592" t="str">
        <f>'[4]matrik MISI 3.1'!Q22</f>
        <v>xx</v>
      </c>
      <c r="E326" s="592">
        <f>'[4]matrik MISI 3.1'!R22</f>
        <v>26</v>
      </c>
      <c r="F326" s="548" t="str">
        <f>'[4]matrik MISI 3.1'!S22</f>
        <v>Program pengembangan, pengelolaan dan konversi sungai, danau dan sumber daya air lainnya</v>
      </c>
      <c r="G326" s="548"/>
      <c r="H326" s="550"/>
      <c r="I326" s="550"/>
      <c r="J326" s="550"/>
      <c r="K326" s="555">
        <f>SUM(K327)</f>
        <v>0</v>
      </c>
      <c r="L326" s="555">
        <f t="shared" ref="L326:U326" si="18">SUM(L327)</f>
        <v>0</v>
      </c>
      <c r="M326" s="555">
        <f t="shared" si="18"/>
        <v>49515000</v>
      </c>
      <c r="N326" s="555">
        <f t="shared" si="18"/>
        <v>0</v>
      </c>
      <c r="O326" s="555">
        <f t="shared" si="18"/>
        <v>49515000</v>
      </c>
      <c r="P326" s="555">
        <f t="shared" si="18"/>
        <v>0</v>
      </c>
      <c r="Q326" s="555">
        <f t="shared" si="18"/>
        <v>59418000</v>
      </c>
      <c r="R326" s="555">
        <f t="shared" si="18"/>
        <v>0</v>
      </c>
      <c r="S326" s="555">
        <f t="shared" si="18"/>
        <v>71301600</v>
      </c>
      <c r="T326" s="555">
        <f t="shared" si="18"/>
        <v>0</v>
      </c>
      <c r="U326" s="555">
        <f t="shared" si="18"/>
        <v>85561920</v>
      </c>
      <c r="V326" s="550"/>
      <c r="W326" s="550"/>
      <c r="X326" s="550"/>
    </row>
    <row r="327" spans="1:32" ht="45">
      <c r="A327" s="165"/>
      <c r="B327" s="48"/>
      <c r="C327" s="56"/>
      <c r="D327" s="57"/>
      <c r="E327" s="57"/>
      <c r="F327" s="58"/>
      <c r="G327" s="58" t="s">
        <v>2549</v>
      </c>
      <c r="H327" s="52" t="s">
        <v>743</v>
      </c>
      <c r="I327" s="52" t="s">
        <v>743</v>
      </c>
      <c r="J327" s="52" t="s">
        <v>743</v>
      </c>
      <c r="K327" s="237" t="s">
        <v>743</v>
      </c>
      <c r="L327" s="52" t="s">
        <v>2496</v>
      </c>
      <c r="M327" s="533">
        <v>49515000</v>
      </c>
      <c r="N327" s="52" t="str">
        <f>L327</f>
        <v>1 Kegiatan</v>
      </c>
      <c r="O327" s="218">
        <f>M327</f>
        <v>49515000</v>
      </c>
      <c r="P327" s="52" t="str">
        <f>N327</f>
        <v>1 Kegiatan</v>
      </c>
      <c r="Q327" s="533">
        <f>1.2*O327</f>
        <v>59418000</v>
      </c>
      <c r="R327" s="52" t="str">
        <f>P327</f>
        <v>1 Kegiatan</v>
      </c>
      <c r="S327" s="533">
        <f>1.2*Q327</f>
        <v>71301600</v>
      </c>
      <c r="T327" s="52" t="str">
        <f>R327</f>
        <v>1 Kegiatan</v>
      </c>
      <c r="U327" s="533">
        <f>1.2*S327</f>
        <v>85561920</v>
      </c>
      <c r="V327" s="52"/>
      <c r="W327" s="52"/>
      <c r="X327" s="52"/>
      <c r="Y327" s="165"/>
      <c r="Z327" s="165"/>
      <c r="AA327" s="165"/>
      <c r="AB327" s="165"/>
      <c r="AC327" s="165"/>
      <c r="AD327" s="165"/>
      <c r="AE327" s="165"/>
      <c r="AF327" s="165"/>
    </row>
    <row r="328" spans="1:32" s="540" customFormat="1" ht="30">
      <c r="B328" s="601"/>
      <c r="C328" s="591">
        <f>'[4]matrik MISI 3.1'!P49</f>
        <v>1.03</v>
      </c>
      <c r="D328" s="592" t="str">
        <f>'[4]matrik MISI 3.1'!Q49</f>
        <v>xx</v>
      </c>
      <c r="E328" s="592">
        <f>'[4]matrik MISI 3.1'!R49</f>
        <v>31</v>
      </c>
      <c r="F328" s="548" t="str">
        <f>'[4]matrik MISI 3.1'!S49</f>
        <v>Pengembangan Prasarana Perkotaan</v>
      </c>
      <c r="G328" s="548"/>
      <c r="H328" s="550"/>
      <c r="I328" s="550"/>
      <c r="J328" s="550"/>
      <c r="K328" s="555">
        <f>SUM(K329:K344)-SUM(K340:K341)</f>
        <v>5126836400</v>
      </c>
      <c r="L328" s="555">
        <f t="shared" ref="L328:S328" si="19">SUM(L329:L344)-SUM(L340:L341)</f>
        <v>0</v>
      </c>
      <c r="M328" s="555">
        <f>SUM(M329:M344)-SUM(M340:M341)</f>
        <v>5457723500</v>
      </c>
      <c r="N328" s="555">
        <f t="shared" si="19"/>
        <v>0</v>
      </c>
      <c r="O328" s="555">
        <f t="shared" si="19"/>
        <v>3440855000</v>
      </c>
      <c r="P328" s="555">
        <f t="shared" si="19"/>
        <v>0</v>
      </c>
      <c r="Q328" s="555">
        <f t="shared" si="19"/>
        <v>5698526000</v>
      </c>
      <c r="R328" s="555">
        <f t="shared" si="19"/>
        <v>0</v>
      </c>
      <c r="S328" s="555">
        <f t="shared" si="19"/>
        <v>6177731200</v>
      </c>
      <c r="T328" s="555">
        <f t="shared" ref="T328:U328" si="20">SUM(T329:T344)</f>
        <v>0</v>
      </c>
      <c r="U328" s="555">
        <f t="shared" si="20"/>
        <v>6242777440</v>
      </c>
      <c r="V328" s="550"/>
      <c r="W328" s="550"/>
      <c r="X328" s="550" t="str">
        <f>'[4]matrik MISI 3.1'!AE49</f>
        <v>DPU</v>
      </c>
    </row>
    <row r="329" spans="1:32" ht="45">
      <c r="A329" s="165"/>
      <c r="B329" s="48"/>
      <c r="C329" s="62"/>
      <c r="D329" s="63"/>
      <c r="E329" s="63"/>
      <c r="F329" s="64"/>
      <c r="G329" s="55" t="s">
        <v>4640</v>
      </c>
      <c r="H329" s="52" t="s">
        <v>743</v>
      </c>
      <c r="I329" s="52" t="s">
        <v>743</v>
      </c>
      <c r="J329" s="52" t="s">
        <v>743</v>
      </c>
      <c r="K329" s="533">
        <v>1785434500</v>
      </c>
      <c r="L329" s="52" t="s">
        <v>2551</v>
      </c>
      <c r="M329" s="231">
        <v>1850000000</v>
      </c>
      <c r="N329" s="168"/>
      <c r="P329" s="168" t="s">
        <v>2551</v>
      </c>
      <c r="Q329" s="231">
        <v>1900000000</v>
      </c>
      <c r="R329" s="52" t="s">
        <v>743</v>
      </c>
      <c r="S329" s="231">
        <v>1950000000</v>
      </c>
      <c r="T329" s="52" t="s">
        <v>743</v>
      </c>
      <c r="U329" s="52" t="s">
        <v>743</v>
      </c>
      <c r="V329" s="52"/>
      <c r="W329" s="52"/>
      <c r="X329" s="52"/>
      <c r="Y329" s="165"/>
      <c r="Z329" s="165"/>
      <c r="AA329" s="165"/>
      <c r="AB329" s="165"/>
      <c r="AC329" s="165"/>
      <c r="AD329" s="165"/>
      <c r="AE329" s="165"/>
      <c r="AF329" s="165"/>
    </row>
    <row r="330" spans="1:32" ht="45">
      <c r="A330" s="165"/>
      <c r="B330" s="48"/>
      <c r="C330" s="62"/>
      <c r="D330" s="63"/>
      <c r="E330" s="63"/>
      <c r="F330" s="64"/>
      <c r="G330" s="58" t="s">
        <v>2552</v>
      </c>
      <c r="H330" s="52" t="s">
        <v>743</v>
      </c>
      <c r="I330" s="52" t="s">
        <v>743</v>
      </c>
      <c r="J330" s="52" t="s">
        <v>743</v>
      </c>
      <c r="K330" s="237" t="s">
        <v>743</v>
      </c>
      <c r="L330" s="52" t="s">
        <v>2551</v>
      </c>
      <c r="M330" s="533">
        <v>299711000</v>
      </c>
      <c r="N330" s="52" t="s">
        <v>743</v>
      </c>
      <c r="O330" s="52" t="s">
        <v>743</v>
      </c>
      <c r="P330" s="52" t="s">
        <v>743</v>
      </c>
      <c r="Q330" s="52" t="s">
        <v>743</v>
      </c>
      <c r="R330" s="52" t="s">
        <v>743</v>
      </c>
      <c r="S330" s="52" t="s">
        <v>743</v>
      </c>
      <c r="T330" s="52" t="s">
        <v>743</v>
      </c>
      <c r="U330" s="52" t="s">
        <v>743</v>
      </c>
      <c r="V330" s="52"/>
      <c r="W330" s="52"/>
      <c r="X330" s="52"/>
      <c r="Y330" s="165"/>
      <c r="Z330" s="165"/>
      <c r="AA330" s="165"/>
      <c r="AB330" s="165"/>
      <c r="AC330" s="165"/>
      <c r="AD330" s="165"/>
      <c r="AE330" s="165"/>
      <c r="AF330" s="165"/>
    </row>
    <row r="331" spans="1:32" ht="45">
      <c r="A331" s="165"/>
      <c r="B331" s="48"/>
      <c r="C331" s="62"/>
      <c r="D331" s="63"/>
      <c r="E331" s="63"/>
      <c r="F331" s="64"/>
      <c r="G331" s="58" t="s">
        <v>2553</v>
      </c>
      <c r="H331" s="52" t="s">
        <v>743</v>
      </c>
      <c r="I331" s="52" t="s">
        <v>743</v>
      </c>
      <c r="J331" s="52" t="s">
        <v>743</v>
      </c>
      <c r="K331" s="237" t="s">
        <v>743</v>
      </c>
      <c r="L331" s="52" t="s">
        <v>2551</v>
      </c>
      <c r="M331" s="533">
        <v>399700000</v>
      </c>
      <c r="N331" s="52" t="s">
        <v>743</v>
      </c>
      <c r="O331" s="52" t="s">
        <v>743</v>
      </c>
      <c r="P331" s="52" t="s">
        <v>743</v>
      </c>
      <c r="Q331" s="52" t="s">
        <v>743</v>
      </c>
      <c r="R331" s="52" t="s">
        <v>743</v>
      </c>
      <c r="S331" s="52" t="s">
        <v>743</v>
      </c>
      <c r="T331" s="52" t="s">
        <v>743</v>
      </c>
      <c r="U331" s="52" t="s">
        <v>743</v>
      </c>
      <c r="V331" s="52"/>
      <c r="W331" s="52"/>
      <c r="X331" s="52"/>
      <c r="Y331" s="165"/>
      <c r="Z331" s="165"/>
      <c r="AA331" s="165"/>
      <c r="AB331" s="165"/>
      <c r="AC331" s="165"/>
      <c r="AD331" s="165"/>
      <c r="AE331" s="165"/>
      <c r="AF331" s="165"/>
    </row>
    <row r="332" spans="1:32" ht="45">
      <c r="A332" s="165"/>
      <c r="B332" s="48"/>
      <c r="C332" s="62"/>
      <c r="D332" s="63"/>
      <c r="E332" s="63"/>
      <c r="F332" s="64"/>
      <c r="G332" s="58" t="s">
        <v>2554</v>
      </c>
      <c r="H332" s="52" t="s">
        <v>2555</v>
      </c>
      <c r="I332" s="52" t="s">
        <v>2556</v>
      </c>
      <c r="J332" s="52" t="s">
        <v>2557</v>
      </c>
      <c r="K332" s="533">
        <v>141515400</v>
      </c>
      <c r="L332" s="52" t="s">
        <v>2558</v>
      </c>
      <c r="M332" s="533">
        <v>91442500</v>
      </c>
      <c r="N332" s="52" t="s">
        <v>2558</v>
      </c>
      <c r="O332" s="533">
        <v>100000000</v>
      </c>
      <c r="P332" s="52" t="s">
        <v>2558</v>
      </c>
      <c r="Q332" s="533">
        <v>100000000</v>
      </c>
      <c r="R332" s="52" t="s">
        <v>2558</v>
      </c>
      <c r="S332" s="533">
        <v>100000000</v>
      </c>
      <c r="T332" s="52" t="s">
        <v>2558</v>
      </c>
      <c r="U332" s="533">
        <v>100000000</v>
      </c>
      <c r="V332" s="52"/>
      <c r="W332" s="52"/>
      <c r="X332" s="52"/>
      <c r="Y332" s="165"/>
      <c r="Z332" s="165"/>
      <c r="AA332" s="165"/>
      <c r="AB332" s="165"/>
      <c r="AC332" s="165"/>
      <c r="AD332" s="165"/>
      <c r="AE332" s="165"/>
      <c r="AF332" s="165"/>
    </row>
    <row r="333" spans="1:32" ht="45">
      <c r="A333" s="165"/>
      <c r="B333" s="48"/>
      <c r="C333" s="62"/>
      <c r="D333" s="63"/>
      <c r="E333" s="63"/>
      <c r="F333" s="64"/>
      <c r="G333" s="58" t="s">
        <v>2559</v>
      </c>
      <c r="H333" s="52" t="s">
        <v>2560</v>
      </c>
      <c r="I333" s="52" t="s">
        <v>2561</v>
      </c>
      <c r="J333" s="52" t="str">
        <f>I333</f>
        <v>418 Desa</v>
      </c>
      <c r="K333" s="533">
        <v>73891500</v>
      </c>
      <c r="L333" s="52" t="s">
        <v>2562</v>
      </c>
      <c r="M333" s="533">
        <v>164245000</v>
      </c>
      <c r="N333" s="52" t="str">
        <f t="shared" ref="N333:P336" si="21">L333</f>
        <v>405 Desa</v>
      </c>
      <c r="O333" s="218">
        <f t="shared" si="21"/>
        <v>164245000</v>
      </c>
      <c r="P333" s="52" t="str">
        <f t="shared" si="21"/>
        <v>405 Desa</v>
      </c>
      <c r="Q333" s="533">
        <f>1.2*O333</f>
        <v>197094000</v>
      </c>
      <c r="R333" s="52" t="str">
        <f>P333</f>
        <v>405 Desa</v>
      </c>
      <c r="S333" s="533">
        <f>1.2*Q333</f>
        <v>236512800</v>
      </c>
      <c r="T333" s="52" t="str">
        <f>R333</f>
        <v>405 Desa</v>
      </c>
      <c r="U333" s="533">
        <f>1.2*S333</f>
        <v>283815360</v>
      </c>
      <c r="V333" s="52"/>
      <c r="W333" s="52"/>
      <c r="X333" s="52"/>
      <c r="Y333" s="165"/>
      <c r="Z333" s="165"/>
      <c r="AA333" s="165"/>
      <c r="AB333" s="165"/>
      <c r="AC333" s="165"/>
      <c r="AD333" s="165"/>
      <c r="AE333" s="165"/>
      <c r="AF333" s="165"/>
    </row>
    <row r="334" spans="1:32" ht="60">
      <c r="A334" s="165"/>
      <c r="B334" s="48"/>
      <c r="C334" s="62"/>
      <c r="D334" s="63"/>
      <c r="E334" s="63"/>
      <c r="F334" s="64"/>
      <c r="G334" s="58" t="s">
        <v>2563</v>
      </c>
      <c r="H334" s="52" t="s">
        <v>2496</v>
      </c>
      <c r="I334" s="52" t="str">
        <f>H334</f>
        <v>1 Kegiatan</v>
      </c>
      <c r="J334" s="52" t="str">
        <f>I334</f>
        <v>1 Kegiatan</v>
      </c>
      <c r="K334" s="533">
        <v>899250000</v>
      </c>
      <c r="L334" s="52" t="s">
        <v>2564</v>
      </c>
      <c r="M334" s="533">
        <v>595180000</v>
      </c>
      <c r="N334" s="52" t="str">
        <f t="shared" si="21"/>
        <v>3 kegitan (10 lokasi)</v>
      </c>
      <c r="O334" s="218">
        <f t="shared" si="21"/>
        <v>595180000</v>
      </c>
      <c r="P334" s="52" t="str">
        <f t="shared" si="21"/>
        <v>3 kegitan (10 lokasi)</v>
      </c>
      <c r="Q334" s="533">
        <f>1.2*O334</f>
        <v>714216000</v>
      </c>
      <c r="R334" s="52" t="str">
        <f>P334</f>
        <v>3 kegitan (10 lokasi)</v>
      </c>
      <c r="S334" s="533">
        <f>1.2*Q334</f>
        <v>857059200</v>
      </c>
      <c r="T334" s="52" t="str">
        <f>R334</f>
        <v>3 kegitan (10 lokasi)</v>
      </c>
      <c r="U334" s="533">
        <f>1.2*S334</f>
        <v>1028471040</v>
      </c>
      <c r="V334" s="52"/>
      <c r="W334" s="52"/>
      <c r="X334" s="52"/>
      <c r="Y334" s="165"/>
      <c r="Z334" s="165"/>
      <c r="AA334" s="165"/>
      <c r="AB334" s="165"/>
      <c r="AC334" s="165"/>
      <c r="AD334" s="165"/>
      <c r="AE334" s="165"/>
      <c r="AF334" s="165"/>
    </row>
    <row r="335" spans="1:32" ht="30">
      <c r="A335" s="165"/>
      <c r="B335" s="48"/>
      <c r="C335" s="62"/>
      <c r="D335" s="63"/>
      <c r="E335" s="63"/>
      <c r="F335" s="64"/>
      <c r="G335" s="58" t="s">
        <v>2565</v>
      </c>
      <c r="H335" s="52" t="s">
        <v>2496</v>
      </c>
      <c r="I335" s="52" t="str">
        <f>H335</f>
        <v>1 Kegiatan</v>
      </c>
      <c r="J335" s="52" t="str">
        <f>I335</f>
        <v>1 Kegiatan</v>
      </c>
      <c r="K335" s="533">
        <v>1000000000</v>
      </c>
      <c r="L335" s="52" t="str">
        <f>J335</f>
        <v>1 Kegiatan</v>
      </c>
      <c r="M335" s="533">
        <v>998930000</v>
      </c>
      <c r="N335" s="52" t="str">
        <f t="shared" si="21"/>
        <v>1 Kegiatan</v>
      </c>
      <c r="O335" s="218">
        <f t="shared" si="21"/>
        <v>998930000</v>
      </c>
      <c r="P335" s="52" t="str">
        <f t="shared" si="21"/>
        <v>1 Kegiatan</v>
      </c>
      <c r="Q335" s="533">
        <f>1.2*O335</f>
        <v>1198716000</v>
      </c>
      <c r="R335" s="52" t="str">
        <f>P335</f>
        <v>1 Kegiatan</v>
      </c>
      <c r="S335" s="533">
        <f>1.2*Q335</f>
        <v>1438459200</v>
      </c>
      <c r="T335" s="52" t="str">
        <f>R335</f>
        <v>1 Kegiatan</v>
      </c>
      <c r="U335" s="533">
        <f>1.2*S335</f>
        <v>1726151040</v>
      </c>
      <c r="V335" s="52"/>
      <c r="W335" s="52"/>
      <c r="X335" s="52"/>
      <c r="Y335" s="165"/>
      <c r="Z335" s="165"/>
      <c r="AA335" s="165"/>
      <c r="AB335" s="165"/>
      <c r="AC335" s="165"/>
      <c r="AD335" s="165"/>
      <c r="AE335" s="165"/>
      <c r="AF335" s="165"/>
    </row>
    <row r="336" spans="1:32">
      <c r="A336" s="165"/>
      <c r="B336" s="48"/>
      <c r="C336" s="62"/>
      <c r="D336" s="63"/>
      <c r="E336" s="63"/>
      <c r="F336" s="64"/>
      <c r="G336" s="58" t="s">
        <v>2566</v>
      </c>
      <c r="H336" s="52" t="s">
        <v>2496</v>
      </c>
      <c r="I336" s="52" t="str">
        <f>H336</f>
        <v>1 Kegiatan</v>
      </c>
      <c r="J336" s="52" t="str">
        <f>I336</f>
        <v>1 Kegiatan</v>
      </c>
      <c r="K336" s="533">
        <v>30000000</v>
      </c>
      <c r="L336" s="52" t="str">
        <f>J336</f>
        <v>1 Kegiatan</v>
      </c>
      <c r="M336" s="533">
        <f>K336</f>
        <v>30000000</v>
      </c>
      <c r="N336" s="52" t="str">
        <f t="shared" si="21"/>
        <v>1 Kegiatan</v>
      </c>
      <c r="O336" s="218">
        <f t="shared" si="21"/>
        <v>30000000</v>
      </c>
      <c r="P336" s="52" t="str">
        <f t="shared" si="21"/>
        <v>1 Kegiatan</v>
      </c>
      <c r="Q336" s="533">
        <f>O336*1.2</f>
        <v>36000000</v>
      </c>
      <c r="R336" s="52" t="str">
        <f>P336</f>
        <v>1 Kegiatan</v>
      </c>
      <c r="S336" s="533">
        <f>1.2*Q336</f>
        <v>43200000</v>
      </c>
      <c r="T336" s="52" t="str">
        <f>R336</f>
        <v>1 Kegiatan</v>
      </c>
      <c r="U336" s="533">
        <f>1.2*S336</f>
        <v>51840000</v>
      </c>
      <c r="V336" s="52"/>
      <c r="W336" s="52"/>
      <c r="X336" s="52"/>
      <c r="Y336" s="165"/>
      <c r="Z336" s="165"/>
      <c r="AA336" s="165"/>
      <c r="AB336" s="165"/>
      <c r="AC336" s="165"/>
      <c r="AD336" s="165"/>
      <c r="AE336" s="165"/>
      <c r="AF336" s="165"/>
    </row>
    <row r="337" spans="1:32" ht="75">
      <c r="A337" s="165"/>
      <c r="B337" s="48"/>
      <c r="C337" s="62"/>
      <c r="D337" s="63"/>
      <c r="E337" s="63"/>
      <c r="F337" s="64"/>
      <c r="G337" s="58" t="s">
        <v>2567</v>
      </c>
      <c r="H337" s="52" t="s">
        <v>2568</v>
      </c>
      <c r="I337" s="52" t="s">
        <v>743</v>
      </c>
      <c r="J337" s="52" t="s">
        <v>743</v>
      </c>
      <c r="K337" s="533" t="s">
        <v>743</v>
      </c>
      <c r="L337" s="52" t="s">
        <v>743</v>
      </c>
      <c r="M337" s="533" t="s">
        <v>743</v>
      </c>
      <c r="N337" s="533" t="s">
        <v>2568</v>
      </c>
      <c r="O337" s="533">
        <v>350000000</v>
      </c>
      <c r="P337" s="533" t="s">
        <v>2568</v>
      </c>
      <c r="Q337" s="533">
        <v>350000000</v>
      </c>
      <c r="R337" s="533" t="s">
        <v>2568</v>
      </c>
      <c r="S337" s="533">
        <v>350000000</v>
      </c>
      <c r="T337" s="533" t="s">
        <v>2568</v>
      </c>
      <c r="U337" s="533">
        <v>350000000</v>
      </c>
      <c r="V337" s="52"/>
      <c r="W337" s="52"/>
      <c r="X337" s="52"/>
      <c r="Y337" s="165"/>
      <c r="Z337" s="165"/>
      <c r="AA337" s="165"/>
      <c r="AB337" s="165"/>
      <c r="AC337" s="165"/>
      <c r="AD337" s="165"/>
      <c r="AE337" s="165"/>
      <c r="AF337" s="165"/>
    </row>
    <row r="338" spans="1:32" ht="30">
      <c r="A338" s="165"/>
      <c r="B338" s="48"/>
      <c r="C338" s="62"/>
      <c r="D338" s="63"/>
      <c r="E338" s="63"/>
      <c r="F338" s="64"/>
      <c r="G338" s="58" t="s">
        <v>2569</v>
      </c>
      <c r="H338" s="52" t="s">
        <v>743</v>
      </c>
      <c r="I338" s="52" t="s">
        <v>743</v>
      </c>
      <c r="J338" s="52" t="s">
        <v>743</v>
      </c>
      <c r="K338" s="533" t="s">
        <v>743</v>
      </c>
      <c r="L338" s="52" t="s">
        <v>2496</v>
      </c>
      <c r="M338" s="533">
        <v>30000000</v>
      </c>
      <c r="N338" s="52" t="s">
        <v>743</v>
      </c>
      <c r="O338" s="52" t="s">
        <v>743</v>
      </c>
      <c r="P338" s="52" t="s">
        <v>743</v>
      </c>
      <c r="Q338" s="52" t="s">
        <v>743</v>
      </c>
      <c r="R338" s="52" t="s">
        <v>743</v>
      </c>
      <c r="S338" s="52" t="s">
        <v>743</v>
      </c>
      <c r="T338" s="52" t="s">
        <v>743</v>
      </c>
      <c r="U338" s="52" t="s">
        <v>743</v>
      </c>
      <c r="V338" s="52"/>
      <c r="W338" s="52"/>
      <c r="X338" s="52"/>
      <c r="Y338" s="165"/>
      <c r="Z338" s="165"/>
      <c r="AA338" s="165"/>
      <c r="AB338" s="165"/>
      <c r="AC338" s="165"/>
      <c r="AD338" s="165"/>
      <c r="AE338" s="165"/>
      <c r="AF338" s="165"/>
    </row>
    <row r="339" spans="1:32" ht="45">
      <c r="A339" s="165"/>
      <c r="B339" s="48"/>
      <c r="C339" s="62"/>
      <c r="D339" s="63"/>
      <c r="E339" s="63"/>
      <c r="F339" s="64"/>
      <c r="G339" s="58" t="s">
        <v>2570</v>
      </c>
      <c r="H339" s="52" t="s">
        <v>743</v>
      </c>
      <c r="I339" s="52" t="s">
        <v>743</v>
      </c>
      <c r="J339" s="52" t="s">
        <v>743</v>
      </c>
      <c r="K339" s="533" t="s">
        <v>743</v>
      </c>
      <c r="L339" s="52" t="str">
        <f>L338</f>
        <v>1 Kegiatan</v>
      </c>
      <c r="M339" s="533">
        <v>500000000</v>
      </c>
      <c r="N339" s="52" t="s">
        <v>743</v>
      </c>
      <c r="O339" s="52" t="s">
        <v>743</v>
      </c>
      <c r="P339" s="52" t="s">
        <v>743</v>
      </c>
      <c r="Q339" s="52" t="s">
        <v>743</v>
      </c>
      <c r="R339" s="52" t="s">
        <v>743</v>
      </c>
      <c r="S339" s="52" t="s">
        <v>743</v>
      </c>
      <c r="T339" s="52" t="s">
        <v>743</v>
      </c>
      <c r="U339" s="52" t="s">
        <v>743</v>
      </c>
      <c r="V339" s="52"/>
      <c r="W339" s="52"/>
      <c r="X339" s="52"/>
      <c r="Y339" s="165"/>
      <c r="Z339" s="165"/>
      <c r="AA339" s="165"/>
      <c r="AB339" s="165"/>
      <c r="AC339" s="165"/>
      <c r="AD339" s="165"/>
      <c r="AE339" s="165"/>
      <c r="AF339" s="165"/>
    </row>
    <row r="340" spans="1:32" ht="30">
      <c r="A340" s="165"/>
      <c r="B340" s="48"/>
      <c r="C340" s="62"/>
      <c r="D340" s="63"/>
      <c r="E340" s="63"/>
      <c r="F340" s="64"/>
      <c r="G340" s="58" t="s">
        <v>2571</v>
      </c>
      <c r="H340" s="52" t="s">
        <v>2572</v>
      </c>
      <c r="I340" s="52" t="s">
        <v>2573</v>
      </c>
      <c r="J340" s="52" t="s">
        <v>2573</v>
      </c>
      <c r="K340" s="533">
        <v>2445000000</v>
      </c>
      <c r="L340" s="52" t="s">
        <v>2574</v>
      </c>
      <c r="M340" s="533">
        <v>2149514000</v>
      </c>
      <c r="N340" s="52" t="s">
        <v>2575</v>
      </c>
      <c r="O340" s="533">
        <v>1100000000</v>
      </c>
      <c r="P340" s="52" t="s">
        <v>2575</v>
      </c>
      <c r="Q340" s="533">
        <v>1100000000</v>
      </c>
      <c r="R340" s="52" t="s">
        <v>2575</v>
      </c>
      <c r="S340" s="533">
        <v>1100000000</v>
      </c>
      <c r="T340" s="52" t="s">
        <v>2575</v>
      </c>
      <c r="U340" s="533">
        <v>1100000000</v>
      </c>
      <c r="V340" s="52"/>
      <c r="W340" s="52"/>
      <c r="X340" s="52"/>
      <c r="Y340" s="165"/>
      <c r="Z340" s="165"/>
      <c r="AA340" s="165"/>
      <c r="AB340" s="165"/>
      <c r="AC340" s="165"/>
      <c r="AD340" s="165"/>
      <c r="AE340" s="165"/>
      <c r="AF340" s="165"/>
    </row>
    <row r="341" spans="1:32" ht="45">
      <c r="A341" s="165"/>
      <c r="B341" s="48"/>
      <c r="C341" s="62"/>
      <c r="D341" s="63"/>
      <c r="E341" s="63"/>
      <c r="F341" s="64"/>
      <c r="G341" s="58" t="s">
        <v>2576</v>
      </c>
      <c r="H341" s="52" t="s">
        <v>2503</v>
      </c>
      <c r="I341" s="52" t="s">
        <v>2503</v>
      </c>
      <c r="J341" s="52" t="s">
        <v>2503</v>
      </c>
      <c r="K341" s="533">
        <v>350000000</v>
      </c>
      <c r="L341" s="52" t="s">
        <v>2503</v>
      </c>
      <c r="M341" s="533">
        <v>399230000</v>
      </c>
      <c r="N341" s="52" t="s">
        <v>2503</v>
      </c>
      <c r="O341" s="533">
        <v>400000000</v>
      </c>
      <c r="P341" s="52" t="s">
        <v>2503</v>
      </c>
      <c r="Q341" s="533">
        <v>400000000</v>
      </c>
      <c r="R341" s="52" t="s">
        <v>2503</v>
      </c>
      <c r="S341" s="533">
        <v>400000000</v>
      </c>
      <c r="T341" s="52" t="s">
        <v>2503</v>
      </c>
      <c r="U341" s="533">
        <v>400000000</v>
      </c>
      <c r="V341" s="52"/>
      <c r="W341" s="52"/>
      <c r="X341" s="52"/>
      <c r="Y341" s="165"/>
      <c r="Z341" s="165"/>
      <c r="AA341" s="165"/>
      <c r="AB341" s="165"/>
      <c r="AC341" s="165"/>
      <c r="AD341" s="165"/>
      <c r="AE341" s="165"/>
      <c r="AF341" s="165"/>
    </row>
    <row r="342" spans="1:32" ht="60">
      <c r="A342" s="165"/>
      <c r="B342" s="48"/>
      <c r="C342" s="62"/>
      <c r="D342" s="63"/>
      <c r="E342" s="63"/>
      <c r="F342" s="64"/>
      <c r="G342" s="58" t="s">
        <v>2586</v>
      </c>
      <c r="H342" s="52" t="s">
        <v>2577</v>
      </c>
      <c r="I342" s="52" t="s">
        <v>2577</v>
      </c>
      <c r="J342" s="52" t="s">
        <v>2578</v>
      </c>
      <c r="K342" s="533">
        <v>202500000</v>
      </c>
      <c r="L342" s="52" t="s">
        <v>2577</v>
      </c>
      <c r="M342" s="533">
        <v>100000000</v>
      </c>
      <c r="N342" s="52" t="s">
        <v>2577</v>
      </c>
      <c r="O342" s="533">
        <v>202500000</v>
      </c>
      <c r="P342" s="52" t="s">
        <v>2577</v>
      </c>
      <c r="Q342" s="52">
        <v>202500000</v>
      </c>
      <c r="R342" s="52" t="s">
        <v>2577</v>
      </c>
      <c r="S342" s="533">
        <v>202500000</v>
      </c>
      <c r="T342" s="52" t="s">
        <v>2577</v>
      </c>
      <c r="U342" s="533">
        <v>202500000</v>
      </c>
      <c r="V342" s="52"/>
      <c r="W342" s="52"/>
      <c r="X342" s="52"/>
      <c r="Y342" s="165"/>
      <c r="Z342" s="165"/>
      <c r="AA342" s="165"/>
      <c r="AB342" s="165"/>
      <c r="AC342" s="165"/>
      <c r="AD342" s="165"/>
      <c r="AE342" s="165"/>
      <c r="AF342" s="165"/>
    </row>
    <row r="343" spans="1:32" ht="45">
      <c r="A343" s="165"/>
      <c r="B343" s="48"/>
      <c r="C343" s="48"/>
      <c r="D343" s="49"/>
      <c r="E343" s="49"/>
      <c r="F343" s="50"/>
      <c r="G343" s="58" t="s">
        <v>2587</v>
      </c>
      <c r="H343" s="52" t="s">
        <v>2579</v>
      </c>
      <c r="I343" s="52" t="s">
        <v>2580</v>
      </c>
      <c r="J343" s="52" t="str">
        <f>I343</f>
        <v>40 Rw/ Bank Sampah</v>
      </c>
      <c r="K343" s="533">
        <v>400000000</v>
      </c>
      <c r="L343" s="52" t="s">
        <v>2581</v>
      </c>
      <c r="M343" s="533">
        <v>398515000</v>
      </c>
      <c r="N343" s="52" t="s">
        <v>2582</v>
      </c>
      <c r="O343" s="218">
        <v>400000000</v>
      </c>
      <c r="P343" s="52" t="str">
        <f t="shared" ref="P343:U343" si="22">N343</f>
        <v>40 Bank Sampah</v>
      </c>
      <c r="Q343" s="218">
        <f t="shared" si="22"/>
        <v>400000000</v>
      </c>
      <c r="R343" s="52" t="str">
        <f t="shared" si="22"/>
        <v>40 Bank Sampah</v>
      </c>
      <c r="S343" s="218">
        <f t="shared" si="22"/>
        <v>400000000</v>
      </c>
      <c r="T343" s="52" t="str">
        <f t="shared" si="22"/>
        <v>40 Bank Sampah</v>
      </c>
      <c r="U343" s="218">
        <f t="shared" si="22"/>
        <v>400000000</v>
      </c>
      <c r="V343" s="52"/>
      <c r="W343" s="52"/>
      <c r="X343" s="52" t="e">
        <f>'[4]matrik MISI 3.1'!#REF!</f>
        <v>#REF!</v>
      </c>
      <c r="Y343" s="165"/>
      <c r="Z343" s="165"/>
      <c r="AA343" s="165"/>
      <c r="AB343" s="165"/>
      <c r="AC343" s="165"/>
      <c r="AD343" s="165"/>
      <c r="AE343" s="165"/>
      <c r="AF343" s="165"/>
    </row>
    <row r="344" spans="1:32" ht="120">
      <c r="A344" s="165"/>
      <c r="B344" s="48"/>
      <c r="C344" s="62"/>
      <c r="D344" s="63"/>
      <c r="E344" s="63"/>
      <c r="F344" s="64"/>
      <c r="G344" s="58"/>
      <c r="H344" s="52"/>
      <c r="I344" s="52"/>
      <c r="J344" s="52" t="s">
        <v>2583</v>
      </c>
      <c r="K344" s="533">
        <v>594245000</v>
      </c>
      <c r="L344" s="52"/>
      <c r="M344" s="533"/>
      <c r="N344" s="52" t="s">
        <v>2584</v>
      </c>
      <c r="O344" s="527">
        <v>600000000</v>
      </c>
      <c r="P344" s="52" t="s">
        <v>2585</v>
      </c>
      <c r="Q344" s="527">
        <v>600000000</v>
      </c>
      <c r="R344" s="52" t="str">
        <f>+P344</f>
        <v>70 Lingkungan</v>
      </c>
      <c r="S344" s="527">
        <v>600000000</v>
      </c>
      <c r="T344" s="52" t="str">
        <f>+R344</f>
        <v>70 Lingkungan</v>
      </c>
      <c r="U344" s="527">
        <v>600000000</v>
      </c>
      <c r="V344" s="52"/>
      <c r="W344" s="52"/>
      <c r="X344" s="52"/>
      <c r="Y344" s="165"/>
      <c r="Z344" s="165"/>
      <c r="AA344" s="165"/>
      <c r="AB344" s="165"/>
      <c r="AC344" s="165"/>
      <c r="AD344" s="165"/>
      <c r="AE344" s="165"/>
      <c r="AF344" s="165"/>
    </row>
    <row r="345" spans="1:32" s="276" customFormat="1" ht="30" customHeight="1">
      <c r="A345" s="283"/>
      <c r="B345" s="1103" t="s">
        <v>4236</v>
      </c>
      <c r="C345" s="1104"/>
      <c r="D345" s="1104"/>
      <c r="E345" s="1104"/>
      <c r="F345" s="1104"/>
      <c r="G345" s="1105"/>
      <c r="H345" s="274"/>
      <c r="I345" s="274"/>
      <c r="J345" s="274"/>
      <c r="K345" s="277">
        <f>SUM(K289:K344)</f>
        <v>76284658900</v>
      </c>
      <c r="L345" s="277"/>
      <c r="M345" s="277">
        <f>SUM(M289:M344)</f>
        <v>97337917356</v>
      </c>
      <c r="N345" s="277"/>
      <c r="O345" s="277">
        <f>SUM(O289:O344)</f>
        <v>96082461305</v>
      </c>
      <c r="P345" s="277"/>
      <c r="Q345" s="277">
        <f>SUM(Q289:Q344)</f>
        <v>109276148088</v>
      </c>
      <c r="R345" s="277"/>
      <c r="S345" s="277">
        <f>SUM(S289:S344)</f>
        <v>121384900978</v>
      </c>
      <c r="T345" s="277"/>
      <c r="U345" s="277">
        <f>SUM(U289:U344)</f>
        <v>133086749844.00002</v>
      </c>
      <c r="V345" s="274"/>
      <c r="W345" s="274"/>
      <c r="X345" s="274"/>
      <c r="Y345" s="283"/>
      <c r="Z345" s="283"/>
      <c r="AA345" s="283"/>
      <c r="AB345" s="283"/>
      <c r="AC345" s="283"/>
      <c r="AD345" s="283"/>
      <c r="AE345" s="283"/>
      <c r="AF345" s="283"/>
    </row>
    <row r="346" spans="1:32">
      <c r="A346" s="165">
        <v>1</v>
      </c>
      <c r="B346" s="62" t="str">
        <f>'[4]matrik MISI 3.1'!B24</f>
        <v>PERUMAHAN RAKYAT</v>
      </c>
      <c r="C346" s="56"/>
      <c r="D346" s="57"/>
      <c r="E346" s="57"/>
      <c r="F346" s="58"/>
      <c r="G346" s="58"/>
      <c r="H346" s="52"/>
      <c r="I346" s="52"/>
      <c r="J346" s="52"/>
      <c r="K346" s="52"/>
      <c r="L346" s="52"/>
      <c r="M346" s="52"/>
      <c r="N346" s="52"/>
      <c r="O346" s="52"/>
      <c r="P346" s="52"/>
      <c r="Q346" s="52"/>
      <c r="R346" s="52"/>
      <c r="S346" s="52"/>
      <c r="T346" s="52"/>
      <c r="U346" s="52"/>
      <c r="V346" s="52"/>
      <c r="W346" s="52"/>
      <c r="X346" s="52"/>
      <c r="Y346" s="165"/>
      <c r="Z346" s="165"/>
      <c r="AA346" s="165"/>
      <c r="AB346" s="165"/>
      <c r="AC346" s="165"/>
      <c r="AD346" s="165"/>
      <c r="AE346" s="165"/>
      <c r="AF346" s="165"/>
    </row>
    <row r="347" spans="1:32" s="540" customFormat="1" ht="45">
      <c r="B347" s="545"/>
      <c r="C347" s="593">
        <f>'[4]matrik MISI 3.1'!P25</f>
        <v>1.04</v>
      </c>
      <c r="D347" s="594" t="str">
        <f>'[4]matrik MISI 3.1'!Q25</f>
        <v>xx</v>
      </c>
      <c r="E347" s="594">
        <f>'[4]matrik MISI 3.1'!R25</f>
        <v>15</v>
      </c>
      <c r="F347" s="595" t="str">
        <f>'[4]matrik MISI 3.1'!S25</f>
        <v>Program Pengembangan Perumahan</v>
      </c>
      <c r="G347" s="548"/>
      <c r="H347" s="550"/>
      <c r="I347" s="550"/>
      <c r="J347" s="550"/>
      <c r="K347" s="603">
        <f>SUM(K348:K350)</f>
        <v>834893700</v>
      </c>
      <c r="L347" s="603">
        <f t="shared" ref="L347:U347" si="23">SUM(L348:L350)</f>
        <v>0</v>
      </c>
      <c r="M347" s="603">
        <f t="shared" si="23"/>
        <v>139613500</v>
      </c>
      <c r="N347" s="603">
        <f t="shared" si="23"/>
        <v>0</v>
      </c>
      <c r="O347" s="603">
        <f t="shared" si="23"/>
        <v>140000000</v>
      </c>
      <c r="P347" s="603">
        <f t="shared" si="23"/>
        <v>0</v>
      </c>
      <c r="Q347" s="603">
        <f t="shared" si="23"/>
        <v>140000000</v>
      </c>
      <c r="R347" s="603">
        <f t="shared" si="23"/>
        <v>0</v>
      </c>
      <c r="S347" s="603">
        <f t="shared" si="23"/>
        <v>140000000</v>
      </c>
      <c r="T347" s="603">
        <f t="shared" si="23"/>
        <v>0</v>
      </c>
      <c r="U347" s="603">
        <f t="shared" si="23"/>
        <v>150000000</v>
      </c>
      <c r="V347" s="550"/>
      <c r="W347" s="550"/>
      <c r="X347" s="550" t="str">
        <f>'[4]matrik MISI 3.1'!AE25</f>
        <v>DPU</v>
      </c>
    </row>
    <row r="348" spans="1:32" ht="45">
      <c r="A348" s="165"/>
      <c r="B348" s="48"/>
      <c r="C348" s="62"/>
      <c r="D348" s="63"/>
      <c r="E348" s="63"/>
      <c r="F348" s="64"/>
      <c r="G348" s="55" t="s">
        <v>4684</v>
      </c>
      <c r="H348" s="52" t="s">
        <v>2590</v>
      </c>
      <c r="I348" s="52" t="s">
        <v>2591</v>
      </c>
      <c r="J348" s="52" t="s">
        <v>2591</v>
      </c>
      <c r="K348" s="795">
        <v>84893700</v>
      </c>
      <c r="L348" s="52" t="s">
        <v>2592</v>
      </c>
      <c r="M348" s="795">
        <v>90000000</v>
      </c>
      <c r="N348" s="52" t="s">
        <v>2592</v>
      </c>
      <c r="O348" s="795">
        <v>90000000</v>
      </c>
      <c r="P348" s="52" t="s">
        <v>2592</v>
      </c>
      <c r="Q348" s="795">
        <v>90000000</v>
      </c>
      <c r="R348" s="52" t="s">
        <v>2592</v>
      </c>
      <c r="S348" s="795">
        <v>90000000</v>
      </c>
      <c r="T348" s="52" t="s">
        <v>2592</v>
      </c>
      <c r="U348" s="218">
        <v>100000000</v>
      </c>
      <c r="V348" s="52"/>
      <c r="W348" s="52"/>
      <c r="X348" s="52"/>
      <c r="Y348" s="165"/>
      <c r="Z348" s="165"/>
      <c r="AA348" s="165"/>
      <c r="AB348" s="165"/>
      <c r="AC348" s="165"/>
      <c r="AD348" s="165"/>
      <c r="AE348" s="165"/>
      <c r="AF348" s="165"/>
    </row>
    <row r="349" spans="1:32" ht="45">
      <c r="A349" s="165"/>
      <c r="B349" s="48"/>
      <c r="C349" s="62"/>
      <c r="D349" s="63"/>
      <c r="E349" s="63"/>
      <c r="F349" s="64"/>
      <c r="G349" s="58" t="s">
        <v>2593</v>
      </c>
      <c r="H349" s="52" t="s">
        <v>2594</v>
      </c>
      <c r="I349" s="52" t="s">
        <v>2594</v>
      </c>
      <c r="J349" s="52" t="s">
        <v>2504</v>
      </c>
      <c r="K349" s="533">
        <v>750000000</v>
      </c>
      <c r="L349" s="52" t="s">
        <v>743</v>
      </c>
      <c r="M349" s="533" t="s">
        <v>743</v>
      </c>
      <c r="N349" s="533" t="s">
        <v>743</v>
      </c>
      <c r="O349" s="533" t="s">
        <v>743</v>
      </c>
      <c r="P349" s="533" t="s">
        <v>743</v>
      </c>
      <c r="Q349" s="533" t="s">
        <v>743</v>
      </c>
      <c r="R349" s="533" t="s">
        <v>743</v>
      </c>
      <c r="S349" s="533" t="s">
        <v>743</v>
      </c>
      <c r="T349" s="533" t="s">
        <v>743</v>
      </c>
      <c r="U349" s="533" t="s">
        <v>743</v>
      </c>
      <c r="V349" s="52"/>
      <c r="W349" s="52"/>
      <c r="X349" s="52"/>
      <c r="Y349" s="165"/>
      <c r="Z349" s="165"/>
      <c r="AA349" s="165"/>
      <c r="AB349" s="165"/>
      <c r="AC349" s="165"/>
      <c r="AD349" s="165"/>
      <c r="AE349" s="165"/>
      <c r="AF349" s="165"/>
    </row>
    <row r="350" spans="1:32" ht="90">
      <c r="A350" s="165"/>
      <c r="B350" s="48"/>
      <c r="C350" s="62"/>
      <c r="D350" s="63"/>
      <c r="E350" s="63"/>
      <c r="F350" s="64"/>
      <c r="G350" s="58" t="s">
        <v>2595</v>
      </c>
      <c r="H350" s="52" t="s">
        <v>743</v>
      </c>
      <c r="I350" s="52" t="s">
        <v>743</v>
      </c>
      <c r="J350" s="52" t="s">
        <v>743</v>
      </c>
      <c r="K350" s="52" t="s">
        <v>743</v>
      </c>
      <c r="L350" s="52" t="s">
        <v>2596</v>
      </c>
      <c r="M350" s="533">
        <v>49613500</v>
      </c>
      <c r="N350" s="52" t="s">
        <v>2596</v>
      </c>
      <c r="O350" s="533">
        <v>50000000</v>
      </c>
      <c r="P350" s="52" t="s">
        <v>2596</v>
      </c>
      <c r="Q350" s="533">
        <v>50000000</v>
      </c>
      <c r="R350" s="52" t="s">
        <v>2596</v>
      </c>
      <c r="S350" s="533">
        <v>50000000</v>
      </c>
      <c r="T350" s="52" t="s">
        <v>2596</v>
      </c>
      <c r="U350" s="533">
        <v>50000000</v>
      </c>
      <c r="V350" s="52"/>
      <c r="W350" s="52"/>
      <c r="X350" s="52"/>
      <c r="Y350" s="165"/>
      <c r="Z350" s="165"/>
      <c r="AA350" s="165"/>
      <c r="AB350" s="165"/>
      <c r="AC350" s="165"/>
      <c r="AD350" s="165"/>
      <c r="AE350" s="165"/>
      <c r="AF350" s="165"/>
    </row>
    <row r="351" spans="1:32" s="540" customFormat="1" ht="30">
      <c r="B351" s="545"/>
      <c r="C351" s="593">
        <f>'[4]matrik MISI 3.1'!P27</f>
        <v>1.04</v>
      </c>
      <c r="D351" s="594" t="str">
        <f>'[4]matrik MISI 3.1'!Q27</f>
        <v>xx</v>
      </c>
      <c r="E351" s="594">
        <f>'[4]matrik MISI 3.1'!R27</f>
        <v>16</v>
      </c>
      <c r="F351" s="595" t="str">
        <f>'[4]matrik MISI 3.1'!S27</f>
        <v>Program Lingkungan Sehat Perumahan</v>
      </c>
      <c r="G351" s="548"/>
      <c r="H351" s="550"/>
      <c r="I351" s="550"/>
      <c r="J351" s="550"/>
      <c r="K351" s="603">
        <f>SUM(K352:K355)</f>
        <v>409175000</v>
      </c>
      <c r="L351" s="603">
        <f t="shared" ref="L351:U351" si="24">SUM(L352:L355)</f>
        <v>0</v>
      </c>
      <c r="M351" s="603">
        <f t="shared" si="24"/>
        <v>216299000</v>
      </c>
      <c r="N351" s="603">
        <f t="shared" si="24"/>
        <v>0</v>
      </c>
      <c r="O351" s="603">
        <f t="shared" si="24"/>
        <v>200000000</v>
      </c>
      <c r="P351" s="603">
        <f t="shared" si="24"/>
        <v>0</v>
      </c>
      <c r="Q351" s="603">
        <f t="shared" si="24"/>
        <v>200000000</v>
      </c>
      <c r="R351" s="603">
        <f t="shared" si="24"/>
        <v>0</v>
      </c>
      <c r="S351" s="603">
        <f t="shared" si="24"/>
        <v>200000000</v>
      </c>
      <c r="T351" s="603">
        <f t="shared" si="24"/>
        <v>0</v>
      </c>
      <c r="U351" s="603">
        <f t="shared" si="24"/>
        <v>200000000</v>
      </c>
      <c r="V351" s="550"/>
      <c r="W351" s="550"/>
      <c r="X351" s="550" t="str">
        <f>'[4]matrik MISI 3.1'!AE27</f>
        <v>DPU</v>
      </c>
    </row>
    <row r="352" spans="1:32" ht="45">
      <c r="A352" s="165"/>
      <c r="B352" s="48"/>
      <c r="C352" s="62"/>
      <c r="D352" s="63"/>
      <c r="E352" s="63"/>
      <c r="F352" s="64"/>
      <c r="G352" s="58" t="s">
        <v>2597</v>
      </c>
      <c r="H352" s="52" t="s">
        <v>2598</v>
      </c>
      <c r="I352" s="52" t="s">
        <v>2599</v>
      </c>
      <c r="J352" s="52" t="s">
        <v>2599</v>
      </c>
      <c r="K352" s="533">
        <v>100000000</v>
      </c>
      <c r="L352" s="52" t="s">
        <v>2599</v>
      </c>
      <c r="M352" s="533">
        <v>147429000</v>
      </c>
      <c r="N352" s="52" t="s">
        <v>2599</v>
      </c>
      <c r="O352" s="533">
        <v>120000000</v>
      </c>
      <c r="P352" s="52" t="s">
        <v>2599</v>
      </c>
      <c r="Q352" s="533">
        <v>120000000</v>
      </c>
      <c r="R352" s="52" t="s">
        <v>2600</v>
      </c>
      <c r="S352" s="52">
        <v>120000000</v>
      </c>
      <c r="T352" s="52" t="s">
        <v>2600</v>
      </c>
      <c r="U352" s="52">
        <v>120000000</v>
      </c>
      <c r="V352" s="52"/>
      <c r="W352" s="52"/>
      <c r="X352" s="52"/>
      <c r="Y352" s="165"/>
      <c r="Z352" s="165"/>
      <c r="AA352" s="165"/>
      <c r="AB352" s="165"/>
      <c r="AC352" s="165"/>
      <c r="AD352" s="165"/>
      <c r="AE352" s="165"/>
      <c r="AF352" s="165"/>
    </row>
    <row r="353" spans="1:32" ht="45">
      <c r="A353" s="165"/>
      <c r="B353" s="48"/>
      <c r="C353" s="62"/>
      <c r="D353" s="63"/>
      <c r="E353" s="63"/>
      <c r="F353" s="64"/>
      <c r="G353" s="58" t="s">
        <v>2601</v>
      </c>
      <c r="H353" s="52" t="s">
        <v>2602</v>
      </c>
      <c r="I353" s="52" t="s">
        <v>2602</v>
      </c>
      <c r="J353" s="52" t="s">
        <v>2602</v>
      </c>
      <c r="K353" s="533">
        <v>40000000</v>
      </c>
      <c r="L353" s="52" t="s">
        <v>2602</v>
      </c>
      <c r="M353" s="533">
        <v>68870000</v>
      </c>
      <c r="N353" s="52" t="s">
        <v>2602</v>
      </c>
      <c r="O353" s="533">
        <v>80000000</v>
      </c>
      <c r="P353" s="52" t="s">
        <v>2603</v>
      </c>
      <c r="Q353" s="533">
        <v>80000000</v>
      </c>
      <c r="R353" s="52" t="s">
        <v>2603</v>
      </c>
      <c r="S353" s="533">
        <v>80000000</v>
      </c>
      <c r="T353" s="52" t="s">
        <v>2603</v>
      </c>
      <c r="U353" s="533">
        <v>80000000</v>
      </c>
      <c r="V353" s="52"/>
      <c r="W353" s="52"/>
      <c r="X353" s="52"/>
      <c r="Y353" s="165"/>
      <c r="Z353" s="165"/>
      <c r="AA353" s="165"/>
      <c r="AB353" s="165"/>
      <c r="AC353" s="165"/>
      <c r="AD353" s="165"/>
      <c r="AE353" s="165"/>
      <c r="AF353" s="165"/>
    </row>
    <row r="354" spans="1:32" ht="30">
      <c r="A354" s="165"/>
      <c r="B354" s="48"/>
      <c r="C354" s="62"/>
      <c r="D354" s="63"/>
      <c r="E354" s="63"/>
      <c r="F354" s="64"/>
      <c r="G354" s="58" t="s">
        <v>2604</v>
      </c>
      <c r="H354" s="52" t="s">
        <v>743</v>
      </c>
      <c r="I354" s="52" t="s">
        <v>2594</v>
      </c>
      <c r="J354" s="52" t="s">
        <v>2504</v>
      </c>
      <c r="K354" s="533">
        <v>50000000</v>
      </c>
      <c r="L354" s="52" t="s">
        <v>743</v>
      </c>
      <c r="M354" s="52" t="s">
        <v>743</v>
      </c>
      <c r="N354" s="52" t="s">
        <v>743</v>
      </c>
      <c r="O354" s="52" t="s">
        <v>743</v>
      </c>
      <c r="P354" s="52" t="s">
        <v>743</v>
      </c>
      <c r="Q354" s="52" t="s">
        <v>743</v>
      </c>
      <c r="R354" s="52" t="s">
        <v>743</v>
      </c>
      <c r="S354" s="52" t="s">
        <v>743</v>
      </c>
      <c r="T354" s="52" t="s">
        <v>743</v>
      </c>
      <c r="U354" s="52" t="s">
        <v>743</v>
      </c>
      <c r="V354" s="52"/>
      <c r="W354" s="52"/>
      <c r="X354" s="52"/>
      <c r="Y354" s="165"/>
      <c r="Z354" s="165"/>
      <c r="AA354" s="165"/>
      <c r="AB354" s="165"/>
      <c r="AC354" s="165"/>
      <c r="AD354" s="165"/>
      <c r="AE354" s="165"/>
      <c r="AF354" s="165"/>
    </row>
    <row r="355" spans="1:32" ht="45">
      <c r="A355" s="165"/>
      <c r="B355" s="48"/>
      <c r="C355" s="62"/>
      <c r="D355" s="63"/>
      <c r="E355" s="63"/>
      <c r="F355" s="64"/>
      <c r="G355" s="58" t="s">
        <v>2605</v>
      </c>
      <c r="H355" s="52" t="s">
        <v>743</v>
      </c>
      <c r="I355" s="52" t="s">
        <v>2594</v>
      </c>
      <c r="J355" s="52" t="s">
        <v>2504</v>
      </c>
      <c r="K355" s="533">
        <v>219175000</v>
      </c>
      <c r="L355" s="52" t="s">
        <v>743</v>
      </c>
      <c r="M355" s="52" t="s">
        <v>743</v>
      </c>
      <c r="N355" s="52" t="s">
        <v>743</v>
      </c>
      <c r="O355" s="52" t="s">
        <v>743</v>
      </c>
      <c r="P355" s="52" t="s">
        <v>743</v>
      </c>
      <c r="Q355" s="52" t="s">
        <v>743</v>
      </c>
      <c r="R355" s="52" t="s">
        <v>743</v>
      </c>
      <c r="S355" s="52" t="s">
        <v>743</v>
      </c>
      <c r="T355" s="52" t="s">
        <v>743</v>
      </c>
      <c r="U355" s="52" t="s">
        <v>743</v>
      </c>
      <c r="V355" s="52"/>
      <c r="W355" s="52"/>
      <c r="X355" s="52"/>
      <c r="Y355" s="165"/>
      <c r="Z355" s="165"/>
      <c r="AA355" s="165"/>
      <c r="AB355" s="165"/>
      <c r="AC355" s="165"/>
      <c r="AD355" s="165"/>
      <c r="AE355" s="165"/>
      <c r="AF355" s="165"/>
    </row>
    <row r="356" spans="1:32" s="540" customFormat="1" ht="60">
      <c r="B356" s="545"/>
      <c r="C356" s="593">
        <f>'[4]matrik MISI 3.1'!P34</f>
        <v>1.04</v>
      </c>
      <c r="D356" s="594" t="str">
        <f>'[4]matrik MISI 3.1'!Q34</f>
        <v>xx</v>
      </c>
      <c r="E356" s="594">
        <f>'[4]matrik MISI 3.1'!R34</f>
        <v>18</v>
      </c>
      <c r="F356" s="595" t="str">
        <f>'[4]matrik MISI 3.1'!S34</f>
        <v>Program peningkatan kesiagaan dan pencegahan bahaya kebakaran</v>
      </c>
      <c r="G356" s="548"/>
      <c r="H356" s="550"/>
      <c r="I356" s="550"/>
      <c r="J356" s="550"/>
      <c r="K356" s="603">
        <f>SUM(K357:K363)</f>
        <v>220000000</v>
      </c>
      <c r="L356" s="603">
        <f t="shared" ref="L356:U356" si="25">SUM(L357:L363)</f>
        <v>0</v>
      </c>
      <c r="M356" s="603">
        <f t="shared" si="25"/>
        <v>1235460000</v>
      </c>
      <c r="N356" s="603">
        <f t="shared" si="25"/>
        <v>0</v>
      </c>
      <c r="O356" s="603">
        <f t="shared" si="25"/>
        <v>4665000000</v>
      </c>
      <c r="P356" s="603">
        <f t="shared" si="25"/>
        <v>0</v>
      </c>
      <c r="Q356" s="603">
        <f t="shared" si="25"/>
        <v>4850000000</v>
      </c>
      <c r="R356" s="603">
        <f t="shared" si="25"/>
        <v>0</v>
      </c>
      <c r="S356" s="603">
        <f t="shared" si="25"/>
        <v>5235000000</v>
      </c>
      <c r="T356" s="603">
        <f t="shared" si="25"/>
        <v>0</v>
      </c>
      <c r="U356" s="603">
        <f t="shared" si="25"/>
        <v>5235000000</v>
      </c>
      <c r="V356" s="550"/>
      <c r="W356" s="550"/>
      <c r="X356" s="550" t="str">
        <f>'[4]matrik MISI 3.1'!AE34</f>
        <v>DPU</v>
      </c>
    </row>
    <row r="357" spans="1:32" ht="75">
      <c r="A357" s="165"/>
      <c r="B357" s="48"/>
      <c r="C357" s="62"/>
      <c r="D357" s="63"/>
      <c r="E357" s="63"/>
      <c r="F357" s="64"/>
      <c r="G357" s="58" t="s">
        <v>2606</v>
      </c>
      <c r="H357" s="52" t="s">
        <v>2496</v>
      </c>
      <c r="I357" s="52" t="str">
        <f>H357</f>
        <v>1 Kegiatan</v>
      </c>
      <c r="J357" s="52" t="str">
        <f>I357</f>
        <v>1 Kegiatan</v>
      </c>
      <c r="K357" s="533">
        <v>100000000</v>
      </c>
      <c r="L357" s="52" t="str">
        <f>J357</f>
        <v>1 Kegiatan</v>
      </c>
      <c r="M357" s="533">
        <v>99978000</v>
      </c>
      <c r="N357" s="52" t="str">
        <f t="shared" ref="N357:R357" si="26">L357</f>
        <v>1 Kegiatan</v>
      </c>
      <c r="O357" s="218">
        <v>150000000</v>
      </c>
      <c r="P357" s="52" t="str">
        <f t="shared" si="26"/>
        <v>1 Kegiatan</v>
      </c>
      <c r="Q357" s="218">
        <v>175000000</v>
      </c>
      <c r="R357" s="52" t="str">
        <f t="shared" si="26"/>
        <v>1 Kegiatan</v>
      </c>
      <c r="S357" s="218">
        <v>200000000</v>
      </c>
      <c r="T357" s="52" t="str">
        <f t="shared" ref="T357" si="27">R357</f>
        <v>1 Kegiatan</v>
      </c>
      <c r="U357" s="218">
        <v>200000000</v>
      </c>
      <c r="V357" s="52"/>
      <c r="W357" s="52"/>
      <c r="X357" s="52"/>
      <c r="Y357" s="165"/>
      <c r="Z357" s="165"/>
      <c r="AA357" s="165"/>
      <c r="AB357" s="165"/>
      <c r="AC357" s="165"/>
      <c r="AD357" s="165"/>
      <c r="AE357" s="165"/>
      <c r="AF357" s="165"/>
    </row>
    <row r="358" spans="1:32" ht="45">
      <c r="A358" s="165"/>
      <c r="B358" s="48"/>
      <c r="C358" s="62"/>
      <c r="D358" s="63"/>
      <c r="E358" s="63"/>
      <c r="F358" s="64"/>
      <c r="G358" s="58" t="s">
        <v>2607</v>
      </c>
      <c r="H358" s="52" t="s">
        <v>2521</v>
      </c>
      <c r="I358" s="52" t="s">
        <v>743</v>
      </c>
      <c r="J358" s="52" t="s">
        <v>743</v>
      </c>
      <c r="K358" s="52" t="s">
        <v>743</v>
      </c>
      <c r="L358" s="52" t="str">
        <f>H358</f>
        <v>1 kegiatan</v>
      </c>
      <c r="M358" s="533">
        <v>985525000</v>
      </c>
      <c r="N358" s="52" t="s">
        <v>2608</v>
      </c>
      <c r="O358" s="533">
        <v>2600000000</v>
      </c>
      <c r="P358" s="52" t="str">
        <f>+N358</f>
        <v>2 Unit</v>
      </c>
      <c r="Q358" s="533">
        <v>2700000000</v>
      </c>
      <c r="R358" s="52" t="str">
        <f>+P358</f>
        <v>2 Unit</v>
      </c>
      <c r="S358" s="533">
        <v>2900000000</v>
      </c>
      <c r="T358" s="52" t="str">
        <f>+R358</f>
        <v>2 Unit</v>
      </c>
      <c r="U358" s="533">
        <v>2900000000</v>
      </c>
      <c r="V358" s="52"/>
      <c r="W358" s="52"/>
      <c r="X358" s="52"/>
      <c r="Y358" s="165"/>
      <c r="Z358" s="165"/>
      <c r="AA358" s="165"/>
      <c r="AB358" s="165"/>
      <c r="AC358" s="165"/>
      <c r="AD358" s="165"/>
      <c r="AE358" s="165"/>
      <c r="AF358" s="165"/>
    </row>
    <row r="359" spans="1:32" ht="60">
      <c r="A359" s="165"/>
      <c r="B359" s="48"/>
      <c r="C359" s="62"/>
      <c r="D359" s="63"/>
      <c r="E359" s="63"/>
      <c r="F359" s="64"/>
      <c r="G359" s="58" t="s">
        <v>2609</v>
      </c>
      <c r="H359" s="52"/>
      <c r="I359" s="52" t="str">
        <f>I357</f>
        <v>1 Kegiatan</v>
      </c>
      <c r="J359" s="52" t="str">
        <f>I359</f>
        <v>1 Kegiatan</v>
      </c>
      <c r="K359" s="533">
        <v>120000000</v>
      </c>
      <c r="L359" s="52" t="str">
        <f>L358</f>
        <v>1 kegiatan</v>
      </c>
      <c r="M359" s="533">
        <v>149957000</v>
      </c>
      <c r="N359" s="52" t="str">
        <f>L359</f>
        <v>1 kegiatan</v>
      </c>
      <c r="O359" s="533">
        <v>55000000</v>
      </c>
      <c r="P359" s="52" t="str">
        <f>+N359</f>
        <v>1 kegiatan</v>
      </c>
      <c r="Q359" s="533">
        <v>40000000</v>
      </c>
      <c r="R359" s="52" t="str">
        <f>+R358</f>
        <v>2 Unit</v>
      </c>
      <c r="S359" s="533">
        <v>45000000</v>
      </c>
      <c r="T359" s="52" t="str">
        <f>+T358</f>
        <v>2 Unit</v>
      </c>
      <c r="U359" s="533">
        <v>45000000</v>
      </c>
      <c r="V359" s="52"/>
      <c r="W359" s="52"/>
      <c r="X359" s="52"/>
      <c r="Y359" s="165"/>
      <c r="Z359" s="165"/>
      <c r="AA359" s="165"/>
      <c r="AB359" s="165"/>
      <c r="AC359" s="165"/>
      <c r="AD359" s="165"/>
      <c r="AE359" s="165"/>
      <c r="AF359" s="165"/>
    </row>
    <row r="360" spans="1:32" ht="60">
      <c r="A360" s="165"/>
      <c r="B360" s="48"/>
      <c r="C360" s="62"/>
      <c r="D360" s="63"/>
      <c r="E360" s="63"/>
      <c r="F360" s="64"/>
      <c r="G360" s="58" t="s">
        <v>2610</v>
      </c>
      <c r="H360" s="52" t="s">
        <v>743</v>
      </c>
      <c r="I360" s="52"/>
      <c r="J360" s="52"/>
      <c r="K360" s="533"/>
      <c r="L360" s="52" t="s">
        <v>743</v>
      </c>
      <c r="M360" s="533" t="s">
        <v>743</v>
      </c>
      <c r="N360" s="52" t="s">
        <v>2611</v>
      </c>
      <c r="O360" s="527">
        <v>300000000</v>
      </c>
      <c r="P360" s="52" t="s">
        <v>2611</v>
      </c>
      <c r="Q360" s="52">
        <v>350000000</v>
      </c>
      <c r="R360" s="52" t="s">
        <v>2521</v>
      </c>
      <c r="S360" s="52">
        <v>400000000</v>
      </c>
      <c r="T360" s="52" t="s">
        <v>2521</v>
      </c>
      <c r="U360" s="52">
        <v>400000000</v>
      </c>
      <c r="V360" s="52"/>
      <c r="W360" s="52"/>
      <c r="X360" s="52"/>
      <c r="Y360" s="165"/>
      <c r="Z360" s="165"/>
      <c r="AA360" s="165"/>
      <c r="AB360" s="165"/>
      <c r="AC360" s="165"/>
      <c r="AD360" s="165"/>
      <c r="AE360" s="165"/>
      <c r="AF360" s="165"/>
    </row>
    <row r="361" spans="1:32" ht="75">
      <c r="A361" s="165"/>
      <c r="B361" s="48"/>
      <c r="C361" s="62"/>
      <c r="D361" s="63"/>
      <c r="E361" s="63"/>
      <c r="F361" s="64"/>
      <c r="G361" s="58" t="s">
        <v>2612</v>
      </c>
      <c r="H361" s="52" t="s">
        <v>743</v>
      </c>
      <c r="I361" s="52" t="s">
        <v>743</v>
      </c>
      <c r="J361" s="52" t="s">
        <v>743</v>
      </c>
      <c r="K361" s="533" t="s">
        <v>743</v>
      </c>
      <c r="L361" s="52" t="s">
        <v>743</v>
      </c>
      <c r="M361" s="533" t="s">
        <v>743</v>
      </c>
      <c r="N361" s="52" t="s">
        <v>2521</v>
      </c>
      <c r="O361" s="52">
        <v>80000000</v>
      </c>
      <c r="P361" s="52"/>
      <c r="Q361" s="52"/>
      <c r="R361" s="52"/>
      <c r="S361" s="52"/>
      <c r="T361" s="52"/>
      <c r="U361" s="52"/>
      <c r="V361" s="52"/>
      <c r="W361" s="52"/>
      <c r="X361" s="52"/>
      <c r="Y361" s="165"/>
      <c r="Z361" s="165"/>
      <c r="AA361" s="165"/>
      <c r="AB361" s="165"/>
      <c r="AC361" s="165"/>
      <c r="AD361" s="165"/>
      <c r="AE361" s="165"/>
      <c r="AF361" s="165"/>
    </row>
    <row r="362" spans="1:32" ht="45">
      <c r="A362" s="165"/>
      <c r="B362" s="48"/>
      <c r="C362" s="62"/>
      <c r="D362" s="63"/>
      <c r="E362" s="63"/>
      <c r="F362" s="64"/>
      <c r="G362" s="58" t="s">
        <v>2613</v>
      </c>
      <c r="H362" s="52"/>
      <c r="I362" s="52"/>
      <c r="J362" s="52"/>
      <c r="K362" s="533"/>
      <c r="L362" s="52"/>
      <c r="M362" s="533"/>
      <c r="N362" s="52" t="s">
        <v>2614</v>
      </c>
      <c r="O362" s="52">
        <v>180000000</v>
      </c>
      <c r="P362" s="52" t="s">
        <v>2521</v>
      </c>
      <c r="Q362" s="52">
        <v>185000000</v>
      </c>
      <c r="R362" s="52" t="s">
        <v>2521</v>
      </c>
      <c r="S362" s="52">
        <v>190000000</v>
      </c>
      <c r="T362" s="52" t="s">
        <v>2521</v>
      </c>
      <c r="U362" s="52">
        <v>190000000</v>
      </c>
      <c r="V362" s="52"/>
      <c r="W362" s="52"/>
      <c r="X362" s="52"/>
      <c r="Y362" s="165"/>
      <c r="Z362" s="165"/>
      <c r="AA362" s="165"/>
      <c r="AB362" s="165"/>
      <c r="AC362" s="165"/>
      <c r="AD362" s="165"/>
      <c r="AE362" s="165"/>
      <c r="AF362" s="165"/>
    </row>
    <row r="363" spans="1:32" ht="90">
      <c r="A363" s="165"/>
      <c r="B363" s="48"/>
      <c r="C363" s="62"/>
      <c r="D363" s="63"/>
      <c r="E363" s="63"/>
      <c r="F363" s="64"/>
      <c r="G363" s="58" t="s">
        <v>2615</v>
      </c>
      <c r="H363" s="52"/>
      <c r="I363" s="52"/>
      <c r="J363" s="52"/>
      <c r="K363" s="533"/>
      <c r="L363" s="52"/>
      <c r="M363" s="533"/>
      <c r="N363" s="52" t="s">
        <v>2616</v>
      </c>
      <c r="O363" s="52">
        <v>1300000000</v>
      </c>
      <c r="P363" s="52" t="s">
        <v>2616</v>
      </c>
      <c r="Q363" s="52">
        <v>1400000000</v>
      </c>
      <c r="R363" s="52" t="s">
        <v>2616</v>
      </c>
      <c r="S363" s="52">
        <v>1500000000</v>
      </c>
      <c r="T363" s="52" t="s">
        <v>2616</v>
      </c>
      <c r="U363" s="52">
        <v>1500000000</v>
      </c>
      <c r="V363" s="52"/>
      <c r="W363" s="52"/>
      <c r="X363" s="52"/>
      <c r="Y363" s="165"/>
      <c r="Z363" s="165"/>
      <c r="AA363" s="165"/>
      <c r="AB363" s="165"/>
      <c r="AC363" s="165"/>
      <c r="AD363" s="165"/>
      <c r="AE363" s="165"/>
      <c r="AF363" s="165"/>
    </row>
    <row r="364" spans="1:32" s="276" customFormat="1" ht="30" customHeight="1">
      <c r="A364" s="283"/>
      <c r="B364" s="1103" t="s">
        <v>4237</v>
      </c>
      <c r="C364" s="1104"/>
      <c r="D364" s="1104"/>
      <c r="E364" s="1104"/>
      <c r="F364" s="1104"/>
      <c r="G364" s="1105"/>
      <c r="H364" s="274"/>
      <c r="I364" s="274"/>
      <c r="J364" s="274"/>
      <c r="K364" s="278">
        <f>SUM(K347:K363)</f>
        <v>2928137400</v>
      </c>
      <c r="L364" s="278"/>
      <c r="M364" s="278">
        <f t="shared" ref="M364:U364" si="28">SUM(M347:M363)</f>
        <v>3182745000</v>
      </c>
      <c r="N364" s="278"/>
      <c r="O364" s="278">
        <f t="shared" si="28"/>
        <v>10010000000</v>
      </c>
      <c r="P364" s="278"/>
      <c r="Q364" s="278">
        <f t="shared" si="28"/>
        <v>10380000000</v>
      </c>
      <c r="R364" s="278"/>
      <c r="S364" s="278">
        <f t="shared" si="28"/>
        <v>11150000000</v>
      </c>
      <c r="T364" s="278"/>
      <c r="U364" s="278">
        <f t="shared" si="28"/>
        <v>11170000000</v>
      </c>
      <c r="V364" s="274"/>
      <c r="W364" s="274"/>
      <c r="X364" s="274"/>
      <c r="Y364" s="283"/>
      <c r="Z364" s="283"/>
      <c r="AA364" s="283"/>
      <c r="AB364" s="283"/>
      <c r="AC364" s="283"/>
      <c r="AD364" s="283"/>
      <c r="AE364" s="283"/>
      <c r="AF364" s="283"/>
    </row>
    <row r="365" spans="1:32">
      <c r="A365" s="165">
        <v>1</v>
      </c>
      <c r="B365" s="62" t="str">
        <f>'[4]matrik MISI 3.1'!B38</f>
        <v>PENATAAN RUANG</v>
      </c>
      <c r="C365" s="56"/>
      <c r="D365" s="57"/>
      <c r="E365" s="57"/>
      <c r="F365" s="58"/>
      <c r="G365" s="58"/>
      <c r="H365" s="52"/>
      <c r="I365" s="52"/>
      <c r="J365" s="52"/>
      <c r="K365" s="52"/>
      <c r="L365" s="52"/>
      <c r="M365" s="52"/>
      <c r="N365" s="52"/>
      <c r="O365" s="52"/>
      <c r="P365" s="52"/>
      <c r="Q365" s="52"/>
      <c r="R365" s="52"/>
      <c r="S365" s="52"/>
      <c r="T365" s="52"/>
      <c r="U365" s="52"/>
      <c r="V365" s="52"/>
      <c r="W365" s="52"/>
      <c r="X365" s="52"/>
      <c r="Y365" s="165"/>
      <c r="Z365" s="165"/>
      <c r="AA365" s="165"/>
      <c r="AB365" s="165"/>
      <c r="AC365" s="165"/>
      <c r="AD365" s="165"/>
      <c r="AE365" s="165"/>
      <c r="AF365" s="165"/>
    </row>
    <row r="366" spans="1:32" ht="30">
      <c r="A366" s="165"/>
      <c r="B366" s="48"/>
      <c r="C366" s="62">
        <f>'[4]matrik MISI 3.1'!P39</f>
        <v>1.05</v>
      </c>
      <c r="D366" s="63" t="str">
        <f>'[4]matrik MISI 3.1'!Q39</f>
        <v>xx</v>
      </c>
      <c r="E366" s="63">
        <f>'[4]matrik MISI 3.1'!R39</f>
        <v>15</v>
      </c>
      <c r="F366" s="64" t="str">
        <f>'[4]matrik MISI 3.1'!S39</f>
        <v>Program Perencanaan Tata Ruang</v>
      </c>
      <c r="G366" s="58"/>
      <c r="H366" s="52"/>
      <c r="I366" s="52"/>
      <c r="J366" s="522"/>
      <c r="K366" s="522">
        <v>75958000</v>
      </c>
      <c r="L366" s="522"/>
      <c r="M366" s="522">
        <v>100000000</v>
      </c>
      <c r="N366" s="522"/>
      <c r="O366" s="522">
        <v>300000000</v>
      </c>
      <c r="P366" s="522"/>
      <c r="Q366" s="522">
        <v>200000000</v>
      </c>
      <c r="R366" s="522"/>
      <c r="S366" s="522">
        <v>100000000</v>
      </c>
      <c r="T366" s="52"/>
      <c r="U366" s="52"/>
      <c r="V366" s="52"/>
      <c r="W366" s="52"/>
      <c r="X366" s="52" t="str">
        <f>'[4]matrik MISI 3.1'!AE39</f>
        <v>DPU/BAPPEDA/KP3M</v>
      </c>
      <c r="Y366" s="165"/>
      <c r="Z366" s="165"/>
      <c r="AA366" s="165"/>
      <c r="AB366" s="165"/>
      <c r="AC366" s="165"/>
      <c r="AD366" s="165"/>
      <c r="AE366" s="165"/>
      <c r="AF366" s="165"/>
    </row>
    <row r="367" spans="1:32" ht="30">
      <c r="A367" s="165"/>
      <c r="B367" s="48"/>
      <c r="C367" s="56">
        <f>'[4]matrik MISI 3.1'!P41</f>
        <v>1.05</v>
      </c>
      <c r="D367" s="57" t="str">
        <f>'[4]matrik MISI 3.1'!Q41</f>
        <v>xx</v>
      </c>
      <c r="E367" s="57">
        <f>'[4]matrik MISI 3.1'!R41</f>
        <v>16</v>
      </c>
      <c r="F367" s="58" t="str">
        <f>'[4]matrik MISI 3.1'!S41</f>
        <v>Program Pemanfaatan Ruang</v>
      </c>
      <c r="G367" s="58"/>
      <c r="H367" s="52"/>
      <c r="I367" s="52"/>
      <c r="J367" s="52"/>
      <c r="K367" s="52"/>
      <c r="L367" s="52"/>
      <c r="M367" s="52"/>
      <c r="N367" s="52"/>
      <c r="O367" s="52"/>
      <c r="P367" s="52"/>
      <c r="Q367" s="52"/>
      <c r="R367" s="52"/>
      <c r="S367" s="52"/>
      <c r="T367" s="52"/>
      <c r="U367" s="52"/>
      <c r="V367" s="52"/>
      <c r="W367" s="52"/>
      <c r="X367" s="52" t="str">
        <f>'[4]matrik MISI 3.1'!AE41</f>
        <v>DPU/BAPPEDA/KP3M</v>
      </c>
      <c r="Y367" s="165"/>
      <c r="Z367" s="165"/>
      <c r="AA367" s="165"/>
      <c r="AB367" s="165"/>
      <c r="AC367" s="165"/>
      <c r="AD367" s="165"/>
      <c r="AE367" s="165"/>
      <c r="AF367" s="165"/>
    </row>
    <row r="368" spans="1:32" s="540" customFormat="1" ht="45">
      <c r="B368" s="545"/>
      <c r="C368" s="593">
        <f>'[4]matrik MISI 3.1'!P42</f>
        <v>1.05</v>
      </c>
      <c r="D368" s="594" t="str">
        <f>'[4]matrik MISI 3.1'!Q42</f>
        <v>xx</v>
      </c>
      <c r="E368" s="594">
        <f>'[4]matrik MISI 3.1'!R42</f>
        <v>17</v>
      </c>
      <c r="F368" s="595" t="str">
        <f>'[4]matrik MISI 3.1'!S42</f>
        <v>Program Pengendalian Pemanfaatan Ruang</v>
      </c>
      <c r="G368" s="548"/>
      <c r="H368" s="550"/>
      <c r="I368" s="550"/>
      <c r="J368" s="550"/>
      <c r="K368" s="603">
        <f>SUM(K369:K370)</f>
        <v>20000000</v>
      </c>
      <c r="L368" s="603">
        <f t="shared" ref="L368:U368" si="29">SUM(L369:L370)</f>
        <v>0</v>
      </c>
      <c r="M368" s="603">
        <f t="shared" si="29"/>
        <v>91140000</v>
      </c>
      <c r="N368" s="603">
        <f t="shared" si="29"/>
        <v>0</v>
      </c>
      <c r="O368" s="603">
        <f t="shared" si="29"/>
        <v>30000000</v>
      </c>
      <c r="P368" s="603">
        <f t="shared" si="29"/>
        <v>0</v>
      </c>
      <c r="Q368" s="603">
        <f t="shared" si="29"/>
        <v>30000000</v>
      </c>
      <c r="R368" s="603">
        <f t="shared" si="29"/>
        <v>0</v>
      </c>
      <c r="S368" s="603">
        <f t="shared" si="29"/>
        <v>30000000</v>
      </c>
      <c r="T368" s="603">
        <f t="shared" si="29"/>
        <v>0</v>
      </c>
      <c r="U368" s="603">
        <f t="shared" si="29"/>
        <v>30000000</v>
      </c>
      <c r="V368" s="550"/>
      <c r="W368" s="550"/>
      <c r="X368" s="550" t="str">
        <f>'[4]matrik MISI 3.1'!AE42</f>
        <v>DPU/BAPPEDA/KP3M/               SATPOL PP</v>
      </c>
    </row>
    <row r="369" spans="1:32" ht="30">
      <c r="A369" s="165"/>
      <c r="B369" s="48"/>
      <c r="C369" s="62"/>
      <c r="D369" s="63"/>
      <c r="E369" s="63"/>
      <c r="F369" s="64"/>
      <c r="G369" s="58" t="s">
        <v>2617</v>
      </c>
      <c r="H369" s="52" t="s">
        <v>743</v>
      </c>
      <c r="I369" s="52" t="s">
        <v>2496</v>
      </c>
      <c r="J369" s="52" t="s">
        <v>2496</v>
      </c>
      <c r="K369" s="533">
        <v>20000000</v>
      </c>
      <c r="L369" s="52" t="s">
        <v>743</v>
      </c>
      <c r="M369" s="52" t="s">
        <v>743</v>
      </c>
      <c r="N369" s="52" t="s">
        <v>2496</v>
      </c>
      <c r="O369" s="218">
        <v>30000000</v>
      </c>
      <c r="P369" s="52" t="s">
        <v>2496</v>
      </c>
      <c r="Q369" s="218">
        <v>30000000</v>
      </c>
      <c r="R369" s="52" t="s">
        <v>2496</v>
      </c>
      <c r="S369" s="218">
        <v>30000000</v>
      </c>
      <c r="T369" s="52" t="s">
        <v>2496</v>
      </c>
      <c r="U369" s="218">
        <v>30000000</v>
      </c>
      <c r="V369" s="52"/>
      <c r="W369" s="52"/>
      <c r="X369" s="52"/>
      <c r="Y369" s="165"/>
      <c r="Z369" s="165"/>
      <c r="AA369" s="165"/>
      <c r="AB369" s="165"/>
      <c r="AC369" s="165"/>
      <c r="AD369" s="165"/>
      <c r="AE369" s="165"/>
      <c r="AF369" s="165"/>
    </row>
    <row r="370" spans="1:32" ht="45">
      <c r="A370" s="165"/>
      <c r="B370" s="48"/>
      <c r="C370" s="62"/>
      <c r="D370" s="63"/>
      <c r="E370" s="63"/>
      <c r="F370" s="64"/>
      <c r="G370" s="58" t="s">
        <v>2618</v>
      </c>
      <c r="H370" s="52" t="s">
        <v>743</v>
      </c>
      <c r="I370" s="52" t="s">
        <v>743</v>
      </c>
      <c r="J370" s="52" t="s">
        <v>743</v>
      </c>
      <c r="K370" s="52" t="s">
        <v>743</v>
      </c>
      <c r="L370" s="168" t="str">
        <f>L350</f>
        <v>4 Kecamatan</v>
      </c>
      <c r="M370" s="184">
        <v>91140000</v>
      </c>
      <c r="N370" s="52" t="s">
        <v>743</v>
      </c>
      <c r="O370" s="52" t="s">
        <v>743</v>
      </c>
      <c r="P370" s="52" t="s">
        <v>743</v>
      </c>
      <c r="Q370" s="52" t="s">
        <v>743</v>
      </c>
      <c r="R370" s="52" t="s">
        <v>743</v>
      </c>
      <c r="S370" s="52" t="s">
        <v>743</v>
      </c>
      <c r="T370" s="52" t="s">
        <v>743</v>
      </c>
      <c r="U370" s="52" t="s">
        <v>743</v>
      </c>
      <c r="V370" s="52"/>
      <c r="W370" s="52"/>
      <c r="X370" s="52"/>
      <c r="Y370" s="165"/>
      <c r="Z370" s="165"/>
      <c r="AA370" s="165"/>
      <c r="AB370" s="165"/>
      <c r="AC370" s="165"/>
      <c r="AD370" s="165"/>
      <c r="AE370" s="165"/>
      <c r="AF370" s="165"/>
    </row>
    <row r="371" spans="1:32" s="280" customFormat="1" ht="30" customHeight="1">
      <c r="A371" s="285"/>
      <c r="B371" s="1093" t="s">
        <v>4238</v>
      </c>
      <c r="C371" s="1094"/>
      <c r="D371" s="1094"/>
      <c r="E371" s="1094"/>
      <c r="F371" s="1094"/>
      <c r="G371" s="1095"/>
      <c r="H371" s="520"/>
      <c r="I371" s="520"/>
      <c r="J371" s="520"/>
      <c r="K371" s="520">
        <f>SUM(K366:K370)</f>
        <v>115958000</v>
      </c>
      <c r="L371" s="520"/>
      <c r="M371" s="520">
        <f t="shared" ref="M371:U371" si="30">SUM(M366:M370)</f>
        <v>282280000</v>
      </c>
      <c r="N371" s="520"/>
      <c r="O371" s="520">
        <f t="shared" si="30"/>
        <v>360000000</v>
      </c>
      <c r="P371" s="520"/>
      <c r="Q371" s="520">
        <f t="shared" si="30"/>
        <v>260000000</v>
      </c>
      <c r="R371" s="520"/>
      <c r="S371" s="520">
        <f t="shared" si="30"/>
        <v>160000000</v>
      </c>
      <c r="T371" s="520"/>
      <c r="U371" s="520">
        <f t="shared" si="30"/>
        <v>60000000</v>
      </c>
      <c r="V371" s="520"/>
      <c r="W371" s="520"/>
      <c r="X371" s="520"/>
      <c r="Y371" s="285"/>
      <c r="Z371" s="285"/>
      <c r="AA371" s="285"/>
      <c r="AB371" s="285"/>
      <c r="AC371" s="285"/>
      <c r="AD371" s="285"/>
      <c r="AE371" s="285"/>
      <c r="AF371" s="285"/>
    </row>
    <row r="372" spans="1:32">
      <c r="A372" s="165">
        <v>1</v>
      </c>
      <c r="B372" s="62" t="str">
        <f>'[4]matrik MISI 3.1'!B67</f>
        <v>PERHUBUNGAN</v>
      </c>
      <c r="C372" s="56"/>
      <c r="D372" s="57"/>
      <c r="E372" s="57"/>
      <c r="F372" s="58"/>
      <c r="G372" s="58"/>
      <c r="H372" s="52"/>
      <c r="I372" s="52"/>
      <c r="J372" s="52"/>
      <c r="K372" s="52"/>
      <c r="L372" s="52"/>
      <c r="M372" s="52"/>
      <c r="N372" s="52"/>
      <c r="O372" s="52"/>
      <c r="P372" s="52"/>
      <c r="Q372" s="52"/>
      <c r="R372" s="52"/>
      <c r="S372" s="52"/>
      <c r="T372" s="52"/>
      <c r="U372" s="52"/>
      <c r="V372" s="52"/>
      <c r="W372" s="52"/>
      <c r="X372" s="52"/>
      <c r="Y372" s="165"/>
      <c r="Z372" s="165"/>
      <c r="AA372" s="165"/>
      <c r="AB372" s="165"/>
      <c r="AC372" s="165"/>
      <c r="AD372" s="165"/>
      <c r="AE372" s="165"/>
      <c r="AF372" s="165"/>
    </row>
    <row r="373" spans="1:32" s="540" customFormat="1" ht="60">
      <c r="B373" s="545"/>
      <c r="C373" s="591" t="str">
        <f>'[4]matrik MISI 3.1'!P68</f>
        <v>1.07</v>
      </c>
      <c r="D373" s="592" t="str">
        <f>'[4]matrik MISI 3.1'!Q68</f>
        <v>xx</v>
      </c>
      <c r="E373" s="592">
        <f>'[4]matrik MISI 3.1'!R68</f>
        <v>16</v>
      </c>
      <c r="F373" s="548" t="str">
        <f>'[4]matrik MISI 3.1'!S68</f>
        <v>Program Rehabilitasi dan Pemeliharaan Prasarana dan Fasilitas LLAJ</v>
      </c>
      <c r="G373" s="548"/>
      <c r="H373" s="550"/>
      <c r="I373" s="550"/>
      <c r="J373" s="550"/>
      <c r="K373" s="617">
        <f>SUM(K374:K392)</f>
        <v>219820000</v>
      </c>
      <c r="L373" s="617">
        <f t="shared" ref="L373:U373" si="31">SUM(L374:L392)</f>
        <v>0</v>
      </c>
      <c r="M373" s="617">
        <f t="shared" si="31"/>
        <v>707981000</v>
      </c>
      <c r="N373" s="617">
        <f t="shared" si="31"/>
        <v>0</v>
      </c>
      <c r="O373" s="617">
        <f t="shared" si="31"/>
        <v>8315000000</v>
      </c>
      <c r="P373" s="617">
        <f t="shared" si="31"/>
        <v>0</v>
      </c>
      <c r="Q373" s="617">
        <f t="shared" si="31"/>
        <v>1405000000</v>
      </c>
      <c r="R373" s="617">
        <f t="shared" si="31"/>
        <v>0</v>
      </c>
      <c r="S373" s="617">
        <f t="shared" si="31"/>
        <v>1205000000</v>
      </c>
      <c r="T373" s="617">
        <f t="shared" si="31"/>
        <v>0</v>
      </c>
      <c r="U373" s="617">
        <f t="shared" si="31"/>
        <v>1205000000</v>
      </c>
      <c r="V373" s="550"/>
      <c r="W373" s="550"/>
      <c r="X373" s="550" t="str">
        <f>'[4]matrik MISI 3.1'!AE68</f>
        <v>DISHUBKOMINFO</v>
      </c>
    </row>
    <row r="374" spans="1:32" s="165" customFormat="1" ht="30">
      <c r="B374" s="48"/>
      <c r="C374" s="62"/>
      <c r="D374" s="63"/>
      <c r="E374" s="63"/>
      <c r="F374" s="64"/>
      <c r="G374" s="58" t="s">
        <v>2623</v>
      </c>
      <c r="H374" s="161">
        <v>1</v>
      </c>
      <c r="I374" s="52" t="s">
        <v>2620</v>
      </c>
      <c r="J374" s="161">
        <v>1</v>
      </c>
      <c r="K374" s="238">
        <v>60000000</v>
      </c>
      <c r="L374" s="52" t="s">
        <v>2620</v>
      </c>
      <c r="M374" s="238">
        <v>64200000</v>
      </c>
      <c r="N374" s="52" t="s">
        <v>2620</v>
      </c>
      <c r="O374" s="238">
        <v>75000000</v>
      </c>
      <c r="P374" s="52" t="s">
        <v>2620</v>
      </c>
      <c r="Q374" s="238">
        <v>80000000</v>
      </c>
      <c r="R374" s="52" t="s">
        <v>2620</v>
      </c>
      <c r="S374" s="238">
        <v>85000000</v>
      </c>
      <c r="T374" s="52" t="s">
        <v>2620</v>
      </c>
      <c r="U374" s="238">
        <v>85000000</v>
      </c>
      <c r="V374" s="52"/>
      <c r="W374" s="52"/>
      <c r="X374" s="52"/>
    </row>
    <row r="375" spans="1:32" s="165" customFormat="1">
      <c r="B375" s="48"/>
      <c r="C375" s="62"/>
      <c r="D375" s="63"/>
      <c r="E375" s="63"/>
      <c r="F375" s="64"/>
      <c r="G375" s="58" t="s">
        <v>2624</v>
      </c>
      <c r="H375" s="52" t="s">
        <v>743</v>
      </c>
      <c r="I375" s="52" t="s">
        <v>2620</v>
      </c>
      <c r="J375" s="161">
        <v>1</v>
      </c>
      <c r="K375" s="238">
        <v>95000000</v>
      </c>
      <c r="L375" s="52" t="s">
        <v>2620</v>
      </c>
      <c r="M375" s="238">
        <v>100000000</v>
      </c>
      <c r="N375" s="52" t="s">
        <v>2620</v>
      </c>
      <c r="O375" s="238">
        <v>100000000</v>
      </c>
      <c r="P375" s="52" t="s">
        <v>2620</v>
      </c>
      <c r="Q375" s="238">
        <v>0</v>
      </c>
      <c r="R375" s="52" t="s">
        <v>2620</v>
      </c>
      <c r="S375" s="238">
        <v>95000000</v>
      </c>
      <c r="T375" s="52" t="s">
        <v>2620</v>
      </c>
      <c r="U375" s="238">
        <v>95000000</v>
      </c>
      <c r="V375" s="52"/>
      <c r="W375" s="52"/>
      <c r="X375" s="52"/>
    </row>
    <row r="376" spans="1:32" s="165" customFormat="1">
      <c r="B376" s="48"/>
      <c r="C376" s="62"/>
      <c r="D376" s="63"/>
      <c r="E376" s="63"/>
      <c r="F376" s="64"/>
      <c r="G376" s="58" t="s">
        <v>2625</v>
      </c>
      <c r="H376" s="52" t="s">
        <v>743</v>
      </c>
      <c r="I376" s="52" t="s">
        <v>2620</v>
      </c>
      <c r="J376" s="161">
        <v>1</v>
      </c>
      <c r="K376" s="238">
        <v>29820000</v>
      </c>
      <c r="L376" s="52" t="s">
        <v>2620</v>
      </c>
      <c r="M376" s="238">
        <v>30000000</v>
      </c>
      <c r="N376" s="52" t="s">
        <v>2620</v>
      </c>
      <c r="O376" s="238">
        <v>40000000</v>
      </c>
      <c r="P376" s="52" t="s">
        <v>2620</v>
      </c>
      <c r="Q376" s="238">
        <v>45000000</v>
      </c>
      <c r="R376" s="52" t="s">
        <v>2620</v>
      </c>
      <c r="S376" s="238">
        <v>50000000</v>
      </c>
      <c r="T376" s="52" t="s">
        <v>2620</v>
      </c>
      <c r="U376" s="238">
        <v>50000000</v>
      </c>
      <c r="V376" s="52"/>
      <c r="W376" s="52"/>
      <c r="X376" s="52"/>
    </row>
    <row r="377" spans="1:32" s="165" customFormat="1" ht="45">
      <c r="B377" s="48"/>
      <c r="C377" s="62"/>
      <c r="D377" s="63"/>
      <c r="E377" s="63"/>
      <c r="F377" s="64"/>
      <c r="G377" s="58" t="s">
        <v>2626</v>
      </c>
      <c r="H377" s="52" t="s">
        <v>743</v>
      </c>
      <c r="I377" s="52" t="s">
        <v>743</v>
      </c>
      <c r="J377" s="52" t="s">
        <v>743</v>
      </c>
      <c r="K377" s="52" t="s">
        <v>743</v>
      </c>
      <c r="L377" s="52"/>
      <c r="M377" s="238">
        <v>199916000</v>
      </c>
      <c r="N377" s="52"/>
      <c r="O377" s="238">
        <v>0</v>
      </c>
      <c r="P377" s="52"/>
      <c r="Q377" s="238">
        <v>0</v>
      </c>
      <c r="R377" s="52"/>
      <c r="S377" s="238">
        <v>0</v>
      </c>
      <c r="T377" s="52"/>
      <c r="U377" s="238">
        <v>0</v>
      </c>
      <c r="V377" s="52"/>
      <c r="W377" s="52"/>
      <c r="X377" s="52"/>
    </row>
    <row r="378" spans="1:32" s="165" customFormat="1" ht="30">
      <c r="B378" s="48"/>
      <c r="C378" s="62"/>
      <c r="D378" s="63"/>
      <c r="E378" s="63"/>
      <c r="F378" s="64"/>
      <c r="G378" s="58" t="s">
        <v>2660</v>
      </c>
      <c r="H378" s="161">
        <v>1</v>
      </c>
      <c r="I378" s="52" t="s">
        <v>2620</v>
      </c>
      <c r="J378" s="161">
        <v>1</v>
      </c>
      <c r="K378" s="532">
        <v>35000000</v>
      </c>
      <c r="L378" s="529" t="s">
        <v>2620</v>
      </c>
      <c r="M378" s="532">
        <v>34885000</v>
      </c>
      <c r="N378" s="529" t="s">
        <v>2620</v>
      </c>
      <c r="O378" s="532">
        <v>60000000</v>
      </c>
      <c r="P378" s="529" t="s">
        <v>2620</v>
      </c>
      <c r="Q378" s="532">
        <v>70000000</v>
      </c>
      <c r="R378" s="529" t="s">
        <v>2620</v>
      </c>
      <c r="S378" s="532">
        <v>80000000</v>
      </c>
      <c r="T378" s="529" t="s">
        <v>2620</v>
      </c>
      <c r="U378" s="532">
        <v>80000000</v>
      </c>
      <c r="V378" s="52"/>
      <c r="W378" s="52"/>
      <c r="X378" s="52"/>
    </row>
    <row r="379" spans="1:32" s="165" customFormat="1" ht="45">
      <c r="B379" s="48"/>
      <c r="C379" s="62"/>
      <c r="D379" s="63"/>
      <c r="E379" s="63"/>
      <c r="F379" s="64"/>
      <c r="G379" s="58" t="s">
        <v>2661</v>
      </c>
      <c r="H379" s="161" t="s">
        <v>743</v>
      </c>
      <c r="I379" s="161" t="s">
        <v>743</v>
      </c>
      <c r="J379" s="161" t="s">
        <v>743</v>
      </c>
      <c r="K379" s="529" t="s">
        <v>743</v>
      </c>
      <c r="L379" s="529" t="s">
        <v>2620</v>
      </c>
      <c r="M379" s="532">
        <v>248980000</v>
      </c>
      <c r="N379" s="529" t="s">
        <v>743</v>
      </c>
      <c r="O379" s="529" t="s">
        <v>743</v>
      </c>
      <c r="P379" s="529" t="s">
        <v>743</v>
      </c>
      <c r="Q379" s="529" t="s">
        <v>743</v>
      </c>
      <c r="R379" s="529" t="s">
        <v>743</v>
      </c>
      <c r="S379" s="529" t="s">
        <v>743</v>
      </c>
      <c r="T379" s="529" t="s">
        <v>743</v>
      </c>
      <c r="U379" s="529" t="s">
        <v>743</v>
      </c>
      <c r="V379" s="52"/>
      <c r="W379" s="52"/>
      <c r="X379" s="52"/>
    </row>
    <row r="380" spans="1:32" s="165" customFormat="1" ht="45">
      <c r="B380" s="48"/>
      <c r="C380" s="62"/>
      <c r="D380" s="63"/>
      <c r="E380" s="63"/>
      <c r="F380" s="64"/>
      <c r="G380" s="58" t="s">
        <v>2662</v>
      </c>
      <c r="H380" s="161" t="s">
        <v>743</v>
      </c>
      <c r="I380" s="161" t="s">
        <v>743</v>
      </c>
      <c r="J380" s="161" t="s">
        <v>743</v>
      </c>
      <c r="K380" s="529" t="s">
        <v>743</v>
      </c>
      <c r="L380" s="529" t="s">
        <v>1040</v>
      </c>
      <c r="M380" s="532" t="s">
        <v>1040</v>
      </c>
      <c r="N380" s="529" t="s">
        <v>2650</v>
      </c>
      <c r="O380" s="529">
        <v>8000000000</v>
      </c>
      <c r="P380" s="529" t="s">
        <v>743</v>
      </c>
      <c r="Q380" s="529" t="s">
        <v>743</v>
      </c>
      <c r="R380" s="529" t="s">
        <v>743</v>
      </c>
      <c r="S380" s="529" t="s">
        <v>743</v>
      </c>
      <c r="T380" s="529" t="s">
        <v>743</v>
      </c>
      <c r="U380" s="529" t="s">
        <v>743</v>
      </c>
      <c r="V380" s="52"/>
      <c r="W380" s="52"/>
      <c r="X380" s="52"/>
    </row>
    <row r="381" spans="1:32" s="165" customFormat="1" ht="45">
      <c r="B381" s="48"/>
      <c r="C381" s="62"/>
      <c r="D381" s="63"/>
      <c r="E381" s="63"/>
      <c r="F381" s="64"/>
      <c r="G381" s="58" t="s">
        <v>2663</v>
      </c>
      <c r="H381" s="161" t="s">
        <v>743</v>
      </c>
      <c r="I381" s="161" t="s">
        <v>743</v>
      </c>
      <c r="J381" s="161" t="s">
        <v>743</v>
      </c>
      <c r="K381" s="529" t="s">
        <v>743</v>
      </c>
      <c r="L381" s="529" t="s">
        <v>743</v>
      </c>
      <c r="M381" s="529" t="s">
        <v>743</v>
      </c>
      <c r="N381" s="529" t="s">
        <v>743</v>
      </c>
      <c r="O381" s="529" t="s">
        <v>743</v>
      </c>
      <c r="P381" s="529" t="s">
        <v>2620</v>
      </c>
      <c r="Q381" s="532">
        <v>600000000</v>
      </c>
      <c r="R381" s="529" t="s">
        <v>743</v>
      </c>
      <c r="S381" s="529" t="s">
        <v>743</v>
      </c>
      <c r="T381" s="529" t="s">
        <v>743</v>
      </c>
      <c r="U381" s="529" t="s">
        <v>743</v>
      </c>
      <c r="V381" s="52"/>
      <c r="W381" s="52"/>
      <c r="X381" s="52"/>
    </row>
    <row r="382" spans="1:32" s="165" customFormat="1" ht="45">
      <c r="B382" s="48"/>
      <c r="C382" s="62"/>
      <c r="D382" s="63"/>
      <c r="E382" s="63"/>
      <c r="F382" s="64"/>
      <c r="G382" s="58" t="s">
        <v>2664</v>
      </c>
      <c r="H382" s="161" t="s">
        <v>743</v>
      </c>
      <c r="I382" s="161" t="s">
        <v>743</v>
      </c>
      <c r="J382" s="161" t="s">
        <v>743</v>
      </c>
      <c r="K382" s="529" t="s">
        <v>743</v>
      </c>
      <c r="L382" s="529" t="s">
        <v>743</v>
      </c>
      <c r="M382" s="529" t="s">
        <v>743</v>
      </c>
      <c r="N382" s="529" t="s">
        <v>743</v>
      </c>
      <c r="O382" s="529" t="s">
        <v>743</v>
      </c>
      <c r="P382" s="529" t="s">
        <v>743</v>
      </c>
      <c r="Q382" s="529" t="s">
        <v>743</v>
      </c>
      <c r="R382" s="529" t="s">
        <v>743</v>
      </c>
      <c r="S382" s="529" t="s">
        <v>743</v>
      </c>
      <c r="T382" s="529" t="s">
        <v>743</v>
      </c>
      <c r="U382" s="529" t="s">
        <v>743</v>
      </c>
      <c r="V382" s="52"/>
      <c r="W382" s="52"/>
      <c r="X382" s="52"/>
    </row>
    <row r="383" spans="1:32" s="165" customFormat="1" ht="60">
      <c r="B383" s="48"/>
      <c r="C383" s="62"/>
      <c r="D383" s="63"/>
      <c r="E383" s="63"/>
      <c r="F383" s="64"/>
      <c r="G383" s="58" t="s">
        <v>2666</v>
      </c>
      <c r="H383" s="161"/>
      <c r="I383" s="161"/>
      <c r="J383" s="161"/>
      <c r="K383" s="529"/>
      <c r="L383" s="529"/>
      <c r="M383" s="529"/>
      <c r="N383" s="529"/>
      <c r="O383" s="529"/>
      <c r="P383" s="529" t="s">
        <v>743</v>
      </c>
      <c r="Q383" s="528" t="s">
        <v>743</v>
      </c>
      <c r="R383" s="529" t="s">
        <v>2665</v>
      </c>
      <c r="S383" s="528">
        <v>400000000</v>
      </c>
      <c r="T383" s="529" t="s">
        <v>2665</v>
      </c>
      <c r="U383" s="528">
        <v>400000000</v>
      </c>
      <c r="V383" s="52"/>
      <c r="W383" s="52"/>
      <c r="X383" s="52"/>
    </row>
    <row r="384" spans="1:32" s="165" customFormat="1" ht="30">
      <c r="B384" s="48"/>
      <c r="C384" s="62"/>
      <c r="D384" s="63"/>
      <c r="E384" s="63"/>
      <c r="F384" s="64"/>
      <c r="G384" s="58" t="s">
        <v>2667</v>
      </c>
      <c r="H384" s="161" t="s">
        <v>1040</v>
      </c>
      <c r="I384" s="161" t="s">
        <v>1040</v>
      </c>
      <c r="J384" s="161" t="s">
        <v>1040</v>
      </c>
      <c r="K384" s="529" t="s">
        <v>1040</v>
      </c>
      <c r="L384" s="529" t="s">
        <v>1040</v>
      </c>
      <c r="M384" s="529" t="s">
        <v>2668</v>
      </c>
      <c r="N384" s="529" t="s">
        <v>1040</v>
      </c>
      <c r="O384" s="529" t="s">
        <v>1040</v>
      </c>
      <c r="P384" s="529" t="s">
        <v>1040</v>
      </c>
      <c r="Q384" s="528" t="s">
        <v>1040</v>
      </c>
      <c r="R384" s="529" t="s">
        <v>2669</v>
      </c>
      <c r="S384" s="528">
        <v>40000000</v>
      </c>
      <c r="T384" s="529" t="s">
        <v>2669</v>
      </c>
      <c r="U384" s="528">
        <v>40000000</v>
      </c>
      <c r="V384" s="52"/>
      <c r="W384" s="52"/>
      <c r="X384" s="52"/>
    </row>
    <row r="385" spans="2:24" s="165" customFormat="1" ht="60">
      <c r="B385" s="48"/>
      <c r="C385" s="62"/>
      <c r="D385" s="63"/>
      <c r="E385" s="63"/>
      <c r="F385" s="64"/>
      <c r="G385" s="58" t="s">
        <v>2670</v>
      </c>
      <c r="H385" s="161" t="s">
        <v>743</v>
      </c>
      <c r="I385" s="161" t="s">
        <v>743</v>
      </c>
      <c r="J385" s="161" t="s">
        <v>743</v>
      </c>
      <c r="K385" s="529" t="s">
        <v>743</v>
      </c>
      <c r="L385" s="529" t="s">
        <v>743</v>
      </c>
      <c r="M385" s="529" t="s">
        <v>743</v>
      </c>
      <c r="N385" s="529" t="s">
        <v>743</v>
      </c>
      <c r="O385" s="529" t="s">
        <v>743</v>
      </c>
      <c r="P385" s="529" t="s">
        <v>2665</v>
      </c>
      <c r="Q385" s="532">
        <v>100000000</v>
      </c>
      <c r="R385" s="529" t="s">
        <v>743</v>
      </c>
      <c r="S385" s="529" t="s">
        <v>743</v>
      </c>
      <c r="T385" s="529" t="s">
        <v>743</v>
      </c>
      <c r="U385" s="529" t="s">
        <v>743</v>
      </c>
      <c r="V385" s="52"/>
      <c r="W385" s="52"/>
      <c r="X385" s="52"/>
    </row>
    <row r="386" spans="2:24" s="165" customFormat="1" ht="60">
      <c r="B386" s="48"/>
      <c r="C386" s="62"/>
      <c r="D386" s="63"/>
      <c r="E386" s="63"/>
      <c r="F386" s="64"/>
      <c r="G386" s="58" t="s">
        <v>2671</v>
      </c>
      <c r="H386" s="161" t="s">
        <v>743</v>
      </c>
      <c r="I386" s="161" t="s">
        <v>743</v>
      </c>
      <c r="J386" s="161" t="s">
        <v>743</v>
      </c>
      <c r="K386" s="529" t="s">
        <v>743</v>
      </c>
      <c r="L386" s="529" t="s">
        <v>743</v>
      </c>
      <c r="M386" s="529" t="s">
        <v>743</v>
      </c>
      <c r="N386" s="529" t="s">
        <v>743</v>
      </c>
      <c r="O386" s="529" t="s">
        <v>743</v>
      </c>
      <c r="P386" s="529" t="s">
        <v>743</v>
      </c>
      <c r="Q386" s="529" t="s">
        <v>743</v>
      </c>
      <c r="R386" s="529" t="s">
        <v>743</v>
      </c>
      <c r="S386" s="532">
        <v>150000000</v>
      </c>
      <c r="T386" s="529" t="s">
        <v>743</v>
      </c>
      <c r="U386" s="532">
        <v>150000000</v>
      </c>
      <c r="V386" s="52"/>
      <c r="W386" s="52"/>
      <c r="X386" s="52"/>
    </row>
    <row r="387" spans="2:24" s="165" customFormat="1" ht="60">
      <c r="B387" s="48"/>
      <c r="C387" s="62"/>
      <c r="D387" s="63"/>
      <c r="E387" s="63"/>
      <c r="F387" s="64"/>
      <c r="G387" s="58" t="s">
        <v>2672</v>
      </c>
      <c r="H387" s="161" t="s">
        <v>743</v>
      </c>
      <c r="I387" s="161" t="s">
        <v>743</v>
      </c>
      <c r="J387" s="161" t="s">
        <v>743</v>
      </c>
      <c r="K387" s="529" t="s">
        <v>743</v>
      </c>
      <c r="L387" s="529" t="s">
        <v>743</v>
      </c>
      <c r="M387" s="529" t="s">
        <v>743</v>
      </c>
      <c r="N387" s="529" t="s">
        <v>743</v>
      </c>
      <c r="O387" s="529" t="s">
        <v>743</v>
      </c>
      <c r="P387" s="529" t="s">
        <v>743</v>
      </c>
      <c r="Q387" s="529" t="s">
        <v>743</v>
      </c>
      <c r="R387" s="529" t="s">
        <v>743</v>
      </c>
      <c r="S387" s="529" t="s">
        <v>743</v>
      </c>
      <c r="T387" s="529" t="s">
        <v>743</v>
      </c>
      <c r="U387" s="529" t="s">
        <v>743</v>
      </c>
      <c r="V387" s="52"/>
      <c r="W387" s="52"/>
      <c r="X387" s="52"/>
    </row>
    <row r="388" spans="2:24" s="165" customFormat="1" ht="60">
      <c r="B388" s="48"/>
      <c r="C388" s="62"/>
      <c r="D388" s="63"/>
      <c r="E388" s="63"/>
      <c r="F388" s="64"/>
      <c r="G388" s="58" t="s">
        <v>2673</v>
      </c>
      <c r="H388" s="161"/>
      <c r="I388" s="161"/>
      <c r="J388" s="161"/>
      <c r="K388" s="529"/>
      <c r="L388" s="529"/>
      <c r="M388" s="529"/>
      <c r="N388" s="529"/>
      <c r="O388" s="529"/>
      <c r="P388" s="529"/>
      <c r="Q388" s="529"/>
      <c r="R388" s="529" t="s">
        <v>2665</v>
      </c>
      <c r="S388" s="528">
        <v>150000000</v>
      </c>
      <c r="T388" s="529" t="s">
        <v>2665</v>
      </c>
      <c r="U388" s="528">
        <v>150000000</v>
      </c>
      <c r="V388" s="52"/>
      <c r="W388" s="52"/>
      <c r="X388" s="52"/>
    </row>
    <row r="389" spans="2:24" s="165" customFormat="1" ht="45">
      <c r="B389" s="48"/>
      <c r="C389" s="62"/>
      <c r="D389" s="63"/>
      <c r="E389" s="63"/>
      <c r="F389" s="64"/>
      <c r="G389" s="58" t="s">
        <v>2674</v>
      </c>
      <c r="H389" s="161" t="s">
        <v>743</v>
      </c>
      <c r="I389" s="161" t="s">
        <v>743</v>
      </c>
      <c r="J389" s="161" t="s">
        <v>743</v>
      </c>
      <c r="K389" s="529" t="s">
        <v>743</v>
      </c>
      <c r="L389" s="529" t="s">
        <v>2633</v>
      </c>
      <c r="M389" s="532">
        <v>30000000</v>
      </c>
      <c r="N389" s="529" t="s">
        <v>2633</v>
      </c>
      <c r="O389" s="532">
        <v>40000000</v>
      </c>
      <c r="P389" s="529" t="s">
        <v>2633</v>
      </c>
      <c r="Q389" s="532">
        <v>50000000</v>
      </c>
      <c r="R389" s="529" t="s">
        <v>2633</v>
      </c>
      <c r="S389" s="532">
        <v>60000000</v>
      </c>
      <c r="T389" s="529" t="s">
        <v>2633</v>
      </c>
      <c r="U389" s="532">
        <v>60000000</v>
      </c>
      <c r="V389" s="52"/>
      <c r="W389" s="52"/>
      <c r="X389" s="52"/>
    </row>
    <row r="390" spans="2:24" s="165" customFormat="1" ht="45">
      <c r="B390" s="48"/>
      <c r="C390" s="62"/>
      <c r="D390" s="63"/>
      <c r="E390" s="63"/>
      <c r="F390" s="64"/>
      <c r="G390" s="58" t="s">
        <v>2675</v>
      </c>
      <c r="H390" s="161" t="s">
        <v>743</v>
      </c>
      <c r="I390" s="161" t="s">
        <v>743</v>
      </c>
      <c r="J390" s="161" t="s">
        <v>743</v>
      </c>
      <c r="K390" s="529" t="s">
        <v>743</v>
      </c>
      <c r="L390" s="529" t="s">
        <v>743</v>
      </c>
      <c r="M390" s="529" t="s">
        <v>743</v>
      </c>
      <c r="N390" s="529" t="s">
        <v>743</v>
      </c>
      <c r="O390" s="529" t="s">
        <v>743</v>
      </c>
      <c r="P390" s="529" t="s">
        <v>2665</v>
      </c>
      <c r="Q390" s="532">
        <v>60000000</v>
      </c>
      <c r="R390" s="529" t="s">
        <v>743</v>
      </c>
      <c r="S390" s="529" t="s">
        <v>743</v>
      </c>
      <c r="T390" s="529" t="s">
        <v>743</v>
      </c>
      <c r="U390" s="529" t="s">
        <v>743</v>
      </c>
      <c r="V390" s="52"/>
      <c r="W390" s="52"/>
      <c r="X390" s="52"/>
    </row>
    <row r="391" spans="2:24" s="165" customFormat="1" ht="45">
      <c r="B391" s="48"/>
      <c r="C391" s="62"/>
      <c r="D391" s="63"/>
      <c r="E391" s="63"/>
      <c r="F391" s="64"/>
      <c r="G391" s="58" t="s">
        <v>2676</v>
      </c>
      <c r="H391" s="161" t="s">
        <v>743</v>
      </c>
      <c r="I391" s="161" t="s">
        <v>743</v>
      </c>
      <c r="J391" s="161" t="s">
        <v>743</v>
      </c>
      <c r="K391" s="529" t="s">
        <v>743</v>
      </c>
      <c r="L391" s="529" t="s">
        <v>743</v>
      </c>
      <c r="M391" s="529" t="s">
        <v>743</v>
      </c>
      <c r="N391" s="529" t="s">
        <v>743</v>
      </c>
      <c r="O391" s="529" t="s">
        <v>743</v>
      </c>
      <c r="P391" s="529" t="s">
        <v>2665</v>
      </c>
      <c r="Q391" s="532">
        <v>400000000</v>
      </c>
      <c r="R391" s="529" t="s">
        <v>743</v>
      </c>
      <c r="S391" s="529" t="s">
        <v>743</v>
      </c>
      <c r="T391" s="529" t="s">
        <v>743</v>
      </c>
      <c r="U391" s="529" t="s">
        <v>743</v>
      </c>
      <c r="V391" s="52"/>
      <c r="W391" s="52"/>
      <c r="X391" s="52"/>
    </row>
    <row r="392" spans="2:24" s="165" customFormat="1" ht="30">
      <c r="B392" s="48"/>
      <c r="C392" s="62"/>
      <c r="D392" s="63"/>
      <c r="E392" s="63"/>
      <c r="F392" s="64"/>
      <c r="G392" s="58" t="s">
        <v>2677</v>
      </c>
      <c r="H392" s="161" t="s">
        <v>743</v>
      </c>
      <c r="I392" s="161" t="s">
        <v>743</v>
      </c>
      <c r="J392" s="161" t="s">
        <v>743</v>
      </c>
      <c r="K392" s="529" t="s">
        <v>743</v>
      </c>
      <c r="L392" s="529" t="s">
        <v>743</v>
      </c>
      <c r="M392" s="529" t="s">
        <v>743</v>
      </c>
      <c r="N392" s="529" t="s">
        <v>743</v>
      </c>
      <c r="O392" s="529" t="s">
        <v>743</v>
      </c>
      <c r="P392" s="529" t="s">
        <v>743</v>
      </c>
      <c r="Q392" s="529" t="s">
        <v>743</v>
      </c>
      <c r="R392" s="529" t="s">
        <v>2665</v>
      </c>
      <c r="S392" s="532">
        <v>95000000</v>
      </c>
      <c r="T392" s="529" t="s">
        <v>2665</v>
      </c>
      <c r="U392" s="532">
        <v>95000000</v>
      </c>
      <c r="V392" s="52"/>
      <c r="W392" s="52"/>
      <c r="X392" s="52"/>
    </row>
    <row r="393" spans="2:24" s="540" customFormat="1" ht="60">
      <c r="B393" s="545"/>
      <c r="C393" s="593" t="str">
        <f>'[4]matrik MISI 3.1'!P69</f>
        <v>1.07</v>
      </c>
      <c r="D393" s="594" t="str">
        <f>'[4]matrik MISI 3.1'!Q69</f>
        <v>xx</v>
      </c>
      <c r="E393" s="594">
        <f>'[4]matrik MISI 3.1'!R69</f>
        <v>18</v>
      </c>
      <c r="F393" s="595" t="str">
        <f>'[4]matrik MISI 3.1'!S69</f>
        <v>Program Pembangunan  Sarana dan Prasarana Perhubungan</v>
      </c>
      <c r="G393" s="548"/>
      <c r="H393" s="550"/>
      <c r="I393" s="550"/>
      <c r="J393" s="550"/>
      <c r="K393" s="617">
        <f>SUM(K394:K396)</f>
        <v>558176500</v>
      </c>
      <c r="L393" s="617">
        <f t="shared" ref="L393:U393" si="32">SUM(L394:L396)</f>
        <v>0</v>
      </c>
      <c r="M393" s="617">
        <f t="shared" si="32"/>
        <v>610000000</v>
      </c>
      <c r="N393" s="617">
        <f t="shared" si="32"/>
        <v>0</v>
      </c>
      <c r="O393" s="617">
        <f t="shared" si="32"/>
        <v>765000000</v>
      </c>
      <c r="P393" s="617">
        <f t="shared" si="32"/>
        <v>0</v>
      </c>
      <c r="Q393" s="617">
        <f t="shared" si="32"/>
        <v>875000000</v>
      </c>
      <c r="R393" s="617">
        <f t="shared" si="32"/>
        <v>0</v>
      </c>
      <c r="S393" s="617">
        <f t="shared" si="32"/>
        <v>985000000</v>
      </c>
      <c r="T393" s="617">
        <f t="shared" si="32"/>
        <v>0</v>
      </c>
      <c r="U393" s="617">
        <f t="shared" si="32"/>
        <v>985000000</v>
      </c>
      <c r="V393" s="550"/>
      <c r="W393" s="550"/>
      <c r="X393" s="550" t="str">
        <f>'[4]matrik MISI 3.1'!AE69</f>
        <v>DISHUBKOMINFO</v>
      </c>
    </row>
    <row r="394" spans="2:24" s="165" customFormat="1" ht="30">
      <c r="B394" s="48"/>
      <c r="C394" s="62"/>
      <c r="D394" s="63"/>
      <c r="E394" s="63"/>
      <c r="F394" s="64"/>
      <c r="G394" s="58" t="s">
        <v>2619</v>
      </c>
      <c r="H394" s="161">
        <v>1</v>
      </c>
      <c r="I394" s="52" t="s">
        <v>2620</v>
      </c>
      <c r="J394" s="161">
        <v>1</v>
      </c>
      <c r="K394" s="238">
        <v>446390000</v>
      </c>
      <c r="L394" s="52" t="s">
        <v>2620</v>
      </c>
      <c r="M394" s="238">
        <v>500000000</v>
      </c>
      <c r="N394" s="52" t="s">
        <v>2620</v>
      </c>
      <c r="O394" s="238">
        <v>600000000</v>
      </c>
      <c r="P394" s="52" t="s">
        <v>2620</v>
      </c>
      <c r="Q394" s="238">
        <v>700000000</v>
      </c>
      <c r="R394" s="52" t="s">
        <v>2620</v>
      </c>
      <c r="S394" s="238">
        <v>800000000</v>
      </c>
      <c r="T394" s="52" t="s">
        <v>2620</v>
      </c>
      <c r="U394" s="238">
        <v>800000000</v>
      </c>
      <c r="V394" s="52"/>
      <c r="W394" s="52"/>
      <c r="X394" s="52"/>
    </row>
    <row r="395" spans="2:24" s="165" customFormat="1" ht="45">
      <c r="B395" s="48"/>
      <c r="C395" s="62"/>
      <c r="D395" s="63"/>
      <c r="E395" s="63"/>
      <c r="F395" s="64"/>
      <c r="G395" s="58" t="s">
        <v>2622</v>
      </c>
      <c r="H395" s="161">
        <v>1</v>
      </c>
      <c r="I395" s="52" t="s">
        <v>2620</v>
      </c>
      <c r="J395" s="161">
        <v>1</v>
      </c>
      <c r="K395" s="238">
        <v>68000000</v>
      </c>
      <c r="L395" s="52"/>
      <c r="M395" s="238">
        <v>70000000</v>
      </c>
      <c r="N395" s="52"/>
      <c r="O395" s="238">
        <v>85000000</v>
      </c>
      <c r="P395" s="52"/>
      <c r="Q395" s="238">
        <v>90000000</v>
      </c>
      <c r="R395" s="52"/>
      <c r="S395" s="238">
        <v>95000000</v>
      </c>
      <c r="T395" s="52"/>
      <c r="U395" s="238">
        <v>95000000</v>
      </c>
      <c r="V395" s="52"/>
      <c r="W395" s="52"/>
      <c r="X395" s="52"/>
    </row>
    <row r="396" spans="2:24" s="165" customFormat="1" ht="30">
      <c r="B396" s="48"/>
      <c r="C396" s="62"/>
      <c r="D396" s="63"/>
      <c r="E396" s="63"/>
      <c r="F396" s="64"/>
      <c r="G396" s="58" t="s">
        <v>2621</v>
      </c>
      <c r="H396" s="52" t="s">
        <v>743</v>
      </c>
      <c r="I396" s="52" t="s">
        <v>2620</v>
      </c>
      <c r="J396" s="161">
        <v>1</v>
      </c>
      <c r="K396" s="238">
        <v>43786500</v>
      </c>
      <c r="L396" s="52" t="s">
        <v>2620</v>
      </c>
      <c r="M396" s="238">
        <v>40000000</v>
      </c>
      <c r="N396" s="52" t="s">
        <v>2620</v>
      </c>
      <c r="O396" s="238">
        <v>80000000</v>
      </c>
      <c r="P396" s="52" t="s">
        <v>2620</v>
      </c>
      <c r="Q396" s="238">
        <v>85000000</v>
      </c>
      <c r="R396" s="52" t="s">
        <v>2620</v>
      </c>
      <c r="S396" s="238">
        <v>90000000</v>
      </c>
      <c r="T396" s="52" t="s">
        <v>2620</v>
      </c>
      <c r="U396" s="238">
        <v>90000000</v>
      </c>
      <c r="V396" s="52"/>
      <c r="W396" s="52"/>
      <c r="X396" s="52"/>
    </row>
    <row r="397" spans="2:24" s="540" customFormat="1" ht="30">
      <c r="B397" s="545"/>
      <c r="C397" s="591" t="str">
        <f>'[4]matrik MISI 3.1'!P72</f>
        <v>1.07</v>
      </c>
      <c r="D397" s="592" t="str">
        <f>'[4]matrik MISI 3.1'!Q72</f>
        <v>xx</v>
      </c>
      <c r="E397" s="592">
        <f>'[4]matrik MISI 3.1'!R72</f>
        <v>17</v>
      </c>
      <c r="F397" s="548" t="str">
        <f>'[4]matrik MISI 3.1'!S72</f>
        <v>Program peningkatan pelayanan angkutan</v>
      </c>
      <c r="G397" s="548"/>
      <c r="H397" s="550"/>
      <c r="I397" s="550"/>
      <c r="J397" s="550"/>
      <c r="K397" s="617">
        <f>SUM(K398:K432)</f>
        <v>438440000</v>
      </c>
      <c r="L397" s="617">
        <f t="shared" ref="L397:S397" si="33">SUM(L398:L432)</f>
        <v>1.85</v>
      </c>
      <c r="M397" s="617">
        <f t="shared" si="33"/>
        <v>1064379000</v>
      </c>
      <c r="N397" s="617">
        <f t="shared" si="33"/>
        <v>1.9</v>
      </c>
      <c r="O397" s="617">
        <f t="shared" si="33"/>
        <v>2284000001</v>
      </c>
      <c r="P397" s="617">
        <f t="shared" si="33"/>
        <v>1.95</v>
      </c>
      <c r="Q397" s="617">
        <f t="shared" si="33"/>
        <v>1012500001</v>
      </c>
      <c r="R397" s="617">
        <f t="shared" si="33"/>
        <v>2</v>
      </c>
      <c r="S397" s="617">
        <f t="shared" si="33"/>
        <v>976600000</v>
      </c>
      <c r="T397" s="550"/>
      <c r="U397" s="550"/>
      <c r="V397" s="550"/>
      <c r="W397" s="550"/>
      <c r="X397" s="550" t="str">
        <f>'[4]matrik MISI 3.1'!AE72</f>
        <v>DISHUBKOMINFO</v>
      </c>
    </row>
    <row r="398" spans="2:24" s="165" customFormat="1" ht="30">
      <c r="B398" s="48"/>
      <c r="C398" s="62"/>
      <c r="D398" s="63"/>
      <c r="E398" s="63"/>
      <c r="F398" s="64"/>
      <c r="G398" s="58" t="s">
        <v>2627</v>
      </c>
      <c r="H398" s="161">
        <v>1</v>
      </c>
      <c r="I398" s="52" t="s">
        <v>2620</v>
      </c>
      <c r="J398" s="161">
        <v>1</v>
      </c>
      <c r="K398" s="238">
        <v>15000000</v>
      </c>
      <c r="L398" s="52" t="s">
        <v>2620</v>
      </c>
      <c r="M398" s="238">
        <v>15000000</v>
      </c>
      <c r="N398" s="52" t="s">
        <v>2620</v>
      </c>
      <c r="O398" s="238">
        <v>30000000</v>
      </c>
      <c r="P398" s="52" t="s">
        <v>2620</v>
      </c>
      <c r="Q398" s="238">
        <v>40000000</v>
      </c>
      <c r="R398" s="52" t="s">
        <v>2620</v>
      </c>
      <c r="S398" s="238">
        <v>45000000</v>
      </c>
      <c r="T398" s="52" t="s">
        <v>2620</v>
      </c>
      <c r="U398" s="238">
        <v>45000000</v>
      </c>
      <c r="V398" s="52"/>
      <c r="W398" s="52"/>
      <c r="X398" s="52"/>
    </row>
    <row r="399" spans="2:24" s="165" customFormat="1" ht="60">
      <c r="B399" s="48"/>
      <c r="C399" s="62"/>
      <c r="D399" s="63"/>
      <c r="E399" s="63"/>
      <c r="F399" s="64"/>
      <c r="G399" s="58" t="s">
        <v>2628</v>
      </c>
      <c r="H399" s="52" t="s">
        <v>743</v>
      </c>
      <c r="I399" s="52" t="s">
        <v>743</v>
      </c>
      <c r="J399" s="52" t="s">
        <v>743</v>
      </c>
      <c r="K399" s="52" t="s">
        <v>743</v>
      </c>
      <c r="L399" s="52" t="s">
        <v>2620</v>
      </c>
      <c r="M399" s="238">
        <v>26084000</v>
      </c>
      <c r="N399" s="52" t="s">
        <v>2620</v>
      </c>
      <c r="O399" s="238">
        <v>60000000</v>
      </c>
      <c r="P399" s="52" t="s">
        <v>2620</v>
      </c>
      <c r="Q399" s="238">
        <v>65000000</v>
      </c>
      <c r="R399" s="52" t="s">
        <v>2620</v>
      </c>
      <c r="S399" s="238">
        <v>70000000</v>
      </c>
      <c r="T399" s="52" t="s">
        <v>2620</v>
      </c>
      <c r="U399" s="238">
        <v>70000000</v>
      </c>
      <c r="V399" s="52"/>
      <c r="W399" s="52"/>
      <c r="X399" s="52"/>
    </row>
    <row r="400" spans="2:24" s="165" customFormat="1" ht="60">
      <c r="B400" s="48"/>
      <c r="C400" s="62"/>
      <c r="D400" s="63"/>
      <c r="E400" s="63"/>
      <c r="F400" s="64"/>
      <c r="G400" s="58" t="s">
        <v>2629</v>
      </c>
      <c r="H400" s="52" t="s">
        <v>743</v>
      </c>
      <c r="I400" s="52" t="s">
        <v>743</v>
      </c>
      <c r="J400" s="52" t="s">
        <v>743</v>
      </c>
      <c r="K400" s="52" t="s">
        <v>743</v>
      </c>
      <c r="L400" s="52" t="s">
        <v>2620</v>
      </c>
      <c r="M400" s="238">
        <v>26015000</v>
      </c>
      <c r="N400" s="52" t="s">
        <v>2620</v>
      </c>
      <c r="O400" s="238">
        <v>60000000</v>
      </c>
      <c r="P400" s="52" t="s">
        <v>2620</v>
      </c>
      <c r="Q400" s="238">
        <v>65000000</v>
      </c>
      <c r="R400" s="52" t="s">
        <v>2620</v>
      </c>
      <c r="S400" s="238">
        <v>70000000</v>
      </c>
      <c r="T400" s="52" t="s">
        <v>2620</v>
      </c>
      <c r="U400" s="238">
        <v>70000000</v>
      </c>
      <c r="V400" s="52"/>
      <c r="W400" s="52"/>
      <c r="X400" s="52"/>
    </row>
    <row r="401" spans="2:24" s="165" customFormat="1">
      <c r="B401" s="48"/>
      <c r="C401" s="62"/>
      <c r="D401" s="63"/>
      <c r="E401" s="63"/>
      <c r="F401" s="64"/>
      <c r="G401" s="58" t="s">
        <v>2630</v>
      </c>
      <c r="H401" s="52" t="s">
        <v>743</v>
      </c>
      <c r="I401" s="52" t="s">
        <v>743</v>
      </c>
      <c r="J401" s="52" t="s">
        <v>743</v>
      </c>
      <c r="K401" s="52" t="s">
        <v>743</v>
      </c>
      <c r="L401" s="52" t="s">
        <v>2620</v>
      </c>
      <c r="M401" s="238">
        <v>0</v>
      </c>
      <c r="N401" s="52" t="s">
        <v>2620</v>
      </c>
      <c r="O401" s="238">
        <v>0</v>
      </c>
      <c r="P401" s="52" t="s">
        <v>2620</v>
      </c>
      <c r="Q401" s="238">
        <v>60000000</v>
      </c>
      <c r="R401" s="52" t="s">
        <v>2620</v>
      </c>
      <c r="S401" s="238">
        <v>0</v>
      </c>
      <c r="T401" s="52" t="s">
        <v>2620</v>
      </c>
      <c r="U401" s="238">
        <v>0</v>
      </c>
      <c r="V401" s="52"/>
      <c r="W401" s="52"/>
      <c r="X401" s="52"/>
    </row>
    <row r="402" spans="2:24" s="165" customFormat="1" ht="60">
      <c r="B402" s="48"/>
      <c r="C402" s="62"/>
      <c r="D402" s="63"/>
      <c r="E402" s="63"/>
      <c r="F402" s="64"/>
      <c r="G402" s="58" t="s">
        <v>2631</v>
      </c>
      <c r="H402" s="52" t="s">
        <v>743</v>
      </c>
      <c r="I402" s="52" t="s">
        <v>743</v>
      </c>
      <c r="J402" s="52" t="s">
        <v>743</v>
      </c>
      <c r="K402" s="52" t="s">
        <v>743</v>
      </c>
      <c r="L402" s="52" t="s">
        <v>2620</v>
      </c>
      <c r="M402" s="238">
        <v>70000000</v>
      </c>
      <c r="N402" s="52" t="s">
        <v>2620</v>
      </c>
      <c r="O402" s="238">
        <v>0</v>
      </c>
      <c r="P402" s="52" t="s">
        <v>2620</v>
      </c>
      <c r="Q402" s="238">
        <v>0</v>
      </c>
      <c r="R402" s="52" t="s">
        <v>2620</v>
      </c>
      <c r="S402" s="238">
        <v>0</v>
      </c>
      <c r="T402" s="52" t="s">
        <v>2620</v>
      </c>
      <c r="U402" s="238">
        <v>0</v>
      </c>
      <c r="V402" s="52"/>
      <c r="W402" s="52"/>
      <c r="X402" s="52"/>
    </row>
    <row r="403" spans="2:24" s="165" customFormat="1" ht="60">
      <c r="B403" s="48"/>
      <c r="C403" s="62"/>
      <c r="D403" s="63"/>
      <c r="E403" s="63"/>
      <c r="F403" s="64"/>
      <c r="G403" s="58" t="s">
        <v>2632</v>
      </c>
      <c r="H403" s="52" t="s">
        <v>743</v>
      </c>
      <c r="I403" s="52" t="s">
        <v>743</v>
      </c>
      <c r="J403" s="52" t="s">
        <v>743</v>
      </c>
      <c r="K403" s="52" t="s">
        <v>743</v>
      </c>
      <c r="L403" s="52" t="s">
        <v>2633</v>
      </c>
      <c r="M403" s="238">
        <v>35000000</v>
      </c>
      <c r="N403" s="52" t="s">
        <v>2633</v>
      </c>
      <c r="O403" s="238">
        <v>40000000</v>
      </c>
      <c r="P403" s="52" t="s">
        <v>2633</v>
      </c>
      <c r="Q403" s="238">
        <v>45000000</v>
      </c>
      <c r="R403" s="52" t="s">
        <v>2633</v>
      </c>
      <c r="S403" s="238">
        <v>50000000</v>
      </c>
      <c r="T403" s="52" t="s">
        <v>2633</v>
      </c>
      <c r="U403" s="238">
        <v>50000000</v>
      </c>
      <c r="V403" s="52"/>
      <c r="W403" s="52"/>
      <c r="X403" s="52"/>
    </row>
    <row r="404" spans="2:24" s="165" customFormat="1">
      <c r="B404" s="48"/>
      <c r="C404" s="62"/>
      <c r="D404" s="63"/>
      <c r="E404" s="63"/>
      <c r="F404" s="64"/>
      <c r="G404" s="58"/>
      <c r="H404" s="52"/>
      <c r="I404" s="52"/>
      <c r="J404" s="52"/>
      <c r="K404" s="52"/>
      <c r="L404" s="52" t="s">
        <v>2620</v>
      </c>
      <c r="M404" s="238">
        <v>5000000</v>
      </c>
      <c r="N404" s="52" t="s">
        <v>2620</v>
      </c>
      <c r="O404" s="238">
        <v>5000000</v>
      </c>
      <c r="P404" s="52" t="s">
        <v>2620</v>
      </c>
      <c r="Q404" s="238">
        <v>6000000</v>
      </c>
      <c r="R404" s="52" t="s">
        <v>2620</v>
      </c>
      <c r="S404" s="238">
        <v>6000000</v>
      </c>
      <c r="T404" s="52" t="s">
        <v>2620</v>
      </c>
      <c r="U404" s="238">
        <v>6000000</v>
      </c>
      <c r="V404" s="52"/>
      <c r="W404" s="52"/>
      <c r="X404" s="52"/>
    </row>
    <row r="405" spans="2:24" s="165" customFormat="1" ht="45">
      <c r="B405" s="48"/>
      <c r="C405" s="62"/>
      <c r="D405" s="63"/>
      <c r="E405" s="63"/>
      <c r="F405" s="64"/>
      <c r="G405" s="58" t="s">
        <v>2634</v>
      </c>
      <c r="H405" s="52" t="s">
        <v>1040</v>
      </c>
      <c r="I405" s="52" t="s">
        <v>1040</v>
      </c>
      <c r="J405" s="52" t="s">
        <v>1040</v>
      </c>
      <c r="K405" s="52" t="s">
        <v>1040</v>
      </c>
      <c r="L405" s="52" t="s">
        <v>2635</v>
      </c>
      <c r="M405" s="238">
        <v>64795000</v>
      </c>
      <c r="N405" s="52" t="s">
        <v>2635</v>
      </c>
      <c r="O405" s="238">
        <v>86000000</v>
      </c>
      <c r="P405" s="52" t="s">
        <v>2635</v>
      </c>
      <c r="Q405" s="238">
        <v>86000000</v>
      </c>
      <c r="R405" s="52" t="s">
        <v>2635</v>
      </c>
      <c r="S405" s="238">
        <v>86000000</v>
      </c>
      <c r="T405" s="52" t="s">
        <v>2635</v>
      </c>
      <c r="U405" s="238">
        <v>86000000</v>
      </c>
      <c r="V405" s="52"/>
      <c r="W405" s="52"/>
      <c r="X405" s="52"/>
    </row>
    <row r="406" spans="2:24" s="165" customFormat="1" ht="30">
      <c r="B406" s="48"/>
      <c r="C406" s="62"/>
      <c r="D406" s="63"/>
      <c r="E406" s="63"/>
      <c r="F406" s="64"/>
      <c r="G406" s="58" t="s">
        <v>2636</v>
      </c>
      <c r="H406" s="161">
        <v>1</v>
      </c>
      <c r="I406" s="52" t="s">
        <v>2620</v>
      </c>
      <c r="J406" s="161">
        <v>1</v>
      </c>
      <c r="K406" s="238">
        <v>20000000</v>
      </c>
      <c r="L406" s="52" t="s">
        <v>2620</v>
      </c>
      <c r="M406" s="238">
        <v>24140000</v>
      </c>
      <c r="N406" s="52" t="s">
        <v>2620</v>
      </c>
      <c r="O406" s="238">
        <v>40000000</v>
      </c>
      <c r="P406" s="52" t="s">
        <v>2620</v>
      </c>
      <c r="Q406" s="238">
        <v>50000000</v>
      </c>
      <c r="R406" s="52" t="s">
        <v>2620</v>
      </c>
      <c r="S406" s="238">
        <v>50000000</v>
      </c>
      <c r="T406" s="52" t="s">
        <v>2620</v>
      </c>
      <c r="U406" s="238">
        <v>50000000</v>
      </c>
      <c r="V406" s="52"/>
      <c r="W406" s="52"/>
      <c r="X406" s="52"/>
    </row>
    <row r="407" spans="2:24" s="165" customFormat="1" ht="60">
      <c r="B407" s="48"/>
      <c r="C407" s="62"/>
      <c r="D407" s="63"/>
      <c r="E407" s="63"/>
      <c r="F407" s="64"/>
      <c r="G407" s="58" t="s">
        <v>2637</v>
      </c>
      <c r="H407" s="161">
        <v>1</v>
      </c>
      <c r="I407" s="52" t="s">
        <v>2633</v>
      </c>
      <c r="J407" s="161">
        <v>1</v>
      </c>
      <c r="K407" s="238">
        <v>24340000</v>
      </c>
      <c r="L407" s="52" t="s">
        <v>2633</v>
      </c>
      <c r="M407" s="238">
        <v>24891000</v>
      </c>
      <c r="N407" s="52" t="s">
        <v>2633</v>
      </c>
      <c r="O407" s="238">
        <v>30000000</v>
      </c>
      <c r="P407" s="52" t="s">
        <v>2633</v>
      </c>
      <c r="Q407" s="238">
        <v>40000000</v>
      </c>
      <c r="R407" s="52" t="s">
        <v>2633</v>
      </c>
      <c r="S407" s="238">
        <v>40000000</v>
      </c>
      <c r="T407" s="52" t="s">
        <v>2633</v>
      </c>
      <c r="U407" s="238">
        <v>40000000</v>
      </c>
      <c r="V407" s="52"/>
      <c r="W407" s="52"/>
      <c r="X407" s="52"/>
    </row>
    <row r="408" spans="2:24" s="165" customFormat="1" ht="45">
      <c r="B408" s="48"/>
      <c r="C408" s="62"/>
      <c r="D408" s="63"/>
      <c r="E408" s="63"/>
      <c r="F408" s="64"/>
      <c r="G408" s="58" t="s">
        <v>2638</v>
      </c>
      <c r="H408" s="52" t="s">
        <v>743</v>
      </c>
      <c r="I408" s="52" t="s">
        <v>743</v>
      </c>
      <c r="J408" s="52" t="s">
        <v>743</v>
      </c>
      <c r="K408" s="52" t="s">
        <v>743</v>
      </c>
      <c r="L408" s="52" t="s">
        <v>2620</v>
      </c>
      <c r="M408" s="238">
        <v>40000000</v>
      </c>
      <c r="N408" s="52" t="s">
        <v>2620</v>
      </c>
      <c r="O408" s="238">
        <v>45000000</v>
      </c>
      <c r="P408" s="52" t="s">
        <v>2620</v>
      </c>
      <c r="Q408" s="238">
        <v>45000000</v>
      </c>
      <c r="R408" s="52" t="s">
        <v>2620</v>
      </c>
      <c r="S408" s="238">
        <v>45000000</v>
      </c>
      <c r="T408" s="52" t="s">
        <v>2620</v>
      </c>
      <c r="U408" s="238">
        <v>45000000</v>
      </c>
      <c r="V408" s="52"/>
      <c r="W408" s="52"/>
      <c r="X408" s="52"/>
    </row>
    <row r="409" spans="2:24" s="165" customFormat="1" ht="30">
      <c r="B409" s="48"/>
      <c r="C409" s="62"/>
      <c r="D409" s="63"/>
      <c r="E409" s="63"/>
      <c r="F409" s="64"/>
      <c r="G409" s="58" t="s">
        <v>2639</v>
      </c>
      <c r="H409" s="52" t="s">
        <v>743</v>
      </c>
      <c r="I409" s="52" t="s">
        <v>743</v>
      </c>
      <c r="J409" s="52" t="s">
        <v>743</v>
      </c>
      <c r="K409" s="52" t="s">
        <v>743</v>
      </c>
      <c r="L409" s="52" t="s">
        <v>1040</v>
      </c>
      <c r="M409" s="238" t="s">
        <v>1040</v>
      </c>
      <c r="N409" s="52" t="s">
        <v>2620</v>
      </c>
      <c r="O409" s="238">
        <v>700000000</v>
      </c>
      <c r="P409" s="52" t="s">
        <v>2620</v>
      </c>
      <c r="Q409" s="238">
        <v>0</v>
      </c>
      <c r="R409" s="52" t="s">
        <v>2620</v>
      </c>
      <c r="S409" s="238">
        <v>0</v>
      </c>
      <c r="T409" s="52" t="s">
        <v>2620</v>
      </c>
      <c r="U409" s="238">
        <v>0</v>
      </c>
      <c r="V409" s="52"/>
      <c r="W409" s="52"/>
      <c r="X409" s="52"/>
    </row>
    <row r="410" spans="2:24" s="165" customFormat="1" ht="30">
      <c r="B410" s="48"/>
      <c r="C410" s="62"/>
      <c r="D410" s="63"/>
      <c r="E410" s="63"/>
      <c r="F410" s="64"/>
      <c r="G410" s="58" t="s">
        <v>2640</v>
      </c>
      <c r="H410" s="52" t="s">
        <v>743</v>
      </c>
      <c r="I410" s="52" t="s">
        <v>743</v>
      </c>
      <c r="J410" s="52" t="s">
        <v>743</v>
      </c>
      <c r="K410" s="52" t="s">
        <v>743</v>
      </c>
      <c r="L410" s="52" t="s">
        <v>2620</v>
      </c>
      <c r="M410" s="238">
        <v>60000000</v>
      </c>
      <c r="N410" s="52" t="s">
        <v>2620</v>
      </c>
      <c r="O410" s="238">
        <v>60000000</v>
      </c>
      <c r="P410" s="52" t="s">
        <v>2620</v>
      </c>
      <c r="Q410" s="238">
        <v>0</v>
      </c>
      <c r="R410" s="52" t="s">
        <v>2620</v>
      </c>
      <c r="S410" s="238">
        <v>0</v>
      </c>
      <c r="T410" s="52" t="s">
        <v>2620</v>
      </c>
      <c r="U410" s="238">
        <v>0</v>
      </c>
      <c r="V410" s="52"/>
      <c r="W410" s="52"/>
      <c r="X410" s="52"/>
    </row>
    <row r="411" spans="2:24" s="165" customFormat="1" ht="30">
      <c r="B411" s="48"/>
      <c r="C411" s="62"/>
      <c r="D411" s="63"/>
      <c r="E411" s="63"/>
      <c r="F411" s="64"/>
      <c r="G411" s="58" t="s">
        <v>2641</v>
      </c>
      <c r="H411" s="52" t="s">
        <v>743</v>
      </c>
      <c r="I411" s="52" t="s">
        <v>743</v>
      </c>
      <c r="J411" s="52" t="s">
        <v>743</v>
      </c>
      <c r="K411" s="52" t="s">
        <v>743</v>
      </c>
      <c r="L411" s="52" t="s">
        <v>2620</v>
      </c>
      <c r="M411" s="238">
        <v>60000000</v>
      </c>
      <c r="N411" s="52" t="s">
        <v>2620</v>
      </c>
      <c r="O411" s="238">
        <v>60000000</v>
      </c>
      <c r="P411" s="52" t="s">
        <v>2620</v>
      </c>
      <c r="Q411" s="238">
        <v>0</v>
      </c>
      <c r="R411" s="52" t="s">
        <v>2620</v>
      </c>
      <c r="S411" s="238">
        <v>0</v>
      </c>
      <c r="T411" s="52" t="s">
        <v>2620</v>
      </c>
      <c r="U411" s="238">
        <v>0</v>
      </c>
      <c r="V411" s="52"/>
      <c r="W411" s="52"/>
      <c r="X411" s="52"/>
    </row>
    <row r="412" spans="2:24" s="165" customFormat="1" ht="30">
      <c r="B412" s="48"/>
      <c r="C412" s="62"/>
      <c r="D412" s="63"/>
      <c r="E412" s="63"/>
      <c r="F412" s="64"/>
      <c r="G412" s="58" t="s">
        <v>2642</v>
      </c>
      <c r="H412" s="52" t="s">
        <v>743</v>
      </c>
      <c r="I412" s="52" t="s">
        <v>743</v>
      </c>
      <c r="J412" s="52" t="s">
        <v>743</v>
      </c>
      <c r="K412" s="52" t="s">
        <v>743</v>
      </c>
      <c r="L412" s="52" t="s">
        <v>2620</v>
      </c>
      <c r="M412" s="238">
        <v>70000000</v>
      </c>
      <c r="N412" s="52" t="s">
        <v>2620</v>
      </c>
      <c r="O412" s="238">
        <v>70000000</v>
      </c>
      <c r="P412" s="52" t="s">
        <v>2620</v>
      </c>
      <c r="Q412" s="238">
        <v>0</v>
      </c>
      <c r="R412" s="52" t="s">
        <v>2620</v>
      </c>
      <c r="S412" s="238">
        <v>0</v>
      </c>
      <c r="T412" s="52" t="s">
        <v>2620</v>
      </c>
      <c r="U412" s="238">
        <v>0</v>
      </c>
      <c r="V412" s="52"/>
      <c r="W412" s="52"/>
      <c r="X412" s="52" t="str">
        <f>'[4]matrik MISI 3.1'!AE73</f>
        <v>DISHUBKOMINFO</v>
      </c>
    </row>
    <row r="413" spans="2:24" s="165" customFormat="1" ht="45">
      <c r="B413" s="48"/>
      <c r="C413" s="62"/>
      <c r="D413" s="63"/>
      <c r="E413" s="63"/>
      <c r="F413" s="64"/>
      <c r="G413" s="58" t="s">
        <v>2643</v>
      </c>
      <c r="H413" s="52" t="s">
        <v>743</v>
      </c>
      <c r="I413" s="52" t="s">
        <v>2644</v>
      </c>
      <c r="J413" s="161">
        <v>1</v>
      </c>
      <c r="K413" s="527">
        <v>45000000</v>
      </c>
      <c r="L413" s="52" t="s">
        <v>1040</v>
      </c>
      <c r="M413" s="238" t="s">
        <v>1040</v>
      </c>
      <c r="N413" s="52" t="s">
        <v>2620</v>
      </c>
      <c r="O413" s="238">
        <v>0</v>
      </c>
      <c r="P413" s="52" t="s">
        <v>2620</v>
      </c>
      <c r="Q413" s="238">
        <v>0</v>
      </c>
      <c r="R413" s="52" t="s">
        <v>2620</v>
      </c>
      <c r="S413" s="238">
        <v>0</v>
      </c>
      <c r="T413" s="52" t="s">
        <v>2620</v>
      </c>
      <c r="U413" s="238">
        <v>0</v>
      </c>
      <c r="V413" s="52"/>
      <c r="W413" s="52"/>
      <c r="X413" s="52"/>
    </row>
    <row r="414" spans="2:24" s="165" customFormat="1" ht="30">
      <c r="B414" s="48"/>
      <c r="C414" s="62"/>
      <c r="D414" s="63"/>
      <c r="E414" s="63"/>
      <c r="F414" s="64"/>
      <c r="G414" s="58" t="s">
        <v>2645</v>
      </c>
      <c r="H414" s="52" t="s">
        <v>743</v>
      </c>
      <c r="I414" s="52" t="s">
        <v>743</v>
      </c>
      <c r="J414" s="52" t="s">
        <v>743</v>
      </c>
      <c r="K414" s="52" t="s">
        <v>743</v>
      </c>
      <c r="L414" s="52" t="s">
        <v>2620</v>
      </c>
      <c r="M414" s="238">
        <v>200000000</v>
      </c>
      <c r="N414" s="52" t="s">
        <v>2620</v>
      </c>
      <c r="O414" s="238">
        <v>0</v>
      </c>
      <c r="P414" s="52" t="s">
        <v>2620</v>
      </c>
      <c r="Q414" s="238">
        <v>0</v>
      </c>
      <c r="R414" s="52" t="s">
        <v>2620</v>
      </c>
      <c r="S414" s="238">
        <v>0</v>
      </c>
      <c r="T414" s="52" t="s">
        <v>2620</v>
      </c>
      <c r="U414" s="238">
        <v>0</v>
      </c>
      <c r="V414" s="52"/>
      <c r="W414" s="52"/>
      <c r="X414" s="52"/>
    </row>
    <row r="415" spans="2:24" s="165" customFormat="1" ht="45">
      <c r="B415" s="48"/>
      <c r="C415" s="62"/>
      <c r="D415" s="63"/>
      <c r="E415" s="63"/>
      <c r="F415" s="64"/>
      <c r="G415" s="58" t="s">
        <v>2646</v>
      </c>
      <c r="H415" s="52" t="s">
        <v>743</v>
      </c>
      <c r="I415" s="52" t="s">
        <v>743</v>
      </c>
      <c r="J415" s="52" t="s">
        <v>743</v>
      </c>
      <c r="K415" s="52" t="s">
        <v>743</v>
      </c>
      <c r="L415" s="52" t="s">
        <v>2620</v>
      </c>
      <c r="M415" s="238">
        <v>85000000</v>
      </c>
      <c r="N415" s="52" t="s">
        <v>2620</v>
      </c>
      <c r="O415" s="238">
        <v>0</v>
      </c>
      <c r="P415" s="52" t="s">
        <v>2620</v>
      </c>
      <c r="Q415" s="238">
        <v>0</v>
      </c>
      <c r="R415" s="52" t="s">
        <v>2620</v>
      </c>
      <c r="S415" s="238">
        <v>0</v>
      </c>
      <c r="T415" s="52" t="s">
        <v>2620</v>
      </c>
      <c r="U415" s="238">
        <v>0</v>
      </c>
      <c r="V415" s="52"/>
      <c r="W415" s="52"/>
      <c r="X415" s="52"/>
    </row>
    <row r="416" spans="2:24" s="165" customFormat="1" ht="30">
      <c r="B416" s="48"/>
      <c r="C416" s="62"/>
      <c r="D416" s="63"/>
      <c r="E416" s="63"/>
      <c r="F416" s="64"/>
      <c r="G416" s="58" t="s">
        <v>2647</v>
      </c>
      <c r="H416" s="52" t="s">
        <v>743</v>
      </c>
      <c r="I416" s="52" t="s">
        <v>743</v>
      </c>
      <c r="J416" s="52" t="s">
        <v>743</v>
      </c>
      <c r="K416" s="52" t="s">
        <v>743</v>
      </c>
      <c r="L416" s="52" t="s">
        <v>2620</v>
      </c>
      <c r="M416" s="238">
        <v>5000000</v>
      </c>
      <c r="N416" s="52" t="s">
        <v>2620</v>
      </c>
      <c r="O416" s="238">
        <v>5000000</v>
      </c>
      <c r="P416" s="52" t="s">
        <v>2620</v>
      </c>
      <c r="Q416" s="238">
        <v>5500000</v>
      </c>
      <c r="R416" s="52" t="s">
        <v>2620</v>
      </c>
      <c r="S416" s="238">
        <v>5500000</v>
      </c>
      <c r="T416" s="52" t="s">
        <v>2620</v>
      </c>
      <c r="U416" s="238">
        <v>5500000</v>
      </c>
      <c r="V416" s="52"/>
      <c r="W416" s="52"/>
      <c r="X416" s="52"/>
    </row>
    <row r="417" spans="2:24" s="165" customFormat="1" ht="30">
      <c r="B417" s="48"/>
      <c r="C417" s="62"/>
      <c r="D417" s="63"/>
      <c r="E417" s="63"/>
      <c r="F417" s="64"/>
      <c r="G417" s="58" t="s">
        <v>2648</v>
      </c>
      <c r="H417" s="174" t="s">
        <v>743</v>
      </c>
      <c r="I417" s="174" t="s">
        <v>743</v>
      </c>
      <c r="J417" s="174" t="s">
        <v>743</v>
      </c>
      <c r="K417" s="174" t="s">
        <v>743</v>
      </c>
      <c r="L417" s="174" t="s">
        <v>743</v>
      </c>
      <c r="M417" s="174" t="s">
        <v>743</v>
      </c>
      <c r="N417" s="52" t="s">
        <v>1040</v>
      </c>
      <c r="O417" s="238" t="s">
        <v>1040</v>
      </c>
      <c r="P417" s="52" t="s">
        <v>2620</v>
      </c>
      <c r="Q417" s="238">
        <v>6000000</v>
      </c>
      <c r="R417" s="52" t="s">
        <v>2620</v>
      </c>
      <c r="S417" s="238">
        <v>7000000</v>
      </c>
      <c r="T417" s="52" t="s">
        <v>2620</v>
      </c>
      <c r="U417" s="238">
        <v>7000000</v>
      </c>
      <c r="V417" s="52"/>
      <c r="W417" s="52"/>
      <c r="X417" s="52"/>
    </row>
    <row r="418" spans="2:24" s="165" customFormat="1" ht="30">
      <c r="B418" s="48"/>
      <c r="C418" s="62"/>
      <c r="D418" s="63"/>
      <c r="E418" s="63"/>
      <c r="F418" s="64"/>
      <c r="G418" s="58" t="s">
        <v>2649</v>
      </c>
      <c r="H418" s="161" t="s">
        <v>1040</v>
      </c>
      <c r="I418" s="161" t="s">
        <v>1040</v>
      </c>
      <c r="J418" s="161" t="s">
        <v>1040</v>
      </c>
      <c r="K418" s="161" t="s">
        <v>1040</v>
      </c>
      <c r="L418" s="161" t="s">
        <v>1040</v>
      </c>
      <c r="M418" s="161" t="s">
        <v>1040</v>
      </c>
      <c r="N418" s="52" t="s">
        <v>2650</v>
      </c>
      <c r="O418" s="238">
        <v>50000000</v>
      </c>
      <c r="P418" s="52" t="s">
        <v>2650</v>
      </c>
      <c r="Q418" s="238">
        <v>50000000</v>
      </c>
      <c r="R418" s="52" t="s">
        <v>2650</v>
      </c>
      <c r="S418" s="238">
        <v>50000000</v>
      </c>
      <c r="T418" s="52" t="s">
        <v>2650</v>
      </c>
      <c r="U418" s="238">
        <v>50000000</v>
      </c>
      <c r="V418" s="52"/>
      <c r="W418" s="52"/>
      <c r="X418" s="52"/>
    </row>
    <row r="419" spans="2:24" s="165" customFormat="1" ht="30">
      <c r="B419" s="48"/>
      <c r="C419" s="62"/>
      <c r="D419" s="63"/>
      <c r="E419" s="63"/>
      <c r="F419" s="64"/>
      <c r="G419" s="58" t="s">
        <v>2651</v>
      </c>
      <c r="H419" s="161" t="s">
        <v>1040</v>
      </c>
      <c r="I419" s="161" t="s">
        <v>1040</v>
      </c>
      <c r="J419" s="161" t="s">
        <v>1040</v>
      </c>
      <c r="K419" s="161" t="s">
        <v>1040</v>
      </c>
      <c r="L419" s="161" t="s">
        <v>1040</v>
      </c>
      <c r="M419" s="161" t="s">
        <v>1040</v>
      </c>
      <c r="N419" s="52" t="s">
        <v>2652</v>
      </c>
      <c r="O419" s="238">
        <v>50000001</v>
      </c>
      <c r="P419" s="52" t="s">
        <v>2652</v>
      </c>
      <c r="Q419" s="238">
        <v>50000001</v>
      </c>
      <c r="R419" s="52" t="s">
        <v>1040</v>
      </c>
      <c r="S419" s="238" t="s">
        <v>1040</v>
      </c>
      <c r="T419" s="52" t="s">
        <v>1040</v>
      </c>
      <c r="U419" s="238" t="s">
        <v>1040</v>
      </c>
      <c r="V419" s="52"/>
      <c r="W419" s="52"/>
      <c r="X419" s="52"/>
    </row>
    <row r="420" spans="2:24" s="165" customFormat="1" ht="45">
      <c r="B420" s="48"/>
      <c r="C420" s="62"/>
      <c r="D420" s="63"/>
      <c r="E420" s="63"/>
      <c r="F420" s="64"/>
      <c r="G420" s="58" t="s">
        <v>2653</v>
      </c>
      <c r="H420" s="161">
        <v>1</v>
      </c>
      <c r="I420" s="52" t="s">
        <v>2635</v>
      </c>
      <c r="J420" s="161">
        <v>1</v>
      </c>
      <c r="K420" s="186">
        <v>75000000</v>
      </c>
      <c r="L420" s="52" t="s">
        <v>2635</v>
      </c>
      <c r="M420" s="186">
        <v>61110000</v>
      </c>
      <c r="N420" s="52" t="s">
        <v>2635</v>
      </c>
      <c r="O420" s="186">
        <v>95000000</v>
      </c>
      <c r="P420" s="52" t="s">
        <v>2635</v>
      </c>
      <c r="Q420" s="186">
        <v>105000000</v>
      </c>
      <c r="R420" s="52" t="s">
        <v>2635</v>
      </c>
      <c r="S420" s="186">
        <v>115000000</v>
      </c>
      <c r="T420" s="52" t="s">
        <v>2635</v>
      </c>
      <c r="U420" s="186">
        <v>115000000</v>
      </c>
      <c r="V420" s="52"/>
      <c r="W420" s="52"/>
      <c r="X420" s="52"/>
    </row>
    <row r="421" spans="2:24" s="165" customFormat="1">
      <c r="B421" s="48"/>
      <c r="C421" s="62"/>
      <c r="D421" s="63"/>
      <c r="E421" s="63"/>
      <c r="F421" s="64"/>
      <c r="G421" s="58" t="s">
        <v>2654</v>
      </c>
      <c r="H421" s="52"/>
      <c r="I421" s="52"/>
      <c r="J421" s="52"/>
      <c r="K421" s="186"/>
      <c r="L421" s="52"/>
      <c r="M421" s="186"/>
      <c r="N421" s="52"/>
      <c r="O421" s="186"/>
      <c r="P421" s="52"/>
      <c r="Q421" s="186"/>
      <c r="R421" s="52"/>
      <c r="S421" s="186"/>
      <c r="T421" s="52"/>
      <c r="U421" s="186"/>
      <c r="V421" s="52"/>
      <c r="W421" s="52"/>
      <c r="X421" s="52"/>
    </row>
    <row r="422" spans="2:24" s="165" customFormat="1" ht="30">
      <c r="B422" s="48"/>
      <c r="C422" s="62"/>
      <c r="D422" s="63"/>
      <c r="E422" s="63"/>
      <c r="F422" s="64"/>
      <c r="G422" s="58" t="s">
        <v>2655</v>
      </c>
      <c r="H422" s="161">
        <v>1</v>
      </c>
      <c r="I422" s="52" t="s">
        <v>2635</v>
      </c>
      <c r="J422" s="161">
        <v>1</v>
      </c>
      <c r="K422" s="186">
        <v>40000000</v>
      </c>
      <c r="L422" s="52" t="s">
        <v>2635</v>
      </c>
      <c r="M422" s="186">
        <v>38546000</v>
      </c>
      <c r="N422" s="52" t="s">
        <v>2635</v>
      </c>
      <c r="O422" s="186">
        <v>65000000</v>
      </c>
      <c r="P422" s="52" t="s">
        <v>2635</v>
      </c>
      <c r="Q422" s="186">
        <v>75000000</v>
      </c>
      <c r="R422" s="52" t="s">
        <v>2635</v>
      </c>
      <c r="S422" s="186">
        <v>85000000</v>
      </c>
      <c r="T422" s="52" t="s">
        <v>2635</v>
      </c>
      <c r="U422" s="186">
        <v>85000000</v>
      </c>
      <c r="V422" s="52"/>
      <c r="W422" s="52"/>
      <c r="X422" s="52"/>
    </row>
    <row r="423" spans="2:24" s="165" customFormat="1" ht="30">
      <c r="B423" s="48"/>
      <c r="C423" s="62"/>
      <c r="D423" s="63"/>
      <c r="E423" s="63"/>
      <c r="F423" s="64"/>
      <c r="G423" s="58" t="s">
        <v>2656</v>
      </c>
      <c r="H423" s="174" t="s">
        <v>743</v>
      </c>
      <c r="I423" s="174" t="s">
        <v>743</v>
      </c>
      <c r="J423" s="174" t="s">
        <v>743</v>
      </c>
      <c r="K423" s="174" t="s">
        <v>743</v>
      </c>
      <c r="L423" s="52"/>
      <c r="M423" s="52"/>
      <c r="N423" s="52" t="s">
        <v>2620</v>
      </c>
      <c r="O423" s="238">
        <v>200000000</v>
      </c>
      <c r="P423" s="174" t="s">
        <v>743</v>
      </c>
      <c r="Q423" s="174" t="s">
        <v>743</v>
      </c>
      <c r="R423" s="174" t="s">
        <v>743</v>
      </c>
      <c r="S423" s="174" t="s">
        <v>743</v>
      </c>
      <c r="T423" s="174" t="s">
        <v>743</v>
      </c>
      <c r="U423" s="174" t="s">
        <v>743</v>
      </c>
      <c r="V423" s="52"/>
      <c r="W423" s="52"/>
      <c r="X423" s="52"/>
    </row>
    <row r="424" spans="2:24" s="165" customFormat="1" ht="45">
      <c r="B424" s="48"/>
      <c r="C424" s="62"/>
      <c r="D424" s="63"/>
      <c r="E424" s="63"/>
      <c r="F424" s="64"/>
      <c r="G424" s="58" t="s">
        <v>2658</v>
      </c>
      <c r="H424" s="52"/>
      <c r="I424" s="52"/>
      <c r="J424" s="161"/>
      <c r="K424" s="238"/>
      <c r="L424" s="52"/>
      <c r="M424" s="238">
        <v>6000000</v>
      </c>
      <c r="N424" s="238"/>
      <c r="O424" s="238">
        <v>67000000</v>
      </c>
      <c r="P424" s="238"/>
      <c r="Q424" s="238">
        <v>7000000</v>
      </c>
      <c r="R424" s="238"/>
      <c r="S424" s="238">
        <v>9100000</v>
      </c>
      <c r="T424" s="238"/>
      <c r="U424" s="238">
        <v>9100000</v>
      </c>
      <c r="V424" s="52"/>
      <c r="W424" s="52"/>
      <c r="X424" s="52"/>
    </row>
    <row r="425" spans="2:24" s="165" customFormat="1" ht="45">
      <c r="B425" s="48"/>
      <c r="C425" s="62"/>
      <c r="D425" s="63"/>
      <c r="E425" s="63"/>
      <c r="F425" s="64"/>
      <c r="G425" s="58" t="s">
        <v>2657</v>
      </c>
      <c r="H425" s="52"/>
      <c r="I425" s="52"/>
      <c r="J425" s="161"/>
      <c r="K425" s="238"/>
      <c r="L425" s="52"/>
      <c r="M425" s="238"/>
      <c r="N425" s="186"/>
      <c r="O425" s="238">
        <v>61000000</v>
      </c>
      <c r="P425" s="186"/>
      <c r="Q425" s="238">
        <v>2000000</v>
      </c>
      <c r="R425" s="186"/>
      <c r="S425" s="238">
        <v>3000000</v>
      </c>
      <c r="T425" s="186"/>
      <c r="U425" s="238">
        <v>3000000</v>
      </c>
      <c r="V425" s="52"/>
      <c r="W425" s="52"/>
      <c r="X425" s="52"/>
    </row>
    <row r="426" spans="2:24" s="165" customFormat="1" ht="60">
      <c r="B426" s="48"/>
      <c r="C426" s="62"/>
      <c r="D426" s="63"/>
      <c r="E426" s="63"/>
      <c r="F426" s="64"/>
      <c r="G426" s="58" t="s">
        <v>2659</v>
      </c>
      <c r="H426" s="174" t="s">
        <v>743</v>
      </c>
      <c r="I426" s="174" t="s">
        <v>743</v>
      </c>
      <c r="J426" s="174" t="s">
        <v>743</v>
      </c>
      <c r="K426" s="174" t="s">
        <v>743</v>
      </c>
      <c r="L426" s="174" t="s">
        <v>743</v>
      </c>
      <c r="M426" s="174" t="s">
        <v>743</v>
      </c>
      <c r="N426" s="52" t="s">
        <v>2620</v>
      </c>
      <c r="O426" s="238">
        <v>15000000</v>
      </c>
      <c r="P426" s="174" t="s">
        <v>743</v>
      </c>
      <c r="Q426" s="174" t="s">
        <v>743</v>
      </c>
      <c r="R426" s="174" t="s">
        <v>743</v>
      </c>
      <c r="S426" s="174" t="s">
        <v>743</v>
      </c>
      <c r="T426" s="174" t="s">
        <v>743</v>
      </c>
      <c r="U426" s="174" t="s">
        <v>743</v>
      </c>
      <c r="V426" s="52"/>
      <c r="W426" s="52"/>
      <c r="X426" s="52"/>
    </row>
    <row r="427" spans="2:24" s="165" customFormat="1" ht="60">
      <c r="B427" s="48"/>
      <c r="C427" s="62"/>
      <c r="D427" s="63"/>
      <c r="E427" s="63"/>
      <c r="F427" s="64"/>
      <c r="G427" s="58" t="s">
        <v>2678</v>
      </c>
      <c r="H427" s="161">
        <v>0.75</v>
      </c>
      <c r="I427" s="161">
        <v>1</v>
      </c>
      <c r="J427" s="161">
        <v>0.8</v>
      </c>
      <c r="K427" s="187">
        <v>79100000</v>
      </c>
      <c r="L427" s="161">
        <v>0.85</v>
      </c>
      <c r="M427" s="187">
        <v>94342000</v>
      </c>
      <c r="N427" s="161">
        <v>0.9</v>
      </c>
      <c r="O427" s="187">
        <v>100000000</v>
      </c>
      <c r="P427" s="161">
        <v>0.95</v>
      </c>
      <c r="Q427" s="187">
        <v>110000000</v>
      </c>
      <c r="R427" s="161">
        <v>1</v>
      </c>
      <c r="S427" s="187">
        <v>125000000</v>
      </c>
      <c r="T427" s="161">
        <v>1</v>
      </c>
      <c r="U427" s="187">
        <v>125000000</v>
      </c>
      <c r="V427" s="52"/>
      <c r="W427" s="52"/>
      <c r="X427" s="52"/>
    </row>
    <row r="428" spans="2:24" s="165" customFormat="1" ht="90">
      <c r="B428" s="48"/>
      <c r="C428" s="62"/>
      <c r="D428" s="63"/>
      <c r="E428" s="63"/>
      <c r="F428" s="64"/>
      <c r="G428" s="58" t="s">
        <v>2679</v>
      </c>
      <c r="H428" s="52" t="s">
        <v>743</v>
      </c>
      <c r="I428" s="161">
        <v>1</v>
      </c>
      <c r="J428" s="161">
        <v>1</v>
      </c>
      <c r="K428" s="187">
        <v>70000000</v>
      </c>
      <c r="L428" s="161">
        <v>1</v>
      </c>
      <c r="M428" s="187">
        <v>53456000</v>
      </c>
      <c r="N428" s="161">
        <v>1</v>
      </c>
      <c r="O428" s="187">
        <v>90000000</v>
      </c>
      <c r="P428" s="161">
        <v>1</v>
      </c>
      <c r="Q428" s="187">
        <v>100000000</v>
      </c>
      <c r="R428" s="161">
        <v>1</v>
      </c>
      <c r="S428" s="187">
        <v>115000000</v>
      </c>
      <c r="T428" s="161">
        <v>1</v>
      </c>
      <c r="U428" s="187">
        <v>115000000</v>
      </c>
      <c r="V428" s="52"/>
      <c r="W428" s="52"/>
      <c r="X428" s="52"/>
    </row>
    <row r="429" spans="2:24" s="165" customFormat="1" ht="30">
      <c r="B429" s="48"/>
      <c r="C429" s="62"/>
      <c r="D429" s="63"/>
      <c r="E429" s="63"/>
      <c r="F429" s="64"/>
      <c r="G429" s="58" t="s">
        <v>2680</v>
      </c>
      <c r="H429" s="161" t="s">
        <v>743</v>
      </c>
      <c r="I429" s="161" t="s">
        <v>743</v>
      </c>
      <c r="J429" s="161" t="s">
        <v>743</v>
      </c>
      <c r="K429" s="529" t="s">
        <v>743</v>
      </c>
      <c r="L429" s="529" t="s">
        <v>743</v>
      </c>
      <c r="M429" s="529" t="s">
        <v>743</v>
      </c>
      <c r="N429" s="529" t="s">
        <v>743</v>
      </c>
      <c r="O429" s="529" t="s">
        <v>743</v>
      </c>
      <c r="P429" s="529" t="s">
        <v>743</v>
      </c>
      <c r="Q429" s="529" t="s">
        <v>743</v>
      </c>
      <c r="R429" s="529" t="s">
        <v>743</v>
      </c>
      <c r="S429" s="529" t="s">
        <v>743</v>
      </c>
      <c r="T429" s="529" t="s">
        <v>743</v>
      </c>
      <c r="U429" s="529" t="s">
        <v>743</v>
      </c>
      <c r="V429" s="52"/>
      <c r="W429" s="52"/>
      <c r="X429" s="52"/>
    </row>
    <row r="430" spans="2:24" s="165" customFormat="1" ht="30">
      <c r="B430" s="48"/>
      <c r="C430" s="62"/>
      <c r="D430" s="63"/>
      <c r="E430" s="63"/>
      <c r="F430" s="64"/>
      <c r="G430" s="58" t="s">
        <v>2681</v>
      </c>
      <c r="H430" s="174" t="s">
        <v>743</v>
      </c>
      <c r="I430" s="174" t="s">
        <v>743</v>
      </c>
      <c r="J430" s="174" t="s">
        <v>743</v>
      </c>
      <c r="K430" s="174" t="s">
        <v>743</v>
      </c>
      <c r="L430" s="174" t="s">
        <v>743</v>
      </c>
      <c r="M430" s="174" t="s">
        <v>743</v>
      </c>
      <c r="N430" s="52" t="s">
        <v>2620</v>
      </c>
      <c r="O430" s="238">
        <v>200000000</v>
      </c>
      <c r="P430" s="174" t="s">
        <v>743</v>
      </c>
      <c r="Q430" s="174" t="s">
        <v>743</v>
      </c>
      <c r="R430" s="174" t="s">
        <v>743</v>
      </c>
      <c r="S430" s="174" t="s">
        <v>743</v>
      </c>
      <c r="T430" s="174" t="s">
        <v>743</v>
      </c>
      <c r="U430" s="174" t="s">
        <v>743</v>
      </c>
      <c r="V430" s="52"/>
      <c r="W430" s="52"/>
      <c r="X430" s="52"/>
    </row>
    <row r="431" spans="2:24" s="165" customFormat="1" ht="30">
      <c r="B431" s="48"/>
      <c r="C431" s="62"/>
      <c r="D431" s="63"/>
      <c r="E431" s="63"/>
      <c r="F431" s="64"/>
      <c r="G431" s="58" t="s">
        <v>2682</v>
      </c>
      <c r="H431" s="161">
        <v>1</v>
      </c>
      <c r="I431" s="52" t="s">
        <v>2620</v>
      </c>
      <c r="J431" s="161">
        <v>1</v>
      </c>
      <c r="K431" s="238">
        <v>25000000</v>
      </c>
      <c r="L431" s="52" t="s">
        <v>2620</v>
      </c>
      <c r="M431" s="238">
        <v>0</v>
      </c>
      <c r="N431" s="52" t="s">
        <v>2620</v>
      </c>
      <c r="O431" s="238">
        <v>0</v>
      </c>
      <c r="P431" s="52" t="s">
        <v>2620</v>
      </c>
      <c r="Q431" s="238">
        <v>0</v>
      </c>
      <c r="R431" s="52" t="s">
        <v>2620</v>
      </c>
      <c r="S431" s="238">
        <v>0</v>
      </c>
      <c r="T431" s="52" t="s">
        <v>2620</v>
      </c>
      <c r="U431" s="238">
        <v>0</v>
      </c>
      <c r="V431" s="52"/>
      <c r="W431" s="52"/>
      <c r="X431" s="52"/>
    </row>
    <row r="432" spans="2:24" s="165" customFormat="1" ht="30">
      <c r="B432" s="48"/>
      <c r="C432" s="62"/>
      <c r="D432" s="63"/>
      <c r="E432" s="63"/>
      <c r="F432" s="64"/>
      <c r="G432" s="58" t="s">
        <v>2683</v>
      </c>
      <c r="H432" s="52" t="s">
        <v>743</v>
      </c>
      <c r="I432" s="52" t="s">
        <v>2620</v>
      </c>
      <c r="J432" s="161">
        <v>1</v>
      </c>
      <c r="K432" s="527">
        <v>45000000</v>
      </c>
      <c r="L432" s="52" t="s">
        <v>1040</v>
      </c>
      <c r="M432" s="238" t="s">
        <v>1040</v>
      </c>
      <c r="N432" s="52" t="s">
        <v>2620</v>
      </c>
      <c r="O432" s="238">
        <v>0</v>
      </c>
      <c r="P432" s="52" t="s">
        <v>2620</v>
      </c>
      <c r="Q432" s="238">
        <v>0</v>
      </c>
      <c r="R432" s="52" t="s">
        <v>2620</v>
      </c>
      <c r="S432" s="238">
        <v>0</v>
      </c>
      <c r="T432" s="52" t="s">
        <v>2620</v>
      </c>
      <c r="U432" s="238">
        <v>0</v>
      </c>
      <c r="V432" s="52"/>
      <c r="W432" s="52"/>
      <c r="X432" s="52"/>
    </row>
    <row r="433" spans="1:32" s="281" customFormat="1" ht="30" customHeight="1">
      <c r="A433" s="300"/>
      <c r="B433" s="1107" t="s">
        <v>4239</v>
      </c>
      <c r="C433" s="1108"/>
      <c r="D433" s="1108"/>
      <c r="E433" s="1108"/>
      <c r="F433" s="1108"/>
      <c r="G433" s="1109"/>
      <c r="H433" s="289"/>
      <c r="I433" s="289"/>
      <c r="J433" s="289"/>
      <c r="K433" s="289">
        <f>SUM(K374:K432)</f>
        <v>2213053000</v>
      </c>
      <c r="L433" s="289"/>
      <c r="M433" s="289">
        <f t="shared" ref="M433:W433" si="34">SUM(M374:M432)</f>
        <v>4056739000</v>
      </c>
      <c r="N433" s="289"/>
      <c r="O433" s="289">
        <f t="shared" si="34"/>
        <v>14413000002</v>
      </c>
      <c r="P433" s="289"/>
      <c r="Q433" s="289">
        <f t="shared" si="34"/>
        <v>5180000002</v>
      </c>
      <c r="R433" s="289"/>
      <c r="S433" s="289">
        <f t="shared" si="34"/>
        <v>5128200000</v>
      </c>
      <c r="T433" s="289"/>
      <c r="U433" s="289">
        <f t="shared" si="34"/>
        <v>4151600000</v>
      </c>
      <c r="V433" s="289">
        <f t="shared" si="34"/>
        <v>0</v>
      </c>
      <c r="W433" s="289">
        <f t="shared" si="34"/>
        <v>0</v>
      </c>
      <c r="X433" s="289"/>
      <c r="Y433" s="300"/>
      <c r="Z433" s="300"/>
      <c r="AA433" s="300"/>
      <c r="AB433" s="300"/>
      <c r="AC433" s="300"/>
      <c r="AD433" s="300"/>
      <c r="AE433" s="300"/>
      <c r="AF433" s="300"/>
    </row>
    <row r="434" spans="1:32">
      <c r="A434" s="165">
        <v>1</v>
      </c>
      <c r="B434" s="62" t="str">
        <f>'[4]matrik MISI 3.1'!B50</f>
        <v>LINGKUNGAN HIDUP</v>
      </c>
      <c r="C434" s="56"/>
      <c r="D434" s="57"/>
      <c r="E434" s="57"/>
      <c r="F434" s="58"/>
      <c r="G434" s="58"/>
      <c r="H434" s="52"/>
      <c r="I434" s="52"/>
      <c r="J434" s="52"/>
      <c r="K434" s="52"/>
      <c r="L434" s="52"/>
      <c r="M434" s="52"/>
      <c r="N434" s="52"/>
      <c r="O434" s="52"/>
      <c r="P434" s="52"/>
      <c r="Q434" s="52"/>
      <c r="R434" s="52"/>
      <c r="S434" s="52"/>
      <c r="T434" s="52"/>
      <c r="U434" s="52"/>
      <c r="V434" s="52"/>
      <c r="W434" s="52"/>
      <c r="X434" s="52"/>
      <c r="Y434" s="165"/>
      <c r="Z434" s="165"/>
      <c r="AA434" s="165"/>
      <c r="AB434" s="165"/>
      <c r="AC434" s="165"/>
      <c r="AD434" s="165"/>
      <c r="AE434" s="165"/>
      <c r="AF434" s="165"/>
    </row>
    <row r="435" spans="1:32" s="540" customFormat="1" ht="60">
      <c r="B435" s="545"/>
      <c r="C435" s="593">
        <f>'[4]matrik MISI 3.1'!P51</f>
        <v>1.08</v>
      </c>
      <c r="D435" s="594" t="str">
        <f>'[4]matrik MISI 3.1'!Q51</f>
        <v>xx</v>
      </c>
      <c r="E435" s="594">
        <f>'[4]matrik MISI 3.1'!R51</f>
        <v>15</v>
      </c>
      <c r="F435" s="595" t="str">
        <f>'[4]matrik MISI 3.1'!S51</f>
        <v>Program Pengembangan Kinerja Pengelolaan Persampahan</v>
      </c>
      <c r="G435" s="548"/>
      <c r="H435" s="550"/>
      <c r="I435" s="550"/>
      <c r="J435" s="550"/>
      <c r="K435" s="603">
        <f>SUM(K436:K451)</f>
        <v>3648500000</v>
      </c>
      <c r="L435" s="603">
        <f t="shared" ref="L435:U435" si="35">SUM(L436:L451)</f>
        <v>0</v>
      </c>
      <c r="M435" s="603">
        <f t="shared" si="35"/>
        <v>2750057500</v>
      </c>
      <c r="N435" s="603">
        <f t="shared" si="35"/>
        <v>0</v>
      </c>
      <c r="O435" s="603">
        <f t="shared" si="35"/>
        <v>8650000000</v>
      </c>
      <c r="P435" s="603">
        <f t="shared" si="35"/>
        <v>0</v>
      </c>
      <c r="Q435" s="603">
        <f t="shared" si="35"/>
        <v>6070000000</v>
      </c>
      <c r="R435" s="603">
        <f t="shared" si="35"/>
        <v>0</v>
      </c>
      <c r="S435" s="603">
        <f t="shared" si="35"/>
        <v>13120000000</v>
      </c>
      <c r="T435" s="603">
        <f t="shared" si="35"/>
        <v>0</v>
      </c>
      <c r="U435" s="603">
        <f t="shared" si="35"/>
        <v>13120000000</v>
      </c>
      <c r="V435" s="550"/>
      <c r="W435" s="550"/>
      <c r="X435" s="550" t="str">
        <f>'[4]matrik MISI 3.1'!AE51</f>
        <v>DPU</v>
      </c>
    </row>
    <row r="436" spans="1:32" ht="105">
      <c r="A436" s="165"/>
      <c r="B436" s="48"/>
      <c r="C436" s="62"/>
      <c r="D436" s="63"/>
      <c r="E436" s="63"/>
      <c r="F436" s="64"/>
      <c r="G436" s="58" t="s">
        <v>2684</v>
      </c>
      <c r="H436" s="52" t="s">
        <v>2496</v>
      </c>
      <c r="I436" s="52" t="s">
        <v>2685</v>
      </c>
      <c r="J436" s="52" t="s">
        <v>2685</v>
      </c>
      <c r="K436" s="533">
        <v>198500000</v>
      </c>
      <c r="L436" s="52" t="s">
        <v>2686</v>
      </c>
      <c r="M436" s="533">
        <v>245773000</v>
      </c>
      <c r="N436" s="52" t="s">
        <v>2687</v>
      </c>
      <c r="O436" s="533">
        <v>275000000</v>
      </c>
      <c r="P436" s="52" t="s">
        <v>2688</v>
      </c>
      <c r="Q436" s="533">
        <v>300000000</v>
      </c>
      <c r="R436" s="52" t="s">
        <v>2689</v>
      </c>
      <c r="S436" s="533">
        <v>325000000</v>
      </c>
      <c r="T436" s="52" t="s">
        <v>2689</v>
      </c>
      <c r="U436" s="533">
        <v>325000000</v>
      </c>
      <c r="V436" s="52"/>
      <c r="W436" s="52"/>
      <c r="X436" s="52"/>
      <c r="Y436" s="165"/>
      <c r="Z436" s="165"/>
      <c r="AA436" s="165"/>
      <c r="AB436" s="165"/>
      <c r="AC436" s="165"/>
      <c r="AD436" s="165"/>
      <c r="AE436" s="165"/>
      <c r="AF436" s="165"/>
    </row>
    <row r="437" spans="1:32" ht="60">
      <c r="A437" s="165"/>
      <c r="B437" s="48"/>
      <c r="C437" s="62"/>
      <c r="D437" s="63"/>
      <c r="E437" s="63"/>
      <c r="F437" s="64"/>
      <c r="G437" s="58" t="s">
        <v>2690</v>
      </c>
      <c r="H437" s="52" t="s">
        <v>2496</v>
      </c>
      <c r="I437" s="52" t="s">
        <v>2691</v>
      </c>
      <c r="J437" s="52" t="s">
        <v>2496</v>
      </c>
      <c r="K437" s="533">
        <v>100000000</v>
      </c>
      <c r="L437" s="52" t="str">
        <f>I437</f>
        <v>4 sepeda motor roda 3</v>
      </c>
      <c r="M437" s="533">
        <v>97554500</v>
      </c>
      <c r="N437" s="52" t="s">
        <v>743</v>
      </c>
      <c r="O437" s="533" t="s">
        <v>743</v>
      </c>
      <c r="P437" s="52" t="s">
        <v>2692</v>
      </c>
      <c r="Q437" s="533">
        <v>125000000</v>
      </c>
      <c r="R437" s="52" t="s">
        <v>743</v>
      </c>
      <c r="S437" s="533" t="s">
        <v>743</v>
      </c>
      <c r="T437" s="52" t="s">
        <v>743</v>
      </c>
      <c r="U437" s="533" t="s">
        <v>743</v>
      </c>
      <c r="V437" s="52"/>
      <c r="W437" s="52"/>
      <c r="X437" s="52"/>
      <c r="Y437" s="165"/>
      <c r="Z437" s="165"/>
      <c r="AA437" s="165"/>
      <c r="AB437" s="165"/>
      <c r="AC437" s="165"/>
      <c r="AD437" s="165"/>
      <c r="AE437" s="165"/>
      <c r="AF437" s="165"/>
    </row>
    <row r="438" spans="1:32" ht="210">
      <c r="A438" s="165"/>
      <c r="B438" s="48"/>
      <c r="C438" s="62"/>
      <c r="D438" s="63"/>
      <c r="E438" s="63"/>
      <c r="F438" s="64"/>
      <c r="G438" s="58" t="s">
        <v>2693</v>
      </c>
      <c r="H438" s="52" t="s">
        <v>2496</v>
      </c>
      <c r="I438" s="52" t="s">
        <v>2694</v>
      </c>
      <c r="J438" s="52" t="str">
        <f>I438</f>
        <v>terwujudnya pagar keliling TPA, jalan inspeksi, dan peningkatan jalan operasi, dan perpanjangan box cluvert 36 meter</v>
      </c>
      <c r="K438" s="533">
        <v>1000000000</v>
      </c>
      <c r="L438" s="533" t="s">
        <v>743</v>
      </c>
      <c r="M438" s="533" t="s">
        <v>743</v>
      </c>
      <c r="N438" s="533" t="s">
        <v>2695</v>
      </c>
      <c r="O438" s="533">
        <v>2250000000</v>
      </c>
      <c r="P438" s="533" t="str">
        <f>+N438</f>
        <v>Terwujudnya pembangunan zona 1 control landfill</v>
      </c>
      <c r="Q438" s="533">
        <v>1000000000</v>
      </c>
      <c r="R438" s="533" t="str">
        <f>+P438</f>
        <v>Terwujudnya pembangunan zona 1 control landfill</v>
      </c>
      <c r="S438" s="533">
        <v>3000000000</v>
      </c>
      <c r="T438" s="533" t="str">
        <f>+R438</f>
        <v>Terwujudnya pembangunan zona 1 control landfill</v>
      </c>
      <c r="U438" s="533">
        <v>3000000000</v>
      </c>
      <c r="V438" s="52"/>
      <c r="W438" s="52"/>
      <c r="X438" s="52"/>
      <c r="Y438" s="165"/>
      <c r="Z438" s="165"/>
      <c r="AA438" s="165"/>
      <c r="AB438" s="165"/>
      <c r="AC438" s="165"/>
      <c r="AD438" s="165"/>
      <c r="AE438" s="165"/>
      <c r="AF438" s="165"/>
    </row>
    <row r="439" spans="1:32" ht="45">
      <c r="A439" s="165"/>
      <c r="B439" s="48"/>
      <c r="C439" s="62"/>
      <c r="D439" s="63"/>
      <c r="E439" s="63"/>
      <c r="F439" s="64"/>
      <c r="G439" s="58" t="s">
        <v>2696</v>
      </c>
      <c r="H439" s="52" t="s">
        <v>2496</v>
      </c>
      <c r="I439" s="52" t="s">
        <v>2697</v>
      </c>
      <c r="J439" s="52" t="str">
        <f>I439</f>
        <v>1 truck arm roll dan 8 kontainer</v>
      </c>
      <c r="K439" s="533">
        <v>550000000</v>
      </c>
      <c r="L439" s="52" t="s">
        <v>743</v>
      </c>
      <c r="M439" s="533" t="s">
        <v>743</v>
      </c>
      <c r="N439" s="52" t="s">
        <v>2698</v>
      </c>
      <c r="O439" s="533">
        <v>500000000</v>
      </c>
      <c r="P439" s="52" t="s">
        <v>2699</v>
      </c>
      <c r="Q439" s="533">
        <v>500000000</v>
      </c>
      <c r="R439" s="52" t="s">
        <v>2700</v>
      </c>
      <c r="S439" s="533">
        <v>500000000</v>
      </c>
      <c r="T439" s="52" t="s">
        <v>2700</v>
      </c>
      <c r="U439" s="533">
        <v>500000000</v>
      </c>
      <c r="V439" s="52"/>
      <c r="W439" s="52"/>
      <c r="X439" s="52"/>
      <c r="Y439" s="165"/>
      <c r="Z439" s="165"/>
      <c r="AA439" s="165"/>
      <c r="AB439" s="165"/>
      <c r="AC439" s="165"/>
      <c r="AD439" s="165"/>
      <c r="AE439" s="165"/>
      <c r="AF439" s="165"/>
    </row>
    <row r="440" spans="1:32" ht="90">
      <c r="A440" s="165"/>
      <c r="B440" s="48"/>
      <c r="C440" s="62"/>
      <c r="D440" s="63"/>
      <c r="E440" s="63"/>
      <c r="F440" s="64"/>
      <c r="G440" s="58" t="s">
        <v>2701</v>
      </c>
      <c r="H440" s="52" t="s">
        <v>743</v>
      </c>
      <c r="I440" s="52" t="s">
        <v>743</v>
      </c>
      <c r="J440" s="52" t="s">
        <v>743</v>
      </c>
      <c r="K440" s="533" t="s">
        <v>743</v>
      </c>
      <c r="L440" s="52" t="s">
        <v>743</v>
      </c>
      <c r="M440" s="533" t="s">
        <v>743</v>
      </c>
      <c r="N440" s="52" t="s">
        <v>2702</v>
      </c>
      <c r="O440" s="527">
        <v>500000000</v>
      </c>
      <c r="P440" s="52" t="s">
        <v>2703</v>
      </c>
      <c r="Q440" s="529">
        <v>1000000000</v>
      </c>
      <c r="R440" s="52" t="str">
        <f>+P440</f>
        <v>Tersedinya lahan TPA di Sanggrahan dan Jumo</v>
      </c>
      <c r="S440" s="529">
        <f>+Q440</f>
        <v>1000000000</v>
      </c>
      <c r="T440" s="52" t="str">
        <f>+R440</f>
        <v>Tersedinya lahan TPA di Sanggrahan dan Jumo</v>
      </c>
      <c r="U440" s="529">
        <f>+S440</f>
        <v>1000000000</v>
      </c>
      <c r="V440" s="52"/>
      <c r="W440" s="52"/>
      <c r="X440" s="52"/>
      <c r="Y440" s="165"/>
      <c r="Z440" s="165"/>
      <c r="AA440" s="165"/>
      <c r="AB440" s="165"/>
      <c r="AC440" s="165"/>
      <c r="AD440" s="165"/>
      <c r="AE440" s="165"/>
      <c r="AF440" s="165"/>
    </row>
    <row r="441" spans="1:32" ht="90">
      <c r="A441" s="165"/>
      <c r="B441" s="48"/>
      <c r="C441" s="62"/>
      <c r="D441" s="63"/>
      <c r="E441" s="63"/>
      <c r="F441" s="64"/>
      <c r="G441" s="58" t="s">
        <v>2704</v>
      </c>
      <c r="H441" s="52" t="s">
        <v>2496</v>
      </c>
      <c r="I441" s="52" t="s">
        <v>2705</v>
      </c>
      <c r="J441" s="52" t="str">
        <f>I441</f>
        <v>Terangkutnya sampah ke TPA</v>
      </c>
      <c r="K441" s="533">
        <v>1000000000</v>
      </c>
      <c r="L441" s="52" t="s">
        <v>2706</v>
      </c>
      <c r="M441" s="533">
        <v>1147405500</v>
      </c>
      <c r="N441" s="52" t="str">
        <f>L441</f>
        <v>Terangkutnya sampah di daerah pelayanan ke TPA</v>
      </c>
      <c r="O441" s="533">
        <v>1400000000</v>
      </c>
      <c r="P441" s="52" t="str">
        <f>N441</f>
        <v>Terangkutnya sampah di daerah pelayanan ke TPA</v>
      </c>
      <c r="Q441" s="533">
        <v>1450000000</v>
      </c>
      <c r="R441" s="52" t="str">
        <f>P441</f>
        <v>Terangkutnya sampah di daerah pelayanan ke TPA</v>
      </c>
      <c r="S441" s="533">
        <v>1500000000</v>
      </c>
      <c r="T441" s="52" t="str">
        <f>R441</f>
        <v>Terangkutnya sampah di daerah pelayanan ke TPA</v>
      </c>
      <c r="U441" s="533">
        <v>1500000000</v>
      </c>
      <c r="V441" s="52"/>
      <c r="W441" s="52"/>
      <c r="X441" s="52"/>
      <c r="Y441" s="165"/>
      <c r="Z441" s="165"/>
      <c r="AA441" s="165"/>
      <c r="AB441" s="165"/>
      <c r="AC441" s="165"/>
      <c r="AD441" s="165"/>
      <c r="AE441" s="165"/>
      <c r="AF441" s="165"/>
    </row>
    <row r="442" spans="1:32" ht="75">
      <c r="A442" s="165"/>
      <c r="B442" s="48"/>
      <c r="C442" s="62"/>
      <c r="D442" s="63"/>
      <c r="E442" s="63"/>
      <c r="F442" s="64"/>
      <c r="G442" s="58" t="s">
        <v>2707</v>
      </c>
      <c r="H442" s="52" t="s">
        <v>2496</v>
      </c>
      <c r="I442" s="52" t="s">
        <v>2708</v>
      </c>
      <c r="J442" s="52" t="str">
        <f>I442</f>
        <v>tersalurnya dana hibah RT RW</v>
      </c>
      <c r="K442" s="533">
        <v>30000000</v>
      </c>
      <c r="L442" s="52" t="s">
        <v>2709</v>
      </c>
      <c r="M442" s="533">
        <v>30115000</v>
      </c>
      <c r="N442" s="52" t="str">
        <f>L442</f>
        <v>Tersalurnya dana hibah RT RW</v>
      </c>
      <c r="O442" s="533">
        <v>50000000</v>
      </c>
      <c r="P442" s="52" t="str">
        <f>N442</f>
        <v>Tersalurnya dana hibah RT RW</v>
      </c>
      <c r="Q442" s="533">
        <v>60000000</v>
      </c>
      <c r="R442" s="52" t="s">
        <v>2496</v>
      </c>
      <c r="S442" s="533">
        <v>75000000</v>
      </c>
      <c r="T442" s="52" t="s">
        <v>2496</v>
      </c>
      <c r="U442" s="533">
        <v>75000000</v>
      </c>
      <c r="V442" s="52"/>
      <c r="W442" s="52"/>
      <c r="X442" s="52"/>
      <c r="Y442" s="165"/>
      <c r="Z442" s="165"/>
      <c r="AA442" s="165"/>
      <c r="AB442" s="165"/>
      <c r="AC442" s="165"/>
      <c r="AD442" s="165"/>
      <c r="AE442" s="165"/>
      <c r="AF442" s="165"/>
    </row>
    <row r="443" spans="1:32" ht="120">
      <c r="A443" s="165"/>
      <c r="B443" s="48"/>
      <c r="C443" s="62"/>
      <c r="D443" s="63"/>
      <c r="E443" s="63"/>
      <c r="F443" s="64"/>
      <c r="G443" s="58" t="s">
        <v>2710</v>
      </c>
      <c r="H443" s="52" t="s">
        <v>743</v>
      </c>
      <c r="I443" s="52" t="s">
        <v>743</v>
      </c>
      <c r="J443" s="52" t="s">
        <v>743</v>
      </c>
      <c r="K443" s="52" t="s">
        <v>743</v>
      </c>
      <c r="L443" s="52" t="s">
        <v>2711</v>
      </c>
      <c r="M443" s="533">
        <v>25040000</v>
      </c>
      <c r="N443" s="52" t="str">
        <f>L443</f>
        <v>Terciptanya pengurangan sampah dengan bank sampah di 40 lokasi</v>
      </c>
      <c r="O443" s="533">
        <v>75000000</v>
      </c>
      <c r="P443" s="52" t="str">
        <f>N443</f>
        <v>Terciptanya pengurangan sampah dengan bank sampah di 40 lokasi</v>
      </c>
      <c r="Q443" s="533">
        <v>85000000</v>
      </c>
      <c r="R443" s="52" t="str">
        <f>P443</f>
        <v>Terciptanya pengurangan sampah dengan bank sampah di 40 lokasi</v>
      </c>
      <c r="S443" s="52">
        <v>95000000</v>
      </c>
      <c r="T443" s="52" t="str">
        <f>R443</f>
        <v>Terciptanya pengurangan sampah dengan bank sampah di 40 lokasi</v>
      </c>
      <c r="U443" s="52">
        <v>95000000</v>
      </c>
      <c r="V443" s="52"/>
      <c r="W443" s="52"/>
      <c r="X443" s="52"/>
      <c r="Y443" s="165"/>
      <c r="Z443" s="165"/>
      <c r="AA443" s="165"/>
      <c r="AB443" s="165"/>
      <c r="AC443" s="165"/>
      <c r="AD443" s="165"/>
      <c r="AE443" s="165"/>
      <c r="AF443" s="165"/>
    </row>
    <row r="444" spans="1:32" ht="45">
      <c r="A444" s="165"/>
      <c r="B444" s="48"/>
      <c r="C444" s="62"/>
      <c r="D444" s="63"/>
      <c r="E444" s="63"/>
      <c r="F444" s="64"/>
      <c r="G444" s="58" t="s">
        <v>2712</v>
      </c>
      <c r="H444" s="52" t="s">
        <v>743</v>
      </c>
      <c r="I444" s="52" t="s">
        <v>743</v>
      </c>
      <c r="J444" s="52" t="s">
        <v>743</v>
      </c>
      <c r="K444" s="52" t="s">
        <v>743</v>
      </c>
      <c r="L444" s="52" t="s">
        <v>2713</v>
      </c>
      <c r="M444" s="533">
        <v>445600000</v>
      </c>
      <c r="N444" s="533" t="s">
        <v>743</v>
      </c>
      <c r="O444" s="533" t="s">
        <v>743</v>
      </c>
      <c r="P444" s="533" t="s">
        <v>743</v>
      </c>
      <c r="Q444" s="533" t="s">
        <v>743</v>
      </c>
      <c r="R444" s="533" t="s">
        <v>743</v>
      </c>
      <c r="S444" s="533" t="s">
        <v>743</v>
      </c>
      <c r="T444" s="533" t="s">
        <v>743</v>
      </c>
      <c r="U444" s="533" t="s">
        <v>743</v>
      </c>
      <c r="V444" s="52"/>
      <c r="W444" s="52"/>
      <c r="X444" s="52"/>
      <c r="Y444" s="165"/>
      <c r="Z444" s="165"/>
      <c r="AA444" s="165"/>
      <c r="AB444" s="165"/>
      <c r="AC444" s="165"/>
      <c r="AD444" s="165"/>
      <c r="AE444" s="165"/>
      <c r="AF444" s="165"/>
    </row>
    <row r="445" spans="1:32" ht="45">
      <c r="A445" s="165"/>
      <c r="B445" s="48"/>
      <c r="C445" s="62"/>
      <c r="D445" s="63"/>
      <c r="E445" s="63"/>
      <c r="F445" s="64"/>
      <c r="G445" s="58" t="s">
        <v>2714</v>
      </c>
      <c r="H445" s="52" t="s">
        <v>743</v>
      </c>
      <c r="I445" s="52" t="s">
        <v>2496</v>
      </c>
      <c r="J445" s="52" t="s">
        <v>2715</v>
      </c>
      <c r="K445" s="533">
        <v>170000000</v>
      </c>
      <c r="L445" s="52" t="s">
        <v>2716</v>
      </c>
      <c r="M445" s="533">
        <v>358569500</v>
      </c>
      <c r="N445" s="52" t="str">
        <f>L445</f>
        <v>Tersedianya 2 pick up sampah</v>
      </c>
      <c r="O445" s="533">
        <v>350000000</v>
      </c>
      <c r="P445" s="52" t="str">
        <f>N445</f>
        <v>Tersedianya 2 pick up sampah</v>
      </c>
      <c r="Q445" s="533">
        <v>350000000</v>
      </c>
      <c r="R445" s="52" t="str">
        <f>P445</f>
        <v>Tersedianya 2 pick up sampah</v>
      </c>
      <c r="S445" s="533">
        <v>350000000</v>
      </c>
      <c r="T445" s="52" t="str">
        <f>R445</f>
        <v>Tersedianya 2 pick up sampah</v>
      </c>
      <c r="U445" s="533">
        <v>350000000</v>
      </c>
      <c r="V445" s="52"/>
      <c r="W445" s="52"/>
      <c r="X445" s="52"/>
      <c r="Y445" s="165"/>
      <c r="Z445" s="165"/>
      <c r="AA445" s="165"/>
      <c r="AB445" s="165"/>
      <c r="AC445" s="165"/>
      <c r="AD445" s="165"/>
      <c r="AE445" s="165"/>
      <c r="AF445" s="165"/>
    </row>
    <row r="446" spans="1:32" ht="60">
      <c r="A446" s="165"/>
      <c r="B446" s="48"/>
      <c r="C446" s="62"/>
      <c r="D446" s="63"/>
      <c r="E446" s="63"/>
      <c r="F446" s="64"/>
      <c r="G446" s="58" t="s">
        <v>2717</v>
      </c>
      <c r="H446" s="52" t="s">
        <v>743</v>
      </c>
      <c r="I446" s="52" t="s">
        <v>2496</v>
      </c>
      <c r="J446" s="52" t="s">
        <v>2496</v>
      </c>
      <c r="K446" s="533">
        <v>600000000</v>
      </c>
      <c r="L446" s="533" t="s">
        <v>743</v>
      </c>
      <c r="M446" s="533" t="s">
        <v>743</v>
      </c>
      <c r="N446" s="533" t="s">
        <v>2718</v>
      </c>
      <c r="O446" s="533">
        <v>350000000</v>
      </c>
      <c r="P446" s="533" t="str">
        <f>+N446</f>
        <v>Tersedianya 1 dump truck</v>
      </c>
      <c r="Q446" s="533">
        <v>350000000</v>
      </c>
      <c r="R446" s="533" t="str">
        <f>+P446</f>
        <v>Tersedianya 1 dump truck</v>
      </c>
      <c r="S446" s="533">
        <v>375000000</v>
      </c>
      <c r="T446" s="533" t="str">
        <f>+R446</f>
        <v>Tersedianya 1 dump truck</v>
      </c>
      <c r="U446" s="533">
        <v>375000000</v>
      </c>
      <c r="V446" s="52"/>
      <c r="W446" s="52"/>
      <c r="X446" s="52"/>
      <c r="Y446" s="165"/>
      <c r="Z446" s="165"/>
      <c r="AA446" s="165"/>
      <c r="AB446" s="165"/>
      <c r="AC446" s="165"/>
      <c r="AD446" s="165"/>
      <c r="AE446" s="165"/>
      <c r="AF446" s="165"/>
    </row>
    <row r="447" spans="1:32" ht="105">
      <c r="A447" s="165"/>
      <c r="B447" s="48"/>
      <c r="C447" s="62"/>
      <c r="D447" s="63"/>
      <c r="E447" s="63"/>
      <c r="F447" s="64"/>
      <c r="G447" s="58" t="s">
        <v>2719</v>
      </c>
      <c r="H447" s="52" t="s">
        <v>743</v>
      </c>
      <c r="I447" s="52" t="s">
        <v>743</v>
      </c>
      <c r="J447" s="52" t="s">
        <v>743</v>
      </c>
      <c r="K447" s="52" t="s">
        <v>743</v>
      </c>
      <c r="L447" s="52" t="s">
        <v>743</v>
      </c>
      <c r="M447" s="533" t="s">
        <v>743</v>
      </c>
      <c r="N447" s="533" t="s">
        <v>2720</v>
      </c>
      <c r="O447" s="533">
        <v>100000000</v>
      </c>
      <c r="P447" s="533" t="s">
        <v>743</v>
      </c>
      <c r="Q447" s="533" t="s">
        <v>743</v>
      </c>
      <c r="R447" s="533" t="s">
        <v>743</v>
      </c>
      <c r="S447" s="533" t="s">
        <v>743</v>
      </c>
      <c r="T447" s="533" t="s">
        <v>743</v>
      </c>
      <c r="U447" s="533" t="s">
        <v>743</v>
      </c>
      <c r="V447" s="52"/>
      <c r="W447" s="52"/>
      <c r="X447" s="52"/>
      <c r="Y447" s="165"/>
      <c r="Z447" s="165"/>
      <c r="AA447" s="165"/>
      <c r="AB447" s="165"/>
      <c r="AC447" s="165"/>
      <c r="AD447" s="165"/>
      <c r="AE447" s="165"/>
      <c r="AF447" s="165"/>
    </row>
    <row r="448" spans="1:32">
      <c r="A448" s="165"/>
      <c r="B448" s="48"/>
      <c r="C448" s="62"/>
      <c r="D448" s="63"/>
      <c r="E448" s="63"/>
      <c r="F448" s="64"/>
      <c r="G448" s="58" t="s">
        <v>2721</v>
      </c>
      <c r="H448" s="52" t="s">
        <v>743</v>
      </c>
      <c r="I448" s="52" t="s">
        <v>743</v>
      </c>
      <c r="J448" s="52" t="s">
        <v>743</v>
      </c>
      <c r="K448" s="52" t="s">
        <v>743</v>
      </c>
      <c r="L448" s="52" t="s">
        <v>743</v>
      </c>
      <c r="M448" s="533" t="s">
        <v>743</v>
      </c>
      <c r="N448" s="533" t="s">
        <v>2568</v>
      </c>
      <c r="O448" s="533">
        <v>800000000</v>
      </c>
      <c r="P448" s="533" t="str">
        <f>+N448</f>
        <v>2 unit</v>
      </c>
      <c r="Q448" s="533">
        <v>850000000</v>
      </c>
      <c r="R448" s="533" t="str">
        <f>+P448</f>
        <v>2 unit</v>
      </c>
      <c r="S448" s="533">
        <v>900000000</v>
      </c>
      <c r="T448" s="533" t="str">
        <f>+R448</f>
        <v>2 unit</v>
      </c>
      <c r="U448" s="533">
        <v>900000000</v>
      </c>
      <c r="V448" s="52"/>
      <c r="W448" s="52"/>
      <c r="X448" s="52"/>
      <c r="Y448" s="165"/>
      <c r="Z448" s="165"/>
      <c r="AA448" s="165"/>
      <c r="AB448" s="165"/>
      <c r="AC448" s="165"/>
      <c r="AD448" s="165"/>
      <c r="AE448" s="165"/>
      <c r="AF448" s="165"/>
    </row>
    <row r="449" spans="1:32" ht="45">
      <c r="A449" s="165"/>
      <c r="B449" s="48"/>
      <c r="C449" s="62"/>
      <c r="D449" s="63"/>
      <c r="E449" s="63"/>
      <c r="F449" s="64"/>
      <c r="G449" s="58" t="s">
        <v>2722</v>
      </c>
      <c r="H449" s="52" t="s">
        <v>743</v>
      </c>
      <c r="I449" s="52" t="s">
        <v>743</v>
      </c>
      <c r="J449" s="52" t="s">
        <v>743</v>
      </c>
      <c r="K449" s="533" t="s">
        <v>743</v>
      </c>
      <c r="L449" s="52" t="s">
        <v>743</v>
      </c>
      <c r="M449" s="533" t="s">
        <v>743</v>
      </c>
      <c r="N449" s="52" t="s">
        <v>2723</v>
      </c>
      <c r="O449" s="527">
        <v>2000000000</v>
      </c>
      <c r="P449" s="52" t="s">
        <v>743</v>
      </c>
      <c r="Q449" s="52" t="s">
        <v>743</v>
      </c>
      <c r="R449" s="52" t="s">
        <v>743</v>
      </c>
      <c r="S449" s="52" t="s">
        <v>743</v>
      </c>
      <c r="T449" s="52" t="s">
        <v>743</v>
      </c>
      <c r="U449" s="52" t="s">
        <v>743</v>
      </c>
      <c r="V449" s="52"/>
      <c r="W449" s="52"/>
      <c r="X449" s="52"/>
      <c r="Y449" s="165"/>
      <c r="Z449" s="165"/>
      <c r="AA449" s="165"/>
      <c r="AB449" s="165"/>
      <c r="AC449" s="165"/>
      <c r="AD449" s="165"/>
      <c r="AE449" s="165"/>
      <c r="AF449" s="165"/>
    </row>
    <row r="450" spans="1:32" ht="90">
      <c r="A450" s="165"/>
      <c r="B450" s="48"/>
      <c r="C450" s="62"/>
      <c r="D450" s="63"/>
      <c r="E450" s="63"/>
      <c r="F450" s="64"/>
      <c r="G450" s="58" t="s">
        <v>2724</v>
      </c>
      <c r="H450" s="52" t="s">
        <v>743</v>
      </c>
      <c r="I450" s="52" t="s">
        <v>743</v>
      </c>
      <c r="J450" s="52" t="s">
        <v>743</v>
      </c>
      <c r="K450" s="533" t="s">
        <v>743</v>
      </c>
      <c r="L450" s="52" t="s">
        <v>743</v>
      </c>
      <c r="M450" s="533" t="s">
        <v>743</v>
      </c>
      <c r="N450" s="52"/>
      <c r="O450" s="52"/>
      <c r="P450" s="52"/>
      <c r="Q450" s="52"/>
      <c r="R450" s="52" t="s">
        <v>2725</v>
      </c>
      <c r="S450" s="527">
        <v>5000000000</v>
      </c>
      <c r="T450" s="52" t="s">
        <v>2725</v>
      </c>
      <c r="U450" s="527">
        <v>5000000000</v>
      </c>
      <c r="V450" s="52"/>
      <c r="W450" s="52"/>
      <c r="X450" s="52"/>
      <c r="Y450" s="165"/>
      <c r="Z450" s="165"/>
      <c r="AA450" s="165"/>
      <c r="AB450" s="165"/>
      <c r="AC450" s="165"/>
      <c r="AD450" s="165"/>
      <c r="AE450" s="165"/>
      <c r="AF450" s="165"/>
    </row>
    <row r="451" spans="1:32" ht="45">
      <c r="A451" s="165"/>
      <c r="B451" s="48"/>
      <c r="C451" s="62"/>
      <c r="D451" s="63"/>
      <c r="E451" s="63"/>
      <c r="F451" s="64"/>
      <c r="G451" s="58" t="s">
        <v>2726</v>
      </c>
      <c r="H451" s="52" t="s">
        <v>743</v>
      </c>
      <c r="I451" s="52" t="s">
        <v>743</v>
      </c>
      <c r="J451" s="52" t="s">
        <v>743</v>
      </c>
      <c r="K451" s="533" t="s">
        <v>743</v>
      </c>
      <c r="L451" s="52" t="s">
        <v>2513</v>
      </c>
      <c r="M451" s="533">
        <v>400000000</v>
      </c>
      <c r="N451" s="52"/>
      <c r="O451" s="52"/>
      <c r="P451" s="52"/>
      <c r="Q451" s="52"/>
      <c r="R451" s="52"/>
      <c r="S451" s="527"/>
      <c r="T451" s="52"/>
      <c r="U451" s="527"/>
      <c r="V451" s="52"/>
      <c r="W451" s="52"/>
      <c r="X451" s="52"/>
      <c r="Y451" s="165"/>
      <c r="Z451" s="165"/>
      <c r="AA451" s="165"/>
      <c r="AB451" s="165"/>
      <c r="AC451" s="165"/>
      <c r="AD451" s="165"/>
      <c r="AE451" s="165"/>
      <c r="AF451" s="165"/>
    </row>
    <row r="452" spans="1:32" s="540" customFormat="1" ht="75">
      <c r="B452" s="545"/>
      <c r="C452" s="591">
        <f>'[4]matrik MISI 3.1'!P57</f>
        <v>1.08</v>
      </c>
      <c r="D452" s="592" t="str">
        <f>'[4]matrik MISI 3.1'!Q57</f>
        <v>xx</v>
      </c>
      <c r="E452" s="592">
        <f>'[4]matrik MISI 3.1'!R57</f>
        <v>16</v>
      </c>
      <c r="F452" s="548" t="str">
        <f>'[4]matrik MISI 3.1'!S57</f>
        <v>Program Pengendalian Pencemaran dan Perusakan Lingkungan Hidup</v>
      </c>
      <c r="G452" s="548"/>
      <c r="H452" s="550"/>
      <c r="I452" s="550"/>
      <c r="J452" s="550"/>
      <c r="K452" s="551">
        <f>SUM(K453:K467)</f>
        <v>2028918500</v>
      </c>
      <c r="L452" s="551">
        <f t="shared" ref="L452:U452" si="36">SUM(L453:L467)</f>
        <v>70.25</v>
      </c>
      <c r="M452" s="551">
        <f t="shared" si="36"/>
        <v>2665580500</v>
      </c>
      <c r="N452" s="551">
        <f t="shared" si="36"/>
        <v>70.5</v>
      </c>
      <c r="O452" s="551">
        <f t="shared" si="36"/>
        <v>3130000000</v>
      </c>
      <c r="P452" s="551">
        <f t="shared" si="36"/>
        <v>70.75</v>
      </c>
      <c r="Q452" s="551">
        <f t="shared" si="36"/>
        <v>3230000000</v>
      </c>
      <c r="R452" s="551">
        <f t="shared" si="36"/>
        <v>71</v>
      </c>
      <c r="S452" s="551">
        <f t="shared" si="36"/>
        <v>3520000000</v>
      </c>
      <c r="T452" s="551">
        <f t="shared" si="36"/>
        <v>71</v>
      </c>
      <c r="U452" s="551">
        <f t="shared" si="36"/>
        <v>3520000000</v>
      </c>
      <c r="V452" s="550"/>
      <c r="W452" s="550"/>
      <c r="X452" s="550" t="str">
        <f>'[4]matrik MISI 3.1'!AE57</f>
        <v>BLH</v>
      </c>
    </row>
    <row r="453" spans="1:32" ht="90">
      <c r="A453" s="165"/>
      <c r="B453" s="48"/>
      <c r="C453" s="56"/>
      <c r="D453" s="57"/>
      <c r="E453" s="57"/>
      <c r="F453" s="58"/>
      <c r="G453" s="407" t="s">
        <v>2733</v>
      </c>
      <c r="H453" s="157">
        <v>69.23</v>
      </c>
      <c r="I453" s="157">
        <v>70</v>
      </c>
      <c r="J453" s="157">
        <v>70</v>
      </c>
      <c r="K453" s="301">
        <v>350000000</v>
      </c>
      <c r="L453" s="302">
        <v>70.25</v>
      </c>
      <c r="M453" s="303">
        <v>339120000</v>
      </c>
      <c r="N453" s="157">
        <v>70.5</v>
      </c>
      <c r="O453" s="301">
        <v>450000000</v>
      </c>
      <c r="P453" s="157">
        <v>70.75</v>
      </c>
      <c r="Q453" s="301">
        <v>500000000</v>
      </c>
      <c r="R453" s="301">
        <v>71</v>
      </c>
      <c r="S453" s="301">
        <v>550000000</v>
      </c>
      <c r="T453" s="301">
        <v>71</v>
      </c>
      <c r="U453" s="301">
        <v>550000000</v>
      </c>
      <c r="V453" s="52"/>
      <c r="W453" s="52"/>
      <c r="X453" s="52"/>
      <c r="Y453" s="165"/>
      <c r="Z453" s="165"/>
      <c r="AA453" s="165"/>
      <c r="AB453" s="165"/>
      <c r="AC453" s="165"/>
      <c r="AD453" s="165"/>
      <c r="AE453" s="165"/>
      <c r="AF453" s="165"/>
    </row>
    <row r="454" spans="1:32" ht="60">
      <c r="A454" s="165"/>
      <c r="B454" s="48"/>
      <c r="C454" s="56"/>
      <c r="D454" s="57"/>
      <c r="E454" s="57"/>
      <c r="F454" s="58"/>
      <c r="G454" s="407" t="s">
        <v>2734</v>
      </c>
      <c r="H454" s="157"/>
      <c r="I454" s="157"/>
      <c r="J454" s="157"/>
      <c r="K454" s="301">
        <v>1308370000</v>
      </c>
      <c r="L454" s="157"/>
      <c r="M454" s="301">
        <v>1420980000</v>
      </c>
      <c r="N454" s="301"/>
      <c r="O454" s="301">
        <v>1450000000</v>
      </c>
      <c r="P454" s="301"/>
      <c r="Q454" s="301">
        <v>1500000000</v>
      </c>
      <c r="R454" s="301"/>
      <c r="S454" s="301">
        <v>1600000000</v>
      </c>
      <c r="T454" s="301"/>
      <c r="U454" s="301">
        <v>1600000000</v>
      </c>
      <c r="V454" s="52"/>
      <c r="W454" s="52"/>
      <c r="X454" s="52"/>
      <c r="Y454" s="165"/>
      <c r="Z454" s="165"/>
      <c r="AA454" s="165"/>
      <c r="AB454" s="165"/>
      <c r="AC454" s="165"/>
      <c r="AD454" s="165"/>
      <c r="AE454" s="165"/>
      <c r="AF454" s="165"/>
    </row>
    <row r="455" spans="1:32" ht="75">
      <c r="A455" s="165"/>
      <c r="B455" s="48"/>
      <c r="C455" s="56"/>
      <c r="D455" s="57"/>
      <c r="E455" s="57"/>
      <c r="F455" s="58"/>
      <c r="G455" s="407" t="s">
        <v>2735</v>
      </c>
      <c r="H455" s="157"/>
      <c r="I455" s="157" t="s">
        <v>2736</v>
      </c>
      <c r="J455" s="157"/>
      <c r="K455" s="301">
        <v>170646000</v>
      </c>
      <c r="L455" s="157" t="s">
        <v>2736</v>
      </c>
      <c r="M455" s="303">
        <v>184098000</v>
      </c>
      <c r="N455" s="157" t="s">
        <v>2736</v>
      </c>
      <c r="O455" s="301">
        <v>300000000</v>
      </c>
      <c r="P455" s="157" t="s">
        <v>2736</v>
      </c>
      <c r="Q455" s="301">
        <v>350000000</v>
      </c>
      <c r="R455" s="157" t="s">
        <v>2736</v>
      </c>
      <c r="S455" s="301">
        <v>400000000</v>
      </c>
      <c r="T455" s="157" t="s">
        <v>2736</v>
      </c>
      <c r="U455" s="301">
        <v>400000000</v>
      </c>
      <c r="V455" s="52"/>
      <c r="W455" s="52"/>
      <c r="X455" s="52"/>
      <c r="Y455" s="165"/>
      <c r="Z455" s="165"/>
      <c r="AA455" s="165"/>
      <c r="AB455" s="165"/>
      <c r="AC455" s="165"/>
      <c r="AD455" s="165"/>
      <c r="AE455" s="165"/>
      <c r="AF455" s="165"/>
    </row>
    <row r="456" spans="1:32" ht="60">
      <c r="A456" s="165"/>
      <c r="B456" s="48"/>
      <c r="C456" s="56"/>
      <c r="D456" s="57"/>
      <c r="E456" s="57"/>
      <c r="F456" s="58"/>
      <c r="G456" s="408" t="s">
        <v>2737</v>
      </c>
      <c r="H456" s="304" t="s">
        <v>743</v>
      </c>
      <c r="I456" s="157" t="s">
        <v>2736</v>
      </c>
      <c r="J456" s="157"/>
      <c r="K456" s="301">
        <v>110000000</v>
      </c>
      <c r="L456" s="157" t="s">
        <v>2736</v>
      </c>
      <c r="M456" s="303">
        <v>45838000</v>
      </c>
      <c r="N456" s="157" t="s">
        <v>2736</v>
      </c>
      <c r="O456" s="301">
        <v>100000000</v>
      </c>
      <c r="P456" s="157" t="s">
        <v>2736</v>
      </c>
      <c r="Q456" s="301">
        <v>50000000</v>
      </c>
      <c r="R456" s="157" t="s">
        <v>2736</v>
      </c>
      <c r="S456" s="301">
        <v>50000000</v>
      </c>
      <c r="T456" s="157" t="s">
        <v>2736</v>
      </c>
      <c r="U456" s="301">
        <v>50000000</v>
      </c>
      <c r="V456" s="52"/>
      <c r="W456" s="52"/>
      <c r="X456" s="52"/>
      <c r="Y456" s="165"/>
      <c r="Z456" s="165"/>
      <c r="AA456" s="165"/>
      <c r="AB456" s="165"/>
      <c r="AC456" s="165"/>
      <c r="AD456" s="165"/>
      <c r="AE456" s="165"/>
      <c r="AF456" s="165"/>
    </row>
    <row r="457" spans="1:32" ht="75">
      <c r="A457" s="165"/>
      <c r="B457" s="48"/>
      <c r="C457" s="56"/>
      <c r="D457" s="57"/>
      <c r="E457" s="57"/>
      <c r="F457" s="58"/>
      <c r="G457" s="407" t="s">
        <v>2738</v>
      </c>
      <c r="H457" s="157" t="s">
        <v>2739</v>
      </c>
      <c r="I457" s="157" t="s">
        <v>2739</v>
      </c>
      <c r="J457" s="157" t="s">
        <v>2739</v>
      </c>
      <c r="K457" s="301">
        <v>25000000</v>
      </c>
      <c r="L457" s="157" t="s">
        <v>2740</v>
      </c>
      <c r="M457" s="303">
        <v>23602100</v>
      </c>
      <c r="N457" s="157" t="s">
        <v>2740</v>
      </c>
      <c r="O457" s="301">
        <v>45000000</v>
      </c>
      <c r="P457" s="301" t="s">
        <v>2740</v>
      </c>
      <c r="Q457" s="301">
        <v>45000000</v>
      </c>
      <c r="R457" s="301" t="s">
        <v>2741</v>
      </c>
      <c r="S457" s="301">
        <v>50000000</v>
      </c>
      <c r="T457" s="301" t="s">
        <v>2741</v>
      </c>
      <c r="U457" s="301">
        <v>50000000</v>
      </c>
      <c r="V457" s="52"/>
      <c r="W457" s="52"/>
      <c r="X457" s="52"/>
      <c r="Y457" s="165"/>
      <c r="Z457" s="165"/>
      <c r="AA457" s="165"/>
      <c r="AB457" s="165"/>
      <c r="AC457" s="165"/>
      <c r="AD457" s="165"/>
      <c r="AE457" s="165"/>
      <c r="AF457" s="165"/>
    </row>
    <row r="458" spans="1:32" ht="150">
      <c r="A458" s="165"/>
      <c r="B458" s="48"/>
      <c r="C458" s="56"/>
      <c r="D458" s="57"/>
      <c r="E458" s="57"/>
      <c r="F458" s="58"/>
      <c r="G458" s="407" t="s">
        <v>2742</v>
      </c>
      <c r="H458" s="157" t="s">
        <v>2743</v>
      </c>
      <c r="I458" s="157" t="s">
        <v>2744</v>
      </c>
      <c r="J458" s="157" t="s">
        <v>2744</v>
      </c>
      <c r="K458" s="301">
        <v>40000000</v>
      </c>
      <c r="L458" s="157" t="s">
        <v>2744</v>
      </c>
      <c r="M458" s="303">
        <v>26224900</v>
      </c>
      <c r="N458" s="157" t="s">
        <v>2744</v>
      </c>
      <c r="O458" s="303">
        <v>75000000</v>
      </c>
      <c r="P458" s="157" t="s">
        <v>2744</v>
      </c>
      <c r="Q458" s="303">
        <v>75000000</v>
      </c>
      <c r="R458" s="157" t="s">
        <v>2744</v>
      </c>
      <c r="S458" s="303">
        <v>75000000</v>
      </c>
      <c r="T458" s="157" t="s">
        <v>2744</v>
      </c>
      <c r="U458" s="303">
        <v>75000000</v>
      </c>
      <c r="V458" s="52"/>
      <c r="W458" s="52"/>
      <c r="X458" s="52"/>
      <c r="Y458" s="165"/>
      <c r="Z458" s="165"/>
      <c r="AA458" s="165"/>
      <c r="AB458" s="165"/>
      <c r="AC458" s="165"/>
      <c r="AD458" s="165"/>
      <c r="AE458" s="165"/>
      <c r="AF458" s="165"/>
    </row>
    <row r="459" spans="1:32" ht="135">
      <c r="A459" s="165"/>
      <c r="B459" s="48"/>
      <c r="C459" s="56"/>
      <c r="D459" s="57"/>
      <c r="E459" s="57"/>
      <c r="F459" s="58"/>
      <c r="G459" s="407" t="s">
        <v>2745</v>
      </c>
      <c r="H459" s="304" t="s">
        <v>743</v>
      </c>
      <c r="I459" s="304" t="s">
        <v>743</v>
      </c>
      <c r="J459" s="304" t="s">
        <v>743</v>
      </c>
      <c r="K459" s="304" t="s">
        <v>743</v>
      </c>
      <c r="L459" s="157" t="s">
        <v>2746</v>
      </c>
      <c r="M459" s="303">
        <v>410000000</v>
      </c>
      <c r="N459" s="157" t="s">
        <v>2746</v>
      </c>
      <c r="O459" s="301">
        <v>190000000</v>
      </c>
      <c r="P459" s="301" t="s">
        <v>2747</v>
      </c>
      <c r="Q459" s="301">
        <v>40000000</v>
      </c>
      <c r="R459" s="301" t="s">
        <v>2747</v>
      </c>
      <c r="S459" s="301">
        <v>40000000</v>
      </c>
      <c r="T459" s="301" t="s">
        <v>2747</v>
      </c>
      <c r="U459" s="301">
        <v>40000000</v>
      </c>
      <c r="V459" s="52"/>
      <c r="W459" s="52"/>
      <c r="X459" s="52"/>
      <c r="Y459" s="165"/>
      <c r="Z459" s="165"/>
      <c r="AA459" s="165"/>
      <c r="AB459" s="165"/>
      <c r="AC459" s="165"/>
      <c r="AD459" s="165"/>
      <c r="AE459" s="165"/>
      <c r="AF459" s="165"/>
    </row>
    <row r="460" spans="1:32" ht="150">
      <c r="A460" s="165"/>
      <c r="B460" s="48"/>
      <c r="C460" s="56"/>
      <c r="D460" s="57"/>
      <c r="E460" s="57"/>
      <c r="F460" s="58"/>
      <c r="G460" s="407" t="s">
        <v>2748</v>
      </c>
      <c r="H460" s="304" t="s">
        <v>743</v>
      </c>
      <c r="I460" s="304" t="s">
        <v>743</v>
      </c>
      <c r="J460" s="304" t="s">
        <v>743</v>
      </c>
      <c r="K460" s="304" t="s">
        <v>743</v>
      </c>
      <c r="L460" s="304" t="s">
        <v>743</v>
      </c>
      <c r="M460" s="304" t="s">
        <v>743</v>
      </c>
      <c r="N460" s="157" t="s">
        <v>2749</v>
      </c>
      <c r="O460" s="301">
        <v>30000000</v>
      </c>
      <c r="P460" s="157" t="s">
        <v>2750</v>
      </c>
      <c r="Q460" s="301">
        <v>60000000</v>
      </c>
      <c r="R460" s="157" t="s">
        <v>2751</v>
      </c>
      <c r="S460" s="301">
        <v>50000000</v>
      </c>
      <c r="T460" s="157" t="s">
        <v>2751</v>
      </c>
      <c r="U460" s="301">
        <v>50000000</v>
      </c>
      <c r="V460" s="52"/>
      <c r="W460" s="52"/>
      <c r="X460" s="52"/>
      <c r="Y460" s="165"/>
      <c r="Z460" s="165"/>
      <c r="AA460" s="165"/>
      <c r="AB460" s="165"/>
      <c r="AC460" s="165"/>
      <c r="AD460" s="165"/>
      <c r="AE460" s="165"/>
      <c r="AF460" s="165"/>
    </row>
    <row r="461" spans="1:32" ht="105">
      <c r="A461" s="165"/>
      <c r="B461" s="48"/>
      <c r="C461" s="56"/>
      <c r="D461" s="57"/>
      <c r="E461" s="57"/>
      <c r="F461" s="58"/>
      <c r="G461" s="408" t="s">
        <v>2752</v>
      </c>
      <c r="H461" s="157" t="s">
        <v>2753</v>
      </c>
      <c r="I461" s="157" t="s">
        <v>2754</v>
      </c>
      <c r="J461" s="157" t="s">
        <v>2754</v>
      </c>
      <c r="K461" s="301">
        <v>24902500</v>
      </c>
      <c r="L461" s="157" t="s">
        <v>2755</v>
      </c>
      <c r="M461" s="303">
        <v>25000000</v>
      </c>
      <c r="N461" s="157" t="s">
        <v>2756</v>
      </c>
      <c r="O461" s="301">
        <v>120000000</v>
      </c>
      <c r="P461" s="301" t="s">
        <v>2757</v>
      </c>
      <c r="Q461" s="301">
        <v>150000000</v>
      </c>
      <c r="R461" s="301" t="s">
        <v>2758</v>
      </c>
      <c r="S461" s="301">
        <v>170000000</v>
      </c>
      <c r="T461" s="301" t="s">
        <v>2758</v>
      </c>
      <c r="U461" s="301">
        <v>170000000</v>
      </c>
      <c r="V461" s="52"/>
      <c r="W461" s="52"/>
      <c r="X461" s="52"/>
      <c r="Y461" s="165"/>
      <c r="Z461" s="165"/>
      <c r="AA461" s="165"/>
      <c r="AB461" s="165"/>
      <c r="AC461" s="165"/>
      <c r="AD461" s="165"/>
      <c r="AE461" s="165"/>
      <c r="AF461" s="165"/>
    </row>
    <row r="462" spans="1:32" ht="90">
      <c r="A462" s="165"/>
      <c r="B462" s="48"/>
      <c r="C462" s="56"/>
      <c r="D462" s="57"/>
      <c r="E462" s="57"/>
      <c r="F462" s="58"/>
      <c r="G462" s="409" t="s">
        <v>2759</v>
      </c>
      <c r="H462" s="305">
        <v>0.1426</v>
      </c>
      <c r="I462" s="305">
        <v>5.8799999999999998E-2</v>
      </c>
      <c r="J462" s="157"/>
      <c r="K462" s="304" t="s">
        <v>743</v>
      </c>
      <c r="L462" s="157"/>
      <c r="M462" s="303">
        <v>46793500</v>
      </c>
      <c r="N462" s="157"/>
      <c r="O462" s="301">
        <v>120000000</v>
      </c>
      <c r="P462" s="301"/>
      <c r="Q462" s="301">
        <v>150000000</v>
      </c>
      <c r="R462" s="301"/>
      <c r="S462" s="301">
        <v>170000000</v>
      </c>
      <c r="T462" s="301"/>
      <c r="U462" s="301">
        <v>170000000</v>
      </c>
      <c r="V462" s="52"/>
      <c r="W462" s="52"/>
      <c r="X462" s="52"/>
      <c r="Y462" s="165"/>
      <c r="Z462" s="165"/>
      <c r="AA462" s="165"/>
      <c r="AB462" s="165"/>
      <c r="AC462" s="165"/>
      <c r="AD462" s="165"/>
      <c r="AE462" s="165"/>
      <c r="AF462" s="165"/>
    </row>
    <row r="463" spans="1:32" ht="75">
      <c r="A463" s="165"/>
      <c r="B463" s="48"/>
      <c r="C463" s="56"/>
      <c r="D463" s="57"/>
      <c r="E463" s="57"/>
      <c r="F463" s="58"/>
      <c r="G463" s="409" t="s">
        <v>2760</v>
      </c>
      <c r="H463" s="306">
        <v>0</v>
      </c>
      <c r="I463" s="305">
        <v>7.1400000000000005E-2</v>
      </c>
      <c r="J463" s="157"/>
      <c r="K463" s="304"/>
      <c r="L463" s="157"/>
      <c r="M463" s="303"/>
      <c r="N463" s="157"/>
      <c r="O463" s="157"/>
      <c r="P463" s="157"/>
      <c r="Q463" s="157"/>
      <c r="R463" s="157"/>
      <c r="S463" s="157"/>
      <c r="T463" s="157"/>
      <c r="U463" s="157"/>
      <c r="V463" s="52"/>
      <c r="W463" s="52"/>
      <c r="X463" s="52"/>
      <c r="Y463" s="165"/>
      <c r="Z463" s="165"/>
      <c r="AA463" s="165"/>
      <c r="AB463" s="165"/>
      <c r="AC463" s="165"/>
      <c r="AD463" s="165"/>
      <c r="AE463" s="165"/>
      <c r="AF463" s="165"/>
    </row>
    <row r="464" spans="1:32" ht="45">
      <c r="A464" s="165"/>
      <c r="B464" s="48"/>
      <c r="C464" s="56"/>
      <c r="D464" s="57"/>
      <c r="E464" s="57"/>
      <c r="F464" s="58"/>
      <c r="G464" s="409" t="s">
        <v>2761</v>
      </c>
      <c r="H464" s="306"/>
      <c r="I464" s="305"/>
      <c r="J464" s="157"/>
      <c r="K464" s="304"/>
      <c r="L464" s="157" t="s">
        <v>2736</v>
      </c>
      <c r="M464" s="303">
        <v>49665000</v>
      </c>
      <c r="N464" s="157" t="s">
        <v>2736</v>
      </c>
      <c r="O464" s="301">
        <v>75000000</v>
      </c>
      <c r="P464" s="157" t="s">
        <v>2736</v>
      </c>
      <c r="Q464" s="301">
        <v>100000000</v>
      </c>
      <c r="R464" s="157" t="s">
        <v>2736</v>
      </c>
      <c r="S464" s="301">
        <v>125000000</v>
      </c>
      <c r="T464" s="157" t="s">
        <v>2736</v>
      </c>
      <c r="U464" s="301">
        <v>125000000</v>
      </c>
      <c r="V464" s="52"/>
      <c r="W464" s="52"/>
      <c r="X464" s="52"/>
      <c r="Y464" s="165"/>
      <c r="Z464" s="165"/>
      <c r="AA464" s="165"/>
      <c r="AB464" s="165"/>
      <c r="AC464" s="165"/>
      <c r="AD464" s="165"/>
      <c r="AE464" s="165"/>
      <c r="AF464" s="165"/>
    </row>
    <row r="465" spans="1:32" ht="60">
      <c r="A465" s="165"/>
      <c r="B465" s="48"/>
      <c r="C465" s="56"/>
      <c r="D465" s="57"/>
      <c r="E465" s="57"/>
      <c r="F465" s="58"/>
      <c r="G465" s="408" t="s">
        <v>2762</v>
      </c>
      <c r="H465" s="157"/>
      <c r="I465" s="304" t="s">
        <v>743</v>
      </c>
      <c r="J465" s="304" t="s">
        <v>743</v>
      </c>
      <c r="K465" s="304" t="s">
        <v>743</v>
      </c>
      <c r="L465" s="157" t="s">
        <v>2736</v>
      </c>
      <c r="M465" s="303">
        <v>34529000</v>
      </c>
      <c r="N465" s="157" t="s">
        <v>2763</v>
      </c>
      <c r="O465" s="301">
        <v>105000000</v>
      </c>
      <c r="P465" s="301" t="s">
        <v>2763</v>
      </c>
      <c r="Q465" s="301">
        <v>125000000</v>
      </c>
      <c r="R465" s="301" t="s">
        <v>2763</v>
      </c>
      <c r="S465" s="301">
        <v>140000000</v>
      </c>
      <c r="T465" s="301" t="s">
        <v>2763</v>
      </c>
      <c r="U465" s="301">
        <v>140000000</v>
      </c>
      <c r="V465" s="52"/>
      <c r="W465" s="52"/>
      <c r="X465" s="52"/>
      <c r="Y465" s="165"/>
      <c r="Z465" s="165"/>
      <c r="AA465" s="165"/>
      <c r="AB465" s="165"/>
      <c r="AC465" s="165"/>
      <c r="AD465" s="165"/>
      <c r="AE465" s="165"/>
      <c r="AF465" s="165"/>
    </row>
    <row r="466" spans="1:32" ht="30">
      <c r="A466" s="165"/>
      <c r="B466" s="48"/>
      <c r="C466" s="56"/>
      <c r="D466" s="57"/>
      <c r="E466" s="57"/>
      <c r="F466" s="58"/>
      <c r="G466" s="410" t="s">
        <v>2764</v>
      </c>
      <c r="H466" s="306"/>
      <c r="I466" s="305"/>
      <c r="J466" s="157"/>
      <c r="K466" s="304"/>
      <c r="L466" s="157"/>
      <c r="M466" s="303">
        <v>35000000</v>
      </c>
      <c r="N466" s="157"/>
      <c r="O466" s="157"/>
      <c r="P466" s="157"/>
      <c r="Q466" s="157"/>
      <c r="R466" s="157"/>
      <c r="S466" s="157"/>
      <c r="T466" s="157"/>
      <c r="U466" s="157"/>
      <c r="V466" s="52"/>
      <c r="W466" s="52"/>
      <c r="X466" s="52"/>
      <c r="Y466" s="165"/>
      <c r="Z466" s="165"/>
      <c r="AA466" s="165"/>
      <c r="AB466" s="165"/>
      <c r="AC466" s="165"/>
      <c r="AD466" s="165"/>
      <c r="AE466" s="165"/>
      <c r="AF466" s="165"/>
    </row>
    <row r="467" spans="1:32" ht="30">
      <c r="A467" s="165"/>
      <c r="B467" s="48"/>
      <c r="C467" s="56"/>
      <c r="D467" s="57"/>
      <c r="E467" s="57"/>
      <c r="F467" s="58"/>
      <c r="G467" s="410" t="s">
        <v>2765</v>
      </c>
      <c r="H467" s="306"/>
      <c r="I467" s="305"/>
      <c r="J467" s="157"/>
      <c r="K467" s="304"/>
      <c r="L467" s="157" t="s">
        <v>2736</v>
      </c>
      <c r="M467" s="303">
        <v>24730000</v>
      </c>
      <c r="N467" s="157" t="s">
        <v>2736</v>
      </c>
      <c r="O467" s="301">
        <v>70000000</v>
      </c>
      <c r="P467" s="157" t="s">
        <v>2736</v>
      </c>
      <c r="Q467" s="301">
        <v>85000000</v>
      </c>
      <c r="R467" s="157" t="s">
        <v>2736</v>
      </c>
      <c r="S467" s="301">
        <v>100000000</v>
      </c>
      <c r="T467" s="157" t="s">
        <v>2736</v>
      </c>
      <c r="U467" s="301">
        <v>100000000</v>
      </c>
      <c r="V467" s="52"/>
      <c r="W467" s="52"/>
      <c r="X467" s="52"/>
      <c r="Y467" s="165"/>
      <c r="Z467" s="165"/>
      <c r="AA467" s="165"/>
      <c r="AB467" s="165"/>
      <c r="AC467" s="165"/>
      <c r="AD467" s="165"/>
      <c r="AE467" s="165"/>
      <c r="AF467" s="165"/>
    </row>
    <row r="468" spans="1:32" s="540" customFormat="1" ht="60">
      <c r="B468" s="545"/>
      <c r="C468" s="591">
        <f>'[4]matrik MISI 3.1'!P58</f>
        <v>1.08</v>
      </c>
      <c r="D468" s="592" t="str">
        <f>'[4]matrik MISI 3.1'!Q58</f>
        <v>xx</v>
      </c>
      <c r="E468" s="592">
        <f>'[4]matrik MISI 3.1'!R58</f>
        <v>17</v>
      </c>
      <c r="F468" s="548" t="str">
        <f>'[4]matrik MISI 3.1'!S58</f>
        <v>Program Perlindungan dan Konservasi Sumber Daya Alam</v>
      </c>
      <c r="G468" s="548"/>
      <c r="H468" s="550"/>
      <c r="I468" s="550"/>
      <c r="J468" s="550"/>
      <c r="K468" s="550">
        <f>SUM(K469:K479)</f>
        <v>349820000</v>
      </c>
      <c r="L468" s="550">
        <f t="shared" ref="L468:U468" si="37">SUM(L469:L479)</f>
        <v>0</v>
      </c>
      <c r="M468" s="551">
        <f t="shared" si="37"/>
        <v>1140673500</v>
      </c>
      <c r="N468" s="551">
        <f t="shared" si="37"/>
        <v>0</v>
      </c>
      <c r="O468" s="551">
        <f t="shared" si="37"/>
        <v>1110000000</v>
      </c>
      <c r="P468" s="551">
        <f t="shared" si="37"/>
        <v>0</v>
      </c>
      <c r="Q468" s="551">
        <f t="shared" si="37"/>
        <v>1095000000</v>
      </c>
      <c r="R468" s="551">
        <f t="shared" si="37"/>
        <v>0</v>
      </c>
      <c r="S468" s="551">
        <f t="shared" si="37"/>
        <v>1215000000</v>
      </c>
      <c r="T468" s="550">
        <f t="shared" si="37"/>
        <v>0</v>
      </c>
      <c r="U468" s="550">
        <f t="shared" si="37"/>
        <v>1215000000</v>
      </c>
      <c r="V468" s="550"/>
      <c r="W468" s="550"/>
      <c r="X468" s="550" t="str">
        <f>'[4]matrik MISI 3.1'!AE58</f>
        <v>BLH</v>
      </c>
    </row>
    <row r="469" spans="1:32" ht="60">
      <c r="A469" s="165"/>
      <c r="B469" s="48"/>
      <c r="C469" s="56"/>
      <c r="D469" s="57"/>
      <c r="E469" s="57"/>
      <c r="F469" s="58"/>
      <c r="G469" s="408" t="s">
        <v>2766</v>
      </c>
      <c r="H469" s="157" t="s">
        <v>2736</v>
      </c>
      <c r="I469" s="157" t="s">
        <v>2736</v>
      </c>
      <c r="J469" s="157" t="s">
        <v>2736</v>
      </c>
      <c r="K469" s="304" t="s">
        <v>743</v>
      </c>
      <c r="L469" s="157"/>
      <c r="M469" s="303">
        <v>300000000</v>
      </c>
      <c r="N469" s="157" t="s">
        <v>2736</v>
      </c>
      <c r="O469" s="301">
        <v>700000000</v>
      </c>
      <c r="P469" s="157" t="s">
        <v>2736</v>
      </c>
      <c r="Q469" s="301">
        <v>700000000</v>
      </c>
      <c r="R469" s="157" t="s">
        <v>2736</v>
      </c>
      <c r="S469" s="301">
        <v>750000000</v>
      </c>
      <c r="T469" s="157" t="s">
        <v>2736</v>
      </c>
      <c r="U469" s="301">
        <v>750000000</v>
      </c>
      <c r="V469" s="52"/>
      <c r="W469" s="52"/>
      <c r="X469" s="52"/>
      <c r="Y469" s="165"/>
      <c r="Z469" s="165"/>
      <c r="AA469" s="165"/>
      <c r="AB469" s="165"/>
      <c r="AC469" s="165"/>
      <c r="AD469" s="165"/>
      <c r="AE469" s="165"/>
      <c r="AF469" s="165"/>
    </row>
    <row r="470" spans="1:32" ht="45">
      <c r="A470" s="165"/>
      <c r="B470" s="48"/>
      <c r="C470" s="56"/>
      <c r="D470" s="57"/>
      <c r="E470" s="57"/>
      <c r="F470" s="58"/>
      <c r="G470" s="409" t="s">
        <v>2767</v>
      </c>
      <c r="H470" s="157" t="s">
        <v>2736</v>
      </c>
      <c r="I470" s="157" t="s">
        <v>2736</v>
      </c>
      <c r="J470" s="157" t="s">
        <v>2736</v>
      </c>
      <c r="K470" s="301">
        <v>75000000</v>
      </c>
      <c r="L470" s="157"/>
      <c r="M470" s="304" t="s">
        <v>743</v>
      </c>
      <c r="N470" s="157" t="s">
        <v>2736</v>
      </c>
      <c r="O470" s="301">
        <v>150000000</v>
      </c>
      <c r="P470" s="301" t="s">
        <v>2736</v>
      </c>
      <c r="Q470" s="301">
        <v>150000000</v>
      </c>
      <c r="R470" s="301" t="s">
        <v>2736</v>
      </c>
      <c r="S470" s="301">
        <v>200000000</v>
      </c>
      <c r="T470" s="301" t="s">
        <v>2736</v>
      </c>
      <c r="U470" s="301">
        <v>200000000</v>
      </c>
      <c r="V470" s="52"/>
      <c r="W470" s="52"/>
      <c r="X470" s="52"/>
      <c r="Y470" s="165"/>
      <c r="Z470" s="165"/>
      <c r="AA470" s="165"/>
      <c r="AB470" s="165"/>
      <c r="AC470" s="165"/>
      <c r="AD470" s="165"/>
      <c r="AE470" s="165"/>
      <c r="AF470" s="165"/>
    </row>
    <row r="471" spans="1:32" ht="60">
      <c r="A471" s="165"/>
      <c r="B471" s="48"/>
      <c r="C471" s="56"/>
      <c r="D471" s="57"/>
      <c r="E471" s="57"/>
      <c r="F471" s="58"/>
      <c r="G471" s="408" t="s">
        <v>2768</v>
      </c>
      <c r="H471" s="157" t="s">
        <v>2736</v>
      </c>
      <c r="I471" s="157" t="s">
        <v>2736</v>
      </c>
      <c r="J471" s="157" t="s">
        <v>2736</v>
      </c>
      <c r="K471" s="301">
        <v>74820000</v>
      </c>
      <c r="L471" s="157"/>
      <c r="M471" s="303">
        <v>46698500</v>
      </c>
      <c r="N471" s="157" t="s">
        <v>2736</v>
      </c>
      <c r="O471" s="301">
        <v>75000000</v>
      </c>
      <c r="P471" s="301" t="s">
        <v>2736</v>
      </c>
      <c r="Q471" s="301">
        <v>75000000</v>
      </c>
      <c r="R471" s="301" t="s">
        <v>2736</v>
      </c>
      <c r="S471" s="301">
        <v>75000000</v>
      </c>
      <c r="T471" s="301" t="s">
        <v>2736</v>
      </c>
      <c r="U471" s="301">
        <v>75000000</v>
      </c>
      <c r="V471" s="52"/>
      <c r="W471" s="52"/>
      <c r="X471" s="52"/>
      <c r="Y471" s="165"/>
      <c r="Z471" s="165"/>
      <c r="AA471" s="165"/>
      <c r="AB471" s="165"/>
      <c r="AC471" s="165"/>
      <c r="AD471" s="165"/>
      <c r="AE471" s="165"/>
      <c r="AF471" s="165"/>
    </row>
    <row r="472" spans="1:32" ht="60">
      <c r="A472" s="165"/>
      <c r="B472" s="48"/>
      <c r="C472" s="56"/>
      <c r="D472" s="57"/>
      <c r="E472" s="57"/>
      <c r="F472" s="58"/>
      <c r="G472" s="408" t="s">
        <v>2769</v>
      </c>
      <c r="H472" s="157" t="s">
        <v>2736</v>
      </c>
      <c r="I472" s="157" t="s">
        <v>2736</v>
      </c>
      <c r="J472" s="157" t="s">
        <v>2736</v>
      </c>
      <c r="K472" s="301">
        <v>150000000</v>
      </c>
      <c r="L472" s="157"/>
      <c r="M472" s="301">
        <v>400000000</v>
      </c>
      <c r="N472" s="157" t="s">
        <v>2736</v>
      </c>
      <c r="O472" s="304" t="s">
        <v>743</v>
      </c>
      <c r="P472" s="157" t="s">
        <v>2736</v>
      </c>
      <c r="Q472" s="304" t="s">
        <v>743</v>
      </c>
      <c r="R472" s="157" t="s">
        <v>2736</v>
      </c>
      <c r="S472" s="304" t="s">
        <v>743</v>
      </c>
      <c r="T472" s="157" t="s">
        <v>2736</v>
      </c>
      <c r="U472" s="304" t="s">
        <v>743</v>
      </c>
      <c r="V472" s="52"/>
      <c r="W472" s="52"/>
      <c r="X472" s="52"/>
      <c r="Y472" s="165"/>
      <c r="Z472" s="165"/>
      <c r="AA472" s="165"/>
      <c r="AB472" s="165"/>
      <c r="AC472" s="165"/>
      <c r="AD472" s="165"/>
      <c r="AE472" s="165"/>
      <c r="AF472" s="165"/>
    </row>
    <row r="473" spans="1:32" ht="60">
      <c r="A473" s="165"/>
      <c r="B473" s="48"/>
      <c r="C473" s="56"/>
      <c r="D473" s="57"/>
      <c r="E473" s="57"/>
      <c r="F473" s="58"/>
      <c r="G473" s="408" t="s">
        <v>2769</v>
      </c>
      <c r="H473" s="157" t="s">
        <v>2736</v>
      </c>
      <c r="I473" s="157" t="s">
        <v>2736</v>
      </c>
      <c r="J473" s="157" t="s">
        <v>2736</v>
      </c>
      <c r="K473" s="301">
        <v>35000000</v>
      </c>
      <c r="L473" s="157"/>
      <c r="M473" s="303">
        <v>31942000</v>
      </c>
      <c r="N473" s="157" t="s">
        <v>2736</v>
      </c>
      <c r="O473" s="304" t="s">
        <v>743</v>
      </c>
      <c r="P473" s="157" t="s">
        <v>2736</v>
      </c>
      <c r="Q473" s="304" t="s">
        <v>743</v>
      </c>
      <c r="R473" s="157" t="s">
        <v>2736</v>
      </c>
      <c r="S473" s="304" t="s">
        <v>743</v>
      </c>
      <c r="T473" s="157" t="s">
        <v>2736</v>
      </c>
      <c r="U473" s="304" t="s">
        <v>743</v>
      </c>
      <c r="V473" s="52"/>
      <c r="W473" s="52"/>
      <c r="X473" s="52"/>
      <c r="Y473" s="165"/>
      <c r="Z473" s="165"/>
      <c r="AA473" s="165"/>
      <c r="AB473" s="165"/>
      <c r="AC473" s="165"/>
      <c r="AD473" s="165"/>
      <c r="AE473" s="165"/>
      <c r="AF473" s="165"/>
    </row>
    <row r="474" spans="1:32" ht="60">
      <c r="A474" s="165"/>
      <c r="B474" s="48"/>
      <c r="C474" s="56"/>
      <c r="D474" s="57"/>
      <c r="E474" s="57"/>
      <c r="F474" s="58"/>
      <c r="G474" s="408" t="s">
        <v>2770</v>
      </c>
      <c r="H474" s="157" t="s">
        <v>2736</v>
      </c>
      <c r="I474" s="157" t="s">
        <v>2736</v>
      </c>
      <c r="J474" s="157" t="s">
        <v>2736</v>
      </c>
      <c r="K474" s="301">
        <v>15000000</v>
      </c>
      <c r="L474" s="157"/>
      <c r="M474" s="303">
        <v>14680000</v>
      </c>
      <c r="N474" s="157" t="s">
        <v>2736</v>
      </c>
      <c r="O474" s="303">
        <v>60000000</v>
      </c>
      <c r="P474" s="157" t="s">
        <v>2736</v>
      </c>
      <c r="Q474" s="303">
        <v>60000000</v>
      </c>
      <c r="R474" s="157" t="s">
        <v>2736</v>
      </c>
      <c r="S474" s="301">
        <v>70000000</v>
      </c>
      <c r="T474" s="157" t="s">
        <v>2736</v>
      </c>
      <c r="U474" s="301">
        <v>70000000</v>
      </c>
      <c r="V474" s="52"/>
      <c r="W474" s="52"/>
      <c r="X474" s="52"/>
      <c r="Y474" s="165"/>
      <c r="Z474" s="165"/>
      <c r="AA474" s="165"/>
      <c r="AB474" s="165"/>
      <c r="AC474" s="165"/>
      <c r="AD474" s="165"/>
      <c r="AE474" s="165"/>
      <c r="AF474" s="165"/>
    </row>
    <row r="475" spans="1:32" ht="75">
      <c r="A475" s="165"/>
      <c r="B475" s="48"/>
      <c r="C475" s="56"/>
      <c r="D475" s="57"/>
      <c r="E475" s="57"/>
      <c r="F475" s="58"/>
      <c r="G475" s="408" t="s">
        <v>2771</v>
      </c>
      <c r="H475" s="304" t="s">
        <v>743</v>
      </c>
      <c r="I475" s="304" t="s">
        <v>743</v>
      </c>
      <c r="J475" s="304" t="s">
        <v>743</v>
      </c>
      <c r="K475" s="304" t="s">
        <v>743</v>
      </c>
      <c r="L475" s="157" t="s">
        <v>2736</v>
      </c>
      <c r="M475" s="303">
        <v>47353000</v>
      </c>
      <c r="N475" s="157" t="s">
        <v>2736</v>
      </c>
      <c r="O475" s="301">
        <v>50000000</v>
      </c>
      <c r="P475" s="301" t="s">
        <v>2736</v>
      </c>
      <c r="Q475" s="301">
        <v>50000000</v>
      </c>
      <c r="R475" s="301" t="s">
        <v>2736</v>
      </c>
      <c r="S475" s="301">
        <v>60000000</v>
      </c>
      <c r="T475" s="301" t="s">
        <v>2736</v>
      </c>
      <c r="U475" s="301">
        <v>60000000</v>
      </c>
      <c r="V475" s="52"/>
      <c r="W475" s="52"/>
      <c r="X475" s="52"/>
      <c r="Y475" s="165"/>
      <c r="Z475" s="165"/>
      <c r="AA475" s="165"/>
      <c r="AB475" s="165"/>
      <c r="AC475" s="165"/>
      <c r="AD475" s="165"/>
      <c r="AE475" s="165"/>
      <c r="AF475" s="165"/>
    </row>
    <row r="476" spans="1:32" ht="135">
      <c r="A476" s="165"/>
      <c r="B476" s="48"/>
      <c r="C476" s="56"/>
      <c r="D476" s="57"/>
      <c r="E476" s="57"/>
      <c r="F476" s="58"/>
      <c r="G476" s="409" t="s">
        <v>2772</v>
      </c>
      <c r="H476" s="304" t="s">
        <v>743</v>
      </c>
      <c r="I476" s="304" t="s">
        <v>743</v>
      </c>
      <c r="J476" s="304" t="s">
        <v>743</v>
      </c>
      <c r="K476" s="304" t="s">
        <v>743</v>
      </c>
      <c r="L476" s="157" t="s">
        <v>2736</v>
      </c>
      <c r="M476" s="303">
        <v>50000000</v>
      </c>
      <c r="N476" s="157" t="s">
        <v>2736</v>
      </c>
      <c r="O476" s="303">
        <v>50000000</v>
      </c>
      <c r="P476" s="157" t="s">
        <v>2736</v>
      </c>
      <c r="Q476" s="301">
        <v>60000000</v>
      </c>
      <c r="R476" s="157" t="s">
        <v>2736</v>
      </c>
      <c r="S476" s="301">
        <v>60000000</v>
      </c>
      <c r="T476" s="157" t="s">
        <v>2736</v>
      </c>
      <c r="U476" s="301">
        <v>60000000</v>
      </c>
      <c r="V476" s="52"/>
      <c r="W476" s="52"/>
      <c r="X476" s="52"/>
      <c r="Y476" s="165"/>
      <c r="Z476" s="165"/>
      <c r="AA476" s="165"/>
      <c r="AB476" s="165"/>
      <c r="AC476" s="165"/>
      <c r="AD476" s="165"/>
      <c r="AE476" s="165"/>
      <c r="AF476" s="165"/>
    </row>
    <row r="477" spans="1:32" ht="60">
      <c r="A477" s="165"/>
      <c r="B477" s="48"/>
      <c r="C477" s="56"/>
      <c r="D477" s="57"/>
      <c r="E477" s="57"/>
      <c r="F477" s="58"/>
      <c r="G477" s="410" t="s">
        <v>2773</v>
      </c>
      <c r="H477" s="304"/>
      <c r="I477" s="304"/>
      <c r="J477" s="304"/>
      <c r="K477" s="304"/>
      <c r="L477" s="157"/>
      <c r="M477" s="307" t="s">
        <v>743</v>
      </c>
      <c r="N477" s="157" t="s">
        <v>2774</v>
      </c>
      <c r="O477" s="303">
        <v>25000000</v>
      </c>
      <c r="P477" s="157"/>
      <c r="Q477" s="301"/>
      <c r="R477" s="157"/>
      <c r="S477" s="301"/>
      <c r="T477" s="157"/>
      <c r="U477" s="301"/>
      <c r="V477" s="52"/>
      <c r="W477" s="52"/>
      <c r="X477" s="52"/>
      <c r="Y477" s="165"/>
      <c r="Z477" s="165"/>
      <c r="AA477" s="165"/>
      <c r="AB477" s="165"/>
      <c r="AC477" s="165"/>
      <c r="AD477" s="165"/>
      <c r="AE477" s="165"/>
      <c r="AF477" s="165"/>
    </row>
    <row r="478" spans="1:32" ht="30">
      <c r="A478" s="165"/>
      <c r="B478" s="48"/>
      <c r="C478" s="56"/>
      <c r="D478" s="57"/>
      <c r="E478" s="57"/>
      <c r="F478" s="58"/>
      <c r="G478" s="410" t="s">
        <v>2775</v>
      </c>
      <c r="H478" s="304"/>
      <c r="I478" s="304"/>
      <c r="J478" s="304"/>
      <c r="K478" s="304"/>
      <c r="L478" s="157"/>
      <c r="M478" s="303">
        <v>150000000</v>
      </c>
      <c r="N478" s="157"/>
      <c r="O478" s="303"/>
      <c r="P478" s="157"/>
      <c r="Q478" s="301"/>
      <c r="R478" s="157"/>
      <c r="S478" s="301"/>
      <c r="T478" s="157"/>
      <c r="U478" s="301"/>
      <c r="V478" s="52"/>
      <c r="W478" s="52"/>
      <c r="X478" s="52"/>
      <c r="Y478" s="165"/>
      <c r="Z478" s="165"/>
      <c r="AA478" s="165"/>
      <c r="AB478" s="165"/>
      <c r="AC478" s="165"/>
      <c r="AD478" s="165"/>
      <c r="AE478" s="165"/>
      <c r="AF478" s="165"/>
    </row>
    <row r="479" spans="1:32" ht="75">
      <c r="A479" s="165"/>
      <c r="B479" s="48"/>
      <c r="C479" s="56"/>
      <c r="D479" s="57"/>
      <c r="E479" s="57"/>
      <c r="F479" s="58"/>
      <c r="G479" s="410" t="s">
        <v>2776</v>
      </c>
      <c r="H479" s="304"/>
      <c r="I479" s="304"/>
      <c r="J479" s="304"/>
      <c r="K479" s="304"/>
      <c r="L479" s="157"/>
      <c r="M479" s="303">
        <v>100000000</v>
      </c>
      <c r="N479" s="157"/>
      <c r="O479" s="303"/>
      <c r="P479" s="157"/>
      <c r="Q479" s="301"/>
      <c r="R479" s="157"/>
      <c r="S479" s="301"/>
      <c r="T479" s="157"/>
      <c r="U479" s="301"/>
      <c r="V479" s="52"/>
      <c r="W479" s="52"/>
      <c r="X479" s="52"/>
      <c r="Y479" s="165"/>
      <c r="Z479" s="165"/>
      <c r="AA479" s="165"/>
      <c r="AB479" s="165"/>
      <c r="AC479" s="165"/>
      <c r="AD479" s="165"/>
      <c r="AE479" s="165"/>
      <c r="AF479" s="165"/>
    </row>
    <row r="480" spans="1:32" s="540" customFormat="1" ht="60">
      <c r="B480" s="545"/>
      <c r="C480" s="591">
        <f>'[4]matrik MISI 3.1'!P59</f>
        <v>1.08</v>
      </c>
      <c r="D480" s="592" t="str">
        <f>'[4]matrik MISI 3.1'!Q59</f>
        <v>xx</v>
      </c>
      <c r="E480" s="592">
        <f>'[4]matrik MISI 3.1'!R59</f>
        <v>18</v>
      </c>
      <c r="F480" s="548" t="str">
        <f>'[4]matrik MISI 3.1'!S59</f>
        <v>Program  Rehabilitasi dan Pemulihan Cadangan Sumber daya Alam</v>
      </c>
      <c r="G480" s="548"/>
      <c r="H480" s="550"/>
      <c r="I480" s="550"/>
      <c r="J480" s="550"/>
      <c r="K480" s="551">
        <f>SUM(K481:K482)</f>
        <v>75000000</v>
      </c>
      <c r="L480" s="551">
        <f t="shared" ref="L480:U480" si="38">SUM(L481:L482)</f>
        <v>0</v>
      </c>
      <c r="M480" s="551">
        <f t="shared" si="38"/>
        <v>72505000</v>
      </c>
      <c r="N480" s="551">
        <f t="shared" si="38"/>
        <v>0</v>
      </c>
      <c r="O480" s="551">
        <f t="shared" si="38"/>
        <v>225000000</v>
      </c>
      <c r="P480" s="551">
        <f t="shared" si="38"/>
        <v>0</v>
      </c>
      <c r="Q480" s="551">
        <f t="shared" si="38"/>
        <v>250000000</v>
      </c>
      <c r="R480" s="551">
        <f t="shared" si="38"/>
        <v>0</v>
      </c>
      <c r="S480" s="551">
        <f t="shared" si="38"/>
        <v>300000000</v>
      </c>
      <c r="T480" s="551">
        <f t="shared" si="38"/>
        <v>0</v>
      </c>
      <c r="U480" s="551">
        <f t="shared" si="38"/>
        <v>300000000</v>
      </c>
      <c r="V480" s="550"/>
      <c r="W480" s="550"/>
      <c r="X480" s="550" t="str">
        <f>'[4]matrik MISI 3.1'!AE59</f>
        <v>BLH</v>
      </c>
    </row>
    <row r="481" spans="1:32" ht="90">
      <c r="A481" s="165"/>
      <c r="B481" s="48"/>
      <c r="C481" s="56"/>
      <c r="D481" s="57"/>
      <c r="E481" s="57"/>
      <c r="F481" s="58"/>
      <c r="G481" s="411" t="s">
        <v>2777</v>
      </c>
      <c r="H481" s="157" t="s">
        <v>2778</v>
      </c>
      <c r="I481" s="157" t="s">
        <v>2779</v>
      </c>
      <c r="J481" s="157" t="s">
        <v>2779</v>
      </c>
      <c r="K481" s="301">
        <v>25000000</v>
      </c>
      <c r="L481" s="157" t="s">
        <v>2780</v>
      </c>
      <c r="M481" s="303">
        <v>22505000</v>
      </c>
      <c r="N481" s="157" t="s">
        <v>2781</v>
      </c>
      <c r="O481" s="301">
        <v>75000000</v>
      </c>
      <c r="P481" s="157" t="s">
        <v>2782</v>
      </c>
      <c r="Q481" s="301">
        <v>100000000</v>
      </c>
      <c r="R481" s="157" t="s">
        <v>2783</v>
      </c>
      <c r="S481" s="301">
        <v>125000000</v>
      </c>
      <c r="T481" s="157" t="s">
        <v>2783</v>
      </c>
      <c r="U481" s="301">
        <v>125000000</v>
      </c>
      <c r="V481" s="52"/>
      <c r="W481" s="52"/>
      <c r="X481" s="52"/>
      <c r="Y481" s="165"/>
      <c r="Z481" s="165"/>
      <c r="AA481" s="165"/>
      <c r="AB481" s="165"/>
      <c r="AC481" s="165"/>
      <c r="AD481" s="165"/>
      <c r="AE481" s="165"/>
      <c r="AF481" s="165"/>
    </row>
    <row r="482" spans="1:32" ht="60">
      <c r="A482" s="165"/>
      <c r="B482" s="48"/>
      <c r="C482" s="56"/>
      <c r="D482" s="57"/>
      <c r="E482" s="57"/>
      <c r="F482" s="58"/>
      <c r="G482" s="408" t="s">
        <v>2784</v>
      </c>
      <c r="H482" s="157" t="s">
        <v>2551</v>
      </c>
      <c r="I482" s="157" t="s">
        <v>2551</v>
      </c>
      <c r="J482" s="157" t="s">
        <v>2551</v>
      </c>
      <c r="K482" s="301">
        <v>50000000</v>
      </c>
      <c r="L482" s="157" t="s">
        <v>2568</v>
      </c>
      <c r="M482" s="303">
        <v>50000000</v>
      </c>
      <c r="N482" s="157" t="s">
        <v>2568</v>
      </c>
      <c r="O482" s="303">
        <v>150000000</v>
      </c>
      <c r="P482" s="157" t="s">
        <v>2568</v>
      </c>
      <c r="Q482" s="303">
        <v>150000000</v>
      </c>
      <c r="R482" s="157" t="s">
        <v>2568</v>
      </c>
      <c r="S482" s="303">
        <v>175000000</v>
      </c>
      <c r="T482" s="157" t="s">
        <v>2568</v>
      </c>
      <c r="U482" s="303">
        <v>175000000</v>
      </c>
      <c r="V482" s="52"/>
      <c r="W482" s="52"/>
      <c r="X482" s="52"/>
      <c r="Y482" s="165"/>
      <c r="Z482" s="165"/>
      <c r="AA482" s="165"/>
      <c r="AB482" s="165"/>
      <c r="AC482" s="165"/>
      <c r="AD482" s="165"/>
      <c r="AE482" s="165"/>
      <c r="AF482" s="165"/>
    </row>
    <row r="483" spans="1:32" s="540" customFormat="1" ht="75">
      <c r="B483" s="545"/>
      <c r="C483" s="591">
        <f>'[4]matrik MISI 3.1'!P60</f>
        <v>1.08</v>
      </c>
      <c r="D483" s="592" t="str">
        <f>'[4]matrik MISI 3.1'!Q60</f>
        <v>xx</v>
      </c>
      <c r="E483" s="592">
        <f>'[4]matrik MISI 3.1'!R60</f>
        <v>19</v>
      </c>
      <c r="F483" s="548" t="str">
        <f>'[4]matrik MISI 3.1'!S60</f>
        <v>Program Peningkatan Kualitas dan Akses Informasi Sumber Daya Alam dan Lingkungan Hidup</v>
      </c>
      <c r="G483" s="548"/>
      <c r="H483" s="550"/>
      <c r="I483" s="550"/>
      <c r="J483" s="550"/>
      <c r="K483" s="551">
        <f>SUM(K484:K487)</f>
        <v>186000000</v>
      </c>
      <c r="L483" s="551">
        <f t="shared" ref="L483:U483" si="39">SUM(L484:L487)</f>
        <v>0</v>
      </c>
      <c r="M483" s="551">
        <f t="shared" si="39"/>
        <v>100672000</v>
      </c>
      <c r="N483" s="551">
        <f t="shared" si="39"/>
        <v>0</v>
      </c>
      <c r="O483" s="551">
        <f t="shared" si="39"/>
        <v>135000000</v>
      </c>
      <c r="P483" s="551">
        <f t="shared" si="39"/>
        <v>0</v>
      </c>
      <c r="Q483" s="551">
        <f t="shared" si="39"/>
        <v>140000000</v>
      </c>
      <c r="R483" s="551">
        <f t="shared" si="39"/>
        <v>0</v>
      </c>
      <c r="S483" s="551">
        <f t="shared" si="39"/>
        <v>160000000</v>
      </c>
      <c r="T483" s="551">
        <f t="shared" si="39"/>
        <v>0</v>
      </c>
      <c r="U483" s="551">
        <f t="shared" si="39"/>
        <v>160000000</v>
      </c>
      <c r="V483" s="550"/>
      <c r="W483" s="550"/>
      <c r="X483" s="550" t="str">
        <f>'[4]matrik MISI 3.1'!AE60</f>
        <v>BLH</v>
      </c>
    </row>
    <row r="484" spans="1:32" ht="30">
      <c r="A484" s="165"/>
      <c r="B484" s="48"/>
      <c r="C484" s="56"/>
      <c r="D484" s="57"/>
      <c r="E484" s="57"/>
      <c r="F484" s="58"/>
      <c r="G484" s="409" t="s">
        <v>2790</v>
      </c>
      <c r="H484" s="157" t="s">
        <v>2736</v>
      </c>
      <c r="I484" s="157"/>
      <c r="J484" s="157" t="s">
        <v>2736</v>
      </c>
      <c r="K484" s="301">
        <v>50000000</v>
      </c>
      <c r="L484" s="157" t="s">
        <v>2736</v>
      </c>
      <c r="M484" s="303">
        <v>43217000</v>
      </c>
      <c r="N484" s="157" t="s">
        <v>2736</v>
      </c>
      <c r="O484" s="301">
        <v>55000000</v>
      </c>
      <c r="P484" s="157" t="s">
        <v>2736</v>
      </c>
      <c r="Q484" s="301">
        <v>60000000</v>
      </c>
      <c r="R484" s="157" t="s">
        <v>2736</v>
      </c>
      <c r="S484" s="301">
        <v>65000000</v>
      </c>
      <c r="T484" s="157" t="s">
        <v>2736</v>
      </c>
      <c r="U484" s="301">
        <v>65000000</v>
      </c>
      <c r="V484" s="52"/>
      <c r="W484" s="52"/>
      <c r="X484" s="52"/>
      <c r="Y484" s="165"/>
      <c r="Z484" s="165"/>
      <c r="AA484" s="165"/>
      <c r="AB484" s="165"/>
      <c r="AC484" s="165"/>
      <c r="AD484" s="165"/>
      <c r="AE484" s="165"/>
      <c r="AF484" s="165"/>
    </row>
    <row r="485" spans="1:32" ht="75">
      <c r="A485" s="165"/>
      <c r="B485" s="48"/>
      <c r="C485" s="56"/>
      <c r="D485" s="57"/>
      <c r="E485" s="57"/>
      <c r="F485" s="58"/>
      <c r="G485" s="409" t="s">
        <v>2791</v>
      </c>
      <c r="H485" s="157" t="s">
        <v>2736</v>
      </c>
      <c r="I485" s="157" t="s">
        <v>2736</v>
      </c>
      <c r="J485" s="157" t="s">
        <v>2736</v>
      </c>
      <c r="K485" s="301">
        <v>15000000</v>
      </c>
      <c r="L485" s="157" t="s">
        <v>2736</v>
      </c>
      <c r="M485" s="303">
        <v>12455000</v>
      </c>
      <c r="N485" s="157" t="s">
        <v>2736</v>
      </c>
      <c r="O485" s="301">
        <v>30000000</v>
      </c>
      <c r="P485" s="157" t="s">
        <v>2736</v>
      </c>
      <c r="Q485" s="301">
        <v>30000000</v>
      </c>
      <c r="R485" s="157" t="s">
        <v>2736</v>
      </c>
      <c r="S485" s="301">
        <v>35000000</v>
      </c>
      <c r="T485" s="157" t="s">
        <v>2736</v>
      </c>
      <c r="U485" s="301">
        <v>35000000</v>
      </c>
      <c r="V485" s="52"/>
      <c r="W485" s="52"/>
      <c r="X485" s="52"/>
      <c r="Y485" s="165"/>
      <c r="Z485" s="165"/>
      <c r="AA485" s="165"/>
      <c r="AB485" s="165"/>
      <c r="AC485" s="165"/>
      <c r="AD485" s="165"/>
      <c r="AE485" s="165"/>
      <c r="AF485" s="165"/>
    </row>
    <row r="486" spans="1:32" ht="45">
      <c r="A486" s="165"/>
      <c r="B486" s="48"/>
      <c r="C486" s="56"/>
      <c r="D486" s="57"/>
      <c r="E486" s="57"/>
      <c r="F486" s="58"/>
      <c r="G486" s="409" t="s">
        <v>2792</v>
      </c>
      <c r="H486" s="157" t="s">
        <v>2736</v>
      </c>
      <c r="I486" s="157"/>
      <c r="J486" s="157"/>
      <c r="K486" s="308">
        <v>121000000</v>
      </c>
      <c r="L486" s="157"/>
      <c r="M486" s="304" t="s">
        <v>743</v>
      </c>
      <c r="N486" s="157"/>
      <c r="O486" s="157"/>
      <c r="P486" s="157"/>
      <c r="Q486" s="157"/>
      <c r="R486" s="157"/>
      <c r="S486" s="157"/>
      <c r="T486" s="157"/>
      <c r="U486" s="157"/>
      <c r="V486" s="52"/>
      <c r="W486" s="52"/>
      <c r="X486" s="52"/>
      <c r="Y486" s="165"/>
      <c r="Z486" s="165"/>
      <c r="AA486" s="165"/>
      <c r="AB486" s="165"/>
      <c r="AC486" s="165"/>
      <c r="AD486" s="165"/>
      <c r="AE486" s="165"/>
      <c r="AF486" s="165"/>
    </row>
    <row r="487" spans="1:32" ht="60">
      <c r="A487" s="165"/>
      <c r="B487" s="48"/>
      <c r="C487" s="56"/>
      <c r="D487" s="57"/>
      <c r="E487" s="57"/>
      <c r="F487" s="58"/>
      <c r="G487" s="409" t="s">
        <v>2793</v>
      </c>
      <c r="H487" s="304" t="s">
        <v>743</v>
      </c>
      <c r="I487" s="304" t="s">
        <v>743</v>
      </c>
      <c r="J487" s="304" t="s">
        <v>743</v>
      </c>
      <c r="K487" s="304" t="s">
        <v>743</v>
      </c>
      <c r="L487" s="157" t="s">
        <v>2736</v>
      </c>
      <c r="M487" s="309">
        <v>45000000</v>
      </c>
      <c r="N487" s="157" t="s">
        <v>2736</v>
      </c>
      <c r="O487" s="301">
        <v>50000000</v>
      </c>
      <c r="P487" s="301" t="s">
        <v>2736</v>
      </c>
      <c r="Q487" s="301">
        <v>50000000</v>
      </c>
      <c r="R487" s="301" t="s">
        <v>2736</v>
      </c>
      <c r="S487" s="301">
        <v>60000000</v>
      </c>
      <c r="T487" s="301" t="s">
        <v>2736</v>
      </c>
      <c r="U487" s="301">
        <v>60000000</v>
      </c>
      <c r="V487" s="52"/>
      <c r="W487" s="52"/>
      <c r="X487" s="52"/>
      <c r="Y487" s="165"/>
      <c r="Z487" s="165"/>
      <c r="AA487" s="165"/>
      <c r="AB487" s="165"/>
      <c r="AC487" s="165"/>
      <c r="AD487" s="165"/>
      <c r="AE487" s="165"/>
      <c r="AF487" s="165"/>
    </row>
    <row r="488" spans="1:32" s="540" customFormat="1" ht="30">
      <c r="B488" s="545"/>
      <c r="C488" s="591">
        <f>'[4]matrik MISI 3.1'!P48</f>
        <v>1.08</v>
      </c>
      <c r="D488" s="592" t="str">
        <f>'[4]matrik MISI 3.1'!Q48</f>
        <v>xx</v>
      </c>
      <c r="E488" s="592">
        <f>'[4]matrik MISI 3.1'!R48</f>
        <v>20</v>
      </c>
      <c r="F488" s="548" t="str">
        <f>'[4]matrik MISI 3.1'!S48</f>
        <v>Program Peningkatan Pengendalian Polusi</v>
      </c>
      <c r="G488" s="548"/>
      <c r="H488" s="550"/>
      <c r="I488" s="550"/>
      <c r="J488" s="550"/>
      <c r="K488" s="603">
        <f>SUM(K489)</f>
        <v>250000000</v>
      </c>
      <c r="L488" s="603">
        <f t="shared" ref="L488:U488" si="40">SUM(L489)</f>
        <v>0</v>
      </c>
      <c r="M488" s="603">
        <f t="shared" si="40"/>
        <v>421402500</v>
      </c>
      <c r="N488" s="603">
        <f t="shared" si="40"/>
        <v>0</v>
      </c>
      <c r="O488" s="603">
        <f t="shared" si="40"/>
        <v>500000000</v>
      </c>
      <c r="P488" s="603">
        <f t="shared" si="40"/>
        <v>0</v>
      </c>
      <c r="Q488" s="603">
        <f t="shared" si="40"/>
        <v>600000000</v>
      </c>
      <c r="R488" s="603">
        <f t="shared" si="40"/>
        <v>0</v>
      </c>
      <c r="S488" s="603">
        <f t="shared" si="40"/>
        <v>650000000</v>
      </c>
      <c r="T488" s="603">
        <f t="shared" si="40"/>
        <v>0</v>
      </c>
      <c r="U488" s="603">
        <f t="shared" si="40"/>
        <v>650000000</v>
      </c>
      <c r="V488" s="550"/>
      <c r="W488" s="550"/>
      <c r="X488" s="550" t="str">
        <f>'[4]matrik MISI 3.1'!AE48</f>
        <v>DPU</v>
      </c>
    </row>
    <row r="489" spans="1:32" ht="135">
      <c r="A489" s="165"/>
      <c r="B489" s="48"/>
      <c r="C489" s="56"/>
      <c r="D489" s="57"/>
      <c r="E489" s="57"/>
      <c r="F489" s="58"/>
      <c r="G489" s="58" t="s">
        <v>2727</v>
      </c>
      <c r="H489" s="52" t="s">
        <v>2496</v>
      </c>
      <c r="I489" s="52" t="s">
        <v>2728</v>
      </c>
      <c r="J489" s="52" t="str">
        <f>I489</f>
        <v>tertanganinya kebersihan kota dengan tenaga out sourching (12 tenaga)</v>
      </c>
      <c r="K489" s="533">
        <v>250000000</v>
      </c>
      <c r="L489" s="52" t="s">
        <v>2729</v>
      </c>
      <c r="M489" s="533">
        <v>421402500</v>
      </c>
      <c r="N489" s="52" t="str">
        <f>L489</f>
        <v>Tertanganinya kebersihan kota dengan tenaga out sourching (21 tenaga)</v>
      </c>
      <c r="O489" s="533">
        <v>500000000</v>
      </c>
      <c r="P489" s="52" t="str">
        <f>N489</f>
        <v>Tertanganinya kebersihan kota dengan tenaga out sourching (21 tenaga)</v>
      </c>
      <c r="Q489" s="533">
        <v>600000000</v>
      </c>
      <c r="R489" s="52" t="str">
        <f>P489</f>
        <v>Tertanganinya kebersihan kota dengan tenaga out sourching (21 tenaga)</v>
      </c>
      <c r="S489" s="533">
        <v>650000000</v>
      </c>
      <c r="T489" s="52" t="str">
        <f>R489</f>
        <v>Tertanganinya kebersihan kota dengan tenaga out sourching (21 tenaga)</v>
      </c>
      <c r="U489" s="533">
        <v>650000000</v>
      </c>
      <c r="V489" s="52"/>
      <c r="W489" s="52"/>
      <c r="X489" s="52"/>
      <c r="Y489" s="165"/>
      <c r="Z489" s="165"/>
      <c r="AA489" s="165"/>
      <c r="AB489" s="165"/>
      <c r="AC489" s="165"/>
      <c r="AD489" s="165"/>
      <c r="AE489" s="165"/>
      <c r="AF489" s="165"/>
    </row>
    <row r="490" spans="1:32" s="540" customFormat="1" ht="45">
      <c r="B490" s="545"/>
      <c r="C490" s="591">
        <f>'[4]matrik MISI 3.1'!P46</f>
        <v>1.08</v>
      </c>
      <c r="D490" s="592" t="str">
        <f>'[4]matrik MISI 3.1'!Q46</f>
        <v>xx</v>
      </c>
      <c r="E490" s="592">
        <f>'[4]matrik MISI 3.1'!R46</f>
        <v>24</v>
      </c>
      <c r="F490" s="548" t="str">
        <f>'[4]matrik MISI 3.1'!S46</f>
        <v>Program Pengelolaan ruang terbuka hijau (RTH)</v>
      </c>
      <c r="G490" s="548"/>
      <c r="H490" s="550"/>
      <c r="I490" s="550"/>
      <c r="J490" s="550"/>
      <c r="K490" s="603">
        <f>SUM(K491:K494)</f>
        <v>1250000000</v>
      </c>
      <c r="L490" s="603">
        <f t="shared" ref="L490:U490" si="41">SUM(L491:L494)</f>
        <v>0</v>
      </c>
      <c r="M490" s="603">
        <f t="shared" si="41"/>
        <v>313875000</v>
      </c>
      <c r="N490" s="603">
        <f t="shared" si="41"/>
        <v>0</v>
      </c>
      <c r="O490" s="603">
        <f t="shared" si="41"/>
        <v>1600000000</v>
      </c>
      <c r="P490" s="603">
        <f t="shared" si="41"/>
        <v>0</v>
      </c>
      <c r="Q490" s="603">
        <f t="shared" si="41"/>
        <v>1700000000</v>
      </c>
      <c r="R490" s="603">
        <f t="shared" si="41"/>
        <v>0</v>
      </c>
      <c r="S490" s="603">
        <f t="shared" si="41"/>
        <v>2300000000</v>
      </c>
      <c r="T490" s="603">
        <f t="shared" si="41"/>
        <v>0</v>
      </c>
      <c r="U490" s="603">
        <f t="shared" si="41"/>
        <v>2300000000</v>
      </c>
      <c r="V490" s="550"/>
      <c r="W490" s="550"/>
      <c r="X490" s="550" t="str">
        <f>'[4]matrik MISI 3.1'!AE46</f>
        <v>BLH/DPU/BAPPEDA</v>
      </c>
    </row>
    <row r="491" spans="1:32" ht="45">
      <c r="A491" s="165"/>
      <c r="B491" s="48"/>
      <c r="C491" s="56"/>
      <c r="D491" s="57"/>
      <c r="E491" s="57"/>
      <c r="F491" s="58"/>
      <c r="G491" s="58" t="s">
        <v>2730</v>
      </c>
      <c r="H491" s="52" t="s">
        <v>743</v>
      </c>
      <c r="I491" s="52" t="s">
        <v>2496</v>
      </c>
      <c r="J491" s="52" t="s">
        <v>2496</v>
      </c>
      <c r="K491" s="533">
        <v>300000000</v>
      </c>
      <c r="L491" s="52" t="s">
        <v>2496</v>
      </c>
      <c r="M491" s="533">
        <v>295126000</v>
      </c>
      <c r="N491" s="52" t="s">
        <v>2496</v>
      </c>
      <c r="O491" s="533">
        <v>400000000</v>
      </c>
      <c r="P491" s="52" t="s">
        <v>2496</v>
      </c>
      <c r="Q491" s="533">
        <v>450000000</v>
      </c>
      <c r="R491" s="52" t="s">
        <v>2496</v>
      </c>
      <c r="S491" s="533">
        <v>500000000</v>
      </c>
      <c r="T491" s="52" t="s">
        <v>2496</v>
      </c>
      <c r="U491" s="533">
        <v>500000000</v>
      </c>
      <c r="V491" s="52"/>
      <c r="W491" s="52"/>
      <c r="X491" s="52"/>
      <c r="Y491" s="165"/>
      <c r="Z491" s="165"/>
      <c r="AA491" s="165"/>
      <c r="AB491" s="165"/>
      <c r="AC491" s="165"/>
      <c r="AD491" s="165"/>
      <c r="AE491" s="165"/>
      <c r="AF491" s="165"/>
    </row>
    <row r="492" spans="1:32" ht="45">
      <c r="A492" s="165"/>
      <c r="B492" s="48"/>
      <c r="C492" s="56"/>
      <c r="D492" s="57"/>
      <c r="E492" s="57"/>
      <c r="F492" s="58"/>
      <c r="G492" s="58" t="s">
        <v>2731</v>
      </c>
      <c r="H492" s="52" t="s">
        <v>743</v>
      </c>
      <c r="I492" s="52" t="s">
        <v>2496</v>
      </c>
      <c r="J492" s="52" t="s">
        <v>2496</v>
      </c>
      <c r="K492" s="533">
        <v>950000000</v>
      </c>
      <c r="L492" s="52" t="s">
        <v>743</v>
      </c>
      <c r="M492" s="533" t="s">
        <v>743</v>
      </c>
      <c r="N492" s="52" t="str">
        <f>N491</f>
        <v>1 Kegiatan</v>
      </c>
      <c r="O492" s="533">
        <v>1000000000</v>
      </c>
      <c r="P492" s="52" t="str">
        <f>P491</f>
        <v>1 Kegiatan</v>
      </c>
      <c r="Q492" s="533">
        <v>1000000000</v>
      </c>
      <c r="R492" s="52" t="str">
        <f>R491</f>
        <v>1 Kegiatan</v>
      </c>
      <c r="S492" s="533">
        <v>1000000000</v>
      </c>
      <c r="T492" s="52" t="str">
        <f>T491</f>
        <v>1 Kegiatan</v>
      </c>
      <c r="U492" s="533">
        <v>1000000000</v>
      </c>
      <c r="V492" s="52"/>
      <c r="W492" s="52"/>
      <c r="X492" s="52"/>
      <c r="Y492" s="165"/>
      <c r="Z492" s="165"/>
      <c r="AA492" s="165"/>
      <c r="AB492" s="165"/>
      <c r="AC492" s="165"/>
      <c r="AD492" s="165"/>
      <c r="AE492" s="165"/>
      <c r="AF492" s="165"/>
    </row>
    <row r="493" spans="1:32" ht="45">
      <c r="A493" s="165"/>
      <c r="B493" s="48"/>
      <c r="C493" s="56"/>
      <c r="D493" s="57"/>
      <c r="E493" s="57"/>
      <c r="F493" s="58"/>
      <c r="G493" s="58" t="s">
        <v>2732</v>
      </c>
      <c r="H493" s="52" t="s">
        <v>743</v>
      </c>
      <c r="I493" s="52" t="s">
        <v>743</v>
      </c>
      <c r="J493" s="52" t="s">
        <v>743</v>
      </c>
      <c r="K493" s="52" t="s">
        <v>743</v>
      </c>
      <c r="L493" s="52" t="s">
        <v>743</v>
      </c>
      <c r="M493" s="533" t="s">
        <v>743</v>
      </c>
      <c r="N493" s="533" t="s">
        <v>743</v>
      </c>
      <c r="O493" s="533" t="s">
        <v>743</v>
      </c>
      <c r="P493" s="533" t="s">
        <v>743</v>
      </c>
      <c r="Q493" s="533" t="s">
        <v>743</v>
      </c>
      <c r="R493" s="533" t="str">
        <f>+R492</f>
        <v>1 Kegiatan</v>
      </c>
      <c r="S493" s="533">
        <v>500000000</v>
      </c>
      <c r="T493" s="533" t="str">
        <f>+T492</f>
        <v>1 Kegiatan</v>
      </c>
      <c r="U493" s="533">
        <v>500000000</v>
      </c>
      <c r="V493" s="52"/>
      <c r="W493" s="52"/>
      <c r="X493" s="52"/>
      <c r="Y493" s="165"/>
      <c r="Z493" s="165"/>
      <c r="AA493" s="165"/>
      <c r="AB493" s="165"/>
      <c r="AC493" s="165"/>
      <c r="AD493" s="165"/>
      <c r="AE493" s="165"/>
      <c r="AF493" s="165"/>
    </row>
    <row r="494" spans="1:32" ht="90">
      <c r="A494" s="165"/>
      <c r="B494" s="48"/>
      <c r="C494" s="56"/>
      <c r="D494" s="57"/>
      <c r="E494" s="57"/>
      <c r="F494" s="58"/>
      <c r="G494" s="409" t="s">
        <v>2785</v>
      </c>
      <c r="H494" s="157" t="s">
        <v>2736</v>
      </c>
      <c r="I494" s="157"/>
      <c r="J494" s="157"/>
      <c r="K494" s="304" t="s">
        <v>743</v>
      </c>
      <c r="L494" s="157" t="s">
        <v>2786</v>
      </c>
      <c r="M494" s="303">
        <v>18749000</v>
      </c>
      <c r="N494" s="157" t="s">
        <v>2787</v>
      </c>
      <c r="O494" s="301">
        <v>200000000</v>
      </c>
      <c r="P494" s="301" t="s">
        <v>2788</v>
      </c>
      <c r="Q494" s="301">
        <v>250000000</v>
      </c>
      <c r="R494" s="301" t="s">
        <v>2789</v>
      </c>
      <c r="S494" s="301">
        <v>300000000</v>
      </c>
      <c r="T494" s="301" t="s">
        <v>2789</v>
      </c>
      <c r="U494" s="301">
        <v>300000000</v>
      </c>
      <c r="V494" s="52"/>
      <c r="W494" s="52"/>
      <c r="X494" s="52"/>
      <c r="Y494" s="165"/>
      <c r="Z494" s="165"/>
      <c r="AA494" s="165"/>
      <c r="AB494" s="165"/>
      <c r="AC494" s="165"/>
      <c r="AD494" s="165"/>
      <c r="AE494" s="165"/>
      <c r="AF494" s="165"/>
    </row>
    <row r="495" spans="1:32" s="279" customFormat="1" ht="30" customHeight="1">
      <c r="A495" s="284"/>
      <c r="B495" s="1103" t="s">
        <v>4240</v>
      </c>
      <c r="C495" s="1104"/>
      <c r="D495" s="1104"/>
      <c r="E495" s="1104"/>
      <c r="F495" s="1104"/>
      <c r="G495" s="1105"/>
      <c r="H495" s="310"/>
      <c r="I495" s="310"/>
      <c r="J495" s="310"/>
      <c r="K495" s="311">
        <f>SUM(K436:K494)</f>
        <v>11927977000</v>
      </c>
      <c r="L495" s="311"/>
      <c r="M495" s="311">
        <f t="shared" ref="M495:W495" si="42">SUM(M436:M494)</f>
        <v>12179474500</v>
      </c>
      <c r="N495" s="311"/>
      <c r="O495" s="311">
        <f t="shared" si="42"/>
        <v>22050000000</v>
      </c>
      <c r="P495" s="311"/>
      <c r="Q495" s="311">
        <f t="shared" si="42"/>
        <v>20100000000</v>
      </c>
      <c r="R495" s="311"/>
      <c r="S495" s="311">
        <f t="shared" si="42"/>
        <v>29410000000</v>
      </c>
      <c r="T495" s="311"/>
      <c r="U495" s="311">
        <f t="shared" si="42"/>
        <v>29410000000</v>
      </c>
      <c r="V495" s="311">
        <f t="shared" si="42"/>
        <v>0</v>
      </c>
      <c r="W495" s="311">
        <f t="shared" si="42"/>
        <v>0</v>
      </c>
      <c r="X495" s="521"/>
      <c r="Y495" s="284"/>
      <c r="Z495" s="284"/>
      <c r="AA495" s="284"/>
      <c r="AB495" s="284"/>
      <c r="AC495" s="284"/>
      <c r="AD495" s="284"/>
      <c r="AE495" s="284"/>
      <c r="AF495" s="284"/>
    </row>
    <row r="496" spans="1:32" s="391" customFormat="1">
      <c r="B496" s="397" t="s">
        <v>1801</v>
      </c>
      <c r="C496" s="392"/>
      <c r="D496" s="393"/>
      <c r="E496" s="393"/>
      <c r="F496" s="394"/>
      <c r="G496" s="394"/>
      <c r="H496" s="395"/>
      <c r="I496" s="395"/>
      <c r="J496" s="395"/>
      <c r="K496" s="395"/>
      <c r="L496" s="395"/>
      <c r="M496" s="395"/>
      <c r="N496" s="395"/>
      <c r="O496" s="395"/>
      <c r="P496" s="395"/>
      <c r="Q496" s="395"/>
      <c r="R496" s="395"/>
      <c r="S496" s="395"/>
      <c r="T496" s="395"/>
      <c r="U496" s="395"/>
      <c r="V496" s="395"/>
      <c r="W496" s="395"/>
      <c r="X496" s="395"/>
    </row>
    <row r="497" spans="1:32">
      <c r="A497" s="165">
        <v>1</v>
      </c>
      <c r="B497" s="62" t="str">
        <f>'[4]matrik MISI 1'!B6</f>
        <v>PERTANIAN</v>
      </c>
      <c r="C497" s="56"/>
      <c r="D497" s="57"/>
      <c r="E497" s="57"/>
      <c r="F497" s="58"/>
      <c r="G497" s="58"/>
      <c r="H497" s="529"/>
      <c r="I497" s="529"/>
      <c r="J497" s="529"/>
      <c r="K497" s="529"/>
      <c r="L497" s="529"/>
      <c r="M497" s="529"/>
      <c r="N497" s="529"/>
      <c r="O497" s="529"/>
      <c r="P497" s="529"/>
      <c r="Q497" s="529"/>
      <c r="R497" s="529"/>
      <c r="S497" s="529"/>
      <c r="T497" s="529"/>
      <c r="U497" s="529"/>
      <c r="V497" s="529"/>
      <c r="W497" s="529"/>
      <c r="X497" s="529"/>
      <c r="Y497" s="165"/>
      <c r="Z497" s="165"/>
      <c r="AA497" s="165"/>
      <c r="AB497" s="165"/>
      <c r="AC497" s="165"/>
      <c r="AD497" s="165"/>
      <c r="AE497" s="165"/>
      <c r="AF497" s="165"/>
    </row>
    <row r="498" spans="1:32" s="540" customFormat="1" ht="75">
      <c r="B498" s="545"/>
      <c r="C498" s="593" t="str">
        <f>'[4]matrik MISI 1'!P12</f>
        <v>2.01</v>
      </c>
      <c r="D498" s="594" t="str">
        <f>'[4]matrik MISI 1'!Q12</f>
        <v>xx</v>
      </c>
      <c r="E498" s="594">
        <f>'[4]matrik MISI 1'!R12</f>
        <v>17</v>
      </c>
      <c r="F498" s="595" t="str">
        <f>'[4]matrik MISI 1'!S12</f>
        <v>Program Peningkatan Pemasaran hasil produksi pertanian/perkebunan</v>
      </c>
      <c r="G498" s="548"/>
      <c r="H498" s="551"/>
      <c r="I498" s="551"/>
      <c r="J498" s="551"/>
      <c r="K498" s="551">
        <f>SUM(K499:K501)</f>
        <v>340000000</v>
      </c>
      <c r="L498" s="551">
        <f t="shared" ref="L498:U498" si="43">SUM(L499:L501)</f>
        <v>0</v>
      </c>
      <c r="M498" s="551">
        <f t="shared" si="43"/>
        <v>370000000</v>
      </c>
      <c r="N498" s="551">
        <f t="shared" si="43"/>
        <v>0</v>
      </c>
      <c r="O498" s="551">
        <f t="shared" si="43"/>
        <v>405000000</v>
      </c>
      <c r="P498" s="551">
        <f t="shared" si="43"/>
        <v>0</v>
      </c>
      <c r="Q498" s="551">
        <f t="shared" si="43"/>
        <v>415000000</v>
      </c>
      <c r="R498" s="551">
        <f t="shared" si="43"/>
        <v>0</v>
      </c>
      <c r="S498" s="551">
        <f t="shared" si="43"/>
        <v>420000000</v>
      </c>
      <c r="T498" s="551">
        <f t="shared" si="43"/>
        <v>0</v>
      </c>
      <c r="U498" s="551">
        <f t="shared" si="43"/>
        <v>420000000</v>
      </c>
      <c r="V498" s="551"/>
      <c r="W498" s="551"/>
      <c r="X498" s="551" t="str">
        <f>'[4]matrik MISI 1'!AF12</f>
        <v>DINTANBUNHUT</v>
      </c>
    </row>
    <row r="499" spans="1:32" s="165" customFormat="1" ht="90">
      <c r="B499" s="48"/>
      <c r="C499" s="62"/>
      <c r="D499" s="63"/>
      <c r="E499" s="63"/>
      <c r="F499" s="64"/>
      <c r="G499" s="420" t="s">
        <v>3928</v>
      </c>
      <c r="H499" s="150" t="s">
        <v>2521</v>
      </c>
      <c r="I499" s="150" t="s">
        <v>3929</v>
      </c>
      <c r="J499" s="150" t="s">
        <v>3929</v>
      </c>
      <c r="K499" s="152">
        <v>40000000</v>
      </c>
      <c r="L499" s="150" t="s">
        <v>3929</v>
      </c>
      <c r="M499" s="152">
        <v>40000000</v>
      </c>
      <c r="N499" s="150" t="s">
        <v>3929</v>
      </c>
      <c r="O499" s="152">
        <v>45000000</v>
      </c>
      <c r="P499" s="150" t="s">
        <v>3929</v>
      </c>
      <c r="Q499" s="152">
        <v>45000000</v>
      </c>
      <c r="R499" s="150" t="s">
        <v>3929</v>
      </c>
      <c r="S499" s="152">
        <v>50000000</v>
      </c>
      <c r="T499" s="150" t="s">
        <v>3929</v>
      </c>
      <c r="U499" s="152">
        <v>50000000</v>
      </c>
      <c r="V499" s="529"/>
      <c r="W499" s="529"/>
      <c r="X499" s="529"/>
    </row>
    <row r="500" spans="1:32" s="165" customFormat="1" ht="165">
      <c r="B500" s="48"/>
      <c r="C500" s="62"/>
      <c r="D500" s="63"/>
      <c r="E500" s="63"/>
      <c r="F500" s="64"/>
      <c r="G500" s="420" t="s">
        <v>3930</v>
      </c>
      <c r="H500" s="150" t="s">
        <v>743</v>
      </c>
      <c r="I500" s="150" t="s">
        <v>743</v>
      </c>
      <c r="J500" s="150" t="s">
        <v>3931</v>
      </c>
      <c r="K500" s="152">
        <v>300000000</v>
      </c>
      <c r="L500" s="150" t="s">
        <v>3931</v>
      </c>
      <c r="M500" s="152">
        <v>300000000</v>
      </c>
      <c r="N500" s="150" t="s">
        <v>3931</v>
      </c>
      <c r="O500" s="152">
        <f>M500+(M500*10%)</f>
        <v>330000000</v>
      </c>
      <c r="P500" s="150" t="s">
        <v>3931</v>
      </c>
      <c r="Q500" s="152">
        <f>O500</f>
        <v>330000000</v>
      </c>
      <c r="R500" s="150" t="s">
        <v>3931</v>
      </c>
      <c r="S500" s="152">
        <f>Q500</f>
        <v>330000000</v>
      </c>
      <c r="T500" s="150" t="s">
        <v>4641</v>
      </c>
      <c r="U500" s="152">
        <f>S500</f>
        <v>330000000</v>
      </c>
      <c r="V500" s="529"/>
      <c r="W500" s="529"/>
      <c r="X500" s="529"/>
    </row>
    <row r="501" spans="1:32" s="165" customFormat="1" ht="120">
      <c r="B501" s="48"/>
      <c r="C501" s="62"/>
      <c r="D501" s="63"/>
      <c r="E501" s="63"/>
      <c r="F501" s="64"/>
      <c r="G501" s="420" t="s">
        <v>3932</v>
      </c>
      <c r="H501" s="150" t="s">
        <v>743</v>
      </c>
      <c r="I501" s="150" t="s">
        <v>743</v>
      </c>
      <c r="J501" s="152" t="s">
        <v>743</v>
      </c>
      <c r="K501" s="152">
        <v>0</v>
      </c>
      <c r="L501" s="150" t="s">
        <v>3933</v>
      </c>
      <c r="M501" s="152">
        <v>30000000</v>
      </c>
      <c r="N501" s="150" t="s">
        <v>3933</v>
      </c>
      <c r="O501" s="152">
        <v>30000000</v>
      </c>
      <c r="P501" s="150" t="s">
        <v>3933</v>
      </c>
      <c r="Q501" s="152">
        <v>40000000</v>
      </c>
      <c r="R501" s="150" t="s">
        <v>3933</v>
      </c>
      <c r="S501" s="152">
        <v>40000000</v>
      </c>
      <c r="T501" s="150" t="s">
        <v>3933</v>
      </c>
      <c r="U501" s="152">
        <v>40000000</v>
      </c>
      <c r="V501" s="529"/>
      <c r="W501" s="529"/>
      <c r="X501" s="529"/>
    </row>
    <row r="502" spans="1:32" s="540" customFormat="1" ht="75">
      <c r="B502" s="545"/>
      <c r="C502" s="593" t="str">
        <f>'[4]matrik MISI 1'!P7</f>
        <v>2.01.</v>
      </c>
      <c r="D502" s="594" t="str">
        <f>'[4]matrik MISI 1'!Q7</f>
        <v>xx</v>
      </c>
      <c r="E502" s="594">
        <f>'[4]matrik MISI 1'!R7</f>
        <v>18</v>
      </c>
      <c r="F502" s="595" t="str">
        <f>'[4]matrik MISI 1'!S7</f>
        <v>Program Peningkatan Penerapan Teknologi Pertanian / Peternakan / Perkebunan</v>
      </c>
      <c r="G502" s="548"/>
      <c r="H502" s="551"/>
      <c r="I502" s="551"/>
      <c r="J502" s="551"/>
      <c r="K502" s="551">
        <f>SUM(K503:K523)</f>
        <v>3060120000</v>
      </c>
      <c r="L502" s="551">
        <f t="shared" ref="L502:U502" si="44">SUM(L503:L523)</f>
        <v>0</v>
      </c>
      <c r="M502" s="551">
        <f t="shared" si="44"/>
        <v>2400000000</v>
      </c>
      <c r="N502" s="551">
        <f t="shared" si="44"/>
        <v>0</v>
      </c>
      <c r="O502" s="551">
        <f t="shared" si="44"/>
        <v>2420000000</v>
      </c>
      <c r="P502" s="551">
        <f t="shared" si="44"/>
        <v>0</v>
      </c>
      <c r="Q502" s="551">
        <f t="shared" si="44"/>
        <v>2445000000</v>
      </c>
      <c r="R502" s="551">
        <f t="shared" si="44"/>
        <v>0</v>
      </c>
      <c r="S502" s="551">
        <f t="shared" si="44"/>
        <v>2465000000</v>
      </c>
      <c r="T502" s="551">
        <f t="shared" si="44"/>
        <v>0</v>
      </c>
      <c r="U502" s="551">
        <f t="shared" si="44"/>
        <v>1465000000</v>
      </c>
      <c r="V502" s="551"/>
      <c r="W502" s="551"/>
      <c r="X502" s="551" t="str">
        <f>'[4]matrik MISI 1'!AF7</f>
        <v>DINTANBUNHUT</v>
      </c>
    </row>
    <row r="503" spans="1:32" s="165" customFormat="1" ht="30">
      <c r="B503" s="48"/>
      <c r="C503" s="62"/>
      <c r="D503" s="63"/>
      <c r="E503" s="63"/>
      <c r="F503" s="64"/>
      <c r="G503" s="421" t="s">
        <v>4117</v>
      </c>
      <c r="H503" s="346"/>
      <c r="I503" s="346"/>
      <c r="J503" s="346"/>
      <c r="K503" s="347">
        <v>60000000</v>
      </c>
      <c r="L503" s="346"/>
      <c r="M503" s="347">
        <v>65000000</v>
      </c>
      <c r="N503" s="346"/>
      <c r="O503" s="347">
        <v>70000000</v>
      </c>
      <c r="P503" s="346"/>
      <c r="Q503" s="347">
        <v>80000000</v>
      </c>
      <c r="R503" s="346"/>
      <c r="S503" s="347">
        <v>85000000</v>
      </c>
      <c r="T503" s="346"/>
      <c r="U503" s="347">
        <v>85000000</v>
      </c>
      <c r="V503" s="529"/>
      <c r="W503" s="529"/>
      <c r="X503" s="529"/>
    </row>
    <row r="504" spans="1:32" s="165" customFormat="1" ht="45">
      <c r="B504" s="48"/>
      <c r="C504" s="62"/>
      <c r="D504" s="63"/>
      <c r="E504" s="63"/>
      <c r="F504" s="64"/>
      <c r="G504" s="68" t="s">
        <v>4120</v>
      </c>
      <c r="H504" s="348" t="s">
        <v>4121</v>
      </c>
      <c r="I504" s="348">
        <v>50</v>
      </c>
      <c r="J504" s="348" t="s">
        <v>4122</v>
      </c>
      <c r="K504" s="349"/>
      <c r="L504" s="348" t="s">
        <v>4122</v>
      </c>
      <c r="M504" s="349"/>
      <c r="N504" s="348" t="s">
        <v>4123</v>
      </c>
      <c r="O504" s="349"/>
      <c r="P504" s="348" t="s">
        <v>4123</v>
      </c>
      <c r="Q504" s="349"/>
      <c r="R504" s="348" t="s">
        <v>4124</v>
      </c>
      <c r="S504" s="349"/>
      <c r="T504" s="348" t="s">
        <v>4124</v>
      </c>
      <c r="U504" s="349"/>
      <c r="V504" s="529"/>
      <c r="W504" s="529"/>
      <c r="X504" s="529"/>
    </row>
    <row r="505" spans="1:32" s="165" customFormat="1" ht="60">
      <c r="B505" s="48"/>
      <c r="C505" s="62"/>
      <c r="D505" s="63"/>
      <c r="E505" s="63"/>
      <c r="F505" s="64"/>
      <c r="G505" s="58" t="s">
        <v>4125</v>
      </c>
      <c r="H505" s="237">
        <v>0</v>
      </c>
      <c r="I505" s="237">
        <v>0</v>
      </c>
      <c r="J505" s="245" t="s">
        <v>4122</v>
      </c>
      <c r="K505" s="522"/>
      <c r="L505" s="245" t="s">
        <v>4122</v>
      </c>
      <c r="M505" s="522"/>
      <c r="N505" s="245" t="s">
        <v>4123</v>
      </c>
      <c r="O505" s="522"/>
      <c r="P505" s="245" t="s">
        <v>4123</v>
      </c>
      <c r="Q505" s="522"/>
      <c r="R505" s="245" t="s">
        <v>4124</v>
      </c>
      <c r="S505" s="522"/>
      <c r="T505" s="245" t="s">
        <v>4124</v>
      </c>
      <c r="U505" s="522"/>
      <c r="V505" s="529"/>
      <c r="W505" s="529"/>
      <c r="X505" s="529"/>
    </row>
    <row r="506" spans="1:32" s="165" customFormat="1" ht="30">
      <c r="B506" s="48"/>
      <c r="C506" s="62"/>
      <c r="D506" s="63"/>
      <c r="E506" s="63"/>
      <c r="F506" s="64"/>
      <c r="G506" s="58" t="s">
        <v>4126</v>
      </c>
      <c r="H506" s="237">
        <v>0</v>
      </c>
      <c r="I506" s="237">
        <v>0</v>
      </c>
      <c r="J506" s="245" t="s">
        <v>4127</v>
      </c>
      <c r="K506" s="522"/>
      <c r="L506" s="245" t="s">
        <v>4128</v>
      </c>
      <c r="M506" s="522"/>
      <c r="N506" s="245" t="s">
        <v>4128</v>
      </c>
      <c r="O506" s="522"/>
      <c r="P506" s="245" t="s">
        <v>4128</v>
      </c>
      <c r="Q506" s="522"/>
      <c r="R506" s="245" t="s">
        <v>4128</v>
      </c>
      <c r="S506" s="522"/>
      <c r="T506" s="245" t="s">
        <v>4128</v>
      </c>
      <c r="U506" s="522"/>
      <c r="V506" s="529"/>
      <c r="W506" s="529"/>
      <c r="X506" s="529"/>
    </row>
    <row r="507" spans="1:32" s="165" customFormat="1" ht="45">
      <c r="B507" s="48"/>
      <c r="C507" s="62"/>
      <c r="D507" s="63"/>
      <c r="E507" s="63"/>
      <c r="F507" s="64"/>
      <c r="G507" s="422" t="s">
        <v>4118</v>
      </c>
      <c r="H507" s="52"/>
      <c r="I507" s="52"/>
      <c r="J507" s="350"/>
      <c r="K507" s="351">
        <v>100000</v>
      </c>
      <c r="L507" s="52"/>
      <c r="M507" s="522">
        <v>110000000</v>
      </c>
      <c r="N507" s="52"/>
      <c r="O507" s="522">
        <v>120000000</v>
      </c>
      <c r="P507" s="52"/>
      <c r="Q507" s="522">
        <v>130000000</v>
      </c>
      <c r="R507" s="52"/>
      <c r="S507" s="522">
        <v>140000000</v>
      </c>
      <c r="T507" s="52"/>
      <c r="U507" s="522">
        <v>140000000</v>
      </c>
      <c r="V507" s="529"/>
      <c r="W507" s="529"/>
      <c r="X507" s="529"/>
    </row>
    <row r="508" spans="1:32" s="165" customFormat="1" ht="45">
      <c r="B508" s="48"/>
      <c r="C508" s="62"/>
      <c r="D508" s="63"/>
      <c r="E508" s="63"/>
      <c r="F508" s="64"/>
      <c r="G508" s="422" t="s">
        <v>4129</v>
      </c>
      <c r="H508" s="237">
        <v>0</v>
      </c>
      <c r="I508" s="237">
        <v>0</v>
      </c>
      <c r="J508" s="313">
        <v>0</v>
      </c>
      <c r="K508" s="313">
        <v>0</v>
      </c>
      <c r="L508" s="237">
        <v>0</v>
      </c>
      <c r="M508" s="522" t="s">
        <v>4130</v>
      </c>
      <c r="N508" s="52"/>
      <c r="O508" s="522"/>
      <c r="P508" s="52" t="s">
        <v>4130</v>
      </c>
      <c r="Q508" s="522"/>
      <c r="R508" s="52" t="s">
        <v>4130</v>
      </c>
      <c r="S508" s="522"/>
      <c r="T508" s="52" t="s">
        <v>4130</v>
      </c>
      <c r="U508" s="522"/>
      <c r="V508" s="529"/>
      <c r="W508" s="529"/>
      <c r="X508" s="529"/>
    </row>
    <row r="509" spans="1:32" s="165" customFormat="1" ht="45">
      <c r="B509" s="48"/>
      <c r="C509" s="62"/>
      <c r="D509" s="63"/>
      <c r="E509" s="63"/>
      <c r="F509" s="64"/>
      <c r="G509" s="422" t="s">
        <v>4131</v>
      </c>
      <c r="H509" s="237">
        <v>0</v>
      </c>
      <c r="I509" s="237">
        <v>0</v>
      </c>
      <c r="J509" s="313">
        <v>0</v>
      </c>
      <c r="K509" s="313">
        <v>0</v>
      </c>
      <c r="L509" s="237">
        <v>0</v>
      </c>
      <c r="M509" s="52" t="s">
        <v>2515</v>
      </c>
      <c r="N509" s="52"/>
      <c r="O509" s="52"/>
      <c r="P509" s="52" t="s">
        <v>2515</v>
      </c>
      <c r="Q509" s="52"/>
      <c r="R509" s="52" t="s">
        <v>2515</v>
      </c>
      <c r="S509" s="52"/>
      <c r="T509" s="52" t="s">
        <v>2515</v>
      </c>
      <c r="U509" s="52"/>
      <c r="V509" s="529"/>
      <c r="W509" s="529"/>
      <c r="X509" s="529"/>
    </row>
    <row r="510" spans="1:32" s="165" customFormat="1" ht="45">
      <c r="B510" s="48"/>
      <c r="C510" s="62"/>
      <c r="D510" s="63"/>
      <c r="E510" s="63"/>
      <c r="F510" s="64"/>
      <c r="G510" s="422" t="s">
        <v>4132</v>
      </c>
      <c r="H510" s="237">
        <v>0</v>
      </c>
      <c r="I510" s="237">
        <v>0</v>
      </c>
      <c r="J510" s="313">
        <v>0</v>
      </c>
      <c r="K510" s="313">
        <v>0</v>
      </c>
      <c r="L510" s="237">
        <v>0</v>
      </c>
      <c r="M510" s="52" t="s">
        <v>2652</v>
      </c>
      <c r="N510" s="52"/>
      <c r="O510" s="52"/>
      <c r="P510" s="52" t="s">
        <v>2652</v>
      </c>
      <c r="Q510" s="52"/>
      <c r="R510" s="52" t="s">
        <v>2652</v>
      </c>
      <c r="S510" s="52"/>
      <c r="T510" s="52" t="s">
        <v>2652</v>
      </c>
      <c r="U510" s="52"/>
      <c r="V510" s="529"/>
      <c r="W510" s="529"/>
      <c r="X510" s="529"/>
    </row>
    <row r="511" spans="1:32" s="165" customFormat="1" ht="60">
      <c r="B511" s="48"/>
      <c r="C511" s="62"/>
      <c r="D511" s="63"/>
      <c r="E511" s="63"/>
      <c r="F511" s="64"/>
      <c r="G511" s="422" t="s">
        <v>4119</v>
      </c>
      <c r="H511" s="52"/>
      <c r="I511" s="52"/>
      <c r="J511" s="245"/>
      <c r="K511" s="522">
        <v>3000000000</v>
      </c>
      <c r="L511" s="245"/>
      <c r="M511" s="522">
        <v>2000000000</v>
      </c>
      <c r="N511" s="245"/>
      <c r="O511" s="647">
        <v>2000000000</v>
      </c>
      <c r="P511" s="245"/>
      <c r="Q511" s="647">
        <v>2000000000</v>
      </c>
      <c r="R511" s="245"/>
      <c r="S511" s="647">
        <v>2000000000</v>
      </c>
      <c r="T511" s="245"/>
      <c r="U511" s="522">
        <v>1000000000</v>
      </c>
      <c r="V511" s="529"/>
      <c r="W511" s="529"/>
      <c r="X511" s="529"/>
    </row>
    <row r="512" spans="1:32" s="165" customFormat="1" ht="105">
      <c r="B512" s="48"/>
      <c r="C512" s="62"/>
      <c r="D512" s="63"/>
      <c r="E512" s="63"/>
      <c r="F512" s="64"/>
      <c r="G512" s="422" t="s">
        <v>4133</v>
      </c>
      <c r="H512" s="52" t="s">
        <v>4134</v>
      </c>
      <c r="I512" s="52" t="s">
        <v>4135</v>
      </c>
      <c r="J512" s="245" t="s">
        <v>4136</v>
      </c>
      <c r="K512" s="522"/>
      <c r="L512" s="522" t="s">
        <v>4137</v>
      </c>
      <c r="M512" s="522"/>
      <c r="N512" s="522" t="s">
        <v>4137</v>
      </c>
      <c r="O512" s="522"/>
      <c r="P512" s="522" t="s">
        <v>4137</v>
      </c>
      <c r="Q512" s="522"/>
      <c r="R512" s="522" t="s">
        <v>4137</v>
      </c>
      <c r="S512" s="522"/>
      <c r="T512" s="522" t="s">
        <v>4137</v>
      </c>
      <c r="U512" s="522"/>
      <c r="V512" s="529"/>
      <c r="W512" s="529"/>
      <c r="X512" s="529"/>
    </row>
    <row r="513" spans="2:24" s="165" customFormat="1" ht="60">
      <c r="B513" s="48"/>
      <c r="C513" s="62"/>
      <c r="D513" s="63"/>
      <c r="E513" s="63"/>
      <c r="F513" s="64"/>
      <c r="G513" s="422" t="s">
        <v>4138</v>
      </c>
      <c r="H513" s="52" t="s">
        <v>4139</v>
      </c>
      <c r="I513" s="52" t="s">
        <v>4140</v>
      </c>
      <c r="J513" s="52" t="s">
        <v>4141</v>
      </c>
      <c r="K513" s="522"/>
      <c r="L513" s="52" t="s">
        <v>4142</v>
      </c>
      <c r="M513" s="52"/>
      <c r="N513" s="52" t="s">
        <v>4142</v>
      </c>
      <c r="O513" s="52"/>
      <c r="P513" s="52" t="s">
        <v>4142</v>
      </c>
      <c r="Q513" s="52"/>
      <c r="R513" s="52" t="s">
        <v>4142</v>
      </c>
      <c r="S513" s="52"/>
      <c r="T513" s="52" t="s">
        <v>4142</v>
      </c>
      <c r="U513" s="52"/>
      <c r="V513" s="529"/>
      <c r="W513" s="529"/>
      <c r="X513" s="529"/>
    </row>
    <row r="514" spans="2:24" s="165" customFormat="1" ht="75">
      <c r="B514" s="48"/>
      <c r="C514" s="62"/>
      <c r="D514" s="63"/>
      <c r="E514" s="63"/>
      <c r="F514" s="64"/>
      <c r="G514" s="422" t="s">
        <v>4143</v>
      </c>
      <c r="H514" s="52" t="s">
        <v>4144</v>
      </c>
      <c r="I514" s="52"/>
      <c r="J514" s="245" t="s">
        <v>4145</v>
      </c>
      <c r="K514" s="522"/>
      <c r="L514" s="245" t="s">
        <v>4146</v>
      </c>
      <c r="M514" s="522"/>
      <c r="N514" s="245" t="s">
        <v>4146</v>
      </c>
      <c r="O514" s="522"/>
      <c r="P514" s="245" t="s">
        <v>4146</v>
      </c>
      <c r="Q514" s="522"/>
      <c r="R514" s="245" t="s">
        <v>4146</v>
      </c>
      <c r="S514" s="522"/>
      <c r="T514" s="245" t="s">
        <v>4146</v>
      </c>
      <c r="U514" s="522"/>
      <c r="V514" s="529"/>
      <c r="W514" s="529"/>
      <c r="X514" s="529"/>
    </row>
    <row r="515" spans="2:24" s="165" customFormat="1" ht="60">
      <c r="B515" s="48"/>
      <c r="C515" s="62"/>
      <c r="D515" s="63"/>
      <c r="E515" s="63"/>
      <c r="F515" s="64"/>
      <c r="G515" s="422" t="s">
        <v>4147</v>
      </c>
      <c r="H515" s="52"/>
      <c r="I515" s="52" t="s">
        <v>4148</v>
      </c>
      <c r="J515" s="245" t="s">
        <v>4149</v>
      </c>
      <c r="K515" s="522"/>
      <c r="L515" s="245" t="s">
        <v>4149</v>
      </c>
      <c r="M515" s="522"/>
      <c r="N515" s="245" t="s">
        <v>4149</v>
      </c>
      <c r="O515" s="522"/>
      <c r="P515" s="245" t="s">
        <v>4149</v>
      </c>
      <c r="Q515" s="522"/>
      <c r="R515" s="245" t="s">
        <v>4149</v>
      </c>
      <c r="S515" s="522"/>
      <c r="T515" s="245" t="s">
        <v>4149</v>
      </c>
      <c r="U515" s="522"/>
      <c r="V515" s="529"/>
      <c r="W515" s="529"/>
      <c r="X515" s="529"/>
    </row>
    <row r="516" spans="2:24" s="165" customFormat="1" ht="60">
      <c r="B516" s="48"/>
      <c r="C516" s="62"/>
      <c r="D516" s="63"/>
      <c r="E516" s="63"/>
      <c r="F516" s="64"/>
      <c r="G516" s="422" t="s">
        <v>4150</v>
      </c>
      <c r="H516" s="52"/>
      <c r="I516" s="52"/>
      <c r="J516" s="352"/>
      <c r="K516" s="351">
        <v>20000</v>
      </c>
      <c r="L516" s="352"/>
      <c r="M516" s="522">
        <v>25000000</v>
      </c>
      <c r="N516" s="245"/>
      <c r="O516" s="522">
        <v>30000000</v>
      </c>
      <c r="P516" s="245"/>
      <c r="Q516" s="522">
        <v>35000000</v>
      </c>
      <c r="R516" s="245"/>
      <c r="S516" s="522">
        <v>40000000</v>
      </c>
      <c r="T516" s="245"/>
      <c r="U516" s="522">
        <v>40000000</v>
      </c>
      <c r="V516" s="529"/>
      <c r="W516" s="529"/>
      <c r="X516" s="529"/>
    </row>
    <row r="517" spans="2:24" s="165" customFormat="1" ht="60">
      <c r="B517" s="48"/>
      <c r="C517" s="62"/>
      <c r="D517" s="63"/>
      <c r="E517" s="63"/>
      <c r="F517" s="64"/>
      <c r="G517" s="422" t="s">
        <v>4151</v>
      </c>
      <c r="H517" s="237">
        <v>0</v>
      </c>
      <c r="I517" s="237">
        <v>0</v>
      </c>
      <c r="J517" s="237">
        <v>0</v>
      </c>
      <c r="K517" s="237">
        <v>0</v>
      </c>
      <c r="L517" s="237">
        <v>0</v>
      </c>
      <c r="M517" s="522"/>
      <c r="N517" s="245" t="s">
        <v>4152</v>
      </c>
      <c r="O517" s="522"/>
      <c r="P517" s="245" t="s">
        <v>4152</v>
      </c>
      <c r="Q517" s="522"/>
      <c r="R517" s="245" t="s">
        <v>4152</v>
      </c>
      <c r="S517" s="522"/>
      <c r="T517" s="245" t="s">
        <v>4152</v>
      </c>
      <c r="U517" s="522"/>
      <c r="V517" s="529"/>
      <c r="W517" s="529"/>
      <c r="X517" s="529"/>
    </row>
    <row r="518" spans="2:24" s="165" customFormat="1" ht="75">
      <c r="B518" s="48"/>
      <c r="C518" s="62"/>
      <c r="D518" s="63"/>
      <c r="E518" s="63"/>
      <c r="F518" s="64"/>
      <c r="G518" s="422" t="s">
        <v>4153</v>
      </c>
      <c r="H518" s="237">
        <v>0</v>
      </c>
      <c r="I518" s="237">
        <v>0</v>
      </c>
      <c r="J518" s="237">
        <v>0</v>
      </c>
      <c r="K518" s="237">
        <v>0</v>
      </c>
      <c r="L518" s="237">
        <v>0</v>
      </c>
      <c r="M518" s="522"/>
      <c r="N518" s="245" t="s">
        <v>4154</v>
      </c>
      <c r="O518" s="522"/>
      <c r="P518" s="245" t="s">
        <v>4154</v>
      </c>
      <c r="Q518" s="522"/>
      <c r="R518" s="245" t="s">
        <v>4154</v>
      </c>
      <c r="S518" s="522"/>
      <c r="T518" s="245" t="s">
        <v>4154</v>
      </c>
      <c r="U518" s="522"/>
      <c r="V518" s="529"/>
      <c r="W518" s="529"/>
      <c r="X518" s="529"/>
    </row>
    <row r="519" spans="2:24" s="165" customFormat="1" ht="75">
      <c r="B519" s="48"/>
      <c r="C519" s="62"/>
      <c r="D519" s="63"/>
      <c r="E519" s="63"/>
      <c r="F519" s="64"/>
      <c r="G519" s="58" t="s">
        <v>4155</v>
      </c>
      <c r="H519" s="237">
        <v>0</v>
      </c>
      <c r="I519" s="237">
        <v>0</v>
      </c>
      <c r="J519" s="237">
        <v>0</v>
      </c>
      <c r="K519" s="237">
        <v>0</v>
      </c>
      <c r="L519" s="237">
        <v>0</v>
      </c>
      <c r="M519" s="522"/>
      <c r="N519" s="245" t="s">
        <v>4156</v>
      </c>
      <c r="O519" s="522"/>
      <c r="P519" s="245" t="s">
        <v>4156</v>
      </c>
      <c r="Q519" s="522"/>
      <c r="R519" s="245" t="s">
        <v>4156</v>
      </c>
      <c r="S519" s="522"/>
      <c r="T519" s="245" t="s">
        <v>4156</v>
      </c>
      <c r="U519" s="522"/>
      <c r="V519" s="529"/>
      <c r="W519" s="529"/>
      <c r="X519" s="529"/>
    </row>
    <row r="520" spans="2:24" s="165" customFormat="1" ht="60">
      <c r="B520" s="48"/>
      <c r="C520" s="62"/>
      <c r="D520" s="63"/>
      <c r="E520" s="63"/>
      <c r="F520" s="64"/>
      <c r="G520" s="422" t="s">
        <v>4157</v>
      </c>
      <c r="H520" s="237"/>
      <c r="I520" s="237"/>
      <c r="J520" s="237"/>
      <c r="K520" s="237"/>
      <c r="L520" s="237"/>
      <c r="M520" s="522">
        <v>200000000</v>
      </c>
      <c r="N520" s="245"/>
      <c r="O520" s="522">
        <v>200000000</v>
      </c>
      <c r="P520" s="245"/>
      <c r="Q520" s="522">
        <v>200000000</v>
      </c>
      <c r="R520" s="245"/>
      <c r="S520" s="522">
        <v>200000000</v>
      </c>
      <c r="T520" s="245"/>
      <c r="U520" s="522">
        <v>200000000</v>
      </c>
      <c r="V520" s="529"/>
      <c r="W520" s="529"/>
      <c r="X520" s="529"/>
    </row>
    <row r="521" spans="2:24" s="165" customFormat="1" ht="45">
      <c r="B521" s="48"/>
      <c r="C521" s="62"/>
      <c r="D521" s="63"/>
      <c r="E521" s="63"/>
      <c r="F521" s="64"/>
      <c r="G521" s="422" t="s">
        <v>4158</v>
      </c>
      <c r="H521" s="237">
        <v>0</v>
      </c>
      <c r="I521" s="237">
        <v>0</v>
      </c>
      <c r="J521" s="237">
        <v>0</v>
      </c>
      <c r="K521" s="237">
        <v>0</v>
      </c>
      <c r="L521" s="237">
        <v>0</v>
      </c>
      <c r="M521" s="522"/>
      <c r="N521" s="245" t="s">
        <v>4159</v>
      </c>
      <c r="O521" s="522"/>
      <c r="P521" s="245" t="s">
        <v>4159</v>
      </c>
      <c r="Q521" s="522"/>
      <c r="R521" s="245" t="s">
        <v>4159</v>
      </c>
      <c r="S521" s="522"/>
      <c r="T521" s="245" t="s">
        <v>4159</v>
      </c>
      <c r="U521" s="522"/>
      <c r="V521" s="529"/>
      <c r="W521" s="529"/>
      <c r="X521" s="529"/>
    </row>
    <row r="522" spans="2:24" s="165" customFormat="1" ht="90">
      <c r="B522" s="48"/>
      <c r="C522" s="62"/>
      <c r="D522" s="63"/>
      <c r="E522" s="63"/>
      <c r="F522" s="64"/>
      <c r="G522" s="422" t="s">
        <v>4160</v>
      </c>
      <c r="H522" s="237">
        <v>0</v>
      </c>
      <c r="I522" s="237">
        <v>0</v>
      </c>
      <c r="J522" s="237">
        <v>0</v>
      </c>
      <c r="K522" s="237">
        <v>0</v>
      </c>
      <c r="L522" s="237">
        <v>0</v>
      </c>
      <c r="M522" s="522"/>
      <c r="N522" s="245" t="s">
        <v>3773</v>
      </c>
      <c r="O522" s="522"/>
      <c r="P522" s="245" t="s">
        <v>3773</v>
      </c>
      <c r="Q522" s="522"/>
      <c r="R522" s="245" t="s">
        <v>3773</v>
      </c>
      <c r="S522" s="522"/>
      <c r="T522" s="245" t="s">
        <v>3773</v>
      </c>
      <c r="U522" s="522"/>
      <c r="V522" s="529"/>
      <c r="W522" s="529"/>
      <c r="X522" s="529"/>
    </row>
    <row r="523" spans="2:24" s="165" customFormat="1" ht="45">
      <c r="B523" s="48"/>
      <c r="C523" s="62"/>
      <c r="D523" s="63"/>
      <c r="E523" s="63"/>
      <c r="F523" s="64"/>
      <c r="G523" s="58" t="s">
        <v>4161</v>
      </c>
      <c r="H523" s="237">
        <v>0</v>
      </c>
      <c r="I523" s="237">
        <v>0</v>
      </c>
      <c r="J523" s="237">
        <v>0</v>
      </c>
      <c r="K523" s="237">
        <v>0</v>
      </c>
      <c r="L523" s="237">
        <v>0</v>
      </c>
      <c r="M523" s="522"/>
      <c r="N523" s="245" t="s">
        <v>4162</v>
      </c>
      <c r="O523" s="522"/>
      <c r="P523" s="245" t="s">
        <v>4162</v>
      </c>
      <c r="Q523" s="522"/>
      <c r="R523" s="245" t="s">
        <v>4162</v>
      </c>
      <c r="S523" s="522"/>
      <c r="T523" s="245" t="s">
        <v>4162</v>
      </c>
      <c r="U523" s="522"/>
      <c r="V523" s="529"/>
      <c r="W523" s="529"/>
      <c r="X523" s="529"/>
    </row>
    <row r="524" spans="2:24" s="540" customFormat="1" ht="60">
      <c r="B524" s="545"/>
      <c r="C524" s="593" t="str">
        <f>'[4]matrik MISI 1'!P13</f>
        <v>2.01</v>
      </c>
      <c r="D524" s="594" t="str">
        <f>'[4]matrik MISI 1'!Q13</f>
        <v>xx</v>
      </c>
      <c r="E524" s="594">
        <f>'[4]matrik MISI 1'!R13</f>
        <v>19</v>
      </c>
      <c r="F524" s="595" t="str">
        <f>'[4]matrik MISI 1'!S13</f>
        <v>Program peningkatan produksi pertanian/perkebunan</v>
      </c>
      <c r="G524" s="548"/>
      <c r="H524" s="551"/>
      <c r="I524" s="551"/>
      <c r="J524" s="551"/>
      <c r="K524" s="551">
        <f>SUM(K525:K556)</f>
        <v>10920230050</v>
      </c>
      <c r="L524" s="551">
        <f t="shared" ref="L524:U524" si="45">SUM(L525:L556)</f>
        <v>0</v>
      </c>
      <c r="M524" s="551">
        <f t="shared" si="45"/>
        <v>11894230000</v>
      </c>
      <c r="N524" s="551">
        <f t="shared" si="45"/>
        <v>0</v>
      </c>
      <c r="O524" s="551">
        <f t="shared" si="45"/>
        <v>12046730000</v>
      </c>
      <c r="P524" s="551">
        <f t="shared" si="45"/>
        <v>0</v>
      </c>
      <c r="Q524" s="551">
        <f t="shared" si="45"/>
        <v>12336730000</v>
      </c>
      <c r="R524" s="551">
        <f t="shared" si="45"/>
        <v>0</v>
      </c>
      <c r="S524" s="551">
        <f t="shared" si="45"/>
        <v>12441730000</v>
      </c>
      <c r="T524" s="551">
        <f t="shared" si="45"/>
        <v>0</v>
      </c>
      <c r="U524" s="551">
        <f t="shared" si="45"/>
        <v>12441730000</v>
      </c>
      <c r="V524" s="551"/>
      <c r="W524" s="551"/>
      <c r="X524" s="551" t="str">
        <f>'[4]matrik MISI 1'!AF13</f>
        <v>DINTANBUNHUT</v>
      </c>
    </row>
    <row r="525" spans="2:24" s="165" customFormat="1" ht="375">
      <c r="B525" s="48"/>
      <c r="C525" s="62"/>
      <c r="D525" s="63"/>
      <c r="E525" s="63"/>
      <c r="F525" s="64"/>
      <c r="G525" s="420" t="s">
        <v>3594</v>
      </c>
      <c r="H525" s="150" t="s">
        <v>3595</v>
      </c>
      <c r="I525" s="150" t="s">
        <v>3596</v>
      </c>
      <c r="J525" s="150" t="s">
        <v>3597</v>
      </c>
      <c r="K525" s="152">
        <v>5304230000</v>
      </c>
      <c r="L525" s="150" t="s">
        <v>3598</v>
      </c>
      <c r="M525" s="152">
        <v>5304230000</v>
      </c>
      <c r="N525" s="150" t="s">
        <v>3598</v>
      </c>
      <c r="O525" s="152">
        <v>5304230000</v>
      </c>
      <c r="P525" s="150" t="s">
        <v>3598</v>
      </c>
      <c r="Q525" s="152">
        <v>5304230000</v>
      </c>
      <c r="R525" s="150" t="s">
        <v>3598</v>
      </c>
      <c r="S525" s="152">
        <v>5304230000</v>
      </c>
      <c r="T525" s="150" t="s">
        <v>3598</v>
      </c>
      <c r="U525" s="152">
        <v>5304230000</v>
      </c>
      <c r="V525" s="529"/>
      <c r="W525" s="529"/>
      <c r="X525" s="529"/>
    </row>
    <row r="526" spans="2:24" s="165" customFormat="1" ht="375">
      <c r="B526" s="48"/>
      <c r="C526" s="62"/>
      <c r="D526" s="63"/>
      <c r="E526" s="63"/>
      <c r="F526" s="64"/>
      <c r="G526" s="420" t="s">
        <v>3599</v>
      </c>
      <c r="H526" s="150"/>
      <c r="I526" s="150" t="s">
        <v>3600</v>
      </c>
      <c r="J526" s="150" t="s">
        <v>3601</v>
      </c>
      <c r="K526" s="152">
        <v>615000000</v>
      </c>
      <c r="L526" s="150" t="s">
        <v>3598</v>
      </c>
      <c r="M526" s="152">
        <v>650000000</v>
      </c>
      <c r="N526" s="150" t="s">
        <v>3602</v>
      </c>
      <c r="O526" s="152">
        <v>675000000</v>
      </c>
      <c r="P526" s="150" t="s">
        <v>3602</v>
      </c>
      <c r="Q526" s="152">
        <v>700000000</v>
      </c>
      <c r="R526" s="150" t="s">
        <v>3602</v>
      </c>
      <c r="S526" s="152">
        <v>725000000</v>
      </c>
      <c r="T526" s="150" t="s">
        <v>3602</v>
      </c>
      <c r="U526" s="152">
        <v>725000000</v>
      </c>
      <c r="V526" s="529"/>
      <c r="W526" s="529"/>
      <c r="X526" s="529"/>
    </row>
    <row r="527" spans="2:24" s="165" customFormat="1" ht="255">
      <c r="B527" s="48"/>
      <c r="C527" s="62"/>
      <c r="D527" s="63"/>
      <c r="E527" s="63"/>
      <c r="F527" s="64"/>
      <c r="G527" s="420" t="s">
        <v>3603</v>
      </c>
      <c r="H527" s="150" t="s">
        <v>3604</v>
      </c>
      <c r="I527" s="165" t="s">
        <v>3605</v>
      </c>
      <c r="J527" s="165" t="s">
        <v>3606</v>
      </c>
      <c r="K527" s="152">
        <v>300000000</v>
      </c>
      <c r="L527" s="165" t="s">
        <v>3606</v>
      </c>
      <c r="M527" s="152">
        <f>K527</f>
        <v>300000000</v>
      </c>
      <c r="N527" s="165" t="s">
        <v>3607</v>
      </c>
      <c r="O527" s="152">
        <v>350000000</v>
      </c>
      <c r="P527" s="165" t="s">
        <v>3607</v>
      </c>
      <c r="Q527" s="152">
        <v>350000000</v>
      </c>
      <c r="R527" s="165" t="s">
        <v>3607</v>
      </c>
      <c r="S527" s="152">
        <f>Q527</f>
        <v>350000000</v>
      </c>
      <c r="T527" s="165" t="s">
        <v>3607</v>
      </c>
      <c r="U527" s="152">
        <f>S527</f>
        <v>350000000</v>
      </c>
      <c r="V527" s="529"/>
      <c r="W527" s="529"/>
      <c r="X527" s="529"/>
    </row>
    <row r="528" spans="2:24" s="165" customFormat="1" ht="210">
      <c r="B528" s="48"/>
      <c r="C528" s="62"/>
      <c r="D528" s="63"/>
      <c r="E528" s="63"/>
      <c r="F528" s="64"/>
      <c r="G528" s="420" t="s">
        <v>3608</v>
      </c>
      <c r="H528" s="150" t="s">
        <v>743</v>
      </c>
      <c r="I528" s="150" t="s">
        <v>743</v>
      </c>
      <c r="J528" s="152" t="s">
        <v>743</v>
      </c>
      <c r="K528" s="152">
        <v>0</v>
      </c>
      <c r="L528" s="152" t="s">
        <v>3609</v>
      </c>
      <c r="M528" s="152">
        <v>250000000</v>
      </c>
      <c r="N528" s="152" t="s">
        <v>3610</v>
      </c>
      <c r="O528" s="152">
        <v>250000000</v>
      </c>
      <c r="P528" s="152" t="s">
        <v>3609</v>
      </c>
      <c r="Q528" s="152">
        <v>250000000</v>
      </c>
      <c r="R528" s="152" t="s">
        <v>3609</v>
      </c>
      <c r="S528" s="152">
        <v>250000000</v>
      </c>
      <c r="T528" s="152" t="s">
        <v>3609</v>
      </c>
      <c r="U528" s="152">
        <v>250000000</v>
      </c>
      <c r="V528" s="529"/>
      <c r="W528" s="529"/>
      <c r="X528" s="529"/>
    </row>
    <row r="529" spans="2:24" s="165" customFormat="1" ht="75">
      <c r="B529" s="48"/>
      <c r="C529" s="62"/>
      <c r="D529" s="63"/>
      <c r="E529" s="63"/>
      <c r="F529" s="64"/>
      <c r="G529" s="420" t="s">
        <v>3611</v>
      </c>
      <c r="H529" s="150"/>
      <c r="I529" s="150" t="s">
        <v>3612</v>
      </c>
      <c r="J529" s="150" t="s">
        <v>3613</v>
      </c>
      <c r="K529" s="152">
        <v>1000000000</v>
      </c>
      <c r="L529" s="150" t="s">
        <v>3614</v>
      </c>
      <c r="M529" s="152">
        <f>K529</f>
        <v>1000000000</v>
      </c>
      <c r="N529" s="150" t="s">
        <v>3615</v>
      </c>
      <c r="O529" s="152">
        <f>K529</f>
        <v>1000000000</v>
      </c>
      <c r="P529" s="150" t="s">
        <v>3615</v>
      </c>
      <c r="Q529" s="152">
        <f>O529</f>
        <v>1000000000</v>
      </c>
      <c r="R529" s="150" t="s">
        <v>3615</v>
      </c>
      <c r="S529" s="152">
        <f>Q529</f>
        <v>1000000000</v>
      </c>
      <c r="T529" s="150" t="s">
        <v>3615</v>
      </c>
      <c r="U529" s="152">
        <f>S529</f>
        <v>1000000000</v>
      </c>
      <c r="V529" s="529"/>
      <c r="W529" s="529"/>
      <c r="X529" s="529"/>
    </row>
    <row r="530" spans="2:24" s="165" customFormat="1" ht="255">
      <c r="B530" s="48"/>
      <c r="C530" s="62"/>
      <c r="D530" s="63"/>
      <c r="E530" s="63"/>
      <c r="F530" s="64"/>
      <c r="G530" s="420" t="s">
        <v>3616</v>
      </c>
      <c r="H530" s="150" t="s">
        <v>3617</v>
      </c>
      <c r="I530" s="150" t="s">
        <v>3618</v>
      </c>
      <c r="J530" s="150" t="s">
        <v>3619</v>
      </c>
      <c r="K530" s="152">
        <v>80000000</v>
      </c>
      <c r="L530" s="150" t="s">
        <v>3619</v>
      </c>
      <c r="M530" s="152">
        <v>90000000</v>
      </c>
      <c r="N530" s="150" t="s">
        <v>3619</v>
      </c>
      <c r="O530" s="152">
        <v>90000000</v>
      </c>
      <c r="P530" s="150" t="s">
        <v>3619</v>
      </c>
      <c r="Q530" s="152">
        <v>100000000</v>
      </c>
      <c r="R530" s="150" t="s">
        <v>3619</v>
      </c>
      <c r="S530" s="152">
        <v>100000000</v>
      </c>
      <c r="T530" s="150" t="s">
        <v>3619</v>
      </c>
      <c r="U530" s="152">
        <v>100000000</v>
      </c>
      <c r="V530" s="529"/>
      <c r="W530" s="529"/>
      <c r="X530" s="529"/>
    </row>
    <row r="531" spans="2:24" s="165" customFormat="1" ht="120">
      <c r="B531" s="48"/>
      <c r="C531" s="62"/>
      <c r="D531" s="63"/>
      <c r="E531" s="63"/>
      <c r="F531" s="64"/>
      <c r="G531" s="420" t="s">
        <v>3620</v>
      </c>
      <c r="H531" s="150" t="s">
        <v>743</v>
      </c>
      <c r="I531" s="150" t="s">
        <v>3621</v>
      </c>
      <c r="J531" s="150" t="s">
        <v>3622</v>
      </c>
      <c r="K531" s="152">
        <v>20000000</v>
      </c>
      <c r="L531" s="150" t="s">
        <v>3622</v>
      </c>
      <c r="M531" s="152">
        <v>20000000</v>
      </c>
      <c r="N531" s="150" t="s">
        <v>3622</v>
      </c>
      <c r="O531" s="152">
        <v>20000000</v>
      </c>
      <c r="P531" s="150" t="s">
        <v>3622</v>
      </c>
      <c r="Q531" s="152">
        <v>20000000</v>
      </c>
      <c r="R531" s="150" t="s">
        <v>3622</v>
      </c>
      <c r="S531" s="152">
        <v>20000000</v>
      </c>
      <c r="T531" s="150" t="s">
        <v>3622</v>
      </c>
      <c r="U531" s="152">
        <v>20000000</v>
      </c>
      <c r="V531" s="529"/>
      <c r="W531" s="529"/>
      <c r="X531" s="529"/>
    </row>
    <row r="532" spans="2:24" s="165" customFormat="1" ht="240">
      <c r="B532" s="48"/>
      <c r="C532" s="62"/>
      <c r="D532" s="63"/>
      <c r="E532" s="63"/>
      <c r="F532" s="64"/>
      <c r="G532" s="420" t="s">
        <v>3623</v>
      </c>
      <c r="H532" s="150" t="s">
        <v>3624</v>
      </c>
      <c r="I532" s="178" t="s">
        <v>3625</v>
      </c>
      <c r="J532" s="178" t="s">
        <v>3626</v>
      </c>
      <c r="K532" s="152">
        <v>1150000000</v>
      </c>
      <c r="L532" s="178" t="s">
        <v>3627</v>
      </c>
      <c r="M532" s="152">
        <v>500000000</v>
      </c>
      <c r="N532" s="178" t="s">
        <v>3628</v>
      </c>
      <c r="O532" s="152">
        <v>500000000</v>
      </c>
      <c r="P532" s="178" t="s">
        <v>3628</v>
      </c>
      <c r="Q532" s="152">
        <v>600000000</v>
      </c>
      <c r="R532" s="178" t="s">
        <v>3628</v>
      </c>
      <c r="S532" s="152">
        <v>600000000</v>
      </c>
      <c r="T532" s="178" t="s">
        <v>3628</v>
      </c>
      <c r="U532" s="152">
        <v>600000000</v>
      </c>
      <c r="V532" s="529"/>
      <c r="W532" s="529"/>
      <c r="X532" s="529"/>
    </row>
    <row r="533" spans="2:24" s="165" customFormat="1" ht="255">
      <c r="B533" s="48"/>
      <c r="C533" s="62"/>
      <c r="D533" s="63"/>
      <c r="E533" s="63"/>
      <c r="F533" s="64"/>
      <c r="G533" s="420" t="s">
        <v>3629</v>
      </c>
      <c r="H533" s="150" t="s">
        <v>743</v>
      </c>
      <c r="I533" s="150" t="s">
        <v>3630</v>
      </c>
      <c r="J533" s="150" t="s">
        <v>3631</v>
      </c>
      <c r="K533" s="152">
        <v>525000000</v>
      </c>
      <c r="L533" s="150" t="s">
        <v>3631</v>
      </c>
      <c r="M533" s="152">
        <v>525000000</v>
      </c>
      <c r="N533" s="150" t="s">
        <v>3631</v>
      </c>
      <c r="O533" s="152">
        <v>600000000</v>
      </c>
      <c r="P533" s="150" t="s">
        <v>3631</v>
      </c>
      <c r="Q533" s="152">
        <v>625000000</v>
      </c>
      <c r="R533" s="150" t="s">
        <v>3631</v>
      </c>
      <c r="S533" s="152">
        <v>650000000</v>
      </c>
      <c r="T533" s="150" t="s">
        <v>3631</v>
      </c>
      <c r="U533" s="152">
        <v>650000000</v>
      </c>
      <c r="V533" s="529"/>
      <c r="W533" s="529"/>
      <c r="X533" s="529"/>
    </row>
    <row r="534" spans="2:24" s="165" customFormat="1" ht="315">
      <c r="B534" s="48"/>
      <c r="C534" s="62"/>
      <c r="D534" s="63"/>
      <c r="E534" s="63"/>
      <c r="F534" s="64"/>
      <c r="G534" s="420" t="s">
        <v>3632</v>
      </c>
      <c r="H534" s="150" t="s">
        <v>743</v>
      </c>
      <c r="I534" s="150" t="s">
        <v>3633</v>
      </c>
      <c r="J534" s="150" t="s">
        <v>3634</v>
      </c>
      <c r="K534" s="152">
        <v>100000000</v>
      </c>
      <c r="L534" s="150" t="s">
        <v>3635</v>
      </c>
      <c r="M534" s="152">
        <v>200000000</v>
      </c>
      <c r="N534" s="150" t="s">
        <v>3635</v>
      </c>
      <c r="O534" s="152">
        <v>200000000</v>
      </c>
      <c r="P534" s="150" t="s">
        <v>3635</v>
      </c>
      <c r="Q534" s="152">
        <v>200000000</v>
      </c>
      <c r="R534" s="150" t="s">
        <v>3635</v>
      </c>
      <c r="S534" s="152">
        <v>200000000</v>
      </c>
      <c r="T534" s="150" t="s">
        <v>3635</v>
      </c>
      <c r="U534" s="152">
        <v>200000000</v>
      </c>
      <c r="V534" s="529"/>
      <c r="W534" s="529"/>
      <c r="X534" s="529"/>
    </row>
    <row r="535" spans="2:24" s="165" customFormat="1" ht="300">
      <c r="B535" s="48"/>
      <c r="C535" s="62"/>
      <c r="D535" s="63"/>
      <c r="E535" s="63"/>
      <c r="F535" s="64"/>
      <c r="G535" s="420" t="s">
        <v>3636</v>
      </c>
      <c r="H535" s="150" t="s">
        <v>3637</v>
      </c>
      <c r="I535" s="150" t="s">
        <v>3638</v>
      </c>
      <c r="J535" s="150" t="s">
        <v>3639</v>
      </c>
      <c r="K535" s="152">
        <v>150000000</v>
      </c>
      <c r="L535" s="150" t="s">
        <v>3640</v>
      </c>
      <c r="M535" s="152">
        <v>350000000</v>
      </c>
      <c r="N535" s="150" t="s">
        <v>3640</v>
      </c>
      <c r="O535" s="152">
        <v>350000000</v>
      </c>
      <c r="P535" s="150" t="s">
        <v>3640</v>
      </c>
      <c r="Q535" s="152">
        <v>375000000</v>
      </c>
      <c r="R535" s="150" t="s">
        <v>3640</v>
      </c>
      <c r="S535" s="152">
        <f>Q535</f>
        <v>375000000</v>
      </c>
      <c r="T535" s="150" t="s">
        <v>3640</v>
      </c>
      <c r="U535" s="152">
        <f>S535</f>
        <v>375000000</v>
      </c>
      <c r="V535" s="529"/>
      <c r="W535" s="529"/>
      <c r="X535" s="529"/>
    </row>
    <row r="536" spans="2:24" s="165" customFormat="1" ht="195">
      <c r="B536" s="48"/>
      <c r="C536" s="62"/>
      <c r="D536" s="63"/>
      <c r="E536" s="63"/>
      <c r="F536" s="64"/>
      <c r="G536" s="420" t="s">
        <v>3641</v>
      </c>
      <c r="H536" s="150" t="s">
        <v>3642</v>
      </c>
      <c r="I536" s="150" t="s">
        <v>3643</v>
      </c>
      <c r="J536" s="150" t="s">
        <v>3643</v>
      </c>
      <c r="K536" s="152">
        <v>250000000</v>
      </c>
      <c r="L536" s="150" t="s">
        <v>3643</v>
      </c>
      <c r="M536" s="152">
        <v>275000000</v>
      </c>
      <c r="N536" s="150" t="s">
        <v>3643</v>
      </c>
      <c r="O536" s="152">
        <v>275000000</v>
      </c>
      <c r="P536" s="150" t="s">
        <v>3643</v>
      </c>
      <c r="Q536" s="152">
        <v>300000000</v>
      </c>
      <c r="R536" s="150" t="s">
        <v>3643</v>
      </c>
      <c r="S536" s="152">
        <v>300000000</v>
      </c>
      <c r="T536" s="150" t="s">
        <v>3643</v>
      </c>
      <c r="U536" s="152">
        <v>300000000</v>
      </c>
      <c r="V536" s="529"/>
      <c r="W536" s="529"/>
      <c r="X536" s="529"/>
    </row>
    <row r="537" spans="2:24" s="165" customFormat="1" ht="120">
      <c r="B537" s="48"/>
      <c r="C537" s="62"/>
      <c r="D537" s="63"/>
      <c r="E537" s="63"/>
      <c r="F537" s="64"/>
      <c r="G537" s="420" t="s">
        <v>3644</v>
      </c>
      <c r="H537" s="150" t="s">
        <v>743</v>
      </c>
      <c r="I537" s="150" t="s">
        <v>3645</v>
      </c>
      <c r="J537" s="150" t="s">
        <v>3645</v>
      </c>
      <c r="K537" s="152">
        <v>150000000</v>
      </c>
      <c r="L537" s="150" t="s">
        <v>3646</v>
      </c>
      <c r="M537" s="152">
        <v>250000000</v>
      </c>
      <c r="N537" s="150" t="s">
        <v>3646</v>
      </c>
      <c r="O537" s="152">
        <v>250000000</v>
      </c>
      <c r="P537" s="150" t="s">
        <v>3647</v>
      </c>
      <c r="Q537" s="152">
        <v>250000000</v>
      </c>
      <c r="R537" s="150" t="s">
        <v>3648</v>
      </c>
      <c r="S537" s="152">
        <v>250000000</v>
      </c>
      <c r="T537" s="150" t="s">
        <v>3648</v>
      </c>
      <c r="U537" s="152">
        <v>250000000</v>
      </c>
      <c r="V537" s="529"/>
      <c r="W537" s="529"/>
      <c r="X537" s="529"/>
    </row>
    <row r="538" spans="2:24" s="165" customFormat="1" ht="180">
      <c r="B538" s="48"/>
      <c r="C538" s="62"/>
      <c r="D538" s="63"/>
      <c r="E538" s="63"/>
      <c r="F538" s="64"/>
      <c r="G538" s="420" t="s">
        <v>3649</v>
      </c>
      <c r="H538" s="150" t="s">
        <v>743</v>
      </c>
      <c r="I538" s="165" t="s">
        <v>743</v>
      </c>
      <c r="J538" s="150" t="s">
        <v>3650</v>
      </c>
      <c r="K538" s="152">
        <v>100000000</v>
      </c>
      <c r="L538" s="150" t="s">
        <v>3650</v>
      </c>
      <c r="M538" s="152">
        <v>125000000</v>
      </c>
      <c r="N538" s="150" t="s">
        <v>3650</v>
      </c>
      <c r="O538" s="152">
        <v>125000000</v>
      </c>
      <c r="P538" s="150" t="s">
        <v>3650</v>
      </c>
      <c r="Q538" s="152">
        <v>150000000</v>
      </c>
      <c r="R538" s="150" t="s">
        <v>3650</v>
      </c>
      <c r="S538" s="152">
        <v>150000000</v>
      </c>
      <c r="T538" s="150" t="s">
        <v>3650</v>
      </c>
      <c r="U538" s="152">
        <v>150000000</v>
      </c>
      <c r="V538" s="529"/>
      <c r="W538" s="529"/>
      <c r="X538" s="529"/>
    </row>
    <row r="539" spans="2:24" s="165" customFormat="1" ht="225">
      <c r="B539" s="48"/>
      <c r="C539" s="62"/>
      <c r="D539" s="63"/>
      <c r="E539" s="63"/>
      <c r="F539" s="64"/>
      <c r="G539" s="420" t="s">
        <v>3651</v>
      </c>
      <c r="H539" s="150" t="s">
        <v>743</v>
      </c>
      <c r="I539" s="150" t="s">
        <v>743</v>
      </c>
      <c r="J539" s="152" t="s">
        <v>743</v>
      </c>
      <c r="K539" s="152">
        <v>0</v>
      </c>
      <c r="L539" s="150" t="s">
        <v>3652</v>
      </c>
      <c r="M539" s="152">
        <v>100000000</v>
      </c>
      <c r="N539" s="150" t="s">
        <v>3652</v>
      </c>
      <c r="O539" s="152">
        <v>125000000</v>
      </c>
      <c r="P539" s="150" t="s">
        <v>3652</v>
      </c>
      <c r="Q539" s="152">
        <v>150000000</v>
      </c>
      <c r="R539" s="150" t="s">
        <v>3652</v>
      </c>
      <c r="S539" s="152">
        <v>175000000</v>
      </c>
      <c r="T539" s="150" t="s">
        <v>3652</v>
      </c>
      <c r="U539" s="152">
        <v>175000000</v>
      </c>
      <c r="V539" s="529"/>
      <c r="W539" s="529"/>
      <c r="X539" s="529"/>
    </row>
    <row r="540" spans="2:24" s="165" customFormat="1" ht="90">
      <c r="B540" s="48"/>
      <c r="C540" s="62"/>
      <c r="D540" s="63"/>
      <c r="E540" s="63"/>
      <c r="F540" s="64"/>
      <c r="G540" s="420" t="s">
        <v>3653</v>
      </c>
      <c r="H540" s="150" t="s">
        <v>743</v>
      </c>
      <c r="I540" s="150" t="s">
        <v>3654</v>
      </c>
      <c r="J540" s="150" t="s">
        <v>3655</v>
      </c>
      <c r="K540" s="152">
        <v>75000000</v>
      </c>
      <c r="L540" s="150" t="s">
        <v>3655</v>
      </c>
      <c r="M540" s="152">
        <v>75000000</v>
      </c>
      <c r="N540" s="150" t="s">
        <v>3655</v>
      </c>
      <c r="O540" s="152">
        <v>75000000</v>
      </c>
      <c r="P540" s="150" t="s">
        <v>3655</v>
      </c>
      <c r="Q540" s="152">
        <v>75000000</v>
      </c>
      <c r="R540" s="150" t="s">
        <v>3655</v>
      </c>
      <c r="S540" s="152">
        <v>75000000</v>
      </c>
      <c r="T540" s="150" t="s">
        <v>3655</v>
      </c>
      <c r="U540" s="152">
        <v>75000000</v>
      </c>
      <c r="V540" s="529"/>
      <c r="W540" s="529"/>
      <c r="X540" s="529"/>
    </row>
    <row r="541" spans="2:24" s="165" customFormat="1" ht="180">
      <c r="B541" s="48"/>
      <c r="C541" s="62"/>
      <c r="D541" s="63"/>
      <c r="E541" s="63"/>
      <c r="F541" s="64"/>
      <c r="G541" s="420" t="s">
        <v>3656</v>
      </c>
      <c r="H541" s="150" t="s">
        <v>743</v>
      </c>
      <c r="I541" s="150" t="s">
        <v>743</v>
      </c>
      <c r="J541" s="150" t="s">
        <v>743</v>
      </c>
      <c r="K541" s="152">
        <v>0</v>
      </c>
      <c r="L541" s="150" t="s">
        <v>3657</v>
      </c>
      <c r="M541" s="152">
        <v>20000000</v>
      </c>
      <c r="N541" s="150" t="s">
        <v>3657</v>
      </c>
      <c r="O541" s="152">
        <v>20000000</v>
      </c>
      <c r="P541" s="150" t="s">
        <v>3657</v>
      </c>
      <c r="Q541" s="152">
        <v>20000000</v>
      </c>
      <c r="R541" s="150" t="s">
        <v>3657</v>
      </c>
      <c r="S541" s="152">
        <v>20000000</v>
      </c>
      <c r="T541" s="150" t="s">
        <v>3657</v>
      </c>
      <c r="U541" s="152">
        <v>20000000</v>
      </c>
      <c r="V541" s="529"/>
      <c r="W541" s="529"/>
      <c r="X541" s="529"/>
    </row>
    <row r="542" spans="2:24" s="165" customFormat="1" ht="90">
      <c r="B542" s="48"/>
      <c r="C542" s="62"/>
      <c r="D542" s="63"/>
      <c r="E542" s="63"/>
      <c r="F542" s="64"/>
      <c r="G542" s="420" t="s">
        <v>3934</v>
      </c>
      <c r="H542" s="150" t="s">
        <v>3935</v>
      </c>
      <c r="I542" s="150" t="s">
        <v>3936</v>
      </c>
      <c r="J542" s="150" t="s">
        <v>3936</v>
      </c>
      <c r="K542" s="152">
        <v>50000000</v>
      </c>
      <c r="L542" s="150" t="s">
        <v>3936</v>
      </c>
      <c r="M542" s="152">
        <v>75000000</v>
      </c>
      <c r="N542" s="150" t="s">
        <v>3936</v>
      </c>
      <c r="O542" s="152">
        <v>75000000</v>
      </c>
      <c r="P542" s="150" t="s">
        <v>3936</v>
      </c>
      <c r="Q542" s="152">
        <v>100000000</v>
      </c>
      <c r="R542" s="150" t="s">
        <v>3936</v>
      </c>
      <c r="S542" s="152">
        <v>100000000</v>
      </c>
      <c r="T542" s="150" t="s">
        <v>3936</v>
      </c>
      <c r="U542" s="152">
        <v>100000000</v>
      </c>
      <c r="V542" s="529"/>
      <c r="W542" s="529"/>
      <c r="X542" s="529"/>
    </row>
    <row r="543" spans="2:24" s="165" customFormat="1" ht="90">
      <c r="B543" s="48"/>
      <c r="C543" s="62"/>
      <c r="D543" s="63"/>
      <c r="E543" s="63"/>
      <c r="F543" s="64"/>
      <c r="G543" s="420" t="s">
        <v>3937</v>
      </c>
      <c r="H543" s="150" t="s">
        <v>3938</v>
      </c>
      <c r="I543" s="150" t="s">
        <v>3939</v>
      </c>
      <c r="J543" s="150" t="s">
        <v>3939</v>
      </c>
      <c r="K543" s="152">
        <v>102800000</v>
      </c>
      <c r="L543" s="150" t="s">
        <v>3939</v>
      </c>
      <c r="M543" s="152">
        <v>60000000</v>
      </c>
      <c r="N543" s="150" t="s">
        <v>3939</v>
      </c>
      <c r="O543" s="152">
        <v>30000000</v>
      </c>
      <c r="P543" s="150" t="s">
        <v>743</v>
      </c>
      <c r="Q543" s="152">
        <v>0</v>
      </c>
      <c r="R543" s="150" t="s">
        <v>743</v>
      </c>
      <c r="S543" s="152">
        <v>0</v>
      </c>
      <c r="T543" s="150" t="s">
        <v>743</v>
      </c>
      <c r="U543" s="152">
        <v>0</v>
      </c>
      <c r="V543" s="529"/>
      <c r="W543" s="529"/>
      <c r="X543" s="529"/>
    </row>
    <row r="544" spans="2:24" s="165" customFormat="1" ht="120">
      <c r="B544" s="48"/>
      <c r="C544" s="62"/>
      <c r="D544" s="63"/>
      <c r="E544" s="63"/>
      <c r="F544" s="64"/>
      <c r="G544" s="420" t="s">
        <v>3940</v>
      </c>
      <c r="H544" s="150" t="s">
        <v>743</v>
      </c>
      <c r="I544" s="150" t="s">
        <v>743</v>
      </c>
      <c r="J544" s="150" t="s">
        <v>743</v>
      </c>
      <c r="K544" s="152">
        <v>0</v>
      </c>
      <c r="L544" s="150" t="s">
        <v>3941</v>
      </c>
      <c r="M544" s="152">
        <v>100000000</v>
      </c>
      <c r="N544" s="150" t="s">
        <v>3941</v>
      </c>
      <c r="O544" s="152">
        <v>100000000</v>
      </c>
      <c r="P544" s="150" t="s">
        <v>3941</v>
      </c>
      <c r="Q544" s="152">
        <v>100000000</v>
      </c>
      <c r="R544" s="150" t="s">
        <v>3941</v>
      </c>
      <c r="S544" s="152">
        <v>100000000</v>
      </c>
      <c r="T544" s="150" t="s">
        <v>3941</v>
      </c>
      <c r="U544" s="152">
        <v>100000000</v>
      </c>
      <c r="V544" s="529"/>
      <c r="W544" s="529"/>
      <c r="X544" s="529"/>
    </row>
    <row r="545" spans="2:24" s="165" customFormat="1" ht="135">
      <c r="B545" s="48"/>
      <c r="C545" s="62"/>
      <c r="D545" s="63"/>
      <c r="E545" s="63"/>
      <c r="F545" s="64"/>
      <c r="G545" s="420" t="s">
        <v>3942</v>
      </c>
      <c r="H545" s="150" t="s">
        <v>3943</v>
      </c>
      <c r="I545" s="150" t="s">
        <v>3944</v>
      </c>
      <c r="J545" s="150" t="s">
        <v>3945</v>
      </c>
      <c r="K545" s="353">
        <v>30000000</v>
      </c>
      <c r="L545" s="150" t="s">
        <v>3945</v>
      </c>
      <c r="M545" s="353">
        <v>50000000</v>
      </c>
      <c r="N545" s="150" t="s">
        <v>3945</v>
      </c>
      <c r="O545" s="353">
        <v>60000000</v>
      </c>
      <c r="P545" s="150" t="s">
        <v>3945</v>
      </c>
      <c r="Q545" s="353">
        <v>75000000</v>
      </c>
      <c r="R545" s="150" t="s">
        <v>3945</v>
      </c>
      <c r="S545" s="353">
        <v>80000000</v>
      </c>
      <c r="T545" s="150" t="s">
        <v>3945</v>
      </c>
      <c r="U545" s="353">
        <v>80000000</v>
      </c>
      <c r="V545" s="529"/>
      <c r="W545" s="529"/>
      <c r="X545" s="529"/>
    </row>
    <row r="546" spans="2:24" s="165" customFormat="1" ht="75">
      <c r="B546" s="48"/>
      <c r="C546" s="62"/>
      <c r="D546" s="63"/>
      <c r="E546" s="63"/>
      <c r="F546" s="64"/>
      <c r="G546" s="420" t="s">
        <v>3946</v>
      </c>
      <c r="H546" s="150" t="s">
        <v>743</v>
      </c>
      <c r="I546" s="150" t="s">
        <v>743</v>
      </c>
      <c r="J546" s="150" t="s">
        <v>3947</v>
      </c>
      <c r="K546" s="353">
        <v>100000000</v>
      </c>
      <c r="L546" s="150" t="s">
        <v>3947</v>
      </c>
      <c r="M546" s="353">
        <v>100000000</v>
      </c>
      <c r="N546" s="150" t="s">
        <v>3947</v>
      </c>
      <c r="O546" s="353">
        <v>110000000</v>
      </c>
      <c r="P546" s="150" t="s">
        <v>3947</v>
      </c>
      <c r="Q546" s="353">
        <f>O546</f>
        <v>110000000</v>
      </c>
      <c r="R546" s="150" t="s">
        <v>3947</v>
      </c>
      <c r="S546" s="353">
        <v>120000000</v>
      </c>
      <c r="T546" s="150" t="s">
        <v>3947</v>
      </c>
      <c r="U546" s="353">
        <v>120000000</v>
      </c>
      <c r="V546" s="529"/>
      <c r="W546" s="529"/>
      <c r="X546" s="529"/>
    </row>
    <row r="547" spans="2:24" s="165" customFormat="1" ht="195">
      <c r="B547" s="48"/>
      <c r="C547" s="62"/>
      <c r="D547" s="63"/>
      <c r="E547" s="63"/>
      <c r="F547" s="64"/>
      <c r="G547" s="420" t="s">
        <v>3948</v>
      </c>
      <c r="H547" s="150" t="s">
        <v>743</v>
      </c>
      <c r="I547" s="150" t="s">
        <v>3949</v>
      </c>
      <c r="J547" s="150" t="s">
        <v>3950</v>
      </c>
      <c r="K547" s="353">
        <v>150000000</v>
      </c>
      <c r="L547" s="150" t="s">
        <v>3950</v>
      </c>
      <c r="M547" s="353">
        <f>K547</f>
        <v>150000000</v>
      </c>
      <c r="N547" s="150" t="s">
        <v>3950</v>
      </c>
      <c r="O547" s="353">
        <f>M547+(M547*10%)</f>
        <v>165000000</v>
      </c>
      <c r="P547" s="150" t="s">
        <v>3950</v>
      </c>
      <c r="Q547" s="353">
        <f>O547</f>
        <v>165000000</v>
      </c>
      <c r="R547" s="150" t="s">
        <v>3950</v>
      </c>
      <c r="S547" s="353">
        <v>180000000</v>
      </c>
      <c r="T547" s="150" t="s">
        <v>3950</v>
      </c>
      <c r="U547" s="353">
        <v>180000000</v>
      </c>
      <c r="V547" s="529"/>
      <c r="W547" s="529"/>
      <c r="X547" s="529"/>
    </row>
    <row r="548" spans="2:24" s="165" customFormat="1" ht="165">
      <c r="B548" s="48"/>
      <c r="C548" s="62"/>
      <c r="D548" s="63"/>
      <c r="E548" s="63"/>
      <c r="F548" s="64"/>
      <c r="G548" s="420" t="s">
        <v>3951</v>
      </c>
      <c r="H548" s="150" t="s">
        <v>3952</v>
      </c>
      <c r="I548" s="150" t="s">
        <v>3953</v>
      </c>
      <c r="J548" s="150" t="s">
        <v>3954</v>
      </c>
      <c r="K548" s="353">
        <v>100000000</v>
      </c>
      <c r="L548" s="150" t="s">
        <v>3955</v>
      </c>
      <c r="M548" s="353">
        <v>300000000</v>
      </c>
      <c r="N548" s="150" t="s">
        <v>3955</v>
      </c>
      <c r="O548" s="353">
        <v>300000000</v>
      </c>
      <c r="P548" s="150" t="s">
        <v>3955</v>
      </c>
      <c r="Q548" s="353">
        <v>330000000</v>
      </c>
      <c r="R548" s="150" t="s">
        <v>3955</v>
      </c>
      <c r="S548" s="353">
        <v>330000000</v>
      </c>
      <c r="T548" s="150" t="s">
        <v>3955</v>
      </c>
      <c r="U548" s="353">
        <v>330000000</v>
      </c>
      <c r="V548" s="529"/>
      <c r="W548" s="529"/>
      <c r="X548" s="529"/>
    </row>
    <row r="549" spans="2:24" s="165" customFormat="1" ht="120">
      <c r="B549" s="48"/>
      <c r="C549" s="62"/>
      <c r="D549" s="63"/>
      <c r="E549" s="63"/>
      <c r="F549" s="64"/>
      <c r="G549" s="420" t="s">
        <v>3956</v>
      </c>
      <c r="H549" s="150" t="s">
        <v>3957</v>
      </c>
      <c r="I549" s="150" t="s">
        <v>3958</v>
      </c>
      <c r="J549" s="150" t="s">
        <v>3958</v>
      </c>
      <c r="K549" s="353">
        <v>25000000</v>
      </c>
      <c r="L549" s="150" t="s">
        <v>3958</v>
      </c>
      <c r="M549" s="353">
        <v>25000000</v>
      </c>
      <c r="N549" s="150" t="s">
        <v>3958</v>
      </c>
      <c r="O549" s="353">
        <v>30000000</v>
      </c>
      <c r="P549" s="150" t="s">
        <v>3958</v>
      </c>
      <c r="Q549" s="353">
        <v>30000000</v>
      </c>
      <c r="R549" s="150" t="s">
        <v>3958</v>
      </c>
      <c r="S549" s="353">
        <v>30000000</v>
      </c>
      <c r="T549" s="150" t="s">
        <v>3958</v>
      </c>
      <c r="U549" s="353">
        <v>30000000</v>
      </c>
      <c r="V549" s="529"/>
      <c r="W549" s="529"/>
      <c r="X549" s="529"/>
    </row>
    <row r="550" spans="2:24" s="165" customFormat="1" ht="120">
      <c r="B550" s="48"/>
      <c r="C550" s="62"/>
      <c r="D550" s="63"/>
      <c r="E550" s="63"/>
      <c r="F550" s="64"/>
      <c r="G550" s="420" t="s">
        <v>3959</v>
      </c>
      <c r="H550" s="150" t="s">
        <v>3960</v>
      </c>
      <c r="I550" s="150" t="s">
        <v>3961</v>
      </c>
      <c r="J550" s="150" t="s">
        <v>3962</v>
      </c>
      <c r="K550" s="152">
        <v>108200000</v>
      </c>
      <c r="L550" s="150" t="s">
        <v>3963</v>
      </c>
      <c r="M550" s="152">
        <v>75000000</v>
      </c>
      <c r="N550" s="150" t="s">
        <v>3963</v>
      </c>
      <c r="O550" s="152">
        <v>35000000</v>
      </c>
      <c r="P550" s="150" t="s">
        <v>743</v>
      </c>
      <c r="Q550" s="152">
        <v>0</v>
      </c>
      <c r="R550" s="150" t="s">
        <v>743</v>
      </c>
      <c r="S550" s="152">
        <v>0</v>
      </c>
      <c r="T550" s="150" t="s">
        <v>743</v>
      </c>
      <c r="U550" s="152">
        <v>0</v>
      </c>
      <c r="V550" s="529"/>
      <c r="W550" s="529"/>
      <c r="X550" s="529"/>
    </row>
    <row r="551" spans="2:24" s="165" customFormat="1" ht="90">
      <c r="B551" s="48"/>
      <c r="C551" s="62"/>
      <c r="D551" s="63"/>
      <c r="E551" s="63"/>
      <c r="F551" s="64"/>
      <c r="G551" s="420" t="s">
        <v>3964</v>
      </c>
      <c r="H551" s="150" t="s">
        <v>743</v>
      </c>
      <c r="I551" s="150" t="s">
        <v>3964</v>
      </c>
      <c r="J551" s="150" t="s">
        <v>3964</v>
      </c>
      <c r="K551" s="353">
        <v>75000000</v>
      </c>
      <c r="L551" s="150" t="s">
        <v>3964</v>
      </c>
      <c r="M551" s="353">
        <f>K551</f>
        <v>75000000</v>
      </c>
      <c r="N551" s="150" t="s">
        <v>3964</v>
      </c>
      <c r="O551" s="353">
        <f>M551+(M551*10%)</f>
        <v>82500000</v>
      </c>
      <c r="P551" s="150" t="s">
        <v>3964</v>
      </c>
      <c r="Q551" s="353">
        <f>O551</f>
        <v>82500000</v>
      </c>
      <c r="R551" s="150" t="s">
        <v>3964</v>
      </c>
      <c r="S551" s="353">
        <f>Q551</f>
        <v>82500000</v>
      </c>
      <c r="T551" s="150" t="s">
        <v>3964</v>
      </c>
      <c r="U551" s="353">
        <f>S551</f>
        <v>82500000</v>
      </c>
      <c r="V551" s="529"/>
      <c r="W551" s="529"/>
      <c r="X551" s="529"/>
    </row>
    <row r="552" spans="2:24" s="165" customFormat="1" ht="75">
      <c r="B552" s="48"/>
      <c r="C552" s="62"/>
      <c r="D552" s="63"/>
      <c r="E552" s="63"/>
      <c r="F552" s="64"/>
      <c r="G552" s="420" t="s">
        <v>3965</v>
      </c>
      <c r="H552" s="150" t="s">
        <v>3966</v>
      </c>
      <c r="I552" s="150" t="s">
        <v>3967</v>
      </c>
      <c r="J552" s="354" t="s">
        <v>3968</v>
      </c>
      <c r="K552" s="353">
        <v>50000000</v>
      </c>
      <c r="L552" s="354" t="s">
        <v>3969</v>
      </c>
      <c r="M552" s="353">
        <v>200000000</v>
      </c>
      <c r="N552" s="354" t="s">
        <v>3969</v>
      </c>
      <c r="O552" s="353">
        <v>200000000</v>
      </c>
      <c r="P552" s="354" t="s">
        <v>3969</v>
      </c>
      <c r="Q552" s="353">
        <v>200000000</v>
      </c>
      <c r="R552" s="354" t="s">
        <v>3969</v>
      </c>
      <c r="S552" s="353">
        <v>200000000</v>
      </c>
      <c r="T552" s="354" t="s">
        <v>3969</v>
      </c>
      <c r="U552" s="353">
        <v>200000000</v>
      </c>
      <c r="V552" s="529"/>
      <c r="W552" s="529"/>
      <c r="X552" s="529"/>
    </row>
    <row r="553" spans="2:24" s="165" customFormat="1" ht="150">
      <c r="B553" s="48"/>
      <c r="C553" s="62"/>
      <c r="D553" s="63"/>
      <c r="E553" s="63"/>
      <c r="F553" s="64"/>
      <c r="G553" s="420" t="s">
        <v>3970</v>
      </c>
      <c r="H553" s="150" t="s">
        <v>3971</v>
      </c>
      <c r="I553" s="150" t="s">
        <v>3972</v>
      </c>
      <c r="J553" s="150" t="s">
        <v>3973</v>
      </c>
      <c r="K553" s="152">
        <v>150000000</v>
      </c>
      <c r="L553" s="150" t="s">
        <v>3973</v>
      </c>
      <c r="M553" s="152">
        <v>150000000</v>
      </c>
      <c r="N553" s="150" t="s">
        <v>3973</v>
      </c>
      <c r="O553" s="152">
        <v>150000000</v>
      </c>
      <c r="P553" s="150" t="s">
        <v>3973</v>
      </c>
      <c r="Q553" s="152">
        <v>150000000</v>
      </c>
      <c r="R553" s="150" t="s">
        <v>3973</v>
      </c>
      <c r="S553" s="152">
        <v>150000000</v>
      </c>
      <c r="T553" s="150" t="s">
        <v>3973</v>
      </c>
      <c r="U553" s="152">
        <v>150000000</v>
      </c>
      <c r="V553" s="529"/>
      <c r="W553" s="529"/>
      <c r="X553" s="529"/>
    </row>
    <row r="554" spans="2:24" s="165" customFormat="1" ht="165">
      <c r="B554" s="48"/>
      <c r="C554" s="62"/>
      <c r="D554" s="63"/>
      <c r="E554" s="63"/>
      <c r="F554" s="64"/>
      <c r="G554" s="420" t="s">
        <v>3974</v>
      </c>
      <c r="H554" s="150" t="s">
        <v>3975</v>
      </c>
      <c r="I554" s="150" t="s">
        <v>3976</v>
      </c>
      <c r="J554" s="354" t="s">
        <v>743</v>
      </c>
      <c r="K554" s="353">
        <v>0</v>
      </c>
      <c r="L554" s="150" t="s">
        <v>3977</v>
      </c>
      <c r="M554" s="152">
        <v>200000000</v>
      </c>
      <c r="N554" s="150" t="s">
        <v>3977</v>
      </c>
      <c r="O554" s="152">
        <v>200000000</v>
      </c>
      <c r="P554" s="150" t="s">
        <v>3977</v>
      </c>
      <c r="Q554" s="152">
        <v>225000000</v>
      </c>
      <c r="R554" s="150" t="s">
        <v>3977</v>
      </c>
      <c r="S554" s="152">
        <f>Q554</f>
        <v>225000000</v>
      </c>
      <c r="T554" s="150" t="s">
        <v>3977</v>
      </c>
      <c r="U554" s="152">
        <f>S554</f>
        <v>225000000</v>
      </c>
      <c r="V554" s="529"/>
      <c r="W554" s="529"/>
      <c r="X554" s="529"/>
    </row>
    <row r="555" spans="2:24" s="165" customFormat="1" ht="105">
      <c r="B555" s="48"/>
      <c r="C555" s="62"/>
      <c r="D555" s="63"/>
      <c r="E555" s="63"/>
      <c r="F555" s="64"/>
      <c r="G555" s="420" t="s">
        <v>3978</v>
      </c>
      <c r="H555" s="150" t="s">
        <v>3979</v>
      </c>
      <c r="I555" s="150" t="s">
        <v>3980</v>
      </c>
      <c r="J555" s="354" t="s">
        <v>3981</v>
      </c>
      <c r="K555" s="353">
        <v>160000050</v>
      </c>
      <c r="L555" s="354" t="s">
        <v>3982</v>
      </c>
      <c r="M555" s="353">
        <v>200000000</v>
      </c>
      <c r="N555" s="354" t="s">
        <v>3982</v>
      </c>
      <c r="O555" s="353">
        <v>200000000</v>
      </c>
      <c r="P555" s="354" t="s">
        <v>3982</v>
      </c>
      <c r="Q555" s="353">
        <v>200000000</v>
      </c>
      <c r="R555" s="354" t="s">
        <v>3982</v>
      </c>
      <c r="S555" s="353">
        <v>200000000</v>
      </c>
      <c r="T555" s="354" t="s">
        <v>3982</v>
      </c>
      <c r="U555" s="353">
        <v>200000000</v>
      </c>
      <c r="V555" s="529"/>
      <c r="W555" s="529"/>
      <c r="X555" s="529"/>
    </row>
    <row r="556" spans="2:24" s="165" customFormat="1" ht="105">
      <c r="B556" s="48"/>
      <c r="C556" s="62"/>
      <c r="D556" s="63"/>
      <c r="E556" s="63"/>
      <c r="F556" s="64"/>
      <c r="G556" s="420" t="s">
        <v>3983</v>
      </c>
      <c r="H556" s="150" t="s">
        <v>743</v>
      </c>
      <c r="I556" s="150" t="s">
        <v>743</v>
      </c>
      <c r="J556" s="354" t="s">
        <v>743</v>
      </c>
      <c r="K556" s="353">
        <v>0</v>
      </c>
      <c r="L556" s="353" t="s">
        <v>3984</v>
      </c>
      <c r="M556" s="353">
        <v>100000000</v>
      </c>
      <c r="N556" s="353" t="s">
        <v>3984</v>
      </c>
      <c r="O556" s="353">
        <v>100000000</v>
      </c>
      <c r="P556" s="353" t="s">
        <v>3984</v>
      </c>
      <c r="Q556" s="353">
        <v>100000000</v>
      </c>
      <c r="R556" s="353" t="s">
        <v>3984</v>
      </c>
      <c r="S556" s="353">
        <v>100000000</v>
      </c>
      <c r="T556" s="353" t="s">
        <v>3984</v>
      </c>
      <c r="U556" s="353">
        <v>100000000</v>
      </c>
      <c r="V556" s="529"/>
      <c r="W556" s="529"/>
      <c r="X556" s="529"/>
    </row>
    <row r="557" spans="2:24" s="540" customFormat="1" ht="75">
      <c r="B557" s="545"/>
      <c r="C557" s="593" t="str">
        <f>'[4]matrik MISI 1'!P35</f>
        <v>2.01.</v>
      </c>
      <c r="D557" s="594" t="str">
        <f>'[4]matrik MISI 1'!Q35</f>
        <v>xx</v>
      </c>
      <c r="E557" s="594">
        <f>'[4]matrik MISI 1'!R35</f>
        <v>20</v>
      </c>
      <c r="F557" s="595" t="str">
        <f>'[4]matrik MISI 1'!S35</f>
        <v>Program Pemberdayaan Penyuluh Pertanian, Perikanan dan Kehutanan</v>
      </c>
      <c r="G557" s="548"/>
      <c r="H557" s="551"/>
      <c r="I557" s="551"/>
      <c r="J557" s="551"/>
      <c r="K557" s="551">
        <f>SUM(K558:K560)</f>
        <v>373074800</v>
      </c>
      <c r="L557" s="551">
        <f t="shared" ref="L557:U557" si="46">SUM(L558:L560)</f>
        <v>0</v>
      </c>
      <c r="M557" s="551">
        <f t="shared" si="46"/>
        <v>544474800</v>
      </c>
      <c r="N557" s="551">
        <f t="shared" si="46"/>
        <v>0</v>
      </c>
      <c r="O557" s="551">
        <f t="shared" si="46"/>
        <v>552541040</v>
      </c>
      <c r="P557" s="551">
        <f t="shared" si="46"/>
        <v>0</v>
      </c>
      <c r="Q557" s="551">
        <f t="shared" si="46"/>
        <v>584394352</v>
      </c>
      <c r="R557" s="551">
        <f t="shared" si="46"/>
        <v>0</v>
      </c>
      <c r="S557" s="551">
        <f t="shared" si="46"/>
        <v>596664517.60000002</v>
      </c>
      <c r="T557" s="551">
        <f t="shared" si="46"/>
        <v>0</v>
      </c>
      <c r="U557" s="551">
        <f t="shared" si="46"/>
        <v>596664517.60000002</v>
      </c>
      <c r="V557" s="551"/>
      <c r="W557" s="551"/>
      <c r="X557" s="551" t="str">
        <f>'[4]matrik MISI 1'!AF35</f>
        <v>BAPELUH</v>
      </c>
    </row>
    <row r="558" spans="2:24" s="165" customFormat="1" ht="30">
      <c r="B558" s="48"/>
      <c r="C558" s="62"/>
      <c r="D558" s="63"/>
      <c r="E558" s="63"/>
      <c r="F558" s="64"/>
      <c r="G558" s="173" t="s">
        <v>4053</v>
      </c>
      <c r="H558" s="245" t="s">
        <v>1798</v>
      </c>
      <c r="I558" s="245"/>
      <c r="J558" s="246"/>
      <c r="K558" s="522">
        <v>50000000</v>
      </c>
      <c r="L558" s="246"/>
      <c r="M558" s="522">
        <f>50000000+36125000+43350000+21675000+40000000</f>
        <v>191150000</v>
      </c>
      <c r="N558" s="246"/>
      <c r="O558" s="522">
        <f>50000000+36125000+43350000+21675000+40000000</f>
        <v>191150000</v>
      </c>
      <c r="P558" s="246"/>
      <c r="Q558" s="522">
        <f>50000000+36125000+57800000+21675000+40000000</f>
        <v>205600000</v>
      </c>
      <c r="R558" s="246"/>
      <c r="S558" s="522">
        <f>50000000+36125000+57800000+21675000+40000000</f>
        <v>205600000</v>
      </c>
      <c r="T558" s="246"/>
      <c r="U558" s="522">
        <f>50000000+36125000+57800000+21675000+40000000</f>
        <v>205600000</v>
      </c>
      <c r="V558" s="529"/>
      <c r="W558" s="529"/>
      <c r="X558" s="529"/>
    </row>
    <row r="559" spans="2:24" s="165" customFormat="1" ht="45">
      <c r="B559" s="48"/>
      <c r="C559" s="62"/>
      <c r="D559" s="63"/>
      <c r="E559" s="63"/>
      <c r="F559" s="64"/>
      <c r="G559" s="173" t="s">
        <v>4054</v>
      </c>
      <c r="H559" s="246"/>
      <c r="I559" s="246"/>
      <c r="J559" s="246"/>
      <c r="K559" s="522">
        <v>143074800</v>
      </c>
      <c r="L559" s="246"/>
      <c r="M559" s="522">
        <f>161324800-6750000+6750000</f>
        <v>161324800</v>
      </c>
      <c r="N559" s="246"/>
      <c r="O559" s="522">
        <f>161324800+(0.05*161324800)-6750000+6750000</f>
        <v>169391040</v>
      </c>
      <c r="P559" s="246"/>
      <c r="Q559" s="522">
        <f>166324800+(0.05*169391040)-9750000+9750000</f>
        <v>174794352</v>
      </c>
      <c r="R559" s="246"/>
      <c r="S559" s="522">
        <f>166324800+(0.05*174794352)-9750000+9750000</f>
        <v>175064517.59999999</v>
      </c>
      <c r="T559" s="246"/>
      <c r="U559" s="522">
        <f>166324800+(0.05*174794352)-9750000+9750000</f>
        <v>175064517.59999999</v>
      </c>
      <c r="V559" s="529"/>
      <c r="W559" s="529"/>
      <c r="X559" s="529"/>
    </row>
    <row r="560" spans="2:24" s="165" customFormat="1" ht="30">
      <c r="B560" s="48"/>
      <c r="C560" s="62"/>
      <c r="D560" s="63"/>
      <c r="E560" s="63"/>
      <c r="F560" s="64"/>
      <c r="G560" s="173" t="s">
        <v>4055</v>
      </c>
      <c r="H560" s="245"/>
      <c r="I560" s="245"/>
      <c r="J560" s="245"/>
      <c r="K560" s="522">
        <f>120*2*750000</f>
        <v>180000000</v>
      </c>
      <c r="L560" s="245"/>
      <c r="M560" s="522">
        <f>120*2*800000</f>
        <v>192000000</v>
      </c>
      <c r="N560" s="245"/>
      <c r="O560" s="522">
        <f>120*2*800000</f>
        <v>192000000</v>
      </c>
      <c r="P560" s="245"/>
      <c r="Q560" s="522">
        <f>120*2*850000</f>
        <v>204000000</v>
      </c>
      <c r="R560" s="245"/>
      <c r="S560" s="522">
        <f>120*2*900000</f>
        <v>216000000</v>
      </c>
      <c r="T560" s="245"/>
      <c r="U560" s="522">
        <f>120*2*900000</f>
        <v>216000000</v>
      </c>
      <c r="V560" s="529"/>
      <c r="W560" s="529"/>
      <c r="X560" s="529"/>
    </row>
    <row r="561" spans="2:24" s="540" customFormat="1" ht="45">
      <c r="B561" s="545"/>
      <c r="C561" s="593" t="str">
        <f>'[4]matrik MISI 1'!P14</f>
        <v>2.01</v>
      </c>
      <c r="D561" s="594" t="str">
        <f>'[4]matrik MISI 1'!Q14</f>
        <v>xx</v>
      </c>
      <c r="E561" s="594">
        <f>'[4]matrik MISI 1'!R14</f>
        <v>21</v>
      </c>
      <c r="F561" s="595" t="str">
        <f>'[4]matrik MISI 1'!S14</f>
        <v>Program pencegahan dan penanggulangan penyakit ternak</v>
      </c>
      <c r="G561" s="548"/>
      <c r="H561" s="551"/>
      <c r="I561" s="551"/>
      <c r="J561" s="551"/>
      <c r="K561" s="551">
        <f>SUM(K562:K566)</f>
        <v>307670000</v>
      </c>
      <c r="L561" s="551">
        <f t="shared" ref="L561:U561" si="47">SUM(L562:L566)</f>
        <v>0</v>
      </c>
      <c r="M561" s="551">
        <f t="shared" si="47"/>
        <v>365000000</v>
      </c>
      <c r="N561" s="551">
        <f t="shared" si="47"/>
        <v>0</v>
      </c>
      <c r="O561" s="551">
        <f t="shared" si="47"/>
        <v>420000000</v>
      </c>
      <c r="P561" s="551">
        <f t="shared" si="47"/>
        <v>0</v>
      </c>
      <c r="Q561" s="551">
        <f t="shared" si="47"/>
        <v>470000000</v>
      </c>
      <c r="R561" s="551">
        <f t="shared" si="47"/>
        <v>0</v>
      </c>
      <c r="S561" s="551">
        <f t="shared" si="47"/>
        <v>525000000</v>
      </c>
      <c r="T561" s="551">
        <f t="shared" si="47"/>
        <v>0</v>
      </c>
      <c r="U561" s="551">
        <f t="shared" si="47"/>
        <v>355000000</v>
      </c>
      <c r="V561" s="551"/>
      <c r="W561" s="551"/>
      <c r="X561" s="551" t="str">
        <f>'[4]matrik MISI 1'!AF14</f>
        <v>DINAKAN</v>
      </c>
    </row>
    <row r="562" spans="2:24" s="165" customFormat="1" ht="45">
      <c r="B562" s="48"/>
      <c r="C562" s="62"/>
      <c r="D562" s="63"/>
      <c r="E562" s="63"/>
      <c r="F562" s="64"/>
      <c r="G562" s="58" t="s">
        <v>4085</v>
      </c>
      <c r="H562" s="237">
        <v>0</v>
      </c>
      <c r="I562" s="237">
        <v>0</v>
      </c>
      <c r="J562" s="52" t="s">
        <v>4086</v>
      </c>
      <c r="K562" s="533">
        <v>238030000</v>
      </c>
      <c r="L562" s="52" t="s">
        <v>4087</v>
      </c>
      <c r="M562" s="533">
        <v>250000000</v>
      </c>
      <c r="N562" s="52" t="s">
        <v>4088</v>
      </c>
      <c r="O562" s="533">
        <v>275000000</v>
      </c>
      <c r="P562" s="52" t="s">
        <v>4089</v>
      </c>
      <c r="Q562" s="533">
        <v>300000000</v>
      </c>
      <c r="R562" s="52" t="s">
        <v>4090</v>
      </c>
      <c r="S562" s="533">
        <v>325000000</v>
      </c>
      <c r="T562" s="52" t="s">
        <v>4090</v>
      </c>
      <c r="U562" s="533">
        <v>325000000</v>
      </c>
      <c r="V562" s="529"/>
      <c r="W562" s="529"/>
      <c r="X562" s="529"/>
    </row>
    <row r="563" spans="2:24" s="165" customFormat="1" ht="45">
      <c r="B563" s="48"/>
      <c r="C563" s="62"/>
      <c r="D563" s="63"/>
      <c r="E563" s="63"/>
      <c r="F563" s="64"/>
      <c r="G563" s="270" t="s">
        <v>4091</v>
      </c>
      <c r="H563" s="237">
        <v>0</v>
      </c>
      <c r="I563" s="237">
        <v>0</v>
      </c>
      <c r="J563" s="161" t="s">
        <v>2650</v>
      </c>
      <c r="K563" s="52">
        <v>49640000</v>
      </c>
      <c r="L563" s="161" t="s">
        <v>2650</v>
      </c>
      <c r="M563" s="52">
        <v>60000000</v>
      </c>
      <c r="N563" s="161" t="s">
        <v>2650</v>
      </c>
      <c r="O563" s="52">
        <v>70000000</v>
      </c>
      <c r="P563" s="161" t="s">
        <v>2650</v>
      </c>
      <c r="Q563" s="52">
        <v>80000000</v>
      </c>
      <c r="R563" s="161" t="s">
        <v>2650</v>
      </c>
      <c r="S563" s="52">
        <v>90000000</v>
      </c>
      <c r="T563" s="161" t="s">
        <v>2650</v>
      </c>
      <c r="U563" s="52" t="s">
        <v>4096</v>
      </c>
      <c r="V563" s="529"/>
      <c r="W563" s="529"/>
      <c r="X563" s="529"/>
    </row>
    <row r="564" spans="2:24" s="165" customFormat="1" ht="45">
      <c r="B564" s="48"/>
      <c r="C564" s="62"/>
      <c r="D564" s="63"/>
      <c r="E564" s="63"/>
      <c r="F564" s="64"/>
      <c r="G564" s="423" t="s">
        <v>4097</v>
      </c>
      <c r="H564" s="237">
        <v>0</v>
      </c>
      <c r="I564" s="237">
        <v>0</v>
      </c>
      <c r="J564" s="161">
        <v>0</v>
      </c>
      <c r="K564" s="52">
        <v>0</v>
      </c>
      <c r="L564" s="161" t="s">
        <v>4098</v>
      </c>
      <c r="M564" s="179">
        <v>20000000</v>
      </c>
      <c r="N564" s="161" t="s">
        <v>4100</v>
      </c>
      <c r="O564" s="179">
        <v>30000000</v>
      </c>
      <c r="P564" s="161" t="s">
        <v>4101</v>
      </c>
      <c r="Q564" s="179">
        <v>40000000</v>
      </c>
      <c r="R564" s="161" t="s">
        <v>4103</v>
      </c>
      <c r="S564" s="179">
        <v>50000000</v>
      </c>
      <c r="T564" s="161" t="s">
        <v>4103</v>
      </c>
      <c r="U564" s="161" t="s">
        <v>4104</v>
      </c>
      <c r="V564" s="529"/>
      <c r="W564" s="529"/>
      <c r="X564" s="529"/>
    </row>
    <row r="565" spans="2:24" s="165" customFormat="1" ht="45">
      <c r="B565" s="48"/>
      <c r="C565" s="62"/>
      <c r="D565" s="63"/>
      <c r="E565" s="63"/>
      <c r="F565" s="64"/>
      <c r="G565" s="58" t="s">
        <v>4105</v>
      </c>
      <c r="H565" s="52" t="s">
        <v>4106</v>
      </c>
      <c r="I565" s="52" t="s">
        <v>4107</v>
      </c>
      <c r="J565" s="52" t="s">
        <v>4108</v>
      </c>
      <c r="K565" s="52">
        <v>10000000</v>
      </c>
      <c r="L565" s="52" t="s">
        <v>4107</v>
      </c>
      <c r="M565" s="52">
        <v>15000000</v>
      </c>
      <c r="N565" s="52" t="s">
        <v>4111</v>
      </c>
      <c r="O565" s="52">
        <v>20000000</v>
      </c>
      <c r="P565" s="52" t="s">
        <v>4112</v>
      </c>
      <c r="Q565" s="52">
        <v>25000000</v>
      </c>
      <c r="R565" s="52" t="s">
        <v>4113</v>
      </c>
      <c r="S565" s="52">
        <v>30000000</v>
      </c>
      <c r="T565" s="52" t="s">
        <v>4113</v>
      </c>
      <c r="U565" s="533">
        <v>30000000</v>
      </c>
      <c r="V565" s="529"/>
      <c r="W565" s="529"/>
      <c r="X565" s="529"/>
    </row>
    <row r="566" spans="2:24" s="165" customFormat="1" ht="45">
      <c r="B566" s="48"/>
      <c r="C566" s="62"/>
      <c r="D566" s="63"/>
      <c r="E566" s="63"/>
      <c r="F566" s="64"/>
      <c r="G566" s="58" t="s">
        <v>4114</v>
      </c>
      <c r="H566" s="52" t="s">
        <v>4115</v>
      </c>
      <c r="I566" s="52" t="s">
        <v>4116</v>
      </c>
      <c r="J566" s="52" t="s">
        <v>4116</v>
      </c>
      <c r="K566" s="52">
        <v>10000000</v>
      </c>
      <c r="L566" s="52" t="s">
        <v>4116</v>
      </c>
      <c r="M566" s="795">
        <v>20000000</v>
      </c>
      <c r="N566" s="52" t="s">
        <v>4116</v>
      </c>
      <c r="O566" s="52">
        <v>25000000</v>
      </c>
      <c r="P566" s="52" t="s">
        <v>4116</v>
      </c>
      <c r="Q566" s="52">
        <v>25000000</v>
      </c>
      <c r="R566" s="52" t="s">
        <v>4116</v>
      </c>
      <c r="S566" s="52">
        <v>30000000</v>
      </c>
      <c r="T566" s="52" t="s">
        <v>4116</v>
      </c>
      <c r="U566" s="52" t="s">
        <v>3447</v>
      </c>
      <c r="V566" s="529"/>
      <c r="W566" s="529"/>
      <c r="X566" s="529"/>
    </row>
    <row r="567" spans="2:24" s="540" customFormat="1" ht="45">
      <c r="B567" s="545"/>
      <c r="C567" s="593">
        <v>2.0099999999999998</v>
      </c>
      <c r="D567" s="594" t="s">
        <v>773</v>
      </c>
      <c r="E567" s="594">
        <f>'[4]matrik MISI 1'!R26</f>
        <v>22</v>
      </c>
      <c r="F567" s="595" t="str">
        <f>'[4]matrik MISI 1'!S26</f>
        <v>Program Peningkatan Produksi Hasil peternakan</v>
      </c>
      <c r="G567" s="548"/>
      <c r="H567" s="551"/>
      <c r="I567" s="551"/>
      <c r="J567" s="551"/>
      <c r="K567" s="551">
        <f>SUM(K568:K573)</f>
        <v>40000000</v>
      </c>
      <c r="L567" s="551">
        <f t="shared" ref="L567:U567" si="48">SUM(L568:L573)</f>
        <v>0</v>
      </c>
      <c r="M567" s="551">
        <f t="shared" si="48"/>
        <v>75000000</v>
      </c>
      <c r="N567" s="551">
        <f t="shared" si="48"/>
        <v>0</v>
      </c>
      <c r="O567" s="551">
        <f t="shared" si="48"/>
        <v>85000000</v>
      </c>
      <c r="P567" s="551">
        <f t="shared" si="48"/>
        <v>0</v>
      </c>
      <c r="Q567" s="551">
        <f t="shared" si="48"/>
        <v>85000000</v>
      </c>
      <c r="R567" s="551">
        <f t="shared" si="48"/>
        <v>0</v>
      </c>
      <c r="S567" s="551">
        <f t="shared" si="48"/>
        <v>90000000</v>
      </c>
      <c r="T567" s="551">
        <f t="shared" si="48"/>
        <v>0</v>
      </c>
      <c r="U567" s="551">
        <f t="shared" si="48"/>
        <v>90000000</v>
      </c>
      <c r="V567" s="551"/>
      <c r="W567" s="551"/>
      <c r="X567" s="551" t="str">
        <f>'[4]matrik MISI 1'!AF26</f>
        <v>DINAKAN</v>
      </c>
    </row>
    <row r="568" spans="2:24" s="165" customFormat="1" ht="45">
      <c r="B568" s="48"/>
      <c r="C568" s="62"/>
      <c r="D568" s="63"/>
      <c r="E568" s="63"/>
      <c r="F568" s="64"/>
      <c r="G568" s="424" t="s">
        <v>4163</v>
      </c>
      <c r="H568" s="52"/>
      <c r="I568" s="57"/>
      <c r="J568" s="245"/>
      <c r="K568" s="355">
        <v>40000000</v>
      </c>
      <c r="L568" s="245"/>
      <c r="M568" s="355">
        <v>50000000</v>
      </c>
      <c r="N568" s="245"/>
      <c r="O568" s="355">
        <v>60000000</v>
      </c>
      <c r="P568" s="245"/>
      <c r="Q568" s="355">
        <v>60000000</v>
      </c>
      <c r="R568" s="245"/>
      <c r="S568" s="522">
        <v>65000000</v>
      </c>
      <c r="T568" s="245"/>
      <c r="U568" s="522">
        <v>65000000</v>
      </c>
      <c r="V568" s="529"/>
      <c r="W568" s="529"/>
      <c r="X568" s="529"/>
    </row>
    <row r="569" spans="2:24" s="165" customFormat="1" ht="60">
      <c r="B569" s="48"/>
      <c r="C569" s="62"/>
      <c r="D569" s="63"/>
      <c r="E569" s="63"/>
      <c r="F569" s="64"/>
      <c r="G569" s="425" t="s">
        <v>4230</v>
      </c>
      <c r="H569" s="237">
        <v>0</v>
      </c>
      <c r="I569" s="356">
        <v>0</v>
      </c>
      <c r="J569" s="245" t="s">
        <v>2913</v>
      </c>
      <c r="K569" s="355"/>
      <c r="L569" s="245" t="s">
        <v>2913</v>
      </c>
      <c r="M569" s="355"/>
      <c r="N569" s="245" t="s">
        <v>2913</v>
      </c>
      <c r="O569" s="355"/>
      <c r="P569" s="245" t="s">
        <v>2913</v>
      </c>
      <c r="Q569" s="355"/>
      <c r="R569" s="245" t="s">
        <v>2913</v>
      </c>
      <c r="S569" s="522"/>
      <c r="T569" s="245" t="s">
        <v>2913</v>
      </c>
      <c r="U569" s="522"/>
      <c r="V569" s="529"/>
      <c r="W569" s="529"/>
      <c r="X569" s="529"/>
    </row>
    <row r="570" spans="2:24" s="165" customFormat="1" ht="45">
      <c r="B570" s="48"/>
      <c r="C570" s="62"/>
      <c r="D570" s="63"/>
      <c r="E570" s="63"/>
      <c r="F570" s="64"/>
      <c r="G570" s="57" t="s">
        <v>4164</v>
      </c>
      <c r="H570" s="237">
        <v>0</v>
      </c>
      <c r="I570" s="356">
        <v>0</v>
      </c>
      <c r="J570" s="245" t="s">
        <v>2913</v>
      </c>
      <c r="K570" s="355"/>
      <c r="L570" s="245" t="s">
        <v>2913</v>
      </c>
      <c r="M570" s="355"/>
      <c r="N570" s="245" t="s">
        <v>2913</v>
      </c>
      <c r="O570" s="355"/>
      <c r="P570" s="245" t="s">
        <v>2913</v>
      </c>
      <c r="Q570" s="355"/>
      <c r="R570" s="245" t="s">
        <v>2913</v>
      </c>
      <c r="S570" s="522"/>
      <c r="T570" s="245" t="s">
        <v>2913</v>
      </c>
      <c r="U570" s="522"/>
      <c r="V570" s="529"/>
      <c r="W570" s="529"/>
      <c r="X570" s="529"/>
    </row>
    <row r="571" spans="2:24" s="165" customFormat="1" ht="45">
      <c r="B571" s="48"/>
      <c r="C571" s="62"/>
      <c r="D571" s="63"/>
      <c r="E571" s="63"/>
      <c r="F571" s="64"/>
      <c r="G571" s="57" t="s">
        <v>4165</v>
      </c>
      <c r="H571" s="237">
        <v>0</v>
      </c>
      <c r="I571" s="356">
        <v>0</v>
      </c>
      <c r="J571" s="52" t="s">
        <v>3805</v>
      </c>
      <c r="K571" s="355"/>
      <c r="L571" s="52" t="s">
        <v>3805</v>
      </c>
      <c r="M571" s="355"/>
      <c r="N571" s="52" t="s">
        <v>3805</v>
      </c>
      <c r="O571" s="355"/>
      <c r="P571" s="52" t="s">
        <v>3805</v>
      </c>
      <c r="Q571" s="355"/>
      <c r="R571" s="52" t="s">
        <v>3805</v>
      </c>
      <c r="S571" s="522"/>
      <c r="T571" s="52" t="s">
        <v>3805</v>
      </c>
      <c r="U571" s="522"/>
      <c r="V571" s="529"/>
      <c r="W571" s="529"/>
      <c r="X571" s="529"/>
    </row>
    <row r="572" spans="2:24" s="165" customFormat="1" ht="45">
      <c r="B572" s="48"/>
      <c r="C572" s="62"/>
      <c r="D572" s="63"/>
      <c r="E572" s="63"/>
      <c r="F572" s="64"/>
      <c r="G572" s="424" t="s">
        <v>4166</v>
      </c>
      <c r="H572" s="357"/>
      <c r="I572" s="358"/>
      <c r="J572" s="45"/>
      <c r="K572" s="359"/>
      <c r="L572" s="45"/>
      <c r="M572" s="359">
        <v>25000000</v>
      </c>
      <c r="N572" s="45"/>
      <c r="O572" s="359">
        <v>25000000</v>
      </c>
      <c r="P572" s="45"/>
      <c r="Q572" s="359">
        <v>25000000</v>
      </c>
      <c r="R572" s="45"/>
      <c r="S572" s="359">
        <v>25000000</v>
      </c>
      <c r="T572" s="45"/>
      <c r="U572" s="359">
        <v>25000000</v>
      </c>
      <c r="V572" s="529"/>
      <c r="W572" s="529"/>
      <c r="X572" s="529"/>
    </row>
    <row r="573" spans="2:24" s="165" customFormat="1" ht="45">
      <c r="B573" s="48"/>
      <c r="C573" s="62"/>
      <c r="D573" s="63"/>
      <c r="E573" s="63"/>
      <c r="F573" s="64"/>
      <c r="G573" s="425" t="s">
        <v>4167</v>
      </c>
      <c r="H573" s="237">
        <v>0</v>
      </c>
      <c r="I573" s="356">
        <v>0</v>
      </c>
      <c r="J573" s="52"/>
      <c r="K573" s="355"/>
      <c r="L573" s="52" t="s">
        <v>4168</v>
      </c>
      <c r="M573" s="355"/>
      <c r="N573" s="52" t="s">
        <v>4168</v>
      </c>
      <c r="O573" s="355"/>
      <c r="P573" s="52" t="s">
        <v>4168</v>
      </c>
      <c r="Q573" s="355"/>
      <c r="R573" s="52" t="s">
        <v>4168</v>
      </c>
      <c r="S573" s="355"/>
      <c r="T573" s="52" t="s">
        <v>4168</v>
      </c>
      <c r="U573" s="355"/>
      <c r="V573" s="529"/>
      <c r="W573" s="529"/>
      <c r="X573" s="529"/>
    </row>
    <row r="574" spans="2:24" s="540" customFormat="1" ht="30">
      <c r="B574" s="545"/>
      <c r="C574" s="593" t="str">
        <f>'[4]matrik MISI 1'!P37</f>
        <v>2.01.</v>
      </c>
      <c r="D574" s="594" t="str">
        <f>'[4]matrik MISI 1'!Q37</f>
        <v>xx</v>
      </c>
      <c r="E574" s="594">
        <f>'[4]matrik MISI 1'!R37</f>
        <v>25</v>
      </c>
      <c r="F574" s="595" t="str">
        <f>'[4]matrik MISI 1'!S37</f>
        <v>Program Pemberdayaan Petani</v>
      </c>
      <c r="G574" s="548"/>
      <c r="H574" s="551"/>
      <c r="I574" s="551"/>
      <c r="J574" s="551"/>
      <c r="K574" s="551">
        <f>SUM(K575:K603)</f>
        <v>698955000</v>
      </c>
      <c r="L574" s="551">
        <f t="shared" ref="L574:U574" si="49">SUM(L575:L603)</f>
        <v>2015.9796881319373</v>
      </c>
      <c r="M574" s="551">
        <f t="shared" si="49"/>
        <v>988781500</v>
      </c>
      <c r="N574" s="551">
        <f t="shared" si="49"/>
        <v>1886.6290387812878</v>
      </c>
      <c r="O574" s="551">
        <f t="shared" si="49"/>
        <v>1027395650</v>
      </c>
      <c r="P574" s="551">
        <f t="shared" si="49"/>
        <v>1917.2783894306385</v>
      </c>
      <c r="Q574" s="551">
        <f t="shared" si="49"/>
        <v>978485215</v>
      </c>
      <c r="R574" s="551">
        <f t="shared" si="49"/>
        <v>1907.9277400799892</v>
      </c>
      <c r="S574" s="551">
        <f t="shared" si="49"/>
        <v>985123736.5</v>
      </c>
      <c r="T574" s="551">
        <f t="shared" si="49"/>
        <v>1907.9277400799892</v>
      </c>
      <c r="U574" s="551">
        <f t="shared" si="49"/>
        <v>30495650704.150002</v>
      </c>
      <c r="V574" s="551"/>
      <c r="W574" s="551"/>
      <c r="X574" s="551" t="str">
        <f>'[4]matrik MISI 1'!AF37</f>
        <v>BAPELUH</v>
      </c>
    </row>
    <row r="575" spans="2:24" s="165" customFormat="1" ht="90">
      <c r="B575" s="48"/>
      <c r="C575" s="62"/>
      <c r="D575" s="63"/>
      <c r="E575" s="63"/>
      <c r="F575" s="64"/>
      <c r="G575" s="173" t="s">
        <v>4056</v>
      </c>
      <c r="H575" s="360">
        <f>110/1540*100</f>
        <v>7.1428571428571423</v>
      </c>
      <c r="I575" s="360">
        <f>110/1540*100</f>
        <v>7.1428571428571423</v>
      </c>
      <c r="J575" s="360">
        <f>124/1540*100</f>
        <v>8.0519480519480524</v>
      </c>
      <c r="K575" s="522">
        <v>0</v>
      </c>
      <c r="L575" s="360">
        <f>124/1540*100</f>
        <v>8.0519480519480524</v>
      </c>
      <c r="M575" s="522">
        <f>1500000+1240000+1500000</f>
        <v>4240000</v>
      </c>
      <c r="N575" s="360">
        <f>124/1540*100</f>
        <v>8.0519480519480524</v>
      </c>
      <c r="O575" s="522">
        <f>1500000+1240000+1500000+260000</f>
        <v>4500000</v>
      </c>
      <c r="P575" s="360">
        <f>124/1540*100</f>
        <v>8.0519480519480524</v>
      </c>
      <c r="Q575" s="522">
        <f>1500000+1240000+1500000+260000</f>
        <v>4500000</v>
      </c>
      <c r="R575" s="360">
        <f>124/1540*100</f>
        <v>8.0519480519480524</v>
      </c>
      <c r="S575" s="522">
        <f>1500000+1240000+1500000+500000+10000</f>
        <v>4750000</v>
      </c>
      <c r="T575" s="360">
        <f>124/1540*100</f>
        <v>8.0519480519480524</v>
      </c>
      <c r="U575" s="522">
        <f>1500000+1240000+1500000+500000+10000</f>
        <v>4750000</v>
      </c>
      <c r="V575" s="529"/>
      <c r="W575" s="529"/>
      <c r="X575" s="529"/>
    </row>
    <row r="576" spans="2:24" s="165" customFormat="1">
      <c r="B576" s="48"/>
      <c r="C576" s="62"/>
      <c r="D576" s="63"/>
      <c r="E576" s="63"/>
      <c r="F576" s="64"/>
      <c r="G576" s="173" t="s">
        <v>4057</v>
      </c>
      <c r="H576" s="245">
        <v>104</v>
      </c>
      <c r="I576" s="245">
        <v>105</v>
      </c>
      <c r="J576" s="245">
        <v>100</v>
      </c>
      <c r="K576" s="522"/>
      <c r="L576" s="245">
        <v>100</v>
      </c>
      <c r="M576" s="522" t="s">
        <v>1798</v>
      </c>
      <c r="N576" s="245">
        <v>100</v>
      </c>
      <c r="O576" s="522" t="s">
        <v>1798</v>
      </c>
      <c r="P576" s="245">
        <v>100</v>
      </c>
      <c r="Q576" s="522" t="s">
        <v>1798</v>
      </c>
      <c r="R576" s="245">
        <v>100</v>
      </c>
      <c r="S576" s="522" t="s">
        <v>1798</v>
      </c>
      <c r="T576" s="245">
        <v>100</v>
      </c>
      <c r="U576" s="522" t="s">
        <v>1798</v>
      </c>
      <c r="V576" s="529"/>
      <c r="W576" s="529"/>
      <c r="X576" s="529"/>
    </row>
    <row r="577" spans="2:24" s="165" customFormat="1">
      <c r="B577" s="48"/>
      <c r="C577" s="62"/>
      <c r="D577" s="63"/>
      <c r="E577" s="63"/>
      <c r="F577" s="64"/>
      <c r="G577" s="173" t="s">
        <v>4058</v>
      </c>
      <c r="H577" s="245">
        <v>4</v>
      </c>
      <c r="I577" s="245">
        <v>5</v>
      </c>
      <c r="J577" s="245">
        <v>20</v>
      </c>
      <c r="K577" s="522"/>
      <c r="L577" s="245">
        <v>20</v>
      </c>
      <c r="M577" s="522"/>
      <c r="N577" s="245">
        <v>20</v>
      </c>
      <c r="O577" s="522"/>
      <c r="P577" s="245">
        <v>20</v>
      </c>
      <c r="Q577" s="522"/>
      <c r="R577" s="245">
        <v>20</v>
      </c>
      <c r="S577" s="522"/>
      <c r="T577" s="245">
        <v>20</v>
      </c>
      <c r="U577" s="522"/>
      <c r="V577" s="529"/>
      <c r="W577" s="529"/>
      <c r="X577" s="529"/>
    </row>
    <row r="578" spans="2:24" s="165" customFormat="1">
      <c r="B578" s="48"/>
      <c r="C578" s="62"/>
      <c r="D578" s="63"/>
      <c r="E578" s="63"/>
      <c r="F578" s="64"/>
      <c r="G578" s="173" t="s">
        <v>4059</v>
      </c>
      <c r="H578" s="245">
        <v>2</v>
      </c>
      <c r="I578" s="245">
        <v>0</v>
      </c>
      <c r="J578" s="245">
        <v>4</v>
      </c>
      <c r="K578" s="522"/>
      <c r="L578" s="245">
        <v>4</v>
      </c>
      <c r="M578" s="522"/>
      <c r="N578" s="245">
        <v>4</v>
      </c>
      <c r="O578" s="522"/>
      <c r="P578" s="245">
        <v>4</v>
      </c>
      <c r="Q578" s="522"/>
      <c r="R578" s="245">
        <v>4</v>
      </c>
      <c r="S578" s="522"/>
      <c r="T578" s="245">
        <v>4</v>
      </c>
      <c r="U578" s="522"/>
      <c r="V578" s="529"/>
      <c r="W578" s="529"/>
      <c r="X578" s="529"/>
    </row>
    <row r="579" spans="2:24" s="165" customFormat="1">
      <c r="B579" s="48"/>
      <c r="C579" s="62"/>
      <c r="D579" s="63"/>
      <c r="E579" s="63"/>
      <c r="F579" s="64"/>
      <c r="G579" s="173" t="s">
        <v>4060</v>
      </c>
      <c r="H579" s="245">
        <v>1540</v>
      </c>
      <c r="I579" s="245">
        <v>1540</v>
      </c>
      <c r="J579" s="245">
        <v>1540</v>
      </c>
      <c r="K579" s="522"/>
      <c r="L579" s="245">
        <v>1540</v>
      </c>
      <c r="M579" s="522"/>
      <c r="N579" s="245">
        <v>1540</v>
      </c>
      <c r="O579" s="522"/>
      <c r="P579" s="245">
        <v>1540</v>
      </c>
      <c r="Q579" s="522"/>
      <c r="R579" s="245">
        <v>1540</v>
      </c>
      <c r="S579" s="522"/>
      <c r="T579" s="245">
        <v>1540</v>
      </c>
      <c r="U579" s="522"/>
      <c r="V579" s="529"/>
      <c r="W579" s="529"/>
      <c r="X579" s="529"/>
    </row>
    <row r="580" spans="2:24" s="165" customFormat="1" ht="30">
      <c r="B580" s="48"/>
      <c r="C580" s="62"/>
      <c r="D580" s="63"/>
      <c r="E580" s="63"/>
      <c r="F580" s="64"/>
      <c r="G580" s="173" t="s">
        <v>4061</v>
      </c>
      <c r="H580" s="245">
        <f>H576+H577+H578</f>
        <v>110</v>
      </c>
      <c r="I580" s="245">
        <f>SUM(I576:I578)</f>
        <v>110</v>
      </c>
      <c r="J580" s="245">
        <f>SUM(J576:J578)</f>
        <v>124</v>
      </c>
      <c r="K580" s="522"/>
      <c r="L580" s="245">
        <f>SUM(L576:L578)</f>
        <v>124</v>
      </c>
      <c r="M580" s="522"/>
      <c r="N580" s="245">
        <f>SUM(N576:N578)</f>
        <v>124</v>
      </c>
      <c r="O580" s="522"/>
      <c r="P580" s="245">
        <v>124</v>
      </c>
      <c r="Q580" s="522"/>
      <c r="R580" s="245">
        <f>SUM(R576:R578)</f>
        <v>124</v>
      </c>
      <c r="S580" s="522"/>
      <c r="T580" s="245">
        <f>SUM(T576:T578)</f>
        <v>124</v>
      </c>
      <c r="U580" s="522"/>
      <c r="V580" s="529"/>
      <c r="W580" s="529"/>
      <c r="X580" s="529"/>
    </row>
    <row r="581" spans="2:24" s="165" customFormat="1" ht="90">
      <c r="B581" s="48"/>
      <c r="C581" s="62"/>
      <c r="D581" s="63"/>
      <c r="E581" s="63"/>
      <c r="F581" s="64"/>
      <c r="G581" s="173" t="s">
        <v>4062</v>
      </c>
      <c r="H581" s="522">
        <v>0</v>
      </c>
      <c r="I581" s="522">
        <v>0</v>
      </c>
      <c r="J581" s="522">
        <v>0</v>
      </c>
      <c r="K581" s="522">
        <v>0</v>
      </c>
      <c r="L581" s="522">
        <v>1</v>
      </c>
      <c r="M581" s="361">
        <f>15000000+1000000+1500000+(2250000*6)</f>
        <v>31000000</v>
      </c>
      <c r="N581" s="522">
        <v>1</v>
      </c>
      <c r="O581" s="361">
        <f>15000000+1000000+1500000+(2250000*6)+(0.1*31000000)</f>
        <v>34100000</v>
      </c>
      <c r="P581" s="522">
        <v>1</v>
      </c>
      <c r="Q581" s="361">
        <f>15000000+1000000+1500000+(2250000*6)+(0.1*34100000)</f>
        <v>34410000</v>
      </c>
      <c r="R581" s="522">
        <v>1</v>
      </c>
      <c r="S581" s="361">
        <f>15000000+1000000+1500000+(2250000*6)+(0.1*34410000)</f>
        <v>34441000</v>
      </c>
      <c r="T581" s="522">
        <v>1</v>
      </c>
      <c r="U581" s="361">
        <f>15000000+1000000+1500000+(2250000*6)+(0.1*34410000)</f>
        <v>34441000</v>
      </c>
      <c r="V581" s="529"/>
      <c r="W581" s="529"/>
      <c r="X581" s="529"/>
    </row>
    <row r="582" spans="2:24" s="165" customFormat="1" ht="45">
      <c r="B582" s="48"/>
      <c r="C582" s="62"/>
      <c r="D582" s="63"/>
      <c r="E582" s="63"/>
      <c r="F582" s="64"/>
      <c r="G582" s="173" t="s">
        <v>4063</v>
      </c>
      <c r="H582" s="245">
        <v>0</v>
      </c>
      <c r="I582" s="245">
        <v>0</v>
      </c>
      <c r="J582" s="245">
        <v>0</v>
      </c>
      <c r="K582" s="522">
        <v>11112500</v>
      </c>
      <c r="L582" s="245">
        <v>6</v>
      </c>
      <c r="M582" s="522">
        <f>K582+(0.1*K582)</f>
        <v>12223750</v>
      </c>
      <c r="N582" s="245">
        <v>6</v>
      </c>
      <c r="O582" s="522">
        <f>M582+(0.1*M582)</f>
        <v>13446125</v>
      </c>
      <c r="P582" s="245">
        <v>6</v>
      </c>
      <c r="Q582" s="522">
        <f>O582+(0.1*O582)</f>
        <v>14790737.5</v>
      </c>
      <c r="R582" s="245">
        <v>6</v>
      </c>
      <c r="S582" s="522">
        <f>Q582+(0.1*Q582)</f>
        <v>16269811.25</v>
      </c>
      <c r="T582" s="245">
        <v>6</v>
      </c>
      <c r="U582" s="522">
        <f>S582+(0.1*S582)</f>
        <v>17896792.375</v>
      </c>
      <c r="V582" s="529"/>
      <c r="W582" s="529"/>
      <c r="X582" s="529"/>
    </row>
    <row r="583" spans="2:24" s="165" customFormat="1" ht="45">
      <c r="B583" s="48"/>
      <c r="C583" s="62"/>
      <c r="D583" s="63"/>
      <c r="E583" s="63"/>
      <c r="F583" s="64"/>
      <c r="G583" s="173" t="s">
        <v>4064</v>
      </c>
      <c r="H583" s="245">
        <v>0</v>
      </c>
      <c r="I583" s="245">
        <v>0</v>
      </c>
      <c r="J583" s="245">
        <v>0</v>
      </c>
      <c r="K583" s="522">
        <v>19500000</v>
      </c>
      <c r="L583" s="245">
        <v>6</v>
      </c>
      <c r="M583" s="522">
        <f t="shared" ref="M583:M586" si="50">K583+(0.1*K583)</f>
        <v>21450000</v>
      </c>
      <c r="N583" s="245">
        <v>6</v>
      </c>
      <c r="O583" s="522">
        <f t="shared" ref="O583:O586" si="51">M583+(0.1*M583)</f>
        <v>23595000</v>
      </c>
      <c r="P583" s="245">
        <v>6</v>
      </c>
      <c r="Q583" s="522">
        <f t="shared" ref="Q583:Q586" si="52">O583+(0.1*O583)</f>
        <v>25954500</v>
      </c>
      <c r="R583" s="245">
        <v>6</v>
      </c>
      <c r="S583" s="522">
        <f t="shared" ref="S583:S586" si="53">Q583+(0.1*Q583)</f>
        <v>28549950</v>
      </c>
      <c r="T583" s="245">
        <v>6</v>
      </c>
      <c r="U583" s="522">
        <f t="shared" ref="U583:U586" si="54">S583+(0.1*S583)</f>
        <v>31404945</v>
      </c>
      <c r="V583" s="529"/>
      <c r="W583" s="529"/>
      <c r="X583" s="529"/>
    </row>
    <row r="584" spans="2:24" s="165" customFormat="1" ht="30">
      <c r="B584" s="48"/>
      <c r="C584" s="62"/>
      <c r="D584" s="63"/>
      <c r="E584" s="63"/>
      <c r="F584" s="64"/>
      <c r="G584" s="173" t="s">
        <v>4065</v>
      </c>
      <c r="H584" s="245">
        <v>0</v>
      </c>
      <c r="I584" s="245">
        <v>0</v>
      </c>
      <c r="J584" s="245">
        <v>0</v>
      </c>
      <c r="K584" s="522">
        <v>1290000</v>
      </c>
      <c r="L584" s="245">
        <v>4</v>
      </c>
      <c r="M584" s="522">
        <f t="shared" si="50"/>
        <v>1419000</v>
      </c>
      <c r="N584" s="245">
        <v>4</v>
      </c>
      <c r="O584" s="522">
        <f t="shared" si="51"/>
        <v>1560900</v>
      </c>
      <c r="P584" s="245">
        <v>4</v>
      </c>
      <c r="Q584" s="522">
        <f t="shared" si="52"/>
        <v>1716990</v>
      </c>
      <c r="R584" s="245">
        <v>4</v>
      </c>
      <c r="S584" s="522">
        <f t="shared" si="53"/>
        <v>1888689</v>
      </c>
      <c r="T584" s="245">
        <v>4</v>
      </c>
      <c r="U584" s="522">
        <f t="shared" si="54"/>
        <v>2077557.9</v>
      </c>
      <c r="V584" s="529"/>
      <c r="W584" s="529"/>
      <c r="X584" s="529"/>
    </row>
    <row r="585" spans="2:24" s="165" customFormat="1" ht="45">
      <c r="B585" s="48"/>
      <c r="C585" s="62"/>
      <c r="D585" s="63"/>
      <c r="E585" s="63"/>
      <c r="F585" s="64"/>
      <c r="G585" s="173" t="s">
        <v>4066</v>
      </c>
      <c r="H585" s="245">
        <v>0</v>
      </c>
      <c r="I585" s="245">
        <v>0</v>
      </c>
      <c r="J585" s="245">
        <v>0</v>
      </c>
      <c r="K585" s="522">
        <v>9262500</v>
      </c>
      <c r="L585" s="245">
        <v>6</v>
      </c>
      <c r="M585" s="522">
        <f t="shared" si="50"/>
        <v>10188750</v>
      </c>
      <c r="N585" s="245">
        <v>6</v>
      </c>
      <c r="O585" s="522">
        <f t="shared" si="51"/>
        <v>11207625</v>
      </c>
      <c r="P585" s="245">
        <v>6</v>
      </c>
      <c r="Q585" s="522">
        <f t="shared" si="52"/>
        <v>12328387.5</v>
      </c>
      <c r="R585" s="245">
        <v>6</v>
      </c>
      <c r="S585" s="522">
        <f t="shared" si="53"/>
        <v>13561226.25</v>
      </c>
      <c r="T585" s="245">
        <v>6</v>
      </c>
      <c r="U585" s="522">
        <f t="shared" si="54"/>
        <v>14917348.875</v>
      </c>
      <c r="V585" s="529"/>
      <c r="W585" s="529"/>
      <c r="X585" s="529"/>
    </row>
    <row r="586" spans="2:24" s="165" customFormat="1" ht="60">
      <c r="B586" s="48"/>
      <c r="C586" s="62"/>
      <c r="D586" s="63"/>
      <c r="E586" s="63"/>
      <c r="F586" s="64"/>
      <c r="G586" s="173" t="s">
        <v>4067</v>
      </c>
      <c r="H586" s="522">
        <v>1</v>
      </c>
      <c r="I586" s="522">
        <v>1</v>
      </c>
      <c r="J586" s="522">
        <v>1</v>
      </c>
      <c r="K586" s="522">
        <v>0</v>
      </c>
      <c r="L586" s="245">
        <v>1</v>
      </c>
      <c r="M586" s="522">
        <f t="shared" si="50"/>
        <v>0</v>
      </c>
      <c r="N586" s="245">
        <v>1</v>
      </c>
      <c r="O586" s="522">
        <f t="shared" si="51"/>
        <v>0</v>
      </c>
      <c r="P586" s="245">
        <v>1</v>
      </c>
      <c r="Q586" s="522">
        <f t="shared" si="52"/>
        <v>0</v>
      </c>
      <c r="R586" s="245">
        <v>1</v>
      </c>
      <c r="S586" s="522">
        <f t="shared" si="53"/>
        <v>0</v>
      </c>
      <c r="T586" s="245">
        <v>1</v>
      </c>
      <c r="U586" s="522">
        <f t="shared" si="54"/>
        <v>0</v>
      </c>
      <c r="V586" s="529"/>
      <c r="W586" s="529"/>
      <c r="X586" s="529"/>
    </row>
    <row r="587" spans="2:24" s="165" customFormat="1" ht="30">
      <c r="B587" s="48"/>
      <c r="C587" s="62"/>
      <c r="D587" s="63"/>
      <c r="E587" s="63"/>
      <c r="F587" s="64"/>
      <c r="G587" s="173" t="s">
        <v>4068</v>
      </c>
      <c r="H587" s="522">
        <v>237</v>
      </c>
      <c r="I587" s="522">
        <v>44</v>
      </c>
      <c r="J587" s="522">
        <v>8</v>
      </c>
      <c r="K587" s="522">
        <v>190000000</v>
      </c>
      <c r="L587" s="522">
        <v>0</v>
      </c>
      <c r="M587" s="522"/>
      <c r="N587" s="522">
        <v>0</v>
      </c>
      <c r="O587" s="522"/>
      <c r="P587" s="522">
        <v>0</v>
      </c>
      <c r="Q587" s="522"/>
      <c r="R587" s="522">
        <v>0</v>
      </c>
      <c r="S587" s="522" t="s">
        <v>1798</v>
      </c>
      <c r="T587" s="522">
        <v>0</v>
      </c>
      <c r="U587" s="522" t="s">
        <v>1798</v>
      </c>
      <c r="V587" s="529"/>
      <c r="W587" s="529"/>
      <c r="X587" s="529"/>
    </row>
    <row r="588" spans="2:24" s="165" customFormat="1" ht="75">
      <c r="B588" s="48"/>
      <c r="C588" s="62"/>
      <c r="D588" s="63"/>
      <c r="E588" s="63"/>
      <c r="F588" s="64"/>
      <c r="G588" s="173" t="s">
        <v>4069</v>
      </c>
      <c r="H588" s="246">
        <f>830000000/23700000000*100</f>
        <v>3.5021097046413501</v>
      </c>
      <c r="I588" s="246">
        <f>390000000/28100000000*100</f>
        <v>1.3879003558718861</v>
      </c>
      <c r="J588" s="246">
        <f>810000000/28900000000*100</f>
        <v>2.8027681660899653</v>
      </c>
      <c r="K588" s="522" t="s">
        <v>1798</v>
      </c>
      <c r="L588" s="246">
        <v>0</v>
      </c>
      <c r="M588" s="522"/>
      <c r="N588" s="246">
        <v>0</v>
      </c>
      <c r="O588" s="522" t="s">
        <v>1798</v>
      </c>
      <c r="P588" s="246">
        <v>0</v>
      </c>
      <c r="Q588" s="522" t="s">
        <v>1798</v>
      </c>
      <c r="R588" s="246">
        <v>0</v>
      </c>
      <c r="S588" s="522" t="s">
        <v>1798</v>
      </c>
      <c r="T588" s="246">
        <v>0</v>
      </c>
      <c r="U588" s="522" t="s">
        <v>1798</v>
      </c>
      <c r="V588" s="529"/>
      <c r="W588" s="529"/>
      <c r="X588" s="529"/>
    </row>
    <row r="589" spans="2:24" s="165" customFormat="1">
      <c r="B589" s="48"/>
      <c r="C589" s="62"/>
      <c r="D589" s="63"/>
      <c r="E589" s="63"/>
      <c r="F589" s="64"/>
      <c r="G589" s="173" t="s">
        <v>4070</v>
      </c>
      <c r="H589" s="362">
        <v>830000000</v>
      </c>
      <c r="I589" s="362">
        <v>390000000</v>
      </c>
      <c r="K589" s="362"/>
      <c r="L589" s="522"/>
      <c r="M589" s="522"/>
      <c r="N589" s="522"/>
      <c r="O589" s="522"/>
      <c r="P589" s="522"/>
      <c r="Q589" s="522"/>
      <c r="R589" s="522"/>
      <c r="S589" s="522"/>
      <c r="T589" s="522"/>
      <c r="U589" s="522"/>
      <c r="V589" s="529"/>
      <c r="W589" s="529"/>
      <c r="X589" s="529"/>
    </row>
    <row r="590" spans="2:24" s="165" customFormat="1">
      <c r="B590" s="48"/>
      <c r="C590" s="62"/>
      <c r="D590" s="63"/>
      <c r="E590" s="63"/>
      <c r="F590" s="64"/>
      <c r="G590" s="173" t="s">
        <v>4071</v>
      </c>
      <c r="H590" s="362">
        <f>237*100000000</f>
        <v>23700000000</v>
      </c>
      <c r="I590" s="362">
        <f>281*100000000</f>
        <v>28100000000</v>
      </c>
      <c r="K590" s="362"/>
      <c r="L590" s="522"/>
      <c r="M590" s="522"/>
      <c r="N590" s="522"/>
      <c r="O590" s="522"/>
      <c r="P590" s="522"/>
      <c r="Q590" s="522"/>
      <c r="R590" s="522"/>
      <c r="S590" s="522"/>
      <c r="T590" s="522"/>
      <c r="U590" s="522"/>
      <c r="V590" s="529"/>
      <c r="W590" s="529"/>
      <c r="X590" s="529"/>
    </row>
    <row r="591" spans="2:24" s="165" customFormat="1" ht="30">
      <c r="B591" s="48"/>
      <c r="C591" s="62"/>
      <c r="D591" s="63"/>
      <c r="E591" s="63"/>
      <c r="F591" s="64"/>
      <c r="G591" s="173" t="s">
        <v>4072</v>
      </c>
      <c r="H591" s="245">
        <f>3</f>
        <v>3</v>
      </c>
      <c r="I591" s="245">
        <f>4</f>
        <v>4</v>
      </c>
      <c r="J591" s="245">
        <f>10</f>
        <v>10</v>
      </c>
      <c r="K591" s="522"/>
      <c r="L591" s="245">
        <v>0</v>
      </c>
      <c r="M591" s="522"/>
      <c r="N591" s="245">
        <v>0</v>
      </c>
      <c r="O591" s="522"/>
      <c r="P591" s="245">
        <v>0</v>
      </c>
      <c r="Q591" s="522"/>
      <c r="R591" s="245">
        <v>0</v>
      </c>
      <c r="S591" s="522" t="s">
        <v>1798</v>
      </c>
      <c r="T591" s="245">
        <v>0</v>
      </c>
      <c r="U591" s="522" t="s">
        <v>1798</v>
      </c>
      <c r="V591" s="529"/>
      <c r="W591" s="529"/>
      <c r="X591" s="529"/>
    </row>
    <row r="592" spans="2:24" s="165" customFormat="1" ht="60">
      <c r="B592" s="48"/>
      <c r="C592" s="62"/>
      <c r="D592" s="63"/>
      <c r="E592" s="63"/>
      <c r="F592" s="64"/>
      <c r="G592" s="173" t="s">
        <v>4073</v>
      </c>
      <c r="H592" s="522">
        <f>0</f>
        <v>0</v>
      </c>
      <c r="I592" s="245">
        <f>1</f>
        <v>1</v>
      </c>
      <c r="J592" s="245">
        <v>10</v>
      </c>
      <c r="K592" s="522"/>
      <c r="L592" s="245">
        <v>0</v>
      </c>
      <c r="M592" s="522" t="s">
        <v>1798</v>
      </c>
      <c r="N592" s="245">
        <v>0</v>
      </c>
      <c r="O592" s="522" t="s">
        <v>1798</v>
      </c>
      <c r="P592" s="245">
        <v>0</v>
      </c>
      <c r="Q592" s="522" t="s">
        <v>1798</v>
      </c>
      <c r="R592" s="245">
        <v>0</v>
      </c>
      <c r="S592" s="522" t="s">
        <v>1798</v>
      </c>
      <c r="T592" s="245">
        <v>0</v>
      </c>
      <c r="U592" s="522" t="s">
        <v>1798</v>
      </c>
      <c r="V592" s="529"/>
      <c r="W592" s="529"/>
      <c r="X592" s="529"/>
    </row>
    <row r="593" spans="1:32" s="165" customFormat="1" ht="75">
      <c r="B593" s="48"/>
      <c r="C593" s="62"/>
      <c r="D593" s="63"/>
      <c r="E593" s="63"/>
      <c r="F593" s="64"/>
      <c r="G593" s="173" t="s">
        <v>4074</v>
      </c>
      <c r="H593" s="522">
        <v>0</v>
      </c>
      <c r="I593" s="522">
        <v>0</v>
      </c>
      <c r="J593" s="522">
        <v>0</v>
      </c>
      <c r="K593" s="522">
        <v>0</v>
      </c>
      <c r="L593" s="360">
        <f>1000000000/28900000000*100</f>
        <v>3.4602076124567476</v>
      </c>
      <c r="M593" s="522">
        <v>30000000</v>
      </c>
      <c r="N593" s="360">
        <f>1000000000/28900000000*100</f>
        <v>3.4602076124567476</v>
      </c>
      <c r="O593" s="747">
        <v>30000000</v>
      </c>
      <c r="P593" s="360">
        <f>1000000000/28900000000*100</f>
        <v>3.4602076124567476</v>
      </c>
      <c r="Q593" s="747">
        <v>30000000</v>
      </c>
      <c r="R593" s="360">
        <f>1000000000/28900000000*100</f>
        <v>3.4602076124567476</v>
      </c>
      <c r="S593" s="747">
        <v>30000000</v>
      </c>
      <c r="T593" s="360">
        <f>1000000000/28900000000*100</f>
        <v>3.4602076124567476</v>
      </c>
      <c r="U593" s="522">
        <f>60000000+60000000+12000000+2500000</f>
        <v>134500000</v>
      </c>
      <c r="V593" s="529"/>
      <c r="W593" s="529"/>
      <c r="X593" s="529"/>
    </row>
    <row r="594" spans="1:32" s="165" customFormat="1">
      <c r="B594" s="48"/>
      <c r="C594" s="62"/>
      <c r="D594" s="63"/>
      <c r="E594" s="63"/>
      <c r="F594" s="64"/>
      <c r="G594" s="173" t="s">
        <v>4070</v>
      </c>
      <c r="H594" s="522">
        <v>0</v>
      </c>
      <c r="I594" s="246"/>
      <c r="J594" s="246"/>
      <c r="K594" s="364">
        <v>0</v>
      </c>
      <c r="M594" s="522">
        <v>500000000</v>
      </c>
      <c r="O594" s="747">
        <v>500000000</v>
      </c>
      <c r="P594" s="522">
        <v>15</v>
      </c>
      <c r="Q594" s="747">
        <v>500000000</v>
      </c>
      <c r="R594" s="522">
        <v>15</v>
      </c>
      <c r="S594" s="747">
        <v>500000000</v>
      </c>
      <c r="T594" s="522">
        <v>15</v>
      </c>
      <c r="U594" s="522">
        <v>1000000000</v>
      </c>
      <c r="V594" s="529"/>
      <c r="W594" s="529"/>
      <c r="X594" s="529"/>
    </row>
    <row r="595" spans="1:32" s="165" customFormat="1">
      <c r="B595" s="48"/>
      <c r="C595" s="62"/>
      <c r="D595" s="63"/>
      <c r="E595" s="63"/>
      <c r="F595" s="64"/>
      <c r="G595" s="173" t="s">
        <v>4071</v>
      </c>
      <c r="H595" s="522">
        <v>0</v>
      </c>
      <c r="I595" s="246"/>
      <c r="J595" s="246"/>
      <c r="K595" s="522">
        <v>0</v>
      </c>
      <c r="M595" s="530"/>
      <c r="O595" s="530"/>
      <c r="P595" s="530">
        <v>15</v>
      </c>
      <c r="Q595" s="530"/>
      <c r="R595" s="530">
        <v>15</v>
      </c>
      <c r="S595" s="530"/>
      <c r="T595" s="530">
        <v>15</v>
      </c>
      <c r="U595" s="530">
        <v>28900000000</v>
      </c>
      <c r="V595" s="529"/>
      <c r="W595" s="529"/>
      <c r="X595" s="529"/>
    </row>
    <row r="596" spans="1:32" s="165" customFormat="1" ht="60">
      <c r="B596" s="48"/>
      <c r="C596" s="62"/>
      <c r="D596" s="63"/>
      <c r="E596" s="63"/>
      <c r="F596" s="64"/>
      <c r="G596" s="403" t="s">
        <v>4075</v>
      </c>
      <c r="H596" s="245">
        <v>0</v>
      </c>
      <c r="I596" s="245">
        <v>0</v>
      </c>
      <c r="J596" s="245">
        <v>0</v>
      </c>
      <c r="K596" s="522"/>
      <c r="L596" s="245">
        <f>15</f>
        <v>15</v>
      </c>
      <c r="M596" s="522"/>
      <c r="N596" s="245">
        <v>15</v>
      </c>
      <c r="O596" s="522"/>
      <c r="P596" s="245">
        <v>15</v>
      </c>
      <c r="Q596" s="522"/>
      <c r="R596" s="245">
        <v>15</v>
      </c>
      <c r="S596" s="522" t="s">
        <v>1798</v>
      </c>
      <c r="T596" s="245">
        <v>15</v>
      </c>
      <c r="U596" s="522" t="s">
        <v>1798</v>
      </c>
      <c r="V596" s="529"/>
      <c r="W596" s="529"/>
      <c r="X596" s="529"/>
    </row>
    <row r="597" spans="1:32" s="165" customFormat="1" ht="60">
      <c r="B597" s="48"/>
      <c r="C597" s="62"/>
      <c r="D597" s="63"/>
      <c r="E597" s="63"/>
      <c r="F597" s="64"/>
      <c r="G597" s="173" t="s">
        <v>4076</v>
      </c>
      <c r="H597" s="245">
        <f>0</f>
        <v>0</v>
      </c>
      <c r="I597" s="245">
        <v>0</v>
      </c>
      <c r="J597" s="245">
        <v>0</v>
      </c>
      <c r="K597" s="522"/>
      <c r="L597" s="245">
        <v>15</v>
      </c>
      <c r="M597" s="522" t="s">
        <v>1798</v>
      </c>
      <c r="N597" s="245">
        <v>15</v>
      </c>
      <c r="O597" s="522" t="s">
        <v>1798</v>
      </c>
      <c r="P597" s="245">
        <v>15</v>
      </c>
      <c r="Q597" s="522" t="s">
        <v>1798</v>
      </c>
      <c r="R597" s="245">
        <v>15</v>
      </c>
      <c r="S597" s="522" t="s">
        <v>1798</v>
      </c>
      <c r="T597" s="245">
        <v>15</v>
      </c>
      <c r="U597" s="522" t="s">
        <v>1798</v>
      </c>
      <c r="V597" s="529"/>
      <c r="W597" s="529"/>
      <c r="X597" s="529"/>
    </row>
    <row r="598" spans="1:32" s="165" customFormat="1" ht="45">
      <c r="B598" s="48"/>
      <c r="C598" s="62"/>
      <c r="D598" s="63"/>
      <c r="E598" s="63"/>
      <c r="F598" s="64"/>
      <c r="G598" s="173" t="s">
        <v>4077</v>
      </c>
      <c r="H598" s="245">
        <v>40</v>
      </c>
      <c r="I598" s="245">
        <v>10</v>
      </c>
      <c r="J598" s="245">
        <v>5</v>
      </c>
      <c r="K598" s="522">
        <v>50000000</v>
      </c>
      <c r="L598" s="245">
        <v>10</v>
      </c>
      <c r="M598" s="522">
        <v>75000000</v>
      </c>
      <c r="N598" s="245">
        <v>10</v>
      </c>
      <c r="O598" s="522">
        <v>80000000</v>
      </c>
      <c r="P598" s="245">
        <v>10</v>
      </c>
      <c r="Q598" s="529"/>
      <c r="R598" s="529"/>
      <c r="S598" s="529"/>
      <c r="T598" s="529"/>
      <c r="U598" s="529"/>
      <c r="V598" s="529"/>
      <c r="W598" s="529"/>
      <c r="X598" s="529"/>
    </row>
    <row r="599" spans="1:32" s="165" customFormat="1" ht="75">
      <c r="B599" s="48"/>
      <c r="C599" s="62"/>
      <c r="D599" s="63"/>
      <c r="E599" s="63"/>
      <c r="F599" s="64"/>
      <c r="G599" s="403" t="s">
        <v>4078</v>
      </c>
      <c r="H599" s="246">
        <f>1/1540*100</f>
        <v>6.4935064935064929E-2</v>
      </c>
      <c r="I599" s="246">
        <f>3/1540*100</f>
        <v>0.19480519480519481</v>
      </c>
      <c r="J599" s="246">
        <f>3/1540*100</f>
        <v>0.19480519480519481</v>
      </c>
      <c r="K599" s="522">
        <v>269190000</v>
      </c>
      <c r="L599" s="246">
        <f>3/1540*100</f>
        <v>0.19480519480519481</v>
      </c>
      <c r="M599" s="522">
        <v>150000000</v>
      </c>
      <c r="N599" s="246">
        <f>3/1540*100</f>
        <v>0.19480519480519481</v>
      </c>
      <c r="O599" s="522">
        <v>175000000</v>
      </c>
      <c r="P599" s="246">
        <f>3/1540*100</f>
        <v>0.19480519480519481</v>
      </c>
      <c r="Q599" s="522">
        <v>200000000</v>
      </c>
      <c r="R599" s="246">
        <f>3/1540*100</f>
        <v>0.19480519480519481</v>
      </c>
      <c r="S599" s="522">
        <v>200000000</v>
      </c>
      <c r="T599" s="246">
        <f>3/1540*100</f>
        <v>0.19480519480519481</v>
      </c>
      <c r="U599" s="522">
        <v>200000000</v>
      </c>
      <c r="V599" s="529"/>
      <c r="W599" s="529"/>
      <c r="X599" s="529"/>
    </row>
    <row r="600" spans="1:32" s="165" customFormat="1" ht="75">
      <c r="B600" s="48"/>
      <c r="C600" s="62"/>
      <c r="D600" s="63"/>
      <c r="E600" s="63"/>
      <c r="F600" s="64"/>
      <c r="G600" s="173" t="s">
        <v>4079</v>
      </c>
      <c r="H600" s="246">
        <f>16/1540*100</f>
        <v>1.0389610389610389</v>
      </c>
      <c r="I600" s="246">
        <f>14/1540*100</f>
        <v>0.90909090909090906</v>
      </c>
      <c r="J600" s="246">
        <f>25/1540*100</f>
        <v>1.6233766233766231</v>
      </c>
      <c r="K600" s="522">
        <v>75000000</v>
      </c>
      <c r="L600" s="246">
        <f>25/1540*100</f>
        <v>1.6233766233766231</v>
      </c>
      <c r="M600" s="522">
        <v>80000000</v>
      </c>
      <c r="N600" s="246">
        <f>25/1540*100</f>
        <v>1.6233766233766231</v>
      </c>
      <c r="O600" s="522">
        <v>80000000</v>
      </c>
      <c r="P600" s="246">
        <f>25/1540*100</f>
        <v>1.6233766233766231</v>
      </c>
      <c r="Q600" s="522">
        <v>80000000</v>
      </c>
      <c r="R600" s="246">
        <f>25/1540*100</f>
        <v>1.6233766233766231</v>
      </c>
      <c r="S600" s="522">
        <v>80000000</v>
      </c>
      <c r="T600" s="246">
        <f>25/1540*100</f>
        <v>1.6233766233766231</v>
      </c>
      <c r="U600" s="522">
        <v>80000000</v>
      </c>
      <c r="V600" s="529"/>
      <c r="W600" s="529"/>
      <c r="X600" s="529"/>
    </row>
    <row r="601" spans="1:32" s="165" customFormat="1" ht="30">
      <c r="B601" s="48"/>
      <c r="C601" s="62"/>
      <c r="D601" s="63"/>
      <c r="E601" s="63"/>
      <c r="F601" s="64"/>
      <c r="G601" s="173" t="s">
        <v>4080</v>
      </c>
      <c r="H601" s="52">
        <v>0</v>
      </c>
      <c r="I601" s="52">
        <v>20</v>
      </c>
      <c r="J601" s="52">
        <v>180</v>
      </c>
      <c r="K601" s="522">
        <v>7000000</v>
      </c>
      <c r="L601" s="52">
        <v>150</v>
      </c>
      <c r="M601" s="522">
        <v>6000000</v>
      </c>
      <c r="N601" s="52">
        <v>20</v>
      </c>
      <c r="O601" s="522">
        <v>6000000</v>
      </c>
      <c r="P601" s="52">
        <v>20</v>
      </c>
      <c r="Q601" s="522">
        <v>6000000</v>
      </c>
      <c r="R601" s="52">
        <v>20</v>
      </c>
      <c r="S601" s="522">
        <v>6000000</v>
      </c>
      <c r="T601" s="52">
        <v>20</v>
      </c>
      <c r="U601" s="522">
        <v>6000000</v>
      </c>
      <c r="V601" s="529"/>
      <c r="W601" s="529"/>
      <c r="X601" s="529"/>
    </row>
    <row r="602" spans="1:32" s="165" customFormat="1" ht="60">
      <c r="B602" s="48"/>
      <c r="C602" s="62"/>
      <c r="D602" s="63"/>
      <c r="E602" s="63"/>
      <c r="F602" s="64"/>
      <c r="G602" s="173" t="s">
        <v>4081</v>
      </c>
      <c r="H602" s="52">
        <v>0</v>
      </c>
      <c r="I602" s="52">
        <v>0</v>
      </c>
      <c r="J602" s="246">
        <f>10/1540*100</f>
        <v>0.64935064935064934</v>
      </c>
      <c r="K602" s="361">
        <v>50000000</v>
      </c>
      <c r="L602" s="246">
        <f>10/1540*100</f>
        <v>0.64935064935064934</v>
      </c>
      <c r="M602" s="361">
        <v>50000000</v>
      </c>
      <c r="N602" s="246">
        <f>20/1540*100</f>
        <v>1.2987012987012987</v>
      </c>
      <c r="O602" s="361">
        <v>50000000</v>
      </c>
      <c r="P602" s="246">
        <f>30/1540*100</f>
        <v>1.948051948051948</v>
      </c>
      <c r="Q602" s="361">
        <v>50000000</v>
      </c>
      <c r="R602" s="246">
        <f>40/1540*100</f>
        <v>2.5974025974025974</v>
      </c>
      <c r="S602" s="361">
        <v>50000000</v>
      </c>
      <c r="T602" s="246">
        <f>40/1540*100</f>
        <v>2.5974025974025974</v>
      </c>
      <c r="U602" s="361">
        <v>50000000</v>
      </c>
      <c r="V602" s="529"/>
      <c r="W602" s="529"/>
      <c r="X602" s="529"/>
    </row>
    <row r="603" spans="1:32" s="165" customFormat="1" ht="75">
      <c r="B603" s="48"/>
      <c r="C603" s="62"/>
      <c r="D603" s="63"/>
      <c r="E603" s="63"/>
      <c r="F603" s="64"/>
      <c r="G603" s="173" t="s">
        <v>4082</v>
      </c>
      <c r="H603" s="52">
        <v>0</v>
      </c>
      <c r="I603" s="365">
        <v>100</v>
      </c>
      <c r="J603" s="52" t="s">
        <v>4083</v>
      </c>
      <c r="K603" s="522">
        <f>1200000+2400000+1500000+500000+1000000+(10000000)</f>
        <v>16600000</v>
      </c>
      <c r="L603" s="52" t="s">
        <v>4084</v>
      </c>
      <c r="M603" s="522">
        <f>6600000+(0.1*6600000)+(10000000)</f>
        <v>17260000</v>
      </c>
      <c r="N603" s="52" t="s">
        <v>4084</v>
      </c>
      <c r="O603" s="522">
        <f>7260000+(0.1*7260000)+(10000000)</f>
        <v>17986000</v>
      </c>
      <c r="P603" s="52" t="s">
        <v>4084</v>
      </c>
      <c r="Q603" s="522">
        <f>7986000+(0.1*7986000)+(10000000)</f>
        <v>18784600</v>
      </c>
      <c r="R603" s="52" t="s">
        <v>4084</v>
      </c>
      <c r="S603" s="522">
        <f>8784600+(0.1*8784600)+(10000000)</f>
        <v>19663060</v>
      </c>
      <c r="T603" s="52" t="s">
        <v>4084</v>
      </c>
      <c r="U603" s="522">
        <f>8784600+(0.1*8784600)+(10000000)</f>
        <v>19663060</v>
      </c>
      <c r="V603" s="529"/>
      <c r="W603" s="529"/>
      <c r="X603" s="529"/>
    </row>
    <row r="604" spans="1:32" s="540" customFormat="1" ht="45">
      <c r="B604" s="545"/>
      <c r="C604" s="593" t="str">
        <f>'[4]matrik MISI 1'!P46</f>
        <v>2.01</v>
      </c>
      <c r="D604" s="594" t="str">
        <f>'[4]matrik MISI 1'!Q46</f>
        <v>xx</v>
      </c>
      <c r="E604" s="594">
        <f>'[4]matrik MISI 1'!R46</f>
        <v>27</v>
      </c>
      <c r="F604" s="595" t="str">
        <f>'[4]matrik MISI 1'!S46</f>
        <v>Program Pengembangan Agribisnis</v>
      </c>
      <c r="G604" s="548"/>
      <c r="H604" s="551"/>
      <c r="I604" s="551"/>
      <c r="J604" s="551"/>
      <c r="K604" s="551">
        <f>SUM(K605:K606)</f>
        <v>125000000</v>
      </c>
      <c r="L604" s="551">
        <f t="shared" ref="L604:U604" si="55">SUM(L605:L606)</f>
        <v>0</v>
      </c>
      <c r="M604" s="551">
        <f t="shared" si="55"/>
        <v>550000000</v>
      </c>
      <c r="N604" s="551">
        <f t="shared" si="55"/>
        <v>0</v>
      </c>
      <c r="O604" s="551">
        <f t="shared" si="55"/>
        <v>550000000</v>
      </c>
      <c r="P604" s="551">
        <f t="shared" si="55"/>
        <v>0</v>
      </c>
      <c r="Q604" s="551">
        <f t="shared" si="55"/>
        <v>550000000</v>
      </c>
      <c r="R604" s="551">
        <f t="shared" si="55"/>
        <v>0</v>
      </c>
      <c r="S604" s="551">
        <f t="shared" si="55"/>
        <v>540000000</v>
      </c>
      <c r="T604" s="551">
        <f t="shared" si="55"/>
        <v>0</v>
      </c>
      <c r="U604" s="551">
        <f t="shared" si="55"/>
        <v>190000000</v>
      </c>
      <c r="V604" s="551"/>
      <c r="W604" s="551"/>
      <c r="X604" s="551" t="str">
        <f>'[4]matrik MISI 1'!AF46</f>
        <v>DINTANBUNHUT</v>
      </c>
    </row>
    <row r="605" spans="1:32" s="165" customFormat="1" ht="165">
      <c r="B605" s="48"/>
      <c r="C605" s="62"/>
      <c r="D605" s="63"/>
      <c r="E605" s="63"/>
      <c r="F605" s="64"/>
      <c r="G605" s="420" t="s">
        <v>3985</v>
      </c>
      <c r="H605" s="150" t="s">
        <v>743</v>
      </c>
      <c r="I605" s="150" t="s">
        <v>3986</v>
      </c>
      <c r="J605" s="354" t="s">
        <v>3987</v>
      </c>
      <c r="K605" s="353">
        <v>25000000</v>
      </c>
      <c r="L605" s="354" t="s">
        <v>3987</v>
      </c>
      <c r="M605" s="353">
        <v>50000000</v>
      </c>
      <c r="N605" s="354" t="s">
        <v>3987</v>
      </c>
      <c r="O605" s="353">
        <v>50000000</v>
      </c>
      <c r="P605" s="354" t="s">
        <v>3987</v>
      </c>
      <c r="Q605" s="353">
        <v>50000000</v>
      </c>
      <c r="R605" s="354" t="s">
        <v>3987</v>
      </c>
      <c r="S605" s="353">
        <v>40000000</v>
      </c>
      <c r="T605" s="354" t="s">
        <v>3987</v>
      </c>
      <c r="U605" s="353">
        <v>40000000</v>
      </c>
      <c r="V605" s="529"/>
      <c r="W605" s="529"/>
      <c r="X605" s="529"/>
    </row>
    <row r="606" spans="1:32" s="165" customFormat="1" ht="165">
      <c r="B606" s="48"/>
      <c r="C606" s="62"/>
      <c r="D606" s="63"/>
      <c r="E606" s="63"/>
      <c r="F606" s="64"/>
      <c r="G606" s="420" t="s">
        <v>3985</v>
      </c>
      <c r="H606" s="150" t="s">
        <v>743</v>
      </c>
      <c r="I606" s="150" t="s">
        <v>3988</v>
      </c>
      <c r="J606" s="354" t="s">
        <v>3989</v>
      </c>
      <c r="K606" s="353">
        <v>100000000</v>
      </c>
      <c r="L606" s="353" t="s">
        <v>3987</v>
      </c>
      <c r="M606" s="353">
        <v>500000000</v>
      </c>
      <c r="N606" s="353" t="s">
        <v>3987</v>
      </c>
      <c r="O606" s="353">
        <v>500000000</v>
      </c>
      <c r="P606" s="353" t="s">
        <v>3987</v>
      </c>
      <c r="Q606" s="353">
        <v>500000000</v>
      </c>
      <c r="R606" s="353" t="s">
        <v>3987</v>
      </c>
      <c r="S606" s="353">
        <v>500000000</v>
      </c>
      <c r="T606" s="353" t="s">
        <v>3987</v>
      </c>
      <c r="U606" s="353">
        <v>150000000</v>
      </c>
      <c r="V606" s="529"/>
      <c r="W606" s="529"/>
      <c r="X606" s="529"/>
    </row>
    <row r="607" spans="1:32" s="280" customFormat="1" ht="30" customHeight="1">
      <c r="A607" s="285"/>
      <c r="B607" s="1093" t="s">
        <v>4259</v>
      </c>
      <c r="C607" s="1094"/>
      <c r="D607" s="1094"/>
      <c r="E607" s="1094"/>
      <c r="F607" s="1094"/>
      <c r="G607" s="1095"/>
      <c r="H607" s="342"/>
      <c r="I607" s="342"/>
      <c r="J607" s="342"/>
      <c r="K607" s="342">
        <f>SUM(K499:K606)</f>
        <v>31390099700</v>
      </c>
      <c r="L607" s="342"/>
      <c r="M607" s="342">
        <f t="shared" ref="M607:U607" si="56">SUM(M499:M606)</f>
        <v>34004972600</v>
      </c>
      <c r="N607" s="342"/>
      <c r="O607" s="342">
        <f t="shared" si="56"/>
        <v>34608333380</v>
      </c>
      <c r="P607" s="342"/>
      <c r="Q607" s="342">
        <f t="shared" si="56"/>
        <v>35314219134</v>
      </c>
      <c r="R607" s="342"/>
      <c r="S607" s="342">
        <f t="shared" si="56"/>
        <v>35707036508.199997</v>
      </c>
      <c r="T607" s="342"/>
      <c r="U607" s="342">
        <f t="shared" si="56"/>
        <v>91688090443.5</v>
      </c>
      <c r="V607" s="342">
        <f t="shared" ref="V607:W607" si="57">SUM(V597:V605)</f>
        <v>0</v>
      </c>
      <c r="W607" s="342">
        <f t="shared" si="57"/>
        <v>0</v>
      </c>
      <c r="X607" s="342"/>
      <c r="Y607" s="285"/>
      <c r="Z607" s="285"/>
      <c r="AA607" s="285"/>
      <c r="AB607" s="285"/>
      <c r="AC607" s="285"/>
      <c r="AD607" s="285"/>
      <c r="AE607" s="285"/>
      <c r="AF607" s="285"/>
    </row>
    <row r="608" spans="1:32">
      <c r="A608" s="165">
        <v>1</v>
      </c>
      <c r="B608" s="62" t="str">
        <f>'[4]matrik MISI 1'!B100</f>
        <v>KEHUTANAN</v>
      </c>
      <c r="C608" s="56"/>
      <c r="D608" s="57"/>
      <c r="E608" s="57"/>
      <c r="F608" s="58"/>
      <c r="G608" s="58"/>
      <c r="H608" s="529"/>
      <c r="I608" s="529"/>
      <c r="J608" s="529"/>
      <c r="K608" s="529"/>
      <c r="L608" s="529"/>
      <c r="M608" s="529"/>
      <c r="N608" s="529"/>
      <c r="O608" s="529"/>
      <c r="P608" s="529"/>
      <c r="Q608" s="529"/>
      <c r="R608" s="529"/>
      <c r="S608" s="529"/>
      <c r="T608" s="529"/>
      <c r="U608" s="529"/>
      <c r="V608" s="529"/>
      <c r="W608" s="529"/>
      <c r="X608" s="529"/>
      <c r="Y608" s="165"/>
      <c r="Z608" s="165"/>
      <c r="AA608" s="165"/>
      <c r="AB608" s="165"/>
      <c r="AC608" s="165"/>
      <c r="AD608" s="165"/>
      <c r="AE608" s="165"/>
      <c r="AF608" s="165"/>
    </row>
    <row r="609" spans="1:32" s="540" customFormat="1" ht="30">
      <c r="B609" s="545"/>
      <c r="C609" s="591" t="str">
        <f>'[4]matrik MISI 1'!P101</f>
        <v>2.02</v>
      </c>
      <c r="D609" s="592" t="str">
        <f>'[4]matrik MISI 1'!Q101</f>
        <v>xx</v>
      </c>
      <c r="E609" s="592">
        <f>'[4]matrik MISI 1'!R101</f>
        <v>16</v>
      </c>
      <c r="F609" s="548" t="str">
        <f>'[4]matrik MISI 1'!S101</f>
        <v>Program Rehabilitasi Hutan dan Lahan</v>
      </c>
      <c r="G609" s="548"/>
      <c r="H609" s="551"/>
      <c r="I609" s="551"/>
      <c r="J609" s="551"/>
      <c r="K609" s="551">
        <f>SUM(K610:K614)</f>
        <v>907640000</v>
      </c>
      <c r="L609" s="551">
        <f t="shared" ref="L609:S609" si="58">SUM(L610:L614)</f>
        <v>0</v>
      </c>
      <c r="M609" s="551">
        <f t="shared" si="58"/>
        <v>977640000</v>
      </c>
      <c r="N609" s="551">
        <f t="shared" si="58"/>
        <v>0</v>
      </c>
      <c r="O609" s="551">
        <f t="shared" si="58"/>
        <v>882640000</v>
      </c>
      <c r="P609" s="551">
        <f t="shared" si="58"/>
        <v>0</v>
      </c>
      <c r="Q609" s="551">
        <f t="shared" si="58"/>
        <v>907640000</v>
      </c>
      <c r="R609" s="551">
        <f t="shared" si="58"/>
        <v>0</v>
      </c>
      <c r="S609" s="551">
        <f t="shared" si="58"/>
        <v>797640000</v>
      </c>
      <c r="T609" s="551"/>
      <c r="U609" s="551"/>
      <c r="V609" s="551"/>
      <c r="W609" s="551"/>
      <c r="X609" s="551" t="str">
        <f>'[4]matrik MISI 1'!AF101</f>
        <v>DINTANBUNHUT</v>
      </c>
    </row>
    <row r="610" spans="1:32" s="165" customFormat="1" ht="255">
      <c r="B610" s="48"/>
      <c r="C610" s="56"/>
      <c r="D610" s="57"/>
      <c r="E610" s="57"/>
      <c r="F610" s="58"/>
      <c r="G610" s="420" t="s">
        <v>3990</v>
      </c>
      <c r="H610" s="150" t="s">
        <v>3991</v>
      </c>
      <c r="I610" s="150" t="s">
        <v>3992</v>
      </c>
      <c r="J610" s="152" t="s">
        <v>3993</v>
      </c>
      <c r="K610" s="152">
        <v>30000000</v>
      </c>
      <c r="L610" s="152" t="s">
        <v>3993</v>
      </c>
      <c r="M610" s="152">
        <v>50000000</v>
      </c>
      <c r="N610" s="152" t="s">
        <v>3994</v>
      </c>
      <c r="O610" s="152">
        <f>M610</f>
        <v>50000000</v>
      </c>
      <c r="P610" s="152" t="s">
        <v>3994</v>
      </c>
      <c r="Q610" s="152">
        <v>60000000</v>
      </c>
      <c r="R610" s="152" t="s">
        <v>3994</v>
      </c>
      <c r="S610" s="152">
        <f>Q610</f>
        <v>60000000</v>
      </c>
      <c r="T610" s="152" t="s">
        <v>3994</v>
      </c>
      <c r="U610" s="152">
        <f>S610</f>
        <v>60000000</v>
      </c>
      <c r="V610" s="529"/>
      <c r="W610" s="529"/>
      <c r="X610" s="529"/>
    </row>
    <row r="611" spans="1:32" s="165" customFormat="1" ht="409.5">
      <c r="B611" s="48"/>
      <c r="C611" s="56"/>
      <c r="D611" s="57"/>
      <c r="E611" s="57"/>
      <c r="F611" s="58"/>
      <c r="G611" s="420" t="s">
        <v>3995</v>
      </c>
      <c r="H611" s="150" t="s">
        <v>3996</v>
      </c>
      <c r="I611" s="150" t="s">
        <v>3997</v>
      </c>
      <c r="J611" s="152" t="s">
        <v>3998</v>
      </c>
      <c r="K611" s="152">
        <v>572640000</v>
      </c>
      <c r="L611" s="150" t="s">
        <v>3999</v>
      </c>
      <c r="M611" s="152">
        <f>K611</f>
        <v>572640000</v>
      </c>
      <c r="N611" s="150" t="s">
        <v>3999</v>
      </c>
      <c r="O611" s="152">
        <f>M611-100000000</f>
        <v>472640000</v>
      </c>
      <c r="P611" s="150" t="s">
        <v>3999</v>
      </c>
      <c r="Q611" s="152">
        <f>O611</f>
        <v>472640000</v>
      </c>
      <c r="R611" s="150" t="s">
        <v>3999</v>
      </c>
      <c r="S611" s="152">
        <f>Q611-100000000</f>
        <v>372640000</v>
      </c>
      <c r="T611" s="150" t="s">
        <v>3999</v>
      </c>
      <c r="U611" s="152">
        <f>S611-100000000</f>
        <v>272640000</v>
      </c>
      <c r="V611" s="529"/>
      <c r="W611" s="529"/>
      <c r="X611" s="529"/>
    </row>
    <row r="612" spans="1:32" s="165" customFormat="1" ht="165">
      <c r="B612" s="48"/>
      <c r="C612" s="56"/>
      <c r="D612" s="57"/>
      <c r="E612" s="57"/>
      <c r="F612" s="58"/>
      <c r="G612" s="420" t="s">
        <v>3995</v>
      </c>
      <c r="H612" s="150" t="s">
        <v>3996</v>
      </c>
      <c r="I612" s="150" t="s">
        <v>4000</v>
      </c>
      <c r="J612" s="150" t="s">
        <v>4001</v>
      </c>
      <c r="K612" s="152">
        <v>115000000</v>
      </c>
      <c r="L612" s="150" t="s">
        <v>4002</v>
      </c>
      <c r="M612" s="152">
        <v>115000000</v>
      </c>
      <c r="N612" s="150" t="s">
        <v>4002</v>
      </c>
      <c r="O612" s="152">
        <v>110000000</v>
      </c>
      <c r="P612" s="150" t="s">
        <v>4002</v>
      </c>
      <c r="Q612" s="152">
        <f>O612</f>
        <v>110000000</v>
      </c>
      <c r="R612" s="150" t="s">
        <v>4002</v>
      </c>
      <c r="S612" s="152">
        <v>100000000</v>
      </c>
      <c r="T612" s="150" t="s">
        <v>4002</v>
      </c>
      <c r="U612" s="152">
        <v>100000000</v>
      </c>
      <c r="V612" s="529"/>
      <c r="W612" s="529"/>
      <c r="X612" s="529"/>
    </row>
    <row r="613" spans="1:32" s="165" customFormat="1" ht="150">
      <c r="B613" s="48"/>
      <c r="C613" s="56"/>
      <c r="D613" s="57"/>
      <c r="E613" s="57"/>
      <c r="F613" s="58"/>
      <c r="G613" s="420" t="s">
        <v>3995</v>
      </c>
      <c r="H613" s="150" t="s">
        <v>4003</v>
      </c>
      <c r="I613" s="150" t="s">
        <v>743</v>
      </c>
      <c r="J613" s="150" t="s">
        <v>4004</v>
      </c>
      <c r="K613" s="152">
        <v>90000000</v>
      </c>
      <c r="L613" s="152" t="s">
        <v>4003</v>
      </c>
      <c r="M613" s="152">
        <v>90000000</v>
      </c>
      <c r="N613" s="152" t="s">
        <v>4003</v>
      </c>
      <c r="O613" s="152">
        <v>100000000</v>
      </c>
      <c r="P613" s="152" t="s">
        <v>4003</v>
      </c>
      <c r="Q613" s="152">
        <v>100000000</v>
      </c>
      <c r="R613" s="152" t="s">
        <v>4003</v>
      </c>
      <c r="S613" s="152">
        <v>100000000</v>
      </c>
      <c r="T613" s="152" t="s">
        <v>4003</v>
      </c>
      <c r="U613" s="152">
        <v>100000000</v>
      </c>
      <c r="V613" s="529"/>
      <c r="W613" s="529"/>
      <c r="X613" s="529"/>
    </row>
    <row r="614" spans="1:32" s="165" customFormat="1" ht="90">
      <c r="B614" s="48"/>
      <c r="C614" s="56"/>
      <c r="D614" s="57"/>
      <c r="E614" s="57"/>
      <c r="F614" s="58"/>
      <c r="G614" s="420" t="s">
        <v>4005</v>
      </c>
      <c r="H614" s="150" t="s">
        <v>743</v>
      </c>
      <c r="I614" s="150" t="s">
        <v>4006</v>
      </c>
      <c r="J614" s="152" t="s">
        <v>4006</v>
      </c>
      <c r="K614" s="152">
        <v>100000000</v>
      </c>
      <c r="L614" s="152" t="s">
        <v>4006</v>
      </c>
      <c r="M614" s="152">
        <v>150000000</v>
      </c>
      <c r="N614" s="152" t="s">
        <v>4006</v>
      </c>
      <c r="O614" s="152">
        <v>150000000</v>
      </c>
      <c r="P614" s="152" t="s">
        <v>4006</v>
      </c>
      <c r="Q614" s="152">
        <f>O614+(O614*10%)</f>
        <v>165000000</v>
      </c>
      <c r="R614" s="152" t="s">
        <v>4006</v>
      </c>
      <c r="S614" s="152">
        <f>Q614</f>
        <v>165000000</v>
      </c>
      <c r="T614" s="152" t="s">
        <v>4006</v>
      </c>
      <c r="U614" s="152">
        <f>S614</f>
        <v>165000000</v>
      </c>
      <c r="V614" s="529"/>
      <c r="W614" s="529"/>
      <c r="X614" s="529"/>
    </row>
    <row r="615" spans="1:32" s="540" customFormat="1" ht="60">
      <c r="B615" s="545"/>
      <c r="C615" s="591" t="str">
        <f>'[4]matrik MISI 1'!P103</f>
        <v>2.02</v>
      </c>
      <c r="D615" s="592" t="str">
        <f>'[4]matrik MISI 1'!Q103</f>
        <v>xx</v>
      </c>
      <c r="E615" s="592">
        <f>'[4]matrik MISI 1'!R103</f>
        <v>17</v>
      </c>
      <c r="F615" s="548" t="str">
        <f>'[4]matrik MISI 1'!S103</f>
        <v>Program Perlindungan dan Konservasi Sumber Daya Hutan</v>
      </c>
      <c r="G615" s="548"/>
      <c r="H615" s="551"/>
      <c r="I615" s="551"/>
      <c r="J615" s="551"/>
      <c r="K615" s="551">
        <f>SUM(K616:K617)</f>
        <v>150000000</v>
      </c>
      <c r="L615" s="551">
        <f t="shared" ref="L615:U615" si="59">SUM(L616:L617)</f>
        <v>0</v>
      </c>
      <c r="M615" s="551">
        <f t="shared" si="59"/>
        <v>225000000</v>
      </c>
      <c r="N615" s="551">
        <f t="shared" si="59"/>
        <v>0</v>
      </c>
      <c r="O615" s="551">
        <f t="shared" si="59"/>
        <v>200000000</v>
      </c>
      <c r="P615" s="551">
        <f t="shared" si="59"/>
        <v>0</v>
      </c>
      <c r="Q615" s="551">
        <f t="shared" si="59"/>
        <v>200000000</v>
      </c>
      <c r="R615" s="551">
        <f t="shared" si="59"/>
        <v>0</v>
      </c>
      <c r="S615" s="551">
        <f t="shared" si="59"/>
        <v>200000000</v>
      </c>
      <c r="T615" s="551">
        <f t="shared" si="59"/>
        <v>0</v>
      </c>
      <c r="U615" s="551">
        <f t="shared" si="59"/>
        <v>200000000</v>
      </c>
      <c r="V615" s="551"/>
      <c r="W615" s="551"/>
      <c r="X615" s="551" t="str">
        <f>'[4]matrik MISI 1'!AF103</f>
        <v>DINTANBUNHUT</v>
      </c>
    </row>
    <row r="616" spans="1:32" s="165" customFormat="1" ht="315">
      <c r="B616" s="48"/>
      <c r="C616" s="56"/>
      <c r="D616" s="57"/>
      <c r="E616" s="57"/>
      <c r="F616" s="58"/>
      <c r="G616" s="420" t="s">
        <v>4007</v>
      </c>
      <c r="H616" s="150" t="s">
        <v>743</v>
      </c>
      <c r="I616" s="150" t="s">
        <v>743</v>
      </c>
      <c r="J616" s="152" t="s">
        <v>743</v>
      </c>
      <c r="K616" s="152">
        <v>0</v>
      </c>
      <c r="L616" s="152" t="s">
        <v>4008</v>
      </c>
      <c r="M616" s="152">
        <v>75000000</v>
      </c>
      <c r="N616" s="152" t="s">
        <v>4009</v>
      </c>
      <c r="O616" s="152">
        <v>50000000</v>
      </c>
      <c r="P616" s="152" t="s">
        <v>4009</v>
      </c>
      <c r="Q616" s="152">
        <v>50000000</v>
      </c>
      <c r="R616" s="152" t="s">
        <v>4009</v>
      </c>
      <c r="S616" s="152">
        <v>50000000</v>
      </c>
      <c r="T616" s="152" t="s">
        <v>4009</v>
      </c>
      <c r="U616" s="152">
        <v>50000000</v>
      </c>
      <c r="V616" s="529"/>
      <c r="W616" s="529"/>
      <c r="X616" s="529"/>
    </row>
    <row r="617" spans="1:32" s="165" customFormat="1" ht="105">
      <c r="B617" s="48"/>
      <c r="C617" s="56"/>
      <c r="D617" s="57"/>
      <c r="E617" s="57"/>
      <c r="F617" s="58"/>
      <c r="G617" s="420" t="s">
        <v>4010</v>
      </c>
      <c r="H617" s="150" t="s">
        <v>743</v>
      </c>
      <c r="I617" s="150" t="s">
        <v>4011</v>
      </c>
      <c r="J617" s="150" t="s">
        <v>4012</v>
      </c>
      <c r="K617" s="152">
        <v>150000000</v>
      </c>
      <c r="L617" s="150" t="s">
        <v>4012</v>
      </c>
      <c r="M617" s="152">
        <v>150000000</v>
      </c>
      <c r="N617" s="150" t="s">
        <v>4012</v>
      </c>
      <c r="O617" s="152">
        <v>150000000</v>
      </c>
      <c r="P617" s="150" t="s">
        <v>4012</v>
      </c>
      <c r="Q617" s="152">
        <v>150000000</v>
      </c>
      <c r="R617" s="150" t="s">
        <v>4012</v>
      </c>
      <c r="S617" s="152">
        <v>150000000</v>
      </c>
      <c r="T617" s="150" t="s">
        <v>4012</v>
      </c>
      <c r="U617" s="152">
        <v>150000000</v>
      </c>
      <c r="V617" s="529"/>
      <c r="W617" s="529"/>
      <c r="X617" s="529"/>
    </row>
    <row r="618" spans="1:32" s="540" customFormat="1" ht="45">
      <c r="B618" s="545"/>
      <c r="C618" s="591" t="str">
        <f>'[4]matrik MISI 1'!P104</f>
        <v>2.02</v>
      </c>
      <c r="D618" s="592" t="str">
        <f>'[4]matrik MISI 1'!Q104</f>
        <v>xx</v>
      </c>
      <c r="E618" s="592">
        <f>'[4]matrik MISI 1'!R104</f>
        <v>19</v>
      </c>
      <c r="F618" s="548" t="str">
        <f>'[4]matrik MISI 1'!S104</f>
        <v>Program Pembinaan dan Penertiban Industri Hasil Hutan</v>
      </c>
      <c r="G618" s="548"/>
      <c r="H618" s="551"/>
      <c r="I618" s="551"/>
      <c r="J618" s="551"/>
      <c r="K618" s="551">
        <f>SUM(K619)</f>
        <v>100000000</v>
      </c>
      <c r="L618" s="551">
        <f t="shared" ref="L618:U618" si="60">SUM(L619)</f>
        <v>0</v>
      </c>
      <c r="M618" s="551">
        <f t="shared" si="60"/>
        <v>100000000</v>
      </c>
      <c r="N618" s="551">
        <f t="shared" si="60"/>
        <v>0</v>
      </c>
      <c r="O618" s="551">
        <f t="shared" si="60"/>
        <v>110000000</v>
      </c>
      <c r="P618" s="551">
        <f t="shared" si="60"/>
        <v>0</v>
      </c>
      <c r="Q618" s="551">
        <f t="shared" si="60"/>
        <v>110000000</v>
      </c>
      <c r="R618" s="551">
        <f t="shared" si="60"/>
        <v>0</v>
      </c>
      <c r="S618" s="551">
        <f t="shared" si="60"/>
        <v>0</v>
      </c>
      <c r="T618" s="551">
        <f t="shared" si="60"/>
        <v>0</v>
      </c>
      <c r="U618" s="551">
        <f t="shared" si="60"/>
        <v>0</v>
      </c>
      <c r="V618" s="551"/>
      <c r="W618" s="551"/>
      <c r="X618" s="551" t="str">
        <f>'[4]matrik MISI 1'!AF104</f>
        <v>DINTANBUNHUT</v>
      </c>
    </row>
    <row r="619" spans="1:32" s="165" customFormat="1" ht="120">
      <c r="B619" s="48"/>
      <c r="C619" s="56"/>
      <c r="D619" s="57"/>
      <c r="E619" s="57"/>
      <c r="F619" s="58"/>
      <c r="G619" s="420" t="s">
        <v>4013</v>
      </c>
      <c r="H619" s="152" t="s">
        <v>4014</v>
      </c>
      <c r="I619" s="152">
        <v>85000000</v>
      </c>
      <c r="J619" s="152" t="s">
        <v>4014</v>
      </c>
      <c r="K619" s="152">
        <v>100000000</v>
      </c>
      <c r="L619" s="152" t="s">
        <v>4014</v>
      </c>
      <c r="M619" s="152">
        <v>100000000</v>
      </c>
      <c r="N619" s="152" t="s">
        <v>4014</v>
      </c>
      <c r="O619" s="152">
        <v>110000000</v>
      </c>
      <c r="P619" s="152" t="s">
        <v>4014</v>
      </c>
      <c r="Q619" s="152">
        <v>110000000</v>
      </c>
      <c r="R619" s="529"/>
      <c r="S619" s="529"/>
      <c r="T619" s="529"/>
      <c r="U619" s="529"/>
      <c r="V619" s="529"/>
      <c r="W619" s="529"/>
      <c r="X619" s="529"/>
    </row>
    <row r="620" spans="1:32" s="280" customFormat="1" ht="30" customHeight="1">
      <c r="A620" s="285"/>
      <c r="B620" s="1093" t="s">
        <v>4260</v>
      </c>
      <c r="C620" s="1094"/>
      <c r="D620" s="1094"/>
      <c r="E620" s="1094"/>
      <c r="F620" s="1094"/>
      <c r="G620" s="1095"/>
      <c r="H620" s="342"/>
      <c r="I620" s="342"/>
      <c r="J620" s="342"/>
      <c r="K620" s="342">
        <f>SUM(K610:K619)</f>
        <v>1407640000</v>
      </c>
      <c r="L620" s="342"/>
      <c r="M620" s="342">
        <f t="shared" ref="M620:W620" si="61">SUM(M610:M619)</f>
        <v>1627640000</v>
      </c>
      <c r="N620" s="342"/>
      <c r="O620" s="342">
        <f t="shared" si="61"/>
        <v>1502640000</v>
      </c>
      <c r="P620" s="342"/>
      <c r="Q620" s="342">
        <f t="shared" si="61"/>
        <v>1527640000</v>
      </c>
      <c r="R620" s="342"/>
      <c r="S620" s="342">
        <f t="shared" si="61"/>
        <v>1197640000</v>
      </c>
      <c r="T620" s="342"/>
      <c r="U620" s="342">
        <f t="shared" si="61"/>
        <v>1097640000</v>
      </c>
      <c r="V620" s="342">
        <f t="shared" si="61"/>
        <v>0</v>
      </c>
      <c r="W620" s="342">
        <f t="shared" si="61"/>
        <v>0</v>
      </c>
      <c r="X620" s="342"/>
      <c r="Y620" s="285"/>
      <c r="Z620" s="285"/>
      <c r="AA620" s="285"/>
      <c r="AB620" s="285"/>
      <c r="AC620" s="285"/>
      <c r="AD620" s="285"/>
      <c r="AE620" s="285"/>
      <c r="AF620" s="285"/>
    </row>
    <row r="621" spans="1:32">
      <c r="A621" s="165">
        <v>1</v>
      </c>
      <c r="B621" s="62" t="str">
        <f>'[4]matrik MISI 3.1'!B63</f>
        <v>ENERGI DAN ESDM</v>
      </c>
      <c r="C621" s="56"/>
      <c r="D621" s="57"/>
      <c r="E621" s="57"/>
      <c r="F621" s="58"/>
      <c r="G621" s="58"/>
      <c r="H621" s="52"/>
      <c r="I621" s="52"/>
      <c r="J621" s="52"/>
      <c r="K621" s="52"/>
      <c r="L621" s="52"/>
      <c r="M621" s="52"/>
      <c r="N621" s="52"/>
      <c r="O621" s="52"/>
      <c r="P621" s="52"/>
      <c r="Q621" s="52"/>
      <c r="R621" s="52"/>
      <c r="S621" s="52"/>
      <c r="T621" s="52"/>
      <c r="U621" s="52"/>
      <c r="V621" s="52"/>
      <c r="W621" s="52"/>
      <c r="X621" s="52"/>
      <c r="Y621" s="165"/>
      <c r="Z621" s="165"/>
      <c r="AA621" s="165"/>
      <c r="AB621" s="165"/>
      <c r="AC621" s="165"/>
      <c r="AD621" s="165"/>
      <c r="AE621" s="165"/>
      <c r="AF621" s="165"/>
    </row>
    <row r="622" spans="1:32" s="540" customFormat="1" ht="45">
      <c r="B622" s="545"/>
      <c r="C622" s="593" t="str">
        <f>'[4]matrik MISI 3.1'!P64</f>
        <v>2.03</v>
      </c>
      <c r="D622" s="594" t="str">
        <f>'[4]matrik MISI 3.1'!Q64</f>
        <v>xx</v>
      </c>
      <c r="E622" s="594">
        <f>'[4]matrik MISI 3.1'!R64</f>
        <v>15</v>
      </c>
      <c r="F622" s="595" t="str">
        <f>'[4]matrik MISI 3.1'!S64</f>
        <v>Program pembinaan dan pengawasan bidang pertambangan</v>
      </c>
      <c r="G622" s="548"/>
      <c r="H622" s="550"/>
      <c r="I622" s="550"/>
      <c r="J622" s="550"/>
      <c r="K622" s="603">
        <f>SUM(K623:K625)</f>
        <v>39220000</v>
      </c>
      <c r="L622" s="603">
        <f t="shared" ref="L622:U622" si="62">SUM(L623:L625)</f>
        <v>0</v>
      </c>
      <c r="M622" s="603">
        <f t="shared" si="62"/>
        <v>48415000</v>
      </c>
      <c r="N622" s="603">
        <f t="shared" si="62"/>
        <v>0</v>
      </c>
      <c r="O622" s="603">
        <f t="shared" si="62"/>
        <v>48415000</v>
      </c>
      <c r="P622" s="603">
        <f t="shared" si="62"/>
        <v>0</v>
      </c>
      <c r="Q622" s="603">
        <f t="shared" si="62"/>
        <v>53256500.000000007</v>
      </c>
      <c r="R622" s="603">
        <f t="shared" si="62"/>
        <v>0</v>
      </c>
      <c r="S622" s="603">
        <f t="shared" si="62"/>
        <v>58582150.000000015</v>
      </c>
      <c r="T622" s="603">
        <f t="shared" si="62"/>
        <v>0</v>
      </c>
      <c r="U622" s="603">
        <f t="shared" si="62"/>
        <v>64440365.000000022</v>
      </c>
      <c r="V622" s="550"/>
      <c r="W622" s="550"/>
      <c r="X622" s="550" t="str">
        <f>'[4]matrik MISI 3.1'!AE64</f>
        <v>DPU/ Perekonomian</v>
      </c>
    </row>
    <row r="623" spans="1:32" s="165" customFormat="1" ht="30">
      <c r="B623" s="48"/>
      <c r="C623" s="62"/>
      <c r="D623" s="63"/>
      <c r="E623" s="63"/>
      <c r="F623" s="64"/>
      <c r="G623" s="420" t="s">
        <v>4015</v>
      </c>
      <c r="H623" s="150" t="s">
        <v>743</v>
      </c>
      <c r="I623" s="150" t="s">
        <v>2496</v>
      </c>
      <c r="J623" s="150" t="s">
        <v>2496</v>
      </c>
      <c r="K623" s="153">
        <v>20000000</v>
      </c>
      <c r="L623" s="153" t="s">
        <v>743</v>
      </c>
      <c r="M623" s="153" t="s">
        <v>743</v>
      </c>
      <c r="N623" s="153" t="s">
        <v>743</v>
      </c>
      <c r="O623" s="153" t="s">
        <v>743</v>
      </c>
      <c r="P623" s="153" t="s">
        <v>743</v>
      </c>
      <c r="Q623" s="153" t="s">
        <v>743</v>
      </c>
      <c r="R623" s="153" t="s">
        <v>743</v>
      </c>
      <c r="S623" s="153" t="s">
        <v>743</v>
      </c>
      <c r="T623" s="153" t="s">
        <v>743</v>
      </c>
      <c r="U623" s="153" t="s">
        <v>743</v>
      </c>
      <c r="V623" s="52"/>
      <c r="W623" s="52"/>
      <c r="X623" s="52"/>
    </row>
    <row r="624" spans="1:32" s="165" customFormat="1" ht="60">
      <c r="B624" s="48"/>
      <c r="C624" s="62"/>
      <c r="D624" s="63"/>
      <c r="E624" s="63"/>
      <c r="F624" s="64"/>
      <c r="G624" s="420" t="s">
        <v>4016</v>
      </c>
      <c r="H624" s="150" t="s">
        <v>743</v>
      </c>
      <c r="I624" s="150" t="s">
        <v>2496</v>
      </c>
      <c r="J624" s="150" t="s">
        <v>2496</v>
      </c>
      <c r="K624" s="153">
        <v>19220000</v>
      </c>
      <c r="L624" s="153" t="s">
        <v>743</v>
      </c>
      <c r="M624" s="153" t="s">
        <v>743</v>
      </c>
      <c r="N624" s="153" t="s">
        <v>743</v>
      </c>
      <c r="O624" s="153" t="s">
        <v>743</v>
      </c>
      <c r="P624" s="153" t="s">
        <v>743</v>
      </c>
      <c r="Q624" s="153" t="s">
        <v>743</v>
      </c>
      <c r="R624" s="153" t="s">
        <v>743</v>
      </c>
      <c r="S624" s="153" t="s">
        <v>743</v>
      </c>
      <c r="T624" s="153" t="s">
        <v>743</v>
      </c>
      <c r="U624" s="153" t="s">
        <v>743</v>
      </c>
      <c r="V624" s="52"/>
      <c r="W624" s="52"/>
      <c r="X624" s="52"/>
    </row>
    <row r="625" spans="1:32" s="165" customFormat="1" ht="30">
      <c r="B625" s="48"/>
      <c r="C625" s="62"/>
      <c r="D625" s="63"/>
      <c r="E625" s="63"/>
      <c r="F625" s="64"/>
      <c r="G625" s="426" t="s">
        <v>4017</v>
      </c>
      <c r="H625" s="151" t="s">
        <v>2521</v>
      </c>
      <c r="I625" s="151" t="s">
        <v>743</v>
      </c>
      <c r="J625" s="151" t="s">
        <v>743</v>
      </c>
      <c r="K625" s="151" t="s">
        <v>743</v>
      </c>
      <c r="L625" s="151" t="str">
        <f>I624</f>
        <v>1 Kegiatan</v>
      </c>
      <c r="M625" s="155">
        <v>48415000</v>
      </c>
      <c r="N625" s="151" t="str">
        <f>L625</f>
        <v>1 Kegiatan</v>
      </c>
      <c r="O625" s="155">
        <v>48415000</v>
      </c>
      <c r="P625" s="151" t="str">
        <f>N625</f>
        <v>1 Kegiatan</v>
      </c>
      <c r="Q625" s="247">
        <f>1.1*O625</f>
        <v>53256500.000000007</v>
      </c>
      <c r="R625" s="151" t="str">
        <f>P625</f>
        <v>1 Kegiatan</v>
      </c>
      <c r="S625" s="247">
        <f>1.1*Q625</f>
        <v>58582150.000000015</v>
      </c>
      <c r="T625" s="151" t="str">
        <f>R625</f>
        <v>1 Kegiatan</v>
      </c>
      <c r="U625" s="247">
        <f>1.1*S625</f>
        <v>64440365.000000022</v>
      </c>
      <c r="V625" s="52"/>
      <c r="W625" s="52"/>
      <c r="X625" s="52"/>
    </row>
    <row r="626" spans="1:32" s="280" customFormat="1" ht="30" customHeight="1">
      <c r="A626" s="285"/>
      <c r="B626" s="1093" t="s">
        <v>4261</v>
      </c>
      <c r="C626" s="1094"/>
      <c r="D626" s="1094"/>
      <c r="E626" s="1094"/>
      <c r="F626" s="1094"/>
      <c r="G626" s="1095"/>
      <c r="H626" s="342"/>
      <c r="I626" s="342"/>
      <c r="J626" s="342"/>
      <c r="K626" s="342">
        <f>SUM(K623:K625)</f>
        <v>39220000</v>
      </c>
      <c r="L626" s="342"/>
      <c r="M626" s="342">
        <f t="shared" ref="M626:W626" si="63">SUM(M623:M625)</f>
        <v>48415000</v>
      </c>
      <c r="N626" s="342"/>
      <c r="O626" s="342">
        <f t="shared" si="63"/>
        <v>48415000</v>
      </c>
      <c r="P626" s="342"/>
      <c r="Q626" s="342">
        <f t="shared" si="63"/>
        <v>53256500.000000007</v>
      </c>
      <c r="R626" s="342"/>
      <c r="S626" s="342">
        <f t="shared" si="63"/>
        <v>58582150.000000015</v>
      </c>
      <c r="T626" s="342"/>
      <c r="U626" s="342">
        <f t="shared" si="63"/>
        <v>64440365.000000022</v>
      </c>
      <c r="V626" s="342">
        <f t="shared" si="63"/>
        <v>0</v>
      </c>
      <c r="W626" s="342">
        <f t="shared" si="63"/>
        <v>0</v>
      </c>
      <c r="X626" s="342"/>
      <c r="Y626" s="285"/>
      <c r="Z626" s="285"/>
      <c r="AA626" s="285"/>
      <c r="AB626" s="285"/>
      <c r="AC626" s="285"/>
      <c r="AD626" s="285"/>
      <c r="AE626" s="285"/>
      <c r="AF626" s="285"/>
    </row>
    <row r="627" spans="1:32">
      <c r="A627" s="165">
        <v>1</v>
      </c>
      <c r="B627" s="62" t="str">
        <f>'[4]matrik MISI 1'!B68</f>
        <v>PARIWISATA</v>
      </c>
      <c r="C627" s="56"/>
      <c r="D627" s="57"/>
      <c r="E627" s="57"/>
      <c r="F627" s="58"/>
      <c r="G627" s="58"/>
      <c r="H627" s="529"/>
      <c r="I627" s="529"/>
      <c r="J627" s="529"/>
      <c r="K627" s="529"/>
      <c r="L627" s="529"/>
      <c r="M627" s="529"/>
      <c r="N627" s="529"/>
      <c r="O627" s="529"/>
      <c r="P627" s="529"/>
      <c r="Q627" s="529"/>
      <c r="R627" s="529"/>
      <c r="S627" s="529"/>
      <c r="T627" s="529"/>
      <c r="U627" s="529"/>
      <c r="V627" s="529"/>
      <c r="W627" s="529"/>
      <c r="X627" s="529"/>
      <c r="Y627" s="165"/>
      <c r="Z627" s="165"/>
      <c r="AA627" s="165"/>
      <c r="AB627" s="165"/>
      <c r="AC627" s="165"/>
      <c r="AD627" s="165"/>
      <c r="AE627" s="165"/>
      <c r="AF627" s="165"/>
    </row>
    <row r="628" spans="1:32" s="540" customFormat="1" ht="45">
      <c r="B628" s="545"/>
      <c r="C628" s="593" t="str">
        <f>'[4]matrik MISI 1'!P69</f>
        <v>2.04</v>
      </c>
      <c r="D628" s="594" t="str">
        <f>'[4]matrik MISI 1'!Q69</f>
        <v>xx</v>
      </c>
      <c r="E628" s="594">
        <f>'[4]matrik MISI 1'!R69</f>
        <v>16</v>
      </c>
      <c r="F628" s="595" t="str">
        <f>'[4]matrik MISI 1'!S69</f>
        <v xml:space="preserve">Program Pengembangan destinasi Wisata </v>
      </c>
      <c r="G628" s="548"/>
      <c r="H628" s="551"/>
      <c r="I628" s="551"/>
      <c r="J628" s="551"/>
      <c r="K628" s="551">
        <f>SUM(K629:K636)</f>
        <v>96655300</v>
      </c>
      <c r="L628" s="551">
        <f t="shared" ref="L628:U628" si="64">SUM(L629:L636)</f>
        <v>0.1</v>
      </c>
      <c r="M628" s="551">
        <f t="shared" si="64"/>
        <v>1372308000</v>
      </c>
      <c r="N628" s="551">
        <f t="shared" si="64"/>
        <v>0.15</v>
      </c>
      <c r="O628" s="551">
        <f t="shared" si="64"/>
        <v>1100000000</v>
      </c>
      <c r="P628" s="551">
        <f t="shared" si="64"/>
        <v>0.2</v>
      </c>
      <c r="Q628" s="551">
        <f t="shared" si="64"/>
        <v>1200000000</v>
      </c>
      <c r="R628" s="551">
        <f t="shared" si="64"/>
        <v>0.25</v>
      </c>
      <c r="S628" s="551">
        <f t="shared" si="64"/>
        <v>9600000000</v>
      </c>
      <c r="T628" s="551">
        <f t="shared" si="64"/>
        <v>0.25</v>
      </c>
      <c r="U628" s="551">
        <f t="shared" si="64"/>
        <v>9600000000</v>
      </c>
      <c r="V628" s="551"/>
      <c r="W628" s="551"/>
      <c r="X628" s="551" t="str">
        <f>'[4]matrik MISI 1'!AF69</f>
        <v>DISBUDPARPORA</v>
      </c>
    </row>
    <row r="629" spans="1:32" s="165" customFormat="1" ht="90">
      <c r="B629" s="48"/>
      <c r="C629" s="62"/>
      <c r="D629" s="63"/>
      <c r="E629" s="63"/>
      <c r="F629" s="64"/>
      <c r="G629" s="427" t="s">
        <v>4018</v>
      </c>
      <c r="H629" s="367">
        <v>0</v>
      </c>
      <c r="I629" s="366"/>
      <c r="J629" s="366"/>
      <c r="K629" s="367">
        <v>0</v>
      </c>
      <c r="L629" s="366" t="s">
        <v>4019</v>
      </c>
      <c r="M629" s="368">
        <v>300000000</v>
      </c>
      <c r="N629" s="366" t="s">
        <v>4020</v>
      </c>
      <c r="O629" s="369">
        <v>400000000</v>
      </c>
      <c r="P629" s="366" t="s">
        <v>4020</v>
      </c>
      <c r="Q629" s="369">
        <v>400000000</v>
      </c>
      <c r="R629" s="366" t="s">
        <v>4020</v>
      </c>
      <c r="S629" s="369">
        <v>400000000</v>
      </c>
      <c r="T629" s="366" t="s">
        <v>4020</v>
      </c>
      <c r="U629" s="369">
        <v>400000000</v>
      </c>
      <c r="V629" s="529"/>
      <c r="W629" s="529"/>
      <c r="X629" s="529"/>
    </row>
    <row r="630" spans="1:32" s="165" customFormat="1" ht="45">
      <c r="B630" s="48"/>
      <c r="C630" s="62"/>
      <c r="D630" s="63"/>
      <c r="E630" s="63"/>
      <c r="F630" s="64"/>
      <c r="G630" s="427" t="s">
        <v>4021</v>
      </c>
      <c r="H630" s="367">
        <v>0</v>
      </c>
      <c r="I630" s="366"/>
      <c r="J630" s="366"/>
      <c r="K630" s="368">
        <v>0</v>
      </c>
      <c r="L630" s="366" t="s">
        <v>4022</v>
      </c>
      <c r="M630" s="368">
        <v>1000000000</v>
      </c>
      <c r="N630" s="366"/>
      <c r="O630" s="367">
        <v>0</v>
      </c>
      <c r="P630" s="366" t="s">
        <v>2994</v>
      </c>
      <c r="Q630" s="367">
        <v>0</v>
      </c>
      <c r="R630" s="366" t="s">
        <v>2994</v>
      </c>
      <c r="S630" s="367">
        <v>0</v>
      </c>
      <c r="T630" s="366" t="s">
        <v>2994</v>
      </c>
      <c r="U630" s="367">
        <v>0</v>
      </c>
      <c r="V630" s="529"/>
      <c r="W630" s="529"/>
      <c r="X630" s="529"/>
    </row>
    <row r="631" spans="1:32" s="165" customFormat="1" ht="75">
      <c r="B631" s="48"/>
      <c r="C631" s="62"/>
      <c r="D631" s="63"/>
      <c r="E631" s="63"/>
      <c r="F631" s="64"/>
      <c r="G631" s="427" t="s">
        <v>4023</v>
      </c>
      <c r="H631" s="367">
        <v>0</v>
      </c>
      <c r="I631" s="366" t="s">
        <v>4024</v>
      </c>
      <c r="J631" s="366" t="s">
        <v>4025</v>
      </c>
      <c r="K631" s="368">
        <v>39555000</v>
      </c>
      <c r="L631" s="366"/>
      <c r="M631" s="368"/>
      <c r="N631" s="366"/>
      <c r="O631" s="370"/>
      <c r="P631" s="366"/>
      <c r="Q631" s="371"/>
      <c r="R631" s="366"/>
      <c r="S631" s="371"/>
      <c r="T631" s="366"/>
      <c r="U631" s="371"/>
      <c r="V631" s="529"/>
      <c r="W631" s="529"/>
      <c r="X631" s="529"/>
    </row>
    <row r="632" spans="1:32" s="165" customFormat="1" ht="45">
      <c r="B632" s="48"/>
      <c r="C632" s="62"/>
      <c r="D632" s="63"/>
      <c r="E632" s="63"/>
      <c r="F632" s="64"/>
      <c r="G632" s="427" t="s">
        <v>4026</v>
      </c>
      <c r="H632" s="367">
        <v>0</v>
      </c>
      <c r="I632" s="366"/>
      <c r="J632" s="366"/>
      <c r="K632" s="368"/>
      <c r="L632" s="366"/>
      <c r="M632" s="368"/>
      <c r="N632" s="366"/>
      <c r="O632" s="370"/>
      <c r="P632" s="366"/>
      <c r="Q632" s="371"/>
      <c r="R632" s="366" t="s">
        <v>2968</v>
      </c>
      <c r="S632" s="369">
        <v>500000000</v>
      </c>
      <c r="T632" s="366" t="s">
        <v>2968</v>
      </c>
      <c r="U632" s="369">
        <v>500000000</v>
      </c>
      <c r="V632" s="529"/>
      <c r="W632" s="529"/>
      <c r="X632" s="529"/>
    </row>
    <row r="633" spans="1:32" s="165" customFormat="1" ht="75">
      <c r="B633" s="48"/>
      <c r="C633" s="62"/>
      <c r="D633" s="63"/>
      <c r="E633" s="63"/>
      <c r="F633" s="64"/>
      <c r="G633" s="427" t="s">
        <v>4027</v>
      </c>
      <c r="H633" s="367">
        <v>0</v>
      </c>
      <c r="I633" s="366" t="s">
        <v>4028</v>
      </c>
      <c r="J633" s="366"/>
      <c r="K633" s="367"/>
      <c r="L633" s="366" t="s">
        <v>4029</v>
      </c>
      <c r="M633" s="368">
        <v>48176000</v>
      </c>
      <c r="N633" s="366" t="s">
        <v>4030</v>
      </c>
      <c r="O633" s="368">
        <v>500000000</v>
      </c>
      <c r="P633" s="366" t="s">
        <v>4030</v>
      </c>
      <c r="Q633" s="368">
        <v>600000000</v>
      </c>
      <c r="R633" s="366" t="s">
        <v>4031</v>
      </c>
      <c r="S633" s="368">
        <v>500000000</v>
      </c>
      <c r="T633" s="366" t="s">
        <v>4031</v>
      </c>
      <c r="U633" s="368">
        <v>500000000</v>
      </c>
      <c r="V633" s="529"/>
      <c r="W633" s="529"/>
      <c r="X633" s="529"/>
    </row>
    <row r="634" spans="1:32" s="165" customFormat="1" ht="45">
      <c r="B634" s="48"/>
      <c r="C634" s="62"/>
      <c r="D634" s="63"/>
      <c r="E634" s="63"/>
      <c r="F634" s="64"/>
      <c r="G634" s="427" t="s">
        <v>4032</v>
      </c>
      <c r="H634" s="372" t="s">
        <v>4033</v>
      </c>
      <c r="I634" s="366" t="s">
        <v>2994</v>
      </c>
      <c r="J634" s="366"/>
      <c r="K634" s="368">
        <v>0</v>
      </c>
      <c r="L634" s="366" t="s">
        <v>2994</v>
      </c>
      <c r="M634" s="367">
        <v>0</v>
      </c>
      <c r="N634" s="366" t="s">
        <v>2994</v>
      </c>
      <c r="O634" s="367">
        <v>0</v>
      </c>
      <c r="P634" s="366" t="s">
        <v>2994</v>
      </c>
      <c r="Q634" s="367">
        <v>0</v>
      </c>
      <c r="R634" s="366" t="s">
        <v>2994</v>
      </c>
      <c r="S634" s="367">
        <v>0</v>
      </c>
      <c r="T634" s="366" t="s">
        <v>2994</v>
      </c>
      <c r="U634" s="367">
        <v>0</v>
      </c>
      <c r="V634" s="529"/>
      <c r="W634" s="529"/>
      <c r="X634" s="529"/>
    </row>
    <row r="635" spans="1:32" s="165" customFormat="1" ht="75">
      <c r="B635" s="48"/>
      <c r="C635" s="62"/>
      <c r="D635" s="63"/>
      <c r="E635" s="63"/>
      <c r="F635" s="64"/>
      <c r="G635" s="427" t="s">
        <v>4034</v>
      </c>
      <c r="H635" s="372"/>
      <c r="I635" s="366" t="s">
        <v>2994</v>
      </c>
      <c r="J635" s="366"/>
      <c r="K635" s="368">
        <v>0</v>
      </c>
      <c r="L635" s="366" t="s">
        <v>2994</v>
      </c>
      <c r="M635" s="367">
        <v>0</v>
      </c>
      <c r="N635" s="366" t="s">
        <v>2994</v>
      </c>
      <c r="O635" s="367">
        <v>0</v>
      </c>
      <c r="P635" s="366" t="s">
        <v>2994</v>
      </c>
      <c r="Q635" s="367">
        <v>0</v>
      </c>
      <c r="R635" s="366" t="s">
        <v>4035</v>
      </c>
      <c r="S635" s="367">
        <v>8000000000</v>
      </c>
      <c r="T635" s="366" t="s">
        <v>4035</v>
      </c>
      <c r="U635" s="367">
        <v>8000000000</v>
      </c>
      <c r="V635" s="529"/>
      <c r="W635" s="529"/>
      <c r="X635" s="529"/>
    </row>
    <row r="636" spans="1:32" s="165" customFormat="1" ht="45">
      <c r="B636" s="48"/>
      <c r="C636" s="62"/>
      <c r="D636" s="63"/>
      <c r="E636" s="63"/>
      <c r="F636" s="64"/>
      <c r="G636" s="427" t="s">
        <v>4036</v>
      </c>
      <c r="H636" s="372" t="s">
        <v>4037</v>
      </c>
      <c r="I636" s="373">
        <v>1</v>
      </c>
      <c r="J636" s="373">
        <v>1</v>
      </c>
      <c r="K636" s="368">
        <v>57100300</v>
      </c>
      <c r="L636" s="373">
        <v>0.1</v>
      </c>
      <c r="M636" s="368">
        <v>24132000</v>
      </c>
      <c r="N636" s="373">
        <v>0.15</v>
      </c>
      <c r="O636" s="368">
        <v>200000000</v>
      </c>
      <c r="P636" s="373">
        <v>0.2</v>
      </c>
      <c r="Q636" s="368">
        <v>200000000</v>
      </c>
      <c r="R636" s="373">
        <v>0.25</v>
      </c>
      <c r="S636" s="368">
        <v>200000000</v>
      </c>
      <c r="T636" s="373">
        <v>0.25</v>
      </c>
      <c r="U636" s="368">
        <v>200000000</v>
      </c>
      <c r="V636" s="529"/>
      <c r="W636" s="529"/>
      <c r="X636" s="529"/>
    </row>
    <row r="637" spans="1:32" s="540" customFormat="1" ht="45">
      <c r="B637" s="601"/>
      <c r="C637" s="591" t="str">
        <f>'[4]matrik MISI 1'!P74</f>
        <v>2.04</v>
      </c>
      <c r="D637" s="592" t="str">
        <f>'[4]matrik MISI 1'!Q74</f>
        <v>xx</v>
      </c>
      <c r="E637" s="592">
        <f>'[4]matrik MISI 1'!R74</f>
        <v>17</v>
      </c>
      <c r="F637" s="548" t="str">
        <f>'[4]matrik MISI 1'!S74</f>
        <v xml:space="preserve">Program Pengembangan Kemitraan </v>
      </c>
      <c r="G637" s="548"/>
      <c r="H637" s="551"/>
      <c r="I637" s="551"/>
      <c r="J637" s="551"/>
      <c r="K637" s="551">
        <f>SUM(K638:K641)</f>
        <v>155000000</v>
      </c>
      <c r="L637" s="551">
        <f t="shared" ref="L637:U637" si="65">SUM(L638:L641)</f>
        <v>1</v>
      </c>
      <c r="M637" s="551">
        <f t="shared" si="65"/>
        <v>229295000</v>
      </c>
      <c r="N637" s="551">
        <f t="shared" si="65"/>
        <v>1</v>
      </c>
      <c r="O637" s="551">
        <f t="shared" si="65"/>
        <v>360000000</v>
      </c>
      <c r="P637" s="551">
        <f t="shared" si="65"/>
        <v>1</v>
      </c>
      <c r="Q637" s="551">
        <f t="shared" si="65"/>
        <v>290000000</v>
      </c>
      <c r="R637" s="551">
        <f t="shared" si="65"/>
        <v>1</v>
      </c>
      <c r="S637" s="551">
        <f t="shared" si="65"/>
        <v>290000000</v>
      </c>
      <c r="T637" s="551">
        <f t="shared" si="65"/>
        <v>1</v>
      </c>
      <c r="U637" s="551">
        <f t="shared" si="65"/>
        <v>290000000</v>
      </c>
      <c r="V637" s="551"/>
      <c r="W637" s="551"/>
      <c r="X637" s="551" t="str">
        <f>'[4]matrik MISI 1'!AF74</f>
        <v>DISBUDPARPORA</v>
      </c>
    </row>
    <row r="638" spans="1:32" s="165" customFormat="1" ht="90">
      <c r="B638" s="48"/>
      <c r="C638" s="62"/>
      <c r="D638" s="63"/>
      <c r="E638" s="63"/>
      <c r="F638" s="64"/>
      <c r="G638" s="427" t="s">
        <v>4038</v>
      </c>
      <c r="H638" s="367">
        <v>0</v>
      </c>
      <c r="I638" s="366">
        <v>0</v>
      </c>
      <c r="J638" s="373">
        <v>1</v>
      </c>
      <c r="K638" s="368">
        <v>10000000</v>
      </c>
      <c r="L638" s="373">
        <v>1</v>
      </c>
      <c r="M638" s="368">
        <v>9870000</v>
      </c>
      <c r="N638" s="373">
        <v>1</v>
      </c>
      <c r="O638" s="368">
        <v>10000000</v>
      </c>
      <c r="P638" s="373">
        <v>1</v>
      </c>
      <c r="Q638" s="368">
        <v>10000000</v>
      </c>
      <c r="R638" s="373">
        <v>1</v>
      </c>
      <c r="S638" s="368">
        <v>10000000</v>
      </c>
      <c r="T638" s="373">
        <v>1</v>
      </c>
      <c r="U638" s="368">
        <v>10000000</v>
      </c>
      <c r="V638" s="529"/>
      <c r="W638" s="529"/>
      <c r="X638" s="529"/>
    </row>
    <row r="639" spans="1:32" s="165" customFormat="1" ht="60">
      <c r="B639" s="48"/>
      <c r="C639" s="62"/>
      <c r="D639" s="63"/>
      <c r="E639" s="63"/>
      <c r="F639" s="64"/>
      <c r="G639" s="427" t="s">
        <v>4039</v>
      </c>
      <c r="H639" s="372" t="s">
        <v>4040</v>
      </c>
      <c r="I639" s="366" t="s">
        <v>4041</v>
      </c>
      <c r="J639" s="366"/>
      <c r="K639" s="368">
        <v>100000000</v>
      </c>
      <c r="L639" s="366" t="s">
        <v>4041</v>
      </c>
      <c r="M639" s="368">
        <v>100000000</v>
      </c>
      <c r="N639" s="366" t="s">
        <v>4041</v>
      </c>
      <c r="O639" s="368">
        <v>200000000</v>
      </c>
      <c r="P639" s="366" t="s">
        <v>4041</v>
      </c>
      <c r="Q639" s="368">
        <v>200000000</v>
      </c>
      <c r="R639" s="366" t="s">
        <v>4041</v>
      </c>
      <c r="S639" s="368">
        <v>200000000</v>
      </c>
      <c r="T639" s="366" t="s">
        <v>4041</v>
      </c>
      <c r="U639" s="368">
        <v>200000000</v>
      </c>
      <c r="V639" s="529"/>
      <c r="W639" s="529"/>
      <c r="X639" s="529"/>
    </row>
    <row r="640" spans="1:32" s="165" customFormat="1" ht="75">
      <c r="B640" s="48"/>
      <c r="C640" s="62"/>
      <c r="D640" s="63"/>
      <c r="E640" s="63"/>
      <c r="F640" s="64"/>
      <c r="G640" s="427" t="s">
        <v>4042</v>
      </c>
      <c r="H640" s="367">
        <v>0</v>
      </c>
      <c r="I640" s="366" t="s">
        <v>2994</v>
      </c>
      <c r="J640" s="366">
        <v>0</v>
      </c>
      <c r="K640" s="368"/>
      <c r="L640" s="366" t="s">
        <v>4043</v>
      </c>
      <c r="M640" s="368">
        <v>75000000</v>
      </c>
      <c r="N640" s="366" t="s">
        <v>4044</v>
      </c>
      <c r="O640" s="368">
        <v>75000000</v>
      </c>
      <c r="P640" s="366" t="s">
        <v>2994</v>
      </c>
      <c r="Q640" s="369">
        <v>0</v>
      </c>
      <c r="R640" s="366" t="s">
        <v>2994</v>
      </c>
      <c r="S640" s="367">
        <v>0</v>
      </c>
      <c r="T640" s="366" t="s">
        <v>2994</v>
      </c>
      <c r="U640" s="367">
        <v>0</v>
      </c>
      <c r="V640" s="529"/>
      <c r="W640" s="529"/>
      <c r="X640" s="529"/>
    </row>
    <row r="641" spans="1:32" s="165" customFormat="1" ht="60">
      <c r="B641" s="48"/>
      <c r="C641" s="62"/>
      <c r="D641" s="63"/>
      <c r="E641" s="63"/>
      <c r="F641" s="64"/>
      <c r="G641" s="427" t="s">
        <v>4045</v>
      </c>
      <c r="H641" s="372" t="s">
        <v>3005</v>
      </c>
      <c r="I641" s="373">
        <v>1</v>
      </c>
      <c r="J641" s="373">
        <v>1</v>
      </c>
      <c r="K641" s="368">
        <v>45000000</v>
      </c>
      <c r="L641" s="366" t="s">
        <v>4046</v>
      </c>
      <c r="M641" s="368">
        <v>44425000</v>
      </c>
      <c r="N641" s="366" t="s">
        <v>4046</v>
      </c>
      <c r="O641" s="369">
        <v>75000000</v>
      </c>
      <c r="P641" s="366" t="s">
        <v>4046</v>
      </c>
      <c r="Q641" s="369">
        <v>80000000</v>
      </c>
      <c r="R641" s="366" t="s">
        <v>4046</v>
      </c>
      <c r="S641" s="369">
        <v>80000000</v>
      </c>
      <c r="T641" s="366" t="s">
        <v>4046</v>
      </c>
      <c r="U641" s="369">
        <v>80000000</v>
      </c>
      <c r="V641" s="529"/>
      <c r="W641" s="529"/>
      <c r="X641" s="529"/>
    </row>
    <row r="642" spans="1:32" s="540" customFormat="1" ht="45">
      <c r="B642" s="545"/>
      <c r="C642" s="593" t="str">
        <f>'[4]matrik MISI 1'!P72</f>
        <v>2.04</v>
      </c>
      <c r="D642" s="594" t="str">
        <f>'[4]matrik MISI 1'!Q72</f>
        <v>xx</v>
      </c>
      <c r="E642" s="594">
        <f>'[4]matrik MISI 1'!R72</f>
        <v>0</v>
      </c>
      <c r="F642" s="595" t="str">
        <f>'[4]matrik MISI 1'!S72</f>
        <v xml:space="preserve">Program Pengembangan Produk Wisata </v>
      </c>
      <c r="G642" s="548"/>
      <c r="H642" s="551"/>
      <c r="I642" s="551"/>
      <c r="J642" s="551"/>
      <c r="K642" s="551">
        <f>SUM(K643:K646)</f>
        <v>60000000</v>
      </c>
      <c r="L642" s="551">
        <f t="shared" ref="L642:U642" si="66">SUM(L643:L646)</f>
        <v>0.25</v>
      </c>
      <c r="M642" s="551">
        <f t="shared" si="66"/>
        <v>125000000</v>
      </c>
      <c r="N642" s="551">
        <f t="shared" si="66"/>
        <v>0.5</v>
      </c>
      <c r="O642" s="551">
        <f t="shared" si="66"/>
        <v>110000000</v>
      </c>
      <c r="P642" s="551">
        <f t="shared" si="66"/>
        <v>0.75</v>
      </c>
      <c r="Q642" s="551">
        <f t="shared" si="66"/>
        <v>110000000</v>
      </c>
      <c r="R642" s="551">
        <f t="shared" si="66"/>
        <v>1</v>
      </c>
      <c r="S642" s="551">
        <f t="shared" si="66"/>
        <v>110000000</v>
      </c>
      <c r="T642" s="551">
        <f t="shared" si="66"/>
        <v>1</v>
      </c>
      <c r="U642" s="551">
        <f t="shared" si="66"/>
        <v>110000000</v>
      </c>
      <c r="V642" s="551"/>
      <c r="W642" s="551"/>
      <c r="X642" s="551" t="str">
        <f>'[4]matrik MISI 1'!AF72</f>
        <v>DISBUDPARPORA</v>
      </c>
    </row>
    <row r="643" spans="1:32" s="165" customFormat="1" ht="45">
      <c r="B643" s="48"/>
      <c r="C643" s="62"/>
      <c r="D643" s="63"/>
      <c r="E643" s="63"/>
      <c r="F643" s="64"/>
      <c r="G643" s="427" t="s">
        <v>4047</v>
      </c>
      <c r="H643" s="372"/>
      <c r="I643" s="366"/>
      <c r="J643" s="366"/>
      <c r="K643" s="368"/>
      <c r="L643" s="366" t="s">
        <v>4048</v>
      </c>
      <c r="M643" s="368">
        <v>25000000</v>
      </c>
      <c r="N643" s="366"/>
      <c r="O643" s="368"/>
      <c r="P643" s="366"/>
      <c r="Q643" s="368"/>
      <c r="R643" s="366"/>
      <c r="S643" s="368"/>
      <c r="T643" s="366"/>
      <c r="U643" s="368"/>
      <c r="V643" s="796"/>
      <c r="W643" s="796"/>
      <c r="X643" s="796"/>
    </row>
    <row r="644" spans="1:32" s="165" customFormat="1" ht="45">
      <c r="B644" s="48"/>
      <c r="C644" s="62"/>
      <c r="D644" s="63"/>
      <c r="E644" s="63"/>
      <c r="F644" s="64"/>
      <c r="G644" s="427" t="s">
        <v>4049</v>
      </c>
      <c r="H644" s="367">
        <v>0</v>
      </c>
      <c r="I644" s="366" t="s">
        <v>2994</v>
      </c>
      <c r="J644" s="366"/>
      <c r="K644" s="368">
        <v>0</v>
      </c>
      <c r="L644" s="366" t="s">
        <v>3721</v>
      </c>
      <c r="M644" s="368">
        <v>20000000</v>
      </c>
      <c r="N644" s="366" t="s">
        <v>3721</v>
      </c>
      <c r="O644" s="368">
        <v>20000000</v>
      </c>
      <c r="P644" s="366" t="s">
        <v>3721</v>
      </c>
      <c r="Q644" s="368">
        <v>20000000</v>
      </c>
      <c r="R644" s="366" t="s">
        <v>3721</v>
      </c>
      <c r="S644" s="368">
        <v>20000000</v>
      </c>
      <c r="T644" s="366" t="s">
        <v>3721</v>
      </c>
      <c r="U644" s="368">
        <v>20000000</v>
      </c>
      <c r="V644" s="529"/>
      <c r="W644" s="529"/>
      <c r="X644" s="529"/>
    </row>
    <row r="645" spans="1:32" s="165" customFormat="1" ht="60">
      <c r="B645" s="48"/>
      <c r="C645" s="62"/>
      <c r="D645" s="63"/>
      <c r="E645" s="63"/>
      <c r="F645" s="64"/>
      <c r="G645" s="427" t="s">
        <v>4050</v>
      </c>
      <c r="H645" s="367">
        <v>0</v>
      </c>
      <c r="I645" s="366" t="s">
        <v>2994</v>
      </c>
      <c r="J645" s="366"/>
      <c r="K645" s="368">
        <v>0</v>
      </c>
      <c r="L645" s="373">
        <v>0.25</v>
      </c>
      <c r="M645" s="368">
        <v>20000000</v>
      </c>
      <c r="N645" s="373">
        <v>0.5</v>
      </c>
      <c r="O645" s="368">
        <v>30000000</v>
      </c>
      <c r="P645" s="373">
        <v>0.75</v>
      </c>
      <c r="Q645" s="368">
        <v>30000000</v>
      </c>
      <c r="R645" s="373">
        <v>1</v>
      </c>
      <c r="S645" s="368">
        <v>30000000</v>
      </c>
      <c r="T645" s="373">
        <v>1</v>
      </c>
      <c r="U645" s="368">
        <v>30000000</v>
      </c>
      <c r="V645" s="529"/>
      <c r="W645" s="529"/>
      <c r="X645" s="529"/>
    </row>
    <row r="646" spans="1:32" s="165" customFormat="1" ht="75.75" thickBot="1">
      <c r="B646" s="48"/>
      <c r="C646" s="62"/>
      <c r="D646" s="63"/>
      <c r="E646" s="63"/>
      <c r="F646" s="64"/>
      <c r="G646" s="428" t="s">
        <v>4051</v>
      </c>
      <c r="H646" s="375">
        <v>1</v>
      </c>
      <c r="I646" s="376">
        <v>1</v>
      </c>
      <c r="J646" s="376">
        <v>1</v>
      </c>
      <c r="K646" s="377">
        <v>60000000</v>
      </c>
      <c r="L646" s="374" t="s">
        <v>4052</v>
      </c>
      <c r="M646" s="377">
        <v>60000000</v>
      </c>
      <c r="N646" s="374" t="s">
        <v>4052</v>
      </c>
      <c r="O646" s="377">
        <v>60000000</v>
      </c>
      <c r="P646" s="374" t="s">
        <v>4052</v>
      </c>
      <c r="Q646" s="377">
        <v>60000000</v>
      </c>
      <c r="R646" s="374" t="s">
        <v>4052</v>
      </c>
      <c r="S646" s="377">
        <v>60000000</v>
      </c>
      <c r="T646" s="374" t="s">
        <v>4052</v>
      </c>
      <c r="U646" s="377">
        <v>60000000</v>
      </c>
      <c r="V646" s="529"/>
      <c r="W646" s="529"/>
      <c r="X646" s="529"/>
    </row>
    <row r="647" spans="1:32" s="280" customFormat="1" ht="30" customHeight="1">
      <c r="A647" s="285"/>
      <c r="B647" s="1093" t="s">
        <v>4262</v>
      </c>
      <c r="C647" s="1094"/>
      <c r="D647" s="1094"/>
      <c r="E647" s="1094"/>
      <c r="F647" s="1094"/>
      <c r="G647" s="1095"/>
      <c r="H647" s="342"/>
      <c r="I647" s="342"/>
      <c r="J647" s="342"/>
      <c r="K647" s="342">
        <f>SUM(K629:K646)</f>
        <v>526655300</v>
      </c>
      <c r="L647" s="342"/>
      <c r="M647" s="342">
        <f t="shared" ref="M647:U647" si="67">SUM(M629:M646)</f>
        <v>2080898000</v>
      </c>
      <c r="N647" s="342"/>
      <c r="O647" s="342">
        <f t="shared" si="67"/>
        <v>2040000000</v>
      </c>
      <c r="P647" s="342"/>
      <c r="Q647" s="342">
        <f t="shared" si="67"/>
        <v>2000000000</v>
      </c>
      <c r="R647" s="342"/>
      <c r="S647" s="342">
        <f t="shared" si="67"/>
        <v>10400000000</v>
      </c>
      <c r="T647" s="342"/>
      <c r="U647" s="342">
        <f t="shared" si="67"/>
        <v>10400000000</v>
      </c>
      <c r="V647" s="342">
        <f t="shared" ref="V647:W647" si="68">SUM(V644:V646)</f>
        <v>0</v>
      </c>
      <c r="W647" s="342">
        <f t="shared" si="68"/>
        <v>0</v>
      </c>
      <c r="X647" s="342"/>
      <c r="Y647" s="285"/>
      <c r="Z647" s="285"/>
      <c r="AA647" s="285"/>
      <c r="AB647" s="285"/>
      <c r="AC647" s="285"/>
      <c r="AD647" s="285"/>
      <c r="AE647" s="285"/>
      <c r="AF647" s="285"/>
    </row>
    <row r="648" spans="1:32" ht="30">
      <c r="A648" s="165">
        <v>1</v>
      </c>
      <c r="B648" s="62" t="str">
        <f>'[4]matrik MISI 1'!B47</f>
        <v>KELAUTAN DAN PERIKANAN</v>
      </c>
      <c r="C648" s="56"/>
      <c r="D648" s="57"/>
      <c r="E648" s="57"/>
      <c r="F648" s="58"/>
      <c r="G648" s="58"/>
      <c r="H648" s="529"/>
      <c r="I648" s="529"/>
      <c r="J648" s="529"/>
      <c r="K648" s="529"/>
      <c r="L648" s="529"/>
      <c r="M648" s="529"/>
      <c r="N648" s="529"/>
      <c r="O648" s="529"/>
      <c r="P648" s="529"/>
      <c r="Q648" s="529"/>
      <c r="R648" s="529"/>
      <c r="S648" s="529"/>
      <c r="T648" s="529"/>
      <c r="U648" s="529"/>
      <c r="V648" s="529"/>
      <c r="W648" s="529"/>
      <c r="X648" s="529"/>
      <c r="Y648" s="165"/>
      <c r="Z648" s="165"/>
      <c r="AA648" s="165"/>
      <c r="AB648" s="165"/>
      <c r="AC648" s="165"/>
      <c r="AD648" s="165"/>
      <c r="AE648" s="165"/>
      <c r="AF648" s="165"/>
    </row>
    <row r="649" spans="1:32" s="540" customFormat="1" ht="45">
      <c r="B649" s="545"/>
      <c r="C649" s="593" t="str">
        <f>'[4]matrik MISI 1'!P48</f>
        <v>2.05</v>
      </c>
      <c r="D649" s="594" t="str">
        <f>'[4]matrik MISI 1'!Q48</f>
        <v>xx</v>
      </c>
      <c r="E649" s="594">
        <f>'[4]matrik MISI 1'!R48</f>
        <v>20</v>
      </c>
      <c r="F649" s="595" t="str">
        <f>'[4]matrik MISI 1'!S48</f>
        <v>Program Pengembangan Budidaya Perikanan</v>
      </c>
      <c r="G649" s="548"/>
      <c r="H649" s="618"/>
      <c r="I649" s="618"/>
      <c r="J649" s="618"/>
      <c r="K649" s="551">
        <f>SUM(K650:K658)</f>
        <v>3060868000</v>
      </c>
      <c r="L649" s="551">
        <f t="shared" ref="L649:U649" si="69">SUM(L650:L658)</f>
        <v>0</v>
      </c>
      <c r="M649" s="551">
        <f t="shared" si="69"/>
        <v>3050000000</v>
      </c>
      <c r="N649" s="551">
        <f t="shared" si="69"/>
        <v>0</v>
      </c>
      <c r="O649" s="551">
        <f t="shared" si="69"/>
        <v>2600000000</v>
      </c>
      <c r="P649" s="551">
        <f t="shared" si="69"/>
        <v>0</v>
      </c>
      <c r="Q649" s="551">
        <f t="shared" si="69"/>
        <v>3550000000</v>
      </c>
      <c r="R649" s="551">
        <f t="shared" si="69"/>
        <v>0</v>
      </c>
      <c r="S649" s="551">
        <f t="shared" si="69"/>
        <v>3050000000</v>
      </c>
      <c r="T649" s="551">
        <f t="shared" si="69"/>
        <v>0</v>
      </c>
      <c r="U649" s="551">
        <f t="shared" si="69"/>
        <v>3415375000</v>
      </c>
      <c r="V649" s="618"/>
      <c r="W649" s="551"/>
      <c r="X649" s="551" t="str">
        <f>'[4]matrik MISI 1'!AF48</f>
        <v>DINAKAN</v>
      </c>
    </row>
    <row r="650" spans="1:32" s="165" customFormat="1" ht="30">
      <c r="B650" s="48"/>
      <c r="C650" s="62"/>
      <c r="D650" s="63"/>
      <c r="E650" s="63"/>
      <c r="F650" s="64"/>
      <c r="G650" s="429" t="s">
        <v>4169</v>
      </c>
      <c r="H650" s="378" t="s">
        <v>2488</v>
      </c>
      <c r="I650" s="378" t="s">
        <v>4170</v>
      </c>
      <c r="J650" s="378" t="s">
        <v>4171</v>
      </c>
      <c r="K650" s="248">
        <f>500967000+80987000</f>
        <v>581954000</v>
      </c>
      <c r="L650" s="378" t="s">
        <v>4171</v>
      </c>
      <c r="M650" s="248">
        <v>800000000</v>
      </c>
      <c r="N650" s="378" t="s">
        <v>4172</v>
      </c>
      <c r="O650" s="248">
        <v>800000000</v>
      </c>
      <c r="P650" s="378" t="s">
        <v>4172</v>
      </c>
      <c r="Q650" s="248">
        <v>1000000000</v>
      </c>
      <c r="R650" s="378" t="s">
        <v>2489</v>
      </c>
      <c r="S650" s="248">
        <v>1000000000</v>
      </c>
      <c r="T650" s="378" t="s">
        <v>2489</v>
      </c>
      <c r="U650" s="248">
        <v>1500000000</v>
      </c>
      <c r="V650" s="161"/>
      <c r="W650" s="529"/>
      <c r="X650" s="529"/>
    </row>
    <row r="651" spans="1:32" s="165" customFormat="1" ht="30">
      <c r="B651" s="48"/>
      <c r="C651" s="62"/>
      <c r="D651" s="63"/>
      <c r="E651" s="63"/>
      <c r="F651" s="64"/>
      <c r="G651" s="420" t="s">
        <v>4173</v>
      </c>
      <c r="H651" s="150" t="s">
        <v>2652</v>
      </c>
      <c r="I651" s="156">
        <v>0</v>
      </c>
      <c r="J651" s="156" t="s">
        <v>2650</v>
      </c>
      <c r="K651" s="156">
        <v>173987000</v>
      </c>
      <c r="L651" s="156" t="s">
        <v>2650</v>
      </c>
      <c r="M651" s="156">
        <v>200000000</v>
      </c>
      <c r="N651" s="156" t="s">
        <v>2650</v>
      </c>
      <c r="O651" s="156">
        <v>150000000</v>
      </c>
      <c r="P651" s="156" t="s">
        <v>2650</v>
      </c>
      <c r="Q651" s="156">
        <v>200000000</v>
      </c>
      <c r="R651" s="156" t="s">
        <v>2650</v>
      </c>
      <c r="S651" s="156">
        <v>150000000</v>
      </c>
      <c r="T651" s="156" t="s">
        <v>2650</v>
      </c>
      <c r="U651" s="156">
        <v>500000000</v>
      </c>
      <c r="V651" s="161"/>
      <c r="W651" s="529"/>
      <c r="X651" s="529"/>
    </row>
    <row r="652" spans="1:32" s="165" customFormat="1" ht="30">
      <c r="B652" s="48"/>
      <c r="C652" s="62"/>
      <c r="D652" s="63"/>
      <c r="E652" s="63"/>
      <c r="F652" s="64"/>
      <c r="G652" s="420" t="s">
        <v>4174</v>
      </c>
      <c r="H652" s="150" t="s">
        <v>4175</v>
      </c>
      <c r="I652" s="156" t="s">
        <v>4176</v>
      </c>
      <c r="J652" s="156" t="s">
        <v>4177</v>
      </c>
      <c r="K652" s="248">
        <v>1210937000</v>
      </c>
      <c r="L652" s="156" t="s">
        <v>4177</v>
      </c>
      <c r="M652" s="156">
        <v>500000000</v>
      </c>
      <c r="N652" s="156" t="s">
        <v>4176</v>
      </c>
      <c r="O652" s="156">
        <v>500000000</v>
      </c>
      <c r="P652" s="156" t="s">
        <v>4178</v>
      </c>
      <c r="Q652" s="156">
        <v>500000000</v>
      </c>
      <c r="R652" s="156" t="s">
        <v>4179</v>
      </c>
      <c r="S652" s="156">
        <v>500000000</v>
      </c>
      <c r="T652" s="156" t="s">
        <v>4179</v>
      </c>
      <c r="U652" s="156">
        <v>3500000</v>
      </c>
      <c r="V652" s="161"/>
      <c r="W652" s="796"/>
      <c r="X652" s="796"/>
    </row>
    <row r="653" spans="1:32" s="165" customFormat="1" ht="45">
      <c r="B653" s="48"/>
      <c r="C653" s="62"/>
      <c r="D653" s="63"/>
      <c r="E653" s="63"/>
      <c r="F653" s="64"/>
      <c r="G653" s="420" t="s">
        <v>4181</v>
      </c>
      <c r="H653" s="156"/>
      <c r="I653" s="156"/>
      <c r="J653" s="156">
        <v>0</v>
      </c>
      <c r="K653" s="379"/>
      <c r="L653" s="156" t="s">
        <v>4178</v>
      </c>
      <c r="M653" s="156">
        <v>250000000</v>
      </c>
      <c r="N653" s="156" t="s">
        <v>4180</v>
      </c>
      <c r="O653" s="156">
        <v>300000000</v>
      </c>
      <c r="P653" s="156" t="s">
        <v>4180</v>
      </c>
      <c r="Q653" s="156">
        <v>350000000</v>
      </c>
      <c r="R653" s="156" t="s">
        <v>4180</v>
      </c>
      <c r="S653" s="156">
        <v>400000000</v>
      </c>
      <c r="T653" s="156" t="s">
        <v>4180</v>
      </c>
      <c r="U653" s="156">
        <v>710000000</v>
      </c>
      <c r="V653" s="161"/>
      <c r="W653" s="529"/>
      <c r="X653" s="529"/>
    </row>
    <row r="654" spans="1:32" s="165" customFormat="1" ht="60">
      <c r="B654" s="48"/>
      <c r="C654" s="62"/>
      <c r="D654" s="63"/>
      <c r="E654" s="63"/>
      <c r="F654" s="64"/>
      <c r="G654" s="420" t="s">
        <v>4182</v>
      </c>
      <c r="H654" s="150" t="s">
        <v>4183</v>
      </c>
      <c r="I654" s="150" t="s">
        <v>4184</v>
      </c>
      <c r="J654" s="150" t="s">
        <v>4185</v>
      </c>
      <c r="K654" s="156">
        <v>150000000</v>
      </c>
      <c r="L654" s="150" t="s">
        <v>4186</v>
      </c>
      <c r="M654" s="156">
        <v>500000000</v>
      </c>
      <c r="N654" s="150" t="s">
        <v>4187</v>
      </c>
      <c r="O654" s="156">
        <v>550000000</v>
      </c>
      <c r="P654" s="150" t="s">
        <v>4188</v>
      </c>
      <c r="Q654" s="156">
        <v>650000000</v>
      </c>
      <c r="R654" s="150" t="s">
        <v>4189</v>
      </c>
      <c r="S654" s="156">
        <v>700000000</v>
      </c>
      <c r="T654" s="150" t="s">
        <v>4189</v>
      </c>
      <c r="U654" s="156">
        <v>700000000</v>
      </c>
      <c r="V654" s="161"/>
      <c r="W654" s="529"/>
      <c r="X654" s="529"/>
    </row>
    <row r="655" spans="1:32" s="165" customFormat="1" ht="90">
      <c r="B655" s="48"/>
      <c r="C655" s="62"/>
      <c r="D655" s="63"/>
      <c r="E655" s="63"/>
      <c r="F655" s="64"/>
      <c r="G655" s="420" t="s">
        <v>4194</v>
      </c>
      <c r="H655" s="150" t="s">
        <v>4190</v>
      </c>
      <c r="I655" s="150" t="s">
        <v>4191</v>
      </c>
      <c r="J655" s="248" t="s">
        <v>4185</v>
      </c>
      <c r="K655" s="248">
        <v>910000000</v>
      </c>
      <c r="L655" s="156" t="s">
        <v>4185</v>
      </c>
      <c r="M655" s="156">
        <v>300000000</v>
      </c>
      <c r="N655" s="156" t="s">
        <v>4192</v>
      </c>
      <c r="O655" s="156">
        <v>300000000</v>
      </c>
      <c r="P655" s="156" t="s">
        <v>4192</v>
      </c>
      <c r="Q655" s="156">
        <v>300000000</v>
      </c>
      <c r="R655" s="156" t="s">
        <v>4193</v>
      </c>
      <c r="S655" s="156">
        <v>300000000</v>
      </c>
      <c r="T655" s="156" t="s">
        <v>4193</v>
      </c>
      <c r="U655" s="156">
        <v>1875000</v>
      </c>
      <c r="V655" s="161"/>
      <c r="W655" s="796"/>
      <c r="X655" s="796"/>
    </row>
    <row r="656" spans="1:32" s="165" customFormat="1" ht="60">
      <c r="B656" s="48"/>
      <c r="C656" s="62"/>
      <c r="D656" s="63"/>
      <c r="E656" s="63"/>
      <c r="F656" s="64"/>
      <c r="G656" s="420" t="s">
        <v>4195</v>
      </c>
      <c r="H656" s="156"/>
      <c r="I656" s="156"/>
      <c r="J656" s="156">
        <v>0</v>
      </c>
      <c r="K656" s="156">
        <v>0</v>
      </c>
      <c r="L656" s="156" t="s">
        <v>2551</v>
      </c>
      <c r="M656" s="156">
        <v>500000000</v>
      </c>
      <c r="N656" s="156"/>
      <c r="O656" s="156"/>
      <c r="P656" s="156" t="s">
        <v>2551</v>
      </c>
      <c r="Q656" s="156">
        <v>500000000</v>
      </c>
      <c r="R656" s="156"/>
      <c r="S656" s="156"/>
      <c r="T656" s="156"/>
      <c r="U656" s="156"/>
      <c r="V656" s="161"/>
      <c r="W656" s="529"/>
      <c r="X656" s="529"/>
    </row>
    <row r="657" spans="2:24" s="165" customFormat="1" ht="120">
      <c r="B657" s="48"/>
      <c r="C657" s="62"/>
      <c r="D657" s="63"/>
      <c r="E657" s="63"/>
      <c r="F657" s="64"/>
      <c r="G657" s="430" t="s">
        <v>4231</v>
      </c>
      <c r="H657" s="380" t="s">
        <v>2650</v>
      </c>
      <c r="I657" s="380"/>
      <c r="J657" s="381" t="s">
        <v>2650</v>
      </c>
      <c r="K657" s="381">
        <v>33990000</v>
      </c>
      <c r="L657" s="381"/>
      <c r="M657" s="381"/>
      <c r="N657" s="381"/>
      <c r="O657" s="381"/>
      <c r="P657" s="381" t="s">
        <v>2650</v>
      </c>
      <c r="Q657" s="381">
        <v>50000000</v>
      </c>
      <c r="R657" s="381"/>
      <c r="S657" s="381"/>
      <c r="T657" s="381"/>
      <c r="U657" s="381"/>
      <c r="V657" s="161"/>
      <c r="W657" s="529"/>
      <c r="X657" s="529"/>
    </row>
    <row r="658" spans="2:24" s="165" customFormat="1">
      <c r="B658" s="48"/>
      <c r="C658" s="62"/>
      <c r="D658" s="63"/>
      <c r="E658" s="63"/>
      <c r="F658" s="64"/>
      <c r="G658" s="58"/>
      <c r="H658" s="161"/>
      <c r="I658" s="161"/>
      <c r="J658" s="161"/>
      <c r="K658" s="529"/>
      <c r="L658" s="161"/>
      <c r="M658" s="529"/>
      <c r="N658" s="161"/>
      <c r="O658" s="529"/>
      <c r="P658" s="161"/>
      <c r="Q658" s="529"/>
      <c r="R658" s="161"/>
      <c r="S658" s="529"/>
      <c r="T658" s="161"/>
      <c r="U658" s="529"/>
      <c r="V658" s="161"/>
      <c r="W658" s="529"/>
      <c r="X658" s="529"/>
    </row>
    <row r="659" spans="2:24" s="540" customFormat="1" ht="45">
      <c r="B659" s="601"/>
      <c r="C659" s="591" t="str">
        <f>'[4]matrik MISI 1'!P58</f>
        <v>2.05</v>
      </c>
      <c r="D659" s="592" t="str">
        <f>'[4]matrik MISI 1'!Q58</f>
        <v>xx</v>
      </c>
      <c r="E659" s="592">
        <f>'[4]matrik MISI 1'!R58</f>
        <v>21</v>
      </c>
      <c r="F659" s="548" t="str">
        <f>'[4]matrik MISI 1'!S58</f>
        <v>Program Pengembangan Perikanan Tangkap</v>
      </c>
      <c r="G659" s="548"/>
      <c r="H659" s="618"/>
      <c r="I659" s="618"/>
      <c r="J659" s="618"/>
      <c r="K659" s="551">
        <f>SUM(K660)</f>
        <v>0</v>
      </c>
      <c r="L659" s="551">
        <f t="shared" ref="L659:U659" si="70">SUM(L660)</f>
        <v>0</v>
      </c>
      <c r="M659" s="551">
        <f t="shared" si="70"/>
        <v>50000000</v>
      </c>
      <c r="N659" s="551">
        <f t="shared" si="70"/>
        <v>0</v>
      </c>
      <c r="O659" s="551">
        <f t="shared" si="70"/>
        <v>65000000</v>
      </c>
      <c r="P659" s="551">
        <f t="shared" si="70"/>
        <v>0</v>
      </c>
      <c r="Q659" s="551">
        <f t="shared" si="70"/>
        <v>75000000</v>
      </c>
      <c r="R659" s="551">
        <f t="shared" si="70"/>
        <v>0</v>
      </c>
      <c r="S659" s="551">
        <f t="shared" si="70"/>
        <v>95000000</v>
      </c>
      <c r="T659" s="551">
        <f t="shared" si="70"/>
        <v>0</v>
      </c>
      <c r="U659" s="551">
        <f t="shared" si="70"/>
        <v>95000000</v>
      </c>
      <c r="V659" s="618"/>
      <c r="W659" s="551"/>
      <c r="X659" s="551" t="str">
        <f>'[4]matrik MISI 1'!AF58</f>
        <v>DINAKAN</v>
      </c>
    </row>
    <row r="660" spans="2:24" s="165" customFormat="1" ht="60">
      <c r="B660" s="48"/>
      <c r="C660" s="62"/>
      <c r="D660" s="63"/>
      <c r="E660" s="63"/>
      <c r="F660" s="64"/>
      <c r="G660" s="420" t="s">
        <v>4216</v>
      </c>
      <c r="H660" s="150"/>
      <c r="I660" s="150" t="s">
        <v>2937</v>
      </c>
      <c r="J660" s="156" t="s">
        <v>2937</v>
      </c>
      <c r="K660" s="379"/>
      <c r="L660" s="156" t="s">
        <v>2937</v>
      </c>
      <c r="M660" s="156">
        <v>50000000</v>
      </c>
      <c r="N660" s="156" t="s">
        <v>2937</v>
      </c>
      <c r="O660" s="156">
        <v>65000000</v>
      </c>
      <c r="P660" s="156" t="s">
        <v>2937</v>
      </c>
      <c r="Q660" s="156">
        <v>75000000</v>
      </c>
      <c r="R660" s="156" t="s">
        <v>2937</v>
      </c>
      <c r="S660" s="156">
        <v>95000000</v>
      </c>
      <c r="T660" s="156" t="s">
        <v>2937</v>
      </c>
      <c r="U660" s="156">
        <v>95000000</v>
      </c>
      <c r="V660" s="161"/>
      <c r="W660" s="529"/>
      <c r="X660" s="529"/>
    </row>
    <row r="661" spans="2:24" s="540" customFormat="1" ht="60">
      <c r="B661" s="545"/>
      <c r="C661" s="593" t="str">
        <f>'[4]matrik MISI 1'!P55</f>
        <v>2.05</v>
      </c>
      <c r="D661" s="594" t="str">
        <f>'[4]matrik MISI 1'!Q55</f>
        <v>xx</v>
      </c>
      <c r="E661" s="594">
        <f>'[4]matrik MISI 1'!R55</f>
        <v>23</v>
      </c>
      <c r="F661" s="595" t="str">
        <f>'[4]matrik MISI 1'!S55</f>
        <v>Program Optimalisasi pengelolaan dan Pemasaran Produksi Perikanan</v>
      </c>
      <c r="G661" s="548"/>
      <c r="H661" s="618"/>
      <c r="I661" s="618"/>
      <c r="J661" s="618"/>
      <c r="K661" s="551">
        <f>SUM(K662:K665)</f>
        <v>876128000</v>
      </c>
      <c r="L661" s="551">
        <f t="shared" ref="L661:U661" si="71">SUM(L662:L665)</f>
        <v>0</v>
      </c>
      <c r="M661" s="551">
        <f t="shared" si="71"/>
        <v>1065000000</v>
      </c>
      <c r="N661" s="551">
        <f t="shared" si="71"/>
        <v>0</v>
      </c>
      <c r="O661" s="551">
        <f t="shared" si="71"/>
        <v>1200000000</v>
      </c>
      <c r="P661" s="551">
        <f t="shared" si="71"/>
        <v>0</v>
      </c>
      <c r="Q661" s="551">
        <f t="shared" si="71"/>
        <v>1475000000</v>
      </c>
      <c r="R661" s="551">
        <f t="shared" si="71"/>
        <v>0</v>
      </c>
      <c r="S661" s="551">
        <f t="shared" si="71"/>
        <v>1535000000</v>
      </c>
      <c r="T661" s="551">
        <f t="shared" si="71"/>
        <v>0</v>
      </c>
      <c r="U661" s="551">
        <f t="shared" si="71"/>
        <v>1086550000</v>
      </c>
      <c r="V661" s="618"/>
      <c r="W661" s="551"/>
      <c r="X661" s="551" t="str">
        <f>'[4]matrik MISI 1'!AF55</f>
        <v>DINAKAN</v>
      </c>
    </row>
    <row r="662" spans="2:24" s="165" customFormat="1" ht="45">
      <c r="B662" s="48"/>
      <c r="C662" s="62"/>
      <c r="D662" s="63"/>
      <c r="E662" s="63"/>
      <c r="F662" s="64"/>
      <c r="G662" s="420" t="s">
        <v>4208</v>
      </c>
      <c r="H662" s="156">
        <v>0</v>
      </c>
      <c r="I662" s="156">
        <v>0</v>
      </c>
      <c r="J662" s="156" t="s">
        <v>2937</v>
      </c>
      <c r="K662" s="156">
        <v>400997000</v>
      </c>
      <c r="L662" s="156" t="s">
        <v>2937</v>
      </c>
      <c r="M662" s="156">
        <v>400000000</v>
      </c>
      <c r="N662" s="156" t="s">
        <v>2937</v>
      </c>
      <c r="O662" s="156">
        <v>400000000</v>
      </c>
      <c r="P662" s="156" t="s">
        <v>2937</v>
      </c>
      <c r="Q662" s="156">
        <v>450000000</v>
      </c>
      <c r="R662" s="156" t="s">
        <v>2937</v>
      </c>
      <c r="S662" s="156">
        <v>450000000</v>
      </c>
      <c r="T662" s="156" t="s">
        <v>2937</v>
      </c>
      <c r="U662" s="156">
        <v>1550000</v>
      </c>
      <c r="V662" s="161"/>
      <c r="W662" s="796"/>
      <c r="X662" s="796"/>
    </row>
    <row r="663" spans="2:24" s="165" customFormat="1" ht="120">
      <c r="B663" s="48"/>
      <c r="C663" s="62"/>
      <c r="D663" s="63"/>
      <c r="E663" s="63"/>
      <c r="F663" s="64"/>
      <c r="G663" s="420" t="s">
        <v>4209</v>
      </c>
      <c r="H663" s="150" t="s">
        <v>2568</v>
      </c>
      <c r="I663" s="150" t="s">
        <v>2515</v>
      </c>
      <c r="J663" s="156" t="s">
        <v>4170</v>
      </c>
      <c r="K663" s="156">
        <v>92631000</v>
      </c>
      <c r="L663" s="156" t="s">
        <v>2568</v>
      </c>
      <c r="M663" s="156">
        <v>200000000</v>
      </c>
      <c r="N663" s="156" t="s">
        <v>2568</v>
      </c>
      <c r="O663" s="156">
        <v>300000000</v>
      </c>
      <c r="P663" s="156" t="s">
        <v>4170</v>
      </c>
      <c r="Q663" s="156">
        <v>450000000</v>
      </c>
      <c r="R663" s="156" t="s">
        <v>4170</v>
      </c>
      <c r="S663" s="156">
        <v>500000000</v>
      </c>
      <c r="T663" s="156" t="s">
        <v>4170</v>
      </c>
      <c r="U663" s="156">
        <v>500000000</v>
      </c>
      <c r="V663" s="161"/>
      <c r="W663" s="529"/>
      <c r="X663" s="529"/>
    </row>
    <row r="664" spans="2:24" s="165" customFormat="1" ht="60">
      <c r="B664" s="48"/>
      <c r="C664" s="62"/>
      <c r="D664" s="63"/>
      <c r="E664" s="63"/>
      <c r="F664" s="64"/>
      <c r="G664" s="420" t="s">
        <v>4210</v>
      </c>
      <c r="H664" s="150" t="s">
        <v>4211</v>
      </c>
      <c r="I664" s="150" t="s">
        <v>4212</v>
      </c>
      <c r="J664" s="156" t="s">
        <v>4212</v>
      </c>
      <c r="K664" s="156">
        <v>350000000</v>
      </c>
      <c r="L664" s="156" t="s">
        <v>4213</v>
      </c>
      <c r="M664" s="156">
        <v>375000000</v>
      </c>
      <c r="N664" s="156" t="s">
        <v>4213</v>
      </c>
      <c r="O664" s="156">
        <v>400000000</v>
      </c>
      <c r="P664" s="156" t="s">
        <v>4214</v>
      </c>
      <c r="Q664" s="156">
        <v>450000000</v>
      </c>
      <c r="R664" s="156" t="s">
        <v>4214</v>
      </c>
      <c r="S664" s="156">
        <v>450000000</v>
      </c>
      <c r="T664" s="156" t="s">
        <v>4214</v>
      </c>
      <c r="U664" s="156">
        <v>450000000</v>
      </c>
      <c r="V664" s="161"/>
      <c r="W664" s="529"/>
      <c r="X664" s="529"/>
    </row>
    <row r="665" spans="2:24" s="165" customFormat="1" ht="45">
      <c r="B665" s="48"/>
      <c r="C665" s="62"/>
      <c r="D665" s="63"/>
      <c r="E665" s="63"/>
      <c r="F665" s="64"/>
      <c r="G665" s="420" t="s">
        <v>4215</v>
      </c>
      <c r="H665" s="156">
        <v>0</v>
      </c>
      <c r="I665" s="156">
        <v>0</v>
      </c>
      <c r="J665" s="156" t="s">
        <v>2937</v>
      </c>
      <c r="K665" s="156">
        <v>32500000</v>
      </c>
      <c r="L665" s="156" t="s">
        <v>2937</v>
      </c>
      <c r="M665" s="156">
        <v>90000000</v>
      </c>
      <c r="N665" s="156" t="s">
        <v>2937</v>
      </c>
      <c r="O665" s="156">
        <v>100000000</v>
      </c>
      <c r="P665" s="156" t="s">
        <v>2937</v>
      </c>
      <c r="Q665" s="156">
        <v>125000000</v>
      </c>
      <c r="R665" s="156" t="s">
        <v>2937</v>
      </c>
      <c r="S665" s="156">
        <v>135000000</v>
      </c>
      <c r="T665" s="156" t="s">
        <v>2937</v>
      </c>
      <c r="U665" s="156">
        <v>135000000</v>
      </c>
      <c r="V665" s="161"/>
      <c r="W665" s="529"/>
      <c r="X665" s="529"/>
    </row>
    <row r="666" spans="2:24" s="540" customFormat="1" ht="60">
      <c r="B666" s="545"/>
      <c r="C666" s="591" t="str">
        <f>'[4]matrik MISI 1'!P57</f>
        <v>2.05</v>
      </c>
      <c r="D666" s="592" t="str">
        <f>'[4]matrik MISI 1'!Q57</f>
        <v>xx</v>
      </c>
      <c r="E666" s="592">
        <f>'[4]matrik MISI 1'!R57</f>
        <v>24</v>
      </c>
      <c r="F666" s="548" t="str">
        <f>'[4]matrik MISI 1'!S57</f>
        <v>Program Pengembangan Kawasan budidaya air tawar</v>
      </c>
      <c r="G666" s="548"/>
      <c r="H666" s="618"/>
      <c r="I666" s="618"/>
      <c r="J666" s="618"/>
      <c r="K666" s="551">
        <f>SUM(K667:K672)</f>
        <v>456495000</v>
      </c>
      <c r="L666" s="551">
        <f t="shared" ref="L666:U666" si="72">SUM(L667:L672)</f>
        <v>0</v>
      </c>
      <c r="M666" s="551">
        <f t="shared" si="72"/>
        <v>685440000</v>
      </c>
      <c r="N666" s="551">
        <f t="shared" si="72"/>
        <v>0</v>
      </c>
      <c r="O666" s="551">
        <f t="shared" si="72"/>
        <v>930000000</v>
      </c>
      <c r="P666" s="551">
        <f t="shared" si="72"/>
        <v>0</v>
      </c>
      <c r="Q666" s="551">
        <f t="shared" si="72"/>
        <v>825000000</v>
      </c>
      <c r="R666" s="551">
        <f t="shared" si="72"/>
        <v>0</v>
      </c>
      <c r="S666" s="551">
        <f t="shared" si="72"/>
        <v>870000000</v>
      </c>
      <c r="T666" s="551">
        <f t="shared" si="72"/>
        <v>0</v>
      </c>
      <c r="U666" s="551">
        <f t="shared" si="72"/>
        <v>1612800000</v>
      </c>
      <c r="V666" s="618"/>
      <c r="W666" s="551"/>
      <c r="X666" s="551" t="str">
        <f>'[4]matrik MISI 1'!AF57</f>
        <v>DINAKAN</v>
      </c>
    </row>
    <row r="667" spans="2:24" s="165" customFormat="1" ht="45">
      <c r="B667" s="48"/>
      <c r="C667" s="56"/>
      <c r="D667" s="57"/>
      <c r="E667" s="57"/>
      <c r="F667" s="58"/>
      <c r="G667" s="420" t="s">
        <v>4196</v>
      </c>
      <c r="H667" s="150"/>
      <c r="I667" s="156">
        <v>0</v>
      </c>
      <c r="J667" s="156"/>
      <c r="K667" s="156">
        <v>100000000</v>
      </c>
      <c r="L667" s="156" t="s">
        <v>4197</v>
      </c>
      <c r="M667" s="156">
        <v>100000000</v>
      </c>
      <c r="N667" s="156" t="s">
        <v>4198</v>
      </c>
      <c r="O667" s="156">
        <v>125000000</v>
      </c>
      <c r="P667" s="156" t="s">
        <v>4172</v>
      </c>
      <c r="Q667" s="156">
        <v>150000000</v>
      </c>
      <c r="R667" s="156" t="s">
        <v>2489</v>
      </c>
      <c r="S667" s="156">
        <v>175000000</v>
      </c>
      <c r="T667" s="156" t="s">
        <v>2489</v>
      </c>
      <c r="U667" s="156">
        <v>2800000</v>
      </c>
      <c r="V667" s="161"/>
      <c r="W667" s="796"/>
      <c r="X667" s="796"/>
    </row>
    <row r="668" spans="2:24" s="165" customFormat="1" ht="45">
      <c r="B668" s="48"/>
      <c r="C668" s="56"/>
      <c r="D668" s="57"/>
      <c r="E668" s="57"/>
      <c r="F668" s="58"/>
      <c r="G668" s="420" t="s">
        <v>4199</v>
      </c>
      <c r="H668" s="150"/>
      <c r="I668" s="150" t="s">
        <v>2937</v>
      </c>
      <c r="J668" s="156" t="s">
        <v>2937</v>
      </c>
      <c r="K668" s="156">
        <v>40000000</v>
      </c>
      <c r="M668" s="354"/>
      <c r="N668" s="156" t="s">
        <v>2937</v>
      </c>
      <c r="O668" s="156">
        <v>80000000</v>
      </c>
      <c r="P668" s="156"/>
      <c r="Q668" s="156"/>
      <c r="R668" s="156"/>
      <c r="S668" s="156"/>
      <c r="T668" s="156"/>
      <c r="U668" s="156"/>
      <c r="V668" s="161"/>
      <c r="W668" s="529"/>
      <c r="X668" s="529"/>
    </row>
    <row r="669" spans="2:24" s="165" customFormat="1" ht="60">
      <c r="B669" s="48"/>
      <c r="C669" s="56"/>
      <c r="D669" s="57"/>
      <c r="E669" s="57"/>
      <c r="F669" s="58"/>
      <c r="G669" s="420" t="s">
        <v>4200</v>
      </c>
      <c r="H669" s="150"/>
      <c r="I669" s="150" t="s">
        <v>4201</v>
      </c>
      <c r="J669" s="248"/>
      <c r="K669" s="379"/>
      <c r="L669" s="156" t="s">
        <v>4202</v>
      </c>
      <c r="M669" s="156">
        <v>100000000</v>
      </c>
      <c r="N669" s="156" t="s">
        <v>4202</v>
      </c>
      <c r="O669" s="156">
        <v>125000000</v>
      </c>
      <c r="P669" s="156" t="s">
        <v>4203</v>
      </c>
      <c r="Q669" s="156">
        <v>150000000</v>
      </c>
      <c r="R669" s="156" t="s">
        <v>4204</v>
      </c>
      <c r="S669" s="156">
        <v>175000000</v>
      </c>
      <c r="T669" s="156" t="s">
        <v>4204</v>
      </c>
      <c r="U669" s="156">
        <v>700000000</v>
      </c>
      <c r="V669" s="161"/>
      <c r="W669" s="529"/>
      <c r="X669" s="529"/>
    </row>
    <row r="670" spans="2:24" s="165" customFormat="1" ht="60">
      <c r="B670" s="48"/>
      <c r="C670" s="56"/>
      <c r="D670" s="57"/>
      <c r="E670" s="57"/>
      <c r="F670" s="58"/>
      <c r="G670" s="420" t="s">
        <v>4205</v>
      </c>
      <c r="H670" s="150" t="s">
        <v>2551</v>
      </c>
      <c r="I670" s="150" t="s">
        <v>2551</v>
      </c>
      <c r="J670" s="378" t="s">
        <v>2551</v>
      </c>
      <c r="K670" s="248">
        <v>96000000</v>
      </c>
      <c r="L670" s="150" t="s">
        <v>2551</v>
      </c>
      <c r="M670" s="156">
        <v>150000000</v>
      </c>
      <c r="N670" s="150" t="s">
        <v>2551</v>
      </c>
      <c r="O670" s="156">
        <v>200000000</v>
      </c>
      <c r="P670" s="150" t="s">
        <v>2551</v>
      </c>
      <c r="Q670" s="156">
        <v>250000000</v>
      </c>
      <c r="R670" s="150" t="s">
        <v>2551</v>
      </c>
      <c r="S670" s="156">
        <v>300000000</v>
      </c>
      <c r="T670" s="150" t="s">
        <v>2551</v>
      </c>
      <c r="U670" s="156">
        <v>690000000</v>
      </c>
      <c r="V670" s="161"/>
      <c r="W670" s="529"/>
      <c r="X670" s="529"/>
    </row>
    <row r="671" spans="2:24" s="165" customFormat="1" ht="90">
      <c r="B671" s="48"/>
      <c r="C671" s="56"/>
      <c r="D671" s="57"/>
      <c r="E671" s="57"/>
      <c r="F671" s="58"/>
      <c r="G671" s="429" t="s">
        <v>4206</v>
      </c>
      <c r="H671" s="150"/>
      <c r="I671" s="150"/>
      <c r="J671" s="156"/>
      <c r="K671" s="248">
        <f>27995000+192500000</f>
        <v>220495000</v>
      </c>
      <c r="M671" s="156">
        <v>270440000</v>
      </c>
      <c r="N671" s="156"/>
      <c r="O671" s="156">
        <v>330000000</v>
      </c>
      <c r="P671" s="156"/>
      <c r="Q671" s="156">
        <v>200000000</v>
      </c>
      <c r="R671" s="156"/>
      <c r="S671" s="156">
        <v>140000000</v>
      </c>
      <c r="T671" s="156"/>
      <c r="U671" s="156">
        <v>140000000</v>
      </c>
      <c r="V671" s="161"/>
      <c r="W671" s="529"/>
      <c r="X671" s="529"/>
    </row>
    <row r="672" spans="2:24" s="165" customFormat="1" ht="105">
      <c r="B672" s="48"/>
      <c r="C672" s="56"/>
      <c r="D672" s="57"/>
      <c r="E672" s="57"/>
      <c r="F672" s="58"/>
      <c r="G672" s="420" t="s">
        <v>4207</v>
      </c>
      <c r="H672" s="150" t="s">
        <v>1040</v>
      </c>
      <c r="I672" s="150"/>
      <c r="J672" s="150" t="s">
        <v>2937</v>
      </c>
      <c r="K672" s="379"/>
      <c r="L672" s="150" t="s">
        <v>2937</v>
      </c>
      <c r="M672" s="156">
        <v>65000000</v>
      </c>
      <c r="N672" s="150" t="s">
        <v>2937</v>
      </c>
      <c r="O672" s="156">
        <v>70000000</v>
      </c>
      <c r="P672" s="150" t="s">
        <v>2937</v>
      </c>
      <c r="Q672" s="156">
        <v>75000000</v>
      </c>
      <c r="R672" s="150" t="s">
        <v>2937</v>
      </c>
      <c r="S672" s="156">
        <v>80000000</v>
      </c>
      <c r="T672" s="150" t="s">
        <v>2937</v>
      </c>
      <c r="U672" s="156">
        <v>80000000</v>
      </c>
      <c r="V672" s="161"/>
      <c r="W672" s="529"/>
      <c r="X672" s="529"/>
    </row>
    <row r="673" spans="1:32" s="280" customFormat="1" ht="30" customHeight="1">
      <c r="A673" s="285"/>
      <c r="B673" s="1093" t="s">
        <v>4263</v>
      </c>
      <c r="C673" s="1094"/>
      <c r="D673" s="1094"/>
      <c r="E673" s="1094"/>
      <c r="F673" s="1094"/>
      <c r="G673" s="1095"/>
      <c r="H673" s="342"/>
      <c r="I673" s="342"/>
      <c r="J673" s="342"/>
      <c r="K673" s="342">
        <f>SUM(K650:K672)</f>
        <v>5726114000</v>
      </c>
      <c r="L673" s="342"/>
      <c r="M673" s="342">
        <f t="shared" ref="M673:U673" si="73">SUM(M650:M672)</f>
        <v>6650880000</v>
      </c>
      <c r="N673" s="342"/>
      <c r="O673" s="342">
        <f t="shared" si="73"/>
        <v>6990000000</v>
      </c>
      <c r="P673" s="342"/>
      <c r="Q673" s="342">
        <f t="shared" si="73"/>
        <v>8300000000</v>
      </c>
      <c r="R673" s="342"/>
      <c r="S673" s="342">
        <f t="shared" si="73"/>
        <v>8050000000</v>
      </c>
      <c r="T673" s="342"/>
      <c r="U673" s="342">
        <f t="shared" si="73"/>
        <v>9004075000</v>
      </c>
      <c r="V673" s="342">
        <f t="shared" ref="V673:W673" si="74">SUM(V670:V672)</f>
        <v>0</v>
      </c>
      <c r="W673" s="342">
        <f t="shared" si="74"/>
        <v>0</v>
      </c>
      <c r="X673" s="342"/>
      <c r="Y673" s="285"/>
      <c r="Z673" s="285"/>
      <c r="AA673" s="285"/>
      <c r="AB673" s="285"/>
      <c r="AC673" s="285"/>
      <c r="AD673" s="285"/>
      <c r="AE673" s="285"/>
      <c r="AF673" s="285"/>
    </row>
    <row r="674" spans="1:32">
      <c r="A674" s="165">
        <v>1</v>
      </c>
      <c r="B674" s="62" t="str">
        <f>'[4]matrik MISI 1'!B79</f>
        <v>PERDAGANGAN</v>
      </c>
      <c r="C674" s="56"/>
      <c r="D674" s="57"/>
      <c r="E674" s="57"/>
      <c r="F674" s="58"/>
      <c r="G674" s="58"/>
      <c r="H674" s="529"/>
      <c r="I674" s="529"/>
      <c r="J674" s="529"/>
      <c r="K674" s="529"/>
      <c r="L674" s="529"/>
      <c r="M674" s="529"/>
      <c r="N674" s="529"/>
      <c r="O674" s="529"/>
      <c r="P674" s="529"/>
      <c r="Q674" s="529"/>
      <c r="R674" s="529"/>
      <c r="S674" s="529"/>
      <c r="T674" s="529"/>
      <c r="U674" s="529"/>
      <c r="V674" s="529"/>
      <c r="W674" s="529"/>
      <c r="X674" s="529"/>
      <c r="Y674" s="165"/>
      <c r="Z674" s="165"/>
      <c r="AA674" s="165"/>
      <c r="AB674" s="165"/>
      <c r="AC674" s="165"/>
      <c r="AD674" s="165"/>
      <c r="AE674" s="165"/>
      <c r="AF674" s="165"/>
    </row>
    <row r="675" spans="1:32" s="540" customFormat="1" ht="45">
      <c r="B675" s="545"/>
      <c r="C675" s="593" t="str">
        <f>'[4]matrik MISI 1'!P87</f>
        <v>2.06</v>
      </c>
      <c r="D675" s="594" t="str">
        <f>'[4]matrik MISI 1'!Q87</f>
        <v>xx</v>
      </c>
      <c r="E675" s="594">
        <f>'[4]matrik MISI 1'!R87</f>
        <v>15</v>
      </c>
      <c r="F675" s="595" t="str">
        <f>'[4]matrik MISI 1'!S87</f>
        <v>Perlindungan Konsumen</v>
      </c>
      <c r="G675" s="548"/>
      <c r="H675" s="551"/>
      <c r="I675" s="551"/>
      <c r="J675" s="551"/>
      <c r="K675" s="551">
        <f>SUM(K676:K684)</f>
        <v>229168500</v>
      </c>
      <c r="L675" s="551">
        <f t="shared" ref="L675:U675" si="75">SUM(L676:L684)</f>
        <v>0</v>
      </c>
      <c r="M675" s="551">
        <f t="shared" si="75"/>
        <v>379630000</v>
      </c>
      <c r="N675" s="551">
        <f t="shared" si="75"/>
        <v>0</v>
      </c>
      <c r="O675" s="551">
        <f t="shared" si="75"/>
        <v>413500000</v>
      </c>
      <c r="P675" s="551">
        <f t="shared" si="75"/>
        <v>0</v>
      </c>
      <c r="Q675" s="551">
        <f t="shared" si="75"/>
        <v>500500000</v>
      </c>
      <c r="R675" s="551">
        <f t="shared" si="75"/>
        <v>0</v>
      </c>
      <c r="S675" s="551">
        <f t="shared" si="75"/>
        <v>537500000</v>
      </c>
      <c r="T675" s="551">
        <f t="shared" si="75"/>
        <v>0</v>
      </c>
      <c r="U675" s="551">
        <f t="shared" si="75"/>
        <v>537500000</v>
      </c>
      <c r="V675" s="551"/>
      <c r="W675" s="551"/>
      <c r="X675" s="551" t="str">
        <f>'[4]matrik MISI 1'!AF87</f>
        <v>DISPERINDAGKOP DAN UMKM</v>
      </c>
    </row>
    <row r="676" spans="1:32" s="165" customFormat="1" ht="75">
      <c r="B676" s="48"/>
      <c r="C676" s="62"/>
      <c r="D676" s="63"/>
      <c r="E676" s="63"/>
      <c r="F676" s="64"/>
      <c r="G676" s="58" t="s">
        <v>3855</v>
      </c>
      <c r="H676" s="52"/>
      <c r="I676" s="52" t="s">
        <v>3856</v>
      </c>
      <c r="J676" s="161">
        <v>1</v>
      </c>
      <c r="K676" s="527">
        <v>25000000</v>
      </c>
      <c r="L676" s="52" t="s">
        <v>3857</v>
      </c>
      <c r="M676" s="527">
        <v>20000000</v>
      </c>
      <c r="N676" s="527" t="s">
        <v>3857</v>
      </c>
      <c r="O676" s="527">
        <v>25000000</v>
      </c>
      <c r="P676" s="527" t="s">
        <v>3857</v>
      </c>
      <c r="Q676" s="527">
        <v>25000000</v>
      </c>
      <c r="R676" s="527" t="s">
        <v>3857</v>
      </c>
      <c r="S676" s="527">
        <v>25000000</v>
      </c>
      <c r="T676" s="527" t="s">
        <v>3857</v>
      </c>
      <c r="U676" s="527">
        <v>25000000</v>
      </c>
      <c r="V676" s="529"/>
      <c r="W676" s="529"/>
      <c r="X676" s="529"/>
    </row>
    <row r="677" spans="1:32" s="165" customFormat="1" ht="60">
      <c r="B677" s="48"/>
      <c r="C677" s="62"/>
      <c r="D677" s="63"/>
      <c r="E677" s="63"/>
      <c r="F677" s="64"/>
      <c r="G677" s="58" t="s">
        <v>3858</v>
      </c>
      <c r="H677" s="52"/>
      <c r="I677" s="52" t="s">
        <v>3859</v>
      </c>
      <c r="J677" s="161">
        <v>1</v>
      </c>
      <c r="K677" s="527">
        <f>95000000</f>
        <v>95000000</v>
      </c>
      <c r="L677" s="52" t="s">
        <v>3859</v>
      </c>
      <c r="M677" s="527">
        <v>107000000</v>
      </c>
      <c r="N677" s="52" t="s">
        <v>3859</v>
      </c>
      <c r="O677" s="527">
        <v>110000000</v>
      </c>
      <c r="P677" s="52" t="s">
        <v>3859</v>
      </c>
      <c r="Q677" s="527">
        <v>130000000</v>
      </c>
      <c r="R677" s="52" t="s">
        <v>3859</v>
      </c>
      <c r="S677" s="527">
        <v>150000000</v>
      </c>
      <c r="T677" s="52" t="s">
        <v>3859</v>
      </c>
      <c r="U677" s="527">
        <v>150000000</v>
      </c>
      <c r="V677" s="529"/>
      <c r="W677" s="529"/>
      <c r="X677" s="529"/>
    </row>
    <row r="678" spans="1:32" s="165" customFormat="1" ht="45">
      <c r="B678" s="48"/>
      <c r="C678" s="62"/>
      <c r="D678" s="63"/>
      <c r="E678" s="63"/>
      <c r="F678" s="64"/>
      <c r="G678" s="58" t="s">
        <v>3860</v>
      </c>
      <c r="H678" s="52"/>
      <c r="I678" s="52" t="s">
        <v>743</v>
      </c>
      <c r="J678" s="52" t="s">
        <v>743</v>
      </c>
      <c r="K678" s="52" t="s">
        <v>743</v>
      </c>
      <c r="L678" s="52" t="s">
        <v>3538</v>
      </c>
      <c r="M678" s="527">
        <v>10000000</v>
      </c>
      <c r="N678" s="52" t="s">
        <v>3538</v>
      </c>
      <c r="O678" s="527">
        <v>15000000</v>
      </c>
      <c r="P678" s="52" t="s">
        <v>3538</v>
      </c>
      <c r="Q678" s="527">
        <v>20000000</v>
      </c>
      <c r="R678" s="52" t="s">
        <v>3538</v>
      </c>
      <c r="S678" s="527">
        <v>25000000</v>
      </c>
      <c r="T678" s="52" t="s">
        <v>3538</v>
      </c>
      <c r="U678" s="527">
        <v>25000000</v>
      </c>
      <c r="V678" s="529"/>
      <c r="W678" s="529"/>
      <c r="X678" s="529"/>
    </row>
    <row r="679" spans="1:32" s="165" customFormat="1" ht="60">
      <c r="B679" s="48"/>
      <c r="C679" s="62"/>
      <c r="D679" s="63"/>
      <c r="E679" s="63"/>
      <c r="F679" s="64"/>
      <c r="G679" s="58" t="s">
        <v>3861</v>
      </c>
      <c r="H679" s="52"/>
      <c r="I679" s="52" t="s">
        <v>3862</v>
      </c>
      <c r="J679" s="161">
        <v>1</v>
      </c>
      <c r="K679" s="527">
        <v>14710500</v>
      </c>
      <c r="L679" s="52" t="s">
        <v>3862</v>
      </c>
      <c r="M679" s="527">
        <v>20000000</v>
      </c>
      <c r="N679" s="527" t="s">
        <v>3862</v>
      </c>
      <c r="O679" s="527">
        <v>18500000</v>
      </c>
      <c r="P679" s="527" t="s">
        <v>3862</v>
      </c>
      <c r="Q679" s="527">
        <v>20000000</v>
      </c>
      <c r="R679" s="527" t="s">
        <v>3862</v>
      </c>
      <c r="S679" s="527">
        <v>22500000</v>
      </c>
      <c r="T679" s="527" t="s">
        <v>3862</v>
      </c>
      <c r="U679" s="527">
        <v>22500000</v>
      </c>
      <c r="V679" s="529"/>
      <c r="W679" s="529"/>
      <c r="X679" s="529"/>
    </row>
    <row r="680" spans="1:32" s="165" customFormat="1" ht="75">
      <c r="B680" s="48"/>
      <c r="C680" s="62"/>
      <c r="D680" s="63"/>
      <c r="E680" s="63"/>
      <c r="F680" s="64"/>
      <c r="G680" s="58" t="s">
        <v>3863</v>
      </c>
      <c r="H680" s="52"/>
      <c r="I680" s="52" t="s">
        <v>3864</v>
      </c>
      <c r="J680" s="161">
        <v>1</v>
      </c>
      <c r="K680" s="527">
        <v>14430500</v>
      </c>
      <c r="L680" s="52" t="s">
        <v>3864</v>
      </c>
      <c r="M680" s="527">
        <v>17500000</v>
      </c>
      <c r="N680" s="527" t="s">
        <v>3864</v>
      </c>
      <c r="O680" s="527">
        <v>20000000</v>
      </c>
      <c r="P680" s="527" t="s">
        <v>3864</v>
      </c>
      <c r="Q680" s="527">
        <v>22500000</v>
      </c>
      <c r="R680" s="527" t="s">
        <v>3864</v>
      </c>
      <c r="S680" s="527">
        <v>25000000</v>
      </c>
      <c r="T680" s="527" t="s">
        <v>3864</v>
      </c>
      <c r="U680" s="527">
        <v>25000000</v>
      </c>
      <c r="V680" s="529"/>
      <c r="W680" s="529"/>
      <c r="X680" s="529"/>
    </row>
    <row r="681" spans="1:32" s="165" customFormat="1" ht="45">
      <c r="B681" s="48"/>
      <c r="C681" s="62"/>
      <c r="D681" s="63"/>
      <c r="E681" s="63"/>
      <c r="F681" s="64"/>
      <c r="G681" s="58" t="s">
        <v>3865</v>
      </c>
      <c r="H681" s="52"/>
      <c r="I681" s="52" t="s">
        <v>3866</v>
      </c>
      <c r="J681" s="161">
        <v>1</v>
      </c>
      <c r="K681" s="527">
        <v>13400000</v>
      </c>
      <c r="L681" s="52" t="s">
        <v>3866</v>
      </c>
      <c r="M681" s="527">
        <v>12000000</v>
      </c>
      <c r="N681" s="52" t="s">
        <v>3867</v>
      </c>
      <c r="O681" s="527">
        <v>20000000</v>
      </c>
      <c r="P681" s="52" t="s">
        <v>3868</v>
      </c>
      <c r="Q681" s="527">
        <v>23000000</v>
      </c>
      <c r="R681" s="52" t="s">
        <v>3868</v>
      </c>
      <c r="S681" s="527">
        <v>25000000</v>
      </c>
      <c r="T681" s="52" t="s">
        <v>3868</v>
      </c>
      <c r="U681" s="527">
        <v>25000000</v>
      </c>
      <c r="V681" s="529"/>
      <c r="W681" s="529"/>
      <c r="X681" s="529"/>
    </row>
    <row r="682" spans="1:32" s="165" customFormat="1" ht="45">
      <c r="B682" s="48"/>
      <c r="C682" s="62"/>
      <c r="D682" s="63"/>
      <c r="E682" s="63"/>
      <c r="F682" s="64"/>
      <c r="G682" s="58" t="s">
        <v>3869</v>
      </c>
      <c r="H682" s="52"/>
      <c r="I682" s="52" t="s">
        <v>3870</v>
      </c>
      <c r="J682" s="161">
        <v>1</v>
      </c>
      <c r="K682" s="527">
        <v>10000000</v>
      </c>
      <c r="L682" s="52" t="s">
        <v>3870</v>
      </c>
      <c r="M682" s="527">
        <v>12000000</v>
      </c>
      <c r="N682" s="527" t="s">
        <v>3870</v>
      </c>
      <c r="O682" s="527">
        <v>15000000</v>
      </c>
      <c r="P682" s="527" t="s">
        <v>3870</v>
      </c>
      <c r="Q682" s="527">
        <v>20000000</v>
      </c>
      <c r="R682" s="527" t="s">
        <v>3870</v>
      </c>
      <c r="S682" s="527">
        <v>25000000</v>
      </c>
      <c r="T682" s="527" t="s">
        <v>3870</v>
      </c>
      <c r="U682" s="527">
        <v>25000000</v>
      </c>
      <c r="V682" s="529"/>
      <c r="W682" s="529"/>
      <c r="X682" s="529"/>
    </row>
    <row r="683" spans="1:32" s="165" customFormat="1" ht="60">
      <c r="B683" s="48"/>
      <c r="C683" s="62"/>
      <c r="D683" s="63"/>
      <c r="E683" s="63"/>
      <c r="F683" s="64"/>
      <c r="G683" s="58" t="s">
        <v>3871</v>
      </c>
      <c r="H683" s="52"/>
      <c r="I683" s="52" t="s">
        <v>3872</v>
      </c>
      <c r="J683" s="161">
        <v>1</v>
      </c>
      <c r="K683" s="527">
        <v>36001000</v>
      </c>
      <c r="L683" s="52" t="s">
        <v>3872</v>
      </c>
      <c r="M683" s="527">
        <v>40000000</v>
      </c>
      <c r="N683" s="52" t="s">
        <v>3872</v>
      </c>
      <c r="O683" s="527">
        <v>40000000</v>
      </c>
      <c r="P683" s="52" t="s">
        <v>3872</v>
      </c>
      <c r="Q683" s="527">
        <v>40000000</v>
      </c>
      <c r="R683" s="52" t="s">
        <v>3872</v>
      </c>
      <c r="S683" s="527">
        <v>40000000</v>
      </c>
      <c r="T683" s="52" t="s">
        <v>3872</v>
      </c>
      <c r="U683" s="527">
        <v>40000000</v>
      </c>
      <c r="V683" s="529"/>
      <c r="W683" s="529"/>
      <c r="X683" s="529"/>
    </row>
    <row r="684" spans="1:32" s="165" customFormat="1" ht="90">
      <c r="B684" s="48"/>
      <c r="C684" s="62"/>
      <c r="D684" s="63"/>
      <c r="E684" s="63"/>
      <c r="F684" s="64"/>
      <c r="G684" s="58" t="s">
        <v>3873</v>
      </c>
      <c r="H684" s="52"/>
      <c r="I684" s="52" t="s">
        <v>3874</v>
      </c>
      <c r="J684" s="161">
        <v>1</v>
      </c>
      <c r="K684" s="527">
        <v>20626500</v>
      </c>
      <c r="L684" s="164" t="s">
        <v>3875</v>
      </c>
      <c r="M684" s="531">
        <v>141130000</v>
      </c>
      <c r="N684" s="164" t="s">
        <v>3876</v>
      </c>
      <c r="O684" s="531">
        <v>150000000</v>
      </c>
      <c r="P684" s="164" t="s">
        <v>3877</v>
      </c>
      <c r="Q684" s="531">
        <v>200000000</v>
      </c>
      <c r="R684" s="164" t="s">
        <v>3878</v>
      </c>
      <c r="S684" s="531">
        <v>200000000</v>
      </c>
      <c r="T684" s="164" t="s">
        <v>3878</v>
      </c>
      <c r="U684" s="531">
        <v>200000000</v>
      </c>
      <c r="V684" s="529"/>
      <c r="W684" s="529"/>
      <c r="X684" s="529"/>
    </row>
    <row r="685" spans="1:32" s="540" customFormat="1" ht="45">
      <c r="B685" s="545"/>
      <c r="C685" s="593" t="str">
        <f>'[4]matrik MISI 1'!P83</f>
        <v>2.06</v>
      </c>
      <c r="D685" s="594" t="str">
        <f>'[4]matrik MISI 1'!Q83</f>
        <v>xx</v>
      </c>
      <c r="E685" s="594">
        <f>'[4]matrik MISI 1'!R83</f>
        <v>17</v>
      </c>
      <c r="F685" s="595" t="str">
        <f>'[4]matrik MISI 1'!S83</f>
        <v>Program Peningkatan dan pengembangan  ekspor</v>
      </c>
      <c r="G685" s="548"/>
      <c r="H685" s="619"/>
      <c r="I685" s="619"/>
      <c r="J685" s="619"/>
      <c r="K685" s="619">
        <f>SUM(K686:K688)</f>
        <v>110000000</v>
      </c>
      <c r="L685" s="619">
        <f t="shared" ref="L685:U685" si="76">SUM(L686:L688)</f>
        <v>0</v>
      </c>
      <c r="M685" s="619">
        <f t="shared" si="76"/>
        <v>54000000</v>
      </c>
      <c r="N685" s="619">
        <f t="shared" si="76"/>
        <v>0</v>
      </c>
      <c r="O685" s="619">
        <f t="shared" si="76"/>
        <v>255000000</v>
      </c>
      <c r="P685" s="619">
        <f t="shared" si="76"/>
        <v>0</v>
      </c>
      <c r="Q685" s="619">
        <f t="shared" si="76"/>
        <v>260000000</v>
      </c>
      <c r="R685" s="619">
        <f t="shared" si="76"/>
        <v>0</v>
      </c>
      <c r="S685" s="619">
        <f t="shared" si="76"/>
        <v>282000000</v>
      </c>
      <c r="T685" s="619">
        <f t="shared" si="76"/>
        <v>0</v>
      </c>
      <c r="U685" s="619">
        <f t="shared" si="76"/>
        <v>282000000</v>
      </c>
      <c r="V685" s="551"/>
      <c r="W685" s="551"/>
      <c r="X685" s="551" t="str">
        <f>'[4]matrik MISI 1'!AF83</f>
        <v>DISPERINDAGKOP DAN UMKM</v>
      </c>
    </row>
    <row r="686" spans="1:32" s="165" customFormat="1" ht="60">
      <c r="B686" s="48"/>
      <c r="C686" s="62"/>
      <c r="D686" s="63"/>
      <c r="E686" s="63"/>
      <c r="F686" s="64"/>
      <c r="G686" s="58" t="s">
        <v>3879</v>
      </c>
      <c r="H686" s="52" t="s">
        <v>3880</v>
      </c>
      <c r="I686" s="52" t="s">
        <v>3881</v>
      </c>
      <c r="J686" s="161">
        <v>1</v>
      </c>
      <c r="K686" s="527">
        <v>100000000</v>
      </c>
      <c r="L686" s="52" t="s">
        <v>3882</v>
      </c>
      <c r="M686" s="527">
        <v>45000000</v>
      </c>
      <c r="N686" s="52" t="s">
        <v>3883</v>
      </c>
      <c r="O686" s="527">
        <v>230000000</v>
      </c>
      <c r="P686" s="52" t="s">
        <v>3883</v>
      </c>
      <c r="Q686" s="527">
        <v>230000000</v>
      </c>
      <c r="R686" s="52" t="s">
        <v>3883</v>
      </c>
      <c r="S686" s="527">
        <v>250000000</v>
      </c>
      <c r="T686" s="52" t="s">
        <v>3883</v>
      </c>
      <c r="U686" s="527">
        <v>250000000</v>
      </c>
      <c r="V686" s="529"/>
      <c r="W686" s="529"/>
      <c r="X686" s="529"/>
    </row>
    <row r="687" spans="1:32" s="165" customFormat="1" ht="60">
      <c r="B687" s="48"/>
      <c r="C687" s="62"/>
      <c r="D687" s="63"/>
      <c r="E687" s="63"/>
      <c r="F687" s="64"/>
      <c r="G687" s="58" t="s">
        <v>3884</v>
      </c>
      <c r="H687" s="52"/>
      <c r="I687" s="52" t="s">
        <v>3885</v>
      </c>
      <c r="J687" s="161">
        <v>1</v>
      </c>
      <c r="K687" s="527">
        <v>10000000</v>
      </c>
      <c r="L687" s="52" t="s">
        <v>3885</v>
      </c>
      <c r="M687" s="527">
        <v>9000000</v>
      </c>
      <c r="N687" s="52" t="s">
        <v>3885</v>
      </c>
      <c r="O687" s="527">
        <v>10000000</v>
      </c>
      <c r="P687" s="52" t="s">
        <v>3885</v>
      </c>
      <c r="Q687" s="527">
        <v>15000000</v>
      </c>
      <c r="R687" s="52" t="s">
        <v>3885</v>
      </c>
      <c r="S687" s="527">
        <v>15000000</v>
      </c>
      <c r="T687" s="52" t="s">
        <v>3885</v>
      </c>
      <c r="U687" s="527">
        <v>15000000</v>
      </c>
      <c r="V687" s="529"/>
      <c r="W687" s="529"/>
      <c r="X687" s="529"/>
    </row>
    <row r="688" spans="1:32" s="165" customFormat="1" ht="45">
      <c r="B688" s="48"/>
      <c r="C688" s="62"/>
      <c r="D688" s="63"/>
      <c r="E688" s="63"/>
      <c r="F688" s="64"/>
      <c r="G688" s="58" t="s">
        <v>3886</v>
      </c>
      <c r="H688" s="52"/>
      <c r="I688" s="52" t="s">
        <v>743</v>
      </c>
      <c r="J688" s="52" t="s">
        <v>743</v>
      </c>
      <c r="K688" s="52" t="s">
        <v>743</v>
      </c>
      <c r="L688" s="52" t="s">
        <v>743</v>
      </c>
      <c r="M688" s="52" t="s">
        <v>743</v>
      </c>
      <c r="N688" s="52" t="s">
        <v>3887</v>
      </c>
      <c r="O688" s="527">
        <v>15000000</v>
      </c>
      <c r="P688" s="52" t="s">
        <v>3887</v>
      </c>
      <c r="Q688" s="527">
        <v>15000000</v>
      </c>
      <c r="R688" s="52" t="s">
        <v>3887</v>
      </c>
      <c r="S688" s="527">
        <v>17000000</v>
      </c>
      <c r="T688" s="52" t="s">
        <v>3887</v>
      </c>
      <c r="U688" s="527">
        <v>17000000</v>
      </c>
      <c r="V688" s="529"/>
      <c r="W688" s="529"/>
      <c r="X688" s="529"/>
    </row>
    <row r="689" spans="2:24" s="540" customFormat="1" ht="45">
      <c r="B689" s="545"/>
      <c r="C689" s="591" t="str">
        <f>'[4]matrik MISI 1'!P85</f>
        <v>2.06</v>
      </c>
      <c r="D689" s="592" t="str">
        <f>'[4]matrik MISI 1'!Q85</f>
        <v>xx</v>
      </c>
      <c r="E689" s="592">
        <f>'[4]matrik MISI 1'!R85</f>
        <v>19</v>
      </c>
      <c r="F689" s="548" t="str">
        <f>'[4]matrik MISI 1'!S85</f>
        <v>Pembinaan pedagang Kaki lima dan Asongan</v>
      </c>
      <c r="G689" s="548"/>
      <c r="H689" s="551"/>
      <c r="I689" s="551"/>
      <c r="J689" s="551"/>
      <c r="K689" s="551">
        <f>SUM(K690)</f>
        <v>40000000</v>
      </c>
      <c r="L689" s="551">
        <f t="shared" ref="L689:U689" si="77">SUM(L690)</f>
        <v>0</v>
      </c>
      <c r="M689" s="551">
        <f t="shared" si="77"/>
        <v>32500000</v>
      </c>
      <c r="N689" s="551">
        <f t="shared" si="77"/>
        <v>0</v>
      </c>
      <c r="O689" s="551">
        <f t="shared" si="77"/>
        <v>50000000</v>
      </c>
      <c r="P689" s="551">
        <f t="shared" si="77"/>
        <v>0</v>
      </c>
      <c r="Q689" s="551">
        <f t="shared" si="77"/>
        <v>60000000</v>
      </c>
      <c r="R689" s="551">
        <f t="shared" si="77"/>
        <v>0</v>
      </c>
      <c r="S689" s="551">
        <f t="shared" si="77"/>
        <v>65000000</v>
      </c>
      <c r="T689" s="551">
        <f t="shared" si="77"/>
        <v>0</v>
      </c>
      <c r="U689" s="551">
        <f t="shared" si="77"/>
        <v>65000000</v>
      </c>
      <c r="V689" s="551"/>
      <c r="W689" s="551"/>
      <c r="X689" s="551" t="str">
        <f>'[4]matrik MISI 1'!AF85</f>
        <v>DISPERINDAGKOP DAN UMKM</v>
      </c>
    </row>
    <row r="690" spans="2:24" s="165" customFormat="1" ht="45">
      <c r="B690" s="48"/>
      <c r="C690" s="56"/>
      <c r="D690" s="57"/>
      <c r="E690" s="57"/>
      <c r="F690" s="58"/>
      <c r="G690" s="58" t="s">
        <v>3888</v>
      </c>
      <c r="H690" s="52"/>
      <c r="I690" s="52" t="s">
        <v>3889</v>
      </c>
      <c r="J690" s="161">
        <v>1</v>
      </c>
      <c r="K690" s="527">
        <v>40000000</v>
      </c>
      <c r="L690" s="52" t="s">
        <v>3889</v>
      </c>
      <c r="M690" s="527">
        <v>32500000</v>
      </c>
      <c r="N690" s="52" t="s">
        <v>3889</v>
      </c>
      <c r="O690" s="527">
        <v>50000000</v>
      </c>
      <c r="P690" s="52" t="s">
        <v>3889</v>
      </c>
      <c r="Q690" s="527">
        <v>60000000</v>
      </c>
      <c r="R690" s="52" t="s">
        <v>3889</v>
      </c>
      <c r="S690" s="527">
        <v>65000000</v>
      </c>
      <c r="T690" s="52" t="s">
        <v>3889</v>
      </c>
      <c r="U690" s="527">
        <v>65000000</v>
      </c>
      <c r="V690" s="529"/>
      <c r="W690" s="529"/>
      <c r="X690" s="529"/>
    </row>
    <row r="691" spans="2:24" s="540" customFormat="1" ht="45">
      <c r="B691" s="545"/>
      <c r="C691" s="591" t="str">
        <f>'[4]matrik MISI 1'!P81</f>
        <v>2.06</v>
      </c>
      <c r="D691" s="592" t="str">
        <f>'[4]matrik MISI 1'!Q81</f>
        <v>xx</v>
      </c>
      <c r="E691" s="592">
        <f>'[4]matrik MISI 1'!R81</f>
        <v>20</v>
      </c>
      <c r="F691" s="548" t="str">
        <f>'[4]matrik MISI 1'!S81</f>
        <v>Program Pengelolaan Pasar Daerah</v>
      </c>
      <c r="G691" s="548"/>
      <c r="H691" s="551"/>
      <c r="I691" s="551"/>
      <c r="J691" s="551"/>
      <c r="K691" s="551">
        <f>SUM(K692:K699)</f>
        <v>374730000</v>
      </c>
      <c r="L691" s="551">
        <f t="shared" ref="L691:U691" si="78">SUM(L692:L699)</f>
        <v>0</v>
      </c>
      <c r="M691" s="551">
        <f t="shared" si="78"/>
        <v>285000000</v>
      </c>
      <c r="N691" s="551">
        <f t="shared" si="78"/>
        <v>0</v>
      </c>
      <c r="O691" s="551">
        <f t="shared" si="78"/>
        <v>285000000</v>
      </c>
      <c r="P691" s="551">
        <f t="shared" si="78"/>
        <v>0</v>
      </c>
      <c r="Q691" s="551">
        <f t="shared" si="78"/>
        <v>335000000</v>
      </c>
      <c r="R691" s="551">
        <f t="shared" si="78"/>
        <v>0</v>
      </c>
      <c r="S691" s="551">
        <f t="shared" si="78"/>
        <v>355000000</v>
      </c>
      <c r="T691" s="551">
        <f t="shared" si="78"/>
        <v>0</v>
      </c>
      <c r="U691" s="551">
        <f t="shared" si="78"/>
        <v>355000000</v>
      </c>
      <c r="V691" s="551"/>
      <c r="W691" s="551"/>
      <c r="X691" s="551" t="str">
        <f>'[4]matrik MISI 1'!AF81</f>
        <v>DISPERINDAGKOP DAN UMKM</v>
      </c>
    </row>
    <row r="692" spans="2:24" s="165" customFormat="1" ht="45">
      <c r="B692" s="48"/>
      <c r="C692" s="56"/>
      <c r="D692" s="57"/>
      <c r="E692" s="57"/>
      <c r="F692" s="58"/>
      <c r="G692" s="58" t="s">
        <v>3890</v>
      </c>
      <c r="H692" s="52"/>
      <c r="I692" s="52" t="s">
        <v>3857</v>
      </c>
      <c r="J692" s="161">
        <v>1</v>
      </c>
      <c r="K692" s="527">
        <v>15000000</v>
      </c>
      <c r="L692" s="52" t="s">
        <v>3857</v>
      </c>
      <c r="M692" s="527">
        <v>20000000</v>
      </c>
      <c r="N692" s="163" t="s">
        <v>3891</v>
      </c>
      <c r="O692" s="527">
        <v>35000000</v>
      </c>
      <c r="P692" s="163" t="s">
        <v>3891</v>
      </c>
      <c r="Q692" s="527">
        <v>35000000</v>
      </c>
      <c r="R692" s="163" t="s">
        <v>3891</v>
      </c>
      <c r="S692" s="527">
        <v>45000000</v>
      </c>
      <c r="T692" s="163" t="s">
        <v>3891</v>
      </c>
      <c r="U692" s="527">
        <v>45000000</v>
      </c>
      <c r="V692" s="529"/>
      <c r="W692" s="529"/>
      <c r="X692" s="529"/>
    </row>
    <row r="693" spans="2:24" s="165" customFormat="1" ht="30">
      <c r="B693" s="48"/>
      <c r="C693" s="56"/>
      <c r="D693" s="57"/>
      <c r="E693" s="57"/>
      <c r="F693" s="58"/>
      <c r="G693" s="58" t="s">
        <v>3892</v>
      </c>
      <c r="H693" s="52"/>
      <c r="I693" s="52" t="s">
        <v>3857</v>
      </c>
      <c r="J693" s="161">
        <v>1</v>
      </c>
      <c r="K693" s="527">
        <v>225000000</v>
      </c>
      <c r="L693" s="52" t="s">
        <v>3857</v>
      </c>
      <c r="M693" s="527">
        <v>200000000</v>
      </c>
      <c r="N693" s="163" t="s">
        <v>3891</v>
      </c>
      <c r="O693" s="527">
        <v>200000000</v>
      </c>
      <c r="P693" s="163" t="s">
        <v>3891</v>
      </c>
      <c r="Q693" s="527">
        <v>200000000</v>
      </c>
      <c r="R693" s="163" t="s">
        <v>3891</v>
      </c>
      <c r="S693" s="527">
        <v>250000000</v>
      </c>
      <c r="T693" s="163" t="s">
        <v>3891</v>
      </c>
      <c r="U693" s="527">
        <v>250000000</v>
      </c>
      <c r="V693" s="529"/>
      <c r="W693" s="529"/>
      <c r="X693" s="529"/>
    </row>
    <row r="694" spans="2:24" s="165" customFormat="1" ht="45">
      <c r="B694" s="48"/>
      <c r="C694" s="56"/>
      <c r="D694" s="57"/>
      <c r="E694" s="57"/>
      <c r="F694" s="58"/>
      <c r="G694" s="58" t="s">
        <v>3893</v>
      </c>
      <c r="H694" s="52"/>
      <c r="I694" s="52" t="s">
        <v>3894</v>
      </c>
      <c r="J694" s="161">
        <v>1</v>
      </c>
      <c r="K694" s="527">
        <v>30000000</v>
      </c>
      <c r="L694" s="52" t="s">
        <v>3895</v>
      </c>
      <c r="M694" s="527">
        <v>15000000</v>
      </c>
      <c r="N694" s="52" t="s">
        <v>743</v>
      </c>
      <c r="O694" s="52" t="s">
        <v>743</v>
      </c>
      <c r="P694" s="52" t="s">
        <v>743</v>
      </c>
      <c r="Q694" s="52" t="s">
        <v>743</v>
      </c>
      <c r="R694" s="52" t="s">
        <v>743</v>
      </c>
      <c r="S694" s="52" t="s">
        <v>743</v>
      </c>
      <c r="T694" s="52" t="s">
        <v>743</v>
      </c>
      <c r="U694" s="52" t="s">
        <v>743</v>
      </c>
      <c r="V694" s="529"/>
      <c r="W694" s="529"/>
      <c r="X694" s="529"/>
    </row>
    <row r="695" spans="2:24" s="165" customFormat="1" ht="30">
      <c r="B695" s="48"/>
      <c r="C695" s="56"/>
      <c r="D695" s="57"/>
      <c r="E695" s="57"/>
      <c r="F695" s="58"/>
      <c r="G695" s="58" t="s">
        <v>3896</v>
      </c>
      <c r="H695" s="52"/>
      <c r="I695" s="52" t="s">
        <v>3857</v>
      </c>
      <c r="J695" s="161">
        <v>1</v>
      </c>
      <c r="K695" s="527">
        <v>19820000</v>
      </c>
      <c r="L695" s="527" t="s">
        <v>3857</v>
      </c>
      <c r="M695" s="527">
        <v>25000000</v>
      </c>
      <c r="N695" s="527" t="s">
        <v>3857</v>
      </c>
      <c r="O695" s="527">
        <v>25000000</v>
      </c>
      <c r="P695" s="527" t="s">
        <v>3857</v>
      </c>
      <c r="Q695" s="527">
        <v>30000000</v>
      </c>
      <c r="R695" s="527" t="s">
        <v>3857</v>
      </c>
      <c r="S695" s="527">
        <v>30000000</v>
      </c>
      <c r="T695" s="527" t="s">
        <v>3857</v>
      </c>
      <c r="U695" s="527">
        <v>30000000</v>
      </c>
      <c r="V695" s="529"/>
      <c r="W695" s="529"/>
      <c r="X695" s="529"/>
    </row>
    <row r="696" spans="2:24" s="165" customFormat="1" ht="45">
      <c r="B696" s="48"/>
      <c r="C696" s="56"/>
      <c r="D696" s="57"/>
      <c r="E696" s="57"/>
      <c r="F696" s="58"/>
      <c r="G696" s="58" t="s">
        <v>3897</v>
      </c>
      <c r="H696" s="52"/>
      <c r="I696" s="52" t="s">
        <v>3857</v>
      </c>
      <c r="J696" s="161">
        <v>1</v>
      </c>
      <c r="K696" s="527">
        <v>34910000</v>
      </c>
      <c r="L696" s="52" t="s">
        <v>743</v>
      </c>
      <c r="M696" s="52" t="s">
        <v>743</v>
      </c>
      <c r="N696" s="52" t="s">
        <v>743</v>
      </c>
      <c r="O696" s="52" t="s">
        <v>743</v>
      </c>
      <c r="P696" s="52" t="s">
        <v>3857</v>
      </c>
      <c r="Q696" s="527">
        <v>40000000</v>
      </c>
      <c r="R696" s="52" t="s">
        <v>743</v>
      </c>
      <c r="S696" s="52" t="s">
        <v>743</v>
      </c>
      <c r="T696" s="52" t="s">
        <v>743</v>
      </c>
      <c r="U696" s="52" t="s">
        <v>743</v>
      </c>
      <c r="V696" s="529"/>
      <c r="W696" s="529"/>
      <c r="X696" s="529"/>
    </row>
    <row r="697" spans="2:24" s="165" customFormat="1" ht="30">
      <c r="B697" s="48"/>
      <c r="C697" s="56"/>
      <c r="D697" s="57"/>
      <c r="E697" s="57"/>
      <c r="F697" s="58"/>
      <c r="G697" s="58" t="s">
        <v>3898</v>
      </c>
      <c r="H697" s="52"/>
      <c r="I697" s="52" t="s">
        <v>3899</v>
      </c>
      <c r="J697" s="161">
        <v>1</v>
      </c>
      <c r="K697" s="527">
        <v>20000000</v>
      </c>
      <c r="L697" s="52" t="s">
        <v>743</v>
      </c>
      <c r="M697" s="52" t="s">
        <v>743</v>
      </c>
      <c r="N697" s="52" t="s">
        <v>743</v>
      </c>
      <c r="O697" s="52" t="s">
        <v>743</v>
      </c>
      <c r="P697" s="52" t="s">
        <v>743</v>
      </c>
      <c r="Q697" s="52" t="s">
        <v>743</v>
      </c>
      <c r="R697" s="52" t="s">
        <v>743</v>
      </c>
      <c r="S697" s="52" t="s">
        <v>743</v>
      </c>
      <c r="T697" s="52" t="s">
        <v>743</v>
      </c>
      <c r="U697" s="52" t="s">
        <v>743</v>
      </c>
      <c r="V697" s="529"/>
      <c r="W697" s="529"/>
      <c r="X697" s="529"/>
    </row>
    <row r="698" spans="2:24" s="165" customFormat="1" ht="90">
      <c r="B698" s="48"/>
      <c r="C698" s="56"/>
      <c r="D698" s="57"/>
      <c r="E698" s="57"/>
      <c r="F698" s="58"/>
      <c r="G698" s="58" t="s">
        <v>3900</v>
      </c>
      <c r="H698" s="52"/>
      <c r="I698" s="52" t="s">
        <v>3857</v>
      </c>
      <c r="J698" s="161">
        <v>1</v>
      </c>
      <c r="K698" s="527">
        <v>20000000</v>
      </c>
      <c r="L698" s="52" t="s">
        <v>3857</v>
      </c>
      <c r="M698" s="527">
        <v>25000000</v>
      </c>
      <c r="N698" s="52" t="s">
        <v>3857</v>
      </c>
      <c r="O698" s="527">
        <v>25000000</v>
      </c>
      <c r="P698" s="52" t="s">
        <v>3857</v>
      </c>
      <c r="Q698" s="527">
        <v>30000000</v>
      </c>
      <c r="R698" s="52" t="s">
        <v>3857</v>
      </c>
      <c r="S698" s="527">
        <v>30000000</v>
      </c>
      <c r="T698" s="52" t="s">
        <v>3857</v>
      </c>
      <c r="U698" s="527">
        <v>30000000</v>
      </c>
      <c r="V698" s="529"/>
      <c r="W698" s="529"/>
      <c r="X698" s="529"/>
    </row>
    <row r="699" spans="2:24" s="165" customFormat="1" ht="60">
      <c r="B699" s="48"/>
      <c r="C699" s="56"/>
      <c r="D699" s="57"/>
      <c r="E699" s="57"/>
      <c r="F699" s="58"/>
      <c r="G699" s="58" t="s">
        <v>3901</v>
      </c>
      <c r="H699" s="52"/>
      <c r="I699" s="52" t="s">
        <v>2937</v>
      </c>
      <c r="J699" s="161">
        <v>1</v>
      </c>
      <c r="K699" s="527">
        <v>10000000</v>
      </c>
      <c r="L699" s="52" t="s">
        <v>743</v>
      </c>
      <c r="M699" s="52" t="s">
        <v>743</v>
      </c>
      <c r="N699" s="52" t="s">
        <v>743</v>
      </c>
      <c r="O699" s="52" t="s">
        <v>743</v>
      </c>
      <c r="P699" s="52" t="s">
        <v>743</v>
      </c>
      <c r="Q699" s="52" t="s">
        <v>743</v>
      </c>
      <c r="R699" s="52" t="s">
        <v>743</v>
      </c>
      <c r="S699" s="52" t="s">
        <v>743</v>
      </c>
      <c r="T699" s="52" t="s">
        <v>743</v>
      </c>
      <c r="U699" s="52" t="s">
        <v>743</v>
      </c>
      <c r="V699" s="529"/>
      <c r="W699" s="529"/>
      <c r="X699" s="529"/>
    </row>
    <row r="700" spans="2:24" s="540" customFormat="1" ht="45">
      <c r="B700" s="545"/>
      <c r="C700" s="591" t="str">
        <f>'[4]matrik MISI 1'!P80</f>
        <v>2.06</v>
      </c>
      <c r="D700" s="592" t="str">
        <f>'[4]matrik MISI 1'!Q80</f>
        <v>xx</v>
      </c>
      <c r="E700" s="592">
        <f>'[4]matrik MISI 1'!R80</f>
        <v>21</v>
      </c>
      <c r="F700" s="548" t="str">
        <f>'[4]matrik MISI 1'!S80</f>
        <v>Program Peningkatan Sarana dan Prasarana Lainnya</v>
      </c>
      <c r="G700" s="548"/>
      <c r="H700" s="551"/>
      <c r="I700" s="551"/>
      <c r="J700" s="551"/>
      <c r="K700" s="551">
        <f>SUM(K701:K707)</f>
        <v>79140626600</v>
      </c>
      <c r="L700" s="551">
        <f t="shared" ref="L700:U700" si="79">SUM(L701:L707)</f>
        <v>0</v>
      </c>
      <c r="M700" s="551">
        <f t="shared" si="79"/>
        <v>20739763000</v>
      </c>
      <c r="N700" s="551">
        <f t="shared" si="79"/>
        <v>0</v>
      </c>
      <c r="O700" s="551">
        <v>250000000</v>
      </c>
      <c r="P700" s="551">
        <f t="shared" si="79"/>
        <v>0</v>
      </c>
      <c r="Q700" s="551">
        <f t="shared" si="79"/>
        <v>500000000</v>
      </c>
      <c r="R700" s="551">
        <f t="shared" si="79"/>
        <v>0</v>
      </c>
      <c r="S700" s="551">
        <f t="shared" si="79"/>
        <v>700000000</v>
      </c>
      <c r="T700" s="551">
        <f t="shared" si="79"/>
        <v>0</v>
      </c>
      <c r="U700" s="551">
        <f t="shared" si="79"/>
        <v>700000000</v>
      </c>
      <c r="V700" s="551"/>
      <c r="W700" s="551"/>
      <c r="X700" s="551" t="str">
        <f>'[4]matrik MISI 1'!AF80</f>
        <v>DISPERINDAGKOP DAN UMKM</v>
      </c>
    </row>
    <row r="701" spans="2:24" s="165" customFormat="1" ht="30">
      <c r="B701" s="48"/>
      <c r="C701" s="56"/>
      <c r="D701" s="57"/>
      <c r="E701" s="57"/>
      <c r="F701" s="738"/>
      <c r="G701" s="58" t="s">
        <v>3902</v>
      </c>
      <c r="H701" s="52"/>
      <c r="I701" s="52" t="s">
        <v>2551</v>
      </c>
      <c r="J701" s="161">
        <v>1</v>
      </c>
      <c r="K701" s="678">
        <v>76500000000</v>
      </c>
      <c r="L701" s="52" t="s">
        <v>2551</v>
      </c>
      <c r="M701" s="527">
        <v>15500000000</v>
      </c>
      <c r="N701" s="52" t="s">
        <v>743</v>
      </c>
      <c r="O701" s="52" t="s">
        <v>743</v>
      </c>
      <c r="P701" s="52" t="s">
        <v>743</v>
      </c>
      <c r="Q701" s="52" t="s">
        <v>743</v>
      </c>
      <c r="R701" s="52" t="s">
        <v>743</v>
      </c>
      <c r="S701" s="52" t="s">
        <v>743</v>
      </c>
      <c r="T701" s="52" t="s">
        <v>743</v>
      </c>
      <c r="U701" s="52" t="s">
        <v>743</v>
      </c>
      <c r="V701" s="529"/>
      <c r="W701" s="529"/>
      <c r="X701" s="529"/>
    </row>
    <row r="702" spans="2:24" s="165" customFormat="1" ht="60">
      <c r="B702" s="48"/>
      <c r="C702" s="56"/>
      <c r="D702" s="57"/>
      <c r="E702" s="57"/>
      <c r="F702" s="58"/>
      <c r="G702" s="58" t="s">
        <v>3903</v>
      </c>
      <c r="H702" s="52"/>
      <c r="I702" s="52" t="s">
        <v>3904</v>
      </c>
      <c r="J702" s="161">
        <v>1</v>
      </c>
      <c r="K702" s="527">
        <v>1837775000</v>
      </c>
      <c r="L702" s="52" t="s">
        <v>743</v>
      </c>
      <c r="M702" s="52" t="s">
        <v>743</v>
      </c>
      <c r="N702" s="52" t="s">
        <v>743</v>
      </c>
      <c r="O702" s="52" t="s">
        <v>743</v>
      </c>
      <c r="P702" s="52" t="s">
        <v>743</v>
      </c>
      <c r="Q702" s="52" t="s">
        <v>743</v>
      </c>
      <c r="R702" s="52" t="s">
        <v>743</v>
      </c>
      <c r="S702" s="52" t="s">
        <v>743</v>
      </c>
      <c r="T702" s="52" t="s">
        <v>743</v>
      </c>
      <c r="U702" s="52" t="s">
        <v>743</v>
      </c>
      <c r="V702" s="529"/>
      <c r="W702" s="529"/>
      <c r="X702" s="529"/>
    </row>
    <row r="703" spans="2:24" s="165" customFormat="1" ht="30">
      <c r="B703" s="48"/>
      <c r="C703" s="56"/>
      <c r="D703" s="57"/>
      <c r="E703" s="57"/>
      <c r="F703" s="58"/>
      <c r="G703" s="58" t="s">
        <v>3905</v>
      </c>
      <c r="H703" s="52"/>
      <c r="I703" s="52" t="s">
        <v>2551</v>
      </c>
      <c r="J703" s="161">
        <v>1</v>
      </c>
      <c r="K703" s="527">
        <v>503016600</v>
      </c>
      <c r="L703" s="52" t="s">
        <v>743</v>
      </c>
      <c r="M703" s="52" t="s">
        <v>743</v>
      </c>
      <c r="N703" s="52" t="s">
        <v>743</v>
      </c>
      <c r="O703" s="52" t="s">
        <v>743</v>
      </c>
      <c r="P703" s="52" t="s">
        <v>743</v>
      </c>
      <c r="Q703" s="52" t="s">
        <v>743</v>
      </c>
      <c r="R703" s="52" t="s">
        <v>743</v>
      </c>
      <c r="S703" s="52" t="s">
        <v>743</v>
      </c>
      <c r="T703" s="52" t="s">
        <v>743</v>
      </c>
      <c r="U703" s="52" t="s">
        <v>743</v>
      </c>
      <c r="V703" s="529"/>
      <c r="W703" s="529"/>
      <c r="X703" s="529"/>
    </row>
    <row r="704" spans="2:24" s="165" customFormat="1" ht="90">
      <c r="B704" s="48"/>
      <c r="C704" s="56"/>
      <c r="D704" s="57"/>
      <c r="E704" s="57"/>
      <c r="F704" s="58"/>
      <c r="G704" s="58" t="s">
        <v>3906</v>
      </c>
      <c r="H704" s="52"/>
      <c r="I704" s="52" t="s">
        <v>3907</v>
      </c>
      <c r="J704" s="161">
        <v>1</v>
      </c>
      <c r="K704" s="527">
        <v>30000000</v>
      </c>
      <c r="L704" s="51" t="s">
        <v>4682</v>
      </c>
      <c r="M704" s="527">
        <v>100000000</v>
      </c>
      <c r="N704" s="52" t="s">
        <v>743</v>
      </c>
      <c r="O704" s="52" t="s">
        <v>743</v>
      </c>
      <c r="P704" s="52" t="s">
        <v>743</v>
      </c>
      <c r="Q704" s="52" t="s">
        <v>743</v>
      </c>
      <c r="R704" s="52" t="s">
        <v>743</v>
      </c>
      <c r="S704" s="52" t="s">
        <v>743</v>
      </c>
      <c r="T704" s="52" t="s">
        <v>743</v>
      </c>
      <c r="U704" s="52" t="s">
        <v>743</v>
      </c>
      <c r="V704" s="529"/>
      <c r="W704" s="529"/>
      <c r="X704" s="529"/>
    </row>
    <row r="705" spans="1:32" s="165" customFormat="1" ht="30">
      <c r="B705" s="48"/>
      <c r="C705" s="56"/>
      <c r="D705" s="57"/>
      <c r="E705" s="57"/>
      <c r="F705" s="58"/>
      <c r="G705" s="58" t="s">
        <v>3909</v>
      </c>
      <c r="H705" s="52"/>
      <c r="I705" s="52" t="s">
        <v>3910</v>
      </c>
      <c r="J705" s="161">
        <v>1</v>
      </c>
      <c r="K705" s="527">
        <v>269835000</v>
      </c>
      <c r="L705" s="52" t="s">
        <v>743</v>
      </c>
      <c r="M705" s="52" t="s">
        <v>743</v>
      </c>
      <c r="N705" s="52" t="s">
        <v>743</v>
      </c>
      <c r="O705" s="52" t="s">
        <v>743</v>
      </c>
      <c r="P705" s="52" t="s">
        <v>743</v>
      </c>
      <c r="Q705" s="52" t="s">
        <v>743</v>
      </c>
      <c r="R705" s="52" t="s">
        <v>743</v>
      </c>
      <c r="S705" s="52" t="s">
        <v>743</v>
      </c>
      <c r="T705" s="52" t="s">
        <v>743</v>
      </c>
      <c r="U705" s="52" t="s">
        <v>743</v>
      </c>
      <c r="V705" s="529"/>
      <c r="W705" s="529"/>
      <c r="X705" s="529"/>
    </row>
    <row r="706" spans="1:32" s="165" customFormat="1" ht="30">
      <c r="B706" s="48"/>
      <c r="C706" s="56"/>
      <c r="D706" s="57"/>
      <c r="E706" s="57"/>
      <c r="F706" s="58"/>
      <c r="G706" s="58" t="s">
        <v>3911</v>
      </c>
      <c r="H706" s="52"/>
      <c r="I706" s="52"/>
      <c r="J706" s="161"/>
      <c r="K706" s="527"/>
      <c r="L706" s="52" t="s">
        <v>2551</v>
      </c>
      <c r="M706" s="527">
        <v>2169763000</v>
      </c>
      <c r="N706" s="52"/>
      <c r="O706" s="52"/>
      <c r="P706" s="52"/>
      <c r="Q706" s="52"/>
      <c r="R706" s="52"/>
      <c r="S706" s="52"/>
      <c r="T706" s="52"/>
      <c r="U706" s="52"/>
      <c r="V706" s="529"/>
      <c r="W706" s="529"/>
      <c r="X706" s="529"/>
    </row>
    <row r="707" spans="1:32" s="165" customFormat="1" ht="60">
      <c r="B707" s="48"/>
      <c r="C707" s="56"/>
      <c r="D707" s="57"/>
      <c r="E707" s="57"/>
      <c r="F707" s="58"/>
      <c r="G707" s="58" t="s">
        <v>3912</v>
      </c>
      <c r="H707" s="52"/>
      <c r="I707" s="52" t="s">
        <v>743</v>
      </c>
      <c r="J707" s="52" t="s">
        <v>743</v>
      </c>
      <c r="K707" s="52" t="s">
        <v>743</v>
      </c>
      <c r="L707" s="52" t="s">
        <v>3913</v>
      </c>
      <c r="M707" s="527">
        <v>2970000000</v>
      </c>
      <c r="N707" s="51" t="s">
        <v>4681</v>
      </c>
      <c r="O707" s="746">
        <v>10000000000</v>
      </c>
      <c r="P707" s="52" t="s">
        <v>2551</v>
      </c>
      <c r="Q707" s="527">
        <v>500000000</v>
      </c>
      <c r="R707" s="52" t="s">
        <v>2551</v>
      </c>
      <c r="S707" s="527">
        <v>700000000</v>
      </c>
      <c r="T707" s="52" t="s">
        <v>2551</v>
      </c>
      <c r="U707" s="527">
        <v>700000000</v>
      </c>
      <c r="V707" s="529"/>
      <c r="W707" s="529"/>
      <c r="X707" s="529"/>
    </row>
    <row r="708" spans="1:32" s="280" customFormat="1" ht="30" customHeight="1">
      <c r="A708" s="285"/>
      <c r="B708" s="1093" t="s">
        <v>4264</v>
      </c>
      <c r="C708" s="1094"/>
      <c r="D708" s="1094"/>
      <c r="E708" s="1094"/>
      <c r="F708" s="1094"/>
      <c r="G708" s="1095"/>
      <c r="H708" s="342"/>
      <c r="I708" s="342"/>
      <c r="J708" s="342"/>
      <c r="K708" s="342">
        <f>SUM(K676:K707)</f>
        <v>159559881700</v>
      </c>
      <c r="L708" s="342"/>
      <c r="M708" s="342">
        <f t="shared" ref="M708:W708" si="80">SUM(M676:M707)</f>
        <v>42602156000</v>
      </c>
      <c r="N708" s="342"/>
      <c r="O708" s="342">
        <f t="shared" si="80"/>
        <v>11843500000</v>
      </c>
      <c r="P708" s="342"/>
      <c r="Q708" s="342">
        <f t="shared" si="80"/>
        <v>2810500000</v>
      </c>
      <c r="R708" s="342"/>
      <c r="S708" s="342">
        <f t="shared" si="80"/>
        <v>3341500000</v>
      </c>
      <c r="T708" s="342"/>
      <c r="U708" s="342">
        <f t="shared" si="80"/>
        <v>3341500000</v>
      </c>
      <c r="V708" s="342">
        <f t="shared" si="80"/>
        <v>0</v>
      </c>
      <c r="W708" s="342">
        <f t="shared" si="80"/>
        <v>0</v>
      </c>
      <c r="X708" s="342"/>
      <c r="Y708" s="285"/>
      <c r="Z708" s="285"/>
      <c r="AA708" s="285"/>
      <c r="AB708" s="285"/>
      <c r="AC708" s="285"/>
      <c r="AD708" s="285"/>
      <c r="AE708" s="285"/>
      <c r="AF708" s="285"/>
    </row>
    <row r="709" spans="1:32">
      <c r="A709" s="165">
        <v>1</v>
      </c>
      <c r="B709" s="62" t="str">
        <f>'[4]matrik MISI 1'!B75</f>
        <v>PERINDUSTRIAN</v>
      </c>
      <c r="C709" s="56"/>
      <c r="D709" s="57"/>
      <c r="E709" s="57"/>
      <c r="F709" s="58"/>
      <c r="G709" s="58"/>
      <c r="H709" s="529"/>
      <c r="I709" s="529"/>
      <c r="J709" s="529"/>
      <c r="K709" s="529"/>
      <c r="L709" s="529"/>
      <c r="M709" s="529"/>
      <c r="N709" s="529"/>
      <c r="O709" s="529"/>
      <c r="P709" s="529"/>
      <c r="Q709" s="529"/>
      <c r="R709" s="529"/>
      <c r="S709" s="529"/>
      <c r="T709" s="529"/>
      <c r="U709" s="529"/>
      <c r="V709" s="529"/>
      <c r="W709" s="529"/>
      <c r="X709" s="529"/>
      <c r="Y709" s="165"/>
      <c r="Z709" s="165"/>
      <c r="AA709" s="165"/>
      <c r="AB709" s="165"/>
      <c r="AC709" s="165"/>
      <c r="AD709" s="165"/>
      <c r="AE709" s="165"/>
      <c r="AF709" s="165"/>
    </row>
    <row r="710" spans="1:32" s="540" customFormat="1" ht="45">
      <c r="B710" s="545"/>
      <c r="C710" s="591" t="str">
        <f>'[4]matrik MISI 1'!P76</f>
        <v>2.07</v>
      </c>
      <c r="D710" s="592" t="str">
        <f>'[4]matrik MISI 1'!Q76</f>
        <v>xx</v>
      </c>
      <c r="E710" s="592">
        <f>'[4]matrik MISI 1'!R76</f>
        <v>16</v>
      </c>
      <c r="F710" s="548" t="str">
        <f>'[4]matrik MISI 1'!S76</f>
        <v>Program Industri Kecil dan Menengah</v>
      </c>
      <c r="G710" s="548"/>
      <c r="H710" s="551"/>
      <c r="I710" s="551"/>
      <c r="J710" s="551"/>
      <c r="K710" s="551">
        <f>SUM(K711:K721)</f>
        <v>1249310500</v>
      </c>
      <c r="L710" s="551">
        <f t="shared" ref="L710:U710" si="81">SUM(L711:L721)</f>
        <v>0</v>
      </c>
      <c r="M710" s="551">
        <f>SUM(M711:M722)</f>
        <v>1665000000</v>
      </c>
      <c r="N710" s="551">
        <f t="shared" ref="N710:P710" si="82">SUM(N711:N722)</f>
        <v>0</v>
      </c>
      <c r="O710" s="551">
        <f t="shared" si="82"/>
        <v>1795000000</v>
      </c>
      <c r="P710" s="551">
        <f t="shared" si="82"/>
        <v>0</v>
      </c>
      <c r="Q710" s="551">
        <f t="shared" ref="Q710" si="83">SUM(Q711:Q722)</f>
        <v>1790000000</v>
      </c>
      <c r="R710" s="551">
        <f t="shared" ref="R710:S710" si="84">SUM(R711:R722)</f>
        <v>0</v>
      </c>
      <c r="S710" s="551">
        <f t="shared" si="84"/>
        <v>1925000000</v>
      </c>
      <c r="T710" s="551">
        <f t="shared" si="81"/>
        <v>0</v>
      </c>
      <c r="U710" s="551">
        <f t="shared" si="81"/>
        <v>925000000</v>
      </c>
      <c r="V710" s="551"/>
      <c r="W710" s="551"/>
      <c r="X710" s="551" t="str">
        <f>'[4]matrik MISI 1'!AF76</f>
        <v>DISPERINDAGKOP DAN UMKM</v>
      </c>
    </row>
    <row r="711" spans="1:32" s="165" customFormat="1" ht="60">
      <c r="B711" s="48"/>
      <c r="C711" s="56"/>
      <c r="D711" s="57"/>
      <c r="E711" s="57"/>
      <c r="F711" s="58"/>
      <c r="G711" s="58" t="s">
        <v>2881</v>
      </c>
      <c r="H711" s="52"/>
      <c r="I711" s="52" t="s">
        <v>2882</v>
      </c>
      <c r="J711" s="161">
        <v>1</v>
      </c>
      <c r="K711" s="527">
        <f>249057500+63000000</f>
        <v>312057500</v>
      </c>
      <c r="L711" s="52" t="s">
        <v>2883</v>
      </c>
      <c r="M711" s="527">
        <v>200000000</v>
      </c>
      <c r="N711" s="52" t="s">
        <v>2884</v>
      </c>
      <c r="O711" s="527">
        <v>270000000</v>
      </c>
      <c r="P711" s="52" t="s">
        <v>2885</v>
      </c>
      <c r="Q711" s="527">
        <v>300000000</v>
      </c>
      <c r="R711" s="52" t="s">
        <v>2886</v>
      </c>
      <c r="S711" s="527">
        <v>325000000</v>
      </c>
      <c r="T711" s="52" t="s">
        <v>2886</v>
      </c>
      <c r="U711" s="527">
        <v>325000000</v>
      </c>
      <c r="V711" s="529"/>
      <c r="W711" s="529"/>
      <c r="X711" s="529"/>
    </row>
    <row r="712" spans="1:32" s="165" customFormat="1" ht="60">
      <c r="B712" s="48"/>
      <c r="C712" s="56"/>
      <c r="D712" s="57"/>
      <c r="E712" s="57"/>
      <c r="F712" s="58"/>
      <c r="G712" s="58" t="s">
        <v>2881</v>
      </c>
      <c r="H712" s="52"/>
      <c r="I712" s="52" t="s">
        <v>2887</v>
      </c>
      <c r="J712" s="161">
        <v>1</v>
      </c>
      <c r="K712" s="527">
        <f>214077000+58500000</f>
        <v>272577000</v>
      </c>
      <c r="L712" s="52" t="s">
        <v>2885</v>
      </c>
      <c r="M712" s="527">
        <v>300000000</v>
      </c>
      <c r="N712" s="52" t="s">
        <v>2885</v>
      </c>
      <c r="O712" s="527">
        <v>300000000</v>
      </c>
      <c r="P712" s="52" t="s">
        <v>2885</v>
      </c>
      <c r="Q712" s="527">
        <v>300000000</v>
      </c>
      <c r="R712" s="52" t="s">
        <v>2885</v>
      </c>
      <c r="S712" s="527">
        <v>300000000</v>
      </c>
      <c r="T712" s="52" t="s">
        <v>2885</v>
      </c>
      <c r="U712" s="527">
        <v>300000000</v>
      </c>
      <c r="V712" s="529"/>
      <c r="W712" s="529"/>
      <c r="X712" s="529"/>
    </row>
    <row r="713" spans="1:32" s="165" customFormat="1" ht="60">
      <c r="B713" s="48"/>
      <c r="C713" s="56"/>
      <c r="D713" s="57"/>
      <c r="E713" s="57"/>
      <c r="F713" s="58"/>
      <c r="G713" s="58" t="s">
        <v>2888</v>
      </c>
      <c r="H713" s="52"/>
      <c r="I713" s="52" t="s">
        <v>2889</v>
      </c>
      <c r="J713" s="161">
        <v>1</v>
      </c>
      <c r="K713" s="527">
        <v>21325500</v>
      </c>
      <c r="L713" s="52" t="s">
        <v>743</v>
      </c>
      <c r="M713" s="52" t="s">
        <v>743</v>
      </c>
      <c r="N713" s="52" t="s">
        <v>2890</v>
      </c>
      <c r="O713" s="527">
        <v>30000000</v>
      </c>
      <c r="P713" s="52" t="s">
        <v>743</v>
      </c>
      <c r="Q713" s="52" t="s">
        <v>743</v>
      </c>
      <c r="R713" s="52" t="s">
        <v>2891</v>
      </c>
      <c r="S713" s="527">
        <v>50000000</v>
      </c>
      <c r="T713" s="52" t="s">
        <v>2891</v>
      </c>
      <c r="U713" s="527">
        <v>50000000</v>
      </c>
      <c r="V713" s="529"/>
      <c r="W713" s="529"/>
      <c r="X713" s="529"/>
    </row>
    <row r="714" spans="1:32" s="165" customFormat="1" ht="75">
      <c r="B714" s="48"/>
      <c r="C714" s="56"/>
      <c r="D714" s="57"/>
      <c r="E714" s="57"/>
      <c r="F714" s="58"/>
      <c r="G714" s="58" t="s">
        <v>2892</v>
      </c>
      <c r="H714" s="52"/>
      <c r="I714" s="52" t="s">
        <v>2893</v>
      </c>
      <c r="J714" s="161">
        <v>1</v>
      </c>
      <c r="K714" s="527">
        <v>18285000</v>
      </c>
      <c r="L714" s="52" t="s">
        <v>743</v>
      </c>
      <c r="M714" s="52" t="s">
        <v>743</v>
      </c>
      <c r="N714" s="52" t="s">
        <v>2893</v>
      </c>
      <c r="O714" s="527">
        <v>35000000</v>
      </c>
      <c r="P714" s="52" t="s">
        <v>743</v>
      </c>
      <c r="Q714" s="52" t="s">
        <v>743</v>
      </c>
      <c r="R714" s="52" t="s">
        <v>2893</v>
      </c>
      <c r="S714" s="527">
        <v>40000000</v>
      </c>
      <c r="T714" s="52" t="s">
        <v>2893</v>
      </c>
      <c r="U714" s="527">
        <v>40000000</v>
      </c>
      <c r="V714" s="529"/>
      <c r="W714" s="529"/>
      <c r="X714" s="529"/>
    </row>
    <row r="715" spans="1:32" s="165" customFormat="1" ht="90">
      <c r="B715" s="48"/>
      <c r="C715" s="56"/>
      <c r="D715" s="57"/>
      <c r="E715" s="57"/>
      <c r="F715" s="58"/>
      <c r="G715" s="58" t="s">
        <v>2894</v>
      </c>
      <c r="H715" s="52"/>
      <c r="I715" s="52" t="s">
        <v>2895</v>
      </c>
      <c r="J715" s="161">
        <v>1</v>
      </c>
      <c r="K715" s="527">
        <v>30000000</v>
      </c>
      <c r="L715" s="52" t="s">
        <v>743</v>
      </c>
      <c r="M715" s="52" t="s">
        <v>743</v>
      </c>
      <c r="N715" s="52" t="s">
        <v>743</v>
      </c>
      <c r="O715" s="52" t="s">
        <v>743</v>
      </c>
      <c r="P715" s="52" t="s">
        <v>743</v>
      </c>
      <c r="Q715" s="52" t="s">
        <v>743</v>
      </c>
      <c r="R715" s="52" t="s">
        <v>743</v>
      </c>
      <c r="S715" s="52" t="s">
        <v>743</v>
      </c>
      <c r="T715" s="52" t="s">
        <v>743</v>
      </c>
      <c r="U715" s="52" t="s">
        <v>743</v>
      </c>
      <c r="V715" s="529"/>
      <c r="W715" s="529"/>
      <c r="X715" s="529"/>
    </row>
    <row r="716" spans="1:32" s="165" customFormat="1" ht="90">
      <c r="B716" s="48"/>
      <c r="C716" s="56"/>
      <c r="D716" s="57"/>
      <c r="E716" s="57"/>
      <c r="F716" s="58"/>
      <c r="G716" s="58" t="s">
        <v>2896</v>
      </c>
      <c r="H716" s="52"/>
      <c r="I716" s="52" t="s">
        <v>2897</v>
      </c>
      <c r="J716" s="161">
        <v>1</v>
      </c>
      <c r="K716" s="527">
        <v>70000000</v>
      </c>
      <c r="L716" s="52" t="s">
        <v>743</v>
      </c>
      <c r="M716" s="52" t="s">
        <v>743</v>
      </c>
      <c r="N716" s="52" t="s">
        <v>2898</v>
      </c>
      <c r="O716" s="527">
        <v>25000000</v>
      </c>
      <c r="P716" s="52" t="s">
        <v>743</v>
      </c>
      <c r="Q716" s="52" t="s">
        <v>743</v>
      </c>
      <c r="R716" s="52" t="s">
        <v>2898</v>
      </c>
      <c r="S716" s="527">
        <v>30000000</v>
      </c>
      <c r="T716" s="52" t="s">
        <v>2898</v>
      </c>
      <c r="U716" s="527">
        <v>30000000</v>
      </c>
      <c r="V716" s="529"/>
      <c r="W716" s="529"/>
      <c r="X716" s="529"/>
    </row>
    <row r="717" spans="1:32" s="165" customFormat="1" ht="45">
      <c r="B717" s="48"/>
      <c r="C717" s="56"/>
      <c r="D717" s="57"/>
      <c r="E717" s="57"/>
      <c r="F717" s="58"/>
      <c r="G717" s="58" t="s">
        <v>2899</v>
      </c>
      <c r="H717" s="52"/>
      <c r="I717" s="52" t="s">
        <v>2900</v>
      </c>
      <c r="J717" s="161">
        <v>1</v>
      </c>
      <c r="K717" s="527">
        <f>51808000+8000000</f>
        <v>59808000</v>
      </c>
      <c r="L717" s="52" t="s">
        <v>743</v>
      </c>
      <c r="M717" s="52" t="s">
        <v>743</v>
      </c>
      <c r="N717" s="52" t="s">
        <v>743</v>
      </c>
      <c r="O717" s="52" t="s">
        <v>743</v>
      </c>
      <c r="P717" s="52" t="s">
        <v>743</v>
      </c>
      <c r="Q717" s="52" t="s">
        <v>743</v>
      </c>
      <c r="R717" s="52" t="s">
        <v>743</v>
      </c>
      <c r="S717" s="52" t="s">
        <v>743</v>
      </c>
      <c r="T717" s="52" t="s">
        <v>743</v>
      </c>
      <c r="U717" s="52" t="s">
        <v>743</v>
      </c>
      <c r="V717" s="529"/>
      <c r="W717" s="529"/>
      <c r="X717" s="529"/>
    </row>
    <row r="718" spans="1:32" s="165" customFormat="1" ht="30">
      <c r="B718" s="48"/>
      <c r="C718" s="56"/>
      <c r="D718" s="57"/>
      <c r="E718" s="57"/>
      <c r="F718" s="58"/>
      <c r="G718" s="58" t="s">
        <v>2901</v>
      </c>
      <c r="H718" s="52"/>
      <c r="I718" s="52" t="s">
        <v>743</v>
      </c>
      <c r="J718" s="52" t="s">
        <v>743</v>
      </c>
      <c r="K718" s="52" t="s">
        <v>743</v>
      </c>
      <c r="L718" s="52" t="s">
        <v>2902</v>
      </c>
      <c r="M718" s="527">
        <v>105000000</v>
      </c>
      <c r="N718" s="52" t="s">
        <v>2902</v>
      </c>
      <c r="O718" s="527">
        <v>105000000</v>
      </c>
      <c r="P718" s="52" t="s">
        <v>2902</v>
      </c>
      <c r="Q718" s="527">
        <v>130000000</v>
      </c>
      <c r="R718" s="52" t="s">
        <v>2902</v>
      </c>
      <c r="S718" s="527">
        <v>145000000</v>
      </c>
      <c r="T718" s="52" t="s">
        <v>2902</v>
      </c>
      <c r="U718" s="527">
        <v>145000000</v>
      </c>
      <c r="V718" s="529"/>
      <c r="W718" s="529"/>
      <c r="X718" s="529"/>
    </row>
    <row r="719" spans="1:32" s="165" customFormat="1" ht="45">
      <c r="B719" s="48"/>
      <c r="C719" s="56"/>
      <c r="D719" s="57"/>
      <c r="E719" s="57"/>
      <c r="F719" s="58"/>
      <c r="G719" s="58" t="s">
        <v>2903</v>
      </c>
      <c r="H719" s="52"/>
      <c r="I719" s="52" t="s">
        <v>743</v>
      </c>
      <c r="J719" s="52" t="s">
        <v>743</v>
      </c>
      <c r="K719" s="52" t="s">
        <v>743</v>
      </c>
      <c r="L719" s="52" t="s">
        <v>2904</v>
      </c>
      <c r="M719" s="527">
        <v>50000000</v>
      </c>
      <c r="N719" s="52" t="s">
        <v>2905</v>
      </c>
      <c r="O719" s="527">
        <v>30000000</v>
      </c>
      <c r="P719" s="52" t="s">
        <v>2905</v>
      </c>
      <c r="Q719" s="527">
        <v>35000000</v>
      </c>
      <c r="R719" s="52" t="s">
        <v>2905</v>
      </c>
      <c r="S719" s="527">
        <v>35000000</v>
      </c>
      <c r="T719" s="52" t="s">
        <v>2905</v>
      </c>
      <c r="U719" s="527">
        <v>35000000</v>
      </c>
      <c r="V719" s="529"/>
      <c r="W719" s="529"/>
      <c r="X719" s="529"/>
    </row>
    <row r="720" spans="1:32" s="165" customFormat="1" ht="30">
      <c r="B720" s="48"/>
      <c r="C720" s="56"/>
      <c r="D720" s="57"/>
      <c r="E720" s="57"/>
      <c r="F720" s="58"/>
      <c r="G720" s="58" t="s">
        <v>2906</v>
      </c>
      <c r="H720" s="52"/>
      <c r="I720" s="52" t="s">
        <v>743</v>
      </c>
      <c r="J720" s="52" t="s">
        <v>743</v>
      </c>
      <c r="K720" s="52" t="s">
        <v>743</v>
      </c>
      <c r="L720" s="52" t="s">
        <v>2904</v>
      </c>
      <c r="M720" s="527">
        <v>10000000</v>
      </c>
      <c r="N720" s="52" t="s">
        <v>743</v>
      </c>
      <c r="O720" s="52" t="s">
        <v>743</v>
      </c>
      <c r="P720" s="52" t="s">
        <v>2907</v>
      </c>
      <c r="Q720" s="527">
        <v>25000000</v>
      </c>
      <c r="R720" s="52" t="s">
        <v>743</v>
      </c>
      <c r="S720" s="52" t="s">
        <v>743</v>
      </c>
      <c r="T720" s="52" t="s">
        <v>743</v>
      </c>
      <c r="U720" s="52" t="s">
        <v>743</v>
      </c>
      <c r="V720" s="529"/>
      <c r="W720" s="529"/>
      <c r="X720" s="529"/>
    </row>
    <row r="721" spans="1:32" s="165" customFormat="1" ht="45">
      <c r="B721" s="48"/>
      <c r="C721" s="56"/>
      <c r="D721" s="57"/>
      <c r="E721" s="57"/>
      <c r="F721" s="58"/>
      <c r="G721" s="58" t="s">
        <v>2908</v>
      </c>
      <c r="H721" s="52"/>
      <c r="I721" s="52" t="s">
        <v>2909</v>
      </c>
      <c r="J721" s="161">
        <v>1</v>
      </c>
      <c r="K721" s="527">
        <f>440257500+25000000</f>
        <v>465257500</v>
      </c>
      <c r="L721" s="52" t="s">
        <v>743</v>
      </c>
      <c r="M721" s="52" t="s">
        <v>743</v>
      </c>
      <c r="N721" s="52" t="s">
        <v>743</v>
      </c>
      <c r="O721" s="52" t="s">
        <v>743</v>
      </c>
      <c r="P721" s="52" t="s">
        <v>743</v>
      </c>
      <c r="Q721" s="52" t="s">
        <v>743</v>
      </c>
      <c r="R721" s="52" t="s">
        <v>743</v>
      </c>
      <c r="S721" s="52" t="s">
        <v>743</v>
      </c>
      <c r="T721" s="52" t="s">
        <v>743</v>
      </c>
      <c r="U721" s="52" t="s">
        <v>743</v>
      </c>
      <c r="V721" s="529"/>
      <c r="W721" s="529"/>
      <c r="X721" s="529"/>
    </row>
    <row r="722" spans="1:32" s="165" customFormat="1">
      <c r="B722" s="48"/>
      <c r="C722" s="67"/>
      <c r="D722" s="67"/>
      <c r="E722" s="67"/>
      <c r="F722" s="67"/>
      <c r="G722" s="61" t="s">
        <v>4657</v>
      </c>
      <c r="H722" s="52"/>
      <c r="I722" s="52"/>
      <c r="J722" s="161"/>
      <c r="K722" s="648"/>
      <c r="L722" s="52"/>
      <c r="M722" s="649">
        <v>1000000000</v>
      </c>
      <c r="N722" s="649"/>
      <c r="O722" s="649">
        <v>1000000000</v>
      </c>
      <c r="P722" s="649"/>
      <c r="Q722" s="649">
        <v>1000000000</v>
      </c>
      <c r="R722" s="649"/>
      <c r="S722" s="649">
        <v>1000000000</v>
      </c>
      <c r="T722" s="52"/>
      <c r="U722" s="52"/>
      <c r="V722" s="649"/>
      <c r="W722" s="649"/>
      <c r="X722" s="649"/>
    </row>
    <row r="723" spans="1:32" s="280" customFormat="1" ht="30" customHeight="1">
      <c r="A723" s="285"/>
      <c r="B723" s="1093" t="s">
        <v>4264</v>
      </c>
      <c r="C723" s="1094"/>
      <c r="D723" s="1094"/>
      <c r="E723" s="1094"/>
      <c r="F723" s="1094"/>
      <c r="G723" s="1095"/>
      <c r="H723" s="342"/>
      <c r="I723" s="342"/>
      <c r="J723" s="342"/>
      <c r="K723" s="342">
        <f>SUM(K711:K721)</f>
        <v>1249310500</v>
      </c>
      <c r="L723" s="342"/>
      <c r="M723" s="342">
        <f>SUM(M711:M722)</f>
        <v>1665000000</v>
      </c>
      <c r="N723" s="342"/>
      <c r="O723" s="342">
        <f t="shared" ref="O723:U723" si="85">SUM(O711:O721)</f>
        <v>795000000</v>
      </c>
      <c r="P723" s="342"/>
      <c r="Q723" s="342">
        <f t="shared" si="85"/>
        <v>790000000</v>
      </c>
      <c r="R723" s="342"/>
      <c r="S723" s="342">
        <f t="shared" si="85"/>
        <v>925000000</v>
      </c>
      <c r="T723" s="342"/>
      <c r="U723" s="342">
        <f t="shared" si="85"/>
        <v>925000000</v>
      </c>
      <c r="V723" s="342">
        <f t="shared" ref="V723:W723" si="86">SUM(V719:V721)</f>
        <v>0</v>
      </c>
      <c r="W723" s="342">
        <f t="shared" si="86"/>
        <v>0</v>
      </c>
      <c r="X723" s="342"/>
      <c r="Y723" s="285"/>
      <c r="Z723" s="285"/>
      <c r="AA723" s="285"/>
      <c r="AB723" s="285"/>
      <c r="AC723" s="285"/>
      <c r="AD723" s="285"/>
      <c r="AE723" s="285"/>
      <c r="AF723" s="285"/>
    </row>
    <row r="724" spans="1:32">
      <c r="A724" s="165">
        <v>1</v>
      </c>
      <c r="B724" s="62" t="str">
        <f>'[4]matrik MISI 2'!B52</f>
        <v>TRANSMIGRASI</v>
      </c>
      <c r="C724" s="56"/>
      <c r="D724" s="57"/>
      <c r="E724" s="57"/>
      <c r="F724" s="58"/>
      <c r="G724" s="58"/>
      <c r="H724" s="52"/>
      <c r="I724" s="52"/>
      <c r="J724" s="52"/>
      <c r="K724" s="52"/>
      <c r="L724" s="52"/>
      <c r="M724" s="52"/>
      <c r="N724" s="52"/>
      <c r="O724" s="52"/>
      <c r="P724" s="52"/>
      <c r="Q724" s="52"/>
      <c r="R724" s="52"/>
      <c r="S724" s="52"/>
      <c r="T724" s="52"/>
      <c r="U724" s="52"/>
      <c r="V724" s="52"/>
      <c r="W724" s="52"/>
      <c r="X724" s="52"/>
      <c r="Y724" s="165"/>
      <c r="Z724" s="165"/>
      <c r="AA724" s="165"/>
      <c r="AB724" s="165"/>
      <c r="AC724" s="165"/>
      <c r="AD724" s="165"/>
      <c r="AE724" s="165"/>
      <c r="AF724" s="165"/>
    </row>
    <row r="725" spans="1:32" s="540" customFormat="1" ht="45">
      <c r="B725" s="545"/>
      <c r="C725" s="593">
        <f>'[4]matrik MISI 2'!P53</f>
        <v>2.08</v>
      </c>
      <c r="D725" s="594" t="str">
        <f>'[4]matrik MISI 2'!Q53</f>
        <v>xx</v>
      </c>
      <c r="E725" s="594">
        <f>'[4]matrik MISI 2'!R53</f>
        <v>15</v>
      </c>
      <c r="F725" s="595" t="str">
        <f>'[4]matrik MISI 2'!S53</f>
        <v>Program Pengembangan Wilayah Transmigrasi</v>
      </c>
      <c r="G725" s="548"/>
      <c r="H725" s="550"/>
      <c r="I725" s="550"/>
      <c r="J725" s="550"/>
      <c r="K725" s="599">
        <f>SUM(K726)</f>
        <v>99789000</v>
      </c>
      <c r="L725" s="599">
        <f t="shared" ref="L725:U725" si="87">SUM(L726)</f>
        <v>0</v>
      </c>
      <c r="M725" s="599">
        <f t="shared" si="87"/>
        <v>150000000</v>
      </c>
      <c r="N725" s="599">
        <f t="shared" si="87"/>
        <v>0</v>
      </c>
      <c r="O725" s="599">
        <f t="shared" si="87"/>
        <v>200000000</v>
      </c>
      <c r="P725" s="599">
        <f t="shared" si="87"/>
        <v>0</v>
      </c>
      <c r="Q725" s="599">
        <f t="shared" si="87"/>
        <v>250000000</v>
      </c>
      <c r="R725" s="599">
        <f t="shared" si="87"/>
        <v>0</v>
      </c>
      <c r="S725" s="599">
        <f t="shared" si="87"/>
        <v>300000000</v>
      </c>
      <c r="T725" s="599">
        <f t="shared" si="87"/>
        <v>0</v>
      </c>
      <c r="U725" s="599">
        <f t="shared" si="87"/>
        <v>300000000</v>
      </c>
      <c r="V725" s="550"/>
      <c r="W725" s="550"/>
      <c r="X725" s="550" t="str">
        <f>'[4]matrik MISI 2'!AE53</f>
        <v>Disnakertran</v>
      </c>
    </row>
    <row r="726" spans="1:32" ht="120">
      <c r="A726" s="165"/>
      <c r="B726" s="66"/>
      <c r="C726" s="66"/>
      <c r="D726" s="67"/>
      <c r="E726" s="67"/>
      <c r="F726" s="68"/>
      <c r="G726" s="58" t="s">
        <v>3849</v>
      </c>
      <c r="H726" s="52" t="s">
        <v>3850</v>
      </c>
      <c r="I726" s="52" t="s">
        <v>3851</v>
      </c>
      <c r="J726" s="52" t="s">
        <v>3852</v>
      </c>
      <c r="K726" s="320">
        <v>99789000</v>
      </c>
      <c r="L726" s="52" t="s">
        <v>3853</v>
      </c>
      <c r="M726" s="522">
        <v>150000000</v>
      </c>
      <c r="N726" s="52" t="s">
        <v>3854</v>
      </c>
      <c r="O726" s="522">
        <v>200000000</v>
      </c>
      <c r="P726" s="52" t="s">
        <v>3853</v>
      </c>
      <c r="Q726" s="522">
        <v>250000000</v>
      </c>
      <c r="R726" s="52" t="s">
        <v>3853</v>
      </c>
      <c r="S726" s="522">
        <v>300000000</v>
      </c>
      <c r="T726" s="52" t="s">
        <v>3853</v>
      </c>
      <c r="U726" s="522">
        <v>300000000</v>
      </c>
      <c r="V726" s="52"/>
      <c r="W726" s="52"/>
      <c r="X726" s="52"/>
      <c r="Y726" s="165"/>
      <c r="Z726" s="165"/>
      <c r="AA726" s="165"/>
      <c r="AB726" s="165"/>
      <c r="AC726" s="165"/>
      <c r="AD726" s="165"/>
      <c r="AE726" s="165"/>
      <c r="AF726" s="165"/>
    </row>
    <row r="727" spans="1:32" s="280" customFormat="1" ht="30" customHeight="1">
      <c r="A727" s="285"/>
      <c r="B727" s="1096" t="s">
        <v>4265</v>
      </c>
      <c r="C727" s="1096"/>
      <c r="D727" s="1096"/>
      <c r="E727" s="1096"/>
      <c r="F727" s="1096"/>
      <c r="G727" s="1096"/>
      <c r="H727" s="342"/>
      <c r="I727" s="342"/>
      <c r="J727" s="342"/>
      <c r="K727" s="342">
        <f>SUM(K726)</f>
        <v>99789000</v>
      </c>
      <c r="L727" s="342"/>
      <c r="M727" s="342">
        <f t="shared" ref="M727:W727" si="88">SUM(M726)</f>
        <v>150000000</v>
      </c>
      <c r="N727" s="342"/>
      <c r="O727" s="342">
        <f t="shared" si="88"/>
        <v>200000000</v>
      </c>
      <c r="P727" s="342"/>
      <c r="Q727" s="342">
        <f t="shared" si="88"/>
        <v>250000000</v>
      </c>
      <c r="R727" s="342"/>
      <c r="S727" s="342">
        <f t="shared" si="88"/>
        <v>300000000</v>
      </c>
      <c r="T727" s="342"/>
      <c r="U727" s="342">
        <f t="shared" si="88"/>
        <v>300000000</v>
      </c>
      <c r="V727" s="342">
        <f t="shared" si="88"/>
        <v>0</v>
      </c>
      <c r="W727" s="342">
        <f t="shared" si="88"/>
        <v>0</v>
      </c>
      <c r="X727" s="342"/>
      <c r="Y727" s="285"/>
      <c r="Z727" s="285"/>
      <c r="AA727" s="285"/>
      <c r="AB727" s="285"/>
      <c r="AC727" s="285"/>
      <c r="AD727" s="285"/>
      <c r="AE727" s="285"/>
      <c r="AF727" s="285"/>
    </row>
    <row r="728" spans="1:32" s="280" customFormat="1" ht="30" customHeight="1">
      <c r="A728" s="285"/>
      <c r="B728" s="1097" t="s">
        <v>4266</v>
      </c>
      <c r="C728" s="1098"/>
      <c r="D728" s="1098"/>
      <c r="E728" s="1098"/>
      <c r="F728" s="1098"/>
      <c r="G728" s="1099"/>
      <c r="H728" s="342"/>
      <c r="I728" s="342"/>
      <c r="J728" s="342"/>
      <c r="K728" s="342" t="e">
        <f>SUM(K286+#REF!+K345+K364+K371+K495+#REF!+#REF!+#REF!+#REF!+#REF!+#REF!+#REF!+#REF!+#REF!+#REF!+#REF!+#REF!+#REF!+#REF!+#REF!+#REF!+#REF!+#REF!+K607+K620+K626+K647+K673+K708+K723+K727+#REF!)</f>
        <v>#REF!</v>
      </c>
      <c r="L728" s="342"/>
      <c r="M728" s="342" t="e">
        <f>SUM(M286+#REF!+M345+M364+M371+M495+#REF!+#REF!+#REF!+#REF!+#REF!+#REF!+#REF!+#REF!+#REF!+#REF!+#REF!+#REF!+#REF!+#REF!+#REF!+#REF!+#REF!+#REF!+M607+M620+M626+M647+M673+M708+M723+M727+#REF!)</f>
        <v>#REF!</v>
      </c>
      <c r="N728" s="342"/>
      <c r="O728" s="342" t="e">
        <f>SUM(O286+#REF!+O345+O364+O371+O495+#REF!+#REF!+#REF!+#REF!+#REF!+#REF!+#REF!+#REF!+#REF!+#REF!+#REF!+#REF!+#REF!+#REF!+#REF!+#REF!+#REF!+#REF!+O607+O620+O626+O647+O673+O708+O723+O727+#REF!)</f>
        <v>#REF!</v>
      </c>
      <c r="P728" s="342"/>
      <c r="Q728" s="342" t="e">
        <f>SUM(Q286+#REF!+Q345+Q364+Q371+Q495+#REF!+#REF!+#REF!+#REF!+#REF!+#REF!+#REF!+#REF!+#REF!+#REF!+#REF!+#REF!+#REF!+#REF!+#REF!+#REF!+#REF!+#REF!+Q607+Q620+Q626+Q647+Q673+Q708+Q723+Q727+#REF!)</f>
        <v>#REF!</v>
      </c>
      <c r="R728" s="342" t="e">
        <f>SUM(R286+#REF!+R345+R364+R371+R495+#REF!+#REF!+#REF!+#REF!+#REF!+#REF!+#REF!+#REF!+#REF!+#REF!+#REF!+#REF!+#REF!+#REF!+#REF!+#REF!+#REF!+#REF!+R607+R620+R626+R647+R673+R708+R723+R727+#REF!)</f>
        <v>#REF!</v>
      </c>
      <c r="S728" s="342" t="e">
        <f>SUM(S286+#REF!+S345+S364+S371+S495+#REF!+#REF!+#REF!+#REF!+#REF!+#REF!+#REF!+#REF!+#REF!+#REF!+#REF!+#REF!+#REF!+#REF!+#REF!+#REF!+#REF!+#REF!+S607+S620+S626+S647+S673+S708+S723+S727+#REF!)</f>
        <v>#REF!</v>
      </c>
      <c r="T728" s="342"/>
      <c r="U728" s="342" t="e">
        <f>S728</f>
        <v>#REF!</v>
      </c>
      <c r="V728" s="342" t="e">
        <f>SUM(V286+#REF!+V345+V364+V371+V495+#REF!+#REF!+#REF!+#REF!+#REF!+#REF!+#REF!+#REF!+#REF!+#REF!+#REF!+#REF!+#REF!+#REF!+#REF!+#REF!+#REF!+#REF!+V607+V620+V626+V647+V673+V708+V723+V727+#REF!)</f>
        <v>#REF!</v>
      </c>
      <c r="W728" s="342" t="e">
        <f>SUM(W286+#REF!+W345+W364+W371+W495+#REF!+#REF!+#REF!+#REF!+#REF!+#REF!+#REF!+#REF!+#REF!+#REF!+#REF!+#REF!+#REF!+#REF!+#REF!+#REF!+#REF!+#REF!+W607+W620+W626+W647+W673+W708+W723+W727+#REF!)</f>
        <v>#REF!</v>
      </c>
      <c r="X728" s="342"/>
      <c r="Y728" s="285"/>
      <c r="Z728" s="285"/>
      <c r="AA728" s="285"/>
      <c r="AB728" s="285"/>
      <c r="AC728" s="285"/>
      <c r="AD728" s="285"/>
      <c r="AE728" s="285"/>
      <c r="AF728" s="285"/>
    </row>
    <row r="729" spans="1:32">
      <c r="A729" s="165">
        <f>SUM(A9:A726)</f>
        <v>14</v>
      </c>
      <c r="B729" s="165"/>
      <c r="C729" s="48"/>
      <c r="D729" s="49"/>
      <c r="E729" s="49"/>
      <c r="F729" s="50"/>
      <c r="G729" s="165"/>
      <c r="H729" s="165"/>
      <c r="I729" s="165"/>
      <c r="J729" s="165"/>
      <c r="K729" s="165"/>
      <c r="L729" s="165"/>
      <c r="M729" s="165"/>
      <c r="N729" s="165"/>
      <c r="O729" s="165"/>
      <c r="P729" s="165"/>
      <c r="Q729" s="165"/>
      <c r="R729" s="165"/>
      <c r="S729" s="165"/>
      <c r="T729" s="165"/>
      <c r="U729" s="165"/>
      <c r="V729" s="165"/>
      <c r="W729" s="165"/>
      <c r="X729" s="165"/>
      <c r="Y729" s="165"/>
      <c r="Z729" s="165"/>
      <c r="AA729" s="165"/>
      <c r="AB729" s="165"/>
      <c r="AC729" s="165"/>
      <c r="AD729" s="165"/>
      <c r="AE729" s="165"/>
      <c r="AF729" s="165"/>
    </row>
    <row r="730" spans="1:32">
      <c r="A730" s="165"/>
      <c r="B730" s="165"/>
      <c r="C730" s="48"/>
      <c r="D730" s="49"/>
      <c r="E730" s="49"/>
      <c r="F730" s="50"/>
      <c r="G730" s="165"/>
      <c r="H730" s="165"/>
      <c r="I730" s="165"/>
      <c r="J730" s="165"/>
      <c r="K730" s="336">
        <f>SUM(K10:K726)</f>
        <v>829791164296</v>
      </c>
      <c r="L730" s="336"/>
      <c r="M730" s="336">
        <f>SUM(M10:M726)</f>
        <v>647267420412</v>
      </c>
      <c r="N730" s="336"/>
      <c r="O730" s="336">
        <f>SUM(O10:O726)</f>
        <v>663643205079</v>
      </c>
      <c r="P730" s="336"/>
      <c r="Q730" s="336">
        <f>SUM(Q10:Q726)</f>
        <v>656588697636</v>
      </c>
      <c r="R730" s="336"/>
      <c r="S730" s="336">
        <f>SUM(S10:S726)</f>
        <v>743358394022.3999</v>
      </c>
      <c r="T730" s="336"/>
      <c r="U730" s="336">
        <f>SUM(U10:U726)</f>
        <v>778456982970</v>
      </c>
      <c r="V730" s="165"/>
      <c r="W730" s="165"/>
      <c r="X730" s="384"/>
      <c r="Y730" s="165"/>
      <c r="Z730" s="165"/>
      <c r="AA730" s="165"/>
      <c r="AB730" s="165"/>
      <c r="AC730" s="165"/>
      <c r="AD730" s="165"/>
      <c r="AE730" s="165"/>
      <c r="AF730" s="165"/>
    </row>
    <row r="731" spans="1:32">
      <c r="A731" s="165"/>
      <c r="B731" s="165"/>
      <c r="C731" s="48"/>
      <c r="D731" s="49"/>
      <c r="E731" s="49"/>
      <c r="F731" s="50"/>
      <c r="G731" s="165"/>
      <c r="H731" s="165"/>
      <c r="I731" s="165"/>
      <c r="J731" s="165"/>
      <c r="K731" s="165"/>
      <c r="L731" s="165"/>
      <c r="M731" s="165"/>
      <c r="N731" s="165"/>
      <c r="O731" s="165"/>
      <c r="P731" s="165"/>
      <c r="Q731" s="165"/>
      <c r="R731" s="165"/>
      <c r="S731" s="165"/>
      <c r="T731" s="165"/>
      <c r="U731" s="336" t="e">
        <f>#REF!</f>
        <v>#REF!</v>
      </c>
      <c r="V731" s="165"/>
      <c r="W731" s="165"/>
      <c r="X731" s="165"/>
      <c r="Y731" s="165"/>
      <c r="Z731" s="165"/>
      <c r="AA731" s="165"/>
      <c r="AB731" s="165"/>
      <c r="AC731" s="165"/>
      <c r="AD731" s="165"/>
      <c r="AE731" s="165"/>
      <c r="AF731" s="165"/>
    </row>
    <row r="732" spans="1:32">
      <c r="A732" s="165"/>
      <c r="B732" s="165"/>
      <c r="C732" s="48"/>
      <c r="D732" s="49"/>
      <c r="E732" s="49"/>
      <c r="F732" s="50"/>
      <c r="G732" s="165"/>
      <c r="H732" s="165"/>
      <c r="I732" s="165"/>
      <c r="J732" s="165"/>
      <c r="K732" s="165"/>
      <c r="L732" s="165"/>
      <c r="M732" s="165"/>
      <c r="N732" s="165"/>
      <c r="O732" s="165"/>
      <c r="P732" s="165"/>
      <c r="Q732" s="165"/>
      <c r="R732" s="165"/>
      <c r="S732" s="165"/>
      <c r="T732" s="165"/>
      <c r="U732" s="336">
        <v>3450000000</v>
      </c>
      <c r="V732" s="165"/>
      <c r="W732" s="165"/>
      <c r="X732" s="165"/>
      <c r="Y732" s="165"/>
      <c r="Z732" s="165"/>
      <c r="AA732" s="165"/>
      <c r="AB732" s="165"/>
      <c r="AC732" s="165"/>
      <c r="AD732" s="165"/>
      <c r="AE732" s="165"/>
      <c r="AF732" s="165"/>
    </row>
    <row r="733" spans="1:32">
      <c r="A733" s="165"/>
      <c r="B733" s="165"/>
      <c r="C733" s="48"/>
      <c r="D733" s="49"/>
      <c r="E733" s="49"/>
      <c r="F733" s="50"/>
      <c r="G733" s="165"/>
      <c r="H733" s="165"/>
      <c r="I733" s="165"/>
      <c r="J733" s="165"/>
      <c r="K733" s="165"/>
      <c r="L733" s="165"/>
      <c r="M733" s="336">
        <f>SUM(M730:M732)</f>
        <v>647267420412</v>
      </c>
      <c r="N733" s="336"/>
      <c r="O733" s="336">
        <f>SUM(O730:O732)</f>
        <v>663643205079</v>
      </c>
      <c r="P733" s="336"/>
      <c r="Q733" s="336">
        <f>SUM(Q730:Q732)</f>
        <v>656588697636</v>
      </c>
      <c r="R733" s="336"/>
      <c r="S733" s="336">
        <f>SUM(S730:S732)</f>
        <v>743358394022.3999</v>
      </c>
      <c r="T733" s="336"/>
      <c r="U733" s="336" t="e">
        <f>SUM(U730:U732)</f>
        <v>#REF!</v>
      </c>
      <c r="V733" s="165"/>
      <c r="W733" s="165"/>
      <c r="X733" s="165"/>
      <c r="Y733" s="165"/>
      <c r="Z733" s="165"/>
      <c r="AA733" s="165"/>
      <c r="AB733" s="165"/>
      <c r="AC733" s="165"/>
      <c r="AD733" s="165"/>
      <c r="AE733" s="165"/>
      <c r="AF733" s="165"/>
    </row>
    <row r="734" spans="1:32">
      <c r="A734" s="165"/>
      <c r="B734" s="165"/>
      <c r="C734" s="48"/>
      <c r="D734" s="49"/>
      <c r="E734" s="49"/>
      <c r="F734" s="50"/>
      <c r="G734" s="165"/>
      <c r="H734" s="165"/>
      <c r="I734" s="165"/>
      <c r="J734" s="165"/>
      <c r="K734" s="165"/>
      <c r="L734" s="165"/>
      <c r="M734" s="165"/>
      <c r="N734" s="165"/>
      <c r="O734" s="165"/>
      <c r="P734" s="165"/>
      <c r="Q734" s="165"/>
      <c r="R734" s="165"/>
      <c r="S734" s="165"/>
      <c r="T734" s="165"/>
      <c r="U734" s="165"/>
      <c r="V734" s="165"/>
      <c r="W734" s="165"/>
      <c r="X734" s="165"/>
      <c r="Y734" s="165"/>
      <c r="Z734" s="165"/>
      <c r="AA734" s="165"/>
      <c r="AB734" s="165"/>
      <c r="AC734" s="165"/>
      <c r="AD734" s="165"/>
      <c r="AE734" s="165"/>
      <c r="AF734" s="165"/>
    </row>
    <row r="735" spans="1:32">
      <c r="A735" s="165"/>
      <c r="B735" s="165"/>
      <c r="C735" s="48"/>
      <c r="D735" s="49"/>
      <c r="E735" s="49"/>
      <c r="F735" s="50"/>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row>
    <row r="736" spans="1:32">
      <c r="A736" s="165"/>
      <c r="B736" s="165"/>
      <c r="C736" s="48"/>
      <c r="D736" s="49"/>
      <c r="E736" s="49"/>
      <c r="F736" s="50"/>
      <c r="G736" s="165"/>
      <c r="H736" s="165"/>
      <c r="I736" s="165"/>
      <c r="J736" s="165"/>
      <c r="K736" s="165"/>
      <c r="L736" s="165"/>
      <c r="M736" s="165"/>
      <c r="N736" s="165"/>
      <c r="O736" s="165"/>
      <c r="P736" s="165"/>
      <c r="Q736" s="165"/>
      <c r="R736" s="165"/>
      <c r="S736" s="165"/>
      <c r="T736" s="165"/>
      <c r="U736" s="165"/>
      <c r="V736" s="165"/>
      <c r="W736" s="165"/>
      <c r="X736" s="165"/>
      <c r="Y736" s="165"/>
      <c r="Z736" s="165"/>
      <c r="AA736" s="165"/>
      <c r="AB736" s="165"/>
      <c r="AC736" s="165"/>
      <c r="AD736" s="165"/>
      <c r="AE736" s="165"/>
      <c r="AF736" s="165"/>
    </row>
    <row r="737" spans="1:32">
      <c r="A737" s="165"/>
      <c r="B737" s="165"/>
      <c r="C737" s="48"/>
      <c r="D737" s="49"/>
      <c r="E737" s="49"/>
      <c r="F737" s="50"/>
      <c r="G737" s="165"/>
      <c r="H737" s="165"/>
      <c r="I737" s="165"/>
      <c r="J737" s="165"/>
      <c r="K737" s="165">
        <v>250000000</v>
      </c>
      <c r="L737" s="165"/>
      <c r="M737" s="165"/>
      <c r="N737" s="165"/>
      <c r="O737" s="165"/>
      <c r="P737" s="165"/>
      <c r="Q737" s="165"/>
      <c r="R737" s="165"/>
      <c r="S737" s="165"/>
      <c r="T737" s="165"/>
      <c r="U737" s="165"/>
      <c r="V737" s="165"/>
      <c r="W737" s="165"/>
      <c r="X737" s="165"/>
      <c r="Y737" s="165"/>
      <c r="Z737" s="165"/>
      <c r="AA737" s="165"/>
      <c r="AB737" s="165"/>
      <c r="AC737" s="165"/>
      <c r="AD737" s="165"/>
      <c r="AE737" s="165"/>
      <c r="AF737" s="165"/>
    </row>
    <row r="738" spans="1:32">
      <c r="A738" s="165"/>
      <c r="B738" s="165"/>
      <c r="C738" s="48"/>
      <c r="D738" s="49"/>
      <c r="E738" s="49"/>
      <c r="F738" s="50"/>
      <c r="G738" s="165"/>
      <c r="H738" s="165"/>
      <c r="I738" s="165"/>
      <c r="J738" s="165"/>
      <c r="K738" s="165">
        <v>20</v>
      </c>
      <c r="L738" s="336"/>
      <c r="M738" s="165"/>
      <c r="N738" s="165"/>
      <c r="O738" s="165"/>
      <c r="P738" s="165"/>
      <c r="Q738" s="165"/>
      <c r="R738" s="165"/>
      <c r="S738" s="165"/>
      <c r="T738" s="165"/>
      <c r="U738" s="165"/>
      <c r="V738" s="165"/>
      <c r="W738" s="165"/>
      <c r="X738" s="165"/>
      <c r="Y738" s="165"/>
      <c r="Z738" s="165"/>
      <c r="AA738" s="165"/>
      <c r="AB738" s="165"/>
      <c r="AC738" s="165"/>
      <c r="AD738" s="165"/>
      <c r="AE738" s="165"/>
      <c r="AF738" s="165"/>
    </row>
    <row r="739" spans="1:32">
      <c r="A739" s="165"/>
      <c r="B739" s="165"/>
      <c r="C739" s="48"/>
      <c r="D739" s="49"/>
      <c r="E739" s="49"/>
      <c r="F739" s="50"/>
      <c r="G739" s="165"/>
      <c r="H739" s="165"/>
      <c r="I739" s="165"/>
      <c r="J739" s="165"/>
      <c r="K739" s="165">
        <v>150000000</v>
      </c>
      <c r="L739" s="165"/>
      <c r="M739" s="165"/>
      <c r="N739" s="165"/>
      <c r="O739" s="165"/>
      <c r="P739" s="165"/>
      <c r="Q739" s="165"/>
      <c r="R739" s="165"/>
      <c r="S739" s="165"/>
      <c r="T739" s="165"/>
      <c r="U739" s="165"/>
      <c r="V739" s="165"/>
      <c r="W739" s="165"/>
      <c r="X739" s="165"/>
      <c r="Y739" s="165"/>
      <c r="Z739" s="165"/>
      <c r="AA739" s="165"/>
      <c r="AB739" s="165"/>
      <c r="AC739" s="165"/>
      <c r="AD739" s="165"/>
      <c r="AE739" s="165"/>
      <c r="AF739" s="165"/>
    </row>
    <row r="740" spans="1:32">
      <c r="A740" s="165"/>
      <c r="B740" s="165"/>
      <c r="C740" s="48"/>
      <c r="D740" s="49"/>
      <c r="E740" s="49"/>
      <c r="F740" s="50"/>
      <c r="G740" s="165"/>
      <c r="H740" s="165"/>
      <c r="I740" s="165"/>
      <c r="J740" s="165"/>
      <c r="K740" s="165">
        <v>23</v>
      </c>
      <c r="L740" s="165"/>
      <c r="M740" s="165"/>
      <c r="N740" s="165"/>
      <c r="O740" s="165"/>
      <c r="P740" s="165"/>
      <c r="Q740" s="165"/>
      <c r="R740" s="165"/>
      <c r="S740" s="165"/>
      <c r="T740" s="165"/>
      <c r="U740" s="165"/>
      <c r="V740" s="165"/>
      <c r="W740" s="165"/>
      <c r="X740" s="165"/>
      <c r="Y740" s="165"/>
      <c r="Z740" s="165"/>
      <c r="AA740" s="165"/>
      <c r="AB740" s="165"/>
      <c r="AC740" s="165"/>
      <c r="AD740" s="165"/>
      <c r="AE740" s="165"/>
      <c r="AF740" s="165"/>
    </row>
  </sheetData>
  <mergeCells count="34">
    <mergeCell ref="X3:X5"/>
    <mergeCell ref="C4:F5"/>
    <mergeCell ref="H4:H5"/>
    <mergeCell ref="I4:I5"/>
    <mergeCell ref="J4:K4"/>
    <mergeCell ref="L4:M4"/>
    <mergeCell ref="N4:O4"/>
    <mergeCell ref="P4:Q4"/>
    <mergeCell ref="R4:S4"/>
    <mergeCell ref="C3:F3"/>
    <mergeCell ref="G3:G5"/>
    <mergeCell ref="H3:I3"/>
    <mergeCell ref="J3:R3"/>
    <mergeCell ref="T3:U3"/>
    <mergeCell ref="T4:U4"/>
    <mergeCell ref="B647:G647"/>
    <mergeCell ref="V4:W4"/>
    <mergeCell ref="C6:F6"/>
    <mergeCell ref="B286:G286"/>
    <mergeCell ref="B345:G345"/>
    <mergeCell ref="B364:G364"/>
    <mergeCell ref="B371:G371"/>
    <mergeCell ref="B3:B5"/>
    <mergeCell ref="B433:G433"/>
    <mergeCell ref="B495:G495"/>
    <mergeCell ref="B607:G607"/>
    <mergeCell ref="B620:G620"/>
    <mergeCell ref="B626:G626"/>
    <mergeCell ref="V3:W3"/>
    <mergeCell ref="B673:G673"/>
    <mergeCell ref="B708:G708"/>
    <mergeCell ref="B723:G723"/>
    <mergeCell ref="B727:G727"/>
    <mergeCell ref="B728:G728"/>
  </mergeCells>
  <pageMargins left="0.7" right="0.7" top="0.75" bottom="0.75" header="0.3" footer="0.3"/>
  <pageSetup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sheetPr>
    <tabColor rgb="FFFFFF00"/>
  </sheetPr>
  <dimension ref="A6:P271"/>
  <sheetViews>
    <sheetView topLeftCell="A240" zoomScale="140" zoomScaleNormal="140" workbookViewId="0">
      <selection activeCell="D245" sqref="D245:L245"/>
    </sheetView>
  </sheetViews>
  <sheetFormatPr defaultColWidth="11.42578125" defaultRowHeight="15"/>
  <cols>
    <col min="1" max="1" width="11.42578125" style="801"/>
    <col min="2" max="2" width="61.5703125" style="801" customWidth="1"/>
    <col min="3" max="3" width="7.7109375" style="801" customWidth="1"/>
    <col min="4" max="4" width="18.140625" style="804" customWidth="1"/>
    <col min="5" max="5" width="5.5703125" style="804" customWidth="1"/>
    <col min="6" max="6" width="18.7109375" style="801" customWidth="1"/>
    <col min="7" max="7" width="6.42578125" style="801" customWidth="1"/>
    <col min="8" max="8" width="18.7109375" style="801" customWidth="1"/>
    <col min="9" max="9" width="7.140625" style="801" customWidth="1"/>
    <col min="10" max="10" width="18.7109375" style="801" customWidth="1"/>
    <col min="11" max="11" width="6.5703125" style="801" customWidth="1"/>
    <col min="12" max="12" width="18.7109375" style="801" customWidth="1"/>
    <col min="13" max="13" width="13.140625" style="801" customWidth="1"/>
    <col min="14" max="14" width="15.5703125" style="801" bestFit="1" customWidth="1"/>
    <col min="15" max="15" width="11.7109375" style="801" bestFit="1" customWidth="1"/>
    <col min="16" max="16" width="14" style="801" bestFit="1" customWidth="1"/>
    <col min="17" max="16384" width="11.42578125" style="801"/>
  </cols>
  <sheetData>
    <row r="6" spans="1:12">
      <c r="A6" s="800" t="s">
        <v>4687</v>
      </c>
      <c r="D6" s="802">
        <v>2014</v>
      </c>
      <c r="E6" s="802"/>
      <c r="F6" s="803">
        <v>2015</v>
      </c>
      <c r="G6" s="803"/>
      <c r="H6" s="802">
        <v>2016</v>
      </c>
      <c r="I6" s="802"/>
      <c r="J6" s="803">
        <v>2017</v>
      </c>
      <c r="K6" s="803"/>
      <c r="L6" s="802">
        <v>2018</v>
      </c>
    </row>
    <row r="8" spans="1:12">
      <c r="F8" s="804"/>
      <c r="G8" s="804"/>
      <c r="H8" s="804"/>
      <c r="I8" s="804"/>
      <c r="J8" s="804"/>
      <c r="K8" s="804"/>
      <c r="L8" s="804"/>
    </row>
    <row r="10" spans="1:12">
      <c r="D10" s="802">
        <v>2014</v>
      </c>
      <c r="E10" s="802"/>
      <c r="F10" s="803">
        <v>2015</v>
      </c>
      <c r="G10" s="803"/>
      <c r="H10" s="802">
        <v>2016</v>
      </c>
      <c r="I10" s="802"/>
      <c r="J10" s="803">
        <v>2017</v>
      </c>
      <c r="K10" s="803"/>
      <c r="L10" s="802">
        <v>2018</v>
      </c>
    </row>
    <row r="12" spans="1:12" ht="12.75">
      <c r="A12" s="805" t="s">
        <v>4688</v>
      </c>
      <c r="B12" s="806" t="s">
        <v>4689</v>
      </c>
      <c r="C12" s="806"/>
      <c r="D12" s="807">
        <f>+D16+D20+D24+D34+D38+D45+D52+D57+D66+D71+D75+D82+D85+D90+D108+D117+D131+D138+D141+D148+D153+D157</f>
        <v>59294840000</v>
      </c>
      <c r="E12" s="807">
        <f t="shared" ref="E12:K12" si="0">+E16+E20+E24+E34+E38+E45+E52+E57+E66+E71+E75+E82+E85+E90+E108+E117+E131+E138+E141+E148+E153+E157</f>
        <v>0</v>
      </c>
      <c r="F12" s="807">
        <f t="shared" si="0"/>
        <v>64879340000</v>
      </c>
      <c r="G12" s="807">
        <f t="shared" si="0"/>
        <v>0</v>
      </c>
      <c r="H12" s="807">
        <f t="shared" si="0"/>
        <v>65628590000</v>
      </c>
      <c r="I12" s="807">
        <f t="shared" si="0"/>
        <v>0</v>
      </c>
      <c r="J12" s="807">
        <f>+J16+J20+J24+J34+J38+J45+J52+J57+J66+J71+J75+J82+J85+J90+J108+J112+J117+J131+J138+J141+J148+J153+J157</f>
        <v>68457340000</v>
      </c>
      <c r="K12" s="807">
        <f t="shared" si="0"/>
        <v>0</v>
      </c>
      <c r="L12" s="807">
        <f>+L16+L20+L24+L34+L38+L45+L52+L57+L66+L71+L75+L82+L85+L90+L108+L112+L117+L131+L138+L141+L148+L153+L157</f>
        <v>90007340000</v>
      </c>
    </row>
    <row r="14" spans="1:12" ht="12.75">
      <c r="A14" s="805" t="s">
        <v>4690</v>
      </c>
      <c r="B14" s="806" t="s">
        <v>4691</v>
      </c>
      <c r="C14" s="806"/>
      <c r="D14" s="808">
        <f>+D16</f>
        <v>3030000000</v>
      </c>
      <c r="E14" s="808"/>
    </row>
    <row r="16" spans="1:12">
      <c r="B16" s="809" t="s">
        <v>1103</v>
      </c>
      <c r="C16" s="809"/>
      <c r="D16" s="810">
        <v>3030000000</v>
      </c>
      <c r="E16" s="810"/>
      <c r="F16" s="810">
        <v>4030000000</v>
      </c>
      <c r="G16" s="810"/>
      <c r="H16" s="810">
        <v>4030000000</v>
      </c>
      <c r="I16" s="810"/>
      <c r="J16" s="810">
        <v>4030000000</v>
      </c>
      <c r="K16" s="810"/>
      <c r="L16" s="810">
        <v>4030000000</v>
      </c>
    </row>
    <row r="18" spans="1:12" ht="12.75">
      <c r="A18" s="805" t="s">
        <v>4692</v>
      </c>
      <c r="B18" s="806" t="s">
        <v>4693</v>
      </c>
      <c r="C18" s="806"/>
      <c r="D18" s="808">
        <v>600000000</v>
      </c>
      <c r="E18" s="808"/>
    </row>
    <row r="20" spans="1:12">
      <c r="B20" s="809" t="s">
        <v>1341</v>
      </c>
      <c r="C20" s="809"/>
      <c r="D20" s="810">
        <v>600000000</v>
      </c>
      <c r="E20" s="810"/>
      <c r="F20" s="810">
        <v>600000000</v>
      </c>
      <c r="G20" s="810"/>
      <c r="H20" s="810">
        <v>600000000</v>
      </c>
      <c r="I20" s="810"/>
      <c r="J20" s="810">
        <v>600000000</v>
      </c>
      <c r="K20" s="810"/>
      <c r="L20" s="810">
        <v>600000000</v>
      </c>
    </row>
    <row r="22" spans="1:12" ht="12.75">
      <c r="A22" s="805" t="s">
        <v>4694</v>
      </c>
      <c r="B22" s="806" t="s">
        <v>4695</v>
      </c>
      <c r="C22" s="806"/>
      <c r="D22" s="808">
        <v>22399260000</v>
      </c>
      <c r="E22" s="808"/>
    </row>
    <row r="23" spans="1:12" ht="12.75">
      <c r="A23" s="805"/>
      <c r="B23" s="806"/>
      <c r="C23" s="806"/>
      <c r="D23" s="808"/>
      <c r="E23" s="808"/>
    </row>
    <row r="24" spans="1:12">
      <c r="B24" s="809" t="s">
        <v>4696</v>
      </c>
      <c r="C24" s="809"/>
      <c r="D24" s="810">
        <f>SUM(D25:D30)</f>
        <v>32494760000</v>
      </c>
      <c r="E24" s="810"/>
      <c r="F24" s="810">
        <f t="shared" ref="F24:L24" si="1">SUM(F25:F30)</f>
        <v>35656260000</v>
      </c>
      <c r="G24" s="810"/>
      <c r="H24" s="810">
        <f t="shared" si="1"/>
        <v>35656260000</v>
      </c>
      <c r="I24" s="810"/>
      <c r="J24" s="810">
        <f t="shared" si="1"/>
        <v>36656260000</v>
      </c>
      <c r="K24" s="810"/>
      <c r="L24" s="810">
        <f t="shared" si="1"/>
        <v>37656260000</v>
      </c>
    </row>
    <row r="25" spans="1:12" ht="12.75">
      <c r="B25" s="811" t="s">
        <v>4697</v>
      </c>
      <c r="C25" s="811"/>
      <c r="D25" s="812">
        <v>84660000</v>
      </c>
      <c r="E25" s="812"/>
      <c r="F25" s="812">
        <v>84660000</v>
      </c>
      <c r="G25" s="812"/>
      <c r="H25" s="812">
        <v>84660000</v>
      </c>
      <c r="I25" s="812"/>
      <c r="J25" s="812">
        <v>84660000</v>
      </c>
      <c r="K25" s="812"/>
      <c r="L25" s="812">
        <v>84660000</v>
      </c>
    </row>
    <row r="26" spans="1:12" ht="12.75">
      <c r="B26" s="813" t="s">
        <v>4698</v>
      </c>
      <c r="C26" s="813"/>
      <c r="D26" s="814">
        <v>325000000</v>
      </c>
      <c r="E26" s="814"/>
      <c r="F26" s="814">
        <v>325000000</v>
      </c>
      <c r="G26" s="814"/>
      <c r="H26" s="814">
        <v>325000000</v>
      </c>
      <c r="I26" s="814"/>
      <c r="J26" s="814">
        <v>325000000</v>
      </c>
      <c r="K26" s="814"/>
      <c r="L26" s="814">
        <v>325000000</v>
      </c>
    </row>
    <row r="27" spans="1:12" ht="12.75">
      <c r="B27" s="813" t="s">
        <v>4699</v>
      </c>
      <c r="C27" s="813"/>
      <c r="D27" s="814">
        <v>400000000</v>
      </c>
      <c r="E27" s="814"/>
      <c r="F27" s="814">
        <v>400000000</v>
      </c>
      <c r="G27" s="814"/>
      <c r="H27" s="814">
        <v>400000000</v>
      </c>
      <c r="I27" s="814"/>
      <c r="J27" s="814">
        <v>400000000</v>
      </c>
      <c r="K27" s="814"/>
      <c r="L27" s="814">
        <v>400000000</v>
      </c>
    </row>
    <row r="28" spans="1:12" ht="12.75">
      <c r="B28" s="813" t="s">
        <v>4700</v>
      </c>
      <c r="C28" s="813"/>
      <c r="D28" s="814">
        <v>846600000</v>
      </c>
      <c r="E28" s="814"/>
      <c r="F28" s="814">
        <v>846600000</v>
      </c>
      <c r="G28" s="814"/>
      <c r="H28" s="814">
        <v>846600000</v>
      </c>
      <c r="I28" s="814"/>
      <c r="J28" s="814">
        <v>846600000</v>
      </c>
      <c r="K28" s="814"/>
      <c r="L28" s="814">
        <v>846600000</v>
      </c>
    </row>
    <row r="29" spans="1:12" ht="12.75">
      <c r="B29" s="813" t="s">
        <v>4701</v>
      </c>
      <c r="C29" s="813"/>
      <c r="D29" s="814">
        <f>8743000000+5000000000+591500000+4504000000</f>
        <v>18838500000</v>
      </c>
      <c r="E29" s="814"/>
      <c r="F29" s="814">
        <v>21000000000</v>
      </c>
      <c r="G29" s="814"/>
      <c r="H29" s="814">
        <f>+F29</f>
        <v>21000000000</v>
      </c>
      <c r="I29" s="814"/>
      <c r="J29" s="814">
        <f>+H29</f>
        <v>21000000000</v>
      </c>
      <c r="K29" s="814"/>
      <c r="L29" s="814">
        <f>+J29</f>
        <v>21000000000</v>
      </c>
    </row>
    <row r="30" spans="1:12">
      <c r="B30" s="841" t="s">
        <v>4702</v>
      </c>
      <c r="C30" s="841"/>
      <c r="D30" s="804">
        <v>12000000000</v>
      </c>
      <c r="F30" s="804">
        <v>13000000000</v>
      </c>
      <c r="G30" s="804"/>
      <c r="H30" s="804">
        <v>13000000000</v>
      </c>
      <c r="I30" s="804"/>
      <c r="J30" s="804">
        <v>14000000000</v>
      </c>
      <c r="K30" s="804"/>
      <c r="L30" s="804">
        <v>15000000000</v>
      </c>
    </row>
    <row r="32" spans="1:12" ht="12.75">
      <c r="A32" s="805" t="s">
        <v>4703</v>
      </c>
      <c r="B32" s="806" t="s">
        <v>4704</v>
      </c>
      <c r="C32" s="806"/>
      <c r="D32" s="808">
        <v>475000000</v>
      </c>
      <c r="E32" s="808"/>
    </row>
    <row r="34" spans="1:12" ht="12.75">
      <c r="B34" s="809" t="s">
        <v>4705</v>
      </c>
      <c r="C34" s="809"/>
      <c r="D34" s="816">
        <v>475000000</v>
      </c>
      <c r="E34" s="816"/>
      <c r="F34" s="816">
        <v>475000000</v>
      </c>
      <c r="G34" s="816"/>
      <c r="H34" s="816">
        <v>475000000</v>
      </c>
      <c r="I34" s="816"/>
      <c r="J34" s="816">
        <v>475000000</v>
      </c>
      <c r="K34" s="816"/>
      <c r="L34" s="816">
        <v>475000000</v>
      </c>
    </row>
    <row r="36" spans="1:12" ht="12.75">
      <c r="A36" s="805" t="s">
        <v>4706</v>
      </c>
      <c r="B36" s="806" t="s">
        <v>4707</v>
      </c>
      <c r="C36" s="806"/>
      <c r="D36" s="808">
        <v>305000000</v>
      </c>
      <c r="E36" s="808"/>
    </row>
    <row r="38" spans="1:12" ht="12.75">
      <c r="B38" s="817" t="s">
        <v>4708</v>
      </c>
      <c r="C38" s="817"/>
      <c r="D38" s="818">
        <f>SUM(D39:D41)</f>
        <v>305000000</v>
      </c>
      <c r="E38" s="818"/>
      <c r="F38" s="818">
        <f>+D38</f>
        <v>305000000</v>
      </c>
      <c r="G38" s="818"/>
      <c r="H38" s="818">
        <f>+F38</f>
        <v>305000000</v>
      </c>
      <c r="I38" s="818"/>
      <c r="J38" s="818">
        <f>+H38</f>
        <v>305000000</v>
      </c>
      <c r="K38" s="818"/>
      <c r="L38" s="818">
        <f>+J38</f>
        <v>305000000</v>
      </c>
    </row>
    <row r="39" spans="1:12" ht="12.75">
      <c r="B39" s="819" t="s">
        <v>4709</v>
      </c>
      <c r="C39" s="819"/>
      <c r="D39" s="820">
        <v>150000000</v>
      </c>
      <c r="E39" s="820"/>
    </row>
    <row r="40" spans="1:12" ht="12.75">
      <c r="B40" s="821" t="s">
        <v>4710</v>
      </c>
      <c r="C40" s="821"/>
      <c r="D40" s="821">
        <v>150000000</v>
      </c>
      <c r="E40" s="821"/>
    </row>
    <row r="41" spans="1:12" ht="12.75">
      <c r="B41" s="821" t="s">
        <v>4711</v>
      </c>
      <c r="C41" s="821"/>
      <c r="D41" s="821">
        <v>5000000</v>
      </c>
      <c r="E41" s="821"/>
    </row>
    <row r="42" spans="1:12" ht="18.75">
      <c r="B42" s="822"/>
      <c r="C42" s="822"/>
    </row>
    <row r="43" spans="1:12" ht="12.75">
      <c r="A43" s="805" t="s">
        <v>4712</v>
      </c>
      <c r="B43" s="806" t="s">
        <v>4713</v>
      </c>
      <c r="C43" s="806"/>
      <c r="D43" s="808">
        <v>360000000</v>
      </c>
      <c r="E43" s="808"/>
    </row>
    <row r="45" spans="1:12" ht="12.75">
      <c r="B45" s="809" t="s">
        <v>4714</v>
      </c>
      <c r="C45" s="809"/>
      <c r="D45" s="816">
        <v>360000000</v>
      </c>
      <c r="E45" s="816"/>
      <c r="F45" s="816">
        <v>360000000</v>
      </c>
      <c r="G45" s="816"/>
      <c r="H45" s="816">
        <v>360000000</v>
      </c>
      <c r="I45" s="816"/>
      <c r="J45" s="816">
        <f>+H45</f>
        <v>360000000</v>
      </c>
      <c r="K45" s="816"/>
      <c r="L45" s="816">
        <f>+J45</f>
        <v>360000000</v>
      </c>
    </row>
    <row r="47" spans="1:12">
      <c r="B47" s="815" t="s">
        <v>4715</v>
      </c>
      <c r="C47" s="815"/>
      <c r="D47" s="804">
        <v>360000000</v>
      </c>
    </row>
    <row r="50" spans="1:12" ht="12.75">
      <c r="A50" s="805" t="s">
        <v>4716</v>
      </c>
      <c r="B50" s="806" t="s">
        <v>4717</v>
      </c>
      <c r="C50" s="806"/>
      <c r="D50" s="808">
        <v>45000000</v>
      </c>
      <c r="E50" s="808"/>
    </row>
    <row r="52" spans="1:12">
      <c r="B52" s="809" t="s">
        <v>4718</v>
      </c>
      <c r="C52" s="809"/>
      <c r="D52" s="810">
        <f>+D53+D54</f>
        <v>45000000</v>
      </c>
      <c r="E52" s="810"/>
      <c r="F52" s="810">
        <v>100000000</v>
      </c>
      <c r="G52" s="810"/>
      <c r="H52" s="810">
        <v>125000000</v>
      </c>
      <c r="I52" s="810"/>
      <c r="J52" s="810">
        <v>150000000</v>
      </c>
      <c r="K52" s="810"/>
      <c r="L52" s="810">
        <v>200000000</v>
      </c>
    </row>
    <row r="53" spans="1:12" ht="18.75">
      <c r="B53" s="806" t="s">
        <v>4719</v>
      </c>
      <c r="C53" s="806"/>
      <c r="D53" s="823">
        <v>25000000</v>
      </c>
      <c r="E53" s="823"/>
      <c r="J53" s="822"/>
      <c r="K53" s="822"/>
    </row>
    <row r="54" spans="1:12" ht="18.75">
      <c r="B54" s="806" t="s">
        <v>4720</v>
      </c>
      <c r="C54" s="806"/>
      <c r="D54" s="823">
        <v>20000000</v>
      </c>
      <c r="E54" s="823"/>
      <c r="J54" s="822"/>
      <c r="K54" s="822"/>
    </row>
    <row r="55" spans="1:12" ht="18.75">
      <c r="J55" s="822"/>
      <c r="K55" s="822"/>
    </row>
    <row r="56" spans="1:12" ht="12.75">
      <c r="A56" s="805" t="s">
        <v>4721</v>
      </c>
      <c r="B56" s="806" t="s">
        <v>4722</v>
      </c>
      <c r="C56" s="806"/>
      <c r="D56" s="808">
        <v>350000000</v>
      </c>
      <c r="E56" s="808"/>
    </row>
    <row r="57" spans="1:12">
      <c r="B57" s="824" t="s">
        <v>4723</v>
      </c>
      <c r="C57" s="824"/>
      <c r="D57" s="810">
        <f>SUM(D59:D62)</f>
        <v>350000000</v>
      </c>
      <c r="E57" s="810"/>
      <c r="F57" s="810">
        <f>500000000+500000000</f>
        <v>1000000000</v>
      </c>
      <c r="G57" s="810"/>
      <c r="H57" s="810">
        <f>750000000+500000000</f>
        <v>1250000000</v>
      </c>
      <c r="I57" s="810"/>
      <c r="J57" s="810">
        <f>750000000+500000000</f>
        <v>1250000000</v>
      </c>
      <c r="K57" s="810"/>
      <c r="L57" s="810">
        <f>1000000000+500000000</f>
        <v>1500000000</v>
      </c>
    </row>
    <row r="59" spans="1:12" ht="12.75">
      <c r="B59" s="806" t="s">
        <v>4724</v>
      </c>
      <c r="C59" s="806"/>
      <c r="D59" s="823">
        <v>25000000</v>
      </c>
      <c r="E59" s="823"/>
    </row>
    <row r="60" spans="1:12" ht="12.75">
      <c r="B60" s="806" t="s">
        <v>4725</v>
      </c>
      <c r="C60" s="806"/>
      <c r="D60" s="823">
        <v>300000000</v>
      </c>
      <c r="E60" s="823"/>
    </row>
    <row r="61" spans="1:12" ht="12.75">
      <c r="B61" s="806" t="s">
        <v>4726</v>
      </c>
      <c r="C61" s="806"/>
      <c r="D61" s="823">
        <v>10000000</v>
      </c>
      <c r="E61" s="823"/>
    </row>
    <row r="62" spans="1:12" ht="12.75">
      <c r="B62" s="806" t="s">
        <v>4727</v>
      </c>
      <c r="C62" s="806"/>
      <c r="D62" s="823">
        <v>15000000</v>
      </c>
      <c r="E62" s="823"/>
    </row>
    <row r="63" spans="1:12" ht="12.75">
      <c r="B63" s="806"/>
      <c r="C63" s="806"/>
      <c r="D63" s="806"/>
      <c r="E63" s="806"/>
    </row>
    <row r="64" spans="1:12" ht="12.75">
      <c r="A64" s="805" t="s">
        <v>4728</v>
      </c>
      <c r="B64" s="806" t="s">
        <v>4729</v>
      </c>
      <c r="C64" s="806"/>
      <c r="D64" s="808">
        <v>4350000000</v>
      </c>
      <c r="E64" s="808"/>
    </row>
    <row r="65" spans="1:12" ht="12.75">
      <c r="A65" s="805"/>
      <c r="B65" s="806"/>
      <c r="C65" s="806"/>
      <c r="D65" s="808"/>
      <c r="E65" s="808"/>
    </row>
    <row r="66" spans="1:12" ht="12.75">
      <c r="B66" s="824" t="s">
        <v>4723</v>
      </c>
      <c r="C66" s="824"/>
      <c r="D66" s="825">
        <f>SUM(B67:D68)</f>
        <v>4350000000</v>
      </c>
      <c r="E66" s="825"/>
      <c r="F66" s="825">
        <f>SUM(D67:F68)</f>
        <v>4350000000</v>
      </c>
      <c r="G66" s="825"/>
      <c r="H66" s="825">
        <f>+F66</f>
        <v>4350000000</v>
      </c>
      <c r="I66" s="825"/>
      <c r="J66" s="825">
        <f>+H66</f>
        <v>4350000000</v>
      </c>
      <c r="K66" s="825"/>
      <c r="L66" s="825">
        <f>+J66</f>
        <v>4350000000</v>
      </c>
    </row>
    <row r="67" spans="1:12" ht="12.75">
      <c r="B67" s="823" t="s">
        <v>4730</v>
      </c>
      <c r="C67" s="823"/>
      <c r="D67" s="823">
        <v>4300000000</v>
      </c>
      <c r="E67" s="823"/>
    </row>
    <row r="68" spans="1:12" ht="12.75">
      <c r="B68" s="823" t="s">
        <v>4731</v>
      </c>
      <c r="C68" s="823"/>
      <c r="D68" s="823">
        <v>50000000</v>
      </c>
      <c r="E68" s="823"/>
    </row>
    <row r="70" spans="1:12" ht="12.75">
      <c r="A70" s="805" t="s">
        <v>4732</v>
      </c>
      <c r="B70" s="806" t="s">
        <v>4733</v>
      </c>
      <c r="C70" s="806"/>
      <c r="D70" s="808">
        <f>D71+D75</f>
        <v>1375000000</v>
      </c>
      <c r="E70" s="808">
        <f t="shared" ref="E70:L70" si="2">E71+E75</f>
        <v>0</v>
      </c>
      <c r="F70" s="808">
        <f t="shared" si="2"/>
        <v>25000000</v>
      </c>
      <c r="G70" s="808">
        <f t="shared" si="2"/>
        <v>0</v>
      </c>
      <c r="H70" s="808">
        <f t="shared" si="2"/>
        <v>25000000</v>
      </c>
      <c r="I70" s="808">
        <f t="shared" si="2"/>
        <v>0</v>
      </c>
      <c r="J70" s="808">
        <f t="shared" si="2"/>
        <v>25000000</v>
      </c>
      <c r="K70" s="808">
        <f t="shared" si="2"/>
        <v>0</v>
      </c>
      <c r="L70" s="808">
        <f t="shared" si="2"/>
        <v>1275000000</v>
      </c>
    </row>
    <row r="71" spans="1:12" ht="12.75">
      <c r="B71" s="824" t="s">
        <v>4734</v>
      </c>
      <c r="C71" s="824"/>
      <c r="D71" s="825">
        <f>SUM(D72:D73)</f>
        <v>1250000000</v>
      </c>
      <c r="E71" s="825"/>
      <c r="F71" s="825">
        <f>SUM(F72:F73)</f>
        <v>0</v>
      </c>
      <c r="G71" s="825"/>
      <c r="H71" s="825">
        <f>SUM(H72:H73)</f>
        <v>0</v>
      </c>
      <c r="I71" s="825"/>
      <c r="J71" s="825">
        <f>SUM(J72:J73)</f>
        <v>0</v>
      </c>
      <c r="K71" s="825"/>
      <c r="L71" s="825">
        <f>SUM(L72:L73)</f>
        <v>1250000000</v>
      </c>
    </row>
    <row r="72" spans="1:12" ht="18.75" customHeight="1">
      <c r="B72" s="806" t="s">
        <v>4735</v>
      </c>
      <c r="C72" s="806"/>
      <c r="D72" s="823">
        <v>1000000000</v>
      </c>
      <c r="E72" s="823"/>
      <c r="F72" s="801">
        <v>0</v>
      </c>
      <c r="L72" s="826">
        <f>+D72</f>
        <v>1000000000</v>
      </c>
    </row>
    <row r="73" spans="1:12" ht="18.75" customHeight="1">
      <c r="B73" s="806" t="s">
        <v>4736</v>
      </c>
      <c r="C73" s="806"/>
      <c r="D73" s="823">
        <v>250000000</v>
      </c>
      <c r="E73" s="823"/>
      <c r="F73" s="801">
        <v>0</v>
      </c>
      <c r="L73" s="826">
        <f>+D73</f>
        <v>250000000</v>
      </c>
    </row>
    <row r="74" spans="1:12" ht="18.75" customHeight="1">
      <c r="B74" s="806"/>
      <c r="C74" s="806"/>
      <c r="D74" s="823"/>
      <c r="E74" s="823"/>
    </row>
    <row r="75" spans="1:12" ht="18.75" customHeight="1">
      <c r="B75" s="817" t="s">
        <v>4737</v>
      </c>
      <c r="C75" s="817"/>
      <c r="D75" s="827">
        <f>SUM(D76:D78)</f>
        <v>125000000</v>
      </c>
      <c r="E75" s="827"/>
      <c r="F75" s="827">
        <f>SUM(F76:F78)</f>
        <v>25000000</v>
      </c>
      <c r="G75" s="827"/>
      <c r="H75" s="827">
        <f>+F75</f>
        <v>25000000</v>
      </c>
      <c r="I75" s="827"/>
      <c r="J75" s="827">
        <f>+H75</f>
        <v>25000000</v>
      </c>
      <c r="K75" s="827"/>
      <c r="L75" s="827">
        <f t="shared" ref="L75:L77" si="3">+J75</f>
        <v>25000000</v>
      </c>
    </row>
    <row r="76" spans="1:12" ht="12.75">
      <c r="B76" s="806" t="s">
        <v>4738</v>
      </c>
      <c r="C76" s="806"/>
      <c r="D76" s="823">
        <v>15000000</v>
      </c>
      <c r="E76" s="823"/>
      <c r="F76" s="826">
        <f>+D76</f>
        <v>15000000</v>
      </c>
      <c r="G76" s="826"/>
      <c r="H76" s="826">
        <f>+F76</f>
        <v>15000000</v>
      </c>
      <c r="I76" s="826"/>
      <c r="J76" s="826">
        <f>+H76</f>
        <v>15000000</v>
      </c>
      <c r="K76" s="826"/>
      <c r="L76" s="826">
        <f t="shared" si="3"/>
        <v>15000000</v>
      </c>
    </row>
    <row r="77" spans="1:12" ht="12.75">
      <c r="B77" s="806" t="s">
        <v>4739</v>
      </c>
      <c r="C77" s="806"/>
      <c r="D77" s="823">
        <v>10000000</v>
      </c>
      <c r="E77" s="823"/>
      <c r="F77" s="826">
        <f>+D77</f>
        <v>10000000</v>
      </c>
      <c r="G77" s="826"/>
      <c r="H77" s="826">
        <f>+F77</f>
        <v>10000000</v>
      </c>
      <c r="I77" s="826"/>
      <c r="J77" s="826">
        <f>+H77</f>
        <v>10000000</v>
      </c>
      <c r="K77" s="826"/>
      <c r="L77" s="826">
        <f t="shared" si="3"/>
        <v>10000000</v>
      </c>
    </row>
    <row r="78" spans="1:12" ht="12.75">
      <c r="B78" s="806" t="s">
        <v>4740</v>
      </c>
      <c r="C78" s="806"/>
      <c r="D78" s="823">
        <v>100000000</v>
      </c>
      <c r="E78" s="823"/>
      <c r="F78" s="801">
        <v>0</v>
      </c>
      <c r="H78" s="801">
        <v>1</v>
      </c>
      <c r="J78" s="801">
        <v>2</v>
      </c>
      <c r="L78" s="801">
        <v>3</v>
      </c>
    </row>
    <row r="80" spans="1:12" ht="12.75">
      <c r="A80" s="805" t="s">
        <v>4741</v>
      </c>
      <c r="B80" s="806" t="s">
        <v>4742</v>
      </c>
      <c r="C80" s="806"/>
      <c r="D80" s="808">
        <f>D82+D85+D90+D108+D112</f>
        <v>8286000000</v>
      </c>
      <c r="E80" s="808">
        <f t="shared" ref="E80:L80" si="4">E82+E85+E90+E108+E112</f>
        <v>0</v>
      </c>
      <c r="F80" s="808">
        <f t="shared" si="4"/>
        <v>9960000000</v>
      </c>
      <c r="G80" s="808">
        <f t="shared" si="4"/>
        <v>0</v>
      </c>
      <c r="H80" s="808">
        <f t="shared" si="4"/>
        <v>9960000000</v>
      </c>
      <c r="I80" s="808">
        <f t="shared" si="4"/>
        <v>0</v>
      </c>
      <c r="J80" s="808">
        <f t="shared" si="4"/>
        <v>11460000000</v>
      </c>
      <c r="K80" s="808">
        <f t="shared" si="4"/>
        <v>0</v>
      </c>
      <c r="L80" s="808">
        <f t="shared" si="4"/>
        <v>29960000000</v>
      </c>
    </row>
    <row r="81" spans="1:13" ht="12.75">
      <c r="A81" s="805"/>
      <c r="B81" s="806"/>
      <c r="C81" s="806"/>
      <c r="D81" s="808"/>
      <c r="E81" s="808"/>
    </row>
    <row r="82" spans="1:13" ht="12.75">
      <c r="B82" s="817" t="s">
        <v>4743</v>
      </c>
      <c r="C82" s="817"/>
      <c r="D82" s="818">
        <f>+D83</f>
        <v>1840000000</v>
      </c>
      <c r="E82" s="818"/>
      <c r="F82" s="818">
        <f>+F83</f>
        <v>2760000000</v>
      </c>
      <c r="G82" s="818"/>
      <c r="H82" s="818">
        <f>+F82</f>
        <v>2760000000</v>
      </c>
      <c r="I82" s="818"/>
      <c r="J82" s="818">
        <f>+H82</f>
        <v>2760000000</v>
      </c>
      <c r="K82" s="818"/>
      <c r="L82" s="818">
        <f>+J82</f>
        <v>2760000000</v>
      </c>
    </row>
    <row r="83" spans="1:13" ht="12.75">
      <c r="B83" s="806" t="s">
        <v>4744</v>
      </c>
      <c r="C83" s="806"/>
      <c r="D83" s="823">
        <v>1840000000</v>
      </c>
      <c r="E83" s="823"/>
      <c r="F83" s="826">
        <v>2760000000</v>
      </c>
      <c r="G83" s="826"/>
      <c r="M83" s="801">
        <f>+D82*1.5</f>
        <v>2760000000</v>
      </c>
    </row>
    <row r="85" spans="1:13" ht="12.75">
      <c r="B85" s="824" t="s">
        <v>4745</v>
      </c>
      <c r="C85" s="824"/>
      <c r="D85" s="828">
        <f>SUM(D86:D88)</f>
        <v>225000000</v>
      </c>
      <c r="E85" s="828"/>
      <c r="F85" s="828">
        <f>SUM(F86:F88)</f>
        <v>225000000</v>
      </c>
      <c r="G85" s="828"/>
      <c r="H85" s="828">
        <f>+F85</f>
        <v>225000000</v>
      </c>
      <c r="I85" s="828"/>
      <c r="J85" s="828">
        <f>+H85</f>
        <v>225000000</v>
      </c>
      <c r="K85" s="828"/>
      <c r="L85" s="828">
        <f>+J85</f>
        <v>225000000</v>
      </c>
    </row>
    <row r="86" spans="1:13" ht="12.75">
      <c r="B86" s="806" t="s">
        <v>4746</v>
      </c>
      <c r="C86" s="806"/>
      <c r="D86" s="823">
        <v>150000000</v>
      </c>
      <c r="E86" s="823"/>
      <c r="F86" s="826">
        <f>+D86</f>
        <v>150000000</v>
      </c>
      <c r="G86" s="826"/>
    </row>
    <row r="87" spans="1:13" ht="12.75">
      <c r="B87" s="806" t="s">
        <v>4747</v>
      </c>
      <c r="C87" s="806"/>
      <c r="D87" s="823">
        <v>25000000</v>
      </c>
      <c r="E87" s="823"/>
      <c r="F87" s="826">
        <f>+D87</f>
        <v>25000000</v>
      </c>
      <c r="G87" s="826"/>
    </row>
    <row r="88" spans="1:13" ht="12.75">
      <c r="B88" s="806" t="s">
        <v>4748</v>
      </c>
      <c r="C88" s="806"/>
      <c r="D88" s="823">
        <v>50000000</v>
      </c>
      <c r="E88" s="823"/>
      <c r="F88" s="826">
        <f>+D88</f>
        <v>50000000</v>
      </c>
      <c r="G88" s="826"/>
    </row>
    <row r="90" spans="1:13" ht="12.75">
      <c r="B90" s="824" t="s">
        <v>4749</v>
      </c>
      <c r="C90" s="824"/>
      <c r="D90" s="827">
        <f>SUM(D91:D106)</f>
        <v>6121000000</v>
      </c>
      <c r="E90" s="827"/>
      <c r="F90" s="827">
        <f>SUM(F91:F106)</f>
        <v>6875000000</v>
      </c>
      <c r="G90" s="827"/>
      <c r="H90" s="827">
        <f>+F90</f>
        <v>6875000000</v>
      </c>
      <c r="I90" s="827"/>
      <c r="J90" s="827">
        <f>+H90</f>
        <v>6875000000</v>
      </c>
      <c r="K90" s="827"/>
      <c r="L90" s="827">
        <f>+J90</f>
        <v>6875000000</v>
      </c>
    </row>
    <row r="91" spans="1:13" ht="12.75">
      <c r="B91" s="823" t="s">
        <v>4750</v>
      </c>
      <c r="C91" s="823"/>
      <c r="D91" s="823">
        <v>100000000</v>
      </c>
      <c r="E91" s="823"/>
      <c r="F91" s="826">
        <f>+D91</f>
        <v>100000000</v>
      </c>
      <c r="G91" s="826"/>
    </row>
    <row r="92" spans="1:13" ht="12.75">
      <c r="B92" s="823" t="s">
        <v>4751</v>
      </c>
      <c r="C92" s="823"/>
      <c r="D92" s="823">
        <v>130000000</v>
      </c>
      <c r="E92" s="823"/>
      <c r="F92" s="826">
        <f t="shared" ref="F92:F105" si="5">+D92</f>
        <v>130000000</v>
      </c>
      <c r="G92" s="826"/>
    </row>
    <row r="93" spans="1:13" ht="12.75">
      <c r="B93" s="823" t="s">
        <v>4752</v>
      </c>
      <c r="C93" s="823"/>
      <c r="D93" s="823">
        <v>50000000</v>
      </c>
      <c r="E93" s="823"/>
      <c r="F93" s="826">
        <f t="shared" si="5"/>
        <v>50000000</v>
      </c>
      <c r="G93" s="826"/>
    </row>
    <row r="94" spans="1:13" ht="12.75">
      <c r="B94" s="823" t="s">
        <v>4753</v>
      </c>
      <c r="C94" s="823"/>
      <c r="D94" s="823">
        <v>150000000</v>
      </c>
      <c r="E94" s="823"/>
      <c r="F94" s="826">
        <f t="shared" si="5"/>
        <v>150000000</v>
      </c>
      <c r="G94" s="826"/>
    </row>
    <row r="95" spans="1:13" ht="12.75">
      <c r="B95" s="823" t="s">
        <v>4754</v>
      </c>
      <c r="C95" s="823"/>
      <c r="D95" s="823">
        <v>35000000</v>
      </c>
      <c r="E95" s="823"/>
      <c r="F95" s="826">
        <f t="shared" si="5"/>
        <v>35000000</v>
      </c>
      <c r="G95" s="826"/>
    </row>
    <row r="96" spans="1:13" ht="12.75">
      <c r="B96" s="823" t="s">
        <v>4755</v>
      </c>
      <c r="C96" s="823"/>
      <c r="D96" s="823">
        <v>10000000</v>
      </c>
      <c r="E96" s="823"/>
      <c r="F96" s="826">
        <f t="shared" si="5"/>
        <v>10000000</v>
      </c>
      <c r="G96" s="826"/>
    </row>
    <row r="97" spans="2:12" ht="12.75">
      <c r="B97" s="823" t="s">
        <v>4756</v>
      </c>
      <c r="C97" s="823"/>
      <c r="D97" s="823">
        <v>15000000</v>
      </c>
      <c r="E97" s="823"/>
      <c r="F97" s="826">
        <f t="shared" si="5"/>
        <v>15000000</v>
      </c>
      <c r="G97" s="826"/>
    </row>
    <row r="98" spans="2:12" ht="12.75">
      <c r="B98" s="823" t="s">
        <v>4757</v>
      </c>
      <c r="C98" s="823"/>
      <c r="D98" s="823">
        <v>75000000</v>
      </c>
      <c r="E98" s="823"/>
      <c r="F98" s="826">
        <f t="shared" si="5"/>
        <v>75000000</v>
      </c>
      <c r="G98" s="826"/>
    </row>
    <row r="99" spans="2:12" ht="12.75">
      <c r="B99" s="823" t="s">
        <v>4758</v>
      </c>
      <c r="C99" s="823"/>
      <c r="D99" s="823">
        <v>300000000</v>
      </c>
      <c r="E99" s="823"/>
      <c r="F99" s="826">
        <f t="shared" si="5"/>
        <v>300000000</v>
      </c>
      <c r="G99" s="826"/>
    </row>
    <row r="100" spans="2:12" ht="12.75">
      <c r="B100" s="823" t="s">
        <v>4759</v>
      </c>
      <c r="C100" s="823"/>
      <c r="D100" s="823">
        <v>15000000</v>
      </c>
      <c r="E100" s="823"/>
      <c r="F100" s="826">
        <f t="shared" si="5"/>
        <v>15000000</v>
      </c>
      <c r="G100" s="826"/>
    </row>
    <row r="101" spans="2:12" ht="12.75">
      <c r="B101" s="823" t="s">
        <v>4760</v>
      </c>
      <c r="C101" s="823"/>
      <c r="D101" s="823">
        <v>15000000</v>
      </c>
      <c r="E101" s="823"/>
      <c r="F101" s="826">
        <f t="shared" si="5"/>
        <v>15000000</v>
      </c>
      <c r="G101" s="826"/>
    </row>
    <row r="102" spans="2:12" ht="12.75">
      <c r="B102" s="823" t="s">
        <v>4761</v>
      </c>
      <c r="C102" s="823"/>
      <c r="D102" s="823">
        <v>10000000</v>
      </c>
      <c r="E102" s="823"/>
      <c r="F102" s="826">
        <f t="shared" si="5"/>
        <v>10000000</v>
      </c>
      <c r="G102" s="826"/>
    </row>
    <row r="103" spans="2:12" ht="12.75">
      <c r="B103" s="823" t="s">
        <v>4762</v>
      </c>
      <c r="C103" s="823"/>
      <c r="D103" s="823">
        <v>10000000</v>
      </c>
      <c r="E103" s="823"/>
      <c r="F103" s="826">
        <f t="shared" si="5"/>
        <v>10000000</v>
      </c>
      <c r="G103" s="826"/>
    </row>
    <row r="104" spans="2:12" ht="12.75">
      <c r="B104" s="823" t="s">
        <v>4763</v>
      </c>
      <c r="C104" s="823"/>
      <c r="D104" s="823">
        <v>350000000</v>
      </c>
      <c r="E104" s="823"/>
      <c r="F104" s="826">
        <f t="shared" si="5"/>
        <v>350000000</v>
      </c>
      <c r="G104" s="826"/>
    </row>
    <row r="105" spans="2:12" ht="12.75">
      <c r="B105" s="823" t="s">
        <v>4764</v>
      </c>
      <c r="C105" s="823"/>
      <c r="D105" s="823">
        <v>80000000</v>
      </c>
      <c r="E105" s="823"/>
      <c r="F105" s="826">
        <f t="shared" si="5"/>
        <v>80000000</v>
      </c>
      <c r="G105" s="826"/>
    </row>
    <row r="106" spans="2:12" ht="18.75" customHeight="1">
      <c r="B106" s="823" t="s">
        <v>4765</v>
      </c>
      <c r="C106" s="823"/>
      <c r="D106" s="823">
        <v>4776000000</v>
      </c>
      <c r="E106" s="823"/>
      <c r="F106" s="826">
        <f>4780000000+750000000</f>
        <v>5530000000</v>
      </c>
      <c r="G106" s="826"/>
    </row>
    <row r="108" spans="2:12" ht="12.75">
      <c r="B108" s="827" t="s">
        <v>4766</v>
      </c>
      <c r="C108" s="827"/>
      <c r="D108" s="827">
        <f>SUM(D109:D110)</f>
        <v>100000000</v>
      </c>
      <c r="E108" s="827"/>
      <c r="F108" s="827">
        <f>SUM(F109:F110)</f>
        <v>100000000</v>
      </c>
      <c r="G108" s="827"/>
      <c r="H108" s="827">
        <f>+F108</f>
        <v>100000000</v>
      </c>
      <c r="I108" s="827"/>
      <c r="J108" s="827">
        <f>+H108</f>
        <v>100000000</v>
      </c>
      <c r="K108" s="827"/>
      <c r="L108" s="827">
        <f>+J108</f>
        <v>100000000</v>
      </c>
    </row>
    <row r="109" spans="2:12" ht="12.75">
      <c r="B109" s="823" t="s">
        <v>4767</v>
      </c>
      <c r="C109" s="823"/>
      <c r="D109" s="823">
        <v>50000000</v>
      </c>
      <c r="E109" s="823"/>
      <c r="F109" s="826">
        <f>+D109</f>
        <v>50000000</v>
      </c>
      <c r="G109" s="826"/>
    </row>
    <row r="110" spans="2:12" ht="12.75">
      <c r="B110" s="823" t="s">
        <v>4768</v>
      </c>
      <c r="C110" s="823"/>
      <c r="D110" s="823">
        <v>50000000</v>
      </c>
      <c r="E110" s="823"/>
      <c r="F110" s="826">
        <f>+D110</f>
        <v>50000000</v>
      </c>
      <c r="G110" s="826"/>
    </row>
    <row r="112" spans="2:12">
      <c r="B112" s="809" t="s">
        <v>4769</v>
      </c>
      <c r="C112" s="809"/>
      <c r="D112" s="810"/>
      <c r="E112" s="810"/>
      <c r="F112" s="829"/>
      <c r="G112" s="829"/>
      <c r="H112" s="829"/>
      <c r="I112" s="829"/>
      <c r="J112" s="830">
        <f>+J113</f>
        <v>1500000000</v>
      </c>
      <c r="K112" s="830"/>
      <c r="L112" s="810">
        <f>+L113</f>
        <v>20000000000</v>
      </c>
    </row>
    <row r="113" spans="1:12">
      <c r="B113" s="815" t="s">
        <v>4770</v>
      </c>
      <c r="C113" s="815"/>
      <c r="J113" s="831">
        <v>1500000000</v>
      </c>
      <c r="K113" s="831"/>
      <c r="L113" s="804">
        <v>20000000000</v>
      </c>
    </row>
    <row r="115" spans="1:12" ht="12.75">
      <c r="A115" s="805" t="s">
        <v>4771</v>
      </c>
      <c r="B115" s="806" t="s">
        <v>4772</v>
      </c>
      <c r="C115" s="806"/>
      <c r="D115" s="808">
        <v>1096000000</v>
      </c>
      <c r="E115" s="808"/>
    </row>
    <row r="117" spans="1:12">
      <c r="B117" s="809" t="s">
        <v>873</v>
      </c>
      <c r="C117" s="809"/>
      <c r="D117" s="810">
        <f>SUM(D118:D127)</f>
        <v>1096000000</v>
      </c>
      <c r="E117" s="810"/>
      <c r="F117" s="810">
        <f>SUM(F118:F127)</f>
        <v>1096000000</v>
      </c>
      <c r="G117" s="810"/>
      <c r="H117" s="810">
        <f t="shared" ref="H117:H127" si="6">+F117</f>
        <v>1096000000</v>
      </c>
      <c r="I117" s="810"/>
      <c r="J117" s="810">
        <f t="shared" ref="J117:J127" si="7">+H117</f>
        <v>1096000000</v>
      </c>
      <c r="K117" s="810"/>
      <c r="L117" s="810">
        <f>+J117</f>
        <v>1096000000</v>
      </c>
    </row>
    <row r="118" spans="1:12" ht="12.75">
      <c r="B118" s="823" t="s">
        <v>4773</v>
      </c>
      <c r="C118" s="823"/>
      <c r="D118" s="823">
        <v>250000000</v>
      </c>
      <c r="E118" s="823"/>
      <c r="F118" s="826">
        <f>+D118</f>
        <v>250000000</v>
      </c>
      <c r="G118" s="826"/>
      <c r="H118" s="826">
        <f t="shared" si="6"/>
        <v>250000000</v>
      </c>
      <c r="I118" s="826"/>
      <c r="J118" s="826">
        <f t="shared" si="7"/>
        <v>250000000</v>
      </c>
      <c r="K118" s="826"/>
      <c r="L118" s="826">
        <f t="shared" ref="L118:L127" si="8">+J118</f>
        <v>250000000</v>
      </c>
    </row>
    <row r="119" spans="1:12" ht="12.75">
      <c r="B119" s="823" t="s">
        <v>4774</v>
      </c>
      <c r="C119" s="823"/>
      <c r="D119" s="823">
        <v>360000000</v>
      </c>
      <c r="E119" s="823"/>
      <c r="F119" s="826">
        <f t="shared" ref="F119:F127" si="9">+D119</f>
        <v>360000000</v>
      </c>
      <c r="G119" s="826"/>
      <c r="H119" s="826">
        <f t="shared" si="6"/>
        <v>360000000</v>
      </c>
      <c r="I119" s="826"/>
      <c r="J119" s="826">
        <f t="shared" si="7"/>
        <v>360000000</v>
      </c>
      <c r="K119" s="826"/>
      <c r="L119" s="826">
        <f t="shared" si="8"/>
        <v>360000000</v>
      </c>
    </row>
    <row r="120" spans="1:12" ht="12.75">
      <c r="B120" s="823" t="s">
        <v>4775</v>
      </c>
      <c r="C120" s="823"/>
      <c r="D120" s="823">
        <v>18000000</v>
      </c>
      <c r="E120" s="823"/>
      <c r="F120" s="826">
        <f t="shared" si="9"/>
        <v>18000000</v>
      </c>
      <c r="G120" s="826"/>
      <c r="H120" s="826">
        <f t="shared" si="6"/>
        <v>18000000</v>
      </c>
      <c r="I120" s="826"/>
      <c r="J120" s="826">
        <f t="shared" si="7"/>
        <v>18000000</v>
      </c>
      <c r="K120" s="826"/>
      <c r="L120" s="826">
        <f t="shared" si="8"/>
        <v>18000000</v>
      </c>
    </row>
    <row r="121" spans="1:12" ht="12.75">
      <c r="B121" s="823" t="s">
        <v>4776</v>
      </c>
      <c r="C121" s="823"/>
      <c r="D121" s="823">
        <v>22000000</v>
      </c>
      <c r="E121" s="823"/>
      <c r="F121" s="826">
        <f t="shared" si="9"/>
        <v>22000000</v>
      </c>
      <c r="G121" s="826"/>
      <c r="H121" s="826">
        <f t="shared" si="6"/>
        <v>22000000</v>
      </c>
      <c r="I121" s="826"/>
      <c r="J121" s="826">
        <f t="shared" si="7"/>
        <v>22000000</v>
      </c>
      <c r="K121" s="826"/>
      <c r="L121" s="826">
        <f t="shared" si="8"/>
        <v>22000000</v>
      </c>
    </row>
    <row r="122" spans="1:12" ht="12.75">
      <c r="B122" s="823" t="s">
        <v>4777</v>
      </c>
      <c r="C122" s="823"/>
      <c r="D122" s="823">
        <v>40000000</v>
      </c>
      <c r="E122" s="823"/>
      <c r="F122" s="826">
        <f t="shared" si="9"/>
        <v>40000000</v>
      </c>
      <c r="G122" s="826"/>
      <c r="H122" s="826">
        <f t="shared" si="6"/>
        <v>40000000</v>
      </c>
      <c r="I122" s="826"/>
      <c r="J122" s="826">
        <f t="shared" si="7"/>
        <v>40000000</v>
      </c>
      <c r="K122" s="826"/>
      <c r="L122" s="826">
        <f t="shared" si="8"/>
        <v>40000000</v>
      </c>
    </row>
    <row r="123" spans="1:12" ht="12.75">
      <c r="B123" s="823" t="s">
        <v>4778</v>
      </c>
      <c r="C123" s="823"/>
      <c r="D123" s="823">
        <v>310000000</v>
      </c>
      <c r="E123" s="823"/>
      <c r="F123" s="826">
        <f t="shared" si="9"/>
        <v>310000000</v>
      </c>
      <c r="G123" s="826"/>
      <c r="H123" s="826">
        <f t="shared" si="6"/>
        <v>310000000</v>
      </c>
      <c r="I123" s="826"/>
      <c r="J123" s="826">
        <f t="shared" si="7"/>
        <v>310000000</v>
      </c>
      <c r="K123" s="826"/>
      <c r="L123" s="826">
        <f t="shared" si="8"/>
        <v>310000000</v>
      </c>
    </row>
    <row r="124" spans="1:12" ht="12.75">
      <c r="B124" s="823" t="s">
        <v>4779</v>
      </c>
      <c r="C124" s="823"/>
      <c r="D124" s="823">
        <v>24000000</v>
      </c>
      <c r="E124" s="823"/>
      <c r="F124" s="826">
        <f t="shared" si="9"/>
        <v>24000000</v>
      </c>
      <c r="G124" s="826"/>
      <c r="H124" s="826">
        <f t="shared" si="6"/>
        <v>24000000</v>
      </c>
      <c r="I124" s="826"/>
      <c r="J124" s="826">
        <f t="shared" si="7"/>
        <v>24000000</v>
      </c>
      <c r="K124" s="826"/>
      <c r="L124" s="826">
        <f t="shared" si="8"/>
        <v>24000000</v>
      </c>
    </row>
    <row r="125" spans="1:12" ht="12.75">
      <c r="B125" s="823" t="s">
        <v>4780</v>
      </c>
      <c r="C125" s="823"/>
      <c r="D125" s="823">
        <v>24000000</v>
      </c>
      <c r="E125" s="823"/>
      <c r="F125" s="826">
        <f t="shared" si="9"/>
        <v>24000000</v>
      </c>
      <c r="G125" s="826"/>
      <c r="H125" s="826">
        <f t="shared" si="6"/>
        <v>24000000</v>
      </c>
      <c r="I125" s="826"/>
      <c r="J125" s="826">
        <f t="shared" si="7"/>
        <v>24000000</v>
      </c>
      <c r="K125" s="826"/>
      <c r="L125" s="826">
        <f t="shared" si="8"/>
        <v>24000000</v>
      </c>
    </row>
    <row r="126" spans="1:12" ht="12.75">
      <c r="B126" s="823" t="s">
        <v>4781</v>
      </c>
      <c r="C126" s="823"/>
      <c r="D126" s="823">
        <v>24000000</v>
      </c>
      <c r="E126" s="823"/>
      <c r="F126" s="826">
        <f t="shared" si="9"/>
        <v>24000000</v>
      </c>
      <c r="G126" s="826"/>
      <c r="H126" s="826">
        <f t="shared" si="6"/>
        <v>24000000</v>
      </c>
      <c r="I126" s="826"/>
      <c r="J126" s="826">
        <f t="shared" si="7"/>
        <v>24000000</v>
      </c>
      <c r="K126" s="826"/>
      <c r="L126" s="826">
        <f t="shared" si="8"/>
        <v>24000000</v>
      </c>
    </row>
    <row r="127" spans="1:12" ht="12.75">
      <c r="B127" s="823" t="s">
        <v>4782</v>
      </c>
      <c r="C127" s="823"/>
      <c r="D127" s="823">
        <v>24000000</v>
      </c>
      <c r="E127" s="823"/>
      <c r="F127" s="826">
        <f t="shared" si="9"/>
        <v>24000000</v>
      </c>
      <c r="G127" s="826"/>
      <c r="H127" s="826">
        <f t="shared" si="6"/>
        <v>24000000</v>
      </c>
      <c r="I127" s="826"/>
      <c r="J127" s="826">
        <f t="shared" si="7"/>
        <v>24000000</v>
      </c>
      <c r="K127" s="826"/>
      <c r="L127" s="826">
        <f t="shared" si="8"/>
        <v>24000000</v>
      </c>
    </row>
    <row r="129" spans="1:12" ht="12.75">
      <c r="A129" s="805" t="s">
        <v>4783</v>
      </c>
      <c r="B129" s="806" t="s">
        <v>4784</v>
      </c>
      <c r="C129" s="806"/>
      <c r="D129" s="808">
        <f>D131+D138+D141</f>
        <v>6288080000</v>
      </c>
      <c r="E129" s="808"/>
      <c r="F129" s="808">
        <f t="shared" ref="F129:L129" si="10">F131+F138+F141</f>
        <v>6457080000</v>
      </c>
      <c r="G129" s="808"/>
      <c r="H129" s="808">
        <f t="shared" si="10"/>
        <v>6903330000</v>
      </c>
      <c r="I129" s="808"/>
      <c r="J129" s="808">
        <f t="shared" si="10"/>
        <v>7207080000</v>
      </c>
      <c r="K129" s="808"/>
      <c r="L129" s="808">
        <f t="shared" si="10"/>
        <v>7707080000</v>
      </c>
    </row>
    <row r="131" spans="1:12">
      <c r="B131" s="825" t="s">
        <v>4785</v>
      </c>
      <c r="C131" s="825"/>
      <c r="D131" s="810">
        <f>SUM(D132:D136)</f>
        <v>5365080000</v>
      </c>
      <c r="E131" s="810"/>
      <c r="F131" s="810">
        <f>SUM(F132:F136)</f>
        <v>5534080000</v>
      </c>
      <c r="G131" s="810"/>
      <c r="H131" s="810">
        <f>SUM(H132:H136)</f>
        <v>5980330000</v>
      </c>
      <c r="I131" s="810"/>
      <c r="J131" s="810">
        <f>SUM(J132:J136)</f>
        <v>6284080000</v>
      </c>
      <c r="K131" s="810"/>
      <c r="L131" s="810">
        <f>SUM(L132:L136)</f>
        <v>6784080000</v>
      </c>
    </row>
    <row r="132" spans="1:12" ht="12.75">
      <c r="B132" s="823" t="s">
        <v>4786</v>
      </c>
      <c r="C132" s="823"/>
      <c r="D132" s="823">
        <v>170000000</v>
      </c>
      <c r="E132" s="823"/>
      <c r="F132" s="826">
        <f>+D132</f>
        <v>170000000</v>
      </c>
      <c r="G132" s="826"/>
      <c r="H132" s="826">
        <f>+F132</f>
        <v>170000000</v>
      </c>
      <c r="I132" s="826"/>
      <c r="J132" s="826">
        <f>+H132</f>
        <v>170000000</v>
      </c>
      <c r="K132" s="826"/>
      <c r="L132" s="826">
        <f>+J132</f>
        <v>170000000</v>
      </c>
    </row>
    <row r="133" spans="1:12" ht="12.75">
      <c r="B133" s="823" t="s">
        <v>4787</v>
      </c>
      <c r="C133" s="823"/>
      <c r="D133" s="823">
        <v>4081000000</v>
      </c>
      <c r="E133" s="823"/>
      <c r="F133" s="826">
        <v>4250000000</v>
      </c>
      <c r="G133" s="826"/>
      <c r="H133" s="826">
        <f>4500000000+196250000</f>
        <v>4696250000</v>
      </c>
      <c r="I133" s="826"/>
      <c r="J133" s="826">
        <f>4500000000+500000000</f>
        <v>5000000000</v>
      </c>
      <c r="K133" s="826"/>
      <c r="L133" s="826">
        <v>5500000000</v>
      </c>
    </row>
    <row r="134" spans="1:12" ht="12.75">
      <c r="B134" s="823" t="s">
        <v>4788</v>
      </c>
      <c r="C134" s="823"/>
      <c r="D134" s="823">
        <v>477200000</v>
      </c>
      <c r="E134" s="823"/>
      <c r="F134" s="826">
        <f>+D134</f>
        <v>477200000</v>
      </c>
      <c r="G134" s="826"/>
      <c r="H134" s="826">
        <f>+F134</f>
        <v>477200000</v>
      </c>
      <c r="I134" s="826"/>
      <c r="J134" s="826">
        <f>+H134</f>
        <v>477200000</v>
      </c>
      <c r="K134" s="826"/>
      <c r="L134" s="826">
        <f t="shared" ref="L134:L136" si="11">+J134</f>
        <v>477200000</v>
      </c>
    </row>
    <row r="135" spans="1:12" ht="12.75">
      <c r="B135" s="823" t="s">
        <v>4789</v>
      </c>
      <c r="C135" s="823"/>
      <c r="D135" s="823">
        <v>440000000</v>
      </c>
      <c r="E135" s="823"/>
      <c r="F135" s="826">
        <f>+D135</f>
        <v>440000000</v>
      </c>
      <c r="G135" s="826"/>
      <c r="H135" s="826">
        <f>+F135</f>
        <v>440000000</v>
      </c>
      <c r="I135" s="826"/>
      <c r="J135" s="826">
        <f>+H135</f>
        <v>440000000</v>
      </c>
      <c r="K135" s="826"/>
      <c r="L135" s="826">
        <f t="shared" si="11"/>
        <v>440000000</v>
      </c>
    </row>
    <row r="136" spans="1:12" ht="12.75">
      <c r="B136" s="823" t="s">
        <v>4790</v>
      </c>
      <c r="C136" s="823"/>
      <c r="D136" s="823">
        <v>196880000</v>
      </c>
      <c r="E136" s="823"/>
      <c r="F136" s="826">
        <f>+D136</f>
        <v>196880000</v>
      </c>
      <c r="G136" s="826"/>
      <c r="H136" s="826">
        <f>+F136</f>
        <v>196880000</v>
      </c>
      <c r="I136" s="826"/>
      <c r="J136" s="826">
        <f>+H136</f>
        <v>196880000</v>
      </c>
      <c r="K136" s="826"/>
      <c r="L136" s="826">
        <f t="shared" si="11"/>
        <v>196880000</v>
      </c>
    </row>
    <row r="138" spans="1:12">
      <c r="B138" s="825" t="s">
        <v>671</v>
      </c>
      <c r="C138" s="825"/>
      <c r="D138" s="810">
        <f>+D139</f>
        <v>60000000</v>
      </c>
      <c r="E138" s="810"/>
      <c r="F138" s="810">
        <f>+F139</f>
        <v>60000000</v>
      </c>
      <c r="G138" s="810"/>
      <c r="H138" s="810">
        <f>+F138</f>
        <v>60000000</v>
      </c>
      <c r="I138" s="810"/>
      <c r="J138" s="810">
        <f>+H137:H138</f>
        <v>60000000</v>
      </c>
      <c r="K138" s="810"/>
      <c r="L138" s="810">
        <f>+J138</f>
        <v>60000000</v>
      </c>
    </row>
    <row r="139" spans="1:12" ht="12.75">
      <c r="B139" s="823" t="s">
        <v>4791</v>
      </c>
      <c r="C139" s="823"/>
      <c r="D139" s="823">
        <v>60000000</v>
      </c>
      <c r="E139" s="823"/>
      <c r="F139" s="826">
        <f>+D139</f>
        <v>60000000</v>
      </c>
      <c r="G139" s="826"/>
    </row>
    <row r="141" spans="1:12">
      <c r="B141" s="825" t="s">
        <v>674</v>
      </c>
      <c r="C141" s="825"/>
      <c r="D141" s="810">
        <f>SUM(D142:D144)</f>
        <v>863000000</v>
      </c>
      <c r="E141" s="810"/>
      <c r="F141" s="810">
        <f>SUM(F142:F144)</f>
        <v>863000000</v>
      </c>
      <c r="G141" s="810"/>
      <c r="H141" s="810">
        <f>+F141</f>
        <v>863000000</v>
      </c>
      <c r="I141" s="810"/>
      <c r="J141" s="810">
        <f>+H141</f>
        <v>863000000</v>
      </c>
      <c r="K141" s="810"/>
      <c r="L141" s="810">
        <f t="shared" ref="L141:L144" si="12">+J141</f>
        <v>863000000</v>
      </c>
    </row>
    <row r="142" spans="1:12" ht="12.75">
      <c r="B142" s="823" t="s">
        <v>4792</v>
      </c>
      <c r="C142" s="823"/>
      <c r="D142" s="823">
        <v>50000000</v>
      </c>
      <c r="E142" s="823"/>
      <c r="F142" s="826">
        <f>+D142</f>
        <v>50000000</v>
      </c>
      <c r="G142" s="826"/>
      <c r="H142" s="826">
        <f>+F142</f>
        <v>50000000</v>
      </c>
      <c r="I142" s="826"/>
      <c r="J142" s="826">
        <f>+H142</f>
        <v>50000000</v>
      </c>
      <c r="K142" s="826"/>
      <c r="L142" s="826">
        <f t="shared" si="12"/>
        <v>50000000</v>
      </c>
    </row>
    <row r="143" spans="1:12" ht="12.75">
      <c r="B143" s="823" t="s">
        <v>4793</v>
      </c>
      <c r="C143" s="823"/>
      <c r="D143" s="823">
        <v>750000000</v>
      </c>
      <c r="E143" s="823"/>
      <c r="F143" s="826">
        <f>+D143</f>
        <v>750000000</v>
      </c>
      <c r="G143" s="826"/>
      <c r="H143" s="826">
        <f>+F143</f>
        <v>750000000</v>
      </c>
      <c r="I143" s="826"/>
      <c r="J143" s="826">
        <f>+H143</f>
        <v>750000000</v>
      </c>
      <c r="K143" s="826"/>
      <c r="L143" s="826">
        <f t="shared" si="12"/>
        <v>750000000</v>
      </c>
    </row>
    <row r="144" spans="1:12" ht="12.75">
      <c r="B144" s="823" t="s">
        <v>4794</v>
      </c>
      <c r="C144" s="823"/>
      <c r="D144" s="823">
        <v>63000000</v>
      </c>
      <c r="E144" s="823"/>
      <c r="F144" s="826">
        <f>+D144</f>
        <v>63000000</v>
      </c>
      <c r="G144" s="826"/>
      <c r="H144" s="826">
        <f>+F144</f>
        <v>63000000</v>
      </c>
      <c r="I144" s="826"/>
      <c r="J144" s="826">
        <f>+H144</f>
        <v>63000000</v>
      </c>
      <c r="K144" s="826"/>
      <c r="L144" s="826">
        <f t="shared" si="12"/>
        <v>63000000</v>
      </c>
    </row>
    <row r="147" spans="1:12" ht="12.75">
      <c r="A147" s="805" t="s">
        <v>4795</v>
      </c>
      <c r="B147" s="806" t="s">
        <v>4796</v>
      </c>
      <c r="C147" s="806"/>
      <c r="D147" s="808">
        <v>130000000</v>
      </c>
      <c r="E147" s="808"/>
    </row>
    <row r="148" spans="1:12" ht="12.75">
      <c r="B148" s="825" t="s">
        <v>4718</v>
      </c>
      <c r="C148" s="825"/>
      <c r="D148" s="827">
        <f>+D149+D150</f>
        <v>130000000</v>
      </c>
      <c r="E148" s="827"/>
      <c r="F148" s="827">
        <f>+F149+F150</f>
        <v>130000000</v>
      </c>
      <c r="G148" s="827"/>
      <c r="H148" s="827">
        <f>+F148</f>
        <v>130000000</v>
      </c>
      <c r="I148" s="827"/>
      <c r="J148" s="827">
        <f>+H148</f>
        <v>130000000</v>
      </c>
      <c r="K148" s="827"/>
      <c r="L148" s="827">
        <f t="shared" ref="L148:L150" si="13">+J148</f>
        <v>130000000</v>
      </c>
    </row>
    <row r="149" spans="1:12" ht="12.75">
      <c r="B149" s="823" t="s">
        <v>4797</v>
      </c>
      <c r="C149" s="823"/>
      <c r="D149" s="823">
        <v>100000000</v>
      </c>
      <c r="E149" s="823"/>
      <c r="F149" s="826">
        <f>+D149</f>
        <v>100000000</v>
      </c>
      <c r="G149" s="826"/>
      <c r="H149" s="826">
        <f>+F149</f>
        <v>100000000</v>
      </c>
      <c r="I149" s="826"/>
      <c r="J149" s="826">
        <f>+H149</f>
        <v>100000000</v>
      </c>
      <c r="K149" s="826"/>
      <c r="L149" s="826">
        <f t="shared" si="13"/>
        <v>100000000</v>
      </c>
    </row>
    <row r="150" spans="1:12" ht="12.75">
      <c r="B150" s="823" t="s">
        <v>4798</v>
      </c>
      <c r="C150" s="823"/>
      <c r="D150" s="823">
        <v>30000000</v>
      </c>
      <c r="E150" s="823"/>
      <c r="F150" s="826">
        <f>+D150</f>
        <v>30000000</v>
      </c>
      <c r="G150" s="826"/>
      <c r="H150" s="826">
        <f>+F150</f>
        <v>30000000</v>
      </c>
      <c r="I150" s="826"/>
      <c r="J150" s="826">
        <f>+H150</f>
        <v>30000000</v>
      </c>
      <c r="K150" s="826"/>
      <c r="L150" s="826">
        <f t="shared" si="13"/>
        <v>30000000</v>
      </c>
    </row>
    <row r="152" spans="1:12" ht="12.75">
      <c r="A152" s="805" t="s">
        <v>4799</v>
      </c>
      <c r="B152" s="806" t="s">
        <v>4800</v>
      </c>
      <c r="C152" s="806"/>
      <c r="D152" s="808">
        <v>47000000</v>
      </c>
      <c r="E152" s="808"/>
    </row>
    <row r="153" spans="1:12">
      <c r="B153" s="825" t="s">
        <v>4718</v>
      </c>
      <c r="C153" s="825"/>
      <c r="D153" s="810">
        <f>+D154</f>
        <v>47000000</v>
      </c>
      <c r="E153" s="810"/>
      <c r="F153" s="810">
        <f>+F154</f>
        <v>272000000</v>
      </c>
      <c r="G153" s="810"/>
      <c r="H153" s="810">
        <f>+H154</f>
        <v>300000000</v>
      </c>
      <c r="I153" s="810"/>
      <c r="J153" s="810">
        <f>+H153</f>
        <v>300000000</v>
      </c>
      <c r="K153" s="810"/>
      <c r="L153" s="810">
        <f>+J153</f>
        <v>300000000</v>
      </c>
    </row>
    <row r="154" spans="1:12" ht="12.75">
      <c r="B154" s="823" t="s">
        <v>4801</v>
      </c>
      <c r="C154" s="823"/>
      <c r="D154" s="823">
        <v>47000000</v>
      </c>
      <c r="E154" s="823"/>
      <c r="F154" s="826">
        <f>+D154+225000000</f>
        <v>272000000</v>
      </c>
      <c r="G154" s="826"/>
      <c r="H154" s="826">
        <f>+F154+28000000</f>
        <v>300000000</v>
      </c>
      <c r="I154" s="826"/>
      <c r="J154" s="826">
        <f>+H154</f>
        <v>300000000</v>
      </c>
      <c r="K154" s="826"/>
      <c r="L154" s="826">
        <f>+J154</f>
        <v>300000000</v>
      </c>
    </row>
    <row r="156" spans="1:12" ht="12.75">
      <c r="A156" s="805" t="s">
        <v>4802</v>
      </c>
      <c r="B156" s="806" t="s">
        <v>4883</v>
      </c>
      <c r="C156" s="806"/>
      <c r="D156" s="808">
        <v>63000000</v>
      </c>
      <c r="E156" s="808"/>
    </row>
    <row r="157" spans="1:12">
      <c r="B157" s="825" t="s">
        <v>4803</v>
      </c>
      <c r="C157" s="825"/>
      <c r="D157" s="810">
        <f>SUM(D158:D159)</f>
        <v>63000000</v>
      </c>
      <c r="E157" s="810"/>
      <c r="F157" s="810">
        <f>SUM(F158:F159)</f>
        <v>63000000</v>
      </c>
      <c r="G157" s="810"/>
      <c r="H157" s="810">
        <f>+F157</f>
        <v>63000000</v>
      </c>
      <c r="I157" s="810"/>
      <c r="J157" s="810">
        <f>+H157</f>
        <v>63000000</v>
      </c>
      <c r="K157" s="810"/>
      <c r="L157" s="810">
        <f>+J157</f>
        <v>63000000</v>
      </c>
    </row>
    <row r="158" spans="1:12" ht="12.75">
      <c r="B158" s="823" t="s">
        <v>4804</v>
      </c>
      <c r="C158" s="823"/>
      <c r="D158" s="823">
        <v>48000000</v>
      </c>
      <c r="E158" s="823"/>
      <c r="F158" s="826">
        <f>+D158</f>
        <v>48000000</v>
      </c>
      <c r="G158" s="826"/>
    </row>
    <row r="159" spans="1:12" ht="12.75">
      <c r="B159" s="823" t="s">
        <v>4805</v>
      </c>
      <c r="C159" s="823"/>
      <c r="D159" s="823">
        <v>15000000</v>
      </c>
      <c r="E159" s="823"/>
      <c r="F159" s="826">
        <f>+D159</f>
        <v>15000000</v>
      </c>
      <c r="G159" s="826"/>
    </row>
    <row r="160" spans="1:12" ht="18.75">
      <c r="B160" s="832"/>
      <c r="C160" s="832"/>
    </row>
    <row r="161" spans="1:12" ht="18.75">
      <c r="B161" s="832"/>
      <c r="C161" s="832"/>
      <c r="F161" s="804"/>
      <c r="G161" s="804"/>
      <c r="H161" s="804"/>
      <c r="I161" s="804"/>
      <c r="J161" s="804"/>
      <c r="K161" s="804"/>
      <c r="L161" s="804"/>
    </row>
    <row r="162" spans="1:12" ht="18.75">
      <c r="B162" s="832"/>
      <c r="C162" s="832"/>
    </row>
    <row r="163" spans="1:12" ht="18.75">
      <c r="B163" s="832"/>
      <c r="C163" s="832"/>
      <c r="F163" s="804"/>
      <c r="G163" s="804"/>
      <c r="H163" s="804"/>
      <c r="I163" s="804"/>
      <c r="J163" s="804"/>
      <c r="K163" s="804"/>
      <c r="L163" s="804"/>
    </row>
    <row r="164" spans="1:12" ht="18.75">
      <c r="B164" s="832"/>
      <c r="C164" s="832"/>
      <c r="F164" s="804"/>
      <c r="G164" s="804"/>
      <c r="H164" s="804"/>
      <c r="I164" s="804"/>
      <c r="J164" s="804"/>
      <c r="K164" s="804"/>
      <c r="L164" s="804"/>
    </row>
    <row r="165" spans="1:12" ht="12.75">
      <c r="A165" s="805" t="s">
        <v>4806</v>
      </c>
      <c r="B165" s="806" t="s">
        <v>4807</v>
      </c>
      <c r="C165" s="806"/>
      <c r="D165" s="807">
        <f>+D171+D175+D180+D182+D187+D191+D204+D209+D211+D213+D217+D219+D223</f>
        <v>19838680000</v>
      </c>
      <c r="E165" s="807"/>
      <c r="F165" s="807">
        <f>+F171+F175+F180+F182+F187+F191+F204+F209+F211+F213+F217+F219+F223</f>
        <v>25729180000</v>
      </c>
      <c r="G165" s="807"/>
      <c r="H165" s="807">
        <f>+H171+H175+H180+H182+H187+H191+H204+H209+H211+H213+H217+H219+H223</f>
        <v>25729180000</v>
      </c>
      <c r="I165" s="807"/>
      <c r="J165" s="807">
        <f>+J171+J175+J180+J182+J187+J191+J204+J209+J211+J213+J217+J219+J223</f>
        <v>25901180000</v>
      </c>
      <c r="K165" s="807"/>
      <c r="L165" s="807">
        <f>+L171+L175+L180+L182+L187+L191+L204+L209+L211+L213+L217+L219+L223</f>
        <v>26351180000</v>
      </c>
    </row>
    <row r="167" spans="1:12" ht="12.75">
      <c r="A167" s="805" t="s">
        <v>4808</v>
      </c>
      <c r="B167" s="806" t="s">
        <v>4809</v>
      </c>
      <c r="C167" s="806"/>
      <c r="D167" s="808"/>
      <c r="E167" s="808"/>
    </row>
    <row r="169" spans="1:12" ht="12.75">
      <c r="A169" s="805" t="s">
        <v>4810</v>
      </c>
      <c r="B169" s="806" t="s">
        <v>4811</v>
      </c>
      <c r="C169" s="806"/>
      <c r="D169" s="808">
        <v>250000000</v>
      </c>
      <c r="E169" s="808"/>
    </row>
    <row r="171" spans="1:12" ht="12.75">
      <c r="B171" s="827" t="s">
        <v>4569</v>
      </c>
      <c r="C171" s="827"/>
      <c r="D171" s="827">
        <f>+D172</f>
        <v>750000000</v>
      </c>
      <c r="E171" s="827"/>
      <c r="F171" s="827">
        <f>+F172</f>
        <v>750000000</v>
      </c>
      <c r="G171" s="827"/>
      <c r="H171" s="827">
        <f>+H172</f>
        <v>750000000</v>
      </c>
      <c r="I171" s="827"/>
      <c r="J171" s="827">
        <f>+J172</f>
        <v>1000000000</v>
      </c>
      <c r="K171" s="827"/>
      <c r="L171" s="827">
        <f>+L172</f>
        <v>1500000000</v>
      </c>
    </row>
    <row r="172" spans="1:12" ht="12.75">
      <c r="B172" s="823" t="s">
        <v>4811</v>
      </c>
      <c r="C172" s="823"/>
      <c r="D172" s="823">
        <f>250000000+500000000</f>
        <v>750000000</v>
      </c>
      <c r="E172" s="823"/>
      <c r="F172" s="826">
        <f>+D172</f>
        <v>750000000</v>
      </c>
      <c r="G172" s="826"/>
      <c r="H172" s="826">
        <f>+F172</f>
        <v>750000000</v>
      </c>
      <c r="I172" s="826"/>
      <c r="J172" s="826">
        <v>1000000000</v>
      </c>
      <c r="K172" s="826"/>
      <c r="L172" s="826">
        <v>1500000000</v>
      </c>
    </row>
    <row r="174" spans="1:12" ht="12.75">
      <c r="A174" s="805" t="s">
        <v>4812</v>
      </c>
      <c r="B174" s="806" t="s">
        <v>4813</v>
      </c>
      <c r="C174" s="806"/>
      <c r="D174" s="808">
        <v>25000000</v>
      </c>
      <c r="E174" s="808"/>
    </row>
    <row r="175" spans="1:12" ht="12.75">
      <c r="B175" s="827" t="s">
        <v>904</v>
      </c>
      <c r="C175" s="827"/>
      <c r="D175" s="827">
        <f>+D176</f>
        <v>25000000</v>
      </c>
      <c r="E175" s="827"/>
      <c r="F175" s="827">
        <f>+F176</f>
        <v>25000000</v>
      </c>
      <c r="G175" s="827"/>
      <c r="H175" s="827">
        <f>+H176</f>
        <v>25000000</v>
      </c>
      <c r="I175" s="827"/>
      <c r="J175" s="827">
        <f>+J176</f>
        <v>25000000</v>
      </c>
      <c r="K175" s="827"/>
      <c r="L175" s="827">
        <f>+L176</f>
        <v>25000000</v>
      </c>
    </row>
    <row r="176" spans="1:12" ht="12.75">
      <c r="B176" s="821" t="s">
        <v>4814</v>
      </c>
      <c r="C176" s="821"/>
      <c r="D176" s="821">
        <v>25000000</v>
      </c>
      <c r="E176" s="821"/>
      <c r="F176" s="826">
        <f>+D176</f>
        <v>25000000</v>
      </c>
      <c r="G176" s="826"/>
      <c r="H176" s="826">
        <f>+F176</f>
        <v>25000000</v>
      </c>
      <c r="I176" s="826"/>
      <c r="J176" s="826">
        <f>+H176</f>
        <v>25000000</v>
      </c>
      <c r="K176" s="826"/>
      <c r="L176" s="826">
        <f>+J176</f>
        <v>25000000</v>
      </c>
    </row>
    <row r="178" spans="1:12" ht="12.75">
      <c r="A178" s="805" t="s">
        <v>4815</v>
      </c>
      <c r="B178" s="806" t="s">
        <v>4816</v>
      </c>
      <c r="C178" s="806"/>
      <c r="D178" s="808">
        <f>D180+D182</f>
        <v>5248300000</v>
      </c>
      <c r="E178" s="808">
        <f t="shared" ref="E178:L178" si="14">E180+E182</f>
        <v>0</v>
      </c>
      <c r="F178" s="808">
        <f t="shared" si="14"/>
        <v>8000000000</v>
      </c>
      <c r="G178" s="808">
        <f t="shared" si="14"/>
        <v>0</v>
      </c>
      <c r="H178" s="808">
        <f t="shared" si="14"/>
        <v>8000000000</v>
      </c>
      <c r="I178" s="808">
        <f t="shared" si="14"/>
        <v>0</v>
      </c>
      <c r="J178" s="808">
        <f t="shared" si="14"/>
        <v>8000000000</v>
      </c>
      <c r="K178" s="808">
        <f t="shared" si="14"/>
        <v>0</v>
      </c>
      <c r="L178" s="808">
        <f t="shared" si="14"/>
        <v>8000000000</v>
      </c>
    </row>
    <row r="180" spans="1:12" ht="12.75">
      <c r="B180" s="827" t="s">
        <v>4817</v>
      </c>
      <c r="C180" s="827"/>
      <c r="D180" s="827">
        <f>+D181</f>
        <v>1500000000</v>
      </c>
      <c r="E180" s="827"/>
      <c r="F180" s="827">
        <f>+F181</f>
        <v>8000000000</v>
      </c>
      <c r="G180" s="827"/>
      <c r="H180" s="827">
        <f>+H181</f>
        <v>8000000000</v>
      </c>
      <c r="I180" s="827"/>
      <c r="J180" s="827">
        <f>+J181</f>
        <v>8000000000</v>
      </c>
      <c r="K180" s="827"/>
      <c r="L180" s="827">
        <f>+L181</f>
        <v>8000000000</v>
      </c>
    </row>
    <row r="181" spans="1:12" ht="12.75">
      <c r="B181" s="821" t="s">
        <v>4818</v>
      </c>
      <c r="C181" s="821"/>
      <c r="D181" s="821">
        <f>1500000000</f>
        <v>1500000000</v>
      </c>
      <c r="E181" s="821"/>
      <c r="F181" s="821">
        <v>8000000000</v>
      </c>
      <c r="G181" s="821"/>
      <c r="H181" s="821">
        <f>+F181</f>
        <v>8000000000</v>
      </c>
      <c r="I181" s="821"/>
      <c r="J181" s="821">
        <f>+H181</f>
        <v>8000000000</v>
      </c>
      <c r="K181" s="821"/>
      <c r="L181" s="821">
        <f>+J181</f>
        <v>8000000000</v>
      </c>
    </row>
    <row r="182" spans="1:12" ht="12.75">
      <c r="B182" s="827" t="s">
        <v>4819</v>
      </c>
      <c r="C182" s="827"/>
      <c r="D182" s="827">
        <f>+D183</f>
        <v>3748300000</v>
      </c>
      <c r="E182" s="827"/>
      <c r="F182" s="827">
        <f>+F183</f>
        <v>0</v>
      </c>
      <c r="G182" s="827"/>
      <c r="H182" s="827">
        <f>+H183</f>
        <v>0</v>
      </c>
      <c r="I182" s="827"/>
      <c r="J182" s="827">
        <f>+J183</f>
        <v>0</v>
      </c>
      <c r="K182" s="827"/>
      <c r="L182" s="827">
        <f>+L183</f>
        <v>0</v>
      </c>
    </row>
    <row r="183" spans="1:12" s="833" customFormat="1" ht="12.75">
      <c r="B183" s="834" t="s">
        <v>4820</v>
      </c>
      <c r="C183" s="834"/>
      <c r="D183" s="834">
        <f>2500000000+1248300000</f>
        <v>3748300000</v>
      </c>
      <c r="E183" s="834"/>
      <c r="F183" s="834"/>
      <c r="G183" s="834"/>
      <c r="H183" s="834">
        <f>+F183</f>
        <v>0</v>
      </c>
      <c r="I183" s="834"/>
      <c r="J183" s="834">
        <f>+H183</f>
        <v>0</v>
      </c>
      <c r="K183" s="834"/>
      <c r="L183" s="834">
        <f>+J183</f>
        <v>0</v>
      </c>
    </row>
    <row r="185" spans="1:12" ht="12.75">
      <c r="A185" s="805" t="s">
        <v>4821</v>
      </c>
      <c r="B185" s="806" t="s">
        <v>4822</v>
      </c>
      <c r="C185" s="806"/>
      <c r="D185" s="808">
        <v>216250000</v>
      </c>
      <c r="E185" s="808"/>
    </row>
    <row r="187" spans="1:12" ht="12.75">
      <c r="B187" s="827" t="s">
        <v>1033</v>
      </c>
      <c r="C187" s="827"/>
      <c r="D187" s="827">
        <f>+D188</f>
        <v>216250000</v>
      </c>
      <c r="E187" s="827"/>
      <c r="F187" s="827">
        <f>+F188</f>
        <v>216250000</v>
      </c>
      <c r="G187" s="827"/>
      <c r="H187" s="827">
        <f>+H188</f>
        <v>216250000</v>
      </c>
      <c r="I187" s="827"/>
      <c r="J187" s="827">
        <f>+J188</f>
        <v>216250000</v>
      </c>
      <c r="K187" s="827"/>
      <c r="L187" s="827">
        <f>+L188</f>
        <v>216250000</v>
      </c>
    </row>
    <row r="188" spans="1:12" ht="12.75">
      <c r="B188" s="821" t="s">
        <v>4823</v>
      </c>
      <c r="C188" s="821"/>
      <c r="D188" s="821">
        <f>+D185</f>
        <v>216250000</v>
      </c>
      <c r="E188" s="821"/>
      <c r="F188" s="826">
        <f>+D188</f>
        <v>216250000</v>
      </c>
      <c r="G188" s="826"/>
      <c r="H188" s="826">
        <f>+F188</f>
        <v>216250000</v>
      </c>
      <c r="I188" s="826"/>
      <c r="J188" s="826">
        <f>+H188</f>
        <v>216250000</v>
      </c>
      <c r="K188" s="826"/>
      <c r="L188" s="826">
        <f>+J188</f>
        <v>216250000</v>
      </c>
    </row>
    <row r="190" spans="1:12" ht="12.75">
      <c r="A190" s="805" t="s">
        <v>4824</v>
      </c>
      <c r="B190" s="806" t="s">
        <v>4825</v>
      </c>
      <c r="C190" s="806"/>
      <c r="D190" s="808">
        <v>4974180000</v>
      </c>
      <c r="E190" s="808"/>
    </row>
    <row r="191" spans="1:12" ht="12.75">
      <c r="B191" s="827" t="s">
        <v>4708</v>
      </c>
      <c r="C191" s="827"/>
      <c r="D191" s="827">
        <f>SUM(D192:D201)</f>
        <v>4974180000</v>
      </c>
      <c r="E191" s="827"/>
      <c r="F191" s="827">
        <f>SUM(F192:F201)</f>
        <v>8724180000</v>
      </c>
      <c r="G191" s="827"/>
      <c r="H191" s="827">
        <f>SUM(H192:H201)</f>
        <v>8724180000</v>
      </c>
      <c r="I191" s="827"/>
      <c r="J191" s="827">
        <f>SUM(J192:J201)</f>
        <v>8724180000</v>
      </c>
      <c r="K191" s="827"/>
      <c r="L191" s="827">
        <f>SUM(L192:L201)</f>
        <v>8724180000</v>
      </c>
    </row>
    <row r="192" spans="1:12" ht="12.75">
      <c r="B192" s="821" t="s">
        <v>4826</v>
      </c>
      <c r="C192" s="821"/>
      <c r="D192" s="821">
        <v>80000000</v>
      </c>
      <c r="E192" s="821"/>
      <c r="F192" s="826">
        <f>+D192</f>
        <v>80000000</v>
      </c>
      <c r="G192" s="826"/>
      <c r="H192" s="826">
        <f t="shared" ref="H192:H201" si="15">+F192</f>
        <v>80000000</v>
      </c>
      <c r="I192" s="826"/>
      <c r="J192" s="826">
        <f t="shared" ref="J192:J201" si="16">+H192</f>
        <v>80000000</v>
      </c>
      <c r="K192" s="826"/>
      <c r="L192" s="826">
        <f t="shared" ref="L192:L201" si="17">+J192</f>
        <v>80000000</v>
      </c>
    </row>
    <row r="193" spans="1:16" ht="12.75">
      <c r="B193" s="821" t="s">
        <v>4827</v>
      </c>
      <c r="C193" s="821"/>
      <c r="D193" s="821">
        <v>80000000</v>
      </c>
      <c r="E193" s="821"/>
      <c r="F193" s="826">
        <f>+D193</f>
        <v>80000000</v>
      </c>
      <c r="G193" s="826"/>
      <c r="H193" s="826">
        <f t="shared" si="15"/>
        <v>80000000</v>
      </c>
      <c r="I193" s="826"/>
      <c r="J193" s="826">
        <f t="shared" si="16"/>
        <v>80000000</v>
      </c>
      <c r="K193" s="826"/>
      <c r="L193" s="826">
        <f t="shared" si="17"/>
        <v>80000000</v>
      </c>
    </row>
    <row r="194" spans="1:16" ht="12.75">
      <c r="B194" s="821" t="s">
        <v>4828</v>
      </c>
      <c r="C194" s="821"/>
      <c r="D194" s="821">
        <v>60000000</v>
      </c>
      <c r="E194" s="821"/>
      <c r="F194" s="826">
        <f>+D194</f>
        <v>60000000</v>
      </c>
      <c r="G194" s="826"/>
      <c r="H194" s="826">
        <f t="shared" si="15"/>
        <v>60000000</v>
      </c>
      <c r="I194" s="826"/>
      <c r="J194" s="826">
        <f t="shared" si="16"/>
        <v>60000000</v>
      </c>
      <c r="K194" s="826"/>
      <c r="L194" s="826">
        <f t="shared" si="17"/>
        <v>60000000</v>
      </c>
    </row>
    <row r="195" spans="1:16" ht="12.75">
      <c r="B195" s="821" t="s">
        <v>4829</v>
      </c>
      <c r="C195" s="821"/>
      <c r="D195" s="821">
        <v>45000000</v>
      </c>
      <c r="E195" s="821"/>
      <c r="F195" s="826">
        <f>+D195</f>
        <v>45000000</v>
      </c>
      <c r="G195" s="826"/>
      <c r="H195" s="826">
        <f t="shared" si="15"/>
        <v>45000000</v>
      </c>
      <c r="I195" s="826"/>
      <c r="J195" s="826">
        <f t="shared" si="16"/>
        <v>45000000</v>
      </c>
      <c r="K195" s="826"/>
      <c r="L195" s="826">
        <f t="shared" si="17"/>
        <v>45000000</v>
      </c>
    </row>
    <row r="196" spans="1:16" ht="12.75">
      <c r="B196" s="821" t="s">
        <v>4830</v>
      </c>
      <c r="C196" s="821"/>
      <c r="D196" s="821">
        <v>413180000</v>
      </c>
      <c r="E196" s="821"/>
      <c r="F196" s="826">
        <f>+D196</f>
        <v>413180000</v>
      </c>
      <c r="G196" s="826"/>
      <c r="H196" s="826">
        <f t="shared" si="15"/>
        <v>413180000</v>
      </c>
      <c r="I196" s="826"/>
      <c r="J196" s="826">
        <f t="shared" si="16"/>
        <v>413180000</v>
      </c>
      <c r="K196" s="826"/>
      <c r="L196" s="826">
        <f t="shared" si="17"/>
        <v>413180000</v>
      </c>
    </row>
    <row r="197" spans="1:16" ht="12.75">
      <c r="B197" s="821" t="s">
        <v>4831</v>
      </c>
      <c r="C197" s="821"/>
      <c r="D197" s="821">
        <f>3750000000</f>
        <v>3750000000</v>
      </c>
      <c r="E197" s="821"/>
      <c r="F197" s="826">
        <v>7500000000</v>
      </c>
      <c r="G197" s="826"/>
      <c r="H197" s="826">
        <f t="shared" si="15"/>
        <v>7500000000</v>
      </c>
      <c r="I197" s="826"/>
      <c r="J197" s="826">
        <f t="shared" si="16"/>
        <v>7500000000</v>
      </c>
      <c r="K197" s="826"/>
      <c r="L197" s="826">
        <f>+J197</f>
        <v>7500000000</v>
      </c>
      <c r="N197" s="835">
        <v>7500000</v>
      </c>
      <c r="O197" s="835">
        <f>H197/N197</f>
        <v>1000</v>
      </c>
    </row>
    <row r="198" spans="1:16" ht="12.75">
      <c r="B198" s="821" t="s">
        <v>4832</v>
      </c>
      <c r="C198" s="821"/>
      <c r="D198" s="821">
        <v>20000000</v>
      </c>
      <c r="E198" s="821"/>
      <c r="F198" s="826">
        <f>+D198</f>
        <v>20000000</v>
      </c>
      <c r="G198" s="826"/>
      <c r="H198" s="826">
        <f t="shared" si="15"/>
        <v>20000000</v>
      </c>
      <c r="I198" s="826"/>
      <c r="J198" s="826">
        <f t="shared" si="16"/>
        <v>20000000</v>
      </c>
      <c r="K198" s="826"/>
      <c r="L198" s="826">
        <f t="shared" si="17"/>
        <v>20000000</v>
      </c>
      <c r="N198" s="835">
        <v>7500000</v>
      </c>
      <c r="O198" s="801">
        <v>1000</v>
      </c>
      <c r="P198" s="836">
        <f>N198*O198</f>
        <v>7500000000</v>
      </c>
    </row>
    <row r="199" spans="1:16" ht="12.75">
      <c r="B199" s="821" t="s">
        <v>4833</v>
      </c>
      <c r="C199" s="821"/>
      <c r="D199" s="821">
        <v>4000000</v>
      </c>
      <c r="E199" s="821"/>
      <c r="F199" s="826">
        <f>+D199</f>
        <v>4000000</v>
      </c>
      <c r="G199" s="826"/>
      <c r="H199" s="826">
        <f t="shared" si="15"/>
        <v>4000000</v>
      </c>
      <c r="I199" s="826"/>
      <c r="J199" s="826">
        <f t="shared" si="16"/>
        <v>4000000</v>
      </c>
      <c r="K199" s="826"/>
      <c r="L199" s="826">
        <f t="shared" si="17"/>
        <v>4000000</v>
      </c>
      <c r="P199" s="836">
        <f>P198-L197</f>
        <v>0</v>
      </c>
    </row>
    <row r="200" spans="1:16" ht="12.75">
      <c r="B200" s="821" t="s">
        <v>4834</v>
      </c>
      <c r="C200" s="821"/>
      <c r="D200" s="821">
        <v>432000000</v>
      </c>
      <c r="E200" s="821"/>
      <c r="F200" s="826">
        <f>+D200</f>
        <v>432000000</v>
      </c>
      <c r="G200" s="826"/>
      <c r="H200" s="826">
        <f t="shared" si="15"/>
        <v>432000000</v>
      </c>
      <c r="I200" s="826"/>
      <c r="J200" s="826">
        <f t="shared" si="16"/>
        <v>432000000</v>
      </c>
      <c r="K200" s="826"/>
      <c r="L200" s="826">
        <f t="shared" si="17"/>
        <v>432000000</v>
      </c>
    </row>
    <row r="201" spans="1:16" ht="12.75">
      <c r="B201" s="821" t="s">
        <v>4835</v>
      </c>
      <c r="C201" s="821"/>
      <c r="D201" s="821">
        <v>90000000</v>
      </c>
      <c r="E201" s="821"/>
      <c r="F201" s="826">
        <f>+D201</f>
        <v>90000000</v>
      </c>
      <c r="G201" s="826"/>
      <c r="H201" s="826">
        <f t="shared" si="15"/>
        <v>90000000</v>
      </c>
      <c r="I201" s="826"/>
      <c r="J201" s="826">
        <f t="shared" si="16"/>
        <v>90000000</v>
      </c>
      <c r="K201" s="826"/>
      <c r="L201" s="826">
        <f t="shared" si="17"/>
        <v>90000000</v>
      </c>
    </row>
    <row r="202" spans="1:16" ht="18.75">
      <c r="B202" s="837"/>
      <c r="C202" s="837"/>
    </row>
    <row r="203" spans="1:16" ht="12.75">
      <c r="A203" s="805" t="s">
        <v>4836</v>
      </c>
      <c r="B203" s="806" t="s">
        <v>4837</v>
      </c>
      <c r="C203" s="806"/>
      <c r="D203" s="808">
        <v>50000000</v>
      </c>
      <c r="E203" s="808"/>
    </row>
    <row r="204" spans="1:16" ht="12.75">
      <c r="B204" s="827" t="s">
        <v>4714</v>
      </c>
      <c r="C204" s="827"/>
      <c r="D204" s="827">
        <f>+D205</f>
        <v>50000000</v>
      </c>
      <c r="E204" s="827"/>
      <c r="F204" s="827">
        <f>+F205</f>
        <v>50000000</v>
      </c>
      <c r="G204" s="827"/>
      <c r="H204" s="827">
        <f>+H205</f>
        <v>50000000</v>
      </c>
      <c r="I204" s="827"/>
      <c r="J204" s="827">
        <f>+J205</f>
        <v>50000000</v>
      </c>
      <c r="K204" s="827"/>
      <c r="L204" s="827">
        <f>+L205</f>
        <v>50000000</v>
      </c>
    </row>
    <row r="205" spans="1:16" ht="12.75">
      <c r="B205" s="821" t="s">
        <v>4838</v>
      </c>
      <c r="C205" s="821"/>
      <c r="D205" s="821">
        <v>50000000</v>
      </c>
      <c r="E205" s="821"/>
      <c r="F205" s="826">
        <f>+D205</f>
        <v>50000000</v>
      </c>
      <c r="G205" s="826"/>
      <c r="H205" s="826">
        <f>+F205</f>
        <v>50000000</v>
      </c>
      <c r="I205" s="826"/>
      <c r="J205" s="826">
        <f>+H205</f>
        <v>50000000</v>
      </c>
      <c r="K205" s="826"/>
      <c r="L205" s="826">
        <f>+J205</f>
        <v>50000000</v>
      </c>
    </row>
    <row r="208" spans="1:16" ht="12.75">
      <c r="A208" s="805" t="s">
        <v>4839</v>
      </c>
      <c r="B208" s="806" t="s">
        <v>4840</v>
      </c>
      <c r="C208" s="806"/>
      <c r="D208" s="808">
        <f>D209+D211+D213+D217+D219+D221</f>
        <v>849950000</v>
      </c>
      <c r="E208" s="808">
        <f t="shared" ref="E208:L208" si="18">E209+E211+E213+E217+E219+E221</f>
        <v>0</v>
      </c>
      <c r="F208" s="808">
        <f t="shared" si="18"/>
        <v>798250000</v>
      </c>
      <c r="G208" s="808">
        <f t="shared" si="18"/>
        <v>0</v>
      </c>
      <c r="H208" s="808">
        <f t="shared" si="18"/>
        <v>798250000</v>
      </c>
      <c r="I208" s="808">
        <f t="shared" si="18"/>
        <v>0</v>
      </c>
      <c r="J208" s="808">
        <f t="shared" si="18"/>
        <v>720250000</v>
      </c>
      <c r="K208" s="808">
        <f t="shared" si="18"/>
        <v>0</v>
      </c>
      <c r="L208" s="808">
        <f t="shared" si="18"/>
        <v>670250000</v>
      </c>
    </row>
    <row r="209" spans="1:12" ht="12.75">
      <c r="B209" s="827" t="s">
        <v>4841</v>
      </c>
      <c r="C209" s="827"/>
      <c r="D209" s="827">
        <f>+D210</f>
        <v>40000000</v>
      </c>
      <c r="E209" s="827"/>
      <c r="F209" s="827">
        <f>+F210</f>
        <v>40000000</v>
      </c>
      <c r="G209" s="827"/>
      <c r="H209" s="827">
        <f>+H210</f>
        <v>40000000</v>
      </c>
      <c r="I209" s="827"/>
      <c r="J209" s="827">
        <f>+J210</f>
        <v>40000000</v>
      </c>
      <c r="K209" s="827"/>
      <c r="L209" s="827">
        <f>+L210</f>
        <v>40000000</v>
      </c>
    </row>
    <row r="210" spans="1:12" ht="12.75">
      <c r="B210" s="821" t="s">
        <v>4842</v>
      </c>
      <c r="C210" s="821"/>
      <c r="D210" s="821">
        <v>40000000</v>
      </c>
      <c r="E210" s="821"/>
      <c r="F210" s="826">
        <f>+D210</f>
        <v>40000000</v>
      </c>
      <c r="G210" s="826"/>
      <c r="H210" s="826">
        <f>+F210</f>
        <v>40000000</v>
      </c>
      <c r="I210" s="826"/>
      <c r="J210" s="826">
        <f>+H210</f>
        <v>40000000</v>
      </c>
      <c r="K210" s="826"/>
      <c r="L210" s="826">
        <f>+J210</f>
        <v>40000000</v>
      </c>
    </row>
    <row r="211" spans="1:12" ht="12.75">
      <c r="B211" s="827" t="s">
        <v>4843</v>
      </c>
      <c r="C211" s="827"/>
      <c r="D211" s="827">
        <f>+D212</f>
        <v>320000000</v>
      </c>
      <c r="E211" s="827"/>
      <c r="F211" s="827">
        <f>+F212</f>
        <v>268300000</v>
      </c>
      <c r="G211" s="827"/>
      <c r="H211" s="827">
        <f>+H212</f>
        <v>268300000</v>
      </c>
      <c r="I211" s="827"/>
      <c r="J211" s="827">
        <f>+J212</f>
        <v>190300000</v>
      </c>
      <c r="K211" s="827"/>
      <c r="L211" s="827">
        <f>+L212</f>
        <v>140300000</v>
      </c>
    </row>
    <row r="212" spans="1:12" ht="12.75">
      <c r="B212" s="821" t="s">
        <v>4844</v>
      </c>
      <c r="C212" s="821"/>
      <c r="D212" s="821">
        <v>320000000</v>
      </c>
      <c r="E212" s="821"/>
      <c r="F212" s="826">
        <f>+D212-51700000</f>
        <v>268300000</v>
      </c>
      <c r="G212" s="826"/>
      <c r="H212" s="826">
        <f>+F212</f>
        <v>268300000</v>
      </c>
      <c r="I212" s="826"/>
      <c r="J212" s="826">
        <f>+H212-78000000</f>
        <v>190300000</v>
      </c>
      <c r="K212" s="826"/>
      <c r="L212" s="826">
        <f>+J212-50000000</f>
        <v>140300000</v>
      </c>
    </row>
    <row r="213" spans="1:12" ht="12.75">
      <c r="B213" s="827" t="s">
        <v>4845</v>
      </c>
      <c r="C213" s="827"/>
      <c r="D213" s="827">
        <f>+D214+D215+D216</f>
        <v>179950000</v>
      </c>
      <c r="E213" s="827"/>
      <c r="F213" s="827">
        <f>+F214+F215+F216</f>
        <v>179950000</v>
      </c>
      <c r="G213" s="827"/>
      <c r="H213" s="827">
        <f>+H214+H215+H216</f>
        <v>179950000</v>
      </c>
      <c r="I213" s="827"/>
      <c r="J213" s="827">
        <f>+J214+J215+J216</f>
        <v>179950000</v>
      </c>
      <c r="K213" s="827"/>
      <c r="L213" s="827">
        <f>+L214+L215+L216</f>
        <v>179950000</v>
      </c>
    </row>
    <row r="214" spans="1:12" ht="12.75">
      <c r="B214" s="821" t="s">
        <v>4846</v>
      </c>
      <c r="C214" s="821"/>
      <c r="D214" s="821">
        <v>34950000</v>
      </c>
      <c r="E214" s="821"/>
      <c r="F214" s="826">
        <f>+D214</f>
        <v>34950000</v>
      </c>
      <c r="G214" s="826"/>
      <c r="H214" s="826">
        <f>+F214</f>
        <v>34950000</v>
      </c>
      <c r="I214" s="826"/>
      <c r="J214" s="826">
        <f>+H214</f>
        <v>34950000</v>
      </c>
      <c r="K214" s="826"/>
      <c r="L214" s="826">
        <f t="shared" ref="L214:L216" si="19">+J214</f>
        <v>34950000</v>
      </c>
    </row>
    <row r="215" spans="1:12" ht="12.75">
      <c r="B215" s="821" t="s">
        <v>4847</v>
      </c>
      <c r="C215" s="821"/>
      <c r="D215" s="821">
        <v>70000000</v>
      </c>
      <c r="E215" s="821"/>
      <c r="F215" s="826">
        <f>+D215</f>
        <v>70000000</v>
      </c>
      <c r="G215" s="826"/>
      <c r="H215" s="826">
        <f>+F215</f>
        <v>70000000</v>
      </c>
      <c r="I215" s="826"/>
      <c r="J215" s="826">
        <f>+H215</f>
        <v>70000000</v>
      </c>
      <c r="K215" s="826"/>
      <c r="L215" s="826">
        <f t="shared" si="19"/>
        <v>70000000</v>
      </c>
    </row>
    <row r="216" spans="1:12" ht="12.75">
      <c r="B216" s="821" t="s">
        <v>4848</v>
      </c>
      <c r="C216" s="821"/>
      <c r="D216" s="821">
        <v>75000000</v>
      </c>
      <c r="E216" s="821"/>
      <c r="F216" s="826">
        <f>+D216</f>
        <v>75000000</v>
      </c>
      <c r="G216" s="826"/>
      <c r="H216" s="826">
        <f>+F216</f>
        <v>75000000</v>
      </c>
      <c r="I216" s="826"/>
      <c r="J216" s="826">
        <f>+H216</f>
        <v>75000000</v>
      </c>
      <c r="K216" s="826"/>
      <c r="L216" s="826">
        <f t="shared" si="19"/>
        <v>75000000</v>
      </c>
    </row>
    <row r="217" spans="1:12" ht="12.75">
      <c r="B217" s="827" t="s">
        <v>4849</v>
      </c>
      <c r="C217" s="827"/>
      <c r="D217" s="827">
        <f>+D218</f>
        <v>250000000</v>
      </c>
      <c r="E217" s="827"/>
      <c r="F217" s="827">
        <f>+F218</f>
        <v>250000000</v>
      </c>
      <c r="G217" s="827"/>
      <c r="H217" s="827">
        <f>+H218</f>
        <v>250000000</v>
      </c>
      <c r="I217" s="827"/>
      <c r="J217" s="827">
        <f>+J218</f>
        <v>250000000</v>
      </c>
      <c r="K217" s="827"/>
      <c r="L217" s="827">
        <f>+L218</f>
        <v>250000000</v>
      </c>
    </row>
    <row r="218" spans="1:12" ht="12.75">
      <c r="B218" s="821" t="s">
        <v>4850</v>
      </c>
      <c r="C218" s="821"/>
      <c r="D218" s="821">
        <v>250000000</v>
      </c>
      <c r="E218" s="821"/>
      <c r="F218" s="826">
        <f>+D218</f>
        <v>250000000</v>
      </c>
      <c r="G218" s="826"/>
      <c r="H218" s="826">
        <f>+F218</f>
        <v>250000000</v>
      </c>
      <c r="I218" s="826"/>
      <c r="J218" s="826">
        <f>+H218</f>
        <v>250000000</v>
      </c>
      <c r="K218" s="826"/>
      <c r="L218" s="826">
        <f>+J218</f>
        <v>250000000</v>
      </c>
    </row>
    <row r="219" spans="1:12" ht="12.75">
      <c r="B219" s="827" t="s">
        <v>4851</v>
      </c>
      <c r="C219" s="827"/>
      <c r="D219" s="827">
        <f>+D220</f>
        <v>60000000</v>
      </c>
      <c r="E219" s="827"/>
      <c r="F219" s="827">
        <f>+F220</f>
        <v>60000000</v>
      </c>
      <c r="G219" s="827"/>
      <c r="H219" s="827">
        <f>+H220</f>
        <v>60000000</v>
      </c>
      <c r="I219" s="827"/>
      <c r="J219" s="827">
        <f>+J220</f>
        <v>60000000</v>
      </c>
      <c r="K219" s="827"/>
      <c r="L219" s="827">
        <f>+L220</f>
        <v>60000000</v>
      </c>
    </row>
    <row r="220" spans="1:12" ht="12.75">
      <c r="B220" s="821" t="s">
        <v>4852</v>
      </c>
      <c r="C220" s="821"/>
      <c r="D220" s="821">
        <v>60000000</v>
      </c>
      <c r="E220" s="821"/>
      <c r="F220" s="826">
        <f>+D220</f>
        <v>60000000</v>
      </c>
      <c r="G220" s="826"/>
      <c r="H220" s="826">
        <f>+F220</f>
        <v>60000000</v>
      </c>
      <c r="I220" s="826"/>
      <c r="J220" s="826">
        <f>+H220</f>
        <v>60000000</v>
      </c>
      <c r="K220" s="826"/>
      <c r="L220" s="826">
        <f>+J220</f>
        <v>60000000</v>
      </c>
    </row>
    <row r="222" spans="1:12" ht="12.75">
      <c r="A222" s="805" t="s">
        <v>4853</v>
      </c>
      <c r="B222" s="806" t="s">
        <v>4854</v>
      </c>
      <c r="C222" s="806"/>
      <c r="D222" s="808">
        <v>7725000000</v>
      </c>
      <c r="E222" s="808"/>
    </row>
    <row r="223" spans="1:12" ht="12.75">
      <c r="B223" s="827" t="s">
        <v>4851</v>
      </c>
      <c r="C223" s="827"/>
      <c r="D223" s="827">
        <f>SUM(D224:D226)</f>
        <v>7725000000</v>
      </c>
      <c r="E223" s="827"/>
      <c r="F223" s="827">
        <f>SUM(F224:F226)</f>
        <v>7165500000</v>
      </c>
      <c r="G223" s="827"/>
      <c r="H223" s="827">
        <f>SUM(H224:H226)</f>
        <v>7165500000</v>
      </c>
      <c r="I223" s="827"/>
      <c r="J223" s="827">
        <f>SUM(J224:J226)</f>
        <v>7165500000</v>
      </c>
      <c r="K223" s="827"/>
      <c r="L223" s="827">
        <f>SUM(L224:L226)</f>
        <v>7165500000</v>
      </c>
    </row>
    <row r="224" spans="1:12" ht="12.75">
      <c r="B224" s="821" t="s">
        <v>4855</v>
      </c>
      <c r="C224" s="821"/>
      <c r="D224" s="821">
        <v>6000000000</v>
      </c>
      <c r="E224" s="821"/>
      <c r="F224" s="826">
        <f>+D224-559500000</f>
        <v>5440500000</v>
      </c>
      <c r="G224" s="826"/>
      <c r="H224" s="826">
        <f>+F224</f>
        <v>5440500000</v>
      </c>
      <c r="I224" s="826"/>
      <c r="J224" s="826">
        <f>+H224</f>
        <v>5440500000</v>
      </c>
      <c r="K224" s="826"/>
      <c r="L224" s="826">
        <f t="shared" ref="L224:L226" si="20">+J224</f>
        <v>5440500000</v>
      </c>
    </row>
    <row r="225" spans="1:12" ht="12.75">
      <c r="B225" s="821" t="s">
        <v>4856</v>
      </c>
      <c r="C225" s="821"/>
      <c r="D225" s="821">
        <v>175000000</v>
      </c>
      <c r="E225" s="821"/>
      <c r="F225" s="826">
        <f>+D225</f>
        <v>175000000</v>
      </c>
      <c r="G225" s="826"/>
      <c r="H225" s="826">
        <f>+F225</f>
        <v>175000000</v>
      </c>
      <c r="I225" s="826"/>
      <c r="J225" s="826">
        <f>+H225</f>
        <v>175000000</v>
      </c>
      <c r="K225" s="826"/>
      <c r="L225" s="826">
        <f t="shared" si="20"/>
        <v>175000000</v>
      </c>
    </row>
    <row r="226" spans="1:12" ht="12.75">
      <c r="B226" s="821" t="s">
        <v>4857</v>
      </c>
      <c r="C226" s="821"/>
      <c r="D226" s="821">
        <v>1550000000</v>
      </c>
      <c r="E226" s="821"/>
      <c r="F226" s="826">
        <v>1550000000</v>
      </c>
      <c r="G226" s="826"/>
      <c r="H226" s="826">
        <f>+F226</f>
        <v>1550000000</v>
      </c>
      <c r="I226" s="826"/>
      <c r="J226" s="826">
        <f>+H226</f>
        <v>1550000000</v>
      </c>
      <c r="K226" s="826"/>
      <c r="L226" s="826">
        <f t="shared" si="20"/>
        <v>1550000000</v>
      </c>
    </row>
    <row r="227" spans="1:12" ht="12.75">
      <c r="B227" s="821"/>
      <c r="C227" s="821"/>
      <c r="D227" s="821"/>
      <c r="E227" s="821"/>
    </row>
    <row r="228" spans="1:12">
      <c r="A228" s="805" t="s">
        <v>4858</v>
      </c>
      <c r="B228" s="806" t="s">
        <v>4859</v>
      </c>
      <c r="C228" s="806"/>
      <c r="D228" s="807">
        <v>0</v>
      </c>
      <c r="E228" s="807"/>
      <c r="F228" s="804">
        <v>0</v>
      </c>
      <c r="G228" s="804"/>
      <c r="H228" s="804">
        <v>0</v>
      </c>
      <c r="I228" s="804"/>
      <c r="J228" s="804">
        <v>0</v>
      </c>
      <c r="K228" s="804"/>
      <c r="L228" s="804">
        <v>0</v>
      </c>
    </row>
    <row r="230" spans="1:12" ht="12.75">
      <c r="A230" s="805" t="s">
        <v>4860</v>
      </c>
      <c r="B230" s="806" t="s">
        <v>4861</v>
      </c>
      <c r="C230" s="806"/>
      <c r="D230" s="808">
        <v>0</v>
      </c>
      <c r="E230" s="808"/>
    </row>
    <row r="232" spans="1:12" ht="12.75">
      <c r="B232" s="827" t="s">
        <v>4862</v>
      </c>
      <c r="C232" s="827"/>
      <c r="D232" s="827">
        <v>0</v>
      </c>
      <c r="E232" s="827"/>
      <c r="F232" s="801">
        <v>0</v>
      </c>
    </row>
    <row r="233" spans="1:12" ht="12.75">
      <c r="B233" s="821" t="str">
        <f>+B230</f>
        <v>Belanja Bagi Hasil Pajak Daerah Kepada Pemerintahan Desa</v>
      </c>
      <c r="C233" s="821"/>
      <c r="D233" s="821">
        <v>0</v>
      </c>
      <c r="E233" s="821"/>
    </row>
    <row r="235" spans="1:12" ht="12.75">
      <c r="A235" s="805" t="s">
        <v>4863</v>
      </c>
      <c r="B235" s="806" t="s">
        <v>4864</v>
      </c>
      <c r="C235" s="806"/>
      <c r="D235" s="808">
        <v>0</v>
      </c>
      <c r="E235" s="808"/>
    </row>
    <row r="236" spans="1:12" ht="12.75">
      <c r="B236" s="827" t="s">
        <v>4862</v>
      </c>
      <c r="C236" s="827"/>
      <c r="D236" s="827">
        <v>0</v>
      </c>
      <c r="E236" s="827"/>
      <c r="F236" s="827">
        <v>0</v>
      </c>
      <c r="G236" s="827"/>
      <c r="H236" s="827">
        <v>0</v>
      </c>
      <c r="I236" s="827"/>
      <c r="J236" s="827">
        <v>0</v>
      </c>
      <c r="K236" s="827"/>
      <c r="L236" s="827">
        <v>0</v>
      </c>
    </row>
    <row r="237" spans="1:12" ht="12.75">
      <c r="B237" s="821" t="str">
        <f>+B235</f>
        <v>Belanja Bagi Hasil Retribusi Daerah Kepada Pemerintahan Desa</v>
      </c>
      <c r="C237" s="821"/>
      <c r="D237" s="821">
        <v>0</v>
      </c>
      <c r="E237" s="821"/>
    </row>
    <row r="241" spans="1:13" s="847" customFormat="1" ht="12.75">
      <c r="A241" s="844" t="s">
        <v>4865</v>
      </c>
      <c r="B241" s="845" t="s">
        <v>4866</v>
      </c>
      <c r="C241" s="845"/>
      <c r="D241" s="846">
        <f t="shared" ref="D241:L241" si="21">D246+D252+D256</f>
        <v>41605119000</v>
      </c>
      <c r="E241" s="846">
        <f t="shared" si="21"/>
        <v>0</v>
      </c>
      <c r="F241" s="846">
        <f t="shared" si="21"/>
        <v>40380119000</v>
      </c>
      <c r="G241" s="846">
        <f t="shared" si="21"/>
        <v>0</v>
      </c>
      <c r="H241" s="846">
        <f t="shared" si="21"/>
        <v>40380119000</v>
      </c>
      <c r="I241" s="846">
        <f t="shared" si="21"/>
        <v>0</v>
      </c>
      <c r="J241" s="846">
        <f t="shared" si="21"/>
        <v>40380119000</v>
      </c>
      <c r="K241" s="846">
        <f t="shared" si="21"/>
        <v>0</v>
      </c>
      <c r="L241" s="846">
        <f t="shared" si="21"/>
        <v>40380119000</v>
      </c>
    </row>
    <row r="243" spans="1:13" ht="12.75">
      <c r="A243" s="805" t="s">
        <v>4867</v>
      </c>
      <c r="B243" s="806" t="s">
        <v>4868</v>
      </c>
      <c r="C243" s="806"/>
      <c r="D243" s="808"/>
      <c r="E243" s="808"/>
    </row>
    <row r="245" spans="1:13">
      <c r="A245" s="805" t="s">
        <v>4869</v>
      </c>
      <c r="B245" s="806" t="s">
        <v>4870</v>
      </c>
      <c r="C245" s="806"/>
      <c r="D245" s="804">
        <f>D246+D252</f>
        <v>40697512000</v>
      </c>
      <c r="E245" s="804">
        <f t="shared" ref="E245:L245" si="22">E246+E252</f>
        <v>0</v>
      </c>
      <c r="F245" s="804">
        <f t="shared" si="22"/>
        <v>39472512000</v>
      </c>
      <c r="G245" s="804">
        <f t="shared" si="22"/>
        <v>0</v>
      </c>
      <c r="H245" s="804">
        <f t="shared" si="22"/>
        <v>39472512000</v>
      </c>
      <c r="I245" s="804">
        <f t="shared" si="22"/>
        <v>0</v>
      </c>
      <c r="J245" s="804">
        <f t="shared" si="22"/>
        <v>39472512000</v>
      </c>
      <c r="K245" s="804">
        <f t="shared" si="22"/>
        <v>0</v>
      </c>
      <c r="L245" s="804">
        <f t="shared" si="22"/>
        <v>39472512000</v>
      </c>
    </row>
    <row r="246" spans="1:13">
      <c r="B246" s="809" t="s">
        <v>4862</v>
      </c>
      <c r="C246" s="809"/>
      <c r="D246" s="816">
        <f>SUM(D247:D250)</f>
        <v>25822512000</v>
      </c>
      <c r="E246" s="816"/>
      <c r="F246" s="816">
        <f>SUM(F247:F250)</f>
        <v>24597512000</v>
      </c>
      <c r="G246" s="816"/>
      <c r="H246" s="816">
        <f>SUM(H247:H250)</f>
        <v>24597512000</v>
      </c>
      <c r="I246" s="816"/>
      <c r="J246" s="816">
        <f>SUM(J247:J250)</f>
        <v>24597512000</v>
      </c>
      <c r="K246" s="816"/>
      <c r="L246" s="816">
        <f>SUM(L247:L250)</f>
        <v>24597512000</v>
      </c>
      <c r="M246" s="804"/>
    </row>
    <row r="247" spans="1:13">
      <c r="B247" s="806" t="s">
        <v>4871</v>
      </c>
      <c r="C247" s="806"/>
      <c r="D247" s="808">
        <v>100000000</v>
      </c>
      <c r="E247" s="808"/>
      <c r="F247" s="808">
        <v>100000000</v>
      </c>
      <c r="G247" s="808"/>
      <c r="H247" s="808">
        <v>100000000</v>
      </c>
      <c r="I247" s="808"/>
      <c r="J247" s="808">
        <v>100000000</v>
      </c>
      <c r="K247" s="808"/>
      <c r="L247" s="808">
        <v>100000000</v>
      </c>
      <c r="M247" s="804"/>
    </row>
    <row r="248" spans="1:13">
      <c r="B248" s="806" t="s">
        <v>4872</v>
      </c>
      <c r="C248" s="806"/>
      <c r="D248" s="808">
        <v>24497512000</v>
      </c>
      <c r="E248" s="808"/>
      <c r="F248" s="808">
        <v>24497512000</v>
      </c>
      <c r="G248" s="808"/>
      <c r="H248" s="808">
        <v>24497512000</v>
      </c>
      <c r="I248" s="808"/>
      <c r="J248" s="808">
        <v>24497512000</v>
      </c>
      <c r="K248" s="808"/>
      <c r="L248" s="808">
        <v>24497512000</v>
      </c>
      <c r="M248" s="804"/>
    </row>
    <row r="249" spans="1:13" ht="12.75">
      <c r="B249" s="806" t="s">
        <v>4873</v>
      </c>
      <c r="C249" s="806"/>
      <c r="D249" s="808">
        <v>525000000</v>
      </c>
      <c r="E249" s="808"/>
      <c r="F249" s="808">
        <v>0</v>
      </c>
      <c r="G249" s="808"/>
      <c r="H249" s="808">
        <v>0</v>
      </c>
      <c r="I249" s="808"/>
      <c r="J249" s="808">
        <v>0</v>
      </c>
      <c r="K249" s="808"/>
      <c r="L249" s="808">
        <v>0</v>
      </c>
    </row>
    <row r="250" spans="1:13" ht="12.75">
      <c r="B250" s="806" t="s">
        <v>4874</v>
      </c>
      <c r="C250" s="806"/>
      <c r="D250" s="808">
        <v>700000000</v>
      </c>
      <c r="E250" s="808"/>
      <c r="F250" s="808">
        <v>0</v>
      </c>
      <c r="G250" s="808"/>
      <c r="H250" s="808">
        <v>0</v>
      </c>
      <c r="I250" s="808"/>
      <c r="J250" s="808">
        <v>0</v>
      </c>
      <c r="K250" s="808"/>
      <c r="L250" s="808">
        <v>0</v>
      </c>
    </row>
    <row r="252" spans="1:13" ht="12.75">
      <c r="B252" s="809" t="s">
        <v>873</v>
      </c>
      <c r="C252" s="809"/>
      <c r="D252" s="816">
        <f>+D253</f>
        <v>14875000000</v>
      </c>
      <c r="E252" s="816"/>
      <c r="F252" s="816">
        <f>+D252</f>
        <v>14875000000</v>
      </c>
      <c r="G252" s="816"/>
      <c r="H252" s="816">
        <f>+F252</f>
        <v>14875000000</v>
      </c>
      <c r="I252" s="816"/>
      <c r="J252" s="816">
        <f>+H252</f>
        <v>14875000000</v>
      </c>
      <c r="K252" s="816"/>
      <c r="L252" s="816">
        <f>+J252</f>
        <v>14875000000</v>
      </c>
    </row>
    <row r="253" spans="1:13" ht="12.75">
      <c r="B253" s="806" t="s">
        <v>4875</v>
      </c>
      <c r="C253" s="806"/>
      <c r="D253" s="808">
        <v>14875000000</v>
      </c>
      <c r="E253" s="808"/>
    </row>
    <row r="255" spans="1:13" ht="12.75">
      <c r="A255" s="805" t="s">
        <v>4876</v>
      </c>
      <c r="B255" s="806" t="s">
        <v>4877</v>
      </c>
      <c r="C255" s="806"/>
      <c r="D255" s="808">
        <f>D256</f>
        <v>907607000</v>
      </c>
      <c r="E255" s="808">
        <f t="shared" ref="E255:L255" si="23">E256</f>
        <v>0</v>
      </c>
      <c r="F255" s="808">
        <f t="shared" si="23"/>
        <v>907607000</v>
      </c>
      <c r="G255" s="808">
        <f t="shared" si="23"/>
        <v>0</v>
      </c>
      <c r="H255" s="808">
        <f t="shared" si="23"/>
        <v>907607000</v>
      </c>
      <c r="I255" s="808">
        <f t="shared" si="23"/>
        <v>0</v>
      </c>
      <c r="J255" s="808">
        <f t="shared" si="23"/>
        <v>907607000</v>
      </c>
      <c r="K255" s="808">
        <f t="shared" si="23"/>
        <v>0</v>
      </c>
      <c r="L255" s="808">
        <f t="shared" si="23"/>
        <v>907607000</v>
      </c>
    </row>
    <row r="256" spans="1:13" ht="12.75">
      <c r="B256" s="809" t="s">
        <v>4737</v>
      </c>
      <c r="C256" s="809"/>
      <c r="D256" s="816">
        <f>+D257</f>
        <v>907607000</v>
      </c>
      <c r="E256" s="816"/>
      <c r="F256" s="816">
        <f>+D256</f>
        <v>907607000</v>
      </c>
      <c r="G256" s="816"/>
      <c r="H256" s="816">
        <f>+F256</f>
        <v>907607000</v>
      </c>
      <c r="I256" s="816"/>
      <c r="J256" s="816">
        <f>+H256</f>
        <v>907607000</v>
      </c>
      <c r="K256" s="816"/>
      <c r="L256" s="816">
        <f>+J256</f>
        <v>907607000</v>
      </c>
    </row>
    <row r="257" spans="1:12" ht="12.75">
      <c r="B257" s="806" t="str">
        <f>+B255</f>
        <v>Belanja Bantuan Keuangan Kepada Partai Politik</v>
      </c>
      <c r="C257" s="806"/>
      <c r="D257" s="808">
        <v>907607000</v>
      </c>
      <c r="E257" s="808"/>
    </row>
    <row r="259" spans="1:12" ht="12.75">
      <c r="A259" s="805" t="s">
        <v>4878</v>
      </c>
      <c r="B259" s="806" t="s">
        <v>4879</v>
      </c>
      <c r="C259" s="806"/>
      <c r="D259" s="807">
        <v>500000000</v>
      </c>
      <c r="E259" s="807"/>
      <c r="F259" s="807">
        <v>500000000</v>
      </c>
      <c r="G259" s="807"/>
      <c r="H259" s="807">
        <v>500000000</v>
      </c>
      <c r="I259" s="807"/>
      <c r="J259" s="807">
        <v>1000000000</v>
      </c>
      <c r="K259" s="807"/>
      <c r="L259" s="807">
        <v>1500000000</v>
      </c>
    </row>
    <row r="261" spans="1:12" ht="12.75">
      <c r="A261" s="805" t="s">
        <v>4880</v>
      </c>
      <c r="B261" s="806" t="s">
        <v>4881</v>
      </c>
      <c r="C261" s="806"/>
      <c r="D261" s="808">
        <v>500000000</v>
      </c>
      <c r="E261" s="808"/>
      <c r="F261" s="808">
        <v>500000000</v>
      </c>
      <c r="G261" s="808"/>
      <c r="H261" s="808">
        <v>500000000</v>
      </c>
      <c r="I261" s="808"/>
      <c r="J261" s="808">
        <f>+J262</f>
        <v>1000000000</v>
      </c>
      <c r="K261" s="808"/>
      <c r="L261" s="808">
        <f>+L262</f>
        <v>1500000000</v>
      </c>
    </row>
    <row r="262" spans="1:12" ht="12.75">
      <c r="B262" s="809" t="s">
        <v>1647</v>
      </c>
      <c r="C262" s="809"/>
      <c r="D262" s="816">
        <f>+D263</f>
        <v>500000000</v>
      </c>
      <c r="E262" s="816"/>
      <c r="F262" s="816">
        <f>+F263</f>
        <v>500000000</v>
      </c>
      <c r="G262" s="816"/>
      <c r="H262" s="816">
        <f>+H263</f>
        <v>500000000</v>
      </c>
      <c r="I262" s="816"/>
      <c r="J262" s="816">
        <f>+J263</f>
        <v>1000000000</v>
      </c>
      <c r="K262" s="816"/>
      <c r="L262" s="816">
        <f>+L263</f>
        <v>1500000000</v>
      </c>
    </row>
    <row r="263" spans="1:12" ht="12.75">
      <c r="B263" s="806" t="str">
        <f>+B261</f>
        <v>Belanja Tidak Terduga</v>
      </c>
      <c r="C263" s="806"/>
      <c r="D263" s="808">
        <v>500000000</v>
      </c>
      <c r="E263" s="808"/>
      <c r="F263" s="808">
        <v>500000000</v>
      </c>
      <c r="G263" s="808"/>
      <c r="H263" s="808">
        <v>500000000</v>
      </c>
      <c r="I263" s="808"/>
      <c r="J263" s="808">
        <v>1000000000</v>
      </c>
      <c r="K263" s="808"/>
      <c r="L263" s="808">
        <v>1500000000</v>
      </c>
    </row>
    <row r="265" spans="1:12">
      <c r="D265" s="804" t="e">
        <f>+D12+D165+D228+#REF!+D259</f>
        <v>#REF!</v>
      </c>
      <c r="F265" s="804" t="e">
        <f>+F12+F165+F228+#REF!+F259</f>
        <v>#REF!</v>
      </c>
      <c r="G265" s="804"/>
      <c r="H265" s="804" t="e">
        <f>+H12+H165+H228+#REF!+H259</f>
        <v>#REF!</v>
      </c>
      <c r="I265" s="804"/>
      <c r="J265" s="804" t="e">
        <f>+J12+J165+J228+#REF!+J259</f>
        <v>#REF!</v>
      </c>
      <c r="K265" s="804"/>
      <c r="L265" s="804" t="e">
        <f>+L12+L165+L228+#REF!+L259</f>
        <v>#REF!</v>
      </c>
    </row>
    <row r="267" spans="1:12">
      <c r="B267" s="801" t="s">
        <v>4882</v>
      </c>
      <c r="D267" s="804">
        <v>121238639000</v>
      </c>
      <c r="F267" s="804">
        <v>131488639000</v>
      </c>
      <c r="G267" s="804"/>
      <c r="H267" s="804">
        <v>131488639000</v>
      </c>
      <c r="I267" s="804"/>
      <c r="J267" s="804">
        <v>135738639000</v>
      </c>
      <c r="K267" s="804"/>
      <c r="L267" s="804">
        <v>158238639000</v>
      </c>
    </row>
    <row r="271" spans="1:12" ht="12.75">
      <c r="D271" s="838" t="e">
        <f>+D267-D265</f>
        <v>#REF!</v>
      </c>
      <c r="E271" s="838"/>
      <c r="F271" s="838" t="e">
        <f>+F267-F265</f>
        <v>#REF!</v>
      </c>
      <c r="G271" s="838"/>
      <c r="H271" s="838" t="e">
        <f>+H267-H265</f>
        <v>#REF!</v>
      </c>
      <c r="I271" s="838"/>
      <c r="J271" s="838" t="e">
        <f>+J267-J265</f>
        <v>#REF!</v>
      </c>
      <c r="K271" s="838"/>
      <c r="L271" s="838" t="e">
        <f>+L267-L265</f>
        <v>#REF!</v>
      </c>
    </row>
  </sheetData>
  <pageMargins left="0.79166666666666663" right="0.24791666666666667" top="0.39374999999999999" bottom="0.78749999999999998" header="1.1126239316638543E-308" footer="0.78749999999999998"/>
  <pageSetup paperSize="9" orientation="portrait" errors="NA"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sheetPr>
    <tabColor rgb="FFFFFF00"/>
  </sheetPr>
  <dimension ref="A1:L332"/>
  <sheetViews>
    <sheetView zoomScale="140" zoomScaleNormal="140" workbookViewId="0">
      <selection activeCell="B7" sqref="B7"/>
    </sheetView>
  </sheetViews>
  <sheetFormatPr defaultColWidth="11.42578125" defaultRowHeight="15"/>
  <cols>
    <col min="1" max="1" width="11.42578125" style="836"/>
    <col min="2" max="2" width="61.5703125" style="836" customWidth="1"/>
    <col min="3" max="3" width="7.7109375" style="836" customWidth="1"/>
    <col min="4" max="4" width="18.140625" style="842" customWidth="1"/>
    <col min="5" max="5" width="5.5703125" style="842" customWidth="1"/>
    <col min="6" max="6" width="18.7109375" style="836" customWidth="1"/>
    <col min="7" max="7" width="6.42578125" style="836" customWidth="1"/>
    <col min="8" max="8" width="18.7109375" style="836" customWidth="1"/>
    <col min="9" max="9" width="7.140625" style="836" customWidth="1"/>
    <col min="10" max="10" width="18.7109375" style="836" customWidth="1"/>
    <col min="11" max="11" width="6.5703125" style="836" customWidth="1"/>
    <col min="12" max="12" width="18.7109375" style="836" customWidth="1"/>
    <col min="13" max="13" width="13.140625" style="836" customWidth="1"/>
    <col min="14" max="14" width="15.5703125" style="836" bestFit="1" customWidth="1"/>
    <col min="15" max="15" width="11.7109375" style="836" bestFit="1" customWidth="1"/>
    <col min="16" max="16" width="14" style="836" bestFit="1" customWidth="1"/>
    <col min="17" max="16384" width="11.42578125" style="836"/>
  </cols>
  <sheetData>
    <row r="1" spans="1:12">
      <c r="D1" s="842">
        <v>14</v>
      </c>
      <c r="F1" s="836">
        <v>15</v>
      </c>
      <c r="H1" s="836">
        <v>16</v>
      </c>
      <c r="J1" s="836">
        <v>17</v>
      </c>
      <c r="L1" s="836">
        <v>18</v>
      </c>
    </row>
    <row r="2" spans="1:12">
      <c r="D2" s="842">
        <f>'jangan dihapus 3'!D12</f>
        <v>59294840000</v>
      </c>
      <c r="E2" s="842">
        <f>'jangan dihapus 3'!E12</f>
        <v>0</v>
      </c>
      <c r="F2" s="842">
        <f>'jangan dihapus 3'!F12</f>
        <v>64879340000</v>
      </c>
      <c r="G2" s="842">
        <f>'jangan dihapus 3'!G12</f>
        <v>0</v>
      </c>
      <c r="H2" s="842">
        <f>'jangan dihapus 3'!H12</f>
        <v>65628590000</v>
      </c>
      <c r="I2" s="842">
        <f>'jangan dihapus 3'!I12</f>
        <v>0</v>
      </c>
      <c r="J2" s="842">
        <f>'jangan dihapus 3'!J12</f>
        <v>68457340000</v>
      </c>
      <c r="K2" s="842">
        <f>'jangan dihapus 3'!K12</f>
        <v>0</v>
      </c>
      <c r="L2" s="842">
        <f>'jangan dihapus 3'!L12</f>
        <v>90007340000</v>
      </c>
    </row>
    <row r="3" spans="1:12" s="843" customFormat="1" ht="12.75">
      <c r="A3" s="843">
        <v>1</v>
      </c>
      <c r="B3" s="843" t="str">
        <f>'jangan dihapus 3'!B12</f>
        <v>BELANJA HIBAH</v>
      </c>
      <c r="D3" s="843">
        <f>SUM(D4:D19)</f>
        <v>59294840000</v>
      </c>
      <c r="E3" s="843">
        <f t="shared" ref="E3:L3" si="0">SUM(E4:E19)</f>
        <v>0</v>
      </c>
      <c r="F3" s="843">
        <f t="shared" si="0"/>
        <v>64879340000</v>
      </c>
      <c r="G3" s="843">
        <f t="shared" si="0"/>
        <v>0</v>
      </c>
      <c r="H3" s="843">
        <f t="shared" si="0"/>
        <v>65628590000</v>
      </c>
      <c r="I3" s="843">
        <f t="shared" si="0"/>
        <v>0</v>
      </c>
      <c r="J3" s="843">
        <f t="shared" si="0"/>
        <v>68457340000</v>
      </c>
      <c r="K3" s="843">
        <f t="shared" si="0"/>
        <v>0</v>
      </c>
      <c r="L3" s="843">
        <f t="shared" si="0"/>
        <v>90007340000</v>
      </c>
    </row>
    <row r="4" spans="1:12" ht="12.75">
      <c r="B4" s="836" t="str">
        <f>'jangan dihapus 3'!B14</f>
        <v>Belanja Hibah Urusan Pendidikan</v>
      </c>
      <c r="C4" s="836">
        <f>'jangan dihapus 3'!C14</f>
        <v>0</v>
      </c>
      <c r="D4" s="836">
        <f>'jangan dihapus 3'!D16</f>
        <v>3030000000</v>
      </c>
      <c r="E4" s="836">
        <f>'jangan dihapus 3'!E16</f>
        <v>0</v>
      </c>
      <c r="F4" s="836">
        <f>'jangan dihapus 3'!F16</f>
        <v>4030000000</v>
      </c>
      <c r="G4" s="836">
        <f>'jangan dihapus 3'!G16</f>
        <v>0</v>
      </c>
      <c r="H4" s="836">
        <f>'jangan dihapus 3'!H16</f>
        <v>4030000000</v>
      </c>
      <c r="I4" s="836">
        <f>'jangan dihapus 3'!I16</f>
        <v>0</v>
      </c>
      <c r="J4" s="836">
        <f>'jangan dihapus 3'!J16</f>
        <v>4030000000</v>
      </c>
      <c r="K4" s="836">
        <f>'jangan dihapus 3'!K16</f>
        <v>0</v>
      </c>
      <c r="L4" s="836">
        <f>'jangan dihapus 3'!L16</f>
        <v>4030000000</v>
      </c>
    </row>
    <row r="5" spans="1:12" ht="12.75">
      <c r="B5" s="836" t="str">
        <f>'jangan dihapus 3'!B18</f>
        <v>Belanja Hibah Urusan Kesehatan</v>
      </c>
      <c r="C5" s="836">
        <f>'jangan dihapus 3'!C20</f>
        <v>0</v>
      </c>
      <c r="D5" s="836">
        <f>'jangan dihapus 3'!D20</f>
        <v>600000000</v>
      </c>
      <c r="E5" s="836">
        <f>'jangan dihapus 3'!E20</f>
        <v>0</v>
      </c>
      <c r="F5" s="836">
        <f>'jangan dihapus 3'!F20</f>
        <v>600000000</v>
      </c>
      <c r="G5" s="836">
        <f>'jangan dihapus 3'!G20</f>
        <v>0</v>
      </c>
      <c r="H5" s="836">
        <f>'jangan dihapus 3'!H20</f>
        <v>600000000</v>
      </c>
      <c r="I5" s="836">
        <f>'jangan dihapus 3'!I20</f>
        <v>0</v>
      </c>
      <c r="J5" s="836">
        <f>'jangan dihapus 3'!J20</f>
        <v>600000000</v>
      </c>
      <c r="K5" s="836">
        <f>'jangan dihapus 3'!K20</f>
        <v>0</v>
      </c>
      <c r="L5" s="836">
        <f>'jangan dihapus 3'!L20</f>
        <v>600000000</v>
      </c>
    </row>
    <row r="6" spans="1:12" ht="12.75">
      <c r="B6" s="836" t="str">
        <f>'jangan dihapus 3'!B22</f>
        <v>Belanja Hibah Urusan Pekerjaan Umum</v>
      </c>
      <c r="C6" s="836">
        <f>'jangan dihapus 3'!C22</f>
        <v>0</v>
      </c>
      <c r="D6" s="836">
        <f>'jangan dihapus 3'!D24</f>
        <v>32494760000</v>
      </c>
      <c r="E6" s="836">
        <f>'jangan dihapus 3'!E24</f>
        <v>0</v>
      </c>
      <c r="F6" s="836">
        <f>'jangan dihapus 3'!F24</f>
        <v>35656260000</v>
      </c>
      <c r="G6" s="836">
        <f>'jangan dihapus 3'!G24</f>
        <v>0</v>
      </c>
      <c r="H6" s="836">
        <f>'jangan dihapus 3'!H24</f>
        <v>35656260000</v>
      </c>
      <c r="I6" s="836">
        <f>'jangan dihapus 3'!I24</f>
        <v>0</v>
      </c>
      <c r="J6" s="836">
        <f>'jangan dihapus 3'!J24</f>
        <v>36656260000</v>
      </c>
      <c r="K6" s="836">
        <f>'jangan dihapus 3'!K24</f>
        <v>0</v>
      </c>
      <c r="L6" s="836">
        <f>'jangan dihapus 3'!L24</f>
        <v>37656260000</v>
      </c>
    </row>
    <row r="7" spans="1:12" ht="12.75">
      <c r="B7" s="836" t="str">
        <f>'jangan dihapus 3'!B32</f>
        <v>Belanja Hibah Urusan Pemberdayaan Perempuan dan Perlindungan Anak</v>
      </c>
      <c r="C7" s="836">
        <f>'jangan dihapus 3'!C32</f>
        <v>0</v>
      </c>
      <c r="D7" s="836">
        <f>'jangan dihapus 3'!D34</f>
        <v>475000000</v>
      </c>
      <c r="E7" s="836">
        <f>'jangan dihapus 3'!E34</f>
        <v>0</v>
      </c>
      <c r="F7" s="836">
        <f>'jangan dihapus 3'!F34</f>
        <v>475000000</v>
      </c>
      <c r="G7" s="836">
        <f>'jangan dihapus 3'!G34</f>
        <v>0</v>
      </c>
      <c r="H7" s="836">
        <f>'jangan dihapus 3'!H34</f>
        <v>475000000</v>
      </c>
      <c r="I7" s="836">
        <f>'jangan dihapus 3'!I34</f>
        <v>0</v>
      </c>
      <c r="J7" s="836">
        <f>'jangan dihapus 3'!J34</f>
        <v>475000000</v>
      </c>
      <c r="K7" s="836">
        <f>'jangan dihapus 3'!K34</f>
        <v>0</v>
      </c>
      <c r="L7" s="836">
        <f>'jangan dihapus 3'!L34</f>
        <v>475000000</v>
      </c>
    </row>
    <row r="8" spans="1:12" ht="12.75">
      <c r="B8" s="836" t="str">
        <f>'jangan dihapus 3'!B36</f>
        <v>Belanja Hibah Urusan Sosial</v>
      </c>
      <c r="C8" s="836">
        <f>'jangan dihapus 3'!C36</f>
        <v>0</v>
      </c>
      <c r="D8" s="836">
        <f>'jangan dihapus 3'!D38</f>
        <v>305000000</v>
      </c>
      <c r="E8" s="836">
        <f>'jangan dihapus 3'!E38</f>
        <v>0</v>
      </c>
      <c r="F8" s="836">
        <f>'jangan dihapus 3'!F38</f>
        <v>305000000</v>
      </c>
      <c r="G8" s="836">
        <f>'jangan dihapus 3'!G38</f>
        <v>0</v>
      </c>
      <c r="H8" s="836">
        <f>'jangan dihapus 3'!H38</f>
        <v>305000000</v>
      </c>
      <c r="I8" s="836">
        <f>'jangan dihapus 3'!I38</f>
        <v>0</v>
      </c>
      <c r="J8" s="836">
        <f>'jangan dihapus 3'!J38</f>
        <v>305000000</v>
      </c>
      <c r="K8" s="836">
        <f>'jangan dihapus 3'!K38</f>
        <v>0</v>
      </c>
      <c r="L8" s="836">
        <f>'jangan dihapus 3'!L38</f>
        <v>305000000</v>
      </c>
    </row>
    <row r="9" spans="1:12" ht="12.75">
      <c r="B9" s="836" t="str">
        <f>'jangan dihapus 3'!B43</f>
        <v>Belanja Hibah Urusan Ketenagakerjaan</v>
      </c>
      <c r="C9" s="836">
        <f>'jangan dihapus 3'!C43</f>
        <v>0</v>
      </c>
      <c r="D9" s="836">
        <f>'jangan dihapus 3'!D45</f>
        <v>360000000</v>
      </c>
      <c r="E9" s="836">
        <f>'jangan dihapus 3'!E45</f>
        <v>0</v>
      </c>
      <c r="F9" s="836">
        <f>'jangan dihapus 3'!F45</f>
        <v>360000000</v>
      </c>
      <c r="G9" s="836">
        <f>'jangan dihapus 3'!G45</f>
        <v>0</v>
      </c>
      <c r="H9" s="836">
        <f>'jangan dihapus 3'!H45</f>
        <v>360000000</v>
      </c>
      <c r="I9" s="836">
        <f>'jangan dihapus 3'!I45</f>
        <v>0</v>
      </c>
      <c r="J9" s="836">
        <f>'jangan dihapus 3'!J45</f>
        <v>360000000</v>
      </c>
      <c r="K9" s="836">
        <f>'jangan dihapus 3'!K45</f>
        <v>0</v>
      </c>
      <c r="L9" s="836">
        <f>'jangan dihapus 3'!L45</f>
        <v>360000000</v>
      </c>
    </row>
    <row r="10" spans="1:12" ht="12.75">
      <c r="B10" s="836" t="str">
        <f>'jangan dihapus 3'!B50</f>
        <v>Belanja Hibah Urusan Koperasi dan Usaha Menengah</v>
      </c>
      <c r="C10" s="836">
        <f>'jangan dihapus 3'!C50</f>
        <v>0</v>
      </c>
      <c r="D10" s="836">
        <f>'jangan dihapus 3'!D52</f>
        <v>45000000</v>
      </c>
      <c r="E10" s="836">
        <f>'jangan dihapus 3'!E52</f>
        <v>0</v>
      </c>
      <c r="F10" s="836">
        <f>'jangan dihapus 3'!F52</f>
        <v>100000000</v>
      </c>
      <c r="G10" s="836">
        <f>'jangan dihapus 3'!G52</f>
        <v>0</v>
      </c>
      <c r="H10" s="836">
        <f>'jangan dihapus 3'!H52</f>
        <v>125000000</v>
      </c>
      <c r="I10" s="836">
        <f>'jangan dihapus 3'!I52</f>
        <v>0</v>
      </c>
      <c r="J10" s="836">
        <f>'jangan dihapus 3'!J52</f>
        <v>150000000</v>
      </c>
      <c r="K10" s="836">
        <f>'jangan dihapus 3'!K52</f>
        <v>0</v>
      </c>
      <c r="L10" s="836">
        <f>'jangan dihapus 3'!L52</f>
        <v>200000000</v>
      </c>
    </row>
    <row r="11" spans="1:12" ht="12.75">
      <c r="B11" s="836" t="str">
        <f>'jangan dihapus 3'!B56</f>
        <v>Belanja Hibah Urusan Kebudayaan</v>
      </c>
      <c r="C11" s="836">
        <f>'jangan dihapus 3'!C56</f>
        <v>0</v>
      </c>
      <c r="D11" s="836">
        <f>'jangan dihapus 3'!D57</f>
        <v>350000000</v>
      </c>
      <c r="E11" s="836">
        <f>'jangan dihapus 3'!E57</f>
        <v>0</v>
      </c>
      <c r="F11" s="836">
        <f>'jangan dihapus 3'!F57</f>
        <v>1000000000</v>
      </c>
      <c r="G11" s="836">
        <f>'jangan dihapus 3'!G57</f>
        <v>0</v>
      </c>
      <c r="H11" s="836">
        <f>'jangan dihapus 3'!H57</f>
        <v>1250000000</v>
      </c>
      <c r="I11" s="836">
        <f>'jangan dihapus 3'!I57</f>
        <v>0</v>
      </c>
      <c r="J11" s="836">
        <f>'jangan dihapus 3'!J57</f>
        <v>1250000000</v>
      </c>
      <c r="K11" s="836">
        <f>'jangan dihapus 3'!K57</f>
        <v>0</v>
      </c>
      <c r="L11" s="836">
        <f>'jangan dihapus 3'!L57</f>
        <v>1500000000</v>
      </c>
    </row>
    <row r="12" spans="1:12" ht="12.75">
      <c r="B12" s="836" t="str">
        <f>'jangan dihapus 3'!B64</f>
        <v>Belanja Hibah Urusan Kepemudaan dan Olah Raga</v>
      </c>
      <c r="C12" s="836">
        <f>'jangan dihapus 3'!C64</f>
        <v>0</v>
      </c>
      <c r="D12" s="836">
        <f>'jangan dihapus 3'!D66</f>
        <v>4350000000</v>
      </c>
      <c r="E12" s="836">
        <f>'jangan dihapus 3'!E66</f>
        <v>0</v>
      </c>
      <c r="F12" s="836">
        <f>'jangan dihapus 3'!F66</f>
        <v>4350000000</v>
      </c>
      <c r="G12" s="836">
        <f>'jangan dihapus 3'!G66</f>
        <v>0</v>
      </c>
      <c r="H12" s="836">
        <f>'jangan dihapus 3'!H66</f>
        <v>4350000000</v>
      </c>
      <c r="I12" s="836">
        <f>'jangan dihapus 3'!I66</f>
        <v>0</v>
      </c>
      <c r="J12" s="836">
        <f>'jangan dihapus 3'!J66</f>
        <v>4350000000</v>
      </c>
      <c r="K12" s="836">
        <f>'jangan dihapus 3'!K66</f>
        <v>0</v>
      </c>
      <c r="L12" s="836">
        <f>'jangan dihapus 3'!L66</f>
        <v>4350000000</v>
      </c>
    </row>
    <row r="13" spans="1:12" ht="12.75">
      <c r="B13" s="836" t="str">
        <f>'jangan dihapus 3'!B70</f>
        <v>Belanja Hibah Urusan Kesatuan Bangsa dan Politik Dalam Negeri</v>
      </c>
      <c r="C13" s="836">
        <f>'jangan dihapus 3'!C70</f>
        <v>0</v>
      </c>
      <c r="D13" s="836">
        <f>'jangan dihapus 3'!D70</f>
        <v>1375000000</v>
      </c>
      <c r="E13" s="836">
        <f>'jangan dihapus 3'!E70</f>
        <v>0</v>
      </c>
      <c r="F13" s="836">
        <f>'jangan dihapus 3'!F70</f>
        <v>25000000</v>
      </c>
      <c r="G13" s="836">
        <f>'jangan dihapus 3'!G70</f>
        <v>0</v>
      </c>
      <c r="H13" s="836">
        <f>'jangan dihapus 3'!H70</f>
        <v>25000000</v>
      </c>
      <c r="I13" s="836">
        <f>'jangan dihapus 3'!I70</f>
        <v>0</v>
      </c>
      <c r="J13" s="836">
        <f>'jangan dihapus 3'!J70</f>
        <v>25000000</v>
      </c>
      <c r="K13" s="836">
        <f>'jangan dihapus 3'!K70</f>
        <v>0</v>
      </c>
      <c r="L13" s="836">
        <f>'jangan dihapus 3'!L70</f>
        <v>1275000000</v>
      </c>
    </row>
    <row r="14" spans="1:12" ht="12.75">
      <c r="B14" s="836" t="str">
        <f>'jangan dihapus 3'!B80</f>
        <v>Belanja Hibah Urusan Otonomi Daerah, Pemerintahan Umum, Adminstrasi Keuangan Daerah, Perangkat Daerah, Kepegawaian, dan Persandan</v>
      </c>
      <c r="C14" s="836">
        <f>'jangan dihapus 3'!C80</f>
        <v>0</v>
      </c>
      <c r="D14" s="836">
        <f>'jangan dihapus 3'!D80</f>
        <v>8286000000</v>
      </c>
      <c r="E14" s="836">
        <f>'jangan dihapus 3'!E80</f>
        <v>0</v>
      </c>
      <c r="F14" s="836">
        <f>'jangan dihapus 3'!F80</f>
        <v>9960000000</v>
      </c>
      <c r="G14" s="836">
        <f>'jangan dihapus 3'!G80</f>
        <v>0</v>
      </c>
      <c r="H14" s="836">
        <f>'jangan dihapus 3'!H80</f>
        <v>9960000000</v>
      </c>
      <c r="I14" s="836">
        <f>'jangan dihapus 3'!I80</f>
        <v>0</v>
      </c>
      <c r="J14" s="836">
        <f>'jangan dihapus 3'!J80</f>
        <v>11460000000</v>
      </c>
      <c r="K14" s="836">
        <f>'jangan dihapus 3'!K80</f>
        <v>0</v>
      </c>
      <c r="L14" s="836">
        <f>'jangan dihapus 3'!L80</f>
        <v>29960000000</v>
      </c>
    </row>
    <row r="15" spans="1:12" ht="12.75">
      <c r="B15" s="836" t="str">
        <f>'jangan dihapus 3'!B115</f>
        <v>Belanja Hibah Urusan Pemberdayaan Masyarakat dan Desa</v>
      </c>
      <c r="C15" s="836">
        <f>'jangan dihapus 3'!C115</f>
        <v>0</v>
      </c>
      <c r="D15" s="836">
        <f>'jangan dihapus 3'!D117</f>
        <v>1096000000</v>
      </c>
      <c r="E15" s="836">
        <f>'jangan dihapus 3'!E117</f>
        <v>0</v>
      </c>
      <c r="F15" s="836">
        <f>'jangan dihapus 3'!F117</f>
        <v>1096000000</v>
      </c>
      <c r="G15" s="836">
        <f>'jangan dihapus 3'!G117</f>
        <v>0</v>
      </c>
      <c r="H15" s="836">
        <f>'jangan dihapus 3'!H117</f>
        <v>1096000000</v>
      </c>
      <c r="I15" s="836">
        <f>'jangan dihapus 3'!I117</f>
        <v>0</v>
      </c>
      <c r="J15" s="836">
        <f>'jangan dihapus 3'!J117</f>
        <v>1096000000</v>
      </c>
      <c r="K15" s="836">
        <f>'jangan dihapus 3'!K117</f>
        <v>0</v>
      </c>
      <c r="L15" s="836">
        <f>'jangan dihapus 3'!L117</f>
        <v>1096000000</v>
      </c>
    </row>
    <row r="16" spans="1:12" ht="12.75">
      <c r="B16" s="836" t="str">
        <f>'jangan dihapus 3'!B129</f>
        <v>Belanja Hibah Urusan Pertanian</v>
      </c>
      <c r="C16" s="836">
        <f>'jangan dihapus 3'!C129</f>
        <v>0</v>
      </c>
      <c r="D16" s="836">
        <f>'jangan dihapus 3'!D129</f>
        <v>6288080000</v>
      </c>
      <c r="E16" s="836">
        <f>'jangan dihapus 3'!E129</f>
        <v>0</v>
      </c>
      <c r="F16" s="836">
        <f>'jangan dihapus 3'!F129</f>
        <v>6457080000</v>
      </c>
      <c r="G16" s="836">
        <f>'jangan dihapus 3'!G129</f>
        <v>0</v>
      </c>
      <c r="H16" s="836">
        <f>'jangan dihapus 3'!H129</f>
        <v>6903330000</v>
      </c>
      <c r="I16" s="836">
        <f>'jangan dihapus 3'!I129</f>
        <v>0</v>
      </c>
      <c r="J16" s="836">
        <f>'jangan dihapus 3'!J129</f>
        <v>7207080000</v>
      </c>
      <c r="K16" s="836">
        <f>'jangan dihapus 3'!K129</f>
        <v>0</v>
      </c>
      <c r="L16" s="836">
        <f>'jangan dihapus 3'!L129</f>
        <v>7707080000</v>
      </c>
    </row>
    <row r="17" spans="1:12" ht="12.75">
      <c r="B17" s="836" t="str">
        <f>'jangan dihapus 3'!B147</f>
        <v>Belanja Hibah Urusan Perdagangan</v>
      </c>
      <c r="C17" s="836">
        <f>'jangan dihapus 3'!C147</f>
        <v>0</v>
      </c>
      <c r="D17" s="836">
        <f>'jangan dihapus 3'!D148</f>
        <v>130000000</v>
      </c>
      <c r="E17" s="836">
        <f>'jangan dihapus 3'!E148</f>
        <v>0</v>
      </c>
      <c r="F17" s="836">
        <f>'jangan dihapus 3'!F148</f>
        <v>130000000</v>
      </c>
      <c r="G17" s="836">
        <f>'jangan dihapus 3'!G148</f>
        <v>0</v>
      </c>
      <c r="H17" s="836">
        <f>'jangan dihapus 3'!H148</f>
        <v>130000000</v>
      </c>
      <c r="I17" s="836">
        <f>'jangan dihapus 3'!I148</f>
        <v>0</v>
      </c>
      <c r="J17" s="836">
        <f>'jangan dihapus 3'!J148</f>
        <v>130000000</v>
      </c>
      <c r="K17" s="836">
        <f>'jangan dihapus 3'!K148</f>
        <v>0</v>
      </c>
      <c r="L17" s="836">
        <f>'jangan dihapus 3'!L148</f>
        <v>130000000</v>
      </c>
    </row>
    <row r="18" spans="1:12" ht="12.75">
      <c r="B18" s="836" t="str">
        <f>'jangan dihapus 3'!B152</f>
        <v>Belanja Hibah Urusan Perindustrian</v>
      </c>
      <c r="C18" s="836">
        <f>'jangan dihapus 3'!C152</f>
        <v>0</v>
      </c>
      <c r="D18" s="836">
        <f>'jangan dihapus 3'!D153</f>
        <v>47000000</v>
      </c>
      <c r="E18" s="836">
        <f>'jangan dihapus 3'!E153</f>
        <v>0</v>
      </c>
      <c r="F18" s="836">
        <f>'jangan dihapus 3'!F153</f>
        <v>272000000</v>
      </c>
      <c r="G18" s="836">
        <f>'jangan dihapus 3'!G153</f>
        <v>0</v>
      </c>
      <c r="H18" s="836">
        <f>'jangan dihapus 3'!H153</f>
        <v>300000000</v>
      </c>
      <c r="I18" s="836">
        <f>'jangan dihapus 3'!I153</f>
        <v>0</v>
      </c>
      <c r="J18" s="836">
        <f>'jangan dihapus 3'!J153</f>
        <v>300000000</v>
      </c>
      <c r="K18" s="836">
        <f>'jangan dihapus 3'!K153</f>
        <v>0</v>
      </c>
      <c r="L18" s="836">
        <f>'jangan dihapus 3'!L153</f>
        <v>300000000</v>
      </c>
    </row>
    <row r="19" spans="1:12" ht="12.75">
      <c r="B19" s="836" t="str">
        <f>'jangan dihapus 3'!B156</f>
        <v>Belanja Hibah Urusan Ketahanan Pangan</v>
      </c>
      <c r="C19" s="836">
        <f>'jangan dihapus 3'!C156</f>
        <v>0</v>
      </c>
      <c r="D19" s="836">
        <f>'jangan dihapus 3'!D157</f>
        <v>63000000</v>
      </c>
      <c r="E19" s="836">
        <f>'jangan dihapus 3'!E157</f>
        <v>0</v>
      </c>
      <c r="F19" s="836">
        <f>'jangan dihapus 3'!F157</f>
        <v>63000000</v>
      </c>
      <c r="G19" s="836">
        <f>'jangan dihapus 3'!G157</f>
        <v>0</v>
      </c>
      <c r="H19" s="836">
        <f>'jangan dihapus 3'!H157</f>
        <v>63000000</v>
      </c>
      <c r="I19" s="836">
        <f>'jangan dihapus 3'!I157</f>
        <v>0</v>
      </c>
      <c r="J19" s="836">
        <f>'jangan dihapus 3'!J157</f>
        <v>63000000</v>
      </c>
      <c r="K19" s="836">
        <f>'jangan dihapus 3'!K157</f>
        <v>0</v>
      </c>
      <c r="L19" s="836">
        <f>'jangan dihapus 3'!L157</f>
        <v>63000000</v>
      </c>
    </row>
    <row r="20" spans="1:12" ht="12.75">
      <c r="D20" s="836"/>
      <c r="E20" s="836"/>
    </row>
    <row r="21" spans="1:12" ht="12.75">
      <c r="C21" s="836">
        <f>'jangan dihapus 3'!C165</f>
        <v>0</v>
      </c>
      <c r="D21" s="836">
        <f>'jangan dihapus 3'!D165</f>
        <v>19838680000</v>
      </c>
      <c r="E21" s="836">
        <f>'jangan dihapus 3'!E165</f>
        <v>0</v>
      </c>
      <c r="F21" s="836">
        <f>'jangan dihapus 3'!F165</f>
        <v>25729180000</v>
      </c>
      <c r="G21" s="836">
        <f>'jangan dihapus 3'!G165</f>
        <v>0</v>
      </c>
      <c r="H21" s="836">
        <f>'jangan dihapus 3'!H165</f>
        <v>25729180000</v>
      </c>
      <c r="I21" s="836">
        <f>'jangan dihapus 3'!I165</f>
        <v>0</v>
      </c>
      <c r="J21" s="836">
        <f>'jangan dihapus 3'!J165</f>
        <v>25901180000</v>
      </c>
      <c r="K21" s="836">
        <f>'jangan dihapus 3'!K165</f>
        <v>0</v>
      </c>
      <c r="L21" s="836">
        <f>'jangan dihapus 3'!L165</f>
        <v>26351180000</v>
      </c>
    </row>
    <row r="22" spans="1:12" s="843" customFormat="1" ht="12.75">
      <c r="A22" s="843">
        <v>2</v>
      </c>
      <c r="B22" s="843" t="str">
        <f>'jangan dihapus 3'!B165</f>
        <v>BELANJA BANTUAN SOSIAL</v>
      </c>
      <c r="D22" s="843">
        <f>SUM(D23:D30)</f>
        <v>19838680000</v>
      </c>
      <c r="E22" s="843">
        <f t="shared" ref="E22:L22" si="1">SUM(E23:E30)</f>
        <v>0</v>
      </c>
      <c r="F22" s="843">
        <f t="shared" si="1"/>
        <v>25729180000</v>
      </c>
      <c r="G22" s="843">
        <f t="shared" si="1"/>
        <v>0</v>
      </c>
      <c r="H22" s="843">
        <f t="shared" si="1"/>
        <v>25729180000</v>
      </c>
      <c r="I22" s="843">
        <f t="shared" si="1"/>
        <v>0</v>
      </c>
      <c r="J22" s="843">
        <f t="shared" si="1"/>
        <v>25901180000</v>
      </c>
      <c r="K22" s="843">
        <f t="shared" si="1"/>
        <v>0</v>
      </c>
      <c r="L22" s="843">
        <f t="shared" si="1"/>
        <v>26351180000</v>
      </c>
    </row>
    <row r="23" spans="1:12" ht="12.75">
      <c r="B23" s="836" t="str">
        <f>'jangan dihapus 3'!B169</f>
        <v>Belanja Bantuan Sosial Bencana</v>
      </c>
      <c r="C23" s="836">
        <f>'jangan dihapus 3'!C169</f>
        <v>0</v>
      </c>
      <c r="D23" s="836">
        <f>'jangan dihapus 3'!D171</f>
        <v>750000000</v>
      </c>
      <c r="E23" s="836">
        <f>'jangan dihapus 3'!E171</f>
        <v>0</v>
      </c>
      <c r="F23" s="836">
        <f>'jangan dihapus 3'!F171</f>
        <v>750000000</v>
      </c>
      <c r="G23" s="836">
        <f>'jangan dihapus 3'!G171</f>
        <v>0</v>
      </c>
      <c r="H23" s="836">
        <f>'jangan dihapus 3'!H171</f>
        <v>750000000</v>
      </c>
      <c r="I23" s="836">
        <f>'jangan dihapus 3'!I171</f>
        <v>0</v>
      </c>
      <c r="J23" s="836">
        <f>'jangan dihapus 3'!J171</f>
        <v>1000000000</v>
      </c>
      <c r="K23" s="836">
        <f>'jangan dihapus 3'!K171</f>
        <v>0</v>
      </c>
      <c r="L23" s="836">
        <f>'jangan dihapus 3'!L171</f>
        <v>1500000000</v>
      </c>
    </row>
    <row r="24" spans="1:12" ht="12.75">
      <c r="B24" s="836" t="str">
        <f>'jangan dihapus 3'!B174</f>
        <v>Belanja Bantuan Pemberdayaan Perempuan</v>
      </c>
      <c r="C24" s="836">
        <f>'jangan dihapus 3'!C174</f>
        <v>0</v>
      </c>
      <c r="D24" s="836">
        <f>'jangan dihapus 3'!D175</f>
        <v>25000000</v>
      </c>
      <c r="E24" s="836">
        <f>'jangan dihapus 3'!E175</f>
        <v>0</v>
      </c>
      <c r="F24" s="836">
        <f>'jangan dihapus 3'!F175</f>
        <v>25000000</v>
      </c>
      <c r="G24" s="836">
        <f>'jangan dihapus 3'!G175</f>
        <v>0</v>
      </c>
      <c r="H24" s="836">
        <f>'jangan dihapus 3'!H175</f>
        <v>25000000</v>
      </c>
      <c r="I24" s="836">
        <f>'jangan dihapus 3'!I175</f>
        <v>0</v>
      </c>
      <c r="J24" s="836">
        <f>'jangan dihapus 3'!J175</f>
        <v>25000000</v>
      </c>
      <c r="K24" s="836">
        <f>'jangan dihapus 3'!K175</f>
        <v>0</v>
      </c>
      <c r="L24" s="836">
        <f>'jangan dihapus 3'!L175</f>
        <v>25000000</v>
      </c>
    </row>
    <row r="25" spans="1:12" ht="12.75">
      <c r="B25" s="836" t="str">
        <f>'jangan dihapus 3'!B178</f>
        <v>Belanja Sosial Urusan Kesehatan</v>
      </c>
      <c r="C25" s="836">
        <f>'jangan dihapus 3'!C178</f>
        <v>0</v>
      </c>
      <c r="D25" s="836">
        <f>'jangan dihapus 3'!D178</f>
        <v>5248300000</v>
      </c>
      <c r="E25" s="836">
        <f>'jangan dihapus 3'!E178</f>
        <v>0</v>
      </c>
      <c r="F25" s="836">
        <f>'jangan dihapus 3'!F178</f>
        <v>8000000000</v>
      </c>
      <c r="G25" s="836">
        <f>'jangan dihapus 3'!G178</f>
        <v>0</v>
      </c>
      <c r="H25" s="836">
        <f>'jangan dihapus 3'!H178</f>
        <v>8000000000</v>
      </c>
      <c r="I25" s="836">
        <f>'jangan dihapus 3'!I178</f>
        <v>0</v>
      </c>
      <c r="J25" s="836">
        <f>'jangan dihapus 3'!J178</f>
        <v>8000000000</v>
      </c>
      <c r="K25" s="836">
        <f>'jangan dihapus 3'!K178</f>
        <v>0</v>
      </c>
      <c r="L25" s="836">
        <f>'jangan dihapus 3'!L178</f>
        <v>8000000000</v>
      </c>
    </row>
    <row r="26" spans="1:12" ht="12.75">
      <c r="B26" s="836" t="str">
        <f>'jangan dihapus 3'!B185</f>
        <v>Belanja Sosial Urusan Pekerjaan Umum</v>
      </c>
      <c r="C26" s="836">
        <f>'jangan dihapus 3'!C185</f>
        <v>0</v>
      </c>
      <c r="D26" s="836">
        <f>'jangan dihapus 3'!D187</f>
        <v>216250000</v>
      </c>
      <c r="E26" s="836">
        <f>'jangan dihapus 3'!E187</f>
        <v>0</v>
      </c>
      <c r="F26" s="836">
        <f>'jangan dihapus 3'!F187</f>
        <v>216250000</v>
      </c>
      <c r="G26" s="836">
        <f>'jangan dihapus 3'!G187</f>
        <v>0</v>
      </c>
      <c r="H26" s="836">
        <f>'jangan dihapus 3'!H187</f>
        <v>216250000</v>
      </c>
      <c r="I26" s="836">
        <f>'jangan dihapus 3'!I187</f>
        <v>0</v>
      </c>
      <c r="J26" s="836">
        <f>'jangan dihapus 3'!J187</f>
        <v>216250000</v>
      </c>
      <c r="K26" s="836">
        <f>'jangan dihapus 3'!K187</f>
        <v>0</v>
      </c>
      <c r="L26" s="836">
        <f>'jangan dihapus 3'!L187</f>
        <v>216250000</v>
      </c>
    </row>
    <row r="27" spans="1:12" ht="12.75">
      <c r="B27" s="836" t="str">
        <f>'jangan dihapus 3'!B190</f>
        <v>Belanja Sosial Urusan Sosial</v>
      </c>
      <c r="C27" s="836">
        <f>'jangan dihapus 3'!C190</f>
        <v>0</v>
      </c>
      <c r="D27" s="836">
        <f>'jangan dihapus 3'!D191</f>
        <v>4974180000</v>
      </c>
      <c r="E27" s="836">
        <f>'jangan dihapus 3'!E191</f>
        <v>0</v>
      </c>
      <c r="F27" s="836">
        <f>'jangan dihapus 3'!F191</f>
        <v>8724180000</v>
      </c>
      <c r="G27" s="836">
        <f>'jangan dihapus 3'!G191</f>
        <v>0</v>
      </c>
      <c r="H27" s="836">
        <f>'jangan dihapus 3'!H191</f>
        <v>8724180000</v>
      </c>
      <c r="I27" s="836">
        <f>'jangan dihapus 3'!I191</f>
        <v>0</v>
      </c>
      <c r="J27" s="836">
        <f>'jangan dihapus 3'!J191</f>
        <v>8724180000</v>
      </c>
      <c r="K27" s="836">
        <f>'jangan dihapus 3'!K191</f>
        <v>0</v>
      </c>
      <c r="L27" s="836">
        <f>'jangan dihapus 3'!L191</f>
        <v>8724180000</v>
      </c>
    </row>
    <row r="28" spans="1:12" ht="12.75">
      <c r="B28" s="836" t="str">
        <f>'jangan dihapus 3'!B203</f>
        <v>Belanja Sosial Urusan Ketenagakerjaan</v>
      </c>
      <c r="C28" s="836">
        <f>'jangan dihapus 3'!C203</f>
        <v>0</v>
      </c>
      <c r="D28" s="836">
        <f>'jangan dihapus 3'!D204</f>
        <v>50000000</v>
      </c>
      <c r="E28" s="836">
        <f>'jangan dihapus 3'!E204</f>
        <v>0</v>
      </c>
      <c r="F28" s="836">
        <f>'jangan dihapus 3'!F204</f>
        <v>50000000</v>
      </c>
      <c r="G28" s="836">
        <f>'jangan dihapus 3'!G204</f>
        <v>0</v>
      </c>
      <c r="H28" s="836">
        <f>'jangan dihapus 3'!H204</f>
        <v>50000000</v>
      </c>
      <c r="I28" s="836">
        <f>'jangan dihapus 3'!I204</f>
        <v>0</v>
      </c>
      <c r="J28" s="836">
        <f>'jangan dihapus 3'!J204</f>
        <v>50000000</v>
      </c>
      <c r="K28" s="836">
        <f>'jangan dihapus 3'!K204</f>
        <v>0</v>
      </c>
      <c r="L28" s="836">
        <f>'jangan dihapus 3'!L204</f>
        <v>50000000</v>
      </c>
    </row>
    <row r="29" spans="1:12" ht="12.75">
      <c r="B29" s="836" t="str">
        <f>'jangan dihapus 3'!B208</f>
        <v>Belanja Sosial Urusan Otomomi Daerah, Pemerintahan Umum, Administrasi Keuangan Daerah, Perangkat Daerah, Kepegawaian, dan Persandian</v>
      </c>
      <c r="C29" s="836">
        <f>'jangan dihapus 3'!C208</f>
        <v>0</v>
      </c>
      <c r="D29" s="836">
        <f>'jangan dihapus 3'!D208</f>
        <v>849950000</v>
      </c>
      <c r="E29" s="836">
        <f>'jangan dihapus 3'!E208</f>
        <v>0</v>
      </c>
      <c r="F29" s="836">
        <f>'jangan dihapus 3'!F208</f>
        <v>798250000</v>
      </c>
      <c r="G29" s="836">
        <f>'jangan dihapus 3'!G208</f>
        <v>0</v>
      </c>
      <c r="H29" s="836">
        <f>'jangan dihapus 3'!H208</f>
        <v>798250000</v>
      </c>
      <c r="I29" s="836">
        <f>'jangan dihapus 3'!I208</f>
        <v>0</v>
      </c>
      <c r="J29" s="836">
        <f>'jangan dihapus 3'!J208</f>
        <v>720250000</v>
      </c>
      <c r="K29" s="836">
        <f>'jangan dihapus 3'!K208</f>
        <v>0</v>
      </c>
      <c r="L29" s="836">
        <f>'jangan dihapus 3'!L208</f>
        <v>670250000</v>
      </c>
    </row>
    <row r="30" spans="1:12" ht="12.75">
      <c r="B30" s="836" t="str">
        <f>'jangan dihapus 3'!B222</f>
        <v>Belanja Bantuan Sosial Urusan Kemasyarakatan lainnya</v>
      </c>
      <c r="C30" s="836">
        <f>'jangan dihapus 3'!C222</f>
        <v>0</v>
      </c>
      <c r="D30" s="836">
        <f>'jangan dihapus 3'!D223</f>
        <v>7725000000</v>
      </c>
      <c r="E30" s="836">
        <f>'jangan dihapus 3'!E223</f>
        <v>0</v>
      </c>
      <c r="F30" s="836">
        <f>'jangan dihapus 3'!F223</f>
        <v>7165500000</v>
      </c>
      <c r="G30" s="836">
        <f>'jangan dihapus 3'!G223</f>
        <v>0</v>
      </c>
      <c r="H30" s="836">
        <f>'jangan dihapus 3'!H223</f>
        <v>7165500000</v>
      </c>
      <c r="I30" s="836">
        <f>'jangan dihapus 3'!I223</f>
        <v>0</v>
      </c>
      <c r="J30" s="836">
        <f>'jangan dihapus 3'!J223</f>
        <v>7165500000</v>
      </c>
      <c r="K30" s="836">
        <f>'jangan dihapus 3'!K223</f>
        <v>0</v>
      </c>
      <c r="L30" s="836">
        <f>'jangan dihapus 3'!L223</f>
        <v>7165500000</v>
      </c>
    </row>
    <row r="31" spans="1:12" ht="12.75">
      <c r="D31" s="836"/>
      <c r="E31" s="836"/>
    </row>
    <row r="32" spans="1:12" ht="12.75">
      <c r="C32" s="836">
        <f>'jangan dihapus 3'!C241</f>
        <v>0</v>
      </c>
      <c r="D32" s="836">
        <f>'jangan dihapus 3'!D241</f>
        <v>41605119000</v>
      </c>
      <c r="E32" s="836">
        <f>'jangan dihapus 3'!E241</f>
        <v>0</v>
      </c>
      <c r="F32" s="836">
        <f>'jangan dihapus 3'!F241</f>
        <v>40380119000</v>
      </c>
      <c r="G32" s="836">
        <f>'jangan dihapus 3'!G241</f>
        <v>0</v>
      </c>
      <c r="H32" s="836">
        <f>'jangan dihapus 3'!H241</f>
        <v>40380119000</v>
      </c>
      <c r="I32" s="836">
        <f>'jangan dihapus 3'!I241</f>
        <v>0</v>
      </c>
      <c r="J32" s="836">
        <f>'jangan dihapus 3'!J241</f>
        <v>40380119000</v>
      </c>
      <c r="K32" s="836">
        <f>'jangan dihapus 3'!K241</f>
        <v>0</v>
      </c>
      <c r="L32" s="836">
        <f>'jangan dihapus 3'!L241</f>
        <v>40380119000</v>
      </c>
    </row>
    <row r="33" spans="1:12" s="843" customFormat="1" ht="12.75">
      <c r="A33" s="843">
        <v>3</v>
      </c>
      <c r="B33" s="843" t="str">
        <f>'jangan dihapus 3'!B241</f>
        <v>BELANJA BANTUAN KEUANGAN</v>
      </c>
      <c r="D33" s="843">
        <f>SUM(D34:D35)</f>
        <v>41605119000</v>
      </c>
      <c r="E33" s="843">
        <f t="shared" ref="E33:L33" si="2">SUM(E34:E35)</f>
        <v>0</v>
      </c>
      <c r="F33" s="843">
        <f t="shared" si="2"/>
        <v>40380119000</v>
      </c>
      <c r="G33" s="843">
        <f t="shared" si="2"/>
        <v>0</v>
      </c>
      <c r="H33" s="843">
        <f t="shared" si="2"/>
        <v>40380119000</v>
      </c>
      <c r="I33" s="843">
        <f t="shared" si="2"/>
        <v>0</v>
      </c>
      <c r="J33" s="843">
        <f t="shared" si="2"/>
        <v>40380119000</v>
      </c>
      <c r="K33" s="843">
        <f t="shared" si="2"/>
        <v>0</v>
      </c>
      <c r="L33" s="843">
        <f t="shared" si="2"/>
        <v>40380119000</v>
      </c>
    </row>
    <row r="34" spans="1:12" ht="12.75">
      <c r="B34" s="836" t="str">
        <f>'jangan dihapus 3'!B245</f>
        <v>Belanja Bantuan Keuangan kepada Pemerintahan Desa</v>
      </c>
      <c r="C34" s="836">
        <f>'jangan dihapus 3'!C245</f>
        <v>0</v>
      </c>
      <c r="D34" s="836">
        <f>'jangan dihapus 3'!D245</f>
        <v>40697512000</v>
      </c>
      <c r="E34" s="836">
        <f>'jangan dihapus 3'!E245</f>
        <v>0</v>
      </c>
      <c r="F34" s="836">
        <f>'jangan dihapus 3'!F245</f>
        <v>39472512000</v>
      </c>
      <c r="G34" s="836">
        <f>'jangan dihapus 3'!G245</f>
        <v>0</v>
      </c>
      <c r="H34" s="836">
        <f>'jangan dihapus 3'!H245</f>
        <v>39472512000</v>
      </c>
      <c r="I34" s="836">
        <f>'jangan dihapus 3'!I245</f>
        <v>0</v>
      </c>
      <c r="J34" s="836">
        <f>'jangan dihapus 3'!J245</f>
        <v>39472512000</v>
      </c>
      <c r="K34" s="836">
        <f>'jangan dihapus 3'!K245</f>
        <v>0</v>
      </c>
      <c r="L34" s="836">
        <f>'jangan dihapus 3'!L245</f>
        <v>39472512000</v>
      </c>
    </row>
    <row r="35" spans="1:12" ht="12.75">
      <c r="B35" s="836" t="str">
        <f>'jangan dihapus 3'!B255</f>
        <v>Belanja Bantuan Keuangan Kepada Partai Politik</v>
      </c>
      <c r="C35" s="836">
        <f>'jangan dihapus 3'!C255</f>
        <v>0</v>
      </c>
      <c r="D35" s="836">
        <f>'jangan dihapus 3'!D255</f>
        <v>907607000</v>
      </c>
      <c r="E35" s="836">
        <f>'jangan dihapus 3'!E255</f>
        <v>0</v>
      </c>
      <c r="F35" s="836">
        <f>'jangan dihapus 3'!F255</f>
        <v>907607000</v>
      </c>
      <c r="G35" s="836">
        <f>'jangan dihapus 3'!G255</f>
        <v>0</v>
      </c>
      <c r="H35" s="836">
        <f>'jangan dihapus 3'!H255</f>
        <v>907607000</v>
      </c>
      <c r="I35" s="836">
        <f>'jangan dihapus 3'!I255</f>
        <v>0</v>
      </c>
      <c r="J35" s="836">
        <f>'jangan dihapus 3'!J255</f>
        <v>907607000</v>
      </c>
      <c r="K35" s="836">
        <f>'jangan dihapus 3'!K255</f>
        <v>0</v>
      </c>
      <c r="L35" s="836">
        <f>'jangan dihapus 3'!L255</f>
        <v>907607000</v>
      </c>
    </row>
    <row r="36" spans="1:12" ht="12.75">
      <c r="D36" s="836"/>
      <c r="E36" s="836"/>
    </row>
    <row r="37" spans="1:12" s="843" customFormat="1" ht="12.75">
      <c r="A37" s="843">
        <v>4</v>
      </c>
      <c r="B37" s="843" t="str">
        <f>'jangan dihapus 3'!B259</f>
        <v>BELANJA TIDAK TERDUGA</v>
      </c>
      <c r="C37" s="843">
        <f>'jangan dihapus 3'!C259</f>
        <v>0</v>
      </c>
      <c r="D37" s="843">
        <f>'jangan dihapus 3'!D259</f>
        <v>500000000</v>
      </c>
      <c r="E37" s="843">
        <f>'jangan dihapus 3'!E259</f>
        <v>0</v>
      </c>
      <c r="F37" s="843">
        <f>'jangan dihapus 3'!F259</f>
        <v>500000000</v>
      </c>
      <c r="G37" s="843">
        <f>'jangan dihapus 3'!G259</f>
        <v>0</v>
      </c>
      <c r="H37" s="843">
        <f>'jangan dihapus 3'!H259</f>
        <v>500000000</v>
      </c>
      <c r="I37" s="843">
        <f>'jangan dihapus 3'!I259</f>
        <v>0</v>
      </c>
      <c r="J37" s="843">
        <f>'jangan dihapus 3'!J259</f>
        <v>1000000000</v>
      </c>
      <c r="K37" s="843">
        <f>'jangan dihapus 3'!K259</f>
        <v>0</v>
      </c>
      <c r="L37" s="843">
        <f>'jangan dihapus 3'!L259</f>
        <v>1500000000</v>
      </c>
    </row>
    <row r="38" spans="1:12" ht="12.75">
      <c r="B38" s="836" t="str">
        <f>'jangan dihapus 3'!B261</f>
        <v>Belanja Tidak Terduga</v>
      </c>
      <c r="C38" s="836">
        <f>'jangan dihapus 3'!C261</f>
        <v>0</v>
      </c>
      <c r="D38" s="836">
        <f>'jangan dihapus 3'!D261</f>
        <v>500000000</v>
      </c>
      <c r="E38" s="836">
        <f>'jangan dihapus 3'!E261</f>
        <v>0</v>
      </c>
      <c r="F38" s="836">
        <f>'jangan dihapus 3'!F261</f>
        <v>500000000</v>
      </c>
      <c r="G38" s="836">
        <f>'jangan dihapus 3'!G261</f>
        <v>0</v>
      </c>
      <c r="H38" s="836">
        <f>'jangan dihapus 3'!H261</f>
        <v>500000000</v>
      </c>
      <c r="I38" s="836">
        <f>'jangan dihapus 3'!I261</f>
        <v>0</v>
      </c>
      <c r="J38" s="836">
        <f>'jangan dihapus 3'!J261</f>
        <v>1000000000</v>
      </c>
      <c r="K38" s="836">
        <f>'jangan dihapus 3'!K261</f>
        <v>0</v>
      </c>
      <c r="L38" s="836">
        <f>'jangan dihapus 3'!L261</f>
        <v>1500000000</v>
      </c>
    </row>
    <row r="39" spans="1:12" ht="12.75">
      <c r="D39" s="836"/>
      <c r="E39" s="836"/>
    </row>
    <row r="40" spans="1:12" ht="12.75">
      <c r="B40" s="836" t="str">
        <f>'jangan dihapus 3'!B267</f>
        <v>kapasitas riil</v>
      </c>
      <c r="C40" s="836">
        <f>'jangan dihapus 3'!C267</f>
        <v>0</v>
      </c>
      <c r="D40" s="836">
        <f>'jangan dihapus 3'!D267</f>
        <v>121238639000</v>
      </c>
      <c r="E40" s="836">
        <f>'jangan dihapus 3'!E267</f>
        <v>0</v>
      </c>
      <c r="F40" s="836">
        <f>'jangan dihapus 3'!F267</f>
        <v>131488639000</v>
      </c>
      <c r="G40" s="836">
        <f>'jangan dihapus 3'!G267</f>
        <v>0</v>
      </c>
      <c r="H40" s="836">
        <f>'jangan dihapus 3'!H267</f>
        <v>131488639000</v>
      </c>
      <c r="I40" s="836">
        <f>'jangan dihapus 3'!I267</f>
        <v>0</v>
      </c>
      <c r="J40" s="836">
        <f>'jangan dihapus 3'!J267</f>
        <v>135738639000</v>
      </c>
      <c r="K40" s="836">
        <f>'jangan dihapus 3'!K267</f>
        <v>0</v>
      </c>
      <c r="L40" s="836">
        <f>'jangan dihapus 3'!L267</f>
        <v>158238639000</v>
      </c>
    </row>
    <row r="41" spans="1:12" ht="12.75">
      <c r="D41" s="836">
        <f>D37+D33+D22+D3</f>
        <v>121238639000</v>
      </c>
      <c r="E41" s="836">
        <f t="shared" ref="E41:L41" si="3">E37+E33+E22+E3</f>
        <v>0</v>
      </c>
      <c r="F41" s="836">
        <f t="shared" si="3"/>
        <v>131488639000</v>
      </c>
      <c r="G41" s="836">
        <f t="shared" si="3"/>
        <v>0</v>
      </c>
      <c r="H41" s="836">
        <f t="shared" si="3"/>
        <v>132237889000</v>
      </c>
      <c r="I41" s="836">
        <f t="shared" si="3"/>
        <v>0</v>
      </c>
      <c r="J41" s="836">
        <f t="shared" si="3"/>
        <v>135738639000</v>
      </c>
      <c r="K41" s="836">
        <f t="shared" si="3"/>
        <v>0</v>
      </c>
      <c r="L41" s="836">
        <f t="shared" si="3"/>
        <v>158238639000</v>
      </c>
    </row>
    <row r="42" spans="1:12" ht="12.75">
      <c r="D42" s="836"/>
      <c r="E42" s="836"/>
    </row>
    <row r="43" spans="1:12" ht="12.75">
      <c r="D43" s="836"/>
      <c r="E43" s="836"/>
    </row>
    <row r="44" spans="1:12" ht="12.75">
      <c r="D44" s="836"/>
      <c r="E44" s="836"/>
    </row>
    <row r="45" spans="1:12" ht="12.75">
      <c r="D45" s="836"/>
      <c r="E45" s="836"/>
    </row>
    <row r="46" spans="1:12" ht="12.75">
      <c r="D46" s="836"/>
      <c r="E46" s="836"/>
    </row>
    <row r="47" spans="1:12" ht="12.75">
      <c r="D47" s="836"/>
      <c r="E47" s="836"/>
    </row>
    <row r="48" spans="1:12" ht="12.75">
      <c r="D48" s="836"/>
      <c r="E48" s="836"/>
    </row>
    <row r="49" spans="4:5" ht="12.75">
      <c r="D49" s="836"/>
      <c r="E49" s="836"/>
    </row>
    <row r="50" spans="4:5" ht="12.75">
      <c r="D50" s="836"/>
      <c r="E50" s="836"/>
    </row>
    <row r="51" spans="4:5" ht="12.75">
      <c r="D51" s="836"/>
      <c r="E51" s="836"/>
    </row>
    <row r="52" spans="4:5" ht="12.75">
      <c r="D52" s="836"/>
      <c r="E52" s="836"/>
    </row>
    <row r="53" spans="4:5" ht="12.75">
      <c r="D53" s="836"/>
      <c r="E53" s="836"/>
    </row>
    <row r="54" spans="4:5" ht="12.75">
      <c r="D54" s="836"/>
      <c r="E54" s="836"/>
    </row>
    <row r="55" spans="4:5" ht="12.75">
      <c r="D55" s="836"/>
      <c r="E55" s="836"/>
    </row>
    <row r="56" spans="4:5" ht="12.75">
      <c r="D56" s="836"/>
      <c r="E56" s="836"/>
    </row>
    <row r="57" spans="4:5" ht="12.75">
      <c r="D57" s="836"/>
      <c r="E57" s="836"/>
    </row>
    <row r="58" spans="4:5" ht="12.75">
      <c r="D58" s="836"/>
      <c r="E58" s="836"/>
    </row>
    <row r="59" spans="4:5" ht="12.75">
      <c r="D59" s="836"/>
      <c r="E59" s="836"/>
    </row>
    <row r="60" spans="4:5" ht="12.75">
      <c r="D60" s="836"/>
      <c r="E60" s="836"/>
    </row>
    <row r="61" spans="4:5" ht="12.75">
      <c r="D61" s="836"/>
      <c r="E61" s="836"/>
    </row>
    <row r="62" spans="4:5" ht="12.75">
      <c r="D62" s="836"/>
      <c r="E62" s="836"/>
    </row>
    <row r="63" spans="4:5" ht="12.75">
      <c r="D63" s="836"/>
      <c r="E63" s="836"/>
    </row>
    <row r="64" spans="4:5" ht="12.75">
      <c r="D64" s="836"/>
      <c r="E64" s="836"/>
    </row>
    <row r="65" spans="4:5" ht="12.75">
      <c r="D65" s="836"/>
      <c r="E65" s="836"/>
    </row>
    <row r="66" spans="4:5" ht="12.75">
      <c r="D66" s="836"/>
      <c r="E66" s="836"/>
    </row>
    <row r="67" spans="4:5" ht="12.75">
      <c r="D67" s="836"/>
      <c r="E67" s="836"/>
    </row>
    <row r="68" spans="4:5" ht="12.75">
      <c r="D68" s="836"/>
      <c r="E68" s="836"/>
    </row>
    <row r="69" spans="4:5" ht="12.75">
      <c r="D69" s="836"/>
      <c r="E69" s="836"/>
    </row>
    <row r="70" spans="4:5" ht="12.75">
      <c r="D70" s="836"/>
      <c r="E70" s="836"/>
    </row>
    <row r="71" spans="4:5" ht="12.75">
      <c r="D71" s="836"/>
      <c r="E71" s="836"/>
    </row>
    <row r="72" spans="4:5" ht="12.75">
      <c r="D72" s="836"/>
      <c r="E72" s="836"/>
    </row>
    <row r="73" spans="4:5" ht="12.75">
      <c r="D73" s="836"/>
      <c r="E73" s="836"/>
    </row>
    <row r="74" spans="4:5" ht="12.75">
      <c r="D74" s="836"/>
      <c r="E74" s="836"/>
    </row>
    <row r="75" spans="4:5" ht="12.75">
      <c r="D75" s="836"/>
      <c r="E75" s="836"/>
    </row>
    <row r="76" spans="4:5" ht="12.75">
      <c r="D76" s="836"/>
      <c r="E76" s="836"/>
    </row>
    <row r="77" spans="4:5" ht="12.75">
      <c r="D77" s="836"/>
      <c r="E77" s="836"/>
    </row>
    <row r="78" spans="4:5" ht="12.75">
      <c r="D78" s="836"/>
      <c r="E78" s="836"/>
    </row>
    <row r="79" spans="4:5" ht="12.75">
      <c r="D79" s="836"/>
      <c r="E79" s="836"/>
    </row>
    <row r="80" spans="4:5" ht="12.75">
      <c r="D80" s="836"/>
      <c r="E80" s="836"/>
    </row>
    <row r="81" spans="4:5" ht="12.75">
      <c r="D81" s="836"/>
      <c r="E81" s="836"/>
    </row>
    <row r="82" spans="4:5" ht="12.75">
      <c r="D82" s="836"/>
      <c r="E82" s="836"/>
    </row>
    <row r="83" spans="4:5" ht="12.75">
      <c r="D83" s="836"/>
      <c r="E83" s="836"/>
    </row>
    <row r="84" spans="4:5" ht="12.75">
      <c r="D84" s="836"/>
      <c r="E84" s="836"/>
    </row>
    <row r="85" spans="4:5" ht="12.75">
      <c r="D85" s="836"/>
      <c r="E85" s="836"/>
    </row>
    <row r="86" spans="4:5" ht="12.75">
      <c r="D86" s="836"/>
      <c r="E86" s="836"/>
    </row>
    <row r="87" spans="4:5" ht="12.75">
      <c r="D87" s="836"/>
      <c r="E87" s="836"/>
    </row>
    <row r="88" spans="4:5" ht="12.75">
      <c r="D88" s="836"/>
      <c r="E88" s="836"/>
    </row>
    <row r="89" spans="4:5" ht="12.75">
      <c r="D89" s="836"/>
      <c r="E89" s="836"/>
    </row>
    <row r="90" spans="4:5" ht="12.75">
      <c r="D90" s="836"/>
      <c r="E90" s="836"/>
    </row>
    <row r="91" spans="4:5" ht="12.75">
      <c r="D91" s="836"/>
      <c r="E91" s="836"/>
    </row>
    <row r="92" spans="4:5" ht="12.75">
      <c r="D92" s="836"/>
      <c r="E92" s="836"/>
    </row>
    <row r="93" spans="4:5" ht="12.75">
      <c r="D93" s="836"/>
      <c r="E93" s="836"/>
    </row>
    <row r="94" spans="4:5" ht="12.75">
      <c r="D94" s="836"/>
      <c r="E94" s="836"/>
    </row>
    <row r="95" spans="4:5" ht="12.75">
      <c r="D95" s="836"/>
      <c r="E95" s="836"/>
    </row>
    <row r="96" spans="4:5" ht="12.75">
      <c r="D96" s="836"/>
      <c r="E96" s="836"/>
    </row>
    <row r="97" spans="4:5" ht="12.75">
      <c r="D97" s="836"/>
      <c r="E97" s="836"/>
    </row>
    <row r="98" spans="4:5" ht="12.75">
      <c r="D98" s="836"/>
      <c r="E98" s="836"/>
    </row>
    <row r="99" spans="4:5" ht="12.75">
      <c r="D99" s="836"/>
      <c r="E99" s="836"/>
    </row>
    <row r="100" spans="4:5" ht="12.75">
      <c r="D100" s="836"/>
      <c r="E100" s="836"/>
    </row>
    <row r="101" spans="4:5" ht="12.75">
      <c r="D101" s="836"/>
      <c r="E101" s="836"/>
    </row>
    <row r="102" spans="4:5" ht="12.75">
      <c r="D102" s="836"/>
      <c r="E102" s="836"/>
    </row>
    <row r="103" spans="4:5" ht="12.75">
      <c r="D103" s="836"/>
      <c r="E103" s="836"/>
    </row>
    <row r="104" spans="4:5" ht="12.75">
      <c r="D104" s="836"/>
      <c r="E104" s="836"/>
    </row>
    <row r="105" spans="4:5" ht="12.75">
      <c r="D105" s="836"/>
      <c r="E105" s="836"/>
    </row>
    <row r="106" spans="4:5" ht="12.75">
      <c r="D106" s="836"/>
      <c r="E106" s="836"/>
    </row>
    <row r="107" spans="4:5" ht="12.75">
      <c r="D107" s="836"/>
      <c r="E107" s="836"/>
    </row>
    <row r="108" spans="4:5" ht="12.75">
      <c r="D108" s="836"/>
      <c r="E108" s="836"/>
    </row>
    <row r="109" spans="4:5" ht="12.75">
      <c r="D109" s="836"/>
      <c r="E109" s="836"/>
    </row>
    <row r="110" spans="4:5" ht="12.75">
      <c r="D110" s="836"/>
      <c r="E110" s="836"/>
    </row>
    <row r="111" spans="4:5" ht="12.75">
      <c r="D111" s="836"/>
      <c r="E111" s="836"/>
    </row>
    <row r="112" spans="4:5" ht="12.75">
      <c r="D112" s="836"/>
      <c r="E112" s="836"/>
    </row>
    <row r="113" spans="4:5" ht="12.75">
      <c r="D113" s="836"/>
      <c r="E113" s="836"/>
    </row>
    <row r="114" spans="4:5" ht="12.75">
      <c r="D114" s="836"/>
      <c r="E114" s="836"/>
    </row>
    <row r="115" spans="4:5" ht="12.75">
      <c r="D115" s="836"/>
      <c r="E115" s="836"/>
    </row>
    <row r="116" spans="4:5" ht="12.75">
      <c r="D116" s="836"/>
      <c r="E116" s="836"/>
    </row>
    <row r="117" spans="4:5" ht="12.75">
      <c r="D117" s="836"/>
      <c r="E117" s="836"/>
    </row>
    <row r="118" spans="4:5" ht="12.75">
      <c r="D118" s="836"/>
      <c r="E118" s="836"/>
    </row>
    <row r="119" spans="4:5" ht="12.75">
      <c r="D119" s="836"/>
      <c r="E119" s="836"/>
    </row>
    <row r="120" spans="4:5" ht="12.75">
      <c r="D120" s="836"/>
      <c r="E120" s="836"/>
    </row>
    <row r="121" spans="4:5" ht="12.75">
      <c r="D121" s="836"/>
      <c r="E121" s="836"/>
    </row>
    <row r="122" spans="4:5" ht="12.75">
      <c r="D122" s="836"/>
      <c r="E122" s="836"/>
    </row>
    <row r="123" spans="4:5" ht="12.75">
      <c r="D123" s="836"/>
      <c r="E123" s="836"/>
    </row>
    <row r="124" spans="4:5" ht="12.75">
      <c r="D124" s="836"/>
      <c r="E124" s="836"/>
    </row>
    <row r="125" spans="4:5" ht="12.75">
      <c r="D125" s="836"/>
      <c r="E125" s="836"/>
    </row>
    <row r="126" spans="4:5" ht="12.75">
      <c r="D126" s="836"/>
      <c r="E126" s="836"/>
    </row>
    <row r="127" spans="4:5" ht="12.75">
      <c r="D127" s="836"/>
      <c r="E127" s="836"/>
    </row>
    <row r="128" spans="4:5" ht="12.75">
      <c r="D128" s="836"/>
      <c r="E128" s="836"/>
    </row>
    <row r="129" spans="4:5" ht="12.75">
      <c r="D129" s="836"/>
      <c r="E129" s="836"/>
    </row>
    <row r="130" spans="4:5" ht="12.75">
      <c r="D130" s="836"/>
      <c r="E130" s="836"/>
    </row>
    <row r="131" spans="4:5" ht="12.75">
      <c r="D131" s="836"/>
      <c r="E131" s="836"/>
    </row>
    <row r="132" spans="4:5" ht="12.75">
      <c r="D132" s="836"/>
      <c r="E132" s="836"/>
    </row>
    <row r="133" spans="4:5" ht="12.75">
      <c r="D133" s="836"/>
      <c r="E133" s="836"/>
    </row>
    <row r="134" spans="4:5" ht="12.75">
      <c r="D134" s="836"/>
      <c r="E134" s="836"/>
    </row>
    <row r="135" spans="4:5" ht="12.75">
      <c r="D135" s="836"/>
      <c r="E135" s="836"/>
    </row>
    <row r="136" spans="4:5" ht="12.75">
      <c r="D136" s="836"/>
      <c r="E136" s="836"/>
    </row>
    <row r="137" spans="4:5" ht="12.75">
      <c r="D137" s="836"/>
      <c r="E137" s="836"/>
    </row>
    <row r="138" spans="4:5" ht="12.75">
      <c r="D138" s="836"/>
      <c r="E138" s="836"/>
    </row>
    <row r="139" spans="4:5" ht="12.75">
      <c r="D139" s="836"/>
      <c r="E139" s="836"/>
    </row>
    <row r="140" spans="4:5" ht="12.75">
      <c r="D140" s="836"/>
      <c r="E140" s="836"/>
    </row>
    <row r="141" spans="4:5" ht="12.75">
      <c r="D141" s="836"/>
      <c r="E141" s="836"/>
    </row>
    <row r="142" spans="4:5" ht="12.75">
      <c r="D142" s="836"/>
      <c r="E142" s="836"/>
    </row>
    <row r="143" spans="4:5" ht="12.75">
      <c r="D143" s="836"/>
      <c r="E143" s="836"/>
    </row>
    <row r="144" spans="4:5" ht="12.75">
      <c r="D144" s="836"/>
      <c r="E144" s="836"/>
    </row>
    <row r="145" spans="4:5" ht="12.75">
      <c r="D145" s="836"/>
      <c r="E145" s="836"/>
    </row>
    <row r="146" spans="4:5" ht="12.75">
      <c r="D146" s="836"/>
      <c r="E146" s="836"/>
    </row>
    <row r="147" spans="4:5" ht="12.75">
      <c r="D147" s="836"/>
      <c r="E147" s="836"/>
    </row>
    <row r="148" spans="4:5" ht="12.75">
      <c r="D148" s="836"/>
      <c r="E148" s="836"/>
    </row>
    <row r="149" spans="4:5" ht="12.75">
      <c r="D149" s="836"/>
      <c r="E149" s="836"/>
    </row>
    <row r="150" spans="4:5" ht="12.75">
      <c r="D150" s="836"/>
      <c r="E150" s="836"/>
    </row>
    <row r="151" spans="4:5" ht="12.75">
      <c r="D151" s="836"/>
      <c r="E151" s="836"/>
    </row>
    <row r="152" spans="4:5" ht="12.75">
      <c r="D152" s="836"/>
      <c r="E152" s="836"/>
    </row>
    <row r="153" spans="4:5" ht="12.75">
      <c r="D153" s="836"/>
      <c r="E153" s="836"/>
    </row>
    <row r="154" spans="4:5" ht="12.75">
      <c r="D154" s="836"/>
      <c r="E154" s="836"/>
    </row>
    <row r="155" spans="4:5" ht="12.75">
      <c r="D155" s="836"/>
      <c r="E155" s="836"/>
    </row>
    <row r="156" spans="4:5" ht="12.75">
      <c r="D156" s="836"/>
      <c r="E156" s="836"/>
    </row>
    <row r="157" spans="4:5" ht="12.75">
      <c r="D157" s="836"/>
      <c r="E157" s="836"/>
    </row>
    <row r="158" spans="4:5" ht="12.75">
      <c r="D158" s="836"/>
      <c r="E158" s="836"/>
    </row>
    <row r="159" spans="4:5" ht="12.75">
      <c r="D159" s="836"/>
      <c r="E159" s="836"/>
    </row>
    <row r="160" spans="4:5" ht="12.75">
      <c r="D160" s="836"/>
      <c r="E160" s="836"/>
    </row>
    <row r="161" spans="4:5" ht="12.75">
      <c r="D161" s="836"/>
      <c r="E161" s="836"/>
    </row>
    <row r="162" spans="4:5" ht="12.75">
      <c r="D162" s="836"/>
      <c r="E162" s="836"/>
    </row>
    <row r="163" spans="4:5" ht="12.75">
      <c r="D163" s="836"/>
      <c r="E163" s="836"/>
    </row>
    <row r="164" spans="4:5" ht="12.75">
      <c r="D164" s="836"/>
      <c r="E164" s="836"/>
    </row>
    <row r="165" spans="4:5" ht="12.75">
      <c r="D165" s="836"/>
      <c r="E165" s="836"/>
    </row>
    <row r="166" spans="4:5" ht="12.75">
      <c r="D166" s="836"/>
      <c r="E166" s="836"/>
    </row>
    <row r="167" spans="4:5" ht="12.75">
      <c r="D167" s="836"/>
      <c r="E167" s="836"/>
    </row>
    <row r="168" spans="4:5" ht="12.75">
      <c r="D168" s="836"/>
      <c r="E168" s="836"/>
    </row>
    <row r="169" spans="4:5" ht="12.75">
      <c r="D169" s="836"/>
      <c r="E169" s="836"/>
    </row>
    <row r="170" spans="4:5" ht="12.75">
      <c r="D170" s="836"/>
      <c r="E170" s="836"/>
    </row>
    <row r="171" spans="4:5" ht="12.75">
      <c r="D171" s="836"/>
      <c r="E171" s="836"/>
    </row>
    <row r="172" spans="4:5" ht="12.75">
      <c r="D172" s="836"/>
      <c r="E172" s="836"/>
    </row>
    <row r="173" spans="4:5" ht="12.75">
      <c r="D173" s="836"/>
      <c r="E173" s="836"/>
    </row>
    <row r="174" spans="4:5" ht="12.75">
      <c r="D174" s="836"/>
      <c r="E174" s="836"/>
    </row>
    <row r="175" spans="4:5" ht="12.75">
      <c r="D175" s="836"/>
      <c r="E175" s="836"/>
    </row>
    <row r="176" spans="4:5" ht="12.75">
      <c r="D176" s="836"/>
      <c r="E176" s="836"/>
    </row>
    <row r="177" spans="4:5" ht="12.75">
      <c r="D177" s="836"/>
      <c r="E177" s="836"/>
    </row>
    <row r="178" spans="4:5" ht="12.75">
      <c r="D178" s="836"/>
      <c r="E178" s="836"/>
    </row>
    <row r="179" spans="4:5" ht="12.75">
      <c r="D179" s="836"/>
      <c r="E179" s="836"/>
    </row>
    <row r="180" spans="4:5" ht="12.75">
      <c r="D180" s="836"/>
      <c r="E180" s="836"/>
    </row>
    <row r="181" spans="4:5" ht="12.75">
      <c r="D181" s="836"/>
      <c r="E181" s="836"/>
    </row>
    <row r="182" spans="4:5" ht="12.75">
      <c r="D182" s="836"/>
      <c r="E182" s="836"/>
    </row>
    <row r="183" spans="4:5" ht="12.75">
      <c r="D183" s="836"/>
      <c r="E183" s="836"/>
    </row>
    <row r="184" spans="4:5" ht="12.75">
      <c r="D184" s="836"/>
      <c r="E184" s="836"/>
    </row>
    <row r="185" spans="4:5" ht="12.75">
      <c r="D185" s="836"/>
      <c r="E185" s="836"/>
    </row>
    <row r="186" spans="4:5" ht="12.75">
      <c r="D186" s="836"/>
      <c r="E186" s="836"/>
    </row>
    <row r="187" spans="4:5" ht="12.75">
      <c r="D187" s="836"/>
      <c r="E187" s="836"/>
    </row>
    <row r="188" spans="4:5" ht="12.75">
      <c r="D188" s="836"/>
      <c r="E188" s="836"/>
    </row>
    <row r="189" spans="4:5" ht="12.75">
      <c r="D189" s="836"/>
      <c r="E189" s="836"/>
    </row>
    <row r="190" spans="4:5" ht="12.75">
      <c r="D190" s="836"/>
      <c r="E190" s="836"/>
    </row>
    <row r="191" spans="4:5" ht="12.75">
      <c r="D191" s="836"/>
      <c r="E191" s="836"/>
    </row>
    <row r="192" spans="4:5" ht="12.75">
      <c r="D192" s="836"/>
      <c r="E192" s="836"/>
    </row>
    <row r="193" spans="4:5" ht="12.75">
      <c r="D193" s="836"/>
      <c r="E193" s="836"/>
    </row>
    <row r="194" spans="4:5" ht="12.75">
      <c r="D194" s="836"/>
      <c r="E194" s="836"/>
    </row>
    <row r="195" spans="4:5" ht="12.75">
      <c r="D195" s="836"/>
      <c r="E195" s="836"/>
    </row>
    <row r="196" spans="4:5" ht="12.75">
      <c r="D196" s="836"/>
      <c r="E196" s="836"/>
    </row>
    <row r="197" spans="4:5" ht="12.75">
      <c r="D197" s="836"/>
      <c r="E197" s="836"/>
    </row>
    <row r="198" spans="4:5" ht="12.75">
      <c r="D198" s="836"/>
      <c r="E198" s="836"/>
    </row>
    <row r="199" spans="4:5" ht="12.75">
      <c r="D199" s="836"/>
      <c r="E199" s="836"/>
    </row>
    <row r="200" spans="4:5" ht="12.75">
      <c r="D200" s="836"/>
      <c r="E200" s="836"/>
    </row>
    <row r="201" spans="4:5" ht="12.75">
      <c r="D201" s="836"/>
      <c r="E201" s="836"/>
    </row>
    <row r="202" spans="4:5" ht="12.75">
      <c r="D202" s="836"/>
      <c r="E202" s="836"/>
    </row>
    <row r="203" spans="4:5" ht="12.75">
      <c r="D203" s="836"/>
      <c r="E203" s="836"/>
    </row>
    <row r="204" spans="4:5" ht="12.75">
      <c r="D204" s="836"/>
      <c r="E204" s="836"/>
    </row>
    <row r="205" spans="4:5" ht="12.75">
      <c r="D205" s="836"/>
      <c r="E205" s="836"/>
    </row>
    <row r="206" spans="4:5" ht="12.75">
      <c r="D206" s="836"/>
      <c r="E206" s="836"/>
    </row>
    <row r="207" spans="4:5" ht="12.75">
      <c r="D207" s="836"/>
      <c r="E207" s="836"/>
    </row>
    <row r="208" spans="4:5" ht="12.75">
      <c r="D208" s="836"/>
      <c r="E208" s="836"/>
    </row>
    <row r="209" spans="4:5" ht="12.75">
      <c r="D209" s="836"/>
      <c r="E209" s="836"/>
    </row>
    <row r="210" spans="4:5" ht="12.75">
      <c r="D210" s="836"/>
      <c r="E210" s="836"/>
    </row>
    <row r="211" spans="4:5" ht="12.75">
      <c r="D211" s="836"/>
      <c r="E211" s="836"/>
    </row>
    <row r="212" spans="4:5" ht="12.75">
      <c r="D212" s="836"/>
      <c r="E212" s="836"/>
    </row>
    <row r="213" spans="4:5" ht="12.75">
      <c r="D213" s="836"/>
      <c r="E213" s="836"/>
    </row>
    <row r="214" spans="4:5" ht="12.75">
      <c r="D214" s="836"/>
      <c r="E214" s="836"/>
    </row>
    <row r="215" spans="4:5" ht="12.75">
      <c r="D215" s="836"/>
      <c r="E215" s="836"/>
    </row>
    <row r="216" spans="4:5" ht="12.75">
      <c r="D216" s="836"/>
      <c r="E216" s="836"/>
    </row>
    <row r="217" spans="4:5" ht="12.75">
      <c r="D217" s="836"/>
      <c r="E217" s="836"/>
    </row>
    <row r="218" spans="4:5" ht="12.75">
      <c r="D218" s="836"/>
      <c r="E218" s="836"/>
    </row>
    <row r="219" spans="4:5" ht="12.75">
      <c r="D219" s="836"/>
      <c r="E219" s="836"/>
    </row>
    <row r="220" spans="4:5" ht="12.75">
      <c r="D220" s="836"/>
      <c r="E220" s="836"/>
    </row>
    <row r="221" spans="4:5" ht="12.75">
      <c r="D221" s="836"/>
      <c r="E221" s="836"/>
    </row>
    <row r="222" spans="4:5" ht="12.75">
      <c r="D222" s="836"/>
      <c r="E222" s="836"/>
    </row>
    <row r="223" spans="4:5" ht="12.75">
      <c r="D223" s="836"/>
      <c r="E223" s="836"/>
    </row>
    <row r="224" spans="4:5" ht="12.75">
      <c r="D224" s="836"/>
      <c r="E224" s="836"/>
    </row>
    <row r="225" spans="4:5" ht="12.75">
      <c r="D225" s="836"/>
      <c r="E225" s="836"/>
    </row>
    <row r="226" spans="4:5" ht="12.75">
      <c r="D226" s="836"/>
      <c r="E226" s="836"/>
    </row>
    <row r="227" spans="4:5" ht="12.75">
      <c r="D227" s="836"/>
      <c r="E227" s="836"/>
    </row>
    <row r="228" spans="4:5" ht="12.75">
      <c r="D228" s="836"/>
      <c r="E228" s="836"/>
    </row>
    <row r="229" spans="4:5" ht="12.75">
      <c r="D229" s="836"/>
      <c r="E229" s="836"/>
    </row>
    <row r="230" spans="4:5" ht="12.75">
      <c r="D230" s="836"/>
      <c r="E230" s="836"/>
    </row>
    <row r="231" spans="4:5" ht="12.75">
      <c r="D231" s="836"/>
      <c r="E231" s="836"/>
    </row>
    <row r="232" spans="4:5" ht="12.75">
      <c r="D232" s="836"/>
      <c r="E232" s="836"/>
    </row>
    <row r="233" spans="4:5" ht="12.75">
      <c r="D233" s="836"/>
      <c r="E233" s="836"/>
    </row>
    <row r="234" spans="4:5" ht="12.75">
      <c r="D234" s="836"/>
      <c r="E234" s="836"/>
    </row>
    <row r="235" spans="4:5" ht="12.75">
      <c r="D235" s="836"/>
      <c r="E235" s="836"/>
    </row>
    <row r="236" spans="4:5" ht="12.75">
      <c r="D236" s="836"/>
      <c r="E236" s="836"/>
    </row>
    <row r="237" spans="4:5" ht="12.75">
      <c r="D237" s="836"/>
      <c r="E237" s="836"/>
    </row>
    <row r="238" spans="4:5" ht="12.75">
      <c r="D238" s="836"/>
      <c r="E238" s="836"/>
    </row>
    <row r="239" spans="4:5" ht="12.75">
      <c r="D239" s="836"/>
      <c r="E239" s="836"/>
    </row>
    <row r="240" spans="4:5" ht="12.75">
      <c r="D240" s="836"/>
      <c r="E240" s="836"/>
    </row>
    <row r="241" spans="4:5" ht="12.75">
      <c r="D241" s="836"/>
      <c r="E241" s="836"/>
    </row>
    <row r="242" spans="4:5" ht="12.75">
      <c r="D242" s="836"/>
      <c r="E242" s="836"/>
    </row>
    <row r="243" spans="4:5" ht="12.75">
      <c r="D243" s="836"/>
      <c r="E243" s="836"/>
    </row>
    <row r="244" spans="4:5" ht="12.75">
      <c r="D244" s="836"/>
      <c r="E244" s="836"/>
    </row>
    <row r="245" spans="4:5" ht="12.75">
      <c r="D245" s="836"/>
      <c r="E245" s="836"/>
    </row>
    <row r="246" spans="4:5" ht="12.75">
      <c r="D246" s="836"/>
      <c r="E246" s="836"/>
    </row>
    <row r="247" spans="4:5" ht="12.75">
      <c r="D247" s="836"/>
      <c r="E247" s="836"/>
    </row>
    <row r="248" spans="4:5" ht="12.75">
      <c r="D248" s="836"/>
      <c r="E248" s="836"/>
    </row>
    <row r="249" spans="4:5" ht="12.75">
      <c r="D249" s="836"/>
      <c r="E249" s="836"/>
    </row>
    <row r="250" spans="4:5" ht="12.75">
      <c r="D250" s="836"/>
      <c r="E250" s="836"/>
    </row>
    <row r="251" spans="4:5" ht="12.75">
      <c r="D251" s="836"/>
      <c r="E251" s="836"/>
    </row>
    <row r="252" spans="4:5" ht="12.75">
      <c r="D252" s="836"/>
      <c r="E252" s="836"/>
    </row>
    <row r="253" spans="4:5" ht="12.75">
      <c r="D253" s="836"/>
      <c r="E253" s="836"/>
    </row>
    <row r="254" spans="4:5" ht="12.75">
      <c r="D254" s="836"/>
      <c r="E254" s="836"/>
    </row>
    <row r="255" spans="4:5" ht="12.75">
      <c r="D255" s="836"/>
      <c r="E255" s="836"/>
    </row>
    <row r="256" spans="4:5" ht="12.75">
      <c r="D256" s="836"/>
      <c r="E256" s="836"/>
    </row>
    <row r="257" spans="4:5" ht="12.75">
      <c r="D257" s="836"/>
      <c r="E257" s="836"/>
    </row>
    <row r="258" spans="4:5" ht="12.75">
      <c r="D258" s="836"/>
      <c r="E258" s="836"/>
    </row>
    <row r="259" spans="4:5" ht="12.75">
      <c r="D259" s="836"/>
      <c r="E259" s="836"/>
    </row>
    <row r="260" spans="4:5" ht="12.75">
      <c r="D260" s="836"/>
      <c r="E260" s="836"/>
    </row>
    <row r="261" spans="4:5" ht="12.75">
      <c r="D261" s="836"/>
      <c r="E261" s="836"/>
    </row>
    <row r="262" spans="4:5" ht="12.75">
      <c r="D262" s="836"/>
      <c r="E262" s="836"/>
    </row>
    <row r="263" spans="4:5" ht="12.75">
      <c r="D263" s="836"/>
      <c r="E263" s="836"/>
    </row>
    <row r="264" spans="4:5" ht="12.75">
      <c r="D264" s="836"/>
      <c r="E264" s="836"/>
    </row>
    <row r="265" spans="4:5" ht="12.75">
      <c r="D265" s="836"/>
      <c r="E265" s="836"/>
    </row>
    <row r="266" spans="4:5" ht="12.75">
      <c r="D266" s="836"/>
      <c r="E266" s="836"/>
    </row>
    <row r="267" spans="4:5" ht="12.75">
      <c r="D267" s="836"/>
      <c r="E267" s="836"/>
    </row>
    <row r="268" spans="4:5" ht="12.75">
      <c r="D268" s="836"/>
      <c r="E268" s="836"/>
    </row>
    <row r="269" spans="4:5" ht="12.75">
      <c r="D269" s="836"/>
      <c r="E269" s="836"/>
    </row>
    <row r="270" spans="4:5" ht="12.75">
      <c r="D270" s="836"/>
      <c r="E270" s="836"/>
    </row>
    <row r="271" spans="4:5" ht="12.75">
      <c r="D271" s="836"/>
      <c r="E271" s="836"/>
    </row>
    <row r="272" spans="4:5" ht="12.75">
      <c r="D272" s="836"/>
      <c r="E272" s="836"/>
    </row>
    <row r="273" spans="4:5" ht="12.75">
      <c r="D273" s="836"/>
      <c r="E273" s="836"/>
    </row>
    <row r="274" spans="4:5" ht="12.75">
      <c r="D274" s="836"/>
      <c r="E274" s="836"/>
    </row>
    <row r="275" spans="4:5" ht="12.75">
      <c r="D275" s="836"/>
      <c r="E275" s="836"/>
    </row>
    <row r="276" spans="4:5" ht="12.75">
      <c r="D276" s="836"/>
      <c r="E276" s="836"/>
    </row>
    <row r="277" spans="4:5" ht="12.75">
      <c r="D277" s="836"/>
      <c r="E277" s="836"/>
    </row>
    <row r="278" spans="4:5" ht="12.75">
      <c r="D278" s="836"/>
      <c r="E278" s="836"/>
    </row>
    <row r="279" spans="4:5" ht="12.75">
      <c r="D279" s="836"/>
      <c r="E279" s="836"/>
    </row>
    <row r="280" spans="4:5" ht="12.75">
      <c r="D280" s="836"/>
      <c r="E280" s="836"/>
    </row>
    <row r="281" spans="4:5" ht="12.75">
      <c r="D281" s="836"/>
      <c r="E281" s="836"/>
    </row>
    <row r="282" spans="4:5" ht="12.75">
      <c r="D282" s="836"/>
      <c r="E282" s="836"/>
    </row>
    <row r="283" spans="4:5" ht="12.75">
      <c r="D283" s="836"/>
      <c r="E283" s="836"/>
    </row>
    <row r="284" spans="4:5" ht="12.75">
      <c r="D284" s="836"/>
      <c r="E284" s="836"/>
    </row>
    <row r="285" spans="4:5" ht="12.75">
      <c r="D285" s="836"/>
      <c r="E285" s="836"/>
    </row>
    <row r="286" spans="4:5" ht="12.75">
      <c r="D286" s="836"/>
      <c r="E286" s="836"/>
    </row>
    <row r="287" spans="4:5" ht="12.75">
      <c r="D287" s="836"/>
      <c r="E287" s="836"/>
    </row>
    <row r="288" spans="4:5" ht="12.75">
      <c r="D288" s="836"/>
      <c r="E288" s="836"/>
    </row>
    <row r="289" spans="4:5" ht="12.75">
      <c r="D289" s="836"/>
      <c r="E289" s="836"/>
    </row>
    <row r="290" spans="4:5" ht="12.75">
      <c r="D290" s="836"/>
      <c r="E290" s="836"/>
    </row>
    <row r="291" spans="4:5" ht="12.75">
      <c r="D291" s="836"/>
      <c r="E291" s="836"/>
    </row>
    <row r="292" spans="4:5" ht="12.75">
      <c r="D292" s="836"/>
      <c r="E292" s="836"/>
    </row>
    <row r="293" spans="4:5" ht="12.75">
      <c r="D293" s="836"/>
      <c r="E293" s="836"/>
    </row>
    <row r="294" spans="4:5" ht="12.75">
      <c r="D294" s="836"/>
      <c r="E294" s="836"/>
    </row>
    <row r="295" spans="4:5" ht="12.75">
      <c r="D295" s="836"/>
      <c r="E295" s="836"/>
    </row>
    <row r="296" spans="4:5" ht="12.75">
      <c r="D296" s="836"/>
      <c r="E296" s="836"/>
    </row>
    <row r="297" spans="4:5" ht="12.75">
      <c r="D297" s="836"/>
      <c r="E297" s="836"/>
    </row>
    <row r="298" spans="4:5" ht="12.75">
      <c r="D298" s="836"/>
      <c r="E298" s="836"/>
    </row>
    <row r="299" spans="4:5" ht="12.75">
      <c r="D299" s="836"/>
      <c r="E299" s="836"/>
    </row>
    <row r="300" spans="4:5" ht="12.75">
      <c r="D300" s="836"/>
      <c r="E300" s="836"/>
    </row>
    <row r="301" spans="4:5" ht="12.75">
      <c r="D301" s="836"/>
      <c r="E301" s="836"/>
    </row>
    <row r="302" spans="4:5" ht="12.75">
      <c r="D302" s="836"/>
      <c r="E302" s="836"/>
    </row>
    <row r="303" spans="4:5" ht="12.75">
      <c r="D303" s="836"/>
      <c r="E303" s="836"/>
    </row>
    <row r="304" spans="4:5" ht="12.75">
      <c r="D304" s="836"/>
      <c r="E304" s="836"/>
    </row>
    <row r="305" spans="4:5" ht="12.75">
      <c r="D305" s="836"/>
      <c r="E305" s="836"/>
    </row>
    <row r="306" spans="4:5" ht="12.75">
      <c r="D306" s="836"/>
      <c r="E306" s="836"/>
    </row>
    <row r="307" spans="4:5" ht="12.75">
      <c r="D307" s="836"/>
      <c r="E307" s="836"/>
    </row>
    <row r="308" spans="4:5" ht="12.75">
      <c r="D308" s="836"/>
      <c r="E308" s="836"/>
    </row>
    <row r="309" spans="4:5" ht="12.75">
      <c r="D309" s="836"/>
      <c r="E309" s="836"/>
    </row>
    <row r="310" spans="4:5" ht="12.75">
      <c r="D310" s="836"/>
      <c r="E310" s="836"/>
    </row>
    <row r="311" spans="4:5" ht="12.75">
      <c r="D311" s="836"/>
      <c r="E311" s="836"/>
    </row>
    <row r="312" spans="4:5" ht="12.75">
      <c r="D312" s="836"/>
      <c r="E312" s="836"/>
    </row>
    <row r="313" spans="4:5" ht="12.75">
      <c r="D313" s="836"/>
      <c r="E313" s="836"/>
    </row>
    <row r="314" spans="4:5" ht="12.75">
      <c r="D314" s="836"/>
      <c r="E314" s="836"/>
    </row>
    <row r="315" spans="4:5" ht="12.75">
      <c r="D315" s="836"/>
      <c r="E315" s="836"/>
    </row>
    <row r="316" spans="4:5" ht="12.75">
      <c r="D316" s="836"/>
      <c r="E316" s="836"/>
    </row>
    <row r="317" spans="4:5" ht="12.75">
      <c r="D317" s="836"/>
      <c r="E317" s="836"/>
    </row>
    <row r="318" spans="4:5" ht="12.75">
      <c r="D318" s="836"/>
      <c r="E318" s="836"/>
    </row>
    <row r="319" spans="4:5" ht="12.75">
      <c r="D319" s="836"/>
      <c r="E319" s="836"/>
    </row>
    <row r="320" spans="4:5" ht="12.75">
      <c r="D320" s="836"/>
      <c r="E320" s="836"/>
    </row>
    <row r="321" spans="4:5" ht="12.75">
      <c r="D321" s="836"/>
      <c r="E321" s="836"/>
    </row>
    <row r="322" spans="4:5" ht="12.75">
      <c r="D322" s="836"/>
      <c r="E322" s="836"/>
    </row>
    <row r="323" spans="4:5" ht="12.75">
      <c r="D323" s="836"/>
      <c r="E323" s="836"/>
    </row>
    <row r="324" spans="4:5" ht="12.75">
      <c r="D324" s="836"/>
      <c r="E324" s="836"/>
    </row>
    <row r="325" spans="4:5" ht="12.75">
      <c r="D325" s="836"/>
      <c r="E325" s="836"/>
    </row>
    <row r="326" spans="4:5" ht="12.75">
      <c r="D326" s="836"/>
      <c r="E326" s="836"/>
    </row>
    <row r="327" spans="4:5" ht="12.75">
      <c r="D327" s="836"/>
      <c r="E327" s="836"/>
    </row>
    <row r="328" spans="4:5" ht="12.75">
      <c r="D328" s="836"/>
      <c r="E328" s="836"/>
    </row>
    <row r="329" spans="4:5" ht="12.75">
      <c r="D329" s="836"/>
      <c r="E329" s="836"/>
    </row>
    <row r="330" spans="4:5" ht="12.75">
      <c r="D330" s="836"/>
      <c r="E330" s="836"/>
    </row>
    <row r="331" spans="4:5" ht="12.75">
      <c r="D331" s="836"/>
      <c r="E331" s="836"/>
    </row>
    <row r="332" spans="4:5" ht="12.75">
      <c r="D332" s="836"/>
      <c r="E332" s="836"/>
    </row>
  </sheetData>
  <pageMargins left="0.79166666666666663" right="0.24791666666666667" top="0.39374999999999999" bottom="0.78749999999999998" header="1.1126239316638543E-308" footer="0.78749999999999998"/>
  <pageSetup paperSize="9" orientation="portrait" errors="NA" horizontalDpi="4294967293" verticalDpi="0"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QL720"/>
  <sheetViews>
    <sheetView topLeftCell="A10" zoomScale="120" zoomScaleNormal="120" workbookViewId="0">
      <pane xSplit="7" ySplit="6" topLeftCell="H494" activePane="bottomRight" state="frozen"/>
      <selection activeCell="A10" sqref="A10"/>
      <selection pane="topRight" activeCell="H10" sqref="H10"/>
      <selection pane="bottomLeft" activeCell="A16" sqref="A16"/>
      <selection pane="bottomRight" activeCell="G498" sqref="G498"/>
    </sheetView>
  </sheetViews>
  <sheetFormatPr defaultRowHeight="15"/>
  <cols>
    <col min="1" max="1" width="4.7109375" style="569" customWidth="1"/>
    <col min="2" max="2" width="5.7109375" style="567" customWidth="1"/>
    <col min="3" max="3" width="25.85546875" style="562" customWidth="1"/>
    <col min="4" max="6" width="4.7109375" style="563" hidden="1" customWidth="1"/>
    <col min="7" max="7" width="23" style="567" customWidth="1"/>
    <col min="8" max="8" width="30.7109375" style="567" customWidth="1"/>
    <col min="9" max="9" width="12.5703125" style="567" hidden="1" customWidth="1"/>
    <col min="10" max="12" width="10.7109375" style="590" hidden="1" customWidth="1"/>
    <col min="13" max="13" width="20.7109375" style="606" customWidth="1"/>
    <col min="14" max="14" width="10.7109375" style="590" hidden="1" customWidth="1"/>
    <col min="15" max="15" width="20.7109375" style="581" customWidth="1"/>
    <col min="16" max="16" width="10.7109375" style="590" hidden="1" customWidth="1"/>
    <col min="17" max="17" width="20.7109375" style="581" customWidth="1"/>
    <col min="18" max="18" width="10.7109375" style="590" hidden="1" customWidth="1"/>
    <col min="19" max="19" width="20.7109375" style="581" customWidth="1"/>
    <col min="20" max="20" width="10.7109375" style="590" hidden="1" customWidth="1"/>
    <col min="21" max="21" width="20.7109375" style="581" customWidth="1"/>
    <col min="22" max="22" width="10.7109375" style="590" hidden="1" customWidth="1"/>
    <col min="23" max="23" width="20.7109375" style="581" customWidth="1"/>
    <col min="24" max="24" width="20.7109375" style="567" customWidth="1"/>
    <col min="25" max="26" width="68.42578125" style="582" hidden="1" customWidth="1"/>
    <col min="27" max="28" width="9.140625" style="569"/>
    <col min="29" max="29" width="21.85546875" style="569" customWidth="1"/>
    <col min="30" max="30" width="9.140625" style="569"/>
    <col min="31" max="31" width="17.42578125" style="569" bestFit="1" customWidth="1"/>
    <col min="32" max="32" width="17.42578125" style="569" customWidth="1"/>
    <col min="33" max="33" width="17.42578125" style="569" bestFit="1" customWidth="1"/>
    <col min="34" max="34" width="17.42578125" style="569" customWidth="1"/>
    <col min="35" max="35" width="17.42578125" style="569" bestFit="1" customWidth="1"/>
    <col min="36" max="36" width="17.42578125" style="569" customWidth="1"/>
    <col min="37" max="37" width="17.42578125" style="569" bestFit="1" customWidth="1"/>
    <col min="38" max="38" width="17.42578125" style="569" customWidth="1"/>
    <col min="39" max="39" width="17.42578125" style="569" bestFit="1" customWidth="1"/>
    <col min="40" max="454" width="9.140625" style="569"/>
    <col min="455" max="16384" width="9.140625" style="568"/>
  </cols>
  <sheetData>
    <row r="1" spans="1:454" s="569" customFormat="1">
      <c r="B1" s="267"/>
      <c r="C1" s="561"/>
      <c r="D1" s="565"/>
      <c r="E1" s="565"/>
      <c r="F1" s="565"/>
      <c r="G1" s="267"/>
      <c r="H1" s="267"/>
      <c r="I1" s="267"/>
      <c r="J1" s="582"/>
      <c r="K1" s="582"/>
      <c r="L1" s="582"/>
      <c r="M1" s="793"/>
      <c r="N1" s="582"/>
      <c r="O1" s="582"/>
      <c r="P1" s="582"/>
      <c r="Q1" s="582"/>
      <c r="R1" s="582"/>
      <c r="S1" s="582"/>
      <c r="T1" s="582"/>
      <c r="U1" s="582"/>
      <c r="V1" s="582"/>
      <c r="W1" s="582"/>
      <c r="X1" s="267"/>
      <c r="Y1" s="582"/>
      <c r="Z1" s="582"/>
    </row>
    <row r="2" spans="1:454" s="569" customFormat="1">
      <c r="B2" s="267"/>
      <c r="C2" s="561"/>
      <c r="D2" s="565"/>
      <c r="E2" s="565"/>
      <c r="F2" s="565"/>
      <c r="G2" s="267"/>
      <c r="H2" s="267"/>
      <c r="I2" s="267"/>
      <c r="J2" s="582"/>
      <c r="K2" s="582"/>
      <c r="L2" s="582"/>
      <c r="M2" s="793"/>
      <c r="N2" s="582"/>
      <c r="O2" s="582"/>
      <c r="P2" s="582"/>
      <c r="Q2" s="582"/>
      <c r="R2" s="582"/>
      <c r="S2" s="582"/>
      <c r="T2" s="582"/>
      <c r="U2" s="582"/>
      <c r="V2" s="582"/>
      <c r="W2" s="582"/>
      <c r="X2" s="267"/>
      <c r="Y2" s="582"/>
      <c r="Z2" s="582"/>
    </row>
    <row r="3" spans="1:454" s="642" customFormat="1" ht="45" customHeight="1">
      <c r="A3" s="634"/>
      <c r="B3" s="1151" t="s">
        <v>6</v>
      </c>
      <c r="C3" s="1151"/>
      <c r="D3" s="1151" t="s">
        <v>54</v>
      </c>
      <c r="E3" s="1151"/>
      <c r="F3" s="1151"/>
      <c r="G3" s="1151"/>
      <c r="H3" s="1151" t="s">
        <v>4634</v>
      </c>
      <c r="I3" s="1151" t="s">
        <v>132</v>
      </c>
      <c r="J3" s="1151" t="s">
        <v>133</v>
      </c>
      <c r="K3" s="1151"/>
      <c r="L3" s="1151" t="s">
        <v>4635</v>
      </c>
      <c r="M3" s="1151"/>
      <c r="N3" s="1151"/>
      <c r="O3" s="1151"/>
      <c r="P3" s="1151"/>
      <c r="Q3" s="1151"/>
      <c r="R3" s="1151"/>
      <c r="S3" s="1151"/>
      <c r="T3" s="1151"/>
      <c r="U3" s="637"/>
      <c r="V3" s="1151" t="s">
        <v>136</v>
      </c>
      <c r="W3" s="1151"/>
      <c r="X3" s="1151" t="str">
        <f>'[1]matrik 4_ok'!AE5</f>
        <v>SKPD</v>
      </c>
      <c r="Y3" s="1151" t="s">
        <v>137</v>
      </c>
      <c r="Z3" s="1151" t="s">
        <v>138</v>
      </c>
      <c r="AA3" s="645"/>
      <c r="AB3" s="645"/>
      <c r="AC3" s="645"/>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4"/>
      <c r="FG3" s="634"/>
      <c r="FH3" s="634"/>
      <c r="FI3" s="634"/>
      <c r="FJ3" s="634"/>
      <c r="FK3" s="634"/>
      <c r="FL3" s="634"/>
      <c r="FM3" s="634"/>
      <c r="FN3" s="634"/>
      <c r="FO3" s="634"/>
      <c r="FP3" s="634"/>
      <c r="FQ3" s="634"/>
      <c r="FR3" s="634"/>
      <c r="FS3" s="634"/>
      <c r="FT3" s="634"/>
      <c r="FU3" s="634"/>
      <c r="FV3" s="634"/>
      <c r="FW3" s="634"/>
      <c r="FX3" s="634"/>
      <c r="FY3" s="634"/>
      <c r="FZ3" s="634"/>
      <c r="GA3" s="634"/>
      <c r="GB3" s="634"/>
      <c r="GC3" s="634"/>
      <c r="GD3" s="634"/>
      <c r="GE3" s="634"/>
      <c r="GF3" s="634"/>
      <c r="GG3" s="634"/>
      <c r="GH3" s="634"/>
      <c r="GI3" s="634"/>
      <c r="GJ3" s="634"/>
      <c r="GK3" s="634"/>
      <c r="GL3" s="634"/>
      <c r="GM3" s="634"/>
      <c r="GN3" s="634"/>
      <c r="GO3" s="634"/>
      <c r="GP3" s="634"/>
      <c r="GQ3" s="634"/>
      <c r="GR3" s="634"/>
      <c r="GS3" s="634"/>
      <c r="GT3" s="634"/>
      <c r="GU3" s="634"/>
      <c r="GV3" s="634"/>
      <c r="GW3" s="634"/>
      <c r="GX3" s="634"/>
      <c r="GY3" s="634"/>
      <c r="GZ3" s="634"/>
      <c r="HA3" s="634"/>
      <c r="HB3" s="634"/>
      <c r="HC3" s="634"/>
      <c r="HD3" s="634"/>
      <c r="HE3" s="634"/>
      <c r="HF3" s="634"/>
      <c r="HG3" s="634"/>
      <c r="HH3" s="634"/>
      <c r="HI3" s="634"/>
      <c r="HJ3" s="634"/>
      <c r="HK3" s="634"/>
      <c r="HL3" s="634"/>
      <c r="HM3" s="634"/>
      <c r="HN3" s="634"/>
      <c r="HO3" s="634"/>
      <c r="HP3" s="634"/>
      <c r="HQ3" s="634"/>
      <c r="HR3" s="634"/>
      <c r="HS3" s="634"/>
      <c r="HT3" s="634"/>
      <c r="HU3" s="634"/>
      <c r="HV3" s="634"/>
      <c r="HW3" s="634"/>
      <c r="HX3" s="634"/>
      <c r="HY3" s="634"/>
      <c r="HZ3" s="634"/>
      <c r="IA3" s="634"/>
      <c r="IB3" s="634"/>
      <c r="IC3" s="634"/>
      <c r="ID3" s="634"/>
      <c r="IE3" s="634"/>
      <c r="IF3" s="634"/>
      <c r="IG3" s="634"/>
      <c r="IH3" s="634"/>
      <c r="II3" s="634"/>
      <c r="IJ3" s="634"/>
      <c r="IK3" s="634"/>
      <c r="IL3" s="634"/>
      <c r="IM3" s="634"/>
      <c r="IN3" s="634"/>
      <c r="IO3" s="634"/>
      <c r="IP3" s="634"/>
      <c r="IQ3" s="634"/>
      <c r="IR3" s="634"/>
      <c r="IS3" s="634"/>
      <c r="IT3" s="634"/>
      <c r="IU3" s="634"/>
      <c r="IV3" s="634"/>
      <c r="IW3" s="634"/>
      <c r="IX3" s="634"/>
      <c r="IY3" s="634"/>
      <c r="IZ3" s="634"/>
      <c r="JA3" s="634"/>
      <c r="JB3" s="634"/>
      <c r="JC3" s="634"/>
      <c r="JD3" s="634"/>
      <c r="JE3" s="634"/>
      <c r="JF3" s="634"/>
      <c r="JG3" s="634"/>
      <c r="JH3" s="634"/>
      <c r="JI3" s="634"/>
      <c r="JJ3" s="634"/>
      <c r="JK3" s="634"/>
      <c r="JL3" s="634"/>
      <c r="JM3" s="634"/>
      <c r="JN3" s="634"/>
      <c r="JO3" s="634"/>
      <c r="JP3" s="634"/>
      <c r="JQ3" s="634"/>
      <c r="JR3" s="634"/>
      <c r="JS3" s="634"/>
      <c r="JT3" s="634"/>
      <c r="JU3" s="634"/>
      <c r="JV3" s="634"/>
      <c r="JW3" s="634"/>
      <c r="JX3" s="634"/>
      <c r="JY3" s="634"/>
      <c r="JZ3" s="634"/>
      <c r="KA3" s="634"/>
      <c r="KB3" s="634"/>
      <c r="KC3" s="634"/>
      <c r="KD3" s="634"/>
      <c r="KE3" s="634"/>
      <c r="KF3" s="634"/>
      <c r="KG3" s="634"/>
      <c r="KH3" s="634"/>
      <c r="KI3" s="634"/>
      <c r="KJ3" s="634"/>
      <c r="KK3" s="634"/>
      <c r="KL3" s="634"/>
      <c r="KM3" s="634"/>
      <c r="KN3" s="634"/>
      <c r="KO3" s="634"/>
      <c r="KP3" s="634"/>
      <c r="KQ3" s="634"/>
      <c r="KR3" s="634"/>
      <c r="KS3" s="634"/>
      <c r="KT3" s="634"/>
      <c r="KU3" s="634"/>
      <c r="KV3" s="634"/>
      <c r="KW3" s="634"/>
      <c r="KX3" s="634"/>
      <c r="KY3" s="634"/>
      <c r="KZ3" s="634"/>
      <c r="LA3" s="634"/>
      <c r="LB3" s="634"/>
      <c r="LC3" s="634"/>
      <c r="LD3" s="634"/>
      <c r="LE3" s="634"/>
      <c r="LF3" s="634"/>
      <c r="LG3" s="634"/>
      <c r="LH3" s="634"/>
      <c r="LI3" s="634"/>
      <c r="LJ3" s="634"/>
      <c r="LK3" s="634"/>
      <c r="LL3" s="634"/>
      <c r="LM3" s="634"/>
      <c r="LN3" s="634"/>
      <c r="LO3" s="634"/>
      <c r="LP3" s="634"/>
      <c r="LQ3" s="634"/>
      <c r="LR3" s="634"/>
      <c r="LS3" s="634"/>
      <c r="LT3" s="634"/>
      <c r="LU3" s="634"/>
      <c r="LV3" s="634"/>
      <c r="LW3" s="634"/>
      <c r="LX3" s="634"/>
      <c r="LY3" s="634"/>
      <c r="LZ3" s="634"/>
      <c r="MA3" s="634"/>
      <c r="MB3" s="634"/>
      <c r="MC3" s="634"/>
      <c r="MD3" s="634"/>
      <c r="ME3" s="634"/>
      <c r="MF3" s="634"/>
      <c r="MG3" s="634"/>
      <c r="MH3" s="634"/>
      <c r="MI3" s="634"/>
      <c r="MJ3" s="634"/>
      <c r="MK3" s="634"/>
      <c r="ML3" s="634"/>
      <c r="MM3" s="634"/>
      <c r="MN3" s="634"/>
      <c r="MO3" s="634"/>
      <c r="MP3" s="634"/>
      <c r="MQ3" s="634"/>
      <c r="MR3" s="634"/>
      <c r="MS3" s="634"/>
      <c r="MT3" s="634"/>
      <c r="MU3" s="634"/>
      <c r="MV3" s="634"/>
      <c r="MW3" s="634"/>
      <c r="MX3" s="634"/>
      <c r="MY3" s="634"/>
      <c r="MZ3" s="634"/>
      <c r="NA3" s="634"/>
      <c r="NB3" s="634"/>
      <c r="NC3" s="634"/>
      <c r="ND3" s="634"/>
      <c r="NE3" s="634"/>
      <c r="NF3" s="634"/>
      <c r="NG3" s="634"/>
      <c r="NH3" s="634"/>
      <c r="NI3" s="634"/>
      <c r="NJ3" s="634"/>
      <c r="NK3" s="634"/>
      <c r="NL3" s="634"/>
      <c r="NM3" s="634"/>
      <c r="NN3" s="634"/>
      <c r="NO3" s="634"/>
      <c r="NP3" s="634"/>
      <c r="NQ3" s="634"/>
      <c r="NR3" s="634"/>
      <c r="NS3" s="634"/>
      <c r="NT3" s="634"/>
      <c r="NU3" s="634"/>
      <c r="NV3" s="634"/>
      <c r="NW3" s="634"/>
      <c r="NX3" s="634"/>
      <c r="NY3" s="634"/>
      <c r="NZ3" s="634"/>
      <c r="OA3" s="634"/>
      <c r="OB3" s="634"/>
      <c r="OC3" s="634"/>
      <c r="OD3" s="634"/>
      <c r="OE3" s="634"/>
      <c r="OF3" s="634"/>
      <c r="OG3" s="634"/>
      <c r="OH3" s="634"/>
      <c r="OI3" s="634"/>
      <c r="OJ3" s="634"/>
      <c r="OK3" s="634"/>
      <c r="OL3" s="634"/>
      <c r="OM3" s="634"/>
      <c r="ON3" s="634"/>
      <c r="OO3" s="634"/>
      <c r="OP3" s="634"/>
      <c r="OQ3" s="634"/>
      <c r="OR3" s="634"/>
      <c r="OS3" s="634"/>
      <c r="OT3" s="634"/>
      <c r="OU3" s="634"/>
      <c r="OV3" s="634"/>
      <c r="OW3" s="634"/>
      <c r="OX3" s="634"/>
      <c r="OY3" s="634"/>
      <c r="OZ3" s="634"/>
      <c r="PA3" s="634"/>
      <c r="PB3" s="634"/>
      <c r="PC3" s="634"/>
      <c r="PD3" s="634"/>
      <c r="PE3" s="634"/>
      <c r="PF3" s="634"/>
      <c r="PG3" s="634"/>
      <c r="PH3" s="634"/>
      <c r="PI3" s="634"/>
      <c r="PJ3" s="634"/>
      <c r="PK3" s="634"/>
      <c r="PL3" s="634"/>
      <c r="PM3" s="634"/>
      <c r="PN3" s="634"/>
      <c r="PO3" s="634"/>
      <c r="PP3" s="634"/>
      <c r="PQ3" s="634"/>
      <c r="PR3" s="634"/>
      <c r="PS3" s="634"/>
      <c r="PT3" s="634"/>
      <c r="PU3" s="634"/>
      <c r="PV3" s="634"/>
      <c r="PW3" s="634"/>
      <c r="PX3" s="634"/>
      <c r="PY3" s="634"/>
      <c r="PZ3" s="634"/>
      <c r="QA3" s="634"/>
      <c r="QB3" s="634"/>
      <c r="QC3" s="634"/>
      <c r="QD3" s="634"/>
      <c r="QE3" s="634"/>
      <c r="QF3" s="634"/>
      <c r="QG3" s="634"/>
      <c r="QH3" s="634"/>
      <c r="QI3" s="634"/>
      <c r="QJ3" s="634"/>
      <c r="QK3" s="634"/>
      <c r="QL3" s="634"/>
    </row>
    <row r="4" spans="1:454" s="642" customFormat="1">
      <c r="A4" s="634"/>
      <c r="B4" s="1151"/>
      <c r="C4" s="1151"/>
      <c r="D4" s="1151" t="s">
        <v>4633</v>
      </c>
      <c r="E4" s="1151"/>
      <c r="F4" s="1151"/>
      <c r="G4" s="1151"/>
      <c r="H4" s="1153"/>
      <c r="I4" s="1151"/>
      <c r="J4" s="1151">
        <v>2012</v>
      </c>
      <c r="K4" s="1151">
        <v>2013</v>
      </c>
      <c r="L4" s="1151">
        <v>2014</v>
      </c>
      <c r="M4" s="1151"/>
      <c r="N4" s="1151">
        <v>2015</v>
      </c>
      <c r="O4" s="1151"/>
      <c r="P4" s="1151">
        <v>2016</v>
      </c>
      <c r="Q4" s="1151"/>
      <c r="R4" s="1151">
        <v>2017</v>
      </c>
      <c r="S4" s="1151"/>
      <c r="T4" s="1151">
        <v>2018</v>
      </c>
      <c r="U4" s="1151"/>
      <c r="V4" s="1151">
        <f>T4</f>
        <v>2018</v>
      </c>
      <c r="W4" s="1151"/>
      <c r="X4" s="1151"/>
      <c r="Y4" s="1151"/>
      <c r="Z4" s="1151"/>
      <c r="AA4" s="645"/>
      <c r="AB4" s="645"/>
      <c r="AC4" s="645"/>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c r="CG4" s="634"/>
      <c r="CH4" s="634"/>
      <c r="CI4" s="634"/>
      <c r="CJ4" s="634"/>
      <c r="CK4" s="634"/>
      <c r="CL4" s="634"/>
      <c r="CM4" s="634"/>
      <c r="CN4" s="634"/>
      <c r="CO4" s="634"/>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34"/>
      <c r="DN4" s="634"/>
      <c r="DO4" s="634"/>
      <c r="DP4" s="634"/>
      <c r="DQ4" s="634"/>
      <c r="DR4" s="634"/>
      <c r="DS4" s="634"/>
      <c r="DT4" s="634"/>
      <c r="DU4" s="634"/>
      <c r="DV4" s="634"/>
      <c r="DW4" s="634"/>
      <c r="DX4" s="634"/>
      <c r="DY4" s="634"/>
      <c r="DZ4" s="634"/>
      <c r="EA4" s="634"/>
      <c r="EB4" s="634"/>
      <c r="EC4" s="634"/>
      <c r="ED4" s="634"/>
      <c r="EE4" s="634"/>
      <c r="EF4" s="634"/>
      <c r="EG4" s="634"/>
      <c r="EH4" s="634"/>
      <c r="EI4" s="634"/>
      <c r="EJ4" s="634"/>
      <c r="EK4" s="634"/>
      <c r="EL4" s="634"/>
      <c r="EM4" s="634"/>
      <c r="EN4" s="634"/>
      <c r="EO4" s="634"/>
      <c r="EP4" s="634"/>
      <c r="EQ4" s="634"/>
      <c r="ER4" s="634"/>
      <c r="ES4" s="634"/>
      <c r="ET4" s="634"/>
      <c r="EU4" s="634"/>
      <c r="EV4" s="634"/>
      <c r="EW4" s="634"/>
      <c r="EX4" s="634"/>
      <c r="EY4" s="634"/>
      <c r="EZ4" s="634"/>
      <c r="FA4" s="634"/>
      <c r="FB4" s="634"/>
      <c r="FC4" s="634"/>
      <c r="FD4" s="634"/>
      <c r="FE4" s="634"/>
      <c r="FF4" s="634"/>
      <c r="FG4" s="634"/>
      <c r="FH4" s="634"/>
      <c r="FI4" s="634"/>
      <c r="FJ4" s="634"/>
      <c r="FK4" s="634"/>
      <c r="FL4" s="634"/>
      <c r="FM4" s="634"/>
      <c r="FN4" s="634"/>
      <c r="FO4" s="634"/>
      <c r="FP4" s="634"/>
      <c r="FQ4" s="634"/>
      <c r="FR4" s="634"/>
      <c r="FS4" s="634"/>
      <c r="FT4" s="634"/>
      <c r="FU4" s="634"/>
      <c r="FV4" s="634"/>
      <c r="FW4" s="634"/>
      <c r="FX4" s="634"/>
      <c r="FY4" s="634"/>
      <c r="FZ4" s="634"/>
      <c r="GA4" s="634"/>
      <c r="GB4" s="634"/>
      <c r="GC4" s="634"/>
      <c r="GD4" s="634"/>
      <c r="GE4" s="634"/>
      <c r="GF4" s="634"/>
      <c r="GG4" s="634"/>
      <c r="GH4" s="634"/>
      <c r="GI4" s="634"/>
      <c r="GJ4" s="634"/>
      <c r="GK4" s="634"/>
      <c r="GL4" s="634"/>
      <c r="GM4" s="634"/>
      <c r="GN4" s="634"/>
      <c r="GO4" s="634"/>
      <c r="GP4" s="634"/>
      <c r="GQ4" s="634"/>
      <c r="GR4" s="634"/>
      <c r="GS4" s="634"/>
      <c r="GT4" s="634"/>
      <c r="GU4" s="634"/>
      <c r="GV4" s="634"/>
      <c r="GW4" s="634"/>
      <c r="GX4" s="634"/>
      <c r="GY4" s="634"/>
      <c r="GZ4" s="634"/>
      <c r="HA4" s="634"/>
      <c r="HB4" s="634"/>
      <c r="HC4" s="634"/>
      <c r="HD4" s="634"/>
      <c r="HE4" s="634"/>
      <c r="HF4" s="634"/>
      <c r="HG4" s="634"/>
      <c r="HH4" s="634"/>
      <c r="HI4" s="634"/>
      <c r="HJ4" s="634"/>
      <c r="HK4" s="634"/>
      <c r="HL4" s="634"/>
      <c r="HM4" s="634"/>
      <c r="HN4" s="634"/>
      <c r="HO4" s="634"/>
      <c r="HP4" s="634"/>
      <c r="HQ4" s="634"/>
      <c r="HR4" s="634"/>
      <c r="HS4" s="634"/>
      <c r="HT4" s="634"/>
      <c r="HU4" s="634"/>
      <c r="HV4" s="634"/>
      <c r="HW4" s="634"/>
      <c r="HX4" s="634"/>
      <c r="HY4" s="634"/>
      <c r="HZ4" s="634"/>
      <c r="IA4" s="634"/>
      <c r="IB4" s="634"/>
      <c r="IC4" s="634"/>
      <c r="ID4" s="634"/>
      <c r="IE4" s="634"/>
      <c r="IF4" s="634"/>
      <c r="IG4" s="634"/>
      <c r="IH4" s="634"/>
      <c r="II4" s="634"/>
      <c r="IJ4" s="634"/>
      <c r="IK4" s="634"/>
      <c r="IL4" s="634"/>
      <c r="IM4" s="634"/>
      <c r="IN4" s="634"/>
      <c r="IO4" s="634"/>
      <c r="IP4" s="634"/>
      <c r="IQ4" s="634"/>
      <c r="IR4" s="634"/>
      <c r="IS4" s="634"/>
      <c r="IT4" s="634"/>
      <c r="IU4" s="634"/>
      <c r="IV4" s="634"/>
      <c r="IW4" s="634"/>
      <c r="IX4" s="634"/>
      <c r="IY4" s="634"/>
      <c r="IZ4" s="634"/>
      <c r="JA4" s="634"/>
      <c r="JB4" s="634"/>
      <c r="JC4" s="634"/>
      <c r="JD4" s="634"/>
      <c r="JE4" s="634"/>
      <c r="JF4" s="634"/>
      <c r="JG4" s="634"/>
      <c r="JH4" s="634"/>
      <c r="JI4" s="634"/>
      <c r="JJ4" s="634"/>
      <c r="JK4" s="634"/>
      <c r="JL4" s="634"/>
      <c r="JM4" s="634"/>
      <c r="JN4" s="634"/>
      <c r="JO4" s="634"/>
      <c r="JP4" s="634"/>
      <c r="JQ4" s="634"/>
      <c r="JR4" s="634"/>
      <c r="JS4" s="634"/>
      <c r="JT4" s="634"/>
      <c r="JU4" s="634"/>
      <c r="JV4" s="634"/>
      <c r="JW4" s="634"/>
      <c r="JX4" s="634"/>
      <c r="JY4" s="634"/>
      <c r="JZ4" s="634"/>
      <c r="KA4" s="634"/>
      <c r="KB4" s="634"/>
      <c r="KC4" s="634"/>
      <c r="KD4" s="634"/>
      <c r="KE4" s="634"/>
      <c r="KF4" s="634"/>
      <c r="KG4" s="634"/>
      <c r="KH4" s="634"/>
      <c r="KI4" s="634"/>
      <c r="KJ4" s="634"/>
      <c r="KK4" s="634"/>
      <c r="KL4" s="634"/>
      <c r="KM4" s="634"/>
      <c r="KN4" s="634"/>
      <c r="KO4" s="634"/>
      <c r="KP4" s="634"/>
      <c r="KQ4" s="634"/>
      <c r="KR4" s="634"/>
      <c r="KS4" s="634"/>
      <c r="KT4" s="634"/>
      <c r="KU4" s="634"/>
      <c r="KV4" s="634"/>
      <c r="KW4" s="634"/>
      <c r="KX4" s="634"/>
      <c r="KY4" s="634"/>
      <c r="KZ4" s="634"/>
      <c r="LA4" s="634"/>
      <c r="LB4" s="634"/>
      <c r="LC4" s="634"/>
      <c r="LD4" s="634"/>
      <c r="LE4" s="634"/>
      <c r="LF4" s="634"/>
      <c r="LG4" s="634"/>
      <c r="LH4" s="634"/>
      <c r="LI4" s="634"/>
      <c r="LJ4" s="634"/>
      <c r="LK4" s="634"/>
      <c r="LL4" s="634"/>
      <c r="LM4" s="634"/>
      <c r="LN4" s="634"/>
      <c r="LO4" s="634"/>
      <c r="LP4" s="634"/>
      <c r="LQ4" s="634"/>
      <c r="LR4" s="634"/>
      <c r="LS4" s="634"/>
      <c r="LT4" s="634"/>
      <c r="LU4" s="634"/>
      <c r="LV4" s="634"/>
      <c r="LW4" s="634"/>
      <c r="LX4" s="634"/>
      <c r="LY4" s="634"/>
      <c r="LZ4" s="634"/>
      <c r="MA4" s="634"/>
      <c r="MB4" s="634"/>
      <c r="MC4" s="634"/>
      <c r="MD4" s="634"/>
      <c r="ME4" s="634"/>
      <c r="MF4" s="634"/>
      <c r="MG4" s="634"/>
      <c r="MH4" s="634"/>
      <c r="MI4" s="634"/>
      <c r="MJ4" s="634"/>
      <c r="MK4" s="634"/>
      <c r="ML4" s="634"/>
      <c r="MM4" s="634"/>
      <c r="MN4" s="634"/>
      <c r="MO4" s="634"/>
      <c r="MP4" s="634"/>
      <c r="MQ4" s="634"/>
      <c r="MR4" s="634"/>
      <c r="MS4" s="634"/>
      <c r="MT4" s="634"/>
      <c r="MU4" s="634"/>
      <c r="MV4" s="634"/>
      <c r="MW4" s="634"/>
      <c r="MX4" s="634"/>
      <c r="MY4" s="634"/>
      <c r="MZ4" s="634"/>
      <c r="NA4" s="634"/>
      <c r="NB4" s="634"/>
      <c r="NC4" s="634"/>
      <c r="ND4" s="634"/>
      <c r="NE4" s="634"/>
      <c r="NF4" s="634"/>
      <c r="NG4" s="634"/>
      <c r="NH4" s="634"/>
      <c r="NI4" s="634"/>
      <c r="NJ4" s="634"/>
      <c r="NK4" s="634"/>
      <c r="NL4" s="634"/>
      <c r="NM4" s="634"/>
      <c r="NN4" s="634"/>
      <c r="NO4" s="634"/>
      <c r="NP4" s="634"/>
      <c r="NQ4" s="634"/>
      <c r="NR4" s="634"/>
      <c r="NS4" s="634"/>
      <c r="NT4" s="634"/>
      <c r="NU4" s="634"/>
      <c r="NV4" s="634"/>
      <c r="NW4" s="634"/>
      <c r="NX4" s="634"/>
      <c r="NY4" s="634"/>
      <c r="NZ4" s="634"/>
      <c r="OA4" s="634"/>
      <c r="OB4" s="634"/>
      <c r="OC4" s="634"/>
      <c r="OD4" s="634"/>
      <c r="OE4" s="634"/>
      <c r="OF4" s="634"/>
      <c r="OG4" s="634"/>
      <c r="OH4" s="634"/>
      <c r="OI4" s="634"/>
      <c r="OJ4" s="634"/>
      <c r="OK4" s="634"/>
      <c r="OL4" s="634"/>
      <c r="OM4" s="634"/>
      <c r="ON4" s="634"/>
      <c r="OO4" s="634"/>
      <c r="OP4" s="634"/>
      <c r="OQ4" s="634"/>
      <c r="OR4" s="634"/>
      <c r="OS4" s="634"/>
      <c r="OT4" s="634"/>
      <c r="OU4" s="634"/>
      <c r="OV4" s="634"/>
      <c r="OW4" s="634"/>
      <c r="OX4" s="634"/>
      <c r="OY4" s="634"/>
      <c r="OZ4" s="634"/>
      <c r="PA4" s="634"/>
      <c r="PB4" s="634"/>
      <c r="PC4" s="634"/>
      <c r="PD4" s="634"/>
      <c r="PE4" s="634"/>
      <c r="PF4" s="634"/>
      <c r="PG4" s="634"/>
      <c r="PH4" s="634"/>
      <c r="PI4" s="634"/>
      <c r="PJ4" s="634"/>
      <c r="PK4" s="634"/>
      <c r="PL4" s="634"/>
      <c r="PM4" s="634"/>
      <c r="PN4" s="634"/>
      <c r="PO4" s="634"/>
      <c r="PP4" s="634"/>
      <c r="PQ4" s="634"/>
      <c r="PR4" s="634"/>
      <c r="PS4" s="634"/>
      <c r="PT4" s="634"/>
      <c r="PU4" s="634"/>
      <c r="PV4" s="634"/>
      <c r="PW4" s="634"/>
      <c r="PX4" s="634"/>
      <c r="PY4" s="634"/>
      <c r="PZ4" s="634"/>
      <c r="QA4" s="634"/>
      <c r="QB4" s="634"/>
      <c r="QC4" s="634"/>
      <c r="QD4" s="634"/>
      <c r="QE4" s="634"/>
      <c r="QF4" s="634"/>
      <c r="QG4" s="634"/>
      <c r="QH4" s="634"/>
      <c r="QI4" s="634"/>
      <c r="QJ4" s="634"/>
      <c r="QK4" s="634"/>
      <c r="QL4" s="634"/>
    </row>
    <row r="5" spans="1:454" s="642" customFormat="1">
      <c r="A5" s="634"/>
      <c r="B5" s="1151"/>
      <c r="C5" s="1151"/>
      <c r="D5" s="1151"/>
      <c r="E5" s="1151"/>
      <c r="F5" s="1151"/>
      <c r="G5" s="1151"/>
      <c r="H5" s="1153"/>
      <c r="I5" s="1151"/>
      <c r="J5" s="1151"/>
      <c r="K5" s="1151"/>
      <c r="L5" s="637" t="s">
        <v>1799</v>
      </c>
      <c r="M5" s="643" t="s">
        <v>1802</v>
      </c>
      <c r="N5" s="637" t="s">
        <v>1799</v>
      </c>
      <c r="O5" s="637" t="s">
        <v>1802</v>
      </c>
      <c r="P5" s="637" t="s">
        <v>1799</v>
      </c>
      <c r="Q5" s="637" t="s">
        <v>1802</v>
      </c>
      <c r="R5" s="637" t="s">
        <v>1799</v>
      </c>
      <c r="S5" s="637" t="s">
        <v>1802</v>
      </c>
      <c r="T5" s="637" t="s">
        <v>1799</v>
      </c>
      <c r="U5" s="637" t="s">
        <v>1802</v>
      </c>
      <c r="V5" s="637" t="s">
        <v>1799</v>
      </c>
      <c r="W5" s="637" t="s">
        <v>1802</v>
      </c>
      <c r="X5" s="1151"/>
      <c r="Y5" s="1151"/>
      <c r="Z5" s="1151"/>
      <c r="AA5" s="645"/>
      <c r="AB5" s="645"/>
      <c r="AC5" s="645"/>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c r="EX5" s="634"/>
      <c r="EY5" s="634"/>
      <c r="EZ5" s="634"/>
      <c r="FA5" s="634"/>
      <c r="FB5" s="634"/>
      <c r="FC5" s="634"/>
      <c r="FD5" s="634"/>
      <c r="FE5" s="634"/>
      <c r="FF5" s="634"/>
      <c r="FG5" s="634"/>
      <c r="FH5" s="634"/>
      <c r="FI5" s="634"/>
      <c r="FJ5" s="634"/>
      <c r="FK5" s="634"/>
      <c r="FL5" s="634"/>
      <c r="FM5" s="634"/>
      <c r="FN5" s="634"/>
      <c r="FO5" s="634"/>
      <c r="FP5" s="634"/>
      <c r="FQ5" s="634"/>
      <c r="FR5" s="634"/>
      <c r="FS5" s="634"/>
      <c r="FT5" s="634"/>
      <c r="FU5" s="634"/>
      <c r="FV5" s="634"/>
      <c r="FW5" s="634"/>
      <c r="FX5" s="634"/>
      <c r="FY5" s="634"/>
      <c r="FZ5" s="634"/>
      <c r="GA5" s="634"/>
      <c r="GB5" s="634"/>
      <c r="GC5" s="634"/>
      <c r="GD5" s="634"/>
      <c r="GE5" s="634"/>
      <c r="GF5" s="634"/>
      <c r="GG5" s="634"/>
      <c r="GH5" s="634"/>
      <c r="GI5" s="634"/>
      <c r="GJ5" s="634"/>
      <c r="GK5" s="634"/>
      <c r="GL5" s="634"/>
      <c r="GM5" s="634"/>
      <c r="GN5" s="634"/>
      <c r="GO5" s="634"/>
      <c r="GP5" s="634"/>
      <c r="GQ5" s="634"/>
      <c r="GR5" s="634"/>
      <c r="GS5" s="634"/>
      <c r="GT5" s="634"/>
      <c r="GU5" s="634"/>
      <c r="GV5" s="634"/>
      <c r="GW5" s="634"/>
      <c r="GX5" s="634"/>
      <c r="GY5" s="634"/>
      <c r="GZ5" s="634"/>
      <c r="HA5" s="634"/>
      <c r="HB5" s="634"/>
      <c r="HC5" s="634"/>
      <c r="HD5" s="634"/>
      <c r="HE5" s="634"/>
      <c r="HF5" s="634"/>
      <c r="HG5" s="634"/>
      <c r="HH5" s="634"/>
      <c r="HI5" s="634"/>
      <c r="HJ5" s="634"/>
      <c r="HK5" s="634"/>
      <c r="HL5" s="634"/>
      <c r="HM5" s="634"/>
      <c r="HN5" s="634"/>
      <c r="HO5" s="634"/>
      <c r="HP5" s="634"/>
      <c r="HQ5" s="634"/>
      <c r="HR5" s="634"/>
      <c r="HS5" s="634"/>
      <c r="HT5" s="634"/>
      <c r="HU5" s="634"/>
      <c r="HV5" s="634"/>
      <c r="HW5" s="634"/>
      <c r="HX5" s="634"/>
      <c r="HY5" s="634"/>
      <c r="HZ5" s="634"/>
      <c r="IA5" s="634"/>
      <c r="IB5" s="634"/>
      <c r="IC5" s="634"/>
      <c r="ID5" s="634"/>
      <c r="IE5" s="634"/>
      <c r="IF5" s="634"/>
      <c r="IG5" s="634"/>
      <c r="IH5" s="634"/>
      <c r="II5" s="634"/>
      <c r="IJ5" s="634"/>
      <c r="IK5" s="634"/>
      <c r="IL5" s="634"/>
      <c r="IM5" s="634"/>
      <c r="IN5" s="634"/>
      <c r="IO5" s="634"/>
      <c r="IP5" s="634"/>
      <c r="IQ5" s="634"/>
      <c r="IR5" s="634"/>
      <c r="IS5" s="634"/>
      <c r="IT5" s="634"/>
      <c r="IU5" s="634"/>
      <c r="IV5" s="634"/>
      <c r="IW5" s="634"/>
      <c r="IX5" s="634"/>
      <c r="IY5" s="634"/>
      <c r="IZ5" s="634"/>
      <c r="JA5" s="634"/>
      <c r="JB5" s="634"/>
      <c r="JC5" s="634"/>
      <c r="JD5" s="634"/>
      <c r="JE5" s="634"/>
      <c r="JF5" s="634"/>
      <c r="JG5" s="634"/>
      <c r="JH5" s="634"/>
      <c r="JI5" s="634"/>
      <c r="JJ5" s="634"/>
      <c r="JK5" s="634"/>
      <c r="JL5" s="634"/>
      <c r="JM5" s="634"/>
      <c r="JN5" s="634"/>
      <c r="JO5" s="634"/>
      <c r="JP5" s="634"/>
      <c r="JQ5" s="634"/>
      <c r="JR5" s="634"/>
      <c r="JS5" s="634"/>
      <c r="JT5" s="634"/>
      <c r="JU5" s="634"/>
      <c r="JV5" s="634"/>
      <c r="JW5" s="634"/>
      <c r="JX5" s="634"/>
      <c r="JY5" s="634"/>
      <c r="JZ5" s="634"/>
      <c r="KA5" s="634"/>
      <c r="KB5" s="634"/>
      <c r="KC5" s="634"/>
      <c r="KD5" s="634"/>
      <c r="KE5" s="634"/>
      <c r="KF5" s="634"/>
      <c r="KG5" s="634"/>
      <c r="KH5" s="634"/>
      <c r="KI5" s="634"/>
      <c r="KJ5" s="634"/>
      <c r="KK5" s="634"/>
      <c r="KL5" s="634"/>
      <c r="KM5" s="634"/>
      <c r="KN5" s="634"/>
      <c r="KO5" s="634"/>
      <c r="KP5" s="634"/>
      <c r="KQ5" s="634"/>
      <c r="KR5" s="634"/>
      <c r="KS5" s="634"/>
      <c r="KT5" s="634"/>
      <c r="KU5" s="634"/>
      <c r="KV5" s="634"/>
      <c r="KW5" s="634"/>
      <c r="KX5" s="634"/>
      <c r="KY5" s="634"/>
      <c r="KZ5" s="634"/>
      <c r="LA5" s="634"/>
      <c r="LB5" s="634"/>
      <c r="LC5" s="634"/>
      <c r="LD5" s="634"/>
      <c r="LE5" s="634"/>
      <c r="LF5" s="634"/>
      <c r="LG5" s="634"/>
      <c r="LH5" s="634"/>
      <c r="LI5" s="634"/>
      <c r="LJ5" s="634"/>
      <c r="LK5" s="634"/>
      <c r="LL5" s="634"/>
      <c r="LM5" s="634"/>
      <c r="LN5" s="634"/>
      <c r="LO5" s="634"/>
      <c r="LP5" s="634"/>
      <c r="LQ5" s="634"/>
      <c r="LR5" s="634"/>
      <c r="LS5" s="634"/>
      <c r="LT5" s="634"/>
      <c r="LU5" s="634"/>
      <c r="LV5" s="634"/>
      <c r="LW5" s="634"/>
      <c r="LX5" s="634"/>
      <c r="LY5" s="634"/>
      <c r="LZ5" s="634"/>
      <c r="MA5" s="634"/>
      <c r="MB5" s="634"/>
      <c r="MC5" s="634"/>
      <c r="MD5" s="634"/>
      <c r="ME5" s="634"/>
      <c r="MF5" s="634"/>
      <c r="MG5" s="634"/>
      <c r="MH5" s="634"/>
      <c r="MI5" s="634"/>
      <c r="MJ5" s="634"/>
      <c r="MK5" s="634"/>
      <c r="ML5" s="634"/>
      <c r="MM5" s="634"/>
      <c r="MN5" s="634"/>
      <c r="MO5" s="634"/>
      <c r="MP5" s="634"/>
      <c r="MQ5" s="634"/>
      <c r="MR5" s="634"/>
      <c r="MS5" s="634"/>
      <c r="MT5" s="634"/>
      <c r="MU5" s="634"/>
      <c r="MV5" s="634"/>
      <c r="MW5" s="634"/>
      <c r="MX5" s="634"/>
      <c r="MY5" s="634"/>
      <c r="MZ5" s="634"/>
      <c r="NA5" s="634"/>
      <c r="NB5" s="634"/>
      <c r="NC5" s="634"/>
      <c r="ND5" s="634"/>
      <c r="NE5" s="634"/>
      <c r="NF5" s="634"/>
      <c r="NG5" s="634"/>
      <c r="NH5" s="634"/>
      <c r="NI5" s="634"/>
      <c r="NJ5" s="634"/>
      <c r="NK5" s="634"/>
      <c r="NL5" s="634"/>
      <c r="NM5" s="634"/>
      <c r="NN5" s="634"/>
      <c r="NO5" s="634"/>
      <c r="NP5" s="634"/>
      <c r="NQ5" s="634"/>
      <c r="NR5" s="634"/>
      <c r="NS5" s="634"/>
      <c r="NT5" s="634"/>
      <c r="NU5" s="634"/>
      <c r="NV5" s="634"/>
      <c r="NW5" s="634"/>
      <c r="NX5" s="634"/>
      <c r="NY5" s="634"/>
      <c r="NZ5" s="634"/>
      <c r="OA5" s="634"/>
      <c r="OB5" s="634"/>
      <c r="OC5" s="634"/>
      <c r="OD5" s="634"/>
      <c r="OE5" s="634"/>
      <c r="OF5" s="634"/>
      <c r="OG5" s="634"/>
      <c r="OH5" s="634"/>
      <c r="OI5" s="634"/>
      <c r="OJ5" s="634"/>
      <c r="OK5" s="634"/>
      <c r="OL5" s="634"/>
      <c r="OM5" s="634"/>
      <c r="ON5" s="634"/>
      <c r="OO5" s="634"/>
      <c r="OP5" s="634"/>
      <c r="OQ5" s="634"/>
      <c r="OR5" s="634"/>
      <c r="OS5" s="634"/>
      <c r="OT5" s="634"/>
      <c r="OU5" s="634"/>
      <c r="OV5" s="634"/>
      <c r="OW5" s="634"/>
      <c r="OX5" s="634"/>
      <c r="OY5" s="634"/>
      <c r="OZ5" s="634"/>
      <c r="PA5" s="634"/>
      <c r="PB5" s="634"/>
      <c r="PC5" s="634"/>
      <c r="PD5" s="634"/>
      <c r="PE5" s="634"/>
      <c r="PF5" s="634"/>
      <c r="PG5" s="634"/>
      <c r="PH5" s="634"/>
      <c r="PI5" s="634"/>
      <c r="PJ5" s="634"/>
      <c r="PK5" s="634"/>
      <c r="PL5" s="634"/>
      <c r="PM5" s="634"/>
      <c r="PN5" s="634"/>
      <c r="PO5" s="634"/>
      <c r="PP5" s="634"/>
      <c r="PQ5" s="634"/>
      <c r="PR5" s="634"/>
      <c r="PS5" s="634"/>
      <c r="PT5" s="634"/>
      <c r="PU5" s="634"/>
      <c r="PV5" s="634"/>
      <c r="PW5" s="634"/>
      <c r="PX5" s="634"/>
      <c r="PY5" s="634"/>
      <c r="PZ5" s="634"/>
      <c r="QA5" s="634"/>
      <c r="QB5" s="634"/>
      <c r="QC5" s="634"/>
      <c r="QD5" s="634"/>
      <c r="QE5" s="634"/>
      <c r="QF5" s="634"/>
      <c r="QG5" s="634"/>
      <c r="QH5" s="634"/>
      <c r="QI5" s="634"/>
      <c r="QJ5" s="634"/>
      <c r="QK5" s="634"/>
      <c r="QL5" s="634"/>
    </row>
    <row r="6" spans="1:454" s="639" customFormat="1">
      <c r="A6" s="635"/>
      <c r="B6" s="1152">
        <v>1</v>
      </c>
      <c r="C6" s="1152"/>
      <c r="D6" s="1152">
        <v>2</v>
      </c>
      <c r="E6" s="1152"/>
      <c r="F6" s="1152"/>
      <c r="G6" s="1152"/>
      <c r="H6" s="638">
        <v>3</v>
      </c>
      <c r="I6" s="638"/>
      <c r="J6" s="638">
        <v>7</v>
      </c>
      <c r="K6" s="638">
        <v>8</v>
      </c>
      <c r="L6" s="638">
        <v>9</v>
      </c>
      <c r="M6" s="640"/>
      <c r="N6" s="638">
        <v>11</v>
      </c>
      <c r="O6" s="638"/>
      <c r="P6" s="638">
        <v>13</v>
      </c>
      <c r="Q6" s="638"/>
      <c r="R6" s="638">
        <v>15</v>
      </c>
      <c r="S6" s="638"/>
      <c r="T6" s="638">
        <v>17</v>
      </c>
      <c r="U6" s="638"/>
      <c r="V6" s="638">
        <v>19</v>
      </c>
      <c r="W6" s="638"/>
      <c r="X6" s="638">
        <v>23</v>
      </c>
      <c r="Y6" s="638"/>
      <c r="Z6" s="638"/>
      <c r="AA6" s="646"/>
      <c r="AB6" s="646"/>
      <c r="AC6" s="646"/>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c r="DY6" s="635"/>
      <c r="DZ6" s="635"/>
      <c r="EA6" s="635"/>
      <c r="EB6" s="635"/>
      <c r="EC6" s="635"/>
      <c r="ED6" s="635"/>
      <c r="EE6" s="635"/>
      <c r="EF6" s="635"/>
      <c r="EG6" s="635"/>
      <c r="EH6" s="635"/>
      <c r="EI6" s="635"/>
      <c r="EJ6" s="635"/>
      <c r="EK6" s="635"/>
      <c r="EL6" s="635"/>
      <c r="EM6" s="635"/>
      <c r="EN6" s="635"/>
      <c r="EO6" s="635"/>
      <c r="EP6" s="635"/>
      <c r="EQ6" s="635"/>
      <c r="ER6" s="635"/>
      <c r="ES6" s="635"/>
      <c r="ET6" s="635"/>
      <c r="EU6" s="635"/>
      <c r="EV6" s="635"/>
      <c r="EW6" s="635"/>
      <c r="EX6" s="635"/>
      <c r="EY6" s="635"/>
      <c r="EZ6" s="635"/>
      <c r="FA6" s="635"/>
      <c r="FB6" s="635"/>
      <c r="FC6" s="635"/>
      <c r="FD6" s="635"/>
      <c r="FE6" s="635"/>
      <c r="FF6" s="635"/>
      <c r="FG6" s="635"/>
      <c r="FH6" s="635"/>
      <c r="FI6" s="635"/>
      <c r="FJ6" s="635"/>
      <c r="FK6" s="635"/>
      <c r="FL6" s="635"/>
      <c r="FM6" s="635"/>
      <c r="FN6" s="635"/>
      <c r="FO6" s="635"/>
      <c r="FP6" s="635"/>
      <c r="FQ6" s="635"/>
      <c r="FR6" s="635"/>
      <c r="FS6" s="635"/>
      <c r="FT6" s="635"/>
      <c r="FU6" s="635"/>
      <c r="FV6" s="635"/>
      <c r="FW6" s="635"/>
      <c r="FX6" s="635"/>
      <c r="FY6" s="635"/>
      <c r="FZ6" s="635"/>
      <c r="GA6" s="635"/>
      <c r="GB6" s="635"/>
      <c r="GC6" s="635"/>
      <c r="GD6" s="635"/>
      <c r="GE6" s="635"/>
      <c r="GF6" s="635"/>
      <c r="GG6" s="635"/>
      <c r="GH6" s="635"/>
      <c r="GI6" s="635"/>
      <c r="GJ6" s="635"/>
      <c r="GK6" s="635"/>
      <c r="GL6" s="635"/>
      <c r="GM6" s="635"/>
      <c r="GN6" s="635"/>
      <c r="GO6" s="635"/>
      <c r="GP6" s="635"/>
      <c r="GQ6" s="635"/>
      <c r="GR6" s="635"/>
      <c r="GS6" s="635"/>
      <c r="GT6" s="635"/>
      <c r="GU6" s="635"/>
      <c r="GV6" s="635"/>
      <c r="GW6" s="635"/>
      <c r="GX6" s="635"/>
      <c r="GY6" s="635"/>
      <c r="GZ6" s="635"/>
      <c r="HA6" s="635"/>
      <c r="HB6" s="635"/>
      <c r="HC6" s="635"/>
      <c r="HD6" s="635"/>
      <c r="HE6" s="635"/>
      <c r="HF6" s="635"/>
      <c r="HG6" s="635"/>
      <c r="HH6" s="635"/>
      <c r="HI6" s="635"/>
      <c r="HJ6" s="635"/>
      <c r="HK6" s="635"/>
      <c r="HL6" s="635"/>
      <c r="HM6" s="635"/>
      <c r="HN6" s="635"/>
      <c r="HO6" s="635"/>
      <c r="HP6" s="635"/>
      <c r="HQ6" s="635"/>
      <c r="HR6" s="635"/>
      <c r="HS6" s="635"/>
      <c r="HT6" s="635"/>
      <c r="HU6" s="635"/>
      <c r="HV6" s="635"/>
      <c r="HW6" s="635"/>
      <c r="HX6" s="635"/>
      <c r="HY6" s="635"/>
      <c r="HZ6" s="635"/>
      <c r="IA6" s="635"/>
      <c r="IB6" s="635"/>
      <c r="IC6" s="635"/>
      <c r="ID6" s="635"/>
      <c r="IE6" s="635"/>
      <c r="IF6" s="635"/>
      <c r="IG6" s="635"/>
      <c r="IH6" s="635"/>
      <c r="II6" s="635"/>
      <c r="IJ6" s="635"/>
      <c r="IK6" s="635"/>
      <c r="IL6" s="635"/>
      <c r="IM6" s="635"/>
      <c r="IN6" s="635"/>
      <c r="IO6" s="635"/>
      <c r="IP6" s="635"/>
      <c r="IQ6" s="635"/>
      <c r="IR6" s="635"/>
      <c r="IS6" s="635"/>
      <c r="IT6" s="635"/>
      <c r="IU6" s="635"/>
      <c r="IV6" s="635"/>
      <c r="IW6" s="635"/>
      <c r="IX6" s="635"/>
      <c r="IY6" s="635"/>
      <c r="IZ6" s="635"/>
      <c r="JA6" s="635"/>
      <c r="JB6" s="635"/>
      <c r="JC6" s="635"/>
      <c r="JD6" s="635"/>
      <c r="JE6" s="635"/>
      <c r="JF6" s="635"/>
      <c r="JG6" s="635"/>
      <c r="JH6" s="635"/>
      <c r="JI6" s="635"/>
      <c r="JJ6" s="635"/>
      <c r="JK6" s="635"/>
      <c r="JL6" s="635"/>
      <c r="JM6" s="635"/>
      <c r="JN6" s="635"/>
      <c r="JO6" s="635"/>
      <c r="JP6" s="635"/>
      <c r="JQ6" s="635"/>
      <c r="JR6" s="635"/>
      <c r="JS6" s="635"/>
      <c r="JT6" s="635"/>
      <c r="JU6" s="635"/>
      <c r="JV6" s="635"/>
      <c r="JW6" s="635"/>
      <c r="JX6" s="635"/>
      <c r="JY6" s="635"/>
      <c r="JZ6" s="635"/>
      <c r="KA6" s="635"/>
      <c r="KB6" s="635"/>
      <c r="KC6" s="635"/>
      <c r="KD6" s="635"/>
      <c r="KE6" s="635"/>
      <c r="KF6" s="635"/>
      <c r="KG6" s="635"/>
      <c r="KH6" s="635"/>
      <c r="KI6" s="635"/>
      <c r="KJ6" s="635"/>
      <c r="KK6" s="635"/>
      <c r="KL6" s="635"/>
      <c r="KM6" s="635"/>
      <c r="KN6" s="635"/>
      <c r="KO6" s="635"/>
      <c r="KP6" s="635"/>
      <c r="KQ6" s="635"/>
      <c r="KR6" s="635"/>
      <c r="KS6" s="635"/>
      <c r="KT6" s="635"/>
      <c r="KU6" s="635"/>
      <c r="KV6" s="635"/>
      <c r="KW6" s="635"/>
      <c r="KX6" s="635"/>
      <c r="KY6" s="635"/>
      <c r="KZ6" s="635"/>
      <c r="LA6" s="635"/>
      <c r="LB6" s="635"/>
      <c r="LC6" s="635"/>
      <c r="LD6" s="635"/>
      <c r="LE6" s="635"/>
      <c r="LF6" s="635"/>
      <c r="LG6" s="635"/>
      <c r="LH6" s="635"/>
      <c r="LI6" s="635"/>
      <c r="LJ6" s="635"/>
      <c r="LK6" s="635"/>
      <c r="LL6" s="635"/>
      <c r="LM6" s="635"/>
      <c r="LN6" s="635"/>
      <c r="LO6" s="635"/>
      <c r="LP6" s="635"/>
      <c r="LQ6" s="635"/>
      <c r="LR6" s="635"/>
      <c r="LS6" s="635"/>
      <c r="LT6" s="635"/>
      <c r="LU6" s="635"/>
      <c r="LV6" s="635"/>
      <c r="LW6" s="635"/>
      <c r="LX6" s="635"/>
      <c r="LY6" s="635"/>
      <c r="LZ6" s="635"/>
      <c r="MA6" s="635"/>
      <c r="MB6" s="635"/>
      <c r="MC6" s="635"/>
      <c r="MD6" s="635"/>
      <c r="ME6" s="635"/>
      <c r="MF6" s="635"/>
      <c r="MG6" s="635"/>
      <c r="MH6" s="635"/>
      <c r="MI6" s="635"/>
      <c r="MJ6" s="635"/>
      <c r="MK6" s="635"/>
      <c r="ML6" s="635"/>
      <c r="MM6" s="635"/>
      <c r="MN6" s="635"/>
      <c r="MO6" s="635"/>
      <c r="MP6" s="635"/>
      <c r="MQ6" s="635"/>
      <c r="MR6" s="635"/>
      <c r="MS6" s="635"/>
      <c r="MT6" s="635"/>
      <c r="MU6" s="635"/>
      <c r="MV6" s="635"/>
      <c r="MW6" s="635"/>
      <c r="MX6" s="635"/>
      <c r="MY6" s="635"/>
      <c r="MZ6" s="635"/>
      <c r="NA6" s="635"/>
      <c r="NB6" s="635"/>
      <c r="NC6" s="635"/>
      <c r="ND6" s="635"/>
      <c r="NE6" s="635"/>
      <c r="NF6" s="635"/>
      <c r="NG6" s="635"/>
      <c r="NH6" s="635"/>
      <c r="NI6" s="635"/>
      <c r="NJ6" s="635"/>
      <c r="NK6" s="635"/>
      <c r="NL6" s="635"/>
      <c r="NM6" s="635"/>
      <c r="NN6" s="635"/>
      <c r="NO6" s="635"/>
      <c r="NP6" s="635"/>
      <c r="NQ6" s="635"/>
      <c r="NR6" s="635"/>
      <c r="NS6" s="635"/>
      <c r="NT6" s="635"/>
      <c r="NU6" s="635"/>
      <c r="NV6" s="635"/>
      <c r="NW6" s="635"/>
      <c r="NX6" s="635"/>
      <c r="NY6" s="635"/>
      <c r="NZ6" s="635"/>
      <c r="OA6" s="635"/>
      <c r="OB6" s="635"/>
      <c r="OC6" s="635"/>
      <c r="OD6" s="635"/>
      <c r="OE6" s="635"/>
      <c r="OF6" s="635"/>
      <c r="OG6" s="635"/>
      <c r="OH6" s="635"/>
      <c r="OI6" s="635"/>
      <c r="OJ6" s="635"/>
      <c r="OK6" s="635"/>
      <c r="OL6" s="635"/>
      <c r="OM6" s="635"/>
      <c r="ON6" s="635"/>
      <c r="OO6" s="635"/>
      <c r="OP6" s="635"/>
      <c r="OQ6" s="635"/>
      <c r="OR6" s="635"/>
      <c r="OS6" s="635"/>
      <c r="OT6" s="635"/>
      <c r="OU6" s="635"/>
      <c r="OV6" s="635"/>
      <c r="OW6" s="635"/>
      <c r="OX6" s="635"/>
      <c r="OY6" s="635"/>
      <c r="OZ6" s="635"/>
      <c r="PA6" s="635"/>
      <c r="PB6" s="635"/>
      <c r="PC6" s="635"/>
      <c r="PD6" s="635"/>
      <c r="PE6" s="635"/>
      <c r="PF6" s="635"/>
      <c r="PG6" s="635"/>
      <c r="PH6" s="635"/>
      <c r="PI6" s="635"/>
      <c r="PJ6" s="635"/>
      <c r="PK6" s="635"/>
      <c r="PL6" s="635"/>
      <c r="PM6" s="635"/>
      <c r="PN6" s="635"/>
      <c r="PO6" s="635"/>
      <c r="PP6" s="635"/>
      <c r="PQ6" s="635"/>
      <c r="PR6" s="635"/>
      <c r="PS6" s="635"/>
      <c r="PT6" s="635"/>
      <c r="PU6" s="635"/>
      <c r="PV6" s="635"/>
      <c r="PW6" s="635"/>
      <c r="PX6" s="635"/>
      <c r="PY6" s="635"/>
      <c r="PZ6" s="635"/>
      <c r="QA6" s="635"/>
      <c r="QB6" s="635"/>
      <c r="QC6" s="635"/>
      <c r="QD6" s="635"/>
      <c r="QE6" s="635"/>
      <c r="QF6" s="635"/>
      <c r="QG6" s="635"/>
      <c r="QH6" s="635"/>
      <c r="QI6" s="635"/>
      <c r="QJ6" s="635"/>
      <c r="QK6" s="635"/>
      <c r="QL6" s="635"/>
    </row>
    <row r="7" spans="1:454" s="779" customFormat="1" ht="15.75">
      <c r="A7" s="636"/>
      <c r="B7" s="780"/>
      <c r="C7" s="780"/>
      <c r="D7" s="781"/>
      <c r="E7" s="781"/>
      <c r="F7" s="781"/>
      <c r="G7" s="781"/>
      <c r="H7" s="781"/>
      <c r="I7" s="781"/>
      <c r="J7" s="781"/>
      <c r="K7" s="781"/>
      <c r="L7" s="781" t="s">
        <v>4660</v>
      </c>
      <c r="M7" s="782">
        <v>537633992530</v>
      </c>
      <c r="O7" s="782">
        <v>503510419757</v>
      </c>
      <c r="Q7" s="782">
        <v>503354573041</v>
      </c>
      <c r="R7" s="781"/>
      <c r="S7" s="782">
        <v>522847942474</v>
      </c>
      <c r="T7" s="781"/>
      <c r="U7" s="782">
        <v>575555798537</v>
      </c>
      <c r="V7" s="781"/>
      <c r="W7" s="783">
        <f t="shared" ref="W7" si="0">SUM(M7:U7)</f>
        <v>2642902726339</v>
      </c>
      <c r="X7" s="781"/>
      <c r="Y7" s="784"/>
      <c r="Z7" s="784"/>
      <c r="AA7" s="636"/>
      <c r="AB7" s="636"/>
      <c r="AC7" s="636"/>
      <c r="AD7" s="636"/>
      <c r="AE7" s="636"/>
      <c r="AF7" s="636"/>
      <c r="AG7" s="636"/>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c r="BU7" s="636"/>
      <c r="BV7" s="636"/>
      <c r="BW7" s="636"/>
      <c r="BX7" s="636"/>
      <c r="BY7" s="636"/>
      <c r="BZ7" s="636"/>
      <c r="CA7" s="636"/>
      <c r="CB7" s="636"/>
      <c r="CC7" s="636"/>
      <c r="CD7" s="636"/>
      <c r="CE7" s="636"/>
      <c r="CF7" s="636"/>
      <c r="CG7" s="636"/>
      <c r="CH7" s="636"/>
      <c r="CI7" s="636"/>
      <c r="CJ7" s="636"/>
      <c r="CK7" s="636"/>
      <c r="CL7" s="636"/>
      <c r="CM7" s="636"/>
      <c r="CN7" s="636"/>
      <c r="CO7" s="636"/>
      <c r="CP7" s="636"/>
      <c r="CQ7" s="636"/>
      <c r="CR7" s="636"/>
      <c r="CS7" s="636"/>
      <c r="CT7" s="636"/>
      <c r="CU7" s="636"/>
      <c r="CV7" s="636"/>
      <c r="CW7" s="636"/>
      <c r="CX7" s="636"/>
      <c r="CY7" s="636"/>
      <c r="CZ7" s="636"/>
      <c r="DA7" s="636"/>
      <c r="DB7" s="636"/>
      <c r="DC7" s="636"/>
      <c r="DD7" s="636"/>
      <c r="DE7" s="636"/>
      <c r="DF7" s="636"/>
      <c r="DG7" s="636"/>
      <c r="DH7" s="636"/>
      <c r="DI7" s="636"/>
      <c r="DJ7" s="636"/>
      <c r="DK7" s="636"/>
      <c r="DL7" s="636"/>
      <c r="DM7" s="636"/>
      <c r="DN7" s="636"/>
      <c r="DO7" s="636"/>
      <c r="DP7" s="636"/>
      <c r="DQ7" s="636"/>
      <c r="DR7" s="636"/>
      <c r="DS7" s="636"/>
      <c r="DT7" s="636"/>
      <c r="DU7" s="636"/>
      <c r="DV7" s="636"/>
      <c r="DW7" s="636"/>
      <c r="DX7" s="636"/>
      <c r="DY7" s="636"/>
      <c r="DZ7" s="636"/>
      <c r="EA7" s="636"/>
      <c r="EB7" s="636"/>
      <c r="EC7" s="636"/>
      <c r="ED7" s="636"/>
      <c r="EE7" s="636"/>
      <c r="EF7" s="636"/>
      <c r="EG7" s="636"/>
      <c r="EH7" s="636"/>
      <c r="EI7" s="636"/>
      <c r="EJ7" s="636"/>
      <c r="EK7" s="636"/>
      <c r="EL7" s="636"/>
      <c r="EM7" s="636"/>
      <c r="EN7" s="636"/>
      <c r="EO7" s="636"/>
      <c r="EP7" s="636"/>
      <c r="EQ7" s="636"/>
      <c r="ER7" s="636"/>
      <c r="ES7" s="636"/>
      <c r="ET7" s="636"/>
      <c r="EU7" s="636"/>
      <c r="EV7" s="636"/>
      <c r="EW7" s="636"/>
      <c r="EX7" s="636"/>
      <c r="EY7" s="636"/>
      <c r="EZ7" s="636"/>
      <c r="FA7" s="636"/>
      <c r="FB7" s="636"/>
      <c r="FC7" s="636"/>
      <c r="FD7" s="636"/>
      <c r="FE7" s="636"/>
      <c r="FF7" s="636"/>
      <c r="FG7" s="636"/>
      <c r="FH7" s="636"/>
      <c r="FI7" s="636"/>
      <c r="FJ7" s="636"/>
      <c r="FK7" s="636"/>
      <c r="FL7" s="636"/>
      <c r="FM7" s="636"/>
      <c r="FN7" s="636"/>
      <c r="FO7" s="636"/>
      <c r="FP7" s="636"/>
      <c r="FQ7" s="636"/>
      <c r="FR7" s="636"/>
      <c r="FS7" s="636"/>
      <c r="FT7" s="636"/>
      <c r="FU7" s="636"/>
      <c r="FV7" s="636"/>
      <c r="FW7" s="636"/>
      <c r="FX7" s="636"/>
      <c r="FY7" s="636"/>
      <c r="FZ7" s="636"/>
      <c r="GA7" s="636"/>
      <c r="GB7" s="636"/>
      <c r="GC7" s="636"/>
      <c r="GD7" s="636"/>
      <c r="GE7" s="636"/>
      <c r="GF7" s="636"/>
      <c r="GG7" s="636"/>
      <c r="GH7" s="636"/>
      <c r="GI7" s="636"/>
      <c r="GJ7" s="636"/>
      <c r="GK7" s="636"/>
      <c r="GL7" s="636"/>
      <c r="GM7" s="636"/>
      <c r="GN7" s="636"/>
      <c r="GO7" s="636"/>
      <c r="GP7" s="636"/>
      <c r="GQ7" s="636"/>
      <c r="GR7" s="636"/>
      <c r="GS7" s="636"/>
      <c r="GT7" s="636"/>
      <c r="GU7" s="636"/>
      <c r="GV7" s="636"/>
      <c r="GW7" s="636"/>
      <c r="GX7" s="636"/>
      <c r="GY7" s="636"/>
      <c r="GZ7" s="636"/>
      <c r="HA7" s="636"/>
      <c r="HB7" s="636"/>
      <c r="HC7" s="636"/>
      <c r="HD7" s="636"/>
      <c r="HE7" s="636"/>
      <c r="HF7" s="636"/>
      <c r="HG7" s="636"/>
      <c r="HH7" s="636"/>
      <c r="HI7" s="636"/>
      <c r="HJ7" s="636"/>
      <c r="HK7" s="636"/>
      <c r="HL7" s="636"/>
      <c r="HM7" s="636"/>
      <c r="HN7" s="636"/>
      <c r="HO7" s="636"/>
      <c r="HP7" s="636"/>
      <c r="HQ7" s="636"/>
      <c r="HR7" s="636"/>
      <c r="HS7" s="636"/>
      <c r="HT7" s="636"/>
      <c r="HU7" s="636"/>
      <c r="HV7" s="636"/>
      <c r="HW7" s="636"/>
      <c r="HX7" s="636"/>
      <c r="HY7" s="636"/>
      <c r="HZ7" s="636"/>
      <c r="IA7" s="636"/>
      <c r="IB7" s="636"/>
      <c r="IC7" s="636"/>
      <c r="ID7" s="636"/>
      <c r="IE7" s="636"/>
      <c r="IF7" s="636"/>
      <c r="IG7" s="636"/>
      <c r="IH7" s="636"/>
      <c r="II7" s="636"/>
      <c r="IJ7" s="636"/>
      <c r="IK7" s="636"/>
      <c r="IL7" s="636"/>
      <c r="IM7" s="636"/>
      <c r="IN7" s="636"/>
      <c r="IO7" s="636"/>
      <c r="IP7" s="636"/>
      <c r="IQ7" s="636"/>
      <c r="IR7" s="636"/>
      <c r="IS7" s="636"/>
      <c r="IT7" s="636"/>
      <c r="IU7" s="636"/>
      <c r="IV7" s="636"/>
      <c r="IW7" s="636"/>
      <c r="IX7" s="636"/>
      <c r="IY7" s="636"/>
      <c r="IZ7" s="636"/>
      <c r="JA7" s="636"/>
      <c r="JB7" s="636"/>
      <c r="JC7" s="636"/>
      <c r="JD7" s="636"/>
      <c r="JE7" s="636"/>
      <c r="JF7" s="636"/>
      <c r="JG7" s="636"/>
      <c r="JH7" s="636"/>
      <c r="JI7" s="636"/>
      <c r="JJ7" s="636"/>
      <c r="JK7" s="636"/>
      <c r="JL7" s="636"/>
      <c r="JM7" s="636"/>
      <c r="JN7" s="636"/>
      <c r="JO7" s="636"/>
      <c r="JP7" s="636"/>
      <c r="JQ7" s="636"/>
      <c r="JR7" s="636"/>
      <c r="JS7" s="636"/>
      <c r="JT7" s="636"/>
      <c r="JU7" s="636"/>
      <c r="JV7" s="636"/>
      <c r="JW7" s="636"/>
      <c r="JX7" s="636"/>
      <c r="JY7" s="636"/>
      <c r="JZ7" s="636"/>
      <c r="KA7" s="636"/>
      <c r="KB7" s="636"/>
      <c r="KC7" s="636"/>
      <c r="KD7" s="636"/>
      <c r="KE7" s="636"/>
      <c r="KF7" s="636"/>
      <c r="KG7" s="636"/>
      <c r="KH7" s="636"/>
      <c r="KI7" s="636"/>
      <c r="KJ7" s="636"/>
      <c r="KK7" s="636"/>
      <c r="KL7" s="636"/>
      <c r="KM7" s="636"/>
      <c r="KN7" s="636"/>
      <c r="KO7" s="636"/>
      <c r="KP7" s="636"/>
      <c r="KQ7" s="636"/>
      <c r="KR7" s="636"/>
      <c r="KS7" s="636"/>
      <c r="KT7" s="636"/>
      <c r="KU7" s="636"/>
      <c r="KV7" s="636"/>
      <c r="KW7" s="636"/>
      <c r="KX7" s="636"/>
      <c r="KY7" s="636"/>
      <c r="KZ7" s="636"/>
      <c r="LA7" s="636"/>
      <c r="LB7" s="636"/>
      <c r="LC7" s="636"/>
      <c r="LD7" s="636"/>
      <c r="LE7" s="636"/>
      <c r="LF7" s="636"/>
      <c r="LG7" s="636"/>
      <c r="LH7" s="636"/>
      <c r="LI7" s="636"/>
      <c r="LJ7" s="636"/>
      <c r="LK7" s="636"/>
      <c r="LL7" s="636"/>
      <c r="LM7" s="636"/>
      <c r="LN7" s="636"/>
      <c r="LO7" s="636"/>
      <c r="LP7" s="636"/>
      <c r="LQ7" s="636"/>
      <c r="LR7" s="636"/>
      <c r="LS7" s="636"/>
      <c r="LT7" s="636"/>
      <c r="LU7" s="636"/>
      <c r="LV7" s="636"/>
      <c r="LW7" s="636"/>
      <c r="LX7" s="636"/>
      <c r="LY7" s="636"/>
      <c r="LZ7" s="636"/>
      <c r="MA7" s="636"/>
      <c r="MB7" s="636"/>
      <c r="MC7" s="636"/>
      <c r="MD7" s="636"/>
      <c r="ME7" s="636"/>
      <c r="MF7" s="636"/>
      <c r="MG7" s="636"/>
      <c r="MH7" s="636"/>
      <c r="MI7" s="636"/>
      <c r="MJ7" s="636"/>
      <c r="MK7" s="636"/>
      <c r="ML7" s="636"/>
      <c r="MM7" s="636"/>
      <c r="MN7" s="636"/>
      <c r="MO7" s="636"/>
      <c r="MP7" s="636"/>
      <c r="MQ7" s="636"/>
      <c r="MR7" s="636"/>
      <c r="MS7" s="636"/>
      <c r="MT7" s="636"/>
      <c r="MU7" s="636"/>
      <c r="MV7" s="636"/>
      <c r="MW7" s="636"/>
      <c r="MX7" s="636"/>
      <c r="MY7" s="636"/>
      <c r="MZ7" s="636"/>
      <c r="NA7" s="636"/>
      <c r="NB7" s="636"/>
      <c r="NC7" s="636"/>
      <c r="ND7" s="636"/>
      <c r="NE7" s="636"/>
      <c r="NF7" s="636"/>
      <c r="NG7" s="636"/>
      <c r="NH7" s="636"/>
      <c r="NI7" s="636"/>
      <c r="NJ7" s="636"/>
      <c r="NK7" s="636"/>
      <c r="NL7" s="636"/>
      <c r="NM7" s="636"/>
      <c r="NN7" s="636"/>
      <c r="NO7" s="636"/>
      <c r="NP7" s="636"/>
      <c r="NQ7" s="636"/>
      <c r="NR7" s="636"/>
      <c r="NS7" s="636"/>
      <c r="NT7" s="636"/>
      <c r="NU7" s="636"/>
      <c r="NV7" s="636"/>
      <c r="NW7" s="636"/>
      <c r="NX7" s="636"/>
      <c r="NY7" s="636"/>
      <c r="NZ7" s="636"/>
      <c r="OA7" s="636"/>
      <c r="OB7" s="636"/>
      <c r="OC7" s="636"/>
      <c r="OD7" s="636"/>
      <c r="OE7" s="636"/>
      <c r="OF7" s="636"/>
      <c r="OG7" s="636"/>
      <c r="OH7" s="636"/>
      <c r="OI7" s="636"/>
      <c r="OJ7" s="636"/>
      <c r="OK7" s="636"/>
      <c r="OL7" s="636"/>
      <c r="OM7" s="636"/>
      <c r="ON7" s="636"/>
      <c r="OO7" s="636"/>
      <c r="OP7" s="636"/>
      <c r="OQ7" s="636"/>
      <c r="OR7" s="636"/>
      <c r="OS7" s="636"/>
      <c r="OT7" s="636"/>
      <c r="OU7" s="636"/>
      <c r="OV7" s="636"/>
      <c r="OW7" s="636"/>
      <c r="OX7" s="636"/>
      <c r="OY7" s="636"/>
      <c r="OZ7" s="636"/>
      <c r="PA7" s="636"/>
      <c r="PB7" s="636"/>
      <c r="PC7" s="636"/>
      <c r="PD7" s="636"/>
      <c r="PE7" s="636"/>
      <c r="PF7" s="636"/>
      <c r="PG7" s="636"/>
      <c r="PH7" s="636"/>
      <c r="PI7" s="636"/>
      <c r="PJ7" s="636"/>
      <c r="PK7" s="636"/>
      <c r="PL7" s="636"/>
      <c r="PM7" s="636"/>
      <c r="PN7" s="636"/>
      <c r="PO7" s="636"/>
      <c r="PP7" s="636"/>
      <c r="PQ7" s="636"/>
      <c r="PR7" s="636"/>
      <c r="PS7" s="636"/>
      <c r="PT7" s="636"/>
      <c r="PU7" s="636"/>
      <c r="PV7" s="636"/>
      <c r="PW7" s="636"/>
      <c r="PX7" s="636"/>
      <c r="PY7" s="636"/>
      <c r="PZ7" s="636"/>
      <c r="QA7" s="636"/>
      <c r="QB7" s="636"/>
      <c r="QC7" s="636"/>
      <c r="QD7" s="636"/>
      <c r="QE7" s="636"/>
      <c r="QF7" s="636"/>
      <c r="QG7" s="636"/>
      <c r="QH7" s="636"/>
      <c r="QI7" s="636"/>
      <c r="QJ7" s="636"/>
      <c r="QK7" s="636"/>
      <c r="QL7" s="636"/>
    </row>
    <row r="8" spans="1:454" s="785" customFormat="1" ht="15.75">
      <c r="A8" s="636"/>
      <c r="B8" s="786"/>
      <c r="C8" s="786"/>
      <c r="D8" s="787"/>
      <c r="E8" s="787"/>
      <c r="F8" s="787"/>
      <c r="G8" s="787"/>
      <c r="H8" s="787"/>
      <c r="I8" s="787"/>
      <c r="J8" s="787"/>
      <c r="K8" s="787"/>
      <c r="L8" s="788" t="s">
        <v>4658</v>
      </c>
      <c r="M8" s="789">
        <f>M12</f>
        <v>121238639000</v>
      </c>
      <c r="O8" s="789">
        <f>O12</f>
        <v>131488639000</v>
      </c>
      <c r="Q8" s="789">
        <f>Q12</f>
        <v>131488639000</v>
      </c>
      <c r="R8" s="787"/>
      <c r="S8" s="789">
        <f>S12</f>
        <v>135738639000</v>
      </c>
      <c r="T8" s="787"/>
      <c r="U8" s="789">
        <f>U12</f>
        <v>158238639000</v>
      </c>
      <c r="V8" s="787"/>
      <c r="W8" s="790">
        <f>SUM(M8:U8)</f>
        <v>678193195000</v>
      </c>
      <c r="X8" s="787"/>
      <c r="Y8" s="791"/>
      <c r="Z8" s="791"/>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c r="CU8" s="636"/>
      <c r="CV8" s="636"/>
      <c r="CW8" s="636"/>
      <c r="CX8" s="636"/>
      <c r="CY8" s="636"/>
      <c r="CZ8" s="636"/>
      <c r="DA8" s="636"/>
      <c r="DB8" s="636"/>
      <c r="DC8" s="636"/>
      <c r="DD8" s="636"/>
      <c r="DE8" s="636"/>
      <c r="DF8" s="636"/>
      <c r="DG8" s="636"/>
      <c r="DH8" s="636"/>
      <c r="DI8" s="636"/>
      <c r="DJ8" s="636"/>
      <c r="DK8" s="636"/>
      <c r="DL8" s="636"/>
      <c r="DM8" s="636"/>
      <c r="DN8" s="636"/>
      <c r="DO8" s="636"/>
      <c r="DP8" s="636"/>
      <c r="DQ8" s="636"/>
      <c r="DR8" s="636"/>
      <c r="DS8" s="636"/>
      <c r="DT8" s="636"/>
      <c r="DU8" s="636"/>
      <c r="DV8" s="636"/>
      <c r="DW8" s="636"/>
      <c r="DX8" s="636"/>
      <c r="DY8" s="636"/>
      <c r="DZ8" s="636"/>
      <c r="EA8" s="636"/>
      <c r="EB8" s="636"/>
      <c r="EC8" s="636"/>
      <c r="ED8" s="636"/>
      <c r="EE8" s="636"/>
      <c r="EF8" s="636"/>
      <c r="EG8" s="636"/>
      <c r="EH8" s="636"/>
      <c r="EI8" s="636"/>
      <c r="EJ8" s="636"/>
      <c r="EK8" s="636"/>
      <c r="EL8" s="636"/>
      <c r="EM8" s="636"/>
      <c r="EN8" s="636"/>
      <c r="EO8" s="636"/>
      <c r="EP8" s="636"/>
      <c r="EQ8" s="636"/>
      <c r="ER8" s="636"/>
      <c r="ES8" s="636"/>
      <c r="ET8" s="636"/>
      <c r="EU8" s="636"/>
      <c r="EV8" s="636"/>
      <c r="EW8" s="636"/>
      <c r="EX8" s="636"/>
      <c r="EY8" s="636"/>
      <c r="EZ8" s="636"/>
      <c r="FA8" s="636"/>
      <c r="FB8" s="636"/>
      <c r="FC8" s="636"/>
      <c r="FD8" s="636"/>
      <c r="FE8" s="636"/>
      <c r="FF8" s="636"/>
      <c r="FG8" s="636"/>
      <c r="FH8" s="636"/>
      <c r="FI8" s="636"/>
      <c r="FJ8" s="636"/>
      <c r="FK8" s="636"/>
      <c r="FL8" s="636"/>
      <c r="FM8" s="636"/>
      <c r="FN8" s="636"/>
      <c r="FO8" s="636"/>
      <c r="FP8" s="636"/>
      <c r="FQ8" s="636"/>
      <c r="FR8" s="636"/>
      <c r="FS8" s="636"/>
      <c r="FT8" s="636"/>
      <c r="FU8" s="636"/>
      <c r="FV8" s="636"/>
      <c r="FW8" s="636"/>
      <c r="FX8" s="636"/>
      <c r="FY8" s="636"/>
      <c r="FZ8" s="636"/>
      <c r="GA8" s="636"/>
      <c r="GB8" s="636"/>
      <c r="GC8" s="636"/>
      <c r="GD8" s="636"/>
      <c r="GE8" s="636"/>
      <c r="GF8" s="636"/>
      <c r="GG8" s="636"/>
      <c r="GH8" s="636"/>
      <c r="GI8" s="636"/>
      <c r="GJ8" s="636"/>
      <c r="GK8" s="636"/>
      <c r="GL8" s="636"/>
      <c r="GM8" s="636"/>
      <c r="GN8" s="636"/>
      <c r="GO8" s="636"/>
      <c r="GP8" s="636"/>
      <c r="GQ8" s="636"/>
      <c r="GR8" s="636"/>
      <c r="GS8" s="636"/>
      <c r="GT8" s="636"/>
      <c r="GU8" s="636"/>
      <c r="GV8" s="636"/>
      <c r="GW8" s="636"/>
      <c r="GX8" s="636"/>
      <c r="GY8" s="636"/>
      <c r="GZ8" s="636"/>
      <c r="HA8" s="636"/>
      <c r="HB8" s="636"/>
      <c r="HC8" s="636"/>
      <c r="HD8" s="636"/>
      <c r="HE8" s="636"/>
      <c r="HF8" s="636"/>
      <c r="HG8" s="636"/>
      <c r="HH8" s="636"/>
      <c r="HI8" s="636"/>
      <c r="HJ8" s="636"/>
      <c r="HK8" s="636"/>
      <c r="HL8" s="636"/>
      <c r="HM8" s="636"/>
      <c r="HN8" s="636"/>
      <c r="HO8" s="636"/>
      <c r="HP8" s="636"/>
      <c r="HQ8" s="636"/>
      <c r="HR8" s="636"/>
      <c r="HS8" s="636"/>
      <c r="HT8" s="636"/>
      <c r="HU8" s="636"/>
      <c r="HV8" s="636"/>
      <c r="HW8" s="636"/>
      <c r="HX8" s="636"/>
      <c r="HY8" s="636"/>
      <c r="HZ8" s="636"/>
      <c r="IA8" s="636"/>
      <c r="IB8" s="636"/>
      <c r="IC8" s="636"/>
      <c r="ID8" s="636"/>
      <c r="IE8" s="636"/>
      <c r="IF8" s="636"/>
      <c r="IG8" s="636"/>
      <c r="IH8" s="636"/>
      <c r="II8" s="636"/>
      <c r="IJ8" s="636"/>
      <c r="IK8" s="636"/>
      <c r="IL8" s="636"/>
      <c r="IM8" s="636"/>
      <c r="IN8" s="636"/>
      <c r="IO8" s="636"/>
      <c r="IP8" s="636"/>
      <c r="IQ8" s="636"/>
      <c r="IR8" s="636"/>
      <c r="IS8" s="636"/>
      <c r="IT8" s="636"/>
      <c r="IU8" s="636"/>
      <c r="IV8" s="636"/>
      <c r="IW8" s="636"/>
      <c r="IX8" s="636"/>
      <c r="IY8" s="636"/>
      <c r="IZ8" s="636"/>
      <c r="JA8" s="636"/>
      <c r="JB8" s="636"/>
      <c r="JC8" s="636"/>
      <c r="JD8" s="636"/>
      <c r="JE8" s="636"/>
      <c r="JF8" s="636"/>
      <c r="JG8" s="636"/>
      <c r="JH8" s="636"/>
      <c r="JI8" s="636"/>
      <c r="JJ8" s="636"/>
      <c r="JK8" s="636"/>
      <c r="JL8" s="636"/>
      <c r="JM8" s="636"/>
      <c r="JN8" s="636"/>
      <c r="JO8" s="636"/>
      <c r="JP8" s="636"/>
      <c r="JQ8" s="636"/>
      <c r="JR8" s="636"/>
      <c r="JS8" s="636"/>
      <c r="JT8" s="636"/>
      <c r="JU8" s="636"/>
      <c r="JV8" s="636"/>
      <c r="JW8" s="636"/>
      <c r="JX8" s="636"/>
      <c r="JY8" s="636"/>
      <c r="JZ8" s="636"/>
      <c r="KA8" s="636"/>
      <c r="KB8" s="636"/>
      <c r="KC8" s="636"/>
      <c r="KD8" s="636"/>
      <c r="KE8" s="636"/>
      <c r="KF8" s="636"/>
      <c r="KG8" s="636"/>
      <c r="KH8" s="636"/>
      <c r="KI8" s="636"/>
      <c r="KJ8" s="636"/>
      <c r="KK8" s="636"/>
      <c r="KL8" s="636"/>
      <c r="KM8" s="636"/>
      <c r="KN8" s="636"/>
      <c r="KO8" s="636"/>
      <c r="KP8" s="636"/>
      <c r="KQ8" s="636"/>
      <c r="KR8" s="636"/>
      <c r="KS8" s="636"/>
      <c r="KT8" s="636"/>
      <c r="KU8" s="636"/>
      <c r="KV8" s="636"/>
      <c r="KW8" s="636"/>
      <c r="KX8" s="636"/>
      <c r="KY8" s="636"/>
      <c r="KZ8" s="636"/>
      <c r="LA8" s="636"/>
      <c r="LB8" s="636"/>
      <c r="LC8" s="636"/>
      <c r="LD8" s="636"/>
      <c r="LE8" s="636"/>
      <c r="LF8" s="636"/>
      <c r="LG8" s="636"/>
      <c r="LH8" s="636"/>
      <c r="LI8" s="636"/>
      <c r="LJ8" s="636"/>
      <c r="LK8" s="636"/>
      <c r="LL8" s="636"/>
      <c r="LM8" s="636"/>
      <c r="LN8" s="636"/>
      <c r="LO8" s="636"/>
      <c r="LP8" s="636"/>
      <c r="LQ8" s="636"/>
      <c r="LR8" s="636"/>
      <c r="LS8" s="636"/>
      <c r="LT8" s="636"/>
      <c r="LU8" s="636"/>
      <c r="LV8" s="636"/>
      <c r="LW8" s="636"/>
      <c r="LX8" s="636"/>
      <c r="LY8" s="636"/>
      <c r="LZ8" s="636"/>
      <c r="MA8" s="636"/>
      <c r="MB8" s="636"/>
      <c r="MC8" s="636"/>
      <c r="MD8" s="636"/>
      <c r="ME8" s="636"/>
      <c r="MF8" s="636"/>
      <c r="MG8" s="636"/>
      <c r="MH8" s="636"/>
      <c r="MI8" s="636"/>
      <c r="MJ8" s="636"/>
      <c r="MK8" s="636"/>
      <c r="ML8" s="636"/>
      <c r="MM8" s="636"/>
      <c r="MN8" s="636"/>
      <c r="MO8" s="636"/>
      <c r="MP8" s="636"/>
      <c r="MQ8" s="636"/>
      <c r="MR8" s="636"/>
      <c r="MS8" s="636"/>
      <c r="MT8" s="636"/>
      <c r="MU8" s="636"/>
      <c r="MV8" s="636"/>
      <c r="MW8" s="636"/>
      <c r="MX8" s="636"/>
      <c r="MY8" s="636"/>
      <c r="MZ8" s="636"/>
      <c r="NA8" s="636"/>
      <c r="NB8" s="636"/>
      <c r="NC8" s="636"/>
      <c r="ND8" s="636"/>
      <c r="NE8" s="636"/>
      <c r="NF8" s="636"/>
      <c r="NG8" s="636"/>
      <c r="NH8" s="636"/>
      <c r="NI8" s="636"/>
      <c r="NJ8" s="636"/>
      <c r="NK8" s="636"/>
      <c r="NL8" s="636"/>
      <c r="NM8" s="636"/>
      <c r="NN8" s="636"/>
      <c r="NO8" s="636"/>
      <c r="NP8" s="636"/>
      <c r="NQ8" s="636"/>
      <c r="NR8" s="636"/>
      <c r="NS8" s="636"/>
      <c r="NT8" s="636"/>
      <c r="NU8" s="636"/>
      <c r="NV8" s="636"/>
      <c r="NW8" s="636"/>
      <c r="NX8" s="636"/>
      <c r="NY8" s="636"/>
      <c r="NZ8" s="636"/>
      <c r="OA8" s="636"/>
      <c r="OB8" s="636"/>
      <c r="OC8" s="636"/>
      <c r="OD8" s="636"/>
      <c r="OE8" s="636"/>
      <c r="OF8" s="636"/>
      <c r="OG8" s="636"/>
      <c r="OH8" s="636"/>
      <c r="OI8" s="636"/>
      <c r="OJ8" s="636"/>
      <c r="OK8" s="636"/>
      <c r="OL8" s="636"/>
      <c r="OM8" s="636"/>
      <c r="ON8" s="636"/>
      <c r="OO8" s="636"/>
      <c r="OP8" s="636"/>
      <c r="OQ8" s="636"/>
      <c r="OR8" s="636"/>
      <c r="OS8" s="636"/>
      <c r="OT8" s="636"/>
      <c r="OU8" s="636"/>
      <c r="OV8" s="636"/>
      <c r="OW8" s="636"/>
      <c r="OX8" s="636"/>
      <c r="OY8" s="636"/>
      <c r="OZ8" s="636"/>
      <c r="PA8" s="636"/>
      <c r="PB8" s="636"/>
      <c r="PC8" s="636"/>
      <c r="PD8" s="636"/>
      <c r="PE8" s="636"/>
      <c r="PF8" s="636"/>
      <c r="PG8" s="636"/>
      <c r="PH8" s="636"/>
      <c r="PI8" s="636"/>
      <c r="PJ8" s="636"/>
      <c r="PK8" s="636"/>
      <c r="PL8" s="636"/>
      <c r="PM8" s="636"/>
      <c r="PN8" s="636"/>
      <c r="PO8" s="636"/>
      <c r="PP8" s="636"/>
      <c r="PQ8" s="636"/>
      <c r="PR8" s="636"/>
      <c r="PS8" s="636"/>
      <c r="PT8" s="636"/>
      <c r="PU8" s="636"/>
      <c r="PV8" s="636"/>
      <c r="PW8" s="636"/>
      <c r="PX8" s="636"/>
      <c r="PY8" s="636"/>
      <c r="PZ8" s="636"/>
      <c r="QA8" s="636"/>
      <c r="QB8" s="636"/>
      <c r="QC8" s="636"/>
      <c r="QD8" s="636"/>
      <c r="QE8" s="636"/>
      <c r="QF8" s="636"/>
      <c r="QG8" s="636"/>
      <c r="QH8" s="636"/>
      <c r="QI8" s="636"/>
      <c r="QJ8" s="636"/>
      <c r="QK8" s="636"/>
      <c r="QL8" s="636"/>
    </row>
    <row r="9" spans="1:454" s="620" customFormat="1" ht="30">
      <c r="A9" s="566"/>
      <c r="B9" s="792"/>
      <c r="C9" s="792"/>
      <c r="D9" s="621"/>
      <c r="E9" s="621"/>
      <c r="F9" s="621"/>
      <c r="G9" s="621"/>
      <c r="H9" s="621"/>
      <c r="I9" s="621"/>
      <c r="J9" s="621"/>
      <c r="K9" s="621"/>
      <c r="L9" s="621" t="s">
        <v>4659</v>
      </c>
      <c r="M9" s="622">
        <f>SUM(M54:M720)</f>
        <v>416395353530</v>
      </c>
      <c r="N9" s="622"/>
      <c r="O9" s="622">
        <f>SUM(O54:O720)</f>
        <v>372021780757.25</v>
      </c>
      <c r="P9" s="622"/>
      <c r="Q9" s="622">
        <f>SUM(Q54:Q720)</f>
        <v>371865934041.12</v>
      </c>
      <c r="R9" s="622"/>
      <c r="S9" s="622">
        <f>SUM(S54:S720)</f>
        <v>387109303474.32001</v>
      </c>
      <c r="T9" s="622"/>
      <c r="U9" s="622">
        <f>SUM(U54:U720)</f>
        <v>417317159536.83002</v>
      </c>
      <c r="V9" s="621"/>
      <c r="W9" s="578">
        <f>SUM(M9:U9)</f>
        <v>1964709531339.5203</v>
      </c>
      <c r="X9" s="621"/>
      <c r="Y9" s="623"/>
      <c r="Z9" s="623"/>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6"/>
      <c r="BX9" s="566"/>
      <c r="BY9" s="566"/>
      <c r="BZ9" s="566"/>
      <c r="CA9" s="566"/>
      <c r="CB9" s="566"/>
      <c r="CC9" s="566"/>
      <c r="CD9" s="566"/>
      <c r="CE9" s="566"/>
      <c r="CF9" s="566"/>
      <c r="CG9" s="566"/>
      <c r="CH9" s="566"/>
      <c r="CI9" s="566"/>
      <c r="CJ9" s="566"/>
      <c r="CK9" s="566"/>
      <c r="CL9" s="566"/>
      <c r="CM9" s="566"/>
      <c r="CN9" s="566"/>
      <c r="CO9" s="566"/>
      <c r="CP9" s="566"/>
      <c r="CQ9" s="566"/>
      <c r="CR9" s="566"/>
      <c r="CS9" s="566"/>
      <c r="CT9" s="566"/>
      <c r="CU9" s="566"/>
      <c r="CV9" s="566"/>
      <c r="CW9" s="566"/>
      <c r="CX9" s="566"/>
      <c r="CY9" s="566"/>
      <c r="CZ9" s="566"/>
      <c r="DA9" s="566"/>
      <c r="DB9" s="566"/>
      <c r="DC9" s="566"/>
      <c r="DD9" s="566"/>
      <c r="DE9" s="566"/>
      <c r="DF9" s="566"/>
      <c r="DG9" s="566"/>
      <c r="DH9" s="566"/>
      <c r="DI9" s="566"/>
      <c r="DJ9" s="566"/>
      <c r="DK9" s="566"/>
      <c r="DL9" s="566"/>
      <c r="DM9" s="566"/>
      <c r="DN9" s="566"/>
      <c r="DO9" s="566"/>
      <c r="DP9" s="566"/>
      <c r="DQ9" s="566"/>
      <c r="DR9" s="566"/>
      <c r="DS9" s="566"/>
      <c r="DT9" s="566"/>
      <c r="DU9" s="566"/>
      <c r="DV9" s="566"/>
      <c r="DW9" s="566"/>
      <c r="DX9" s="566"/>
      <c r="DY9" s="566"/>
      <c r="DZ9" s="566"/>
      <c r="EA9" s="566"/>
      <c r="EB9" s="566"/>
      <c r="EC9" s="566"/>
      <c r="ED9" s="566"/>
      <c r="EE9" s="566"/>
      <c r="EF9" s="566"/>
      <c r="EG9" s="566"/>
      <c r="EH9" s="566"/>
      <c r="EI9" s="566"/>
      <c r="EJ9" s="566"/>
      <c r="EK9" s="566"/>
      <c r="EL9" s="566"/>
      <c r="EM9" s="566"/>
      <c r="EN9" s="566"/>
      <c r="EO9" s="566"/>
      <c r="EP9" s="566"/>
      <c r="EQ9" s="566"/>
      <c r="ER9" s="566"/>
      <c r="ES9" s="566"/>
      <c r="ET9" s="566"/>
      <c r="EU9" s="566"/>
      <c r="EV9" s="566"/>
      <c r="EW9" s="566"/>
      <c r="EX9" s="566"/>
      <c r="EY9" s="566"/>
      <c r="EZ9" s="566"/>
      <c r="FA9" s="566"/>
      <c r="FB9" s="566"/>
      <c r="FC9" s="566"/>
      <c r="FD9" s="566"/>
      <c r="FE9" s="566"/>
      <c r="FF9" s="566"/>
      <c r="FG9" s="566"/>
      <c r="FH9" s="566"/>
      <c r="FI9" s="566"/>
      <c r="FJ9" s="566"/>
      <c r="FK9" s="566"/>
      <c r="FL9" s="566"/>
      <c r="FM9" s="566"/>
      <c r="FN9" s="566"/>
      <c r="FO9" s="566"/>
      <c r="FP9" s="566"/>
      <c r="FQ9" s="566"/>
      <c r="FR9" s="566"/>
      <c r="FS9" s="566"/>
      <c r="FT9" s="566"/>
      <c r="FU9" s="566"/>
      <c r="FV9" s="566"/>
      <c r="FW9" s="566"/>
      <c r="FX9" s="566"/>
      <c r="FY9" s="566"/>
      <c r="FZ9" s="566"/>
      <c r="GA9" s="566"/>
      <c r="GB9" s="566"/>
      <c r="GC9" s="566"/>
      <c r="GD9" s="566"/>
      <c r="GE9" s="566"/>
      <c r="GF9" s="566"/>
      <c r="GG9" s="566"/>
      <c r="GH9" s="566"/>
      <c r="GI9" s="566"/>
      <c r="GJ9" s="566"/>
      <c r="GK9" s="566"/>
      <c r="GL9" s="566"/>
      <c r="GM9" s="566"/>
      <c r="GN9" s="566"/>
      <c r="GO9" s="566"/>
      <c r="GP9" s="566"/>
      <c r="GQ9" s="566"/>
      <c r="GR9" s="566"/>
      <c r="GS9" s="566"/>
      <c r="GT9" s="566"/>
      <c r="GU9" s="566"/>
      <c r="GV9" s="566"/>
      <c r="GW9" s="566"/>
      <c r="GX9" s="566"/>
      <c r="GY9" s="566"/>
      <c r="GZ9" s="566"/>
      <c r="HA9" s="566"/>
      <c r="HB9" s="566"/>
      <c r="HC9" s="566"/>
      <c r="HD9" s="566"/>
      <c r="HE9" s="566"/>
      <c r="HF9" s="566"/>
      <c r="HG9" s="566"/>
      <c r="HH9" s="566"/>
      <c r="HI9" s="566"/>
      <c r="HJ9" s="566"/>
      <c r="HK9" s="566"/>
      <c r="HL9" s="566"/>
      <c r="HM9" s="566"/>
      <c r="HN9" s="566"/>
      <c r="HO9" s="566"/>
      <c r="HP9" s="566"/>
      <c r="HQ9" s="566"/>
      <c r="HR9" s="566"/>
      <c r="HS9" s="566"/>
      <c r="HT9" s="566"/>
      <c r="HU9" s="566"/>
      <c r="HV9" s="566"/>
      <c r="HW9" s="566"/>
      <c r="HX9" s="566"/>
      <c r="HY9" s="566"/>
      <c r="HZ9" s="566"/>
      <c r="IA9" s="566"/>
      <c r="IB9" s="566"/>
      <c r="IC9" s="566"/>
      <c r="ID9" s="566"/>
      <c r="IE9" s="566"/>
      <c r="IF9" s="566"/>
      <c r="IG9" s="566"/>
      <c r="IH9" s="566"/>
      <c r="II9" s="566"/>
      <c r="IJ9" s="566"/>
      <c r="IK9" s="566"/>
      <c r="IL9" s="566"/>
      <c r="IM9" s="566"/>
      <c r="IN9" s="566"/>
      <c r="IO9" s="566"/>
      <c r="IP9" s="566"/>
      <c r="IQ9" s="566"/>
      <c r="IR9" s="566"/>
      <c r="IS9" s="566"/>
      <c r="IT9" s="566"/>
      <c r="IU9" s="566"/>
      <c r="IV9" s="566"/>
      <c r="IW9" s="566"/>
      <c r="IX9" s="566"/>
      <c r="IY9" s="566"/>
      <c r="IZ9" s="566"/>
      <c r="JA9" s="566"/>
      <c r="JB9" s="566"/>
      <c r="JC9" s="566"/>
      <c r="JD9" s="566"/>
      <c r="JE9" s="566"/>
      <c r="JF9" s="566"/>
      <c r="JG9" s="566"/>
      <c r="JH9" s="566"/>
      <c r="JI9" s="566"/>
      <c r="JJ9" s="566"/>
      <c r="JK9" s="566"/>
      <c r="JL9" s="566"/>
      <c r="JM9" s="566"/>
      <c r="JN9" s="566"/>
      <c r="JO9" s="566"/>
      <c r="JP9" s="566"/>
      <c r="JQ9" s="566"/>
      <c r="JR9" s="566"/>
      <c r="JS9" s="566"/>
      <c r="JT9" s="566"/>
      <c r="JU9" s="566"/>
      <c r="JV9" s="566"/>
      <c r="JW9" s="566"/>
      <c r="JX9" s="566"/>
      <c r="JY9" s="566"/>
      <c r="JZ9" s="566"/>
      <c r="KA9" s="566"/>
      <c r="KB9" s="566"/>
      <c r="KC9" s="566"/>
      <c r="KD9" s="566"/>
      <c r="KE9" s="566"/>
      <c r="KF9" s="566"/>
      <c r="KG9" s="566"/>
      <c r="KH9" s="566"/>
      <c r="KI9" s="566"/>
      <c r="KJ9" s="566"/>
      <c r="KK9" s="566"/>
      <c r="KL9" s="566"/>
      <c r="KM9" s="566"/>
      <c r="KN9" s="566"/>
      <c r="KO9" s="566"/>
      <c r="KP9" s="566"/>
      <c r="KQ9" s="566"/>
      <c r="KR9" s="566"/>
      <c r="KS9" s="566"/>
      <c r="KT9" s="566"/>
      <c r="KU9" s="566"/>
      <c r="KV9" s="566"/>
      <c r="KW9" s="566"/>
      <c r="KX9" s="566"/>
      <c r="KY9" s="566"/>
      <c r="KZ9" s="566"/>
      <c r="LA9" s="566"/>
      <c r="LB9" s="566"/>
      <c r="LC9" s="566"/>
      <c r="LD9" s="566"/>
      <c r="LE9" s="566"/>
      <c r="LF9" s="566"/>
      <c r="LG9" s="566"/>
      <c r="LH9" s="566"/>
      <c r="LI9" s="566"/>
      <c r="LJ9" s="566"/>
      <c r="LK9" s="566"/>
      <c r="LL9" s="566"/>
      <c r="LM9" s="566"/>
      <c r="LN9" s="566"/>
      <c r="LO9" s="566"/>
      <c r="LP9" s="566"/>
      <c r="LQ9" s="566"/>
      <c r="LR9" s="566"/>
      <c r="LS9" s="566"/>
      <c r="LT9" s="566"/>
      <c r="LU9" s="566"/>
      <c r="LV9" s="566"/>
      <c r="LW9" s="566"/>
      <c r="LX9" s="566"/>
      <c r="LY9" s="566"/>
      <c r="LZ9" s="566"/>
      <c r="MA9" s="566"/>
      <c r="MB9" s="566"/>
      <c r="MC9" s="566"/>
      <c r="MD9" s="566"/>
      <c r="ME9" s="566"/>
      <c r="MF9" s="566"/>
      <c r="MG9" s="566"/>
      <c r="MH9" s="566"/>
      <c r="MI9" s="566"/>
      <c r="MJ9" s="566"/>
      <c r="MK9" s="566"/>
      <c r="ML9" s="566"/>
      <c r="MM9" s="566"/>
      <c r="MN9" s="566"/>
      <c r="MO9" s="566"/>
      <c r="MP9" s="566"/>
      <c r="MQ9" s="566"/>
      <c r="MR9" s="566"/>
      <c r="MS9" s="566"/>
      <c r="MT9" s="566"/>
      <c r="MU9" s="566"/>
      <c r="MV9" s="566"/>
      <c r="MW9" s="566"/>
      <c r="MX9" s="566"/>
      <c r="MY9" s="566"/>
      <c r="MZ9" s="566"/>
      <c r="NA9" s="566"/>
      <c r="NB9" s="566"/>
      <c r="NC9" s="566"/>
      <c r="ND9" s="566"/>
      <c r="NE9" s="566"/>
      <c r="NF9" s="566"/>
      <c r="NG9" s="566"/>
      <c r="NH9" s="566"/>
      <c r="NI9" s="566"/>
      <c r="NJ9" s="566"/>
      <c r="NK9" s="566"/>
      <c r="NL9" s="566"/>
      <c r="NM9" s="566"/>
      <c r="NN9" s="566"/>
      <c r="NO9" s="566"/>
      <c r="NP9" s="566"/>
      <c r="NQ9" s="566"/>
      <c r="NR9" s="566"/>
      <c r="NS9" s="566"/>
      <c r="NT9" s="566"/>
      <c r="NU9" s="566"/>
      <c r="NV9" s="566"/>
      <c r="NW9" s="566"/>
      <c r="NX9" s="566"/>
      <c r="NY9" s="566"/>
      <c r="NZ9" s="566"/>
      <c r="OA9" s="566"/>
      <c r="OB9" s="566"/>
      <c r="OC9" s="566"/>
      <c r="OD9" s="566"/>
      <c r="OE9" s="566"/>
      <c r="OF9" s="566"/>
      <c r="OG9" s="566"/>
      <c r="OH9" s="566"/>
      <c r="OI9" s="566"/>
      <c r="OJ9" s="566"/>
      <c r="OK9" s="566"/>
      <c r="OL9" s="566"/>
      <c r="OM9" s="566"/>
      <c r="ON9" s="566"/>
      <c r="OO9" s="566"/>
      <c r="OP9" s="566"/>
      <c r="OQ9" s="566"/>
      <c r="OR9" s="566"/>
      <c r="OS9" s="566"/>
      <c r="OT9" s="566"/>
      <c r="OU9" s="566"/>
      <c r="OV9" s="566"/>
      <c r="OW9" s="566"/>
      <c r="OX9" s="566"/>
      <c r="OY9" s="566"/>
      <c r="OZ9" s="566"/>
      <c r="PA9" s="566"/>
      <c r="PB9" s="566"/>
      <c r="PC9" s="566"/>
      <c r="PD9" s="566"/>
      <c r="PE9" s="566"/>
      <c r="PF9" s="566"/>
      <c r="PG9" s="566"/>
      <c r="PH9" s="566"/>
      <c r="PI9" s="566"/>
      <c r="PJ9" s="566"/>
      <c r="PK9" s="566"/>
      <c r="PL9" s="566"/>
      <c r="PM9" s="566"/>
      <c r="PN9" s="566"/>
      <c r="PO9" s="566"/>
      <c r="PP9" s="566"/>
      <c r="PQ9" s="566"/>
      <c r="PR9" s="566"/>
      <c r="PS9" s="566"/>
      <c r="PT9" s="566"/>
      <c r="PU9" s="566"/>
      <c r="PV9" s="566"/>
      <c r="PW9" s="566"/>
      <c r="PX9" s="566"/>
      <c r="PY9" s="566"/>
      <c r="PZ9" s="566"/>
      <c r="QA9" s="566"/>
      <c r="QB9" s="566"/>
      <c r="QC9" s="566"/>
      <c r="QD9" s="566"/>
      <c r="QE9" s="566"/>
      <c r="QF9" s="566"/>
      <c r="QG9" s="566"/>
      <c r="QH9" s="566"/>
      <c r="QI9" s="566"/>
      <c r="QJ9" s="566"/>
      <c r="QK9" s="566"/>
      <c r="QL9" s="566"/>
    </row>
    <row r="10" spans="1:454" s="733" customFormat="1" ht="30">
      <c r="A10" s="566"/>
      <c r="B10" s="734"/>
      <c r="C10" s="734" t="s">
        <v>4901</v>
      </c>
      <c r="D10" s="735"/>
      <c r="E10" s="735"/>
      <c r="F10" s="735"/>
      <c r="G10" s="735"/>
      <c r="H10" s="735"/>
      <c r="I10" s="735"/>
      <c r="J10" s="735"/>
      <c r="K10" s="735"/>
      <c r="L10" s="735" t="s">
        <v>4664</v>
      </c>
      <c r="M10" s="736">
        <f>SUM(M8:M9)</f>
        <v>537633992530</v>
      </c>
      <c r="N10" s="736"/>
      <c r="O10" s="736">
        <f>SUM(O8:O9)</f>
        <v>503510419757.25</v>
      </c>
      <c r="P10" s="736"/>
      <c r="Q10" s="736">
        <f>SUM(Q8:Q9)</f>
        <v>503354573041.12</v>
      </c>
      <c r="R10" s="736"/>
      <c r="S10" s="736">
        <f>SUM(S8:S9)</f>
        <v>522847942474.32001</v>
      </c>
      <c r="T10" s="736"/>
      <c r="U10" s="736">
        <f>SUM(U8:U9)</f>
        <v>575555798536.83008</v>
      </c>
      <c r="V10" s="735"/>
      <c r="W10" s="736">
        <f>SUM(W8:W9)</f>
        <v>2642902726339.5205</v>
      </c>
      <c r="X10" s="735"/>
      <c r="Y10" s="737"/>
      <c r="Z10" s="737"/>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c r="BA10" s="566"/>
      <c r="BB10" s="566"/>
      <c r="BC10" s="566"/>
      <c r="BD10" s="566"/>
      <c r="BE10" s="566"/>
      <c r="BF10" s="566"/>
      <c r="BG10" s="566"/>
      <c r="BH10" s="566"/>
      <c r="BI10" s="566"/>
      <c r="BJ10" s="566"/>
      <c r="BK10" s="566"/>
      <c r="BL10" s="566"/>
      <c r="BM10" s="566"/>
      <c r="BN10" s="566"/>
      <c r="BO10" s="566"/>
      <c r="BP10" s="566"/>
      <c r="BQ10" s="566"/>
      <c r="BR10" s="566"/>
      <c r="BS10" s="566"/>
      <c r="BT10" s="566"/>
      <c r="BU10" s="566"/>
      <c r="BV10" s="566"/>
      <c r="BW10" s="566"/>
      <c r="BX10" s="566"/>
      <c r="BY10" s="566"/>
      <c r="BZ10" s="566"/>
      <c r="CA10" s="566"/>
      <c r="CB10" s="566"/>
      <c r="CC10" s="566"/>
      <c r="CD10" s="566"/>
      <c r="CE10" s="566"/>
      <c r="CF10" s="566"/>
      <c r="CG10" s="566"/>
      <c r="CH10" s="566"/>
      <c r="CI10" s="566"/>
      <c r="CJ10" s="566"/>
      <c r="CK10" s="566"/>
      <c r="CL10" s="566"/>
      <c r="CM10" s="566"/>
      <c r="CN10" s="566"/>
      <c r="CO10" s="566"/>
      <c r="CP10" s="566"/>
      <c r="CQ10" s="566"/>
      <c r="CR10" s="566"/>
      <c r="CS10" s="566"/>
      <c r="CT10" s="566"/>
      <c r="CU10" s="566"/>
      <c r="CV10" s="566"/>
      <c r="CW10" s="566"/>
      <c r="CX10" s="566"/>
      <c r="CY10" s="566"/>
      <c r="CZ10" s="566"/>
      <c r="DA10" s="566"/>
      <c r="DB10" s="566"/>
      <c r="DC10" s="566"/>
      <c r="DD10" s="566"/>
      <c r="DE10" s="566"/>
      <c r="DF10" s="566"/>
      <c r="DG10" s="566"/>
      <c r="DH10" s="566"/>
      <c r="DI10" s="566"/>
      <c r="DJ10" s="566"/>
      <c r="DK10" s="566"/>
      <c r="DL10" s="566"/>
      <c r="DM10" s="566"/>
      <c r="DN10" s="566"/>
      <c r="DO10" s="566"/>
      <c r="DP10" s="566"/>
      <c r="DQ10" s="566"/>
      <c r="DR10" s="566"/>
      <c r="DS10" s="566"/>
      <c r="DT10" s="566"/>
      <c r="DU10" s="566"/>
      <c r="DV10" s="566"/>
      <c r="DW10" s="566"/>
      <c r="DX10" s="566"/>
      <c r="DY10" s="566"/>
      <c r="DZ10" s="566"/>
      <c r="EA10" s="566"/>
      <c r="EB10" s="566"/>
      <c r="EC10" s="566"/>
      <c r="ED10" s="566"/>
      <c r="EE10" s="566"/>
      <c r="EF10" s="566"/>
      <c r="EG10" s="566"/>
      <c r="EH10" s="566"/>
      <c r="EI10" s="566"/>
      <c r="EJ10" s="566"/>
      <c r="EK10" s="566"/>
      <c r="EL10" s="566"/>
      <c r="EM10" s="566"/>
      <c r="EN10" s="566"/>
      <c r="EO10" s="566"/>
      <c r="EP10" s="566"/>
      <c r="EQ10" s="566"/>
      <c r="ER10" s="566"/>
      <c r="ES10" s="566"/>
      <c r="ET10" s="566"/>
      <c r="EU10" s="566"/>
      <c r="EV10" s="566"/>
      <c r="EW10" s="566"/>
      <c r="EX10" s="566"/>
      <c r="EY10" s="566"/>
      <c r="EZ10" s="566"/>
      <c r="FA10" s="566"/>
      <c r="FB10" s="566"/>
      <c r="FC10" s="566"/>
      <c r="FD10" s="566"/>
      <c r="FE10" s="566"/>
      <c r="FF10" s="566"/>
      <c r="FG10" s="566"/>
      <c r="FH10" s="566"/>
      <c r="FI10" s="566"/>
      <c r="FJ10" s="566"/>
      <c r="FK10" s="566"/>
      <c r="FL10" s="566"/>
      <c r="FM10" s="566"/>
      <c r="FN10" s="566"/>
      <c r="FO10" s="566"/>
      <c r="FP10" s="566"/>
      <c r="FQ10" s="566"/>
      <c r="FR10" s="566"/>
      <c r="FS10" s="566"/>
      <c r="FT10" s="566"/>
      <c r="FU10" s="566"/>
      <c r="FV10" s="566"/>
      <c r="FW10" s="566"/>
      <c r="FX10" s="566"/>
      <c r="FY10" s="566"/>
      <c r="FZ10" s="566"/>
      <c r="GA10" s="566"/>
      <c r="GB10" s="566"/>
      <c r="GC10" s="566"/>
      <c r="GD10" s="566"/>
      <c r="GE10" s="566"/>
      <c r="GF10" s="566"/>
      <c r="GG10" s="566"/>
      <c r="GH10" s="566"/>
      <c r="GI10" s="566"/>
      <c r="GJ10" s="566"/>
      <c r="GK10" s="566"/>
      <c r="GL10" s="566"/>
      <c r="GM10" s="566"/>
      <c r="GN10" s="566"/>
      <c r="GO10" s="566"/>
      <c r="GP10" s="566"/>
      <c r="GQ10" s="566"/>
      <c r="GR10" s="566"/>
      <c r="GS10" s="566"/>
      <c r="GT10" s="566"/>
      <c r="GU10" s="566"/>
      <c r="GV10" s="566"/>
      <c r="GW10" s="566"/>
      <c r="GX10" s="566"/>
      <c r="GY10" s="566"/>
      <c r="GZ10" s="566"/>
      <c r="HA10" s="566"/>
      <c r="HB10" s="566"/>
      <c r="HC10" s="566"/>
      <c r="HD10" s="566"/>
      <c r="HE10" s="566"/>
      <c r="HF10" s="566"/>
      <c r="HG10" s="566"/>
      <c r="HH10" s="566"/>
      <c r="HI10" s="566"/>
      <c r="HJ10" s="566"/>
      <c r="HK10" s="566"/>
      <c r="HL10" s="566"/>
      <c r="HM10" s="566"/>
      <c r="HN10" s="566"/>
      <c r="HO10" s="566"/>
      <c r="HP10" s="566"/>
      <c r="HQ10" s="566"/>
      <c r="HR10" s="566"/>
      <c r="HS10" s="566"/>
      <c r="HT10" s="566"/>
      <c r="HU10" s="566"/>
      <c r="HV10" s="566"/>
      <c r="HW10" s="566"/>
      <c r="HX10" s="566"/>
      <c r="HY10" s="566"/>
      <c r="HZ10" s="566"/>
      <c r="IA10" s="566"/>
      <c r="IB10" s="566"/>
      <c r="IC10" s="566"/>
      <c r="ID10" s="566"/>
      <c r="IE10" s="566"/>
      <c r="IF10" s="566"/>
      <c r="IG10" s="566"/>
      <c r="IH10" s="566"/>
      <c r="II10" s="566"/>
      <c r="IJ10" s="566"/>
      <c r="IK10" s="566"/>
      <c r="IL10" s="566"/>
      <c r="IM10" s="566"/>
      <c r="IN10" s="566"/>
      <c r="IO10" s="566"/>
      <c r="IP10" s="566"/>
      <c r="IQ10" s="566"/>
      <c r="IR10" s="566"/>
      <c r="IS10" s="566"/>
      <c r="IT10" s="566"/>
      <c r="IU10" s="566"/>
      <c r="IV10" s="566"/>
      <c r="IW10" s="566"/>
      <c r="IX10" s="566"/>
      <c r="IY10" s="566"/>
      <c r="IZ10" s="566"/>
      <c r="JA10" s="566"/>
      <c r="JB10" s="566"/>
      <c r="JC10" s="566"/>
      <c r="JD10" s="566"/>
      <c r="JE10" s="566"/>
      <c r="JF10" s="566"/>
      <c r="JG10" s="566"/>
      <c r="JH10" s="566"/>
      <c r="JI10" s="566"/>
      <c r="JJ10" s="566"/>
      <c r="JK10" s="566"/>
      <c r="JL10" s="566"/>
      <c r="JM10" s="566"/>
      <c r="JN10" s="566"/>
      <c r="JO10" s="566"/>
      <c r="JP10" s="566"/>
      <c r="JQ10" s="566"/>
      <c r="JR10" s="566"/>
      <c r="JS10" s="566"/>
      <c r="JT10" s="566"/>
      <c r="JU10" s="566"/>
      <c r="JV10" s="566"/>
      <c r="JW10" s="566"/>
      <c r="JX10" s="566"/>
      <c r="JY10" s="566"/>
      <c r="JZ10" s="566"/>
      <c r="KA10" s="566"/>
      <c r="KB10" s="566"/>
      <c r="KC10" s="566"/>
      <c r="KD10" s="566"/>
      <c r="KE10" s="566"/>
      <c r="KF10" s="566"/>
      <c r="KG10" s="566"/>
      <c r="KH10" s="566"/>
      <c r="KI10" s="566"/>
      <c r="KJ10" s="566"/>
      <c r="KK10" s="566"/>
      <c r="KL10" s="566"/>
      <c r="KM10" s="566"/>
      <c r="KN10" s="566"/>
      <c r="KO10" s="566"/>
      <c r="KP10" s="566"/>
      <c r="KQ10" s="566"/>
      <c r="KR10" s="566"/>
      <c r="KS10" s="566"/>
      <c r="KT10" s="566"/>
      <c r="KU10" s="566"/>
      <c r="KV10" s="566"/>
      <c r="KW10" s="566"/>
      <c r="KX10" s="566"/>
      <c r="KY10" s="566"/>
      <c r="KZ10" s="566"/>
      <c r="LA10" s="566"/>
      <c r="LB10" s="566"/>
      <c r="LC10" s="566"/>
      <c r="LD10" s="566"/>
      <c r="LE10" s="566"/>
      <c r="LF10" s="566"/>
      <c r="LG10" s="566"/>
      <c r="LH10" s="566"/>
      <c r="LI10" s="566"/>
      <c r="LJ10" s="566"/>
      <c r="LK10" s="566"/>
      <c r="LL10" s="566"/>
      <c r="LM10" s="566"/>
      <c r="LN10" s="566"/>
      <c r="LO10" s="566"/>
      <c r="LP10" s="566"/>
      <c r="LQ10" s="566"/>
      <c r="LR10" s="566"/>
      <c r="LS10" s="566"/>
      <c r="LT10" s="566"/>
      <c r="LU10" s="566"/>
      <c r="LV10" s="566"/>
      <c r="LW10" s="566"/>
      <c r="LX10" s="566"/>
      <c r="LY10" s="566"/>
      <c r="LZ10" s="566"/>
      <c r="MA10" s="566"/>
      <c r="MB10" s="566"/>
      <c r="MC10" s="566"/>
      <c r="MD10" s="566"/>
      <c r="ME10" s="566"/>
      <c r="MF10" s="566"/>
      <c r="MG10" s="566"/>
      <c r="MH10" s="566"/>
      <c r="MI10" s="566"/>
      <c r="MJ10" s="566"/>
      <c r="MK10" s="566"/>
      <c r="ML10" s="566"/>
      <c r="MM10" s="566"/>
      <c r="MN10" s="566"/>
      <c r="MO10" s="566"/>
      <c r="MP10" s="566"/>
      <c r="MQ10" s="566"/>
      <c r="MR10" s="566"/>
      <c r="MS10" s="566"/>
      <c r="MT10" s="566"/>
      <c r="MU10" s="566"/>
      <c r="MV10" s="566"/>
      <c r="MW10" s="566"/>
      <c r="MX10" s="566"/>
      <c r="MY10" s="566"/>
      <c r="MZ10" s="566"/>
      <c r="NA10" s="566"/>
      <c r="NB10" s="566"/>
      <c r="NC10" s="566"/>
      <c r="ND10" s="566"/>
      <c r="NE10" s="566"/>
      <c r="NF10" s="566"/>
      <c r="NG10" s="566"/>
      <c r="NH10" s="566"/>
      <c r="NI10" s="566"/>
      <c r="NJ10" s="566"/>
      <c r="NK10" s="566"/>
      <c r="NL10" s="566"/>
      <c r="NM10" s="566"/>
      <c r="NN10" s="566"/>
      <c r="NO10" s="566"/>
      <c r="NP10" s="566"/>
      <c r="NQ10" s="566"/>
      <c r="NR10" s="566"/>
      <c r="NS10" s="566"/>
      <c r="NT10" s="566"/>
      <c r="NU10" s="566"/>
      <c r="NV10" s="566"/>
      <c r="NW10" s="566"/>
      <c r="NX10" s="566"/>
      <c r="NY10" s="566"/>
      <c r="NZ10" s="566"/>
      <c r="OA10" s="566"/>
      <c r="OB10" s="566"/>
      <c r="OC10" s="566"/>
      <c r="OD10" s="566"/>
      <c r="OE10" s="566"/>
      <c r="OF10" s="566"/>
      <c r="OG10" s="566"/>
      <c r="OH10" s="566"/>
      <c r="OI10" s="566"/>
      <c r="OJ10" s="566"/>
      <c r="OK10" s="566"/>
      <c r="OL10" s="566"/>
      <c r="OM10" s="566"/>
      <c r="ON10" s="566"/>
      <c r="OO10" s="566"/>
      <c r="OP10" s="566"/>
      <c r="OQ10" s="566"/>
      <c r="OR10" s="566"/>
      <c r="OS10" s="566"/>
      <c r="OT10" s="566"/>
      <c r="OU10" s="566"/>
      <c r="OV10" s="566"/>
      <c r="OW10" s="566"/>
      <c r="OX10" s="566"/>
      <c r="OY10" s="566"/>
      <c r="OZ10" s="566"/>
      <c r="PA10" s="566"/>
      <c r="PB10" s="566"/>
      <c r="PC10" s="566"/>
      <c r="PD10" s="566"/>
      <c r="PE10" s="566"/>
      <c r="PF10" s="566"/>
      <c r="PG10" s="566"/>
      <c r="PH10" s="566"/>
      <c r="PI10" s="566"/>
      <c r="PJ10" s="566"/>
      <c r="PK10" s="566"/>
      <c r="PL10" s="566"/>
      <c r="PM10" s="566"/>
      <c r="PN10" s="566"/>
      <c r="PO10" s="566"/>
      <c r="PP10" s="566"/>
      <c r="PQ10" s="566"/>
      <c r="PR10" s="566"/>
      <c r="PS10" s="566"/>
      <c r="PT10" s="566"/>
      <c r="PU10" s="566"/>
      <c r="PV10" s="566"/>
      <c r="PW10" s="566"/>
      <c r="PX10" s="566"/>
      <c r="PY10" s="566"/>
      <c r="PZ10" s="566"/>
      <c r="QA10" s="566"/>
      <c r="QB10" s="566"/>
      <c r="QC10" s="566"/>
      <c r="QD10" s="566"/>
      <c r="QE10" s="566"/>
      <c r="QF10" s="566"/>
      <c r="QG10" s="566"/>
      <c r="QH10" s="566"/>
      <c r="QI10" s="566"/>
      <c r="QJ10" s="566"/>
      <c r="QK10" s="566"/>
      <c r="QL10" s="566"/>
    </row>
    <row r="11" spans="1:454" s="730" customFormat="1" ht="15.75">
      <c r="A11" s="726"/>
      <c r="B11" s="727"/>
      <c r="C11" s="727"/>
      <c r="D11" s="728"/>
      <c r="E11" s="728"/>
      <c r="F11" s="728"/>
      <c r="G11" s="728"/>
      <c r="H11" s="728"/>
      <c r="I11" s="728"/>
      <c r="J11" s="728"/>
      <c r="K11" s="728"/>
      <c r="L11" s="728" t="s">
        <v>4638</v>
      </c>
      <c r="M11" s="764">
        <f>M7-M10</f>
        <v>0</v>
      </c>
      <c r="N11" s="765"/>
      <c r="O11" s="764">
        <f>O7-O10</f>
        <v>-0.25</v>
      </c>
      <c r="P11" s="765"/>
      <c r="Q11" s="764">
        <f>Q7-Q10</f>
        <v>-0.1199951171875</v>
      </c>
      <c r="R11" s="765"/>
      <c r="S11" s="764">
        <f>S7-S10</f>
        <v>-0.32000732421875</v>
      </c>
      <c r="T11" s="765"/>
      <c r="U11" s="764">
        <f>U7-U10</f>
        <v>0.169921875</v>
      </c>
      <c r="V11" s="763"/>
      <c r="W11" s="764"/>
      <c r="X11" s="728"/>
      <c r="Y11" s="729"/>
      <c r="Z11" s="729"/>
      <c r="AA11" s="726"/>
      <c r="AB11" s="726"/>
      <c r="AC11" s="777">
        <f>U11+S11+O11</f>
        <v>-0.40008544921875</v>
      </c>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726"/>
      <c r="CQ11" s="726"/>
      <c r="CR11" s="726"/>
      <c r="CS11" s="726"/>
      <c r="CT11" s="726"/>
      <c r="CU11" s="726"/>
      <c r="CV11" s="726"/>
      <c r="CW11" s="726"/>
      <c r="CX11" s="726"/>
      <c r="CY11" s="726"/>
      <c r="CZ11" s="726"/>
      <c r="DA11" s="726"/>
      <c r="DB11" s="726"/>
      <c r="DC11" s="726"/>
      <c r="DD11" s="726"/>
      <c r="DE11" s="726"/>
      <c r="DF11" s="726"/>
      <c r="DG11" s="726"/>
      <c r="DH11" s="726"/>
      <c r="DI11" s="726"/>
      <c r="DJ11" s="726"/>
      <c r="DK11" s="726"/>
      <c r="DL11" s="726"/>
      <c r="DM11" s="726"/>
      <c r="DN11" s="726"/>
      <c r="DO11" s="726"/>
      <c r="DP11" s="726"/>
      <c r="DQ11" s="726"/>
      <c r="DR11" s="726"/>
      <c r="DS11" s="726"/>
      <c r="DT11" s="726"/>
      <c r="DU11" s="726"/>
      <c r="DV11" s="726"/>
      <c r="DW11" s="726"/>
      <c r="DX11" s="726"/>
      <c r="DY11" s="726"/>
      <c r="DZ11" s="726"/>
      <c r="EA11" s="726"/>
      <c r="EB11" s="726"/>
      <c r="EC11" s="726"/>
      <c r="ED11" s="726"/>
      <c r="EE11" s="726"/>
      <c r="EF11" s="726"/>
      <c r="EG11" s="726"/>
      <c r="EH11" s="726"/>
      <c r="EI11" s="726"/>
      <c r="EJ11" s="726"/>
      <c r="EK11" s="726"/>
      <c r="EL11" s="726"/>
      <c r="EM11" s="726"/>
      <c r="EN11" s="726"/>
      <c r="EO11" s="726"/>
      <c r="EP11" s="726"/>
      <c r="EQ11" s="726"/>
      <c r="ER11" s="726"/>
      <c r="ES11" s="726"/>
      <c r="ET11" s="726"/>
      <c r="EU11" s="726"/>
      <c r="EV11" s="726"/>
      <c r="EW11" s="726"/>
      <c r="EX11" s="726"/>
      <c r="EY11" s="726"/>
      <c r="EZ11" s="726"/>
      <c r="FA11" s="726"/>
      <c r="FB11" s="726"/>
      <c r="FC11" s="726"/>
      <c r="FD11" s="726"/>
      <c r="FE11" s="726"/>
      <c r="FF11" s="726"/>
      <c r="FG11" s="726"/>
      <c r="FH11" s="726"/>
      <c r="FI11" s="726"/>
      <c r="FJ11" s="726"/>
      <c r="FK11" s="726"/>
      <c r="FL11" s="726"/>
      <c r="FM11" s="726"/>
      <c r="FN11" s="726"/>
      <c r="FO11" s="726"/>
      <c r="FP11" s="726"/>
      <c r="FQ11" s="726"/>
      <c r="FR11" s="726"/>
      <c r="FS11" s="726"/>
      <c r="FT11" s="726"/>
      <c r="FU11" s="726"/>
      <c r="FV11" s="726"/>
      <c r="FW11" s="726"/>
      <c r="FX11" s="726"/>
      <c r="FY11" s="726"/>
      <c r="FZ11" s="726"/>
      <c r="GA11" s="726"/>
      <c r="GB11" s="726"/>
      <c r="GC11" s="726"/>
      <c r="GD11" s="726"/>
      <c r="GE11" s="726"/>
      <c r="GF11" s="726"/>
      <c r="GG11" s="726"/>
      <c r="GH11" s="726"/>
      <c r="GI11" s="726"/>
      <c r="GJ11" s="726"/>
      <c r="GK11" s="726"/>
      <c r="GL11" s="726"/>
      <c r="GM11" s="726"/>
      <c r="GN11" s="726"/>
      <c r="GO11" s="726"/>
      <c r="GP11" s="726"/>
      <c r="GQ11" s="726"/>
      <c r="GR11" s="726"/>
      <c r="GS11" s="726"/>
      <c r="GT11" s="726"/>
      <c r="GU11" s="726"/>
      <c r="GV11" s="726"/>
      <c r="GW11" s="726"/>
      <c r="GX11" s="726"/>
      <c r="GY11" s="726"/>
      <c r="GZ11" s="726"/>
      <c r="HA11" s="726"/>
      <c r="HB11" s="726"/>
      <c r="HC11" s="726"/>
      <c r="HD11" s="726"/>
      <c r="HE11" s="726"/>
      <c r="HF11" s="726"/>
      <c r="HG11" s="726"/>
      <c r="HH11" s="726"/>
      <c r="HI11" s="726"/>
      <c r="HJ11" s="726"/>
      <c r="HK11" s="726"/>
      <c r="HL11" s="726"/>
      <c r="HM11" s="726"/>
      <c r="HN11" s="726"/>
      <c r="HO11" s="726"/>
      <c r="HP11" s="726"/>
      <c r="HQ11" s="726"/>
      <c r="HR11" s="726"/>
      <c r="HS11" s="726"/>
      <c r="HT11" s="726"/>
      <c r="HU11" s="726"/>
      <c r="HV11" s="726"/>
      <c r="HW11" s="726"/>
      <c r="HX11" s="726"/>
      <c r="HY11" s="726"/>
      <c r="HZ11" s="726"/>
      <c r="IA11" s="726"/>
      <c r="IB11" s="726"/>
      <c r="IC11" s="726"/>
      <c r="ID11" s="726"/>
      <c r="IE11" s="726"/>
      <c r="IF11" s="726"/>
      <c r="IG11" s="726"/>
      <c r="IH11" s="726"/>
      <c r="II11" s="726"/>
      <c r="IJ11" s="726"/>
      <c r="IK11" s="726"/>
      <c r="IL11" s="726"/>
      <c r="IM11" s="726"/>
      <c r="IN11" s="726"/>
      <c r="IO11" s="726"/>
      <c r="IP11" s="726"/>
      <c r="IQ11" s="726"/>
      <c r="IR11" s="726"/>
      <c r="IS11" s="726"/>
      <c r="IT11" s="726"/>
      <c r="IU11" s="726"/>
      <c r="IV11" s="726"/>
      <c r="IW11" s="726"/>
      <c r="IX11" s="726"/>
      <c r="IY11" s="726"/>
      <c r="IZ11" s="726"/>
      <c r="JA11" s="726"/>
      <c r="JB11" s="726"/>
      <c r="JC11" s="726"/>
      <c r="JD11" s="726"/>
      <c r="JE11" s="726"/>
      <c r="JF11" s="726"/>
      <c r="JG11" s="726"/>
      <c r="JH11" s="726"/>
      <c r="JI11" s="726"/>
      <c r="JJ11" s="726"/>
      <c r="JK11" s="726"/>
      <c r="JL11" s="726"/>
      <c r="JM11" s="726"/>
      <c r="JN11" s="726"/>
      <c r="JO11" s="726"/>
      <c r="JP11" s="726"/>
      <c r="JQ11" s="726"/>
      <c r="JR11" s="726"/>
      <c r="JS11" s="726"/>
      <c r="JT11" s="726"/>
      <c r="JU11" s="726"/>
      <c r="JV11" s="726"/>
      <c r="JW11" s="726"/>
      <c r="JX11" s="726"/>
      <c r="JY11" s="726"/>
      <c r="JZ11" s="726"/>
      <c r="KA11" s="726"/>
      <c r="KB11" s="726"/>
      <c r="KC11" s="726"/>
      <c r="KD11" s="726"/>
      <c r="KE11" s="726"/>
      <c r="KF11" s="726"/>
      <c r="KG11" s="726"/>
      <c r="KH11" s="726"/>
      <c r="KI11" s="726"/>
      <c r="KJ11" s="726"/>
      <c r="KK11" s="726"/>
      <c r="KL11" s="726"/>
      <c r="KM11" s="726"/>
      <c r="KN11" s="726"/>
      <c r="KO11" s="726"/>
      <c r="KP11" s="726"/>
      <c r="KQ11" s="726"/>
      <c r="KR11" s="726"/>
      <c r="KS11" s="726"/>
      <c r="KT11" s="726"/>
      <c r="KU11" s="726"/>
      <c r="KV11" s="726"/>
      <c r="KW11" s="726"/>
      <c r="KX11" s="726"/>
      <c r="KY11" s="726"/>
      <c r="KZ11" s="726"/>
      <c r="LA11" s="726"/>
      <c r="LB11" s="726"/>
      <c r="LC11" s="726"/>
      <c r="LD11" s="726"/>
      <c r="LE11" s="726"/>
      <c r="LF11" s="726"/>
      <c r="LG11" s="726"/>
      <c r="LH11" s="726"/>
      <c r="LI11" s="726"/>
      <c r="LJ11" s="726"/>
      <c r="LK11" s="726"/>
      <c r="LL11" s="726"/>
      <c r="LM11" s="726"/>
      <c r="LN11" s="726"/>
      <c r="LO11" s="726"/>
      <c r="LP11" s="726"/>
      <c r="LQ11" s="726"/>
      <c r="LR11" s="726"/>
      <c r="LS11" s="726"/>
      <c r="LT11" s="726"/>
      <c r="LU11" s="726"/>
      <c r="LV11" s="726"/>
      <c r="LW11" s="726"/>
      <c r="LX11" s="726"/>
      <c r="LY11" s="726"/>
      <c r="LZ11" s="726"/>
      <c r="MA11" s="726"/>
      <c r="MB11" s="726"/>
      <c r="MC11" s="726"/>
      <c r="MD11" s="726"/>
      <c r="ME11" s="726"/>
      <c r="MF11" s="726"/>
      <c r="MG11" s="726"/>
      <c r="MH11" s="726"/>
      <c r="MI11" s="726"/>
      <c r="MJ11" s="726"/>
      <c r="MK11" s="726"/>
      <c r="ML11" s="726"/>
      <c r="MM11" s="726"/>
      <c r="MN11" s="726"/>
      <c r="MO11" s="726"/>
      <c r="MP11" s="726"/>
      <c r="MQ11" s="726"/>
      <c r="MR11" s="726"/>
      <c r="MS11" s="726"/>
      <c r="MT11" s="726"/>
      <c r="MU11" s="726"/>
      <c r="MV11" s="726"/>
      <c r="MW11" s="726"/>
      <c r="MX11" s="726"/>
      <c r="MY11" s="726"/>
      <c r="MZ11" s="726"/>
      <c r="NA11" s="726"/>
      <c r="NB11" s="726"/>
      <c r="NC11" s="726"/>
      <c r="ND11" s="726"/>
      <c r="NE11" s="726"/>
      <c r="NF11" s="726"/>
      <c r="NG11" s="726"/>
      <c r="NH11" s="726"/>
      <c r="NI11" s="726"/>
      <c r="NJ11" s="726"/>
      <c r="NK11" s="726"/>
      <c r="NL11" s="726"/>
      <c r="NM11" s="726"/>
      <c r="NN11" s="726"/>
      <c r="NO11" s="726"/>
      <c r="NP11" s="726"/>
      <c r="NQ11" s="726"/>
      <c r="NR11" s="726"/>
      <c r="NS11" s="726"/>
      <c r="NT11" s="726"/>
      <c r="NU11" s="726"/>
      <c r="NV11" s="726"/>
      <c r="NW11" s="726"/>
      <c r="NX11" s="726"/>
      <c r="NY11" s="726"/>
      <c r="NZ11" s="726"/>
      <c r="OA11" s="726"/>
      <c r="OB11" s="726"/>
      <c r="OC11" s="726"/>
      <c r="OD11" s="726"/>
      <c r="OE11" s="726"/>
      <c r="OF11" s="726"/>
      <c r="OG11" s="726"/>
      <c r="OH11" s="726"/>
      <c r="OI11" s="726"/>
      <c r="OJ11" s="726"/>
      <c r="OK11" s="726"/>
      <c r="OL11" s="726"/>
      <c r="OM11" s="726"/>
      <c r="ON11" s="726"/>
      <c r="OO11" s="726"/>
      <c r="OP11" s="726"/>
      <c r="OQ11" s="726"/>
      <c r="OR11" s="726"/>
      <c r="OS11" s="726"/>
      <c r="OT11" s="726"/>
      <c r="OU11" s="726"/>
      <c r="OV11" s="726"/>
      <c r="OW11" s="726"/>
      <c r="OX11" s="726"/>
      <c r="OY11" s="726"/>
      <c r="OZ11" s="726"/>
      <c r="PA11" s="726"/>
      <c r="PB11" s="726"/>
      <c r="PC11" s="726"/>
      <c r="PD11" s="726"/>
      <c r="PE11" s="726"/>
      <c r="PF11" s="726"/>
      <c r="PG11" s="726"/>
      <c r="PH11" s="726"/>
      <c r="PI11" s="726"/>
      <c r="PJ11" s="726"/>
      <c r="PK11" s="726"/>
      <c r="PL11" s="726"/>
      <c r="PM11" s="726"/>
      <c r="PN11" s="726"/>
      <c r="PO11" s="726"/>
      <c r="PP11" s="726"/>
      <c r="PQ11" s="726"/>
      <c r="PR11" s="726"/>
      <c r="PS11" s="726"/>
      <c r="PT11" s="726"/>
      <c r="PU11" s="726"/>
      <c r="PV11" s="726"/>
      <c r="PW11" s="726"/>
      <c r="PX11" s="726"/>
      <c r="PY11" s="726"/>
      <c r="PZ11" s="726"/>
      <c r="QA11" s="726"/>
      <c r="QB11" s="726"/>
      <c r="QC11" s="726"/>
      <c r="QD11" s="726"/>
      <c r="QE11" s="726"/>
      <c r="QF11" s="726"/>
      <c r="QG11" s="726"/>
      <c r="QH11" s="726"/>
      <c r="QI11" s="726"/>
      <c r="QJ11" s="726"/>
      <c r="QK11" s="726"/>
      <c r="QL11" s="726"/>
    </row>
    <row r="12" spans="1:454" s="541" customFormat="1">
      <c r="A12" s="566"/>
      <c r="B12" s="542"/>
      <c r="C12" s="542" t="s">
        <v>4902</v>
      </c>
      <c r="D12" s="543"/>
      <c r="E12" s="543"/>
      <c r="F12" s="543"/>
      <c r="G12" s="543"/>
      <c r="H12" s="543"/>
      <c r="I12" s="543"/>
      <c r="J12" s="543"/>
      <c r="K12" s="543"/>
      <c r="L12" s="543"/>
      <c r="M12" s="736">
        <v>121238639000</v>
      </c>
      <c r="N12" s="543"/>
      <c r="O12" s="736">
        <v>131488639000</v>
      </c>
      <c r="P12" s="543"/>
      <c r="Q12" s="736">
        <v>131488639000</v>
      </c>
      <c r="R12" s="543"/>
      <c r="S12" s="736">
        <v>135738639000</v>
      </c>
      <c r="T12" s="543"/>
      <c r="U12" s="736">
        <v>158238639000</v>
      </c>
      <c r="V12" s="543"/>
      <c r="W12" s="736"/>
      <c r="X12" s="543"/>
      <c r="Y12" s="544"/>
      <c r="Z12" s="544"/>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c r="BA12" s="566"/>
      <c r="BB12" s="566"/>
      <c r="BC12" s="566"/>
      <c r="BD12" s="566"/>
      <c r="BE12" s="566"/>
      <c r="BF12" s="566"/>
      <c r="BG12" s="566"/>
      <c r="BH12" s="566"/>
      <c r="BI12" s="566"/>
      <c r="BJ12" s="566"/>
      <c r="BK12" s="566"/>
      <c r="BL12" s="566"/>
      <c r="BM12" s="566"/>
      <c r="BN12" s="566"/>
      <c r="BO12" s="566"/>
      <c r="BP12" s="566"/>
      <c r="BQ12" s="566"/>
      <c r="BR12" s="566"/>
      <c r="BS12" s="566"/>
      <c r="BT12" s="566"/>
      <c r="BU12" s="566"/>
      <c r="BV12" s="566"/>
      <c r="BW12" s="566"/>
      <c r="BX12" s="566"/>
      <c r="BY12" s="566"/>
      <c r="BZ12" s="566"/>
      <c r="CA12" s="566"/>
      <c r="CB12" s="566"/>
      <c r="CC12" s="566"/>
      <c r="CD12" s="566"/>
      <c r="CE12" s="566"/>
      <c r="CF12" s="566"/>
      <c r="CG12" s="566"/>
      <c r="CH12" s="566"/>
      <c r="CI12" s="566"/>
      <c r="CJ12" s="566"/>
      <c r="CK12" s="566"/>
      <c r="CL12" s="566"/>
      <c r="CM12" s="566"/>
      <c r="CN12" s="566"/>
      <c r="CO12" s="566"/>
      <c r="CP12" s="566"/>
      <c r="CQ12" s="566"/>
      <c r="CR12" s="566"/>
      <c r="CS12" s="566"/>
      <c r="CT12" s="566"/>
      <c r="CU12" s="566"/>
      <c r="CV12" s="566"/>
      <c r="CW12" s="566"/>
      <c r="CX12" s="566"/>
      <c r="CY12" s="566"/>
      <c r="CZ12" s="566"/>
      <c r="DA12" s="566"/>
      <c r="DB12" s="566"/>
      <c r="DC12" s="566"/>
      <c r="DD12" s="566"/>
      <c r="DE12" s="566"/>
      <c r="DF12" s="566"/>
      <c r="DG12" s="566"/>
      <c r="DH12" s="566"/>
      <c r="DI12" s="566"/>
      <c r="DJ12" s="566"/>
      <c r="DK12" s="566"/>
      <c r="DL12" s="566"/>
      <c r="DM12" s="566"/>
      <c r="DN12" s="566"/>
      <c r="DO12" s="566"/>
      <c r="DP12" s="566"/>
      <c r="DQ12" s="566"/>
      <c r="DR12" s="566"/>
      <c r="DS12" s="566"/>
      <c r="DT12" s="566"/>
      <c r="DU12" s="566"/>
      <c r="DV12" s="566"/>
      <c r="DW12" s="566"/>
      <c r="DX12" s="566"/>
      <c r="DY12" s="566"/>
      <c r="DZ12" s="566"/>
      <c r="EA12" s="566"/>
      <c r="EB12" s="566"/>
      <c r="EC12" s="566"/>
      <c r="ED12" s="566"/>
      <c r="EE12" s="566"/>
      <c r="EF12" s="566"/>
      <c r="EG12" s="566"/>
      <c r="EH12" s="566"/>
      <c r="EI12" s="566"/>
      <c r="EJ12" s="566"/>
      <c r="EK12" s="566"/>
      <c r="EL12" s="566"/>
      <c r="EM12" s="566"/>
      <c r="EN12" s="566"/>
      <c r="EO12" s="566"/>
      <c r="EP12" s="566"/>
      <c r="EQ12" s="566"/>
      <c r="ER12" s="566"/>
      <c r="ES12" s="566"/>
      <c r="ET12" s="566"/>
      <c r="EU12" s="566"/>
      <c r="EV12" s="566"/>
      <c r="EW12" s="566"/>
      <c r="EX12" s="566"/>
      <c r="EY12" s="566"/>
      <c r="EZ12" s="566"/>
      <c r="FA12" s="566"/>
      <c r="FB12" s="566"/>
      <c r="FC12" s="566"/>
      <c r="FD12" s="566"/>
      <c r="FE12" s="566"/>
      <c r="FF12" s="566"/>
      <c r="FG12" s="566"/>
      <c r="FH12" s="566"/>
      <c r="FI12" s="566"/>
      <c r="FJ12" s="566"/>
      <c r="FK12" s="566"/>
      <c r="FL12" s="566"/>
      <c r="FM12" s="566"/>
      <c r="FN12" s="566"/>
      <c r="FO12" s="566"/>
      <c r="FP12" s="566"/>
      <c r="FQ12" s="566"/>
      <c r="FR12" s="566"/>
      <c r="FS12" s="566"/>
      <c r="FT12" s="566"/>
      <c r="FU12" s="566"/>
      <c r="FV12" s="566"/>
      <c r="FW12" s="566"/>
      <c r="FX12" s="566"/>
      <c r="FY12" s="566"/>
      <c r="FZ12" s="566"/>
      <c r="GA12" s="566"/>
      <c r="GB12" s="566"/>
      <c r="GC12" s="566"/>
      <c r="GD12" s="566"/>
      <c r="GE12" s="566"/>
      <c r="GF12" s="566"/>
      <c r="GG12" s="566"/>
      <c r="GH12" s="566"/>
      <c r="GI12" s="566"/>
      <c r="GJ12" s="566"/>
      <c r="GK12" s="566"/>
      <c r="GL12" s="566"/>
      <c r="GM12" s="566"/>
      <c r="GN12" s="566"/>
      <c r="GO12" s="566"/>
      <c r="GP12" s="566"/>
      <c r="GQ12" s="566"/>
      <c r="GR12" s="566"/>
      <c r="GS12" s="566"/>
      <c r="GT12" s="566"/>
      <c r="GU12" s="566"/>
      <c r="GV12" s="566"/>
      <c r="GW12" s="566"/>
      <c r="GX12" s="566"/>
      <c r="GY12" s="566"/>
      <c r="GZ12" s="566"/>
      <c r="HA12" s="566"/>
      <c r="HB12" s="566"/>
      <c r="HC12" s="566"/>
      <c r="HD12" s="566"/>
      <c r="HE12" s="566"/>
      <c r="HF12" s="566"/>
      <c r="HG12" s="566"/>
      <c r="HH12" s="566"/>
      <c r="HI12" s="566"/>
      <c r="HJ12" s="566"/>
      <c r="HK12" s="566"/>
      <c r="HL12" s="566"/>
      <c r="HM12" s="566"/>
      <c r="HN12" s="566"/>
      <c r="HO12" s="566"/>
      <c r="HP12" s="566"/>
      <c r="HQ12" s="566"/>
      <c r="HR12" s="566"/>
      <c r="HS12" s="566"/>
      <c r="HT12" s="566"/>
      <c r="HU12" s="566"/>
      <c r="HV12" s="566"/>
      <c r="HW12" s="566"/>
      <c r="HX12" s="566"/>
      <c r="HY12" s="566"/>
      <c r="HZ12" s="566"/>
      <c r="IA12" s="566"/>
      <c r="IB12" s="566"/>
      <c r="IC12" s="566"/>
      <c r="ID12" s="566"/>
      <c r="IE12" s="566"/>
      <c r="IF12" s="566"/>
      <c r="IG12" s="566"/>
      <c r="IH12" s="566"/>
      <c r="II12" s="566"/>
      <c r="IJ12" s="566"/>
      <c r="IK12" s="566"/>
      <c r="IL12" s="566"/>
      <c r="IM12" s="566"/>
      <c r="IN12" s="566"/>
      <c r="IO12" s="566"/>
      <c r="IP12" s="566"/>
      <c r="IQ12" s="566"/>
      <c r="IR12" s="566"/>
      <c r="IS12" s="566"/>
      <c r="IT12" s="566"/>
      <c r="IU12" s="566"/>
      <c r="IV12" s="566"/>
      <c r="IW12" s="566"/>
      <c r="IX12" s="566"/>
      <c r="IY12" s="566"/>
      <c r="IZ12" s="566"/>
      <c r="JA12" s="566"/>
      <c r="JB12" s="566"/>
      <c r="JC12" s="566"/>
      <c r="JD12" s="566"/>
      <c r="JE12" s="566"/>
      <c r="JF12" s="566"/>
      <c r="JG12" s="566"/>
      <c r="JH12" s="566"/>
      <c r="JI12" s="566"/>
      <c r="JJ12" s="566"/>
      <c r="JK12" s="566"/>
      <c r="JL12" s="566"/>
      <c r="JM12" s="566"/>
      <c r="JN12" s="566"/>
      <c r="JO12" s="566"/>
      <c r="JP12" s="566"/>
      <c r="JQ12" s="566"/>
      <c r="JR12" s="566"/>
      <c r="JS12" s="566"/>
      <c r="JT12" s="566"/>
      <c r="JU12" s="566"/>
      <c r="JV12" s="566"/>
      <c r="JW12" s="566"/>
      <c r="JX12" s="566"/>
      <c r="JY12" s="566"/>
      <c r="JZ12" s="566"/>
      <c r="KA12" s="566"/>
      <c r="KB12" s="566"/>
      <c r="KC12" s="566"/>
      <c r="KD12" s="566"/>
      <c r="KE12" s="566"/>
      <c r="KF12" s="566"/>
      <c r="KG12" s="566"/>
      <c r="KH12" s="566"/>
      <c r="KI12" s="566"/>
      <c r="KJ12" s="566"/>
      <c r="KK12" s="566"/>
      <c r="KL12" s="566"/>
      <c r="KM12" s="566"/>
      <c r="KN12" s="566"/>
      <c r="KO12" s="566"/>
      <c r="KP12" s="566"/>
      <c r="KQ12" s="566"/>
      <c r="KR12" s="566"/>
      <c r="KS12" s="566"/>
      <c r="KT12" s="566"/>
      <c r="KU12" s="566"/>
      <c r="KV12" s="566"/>
      <c r="KW12" s="566"/>
      <c r="KX12" s="566"/>
      <c r="KY12" s="566"/>
      <c r="KZ12" s="566"/>
      <c r="LA12" s="566"/>
      <c r="LB12" s="566"/>
      <c r="LC12" s="566"/>
      <c r="LD12" s="566"/>
      <c r="LE12" s="566"/>
      <c r="LF12" s="566"/>
      <c r="LG12" s="566"/>
      <c r="LH12" s="566"/>
      <c r="LI12" s="566"/>
      <c r="LJ12" s="566"/>
      <c r="LK12" s="566"/>
      <c r="LL12" s="566"/>
      <c r="LM12" s="566"/>
      <c r="LN12" s="566"/>
      <c r="LO12" s="566"/>
      <c r="LP12" s="566"/>
      <c r="LQ12" s="566"/>
      <c r="LR12" s="566"/>
      <c r="LS12" s="566"/>
      <c r="LT12" s="566"/>
      <c r="LU12" s="566"/>
      <c r="LV12" s="566"/>
      <c r="LW12" s="566"/>
      <c r="LX12" s="566"/>
      <c r="LY12" s="566"/>
      <c r="LZ12" s="566"/>
      <c r="MA12" s="566"/>
      <c r="MB12" s="566"/>
      <c r="MC12" s="566"/>
      <c r="MD12" s="566"/>
      <c r="ME12" s="566"/>
      <c r="MF12" s="566"/>
      <c r="MG12" s="566"/>
      <c r="MH12" s="566"/>
      <c r="MI12" s="566"/>
      <c r="MJ12" s="566"/>
      <c r="MK12" s="566"/>
      <c r="ML12" s="566"/>
      <c r="MM12" s="566"/>
      <c r="MN12" s="566"/>
      <c r="MO12" s="566"/>
      <c r="MP12" s="566"/>
      <c r="MQ12" s="566"/>
      <c r="MR12" s="566"/>
      <c r="MS12" s="566"/>
      <c r="MT12" s="566"/>
      <c r="MU12" s="566"/>
      <c r="MV12" s="566"/>
      <c r="MW12" s="566"/>
      <c r="MX12" s="566"/>
      <c r="MY12" s="566"/>
      <c r="MZ12" s="566"/>
      <c r="NA12" s="566"/>
      <c r="NB12" s="566"/>
      <c r="NC12" s="566"/>
      <c r="ND12" s="566"/>
      <c r="NE12" s="566"/>
      <c r="NF12" s="566"/>
      <c r="NG12" s="566"/>
      <c r="NH12" s="566"/>
      <c r="NI12" s="566"/>
      <c r="NJ12" s="566"/>
      <c r="NK12" s="566"/>
      <c r="NL12" s="566"/>
      <c r="NM12" s="566"/>
      <c r="NN12" s="566"/>
      <c r="NO12" s="566"/>
      <c r="NP12" s="566"/>
      <c r="NQ12" s="566"/>
      <c r="NR12" s="566"/>
      <c r="NS12" s="566"/>
      <c r="NT12" s="566"/>
      <c r="NU12" s="566"/>
      <c r="NV12" s="566"/>
      <c r="NW12" s="566"/>
      <c r="NX12" s="566"/>
      <c r="NY12" s="566"/>
      <c r="NZ12" s="566"/>
      <c r="OA12" s="566"/>
      <c r="OB12" s="566"/>
      <c r="OC12" s="566"/>
      <c r="OD12" s="566"/>
      <c r="OE12" s="566"/>
      <c r="OF12" s="566"/>
      <c r="OG12" s="566"/>
      <c r="OH12" s="566"/>
      <c r="OI12" s="566"/>
      <c r="OJ12" s="566"/>
      <c r="OK12" s="566"/>
      <c r="OL12" s="566"/>
      <c r="OM12" s="566"/>
      <c r="ON12" s="566"/>
      <c r="OO12" s="566"/>
      <c r="OP12" s="566"/>
      <c r="OQ12" s="566"/>
      <c r="OR12" s="566"/>
      <c r="OS12" s="566"/>
      <c r="OT12" s="566"/>
      <c r="OU12" s="566"/>
      <c r="OV12" s="566"/>
      <c r="OW12" s="566"/>
      <c r="OX12" s="566"/>
      <c r="OY12" s="566"/>
      <c r="OZ12" s="566"/>
      <c r="PA12" s="566"/>
      <c r="PB12" s="566"/>
      <c r="PC12" s="566"/>
      <c r="PD12" s="566"/>
      <c r="PE12" s="566"/>
      <c r="PF12" s="566"/>
      <c r="PG12" s="566"/>
      <c r="PH12" s="566"/>
      <c r="PI12" s="566"/>
      <c r="PJ12" s="566"/>
      <c r="PK12" s="566"/>
      <c r="PL12" s="566"/>
      <c r="PM12" s="566"/>
      <c r="PN12" s="566"/>
      <c r="PO12" s="566"/>
      <c r="PP12" s="566"/>
      <c r="PQ12" s="566"/>
      <c r="PR12" s="566"/>
      <c r="PS12" s="566"/>
      <c r="PT12" s="566"/>
      <c r="PU12" s="566"/>
      <c r="PV12" s="566"/>
      <c r="PW12" s="566"/>
      <c r="PX12" s="566"/>
      <c r="PY12" s="566"/>
      <c r="PZ12" s="566"/>
      <c r="QA12" s="566"/>
      <c r="QB12" s="566"/>
      <c r="QC12" s="566"/>
      <c r="QD12" s="566"/>
      <c r="QE12" s="566"/>
      <c r="QF12" s="566"/>
      <c r="QG12" s="566"/>
      <c r="QH12" s="566"/>
      <c r="QI12" s="566"/>
      <c r="QJ12" s="566"/>
      <c r="QK12" s="566"/>
      <c r="QL12" s="566"/>
    </row>
    <row r="13" spans="1:454" s="541" customFormat="1">
      <c r="A13" s="566"/>
      <c r="B13" s="542"/>
      <c r="C13" s="542"/>
      <c r="D13" s="543"/>
      <c r="E13" s="543"/>
      <c r="F13" s="543"/>
      <c r="G13" s="543"/>
      <c r="H13" s="543"/>
      <c r="I13" s="543"/>
      <c r="J13" s="543"/>
      <c r="K13" s="543"/>
      <c r="L13" s="543"/>
      <c r="M13" s="641">
        <f>M17+M35+M45+M49</f>
        <v>121238639000</v>
      </c>
      <c r="N13" s="543"/>
      <c r="O13" s="641">
        <f>O17+O35+O45+O49</f>
        <v>131488639000</v>
      </c>
      <c r="P13" s="543"/>
      <c r="Q13" s="641">
        <f>Q17+Q35+Q45+Q49</f>
        <v>132237889000</v>
      </c>
      <c r="R13" s="543"/>
      <c r="S13" s="641">
        <f>S17+S35+S45+S49</f>
        <v>135738639000</v>
      </c>
      <c r="T13" s="543"/>
      <c r="U13" s="641">
        <f>U17+U35+U45+U49</f>
        <v>158238639000</v>
      </c>
      <c r="V13" s="543"/>
      <c r="W13" s="543"/>
      <c r="X13" s="543"/>
      <c r="Y13" s="544"/>
      <c r="Z13" s="544"/>
      <c r="AA13" s="566"/>
      <c r="AB13" s="566"/>
      <c r="AC13" s="778">
        <f>Q11</f>
        <v>-0.1199951171875</v>
      </c>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566"/>
      <c r="CT13" s="566"/>
      <c r="CU13" s="566"/>
      <c r="CV13" s="566"/>
      <c r="CW13" s="566"/>
      <c r="CX13" s="566"/>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6"/>
      <c r="GM13" s="566"/>
      <c r="GN13" s="566"/>
      <c r="GO13" s="566"/>
      <c r="GP13" s="566"/>
      <c r="GQ13" s="566"/>
      <c r="GR13" s="566"/>
      <c r="GS13" s="566"/>
      <c r="GT13" s="566"/>
      <c r="GU13" s="566"/>
      <c r="GV13" s="566"/>
      <c r="GW13" s="566"/>
      <c r="GX13" s="566"/>
      <c r="GY13" s="566"/>
      <c r="GZ13" s="566"/>
      <c r="HA13" s="566"/>
      <c r="HB13" s="566"/>
      <c r="HC13" s="566"/>
      <c r="HD13" s="566"/>
      <c r="HE13" s="566"/>
      <c r="HF13" s="566"/>
      <c r="HG13" s="566"/>
      <c r="HH13" s="566"/>
      <c r="HI13" s="566"/>
      <c r="HJ13" s="566"/>
      <c r="HK13" s="566"/>
      <c r="HL13" s="566"/>
      <c r="HM13" s="566"/>
      <c r="HN13" s="566"/>
      <c r="HO13" s="566"/>
      <c r="HP13" s="566"/>
      <c r="HQ13" s="566"/>
      <c r="HR13" s="566"/>
      <c r="HS13" s="566"/>
      <c r="HT13" s="566"/>
      <c r="HU13" s="566"/>
      <c r="HV13" s="566"/>
      <c r="HW13" s="566"/>
      <c r="HX13" s="566"/>
      <c r="HY13" s="566"/>
      <c r="HZ13" s="566"/>
      <c r="IA13" s="566"/>
      <c r="IB13" s="566"/>
      <c r="IC13" s="566"/>
      <c r="ID13" s="566"/>
      <c r="IE13" s="566"/>
      <c r="IF13" s="566"/>
      <c r="IG13" s="566"/>
      <c r="IH13" s="566"/>
      <c r="II13" s="566"/>
      <c r="IJ13" s="566"/>
      <c r="IK13" s="566"/>
      <c r="IL13" s="566"/>
      <c r="IM13" s="566"/>
      <c r="IN13" s="566"/>
      <c r="IO13" s="566"/>
      <c r="IP13" s="566"/>
      <c r="IQ13" s="566"/>
      <c r="IR13" s="566"/>
      <c r="IS13" s="566"/>
      <c r="IT13" s="566"/>
      <c r="IU13" s="566"/>
      <c r="IV13" s="566"/>
      <c r="IW13" s="566"/>
      <c r="IX13" s="566"/>
      <c r="IY13" s="566"/>
      <c r="IZ13" s="566"/>
      <c r="JA13" s="566"/>
      <c r="JB13" s="566"/>
      <c r="JC13" s="566"/>
      <c r="JD13" s="566"/>
      <c r="JE13" s="566"/>
      <c r="JF13" s="566"/>
      <c r="JG13" s="566"/>
      <c r="JH13" s="566"/>
      <c r="JI13" s="566"/>
      <c r="JJ13" s="566"/>
      <c r="JK13" s="566"/>
      <c r="JL13" s="566"/>
      <c r="JM13" s="566"/>
      <c r="JN13" s="566"/>
      <c r="JO13" s="566"/>
      <c r="JP13" s="566"/>
      <c r="JQ13" s="566"/>
      <c r="JR13" s="566"/>
      <c r="JS13" s="566"/>
      <c r="JT13" s="566"/>
      <c r="JU13" s="566"/>
      <c r="JV13" s="566"/>
      <c r="JW13" s="566"/>
      <c r="JX13" s="566"/>
      <c r="JY13" s="566"/>
      <c r="JZ13" s="566"/>
      <c r="KA13" s="566"/>
      <c r="KB13" s="566"/>
      <c r="KC13" s="566"/>
      <c r="KD13" s="566"/>
      <c r="KE13" s="566"/>
      <c r="KF13" s="566"/>
      <c r="KG13" s="566"/>
      <c r="KH13" s="566"/>
      <c r="KI13" s="566"/>
      <c r="KJ13" s="566"/>
      <c r="KK13" s="566"/>
      <c r="KL13" s="566"/>
      <c r="KM13" s="566"/>
      <c r="KN13" s="566"/>
      <c r="KO13" s="566"/>
      <c r="KP13" s="566"/>
      <c r="KQ13" s="566"/>
      <c r="KR13" s="566"/>
      <c r="KS13" s="566"/>
      <c r="KT13" s="566"/>
      <c r="KU13" s="566"/>
      <c r="KV13" s="566"/>
      <c r="KW13" s="566"/>
      <c r="KX13" s="566"/>
      <c r="KY13" s="566"/>
      <c r="KZ13" s="566"/>
      <c r="LA13" s="566"/>
      <c r="LB13" s="566"/>
      <c r="LC13" s="566"/>
      <c r="LD13" s="566"/>
      <c r="LE13" s="566"/>
      <c r="LF13" s="566"/>
      <c r="LG13" s="566"/>
      <c r="LH13" s="566"/>
      <c r="LI13" s="566"/>
      <c r="LJ13" s="566"/>
      <c r="LK13" s="566"/>
      <c r="LL13" s="566"/>
      <c r="LM13" s="566"/>
      <c r="LN13" s="566"/>
      <c r="LO13" s="566"/>
      <c r="LP13" s="566"/>
      <c r="LQ13" s="566"/>
      <c r="LR13" s="566"/>
      <c r="LS13" s="566"/>
      <c r="LT13" s="566"/>
      <c r="LU13" s="566"/>
      <c r="LV13" s="566"/>
      <c r="LW13" s="566"/>
      <c r="LX13" s="566"/>
      <c r="LY13" s="566"/>
      <c r="LZ13" s="566"/>
      <c r="MA13" s="566"/>
      <c r="MB13" s="566"/>
      <c r="MC13" s="566"/>
      <c r="MD13" s="566"/>
      <c r="ME13" s="566"/>
      <c r="MF13" s="566"/>
      <c r="MG13" s="566"/>
      <c r="MH13" s="566"/>
      <c r="MI13" s="566"/>
      <c r="MJ13" s="566"/>
      <c r="MK13" s="566"/>
      <c r="ML13" s="566"/>
      <c r="MM13" s="566"/>
      <c r="MN13" s="566"/>
      <c r="MO13" s="566"/>
      <c r="MP13" s="566"/>
      <c r="MQ13" s="566"/>
      <c r="MR13" s="566"/>
      <c r="MS13" s="566"/>
      <c r="MT13" s="566"/>
      <c r="MU13" s="566"/>
      <c r="MV13" s="566"/>
      <c r="MW13" s="566"/>
      <c r="MX13" s="566"/>
      <c r="MY13" s="566"/>
      <c r="MZ13" s="566"/>
      <c r="NA13" s="566"/>
      <c r="NB13" s="566"/>
      <c r="NC13" s="566"/>
      <c r="ND13" s="566"/>
      <c r="NE13" s="566"/>
      <c r="NF13" s="566"/>
      <c r="NG13" s="566"/>
      <c r="NH13" s="566"/>
      <c r="NI13" s="566"/>
      <c r="NJ13" s="566"/>
      <c r="NK13" s="566"/>
      <c r="NL13" s="566"/>
      <c r="NM13" s="566"/>
      <c r="NN13" s="566"/>
      <c r="NO13" s="566"/>
      <c r="NP13" s="566"/>
      <c r="NQ13" s="566"/>
      <c r="NR13" s="566"/>
      <c r="NS13" s="566"/>
      <c r="NT13" s="566"/>
      <c r="NU13" s="566"/>
      <c r="NV13" s="566"/>
      <c r="NW13" s="566"/>
      <c r="NX13" s="566"/>
      <c r="NY13" s="566"/>
      <c r="NZ13" s="566"/>
      <c r="OA13" s="566"/>
      <c r="OB13" s="566"/>
      <c r="OC13" s="566"/>
      <c r="OD13" s="566"/>
      <c r="OE13" s="566"/>
      <c r="OF13" s="566"/>
      <c r="OG13" s="566"/>
      <c r="OH13" s="566"/>
      <c r="OI13" s="566"/>
      <c r="OJ13" s="566"/>
      <c r="OK13" s="566"/>
      <c r="OL13" s="566"/>
      <c r="OM13" s="566"/>
      <c r="ON13" s="566"/>
      <c r="OO13" s="566"/>
      <c r="OP13" s="566"/>
      <c r="OQ13" s="566"/>
      <c r="OR13" s="566"/>
      <c r="OS13" s="566"/>
      <c r="OT13" s="566"/>
      <c r="OU13" s="566"/>
      <c r="OV13" s="566"/>
      <c r="OW13" s="566"/>
      <c r="OX13" s="566"/>
      <c r="OY13" s="566"/>
      <c r="OZ13" s="566"/>
      <c r="PA13" s="566"/>
      <c r="PB13" s="566"/>
      <c r="PC13" s="566"/>
      <c r="PD13" s="566"/>
      <c r="PE13" s="566"/>
      <c r="PF13" s="566"/>
      <c r="PG13" s="566"/>
      <c r="PH13" s="566"/>
      <c r="PI13" s="566"/>
      <c r="PJ13" s="566"/>
      <c r="PK13" s="566"/>
      <c r="PL13" s="566"/>
      <c r="PM13" s="566"/>
      <c r="PN13" s="566"/>
      <c r="PO13" s="566"/>
      <c r="PP13" s="566"/>
      <c r="PQ13" s="566"/>
      <c r="PR13" s="566"/>
      <c r="PS13" s="566"/>
      <c r="PT13" s="566"/>
      <c r="PU13" s="566"/>
      <c r="PV13" s="566"/>
      <c r="PW13" s="566"/>
      <c r="PX13" s="566"/>
      <c r="PY13" s="566"/>
      <c r="PZ13" s="566"/>
      <c r="QA13" s="566"/>
      <c r="QB13" s="566"/>
      <c r="QC13" s="566"/>
      <c r="QD13" s="566"/>
      <c r="QE13" s="566"/>
      <c r="QF13" s="566"/>
      <c r="QG13" s="566"/>
      <c r="QH13" s="566"/>
      <c r="QI13" s="566"/>
      <c r="QJ13" s="566"/>
      <c r="QK13" s="566"/>
      <c r="QL13" s="566"/>
    </row>
    <row r="14" spans="1:454" s="541" customFormat="1">
      <c r="A14" s="566"/>
      <c r="B14" s="542"/>
      <c r="C14" s="542"/>
      <c r="D14" s="543"/>
      <c r="E14" s="543"/>
      <c r="F14" s="543"/>
      <c r="G14" s="543"/>
      <c r="H14" s="543"/>
      <c r="I14" s="543"/>
      <c r="J14" s="543"/>
      <c r="K14" s="543"/>
      <c r="L14" s="543"/>
      <c r="M14" s="641"/>
      <c r="N14" s="543"/>
      <c r="O14" s="641"/>
      <c r="P14" s="543"/>
      <c r="Q14" s="641"/>
      <c r="R14" s="543"/>
      <c r="S14" s="641"/>
      <c r="T14" s="543"/>
      <c r="U14" s="641"/>
      <c r="V14" s="543"/>
      <c r="W14" s="543"/>
      <c r="X14" s="543"/>
      <c r="Y14" s="544"/>
      <c r="Z14" s="544"/>
      <c r="AA14" s="566"/>
      <c r="AB14" s="566"/>
      <c r="AC14" s="778"/>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566"/>
      <c r="CT14" s="566"/>
      <c r="CU14" s="566"/>
      <c r="CV14" s="566"/>
      <c r="CW14" s="566"/>
      <c r="CX14" s="566"/>
      <c r="CY14" s="566"/>
      <c r="CZ14" s="566"/>
      <c r="DA14" s="566"/>
      <c r="DB14" s="566"/>
      <c r="DC14" s="566"/>
      <c r="DD14" s="566"/>
      <c r="DE14" s="566"/>
      <c r="DF14" s="566"/>
      <c r="DG14" s="566"/>
      <c r="DH14" s="566"/>
      <c r="DI14" s="566"/>
      <c r="DJ14" s="566"/>
      <c r="DK14" s="566"/>
      <c r="DL14" s="566"/>
      <c r="DM14" s="566"/>
      <c r="DN14" s="566"/>
      <c r="DO14" s="566"/>
      <c r="DP14" s="566"/>
      <c r="DQ14" s="566"/>
      <c r="DR14" s="566"/>
      <c r="DS14" s="566"/>
      <c r="DT14" s="566"/>
      <c r="DU14" s="566"/>
      <c r="DV14" s="566"/>
      <c r="DW14" s="566"/>
      <c r="DX14" s="566"/>
      <c r="DY14" s="566"/>
      <c r="DZ14" s="566"/>
      <c r="EA14" s="566"/>
      <c r="EB14" s="566"/>
      <c r="EC14" s="566"/>
      <c r="ED14" s="566"/>
      <c r="EE14" s="566"/>
      <c r="EF14" s="566"/>
      <c r="EG14" s="566"/>
      <c r="EH14" s="566"/>
      <c r="EI14" s="566"/>
      <c r="EJ14" s="566"/>
      <c r="EK14" s="566"/>
      <c r="EL14" s="566"/>
      <c r="EM14" s="566"/>
      <c r="EN14" s="566"/>
      <c r="EO14" s="566"/>
      <c r="EP14" s="566"/>
      <c r="EQ14" s="566"/>
      <c r="ER14" s="566"/>
      <c r="ES14" s="566"/>
      <c r="ET14" s="566"/>
      <c r="EU14" s="566"/>
      <c r="EV14" s="566"/>
      <c r="EW14" s="566"/>
      <c r="EX14" s="566"/>
      <c r="EY14" s="566"/>
      <c r="EZ14" s="566"/>
      <c r="FA14" s="566"/>
      <c r="FB14" s="566"/>
      <c r="FC14" s="566"/>
      <c r="FD14" s="566"/>
      <c r="FE14" s="566"/>
      <c r="FF14" s="566"/>
      <c r="FG14" s="566"/>
      <c r="FH14" s="566"/>
      <c r="FI14" s="566"/>
      <c r="FJ14" s="566"/>
      <c r="FK14" s="566"/>
      <c r="FL14" s="566"/>
      <c r="FM14" s="566"/>
      <c r="FN14" s="566"/>
      <c r="FO14" s="566"/>
      <c r="FP14" s="566"/>
      <c r="FQ14" s="566"/>
      <c r="FR14" s="566"/>
      <c r="FS14" s="566"/>
      <c r="FT14" s="566"/>
      <c r="FU14" s="566"/>
      <c r="FV14" s="566"/>
      <c r="FW14" s="566"/>
      <c r="FX14" s="566"/>
      <c r="FY14" s="566"/>
      <c r="FZ14" s="566"/>
      <c r="GA14" s="566"/>
      <c r="GB14" s="566"/>
      <c r="GC14" s="566"/>
      <c r="GD14" s="566"/>
      <c r="GE14" s="566"/>
      <c r="GF14" s="566"/>
      <c r="GG14" s="566"/>
      <c r="GH14" s="566"/>
      <c r="GI14" s="566"/>
      <c r="GJ14" s="566"/>
      <c r="GK14" s="566"/>
      <c r="GL14" s="566"/>
      <c r="GM14" s="566"/>
      <c r="GN14" s="566"/>
      <c r="GO14" s="566"/>
      <c r="GP14" s="566"/>
      <c r="GQ14" s="566"/>
      <c r="GR14" s="566"/>
      <c r="GS14" s="566"/>
      <c r="GT14" s="566"/>
      <c r="GU14" s="566"/>
      <c r="GV14" s="566"/>
      <c r="GW14" s="566"/>
      <c r="GX14" s="566"/>
      <c r="GY14" s="566"/>
      <c r="GZ14" s="566"/>
      <c r="HA14" s="566"/>
      <c r="HB14" s="566"/>
      <c r="HC14" s="566"/>
      <c r="HD14" s="566"/>
      <c r="HE14" s="566"/>
      <c r="HF14" s="566"/>
      <c r="HG14" s="566"/>
      <c r="HH14" s="566"/>
      <c r="HI14" s="566"/>
      <c r="HJ14" s="566"/>
      <c r="HK14" s="566"/>
      <c r="HL14" s="566"/>
      <c r="HM14" s="566"/>
      <c r="HN14" s="566"/>
      <c r="HO14" s="566"/>
      <c r="HP14" s="566"/>
      <c r="HQ14" s="566"/>
      <c r="HR14" s="566"/>
      <c r="HS14" s="566"/>
      <c r="HT14" s="566"/>
      <c r="HU14" s="566"/>
      <c r="HV14" s="566"/>
      <c r="HW14" s="566"/>
      <c r="HX14" s="566"/>
      <c r="HY14" s="566"/>
      <c r="HZ14" s="566"/>
      <c r="IA14" s="566"/>
      <c r="IB14" s="566"/>
      <c r="IC14" s="566"/>
      <c r="ID14" s="566"/>
      <c r="IE14" s="566"/>
      <c r="IF14" s="566"/>
      <c r="IG14" s="566"/>
      <c r="IH14" s="566"/>
      <c r="II14" s="566"/>
      <c r="IJ14" s="566"/>
      <c r="IK14" s="566"/>
      <c r="IL14" s="566"/>
      <c r="IM14" s="566"/>
      <c r="IN14" s="566"/>
      <c r="IO14" s="566"/>
      <c r="IP14" s="566"/>
      <c r="IQ14" s="566"/>
      <c r="IR14" s="566"/>
      <c r="IS14" s="566"/>
      <c r="IT14" s="566"/>
      <c r="IU14" s="566"/>
      <c r="IV14" s="566"/>
      <c r="IW14" s="566"/>
      <c r="IX14" s="566"/>
      <c r="IY14" s="566"/>
      <c r="IZ14" s="566"/>
      <c r="JA14" s="566"/>
      <c r="JB14" s="566"/>
      <c r="JC14" s="566"/>
      <c r="JD14" s="566"/>
      <c r="JE14" s="566"/>
      <c r="JF14" s="566"/>
      <c r="JG14" s="566"/>
      <c r="JH14" s="566"/>
      <c r="JI14" s="566"/>
      <c r="JJ14" s="566"/>
      <c r="JK14" s="566"/>
      <c r="JL14" s="566"/>
      <c r="JM14" s="566"/>
      <c r="JN14" s="566"/>
      <c r="JO14" s="566"/>
      <c r="JP14" s="566"/>
      <c r="JQ14" s="566"/>
      <c r="JR14" s="566"/>
      <c r="JS14" s="566"/>
      <c r="JT14" s="566"/>
      <c r="JU14" s="566"/>
      <c r="JV14" s="566"/>
      <c r="JW14" s="566"/>
      <c r="JX14" s="566"/>
      <c r="JY14" s="566"/>
      <c r="JZ14" s="566"/>
      <c r="KA14" s="566"/>
      <c r="KB14" s="566"/>
      <c r="KC14" s="566"/>
      <c r="KD14" s="566"/>
      <c r="KE14" s="566"/>
      <c r="KF14" s="566"/>
      <c r="KG14" s="566"/>
      <c r="KH14" s="566"/>
      <c r="KI14" s="566"/>
      <c r="KJ14" s="566"/>
      <c r="KK14" s="566"/>
      <c r="KL14" s="566"/>
      <c r="KM14" s="566"/>
      <c r="KN14" s="566"/>
      <c r="KO14" s="566"/>
      <c r="KP14" s="566"/>
      <c r="KQ14" s="566"/>
      <c r="KR14" s="566"/>
      <c r="KS14" s="566"/>
      <c r="KT14" s="566"/>
      <c r="KU14" s="566"/>
      <c r="KV14" s="566"/>
      <c r="KW14" s="566"/>
      <c r="KX14" s="566"/>
      <c r="KY14" s="566"/>
      <c r="KZ14" s="566"/>
      <c r="LA14" s="566"/>
      <c r="LB14" s="566"/>
      <c r="LC14" s="566"/>
      <c r="LD14" s="566"/>
      <c r="LE14" s="566"/>
      <c r="LF14" s="566"/>
      <c r="LG14" s="566"/>
      <c r="LH14" s="566"/>
      <c r="LI14" s="566"/>
      <c r="LJ14" s="566"/>
      <c r="LK14" s="566"/>
      <c r="LL14" s="566"/>
      <c r="LM14" s="566"/>
      <c r="LN14" s="566"/>
      <c r="LO14" s="566"/>
      <c r="LP14" s="566"/>
      <c r="LQ14" s="566"/>
      <c r="LR14" s="566"/>
      <c r="LS14" s="566"/>
      <c r="LT14" s="566"/>
      <c r="LU14" s="566"/>
      <c r="LV14" s="566"/>
      <c r="LW14" s="566"/>
      <c r="LX14" s="566"/>
      <c r="LY14" s="566"/>
      <c r="LZ14" s="566"/>
      <c r="MA14" s="566"/>
      <c r="MB14" s="566"/>
      <c r="MC14" s="566"/>
      <c r="MD14" s="566"/>
      <c r="ME14" s="566"/>
      <c r="MF14" s="566"/>
      <c r="MG14" s="566"/>
      <c r="MH14" s="566"/>
      <c r="MI14" s="566"/>
      <c r="MJ14" s="566"/>
      <c r="MK14" s="566"/>
      <c r="ML14" s="566"/>
      <c r="MM14" s="566"/>
      <c r="MN14" s="566"/>
      <c r="MO14" s="566"/>
      <c r="MP14" s="566"/>
      <c r="MQ14" s="566"/>
      <c r="MR14" s="566"/>
      <c r="MS14" s="566"/>
      <c r="MT14" s="566"/>
      <c r="MU14" s="566"/>
      <c r="MV14" s="566"/>
      <c r="MW14" s="566"/>
      <c r="MX14" s="566"/>
      <c r="MY14" s="566"/>
      <c r="MZ14" s="566"/>
      <c r="NA14" s="566"/>
      <c r="NB14" s="566"/>
      <c r="NC14" s="566"/>
      <c r="ND14" s="566"/>
      <c r="NE14" s="566"/>
      <c r="NF14" s="566"/>
      <c r="NG14" s="566"/>
      <c r="NH14" s="566"/>
      <c r="NI14" s="566"/>
      <c r="NJ14" s="566"/>
      <c r="NK14" s="566"/>
      <c r="NL14" s="566"/>
      <c r="NM14" s="566"/>
      <c r="NN14" s="566"/>
      <c r="NO14" s="566"/>
      <c r="NP14" s="566"/>
      <c r="NQ14" s="566"/>
      <c r="NR14" s="566"/>
      <c r="NS14" s="566"/>
      <c r="NT14" s="566"/>
      <c r="NU14" s="566"/>
      <c r="NV14" s="566"/>
      <c r="NW14" s="566"/>
      <c r="NX14" s="566"/>
      <c r="NY14" s="566"/>
      <c r="NZ14" s="566"/>
      <c r="OA14" s="566"/>
      <c r="OB14" s="566"/>
      <c r="OC14" s="566"/>
      <c r="OD14" s="566"/>
      <c r="OE14" s="566"/>
      <c r="OF14" s="566"/>
      <c r="OG14" s="566"/>
      <c r="OH14" s="566"/>
      <c r="OI14" s="566"/>
      <c r="OJ14" s="566"/>
      <c r="OK14" s="566"/>
      <c r="OL14" s="566"/>
      <c r="OM14" s="566"/>
      <c r="ON14" s="566"/>
      <c r="OO14" s="566"/>
      <c r="OP14" s="566"/>
      <c r="OQ14" s="566"/>
      <c r="OR14" s="566"/>
      <c r="OS14" s="566"/>
      <c r="OT14" s="566"/>
      <c r="OU14" s="566"/>
      <c r="OV14" s="566"/>
      <c r="OW14" s="566"/>
      <c r="OX14" s="566"/>
      <c r="OY14" s="566"/>
      <c r="OZ14" s="566"/>
      <c r="PA14" s="566"/>
      <c r="PB14" s="566"/>
      <c r="PC14" s="566"/>
      <c r="PD14" s="566"/>
      <c r="PE14" s="566"/>
      <c r="PF14" s="566"/>
      <c r="PG14" s="566"/>
      <c r="PH14" s="566"/>
      <c r="PI14" s="566"/>
      <c r="PJ14" s="566"/>
      <c r="PK14" s="566"/>
      <c r="PL14" s="566"/>
      <c r="PM14" s="566"/>
      <c r="PN14" s="566"/>
      <c r="PO14" s="566"/>
      <c r="PP14" s="566"/>
      <c r="PQ14" s="566"/>
      <c r="PR14" s="566"/>
      <c r="PS14" s="566"/>
      <c r="PT14" s="566"/>
      <c r="PU14" s="566"/>
      <c r="PV14" s="566"/>
      <c r="PW14" s="566"/>
      <c r="PX14" s="566"/>
      <c r="PY14" s="566"/>
      <c r="PZ14" s="566"/>
      <c r="QA14" s="566"/>
      <c r="QB14" s="566"/>
      <c r="QC14" s="566"/>
      <c r="QD14" s="566"/>
      <c r="QE14" s="566"/>
      <c r="QF14" s="566"/>
      <c r="QG14" s="566"/>
      <c r="QH14" s="566"/>
      <c r="QI14" s="566"/>
      <c r="QJ14" s="566"/>
      <c r="QK14" s="566"/>
      <c r="QL14" s="566"/>
    </row>
    <row r="15" spans="1:454" s="878" customFormat="1">
      <c r="A15" s="872"/>
      <c r="B15" s="873"/>
      <c r="C15" s="873" t="s">
        <v>4899</v>
      </c>
      <c r="D15" s="874"/>
      <c r="E15" s="874"/>
      <c r="F15" s="874"/>
      <c r="G15" s="874"/>
      <c r="H15" s="874"/>
      <c r="I15" s="874"/>
      <c r="J15" s="874"/>
      <c r="K15" s="874"/>
      <c r="L15" s="874"/>
      <c r="M15" s="875">
        <f>L4</f>
        <v>2014</v>
      </c>
      <c r="N15" s="875"/>
      <c r="O15" s="875">
        <v>2015</v>
      </c>
      <c r="P15" s="875"/>
      <c r="Q15" s="875">
        <v>2016</v>
      </c>
      <c r="R15" s="875"/>
      <c r="S15" s="875">
        <v>2017</v>
      </c>
      <c r="T15" s="875"/>
      <c r="U15" s="875">
        <v>2018</v>
      </c>
      <c r="V15" s="875"/>
      <c r="W15" s="875" t="s">
        <v>4900</v>
      </c>
      <c r="X15" s="874"/>
      <c r="Y15" s="876"/>
      <c r="Z15" s="876"/>
      <c r="AA15" s="872"/>
      <c r="AB15" s="872"/>
      <c r="AC15" s="877"/>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2"/>
      <c r="BC15" s="872"/>
      <c r="BD15" s="872"/>
      <c r="BE15" s="872"/>
      <c r="BF15" s="872"/>
      <c r="BG15" s="872"/>
      <c r="BH15" s="872"/>
      <c r="BI15" s="872"/>
      <c r="BJ15" s="872"/>
      <c r="BK15" s="872"/>
      <c r="BL15" s="872"/>
      <c r="BM15" s="872"/>
      <c r="BN15" s="872"/>
      <c r="BO15" s="872"/>
      <c r="BP15" s="872"/>
      <c r="BQ15" s="872"/>
      <c r="BR15" s="872"/>
      <c r="BS15" s="872"/>
      <c r="BT15" s="872"/>
      <c r="BU15" s="872"/>
      <c r="BV15" s="872"/>
      <c r="BW15" s="872"/>
      <c r="BX15" s="872"/>
      <c r="BY15" s="872"/>
      <c r="BZ15" s="872"/>
      <c r="CA15" s="872"/>
      <c r="CB15" s="872"/>
      <c r="CC15" s="872"/>
      <c r="CD15" s="872"/>
      <c r="CE15" s="872"/>
      <c r="CF15" s="872"/>
      <c r="CG15" s="872"/>
      <c r="CH15" s="872"/>
      <c r="CI15" s="872"/>
      <c r="CJ15" s="872"/>
      <c r="CK15" s="872"/>
      <c r="CL15" s="872"/>
      <c r="CM15" s="872"/>
      <c r="CN15" s="872"/>
      <c r="CO15" s="872"/>
      <c r="CP15" s="872"/>
      <c r="CQ15" s="872"/>
      <c r="CR15" s="872"/>
      <c r="CS15" s="872"/>
      <c r="CT15" s="872"/>
      <c r="CU15" s="872"/>
      <c r="CV15" s="872"/>
      <c r="CW15" s="872"/>
      <c r="CX15" s="872"/>
      <c r="CY15" s="872"/>
      <c r="CZ15" s="872"/>
      <c r="DA15" s="872"/>
      <c r="DB15" s="872"/>
      <c r="DC15" s="872"/>
      <c r="DD15" s="872"/>
      <c r="DE15" s="872"/>
      <c r="DF15" s="872"/>
      <c r="DG15" s="872"/>
      <c r="DH15" s="872"/>
      <c r="DI15" s="872"/>
      <c r="DJ15" s="872"/>
      <c r="DK15" s="872"/>
      <c r="DL15" s="872"/>
      <c r="DM15" s="872"/>
      <c r="DN15" s="872"/>
      <c r="DO15" s="872"/>
      <c r="DP15" s="872"/>
      <c r="DQ15" s="872"/>
      <c r="DR15" s="872"/>
      <c r="DS15" s="872"/>
      <c r="DT15" s="872"/>
      <c r="DU15" s="872"/>
      <c r="DV15" s="872"/>
      <c r="DW15" s="872"/>
      <c r="DX15" s="872"/>
      <c r="DY15" s="872"/>
      <c r="DZ15" s="872"/>
      <c r="EA15" s="872"/>
      <c r="EB15" s="872"/>
      <c r="EC15" s="872"/>
      <c r="ED15" s="872"/>
      <c r="EE15" s="872"/>
      <c r="EF15" s="872"/>
      <c r="EG15" s="872"/>
      <c r="EH15" s="872"/>
      <c r="EI15" s="872"/>
      <c r="EJ15" s="872"/>
      <c r="EK15" s="872"/>
      <c r="EL15" s="872"/>
      <c r="EM15" s="872"/>
      <c r="EN15" s="872"/>
      <c r="EO15" s="872"/>
      <c r="EP15" s="872"/>
      <c r="EQ15" s="872"/>
      <c r="ER15" s="872"/>
      <c r="ES15" s="872"/>
      <c r="ET15" s="872"/>
      <c r="EU15" s="872"/>
      <c r="EV15" s="872"/>
      <c r="EW15" s="872"/>
      <c r="EX15" s="872"/>
      <c r="EY15" s="872"/>
      <c r="EZ15" s="872"/>
      <c r="FA15" s="872"/>
      <c r="FB15" s="872"/>
      <c r="FC15" s="872"/>
      <c r="FD15" s="872"/>
      <c r="FE15" s="872"/>
      <c r="FF15" s="872"/>
      <c r="FG15" s="872"/>
      <c r="FH15" s="872"/>
      <c r="FI15" s="872"/>
      <c r="FJ15" s="872"/>
      <c r="FK15" s="872"/>
      <c r="FL15" s="872"/>
      <c r="FM15" s="872"/>
      <c r="FN15" s="872"/>
      <c r="FO15" s="872"/>
      <c r="FP15" s="872"/>
      <c r="FQ15" s="872"/>
      <c r="FR15" s="872"/>
      <c r="FS15" s="872"/>
      <c r="FT15" s="872"/>
      <c r="FU15" s="872"/>
      <c r="FV15" s="872"/>
      <c r="FW15" s="872"/>
      <c r="FX15" s="872"/>
      <c r="FY15" s="872"/>
      <c r="FZ15" s="872"/>
      <c r="GA15" s="872"/>
      <c r="GB15" s="872"/>
      <c r="GC15" s="872"/>
      <c r="GD15" s="872"/>
      <c r="GE15" s="872"/>
      <c r="GF15" s="872"/>
      <c r="GG15" s="872"/>
      <c r="GH15" s="872"/>
      <c r="GI15" s="872"/>
      <c r="GJ15" s="872"/>
      <c r="GK15" s="872"/>
      <c r="GL15" s="872"/>
      <c r="GM15" s="872"/>
      <c r="GN15" s="872"/>
      <c r="GO15" s="872"/>
      <c r="GP15" s="872"/>
      <c r="GQ15" s="872"/>
      <c r="GR15" s="872"/>
      <c r="GS15" s="872"/>
      <c r="GT15" s="872"/>
      <c r="GU15" s="872"/>
      <c r="GV15" s="872"/>
      <c r="GW15" s="872"/>
      <c r="GX15" s="872"/>
      <c r="GY15" s="872"/>
      <c r="GZ15" s="872"/>
      <c r="HA15" s="872"/>
      <c r="HB15" s="872"/>
      <c r="HC15" s="872"/>
      <c r="HD15" s="872"/>
      <c r="HE15" s="872"/>
      <c r="HF15" s="872"/>
      <c r="HG15" s="872"/>
      <c r="HH15" s="872"/>
      <c r="HI15" s="872"/>
      <c r="HJ15" s="872"/>
      <c r="HK15" s="872"/>
      <c r="HL15" s="872"/>
      <c r="HM15" s="872"/>
      <c r="HN15" s="872"/>
      <c r="HO15" s="872"/>
      <c r="HP15" s="872"/>
      <c r="HQ15" s="872"/>
      <c r="HR15" s="872"/>
      <c r="HS15" s="872"/>
      <c r="HT15" s="872"/>
      <c r="HU15" s="872"/>
      <c r="HV15" s="872"/>
      <c r="HW15" s="872"/>
      <c r="HX15" s="872"/>
      <c r="HY15" s="872"/>
      <c r="HZ15" s="872"/>
      <c r="IA15" s="872"/>
      <c r="IB15" s="872"/>
      <c r="IC15" s="872"/>
      <c r="ID15" s="872"/>
      <c r="IE15" s="872"/>
      <c r="IF15" s="872"/>
      <c r="IG15" s="872"/>
      <c r="IH15" s="872"/>
      <c r="II15" s="872"/>
      <c r="IJ15" s="872"/>
      <c r="IK15" s="872"/>
      <c r="IL15" s="872"/>
      <c r="IM15" s="872"/>
      <c r="IN15" s="872"/>
      <c r="IO15" s="872"/>
      <c r="IP15" s="872"/>
      <c r="IQ15" s="872"/>
      <c r="IR15" s="872"/>
      <c r="IS15" s="872"/>
      <c r="IT15" s="872"/>
      <c r="IU15" s="872"/>
      <c r="IV15" s="872"/>
      <c r="IW15" s="872"/>
      <c r="IX15" s="872"/>
      <c r="IY15" s="872"/>
      <c r="IZ15" s="872"/>
      <c r="JA15" s="872"/>
      <c r="JB15" s="872"/>
      <c r="JC15" s="872"/>
      <c r="JD15" s="872"/>
      <c r="JE15" s="872"/>
      <c r="JF15" s="872"/>
      <c r="JG15" s="872"/>
      <c r="JH15" s="872"/>
      <c r="JI15" s="872"/>
      <c r="JJ15" s="872"/>
      <c r="JK15" s="872"/>
      <c r="JL15" s="872"/>
      <c r="JM15" s="872"/>
      <c r="JN15" s="872"/>
      <c r="JO15" s="872"/>
      <c r="JP15" s="872"/>
      <c r="JQ15" s="872"/>
      <c r="JR15" s="872"/>
      <c r="JS15" s="872"/>
      <c r="JT15" s="872"/>
      <c r="JU15" s="872"/>
      <c r="JV15" s="872"/>
      <c r="JW15" s="872"/>
      <c r="JX15" s="872"/>
      <c r="JY15" s="872"/>
      <c r="JZ15" s="872"/>
      <c r="KA15" s="872"/>
      <c r="KB15" s="872"/>
      <c r="KC15" s="872"/>
      <c r="KD15" s="872"/>
      <c r="KE15" s="872"/>
      <c r="KF15" s="872"/>
      <c r="KG15" s="872"/>
      <c r="KH15" s="872"/>
      <c r="KI15" s="872"/>
      <c r="KJ15" s="872"/>
      <c r="KK15" s="872"/>
      <c r="KL15" s="872"/>
      <c r="KM15" s="872"/>
      <c r="KN15" s="872"/>
      <c r="KO15" s="872"/>
      <c r="KP15" s="872"/>
      <c r="KQ15" s="872"/>
      <c r="KR15" s="872"/>
      <c r="KS15" s="872"/>
      <c r="KT15" s="872"/>
      <c r="KU15" s="872"/>
      <c r="KV15" s="872"/>
      <c r="KW15" s="872"/>
      <c r="KX15" s="872"/>
      <c r="KY15" s="872"/>
      <c r="KZ15" s="872"/>
      <c r="LA15" s="872"/>
      <c r="LB15" s="872"/>
      <c r="LC15" s="872"/>
      <c r="LD15" s="872"/>
      <c r="LE15" s="872"/>
      <c r="LF15" s="872"/>
      <c r="LG15" s="872"/>
      <c r="LH15" s="872"/>
      <c r="LI15" s="872"/>
      <c r="LJ15" s="872"/>
      <c r="LK15" s="872"/>
      <c r="LL15" s="872"/>
      <c r="LM15" s="872"/>
      <c r="LN15" s="872"/>
      <c r="LO15" s="872"/>
      <c r="LP15" s="872"/>
      <c r="LQ15" s="872"/>
      <c r="LR15" s="872"/>
      <c r="LS15" s="872"/>
      <c r="LT15" s="872"/>
      <c r="LU15" s="872"/>
      <c r="LV15" s="872"/>
      <c r="LW15" s="872"/>
      <c r="LX15" s="872"/>
      <c r="LY15" s="872"/>
      <c r="LZ15" s="872"/>
      <c r="MA15" s="872"/>
      <c r="MB15" s="872"/>
      <c r="MC15" s="872"/>
      <c r="MD15" s="872"/>
      <c r="ME15" s="872"/>
      <c r="MF15" s="872"/>
      <c r="MG15" s="872"/>
      <c r="MH15" s="872"/>
      <c r="MI15" s="872"/>
      <c r="MJ15" s="872"/>
      <c r="MK15" s="872"/>
      <c r="ML15" s="872"/>
      <c r="MM15" s="872"/>
      <c r="MN15" s="872"/>
      <c r="MO15" s="872"/>
      <c r="MP15" s="872"/>
      <c r="MQ15" s="872"/>
      <c r="MR15" s="872"/>
      <c r="MS15" s="872"/>
      <c r="MT15" s="872"/>
      <c r="MU15" s="872"/>
      <c r="MV15" s="872"/>
      <c r="MW15" s="872"/>
      <c r="MX15" s="872"/>
      <c r="MY15" s="872"/>
      <c r="MZ15" s="872"/>
      <c r="NA15" s="872"/>
      <c r="NB15" s="872"/>
      <c r="NC15" s="872"/>
      <c r="ND15" s="872"/>
      <c r="NE15" s="872"/>
      <c r="NF15" s="872"/>
      <c r="NG15" s="872"/>
      <c r="NH15" s="872"/>
      <c r="NI15" s="872"/>
      <c r="NJ15" s="872"/>
      <c r="NK15" s="872"/>
      <c r="NL15" s="872"/>
      <c r="NM15" s="872"/>
      <c r="NN15" s="872"/>
      <c r="NO15" s="872"/>
      <c r="NP15" s="872"/>
      <c r="NQ15" s="872"/>
      <c r="NR15" s="872"/>
      <c r="NS15" s="872"/>
      <c r="NT15" s="872"/>
      <c r="NU15" s="872"/>
      <c r="NV15" s="872"/>
      <c r="NW15" s="872"/>
      <c r="NX15" s="872"/>
      <c r="NY15" s="872"/>
      <c r="NZ15" s="872"/>
      <c r="OA15" s="872"/>
      <c r="OB15" s="872"/>
      <c r="OC15" s="872"/>
      <c r="OD15" s="872"/>
      <c r="OE15" s="872"/>
      <c r="OF15" s="872"/>
      <c r="OG15" s="872"/>
      <c r="OH15" s="872"/>
      <c r="OI15" s="872"/>
      <c r="OJ15" s="872"/>
      <c r="OK15" s="872"/>
      <c r="OL15" s="872"/>
      <c r="OM15" s="872"/>
      <c r="ON15" s="872"/>
      <c r="OO15" s="872"/>
      <c r="OP15" s="872"/>
      <c r="OQ15" s="872"/>
      <c r="OR15" s="872"/>
      <c r="OS15" s="872"/>
      <c r="OT15" s="872"/>
      <c r="OU15" s="872"/>
      <c r="OV15" s="872"/>
      <c r="OW15" s="872"/>
      <c r="OX15" s="872"/>
      <c r="OY15" s="872"/>
      <c r="OZ15" s="872"/>
      <c r="PA15" s="872"/>
      <c r="PB15" s="872"/>
      <c r="PC15" s="872"/>
      <c r="PD15" s="872"/>
      <c r="PE15" s="872"/>
      <c r="PF15" s="872"/>
      <c r="PG15" s="872"/>
      <c r="PH15" s="872"/>
      <c r="PI15" s="872"/>
      <c r="PJ15" s="872"/>
      <c r="PK15" s="872"/>
      <c r="PL15" s="872"/>
      <c r="PM15" s="872"/>
      <c r="PN15" s="872"/>
      <c r="PO15" s="872"/>
      <c r="PP15" s="872"/>
      <c r="PQ15" s="872"/>
      <c r="PR15" s="872"/>
      <c r="PS15" s="872"/>
      <c r="PT15" s="872"/>
      <c r="PU15" s="872"/>
      <c r="PV15" s="872"/>
      <c r="PW15" s="872"/>
      <c r="PX15" s="872"/>
      <c r="PY15" s="872"/>
      <c r="PZ15" s="872"/>
      <c r="QA15" s="872"/>
      <c r="QB15" s="872"/>
      <c r="QC15" s="872"/>
      <c r="QD15" s="872"/>
      <c r="QE15" s="872"/>
      <c r="QF15" s="872"/>
      <c r="QG15" s="872"/>
      <c r="QH15" s="872"/>
      <c r="QI15" s="872"/>
      <c r="QJ15" s="872"/>
      <c r="QK15" s="872"/>
      <c r="QL15" s="872"/>
    </row>
    <row r="16" spans="1:454" s="560" customFormat="1" ht="30">
      <c r="A16" s="566"/>
      <c r="B16" s="556" t="s">
        <v>4662</v>
      </c>
      <c r="C16" s="556" t="s">
        <v>4663</v>
      </c>
      <c r="D16" s="558"/>
      <c r="E16" s="558"/>
      <c r="F16" s="558"/>
      <c r="G16" s="558"/>
      <c r="H16" s="558"/>
      <c r="I16" s="558"/>
      <c r="J16" s="558"/>
      <c r="K16" s="558"/>
      <c r="L16" s="558"/>
      <c r="M16" s="644"/>
      <c r="N16" s="558"/>
      <c r="O16" s="558"/>
      <c r="P16" s="558"/>
      <c r="Q16" s="558"/>
      <c r="R16" s="558"/>
      <c r="S16" s="558"/>
      <c r="T16" s="558"/>
      <c r="U16" s="558"/>
      <c r="V16" s="558"/>
      <c r="W16" s="558"/>
      <c r="X16" s="558"/>
      <c r="Y16" s="559"/>
      <c r="Z16" s="559"/>
      <c r="AA16" s="566"/>
      <c r="AB16" s="566"/>
      <c r="AC16" s="778">
        <f>AC11+AC13</f>
        <v>-0.52008056640625</v>
      </c>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566"/>
      <c r="CT16" s="566"/>
      <c r="CU16" s="566"/>
      <c r="CV16" s="566"/>
    </row>
    <row r="17" spans="1:100" s="854" customFormat="1">
      <c r="A17" s="566"/>
      <c r="B17" s="855">
        <v>1</v>
      </c>
      <c r="C17" s="856" t="str">
        <f>BTL!B3</f>
        <v>BELANJA HIBAH</v>
      </c>
      <c r="D17" s="857"/>
      <c r="E17" s="857"/>
      <c r="F17" s="857"/>
      <c r="G17" s="857"/>
      <c r="H17" s="857"/>
      <c r="I17" s="857"/>
      <c r="J17" s="857"/>
      <c r="K17" s="857"/>
      <c r="L17" s="857"/>
      <c r="M17" s="858">
        <f>BTL!D3</f>
        <v>59294840000</v>
      </c>
      <c r="N17" s="858">
        <f>BTL!E3</f>
        <v>0</v>
      </c>
      <c r="O17" s="858">
        <f>BTL!F3</f>
        <v>64879340000</v>
      </c>
      <c r="P17" s="858">
        <f>BTL!G3</f>
        <v>0</v>
      </c>
      <c r="Q17" s="858">
        <f>BTL!H3</f>
        <v>65628590000</v>
      </c>
      <c r="R17" s="858">
        <f>BTL!I3</f>
        <v>0</v>
      </c>
      <c r="S17" s="858">
        <f>BTL!J3</f>
        <v>68457340000</v>
      </c>
      <c r="T17" s="858">
        <f>BTL!K3</f>
        <v>0</v>
      </c>
      <c r="U17" s="858">
        <f>BTL!L3</f>
        <v>90007340000</v>
      </c>
      <c r="V17" s="859"/>
      <c r="W17" s="859"/>
      <c r="X17" s="859"/>
      <c r="Y17" s="860"/>
      <c r="Z17" s="860"/>
      <c r="AA17" s="569"/>
      <c r="AB17" s="569"/>
      <c r="AC17" s="849"/>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566"/>
      <c r="CT17" s="566"/>
      <c r="CU17" s="566"/>
      <c r="CV17" s="566"/>
    </row>
    <row r="18" spans="1:100" s="848" customFormat="1" ht="30">
      <c r="B18" s="868" t="s">
        <v>4884</v>
      </c>
      <c r="C18" s="867" t="str">
        <f>BTL!B4</f>
        <v>Belanja Hibah Urusan Pendidikan</v>
      </c>
      <c r="D18" s="861"/>
      <c r="E18" s="861"/>
      <c r="F18" s="861"/>
      <c r="G18" s="861"/>
      <c r="H18" s="861"/>
      <c r="I18" s="861"/>
      <c r="J18" s="861"/>
      <c r="K18" s="861"/>
      <c r="L18" s="861"/>
      <c r="M18" s="851">
        <f>BTL!D4</f>
        <v>3030000000</v>
      </c>
      <c r="N18" s="851">
        <f>BTL!E4</f>
        <v>0</v>
      </c>
      <c r="O18" s="851">
        <f>BTL!F4</f>
        <v>4030000000</v>
      </c>
      <c r="P18" s="851">
        <f>BTL!G4</f>
        <v>0</v>
      </c>
      <c r="Q18" s="851">
        <f>BTL!H4</f>
        <v>4030000000</v>
      </c>
      <c r="R18" s="851">
        <f>BTL!I4</f>
        <v>0</v>
      </c>
      <c r="S18" s="851">
        <f>BTL!J4</f>
        <v>4030000000</v>
      </c>
      <c r="T18" s="851">
        <f>BTL!K4</f>
        <v>0</v>
      </c>
      <c r="U18" s="851">
        <f>BTL!L4</f>
        <v>4030000000</v>
      </c>
      <c r="V18" s="852"/>
      <c r="W18" s="852"/>
      <c r="X18" s="852"/>
      <c r="Y18" s="853"/>
      <c r="Z18" s="853"/>
      <c r="AA18" s="569"/>
      <c r="AB18" s="569"/>
      <c r="AC18" s="849"/>
    </row>
    <row r="19" spans="1:100" s="848" customFormat="1" ht="30">
      <c r="B19" s="868" t="s">
        <v>4885</v>
      </c>
      <c r="C19" s="867" t="str">
        <f>BTL!B5</f>
        <v>Belanja Hibah Urusan Kesehatan</v>
      </c>
      <c r="D19" s="861"/>
      <c r="E19" s="861"/>
      <c r="F19" s="861"/>
      <c r="G19" s="861"/>
      <c r="H19" s="861"/>
      <c r="I19" s="861"/>
      <c r="J19" s="861"/>
      <c r="K19" s="861"/>
      <c r="L19" s="861"/>
      <c r="M19" s="851">
        <f>BTL!D5</f>
        <v>600000000</v>
      </c>
      <c r="N19" s="851">
        <f>BTL!E5</f>
        <v>0</v>
      </c>
      <c r="O19" s="851">
        <f>BTL!F5</f>
        <v>600000000</v>
      </c>
      <c r="P19" s="851">
        <f>BTL!G5</f>
        <v>0</v>
      </c>
      <c r="Q19" s="851">
        <f>BTL!H5</f>
        <v>600000000</v>
      </c>
      <c r="R19" s="851">
        <f>BTL!I5</f>
        <v>0</v>
      </c>
      <c r="S19" s="851">
        <f>BTL!J5</f>
        <v>600000000</v>
      </c>
      <c r="T19" s="851">
        <f>BTL!K5</f>
        <v>0</v>
      </c>
      <c r="U19" s="851">
        <f>BTL!L5</f>
        <v>600000000</v>
      </c>
      <c r="V19" s="852"/>
      <c r="W19" s="852"/>
      <c r="X19" s="852"/>
      <c r="Y19" s="853"/>
      <c r="Z19" s="853"/>
      <c r="AA19" s="569"/>
      <c r="AB19" s="569"/>
      <c r="AC19" s="849"/>
    </row>
    <row r="20" spans="1:100" s="848" customFormat="1" ht="30">
      <c r="B20" s="868" t="s">
        <v>4886</v>
      </c>
      <c r="C20" s="867" t="str">
        <f>BTL!B6</f>
        <v>Belanja Hibah Urusan Pekerjaan Umum</v>
      </c>
      <c r="D20" s="861"/>
      <c r="E20" s="861"/>
      <c r="F20" s="861"/>
      <c r="G20" s="861"/>
      <c r="H20" s="861"/>
      <c r="I20" s="861"/>
      <c r="J20" s="861"/>
      <c r="K20" s="861"/>
      <c r="L20" s="861"/>
      <c r="M20" s="851">
        <f>BTL!D6</f>
        <v>32494760000</v>
      </c>
      <c r="N20" s="851">
        <f>BTL!E6</f>
        <v>0</v>
      </c>
      <c r="O20" s="851">
        <f>BTL!F6</f>
        <v>35656260000</v>
      </c>
      <c r="P20" s="851">
        <f>BTL!G6</f>
        <v>0</v>
      </c>
      <c r="Q20" s="851">
        <f>BTL!H6</f>
        <v>35656260000</v>
      </c>
      <c r="R20" s="851">
        <f>BTL!I6</f>
        <v>0</v>
      </c>
      <c r="S20" s="851">
        <f>BTL!J6</f>
        <v>36656260000</v>
      </c>
      <c r="T20" s="851">
        <f>BTL!K6</f>
        <v>0</v>
      </c>
      <c r="U20" s="851">
        <f>BTL!L6</f>
        <v>37656260000</v>
      </c>
      <c r="V20" s="852"/>
      <c r="W20" s="852"/>
      <c r="X20" s="852"/>
      <c r="Y20" s="853"/>
      <c r="Z20" s="853"/>
      <c r="AA20" s="569"/>
      <c r="AB20" s="569"/>
      <c r="AC20" s="849"/>
    </row>
    <row r="21" spans="1:100" s="848" customFormat="1" ht="45">
      <c r="B21" s="868" t="s">
        <v>4887</v>
      </c>
      <c r="C21" s="867" t="str">
        <f>BTL!B7</f>
        <v>Belanja Hibah Urusan Pemberdayaan Perempuan dan Perlindungan Anak</v>
      </c>
      <c r="D21" s="861"/>
      <c r="E21" s="861"/>
      <c r="F21" s="861"/>
      <c r="G21" s="861"/>
      <c r="H21" s="861"/>
      <c r="I21" s="861"/>
      <c r="J21" s="861"/>
      <c r="K21" s="861"/>
      <c r="L21" s="861"/>
      <c r="M21" s="851">
        <f>BTL!D7</f>
        <v>475000000</v>
      </c>
      <c r="N21" s="851">
        <f>BTL!E7</f>
        <v>0</v>
      </c>
      <c r="O21" s="851">
        <f>BTL!F7</f>
        <v>475000000</v>
      </c>
      <c r="P21" s="851">
        <f>BTL!G7</f>
        <v>0</v>
      </c>
      <c r="Q21" s="851">
        <f>BTL!H7</f>
        <v>475000000</v>
      </c>
      <c r="R21" s="851">
        <f>BTL!I7</f>
        <v>0</v>
      </c>
      <c r="S21" s="851">
        <f>BTL!J7</f>
        <v>475000000</v>
      </c>
      <c r="T21" s="851">
        <f>BTL!K7</f>
        <v>0</v>
      </c>
      <c r="U21" s="851">
        <f>BTL!L7</f>
        <v>475000000</v>
      </c>
      <c r="V21" s="852"/>
      <c r="W21" s="852"/>
      <c r="X21" s="852"/>
      <c r="Y21" s="853"/>
      <c r="Z21" s="853"/>
      <c r="AA21" s="569"/>
      <c r="AB21" s="569"/>
      <c r="AC21" s="849"/>
    </row>
    <row r="22" spans="1:100" s="848" customFormat="1" ht="20.25" customHeight="1">
      <c r="B22" s="868" t="s">
        <v>4888</v>
      </c>
      <c r="C22" s="867" t="str">
        <f>BTL!B8</f>
        <v>Belanja Hibah Urusan Sosial</v>
      </c>
      <c r="D22" s="861"/>
      <c r="E22" s="861"/>
      <c r="F22" s="861"/>
      <c r="G22" s="861"/>
      <c r="H22" s="861"/>
      <c r="I22" s="861"/>
      <c r="J22" s="861"/>
      <c r="K22" s="861"/>
      <c r="L22" s="861"/>
      <c r="M22" s="851">
        <f>BTL!D8</f>
        <v>305000000</v>
      </c>
      <c r="N22" s="851">
        <f>BTL!E8</f>
        <v>0</v>
      </c>
      <c r="O22" s="851">
        <f>BTL!F8</f>
        <v>305000000</v>
      </c>
      <c r="P22" s="851">
        <f>BTL!G8</f>
        <v>0</v>
      </c>
      <c r="Q22" s="851">
        <f>BTL!H8</f>
        <v>305000000</v>
      </c>
      <c r="R22" s="851">
        <f>BTL!I8</f>
        <v>0</v>
      </c>
      <c r="S22" s="851">
        <f>BTL!J8</f>
        <v>305000000</v>
      </c>
      <c r="T22" s="851">
        <f>BTL!K8</f>
        <v>0</v>
      </c>
      <c r="U22" s="851">
        <f>BTL!L8</f>
        <v>305000000</v>
      </c>
      <c r="V22" s="852"/>
      <c r="W22" s="852"/>
      <c r="X22" s="852"/>
      <c r="Y22" s="853"/>
      <c r="Z22" s="853"/>
      <c r="AA22" s="569"/>
      <c r="AB22" s="569"/>
      <c r="AC22" s="849"/>
    </row>
    <row r="23" spans="1:100" s="848" customFormat="1" ht="30">
      <c r="B23" s="868" t="s">
        <v>4889</v>
      </c>
      <c r="C23" s="867" t="str">
        <f>BTL!B9</f>
        <v>Belanja Hibah Urusan Ketenagakerjaan</v>
      </c>
      <c r="D23" s="861"/>
      <c r="E23" s="861"/>
      <c r="F23" s="861"/>
      <c r="G23" s="861"/>
      <c r="H23" s="861"/>
      <c r="I23" s="861"/>
      <c r="J23" s="861"/>
      <c r="K23" s="861"/>
      <c r="L23" s="861"/>
      <c r="M23" s="851">
        <f>BTL!D9</f>
        <v>360000000</v>
      </c>
      <c r="N23" s="851">
        <f>BTL!E9</f>
        <v>0</v>
      </c>
      <c r="O23" s="851">
        <f>BTL!F9</f>
        <v>360000000</v>
      </c>
      <c r="P23" s="851">
        <f>BTL!G9</f>
        <v>0</v>
      </c>
      <c r="Q23" s="851">
        <f>BTL!H9</f>
        <v>360000000</v>
      </c>
      <c r="R23" s="851">
        <f>BTL!I9</f>
        <v>0</v>
      </c>
      <c r="S23" s="851">
        <f>BTL!J9</f>
        <v>360000000</v>
      </c>
      <c r="T23" s="851">
        <f>BTL!K9</f>
        <v>0</v>
      </c>
      <c r="U23" s="851">
        <f>BTL!L9</f>
        <v>360000000</v>
      </c>
      <c r="V23" s="852"/>
      <c r="W23" s="852"/>
      <c r="X23" s="852"/>
      <c r="Y23" s="853"/>
      <c r="Z23" s="853"/>
      <c r="AA23" s="569"/>
      <c r="AB23" s="569"/>
      <c r="AC23" s="849"/>
    </row>
    <row r="24" spans="1:100" s="848" customFormat="1" ht="45">
      <c r="B24" s="868" t="s">
        <v>4890</v>
      </c>
      <c r="C24" s="867" t="str">
        <f>BTL!B10</f>
        <v>Belanja Hibah Urusan Koperasi dan Usaha Menengah</v>
      </c>
      <c r="D24" s="861"/>
      <c r="E24" s="861"/>
      <c r="F24" s="861"/>
      <c r="G24" s="861"/>
      <c r="H24" s="861"/>
      <c r="I24" s="861"/>
      <c r="J24" s="861"/>
      <c r="K24" s="861"/>
      <c r="L24" s="861"/>
      <c r="M24" s="851">
        <f>BTL!D10</f>
        <v>45000000</v>
      </c>
      <c r="N24" s="851">
        <f>BTL!E10</f>
        <v>0</v>
      </c>
      <c r="O24" s="851">
        <f>BTL!F10</f>
        <v>100000000</v>
      </c>
      <c r="P24" s="851">
        <f>BTL!G10</f>
        <v>0</v>
      </c>
      <c r="Q24" s="851">
        <f>BTL!H10</f>
        <v>125000000</v>
      </c>
      <c r="R24" s="851">
        <f>BTL!I10</f>
        <v>0</v>
      </c>
      <c r="S24" s="851">
        <f>BTL!J10</f>
        <v>150000000</v>
      </c>
      <c r="T24" s="851">
        <f>BTL!K10</f>
        <v>0</v>
      </c>
      <c r="U24" s="851">
        <f>BTL!L10</f>
        <v>200000000</v>
      </c>
      <c r="V24" s="852"/>
      <c r="W24" s="852"/>
      <c r="X24" s="852"/>
      <c r="Y24" s="853"/>
      <c r="Z24" s="853"/>
      <c r="AA24" s="569"/>
      <c r="AB24" s="569"/>
      <c r="AC24" s="849"/>
    </row>
    <row r="25" spans="1:100" s="848" customFormat="1" ht="30">
      <c r="B25" s="868" t="s">
        <v>4641</v>
      </c>
      <c r="C25" s="867" t="str">
        <f>BTL!B11</f>
        <v>Belanja Hibah Urusan Kebudayaan</v>
      </c>
      <c r="D25" s="861"/>
      <c r="E25" s="861"/>
      <c r="F25" s="861"/>
      <c r="G25" s="861"/>
      <c r="H25" s="861"/>
      <c r="I25" s="861"/>
      <c r="J25" s="861"/>
      <c r="K25" s="861"/>
      <c r="L25" s="861"/>
      <c r="M25" s="851">
        <f>BTL!D11</f>
        <v>350000000</v>
      </c>
      <c r="N25" s="851">
        <f>BTL!E11</f>
        <v>0</v>
      </c>
      <c r="O25" s="851">
        <f>BTL!F11</f>
        <v>1000000000</v>
      </c>
      <c r="P25" s="851">
        <f>BTL!G11</f>
        <v>0</v>
      </c>
      <c r="Q25" s="851">
        <f>BTL!H11</f>
        <v>1250000000</v>
      </c>
      <c r="R25" s="851">
        <f>BTL!I11</f>
        <v>0</v>
      </c>
      <c r="S25" s="851">
        <f>BTL!J11</f>
        <v>1250000000</v>
      </c>
      <c r="T25" s="851">
        <f>BTL!K11</f>
        <v>0</v>
      </c>
      <c r="U25" s="851">
        <f>BTL!L11</f>
        <v>1500000000</v>
      </c>
      <c r="V25" s="852"/>
      <c r="W25" s="852"/>
      <c r="X25" s="852"/>
      <c r="Y25" s="853"/>
      <c r="Z25" s="853"/>
      <c r="AA25" s="569"/>
      <c r="AB25" s="569"/>
      <c r="AC25" s="849"/>
    </row>
    <row r="26" spans="1:100" s="848" customFormat="1" ht="45">
      <c r="B26" s="868" t="s">
        <v>4891</v>
      </c>
      <c r="C26" s="867" t="str">
        <f>BTL!B12</f>
        <v>Belanja Hibah Urusan Kepemudaan dan Olah Raga</v>
      </c>
      <c r="D26" s="861"/>
      <c r="E26" s="861"/>
      <c r="F26" s="861"/>
      <c r="G26" s="861"/>
      <c r="H26" s="861"/>
      <c r="I26" s="861"/>
      <c r="J26" s="861"/>
      <c r="K26" s="861"/>
      <c r="L26" s="861"/>
      <c r="M26" s="851">
        <f>BTL!D12</f>
        <v>4350000000</v>
      </c>
      <c r="N26" s="851">
        <f>BTL!E12</f>
        <v>0</v>
      </c>
      <c r="O26" s="851">
        <f>BTL!F12</f>
        <v>4350000000</v>
      </c>
      <c r="P26" s="851">
        <f>BTL!G12</f>
        <v>0</v>
      </c>
      <c r="Q26" s="851">
        <f>BTL!H12</f>
        <v>4350000000</v>
      </c>
      <c r="R26" s="851">
        <f>BTL!I12</f>
        <v>0</v>
      </c>
      <c r="S26" s="851">
        <f>BTL!J12</f>
        <v>4350000000</v>
      </c>
      <c r="T26" s="851">
        <f>BTL!K12</f>
        <v>0</v>
      </c>
      <c r="U26" s="851">
        <f>BTL!L12</f>
        <v>4350000000</v>
      </c>
      <c r="V26" s="852"/>
      <c r="W26" s="852"/>
      <c r="X26" s="852"/>
      <c r="Y26" s="853"/>
      <c r="Z26" s="853"/>
      <c r="AA26" s="569"/>
      <c r="AB26" s="569"/>
      <c r="AC26" s="849"/>
    </row>
    <row r="27" spans="1:100" s="848" customFormat="1" ht="45">
      <c r="B27" s="868" t="s">
        <v>4892</v>
      </c>
      <c r="C27" s="867" t="str">
        <f>BTL!B13</f>
        <v>Belanja Hibah Urusan Kesatuan Bangsa dan Politik Dalam Negeri</v>
      </c>
      <c r="D27" s="861"/>
      <c r="E27" s="861"/>
      <c r="F27" s="861"/>
      <c r="G27" s="861"/>
      <c r="H27" s="861"/>
      <c r="I27" s="861"/>
      <c r="J27" s="861"/>
      <c r="K27" s="861"/>
      <c r="L27" s="861"/>
      <c r="M27" s="851">
        <f>BTL!D13</f>
        <v>1375000000</v>
      </c>
      <c r="N27" s="851">
        <f>BTL!E13</f>
        <v>0</v>
      </c>
      <c r="O27" s="851">
        <f>BTL!F13</f>
        <v>25000000</v>
      </c>
      <c r="P27" s="851">
        <f>BTL!G13</f>
        <v>0</v>
      </c>
      <c r="Q27" s="851">
        <f>BTL!H13</f>
        <v>25000000</v>
      </c>
      <c r="R27" s="851">
        <f>BTL!I13</f>
        <v>0</v>
      </c>
      <c r="S27" s="851">
        <f>BTL!J13</f>
        <v>25000000</v>
      </c>
      <c r="T27" s="851">
        <f>BTL!K13</f>
        <v>0</v>
      </c>
      <c r="U27" s="851">
        <f>BTL!L13</f>
        <v>1275000000</v>
      </c>
      <c r="V27" s="852"/>
      <c r="W27" s="852"/>
      <c r="X27" s="852"/>
      <c r="Y27" s="853"/>
      <c r="Z27" s="853"/>
      <c r="AA27" s="569"/>
      <c r="AB27" s="569"/>
      <c r="AC27" s="849"/>
    </row>
    <row r="28" spans="1:100" s="848" customFormat="1" ht="105">
      <c r="B28" s="868" t="s">
        <v>4893</v>
      </c>
      <c r="C28" s="867" t="str">
        <f>BTL!B14</f>
        <v>Belanja Hibah Urusan Otonomi Daerah, Pemerintahan Umum, Adminstrasi Keuangan Daerah, Perangkat Daerah, Kepegawaian, dan Persandan</v>
      </c>
      <c r="D28" s="861"/>
      <c r="E28" s="861"/>
      <c r="F28" s="861"/>
      <c r="G28" s="861"/>
      <c r="H28" s="861"/>
      <c r="I28" s="861"/>
      <c r="J28" s="861"/>
      <c r="K28" s="861"/>
      <c r="L28" s="861"/>
      <c r="M28" s="851">
        <f>BTL!D14</f>
        <v>8286000000</v>
      </c>
      <c r="N28" s="851">
        <f>BTL!E14</f>
        <v>0</v>
      </c>
      <c r="O28" s="851">
        <f>BTL!F14</f>
        <v>9960000000</v>
      </c>
      <c r="P28" s="851">
        <f>BTL!G14</f>
        <v>0</v>
      </c>
      <c r="Q28" s="851">
        <f>BTL!H14</f>
        <v>9960000000</v>
      </c>
      <c r="R28" s="851">
        <f>BTL!I14</f>
        <v>0</v>
      </c>
      <c r="S28" s="851">
        <f>BTL!J14</f>
        <v>11460000000</v>
      </c>
      <c r="T28" s="851">
        <f>BTL!K14</f>
        <v>0</v>
      </c>
      <c r="U28" s="851">
        <f>BTL!L14</f>
        <v>29960000000</v>
      </c>
      <c r="V28" s="852"/>
      <c r="W28" s="852"/>
      <c r="X28" s="852"/>
      <c r="Y28" s="853"/>
      <c r="Z28" s="853"/>
      <c r="AA28" s="569"/>
      <c r="AB28" s="569"/>
      <c r="AC28" s="849"/>
    </row>
    <row r="29" spans="1:100" s="848" customFormat="1" ht="45">
      <c r="B29" s="868" t="s">
        <v>4894</v>
      </c>
      <c r="C29" s="867" t="str">
        <f>BTL!B15</f>
        <v>Belanja Hibah Urusan Pemberdayaan Masyarakat dan Desa</v>
      </c>
      <c r="D29" s="861"/>
      <c r="E29" s="861"/>
      <c r="F29" s="861"/>
      <c r="G29" s="861"/>
      <c r="H29" s="861"/>
      <c r="I29" s="861"/>
      <c r="J29" s="861"/>
      <c r="K29" s="861"/>
      <c r="L29" s="861"/>
      <c r="M29" s="851">
        <f>BTL!D15</f>
        <v>1096000000</v>
      </c>
      <c r="N29" s="851">
        <f>BTL!E15</f>
        <v>0</v>
      </c>
      <c r="O29" s="851">
        <f>BTL!F15</f>
        <v>1096000000</v>
      </c>
      <c r="P29" s="851">
        <f>BTL!G15</f>
        <v>0</v>
      </c>
      <c r="Q29" s="851">
        <f>BTL!H15</f>
        <v>1096000000</v>
      </c>
      <c r="R29" s="851">
        <f>BTL!I15</f>
        <v>0</v>
      </c>
      <c r="S29" s="851">
        <f>BTL!J15</f>
        <v>1096000000</v>
      </c>
      <c r="T29" s="851">
        <f>BTL!K15</f>
        <v>0</v>
      </c>
      <c r="U29" s="851">
        <f>BTL!L15</f>
        <v>1096000000</v>
      </c>
      <c r="V29" s="852"/>
      <c r="W29" s="851"/>
      <c r="X29" s="852"/>
      <c r="Y29" s="853"/>
      <c r="Z29" s="853"/>
      <c r="AA29" s="569"/>
      <c r="AB29" s="569"/>
      <c r="AC29" s="569"/>
    </row>
    <row r="30" spans="1:100" s="848" customFormat="1" ht="30">
      <c r="B30" s="868" t="s">
        <v>4895</v>
      </c>
      <c r="C30" s="867" t="str">
        <f>BTL!B16</f>
        <v>Belanja Hibah Urusan Pertanian</v>
      </c>
      <c r="D30" s="861"/>
      <c r="E30" s="861"/>
      <c r="F30" s="861"/>
      <c r="G30" s="861"/>
      <c r="H30" s="861"/>
      <c r="I30" s="861"/>
      <c r="J30" s="861"/>
      <c r="K30" s="861"/>
      <c r="L30" s="861"/>
      <c r="M30" s="851">
        <f>BTL!D16</f>
        <v>6288080000</v>
      </c>
      <c r="N30" s="851">
        <f>BTL!E16</f>
        <v>0</v>
      </c>
      <c r="O30" s="851">
        <f>BTL!F16</f>
        <v>6457080000</v>
      </c>
      <c r="P30" s="851">
        <f>BTL!G16</f>
        <v>0</v>
      </c>
      <c r="Q30" s="851">
        <f>BTL!H16</f>
        <v>6903330000</v>
      </c>
      <c r="R30" s="851">
        <f>BTL!I16</f>
        <v>0</v>
      </c>
      <c r="S30" s="851">
        <f>BTL!J16</f>
        <v>7207080000</v>
      </c>
      <c r="T30" s="851">
        <f>BTL!K16</f>
        <v>0</v>
      </c>
      <c r="U30" s="851">
        <f>BTL!L16</f>
        <v>7707080000</v>
      </c>
      <c r="V30" s="852"/>
      <c r="W30" s="851"/>
      <c r="X30" s="852"/>
      <c r="Y30" s="853"/>
      <c r="Z30" s="853"/>
      <c r="AA30" s="569"/>
      <c r="AB30" s="569"/>
      <c r="AC30" s="569"/>
    </row>
    <row r="31" spans="1:100" s="848" customFormat="1" ht="30">
      <c r="B31" s="868" t="s">
        <v>4896</v>
      </c>
      <c r="C31" s="867" t="str">
        <f>BTL!B17</f>
        <v>Belanja Hibah Urusan Perdagangan</v>
      </c>
      <c r="D31" s="861"/>
      <c r="E31" s="861"/>
      <c r="F31" s="861"/>
      <c r="G31" s="861"/>
      <c r="H31" s="861"/>
      <c r="I31" s="861"/>
      <c r="J31" s="861"/>
      <c r="K31" s="861"/>
      <c r="L31" s="861"/>
      <c r="M31" s="851">
        <f>BTL!D17</f>
        <v>130000000</v>
      </c>
      <c r="N31" s="851">
        <f>BTL!E17</f>
        <v>0</v>
      </c>
      <c r="O31" s="851">
        <f>BTL!F17</f>
        <v>130000000</v>
      </c>
      <c r="P31" s="851">
        <f>BTL!G17</f>
        <v>0</v>
      </c>
      <c r="Q31" s="851">
        <f>BTL!H17</f>
        <v>130000000</v>
      </c>
      <c r="R31" s="851">
        <f>BTL!I17</f>
        <v>0</v>
      </c>
      <c r="S31" s="851">
        <f>BTL!J17</f>
        <v>130000000</v>
      </c>
      <c r="T31" s="851">
        <f>BTL!K17</f>
        <v>0</v>
      </c>
      <c r="U31" s="851">
        <f>BTL!L17</f>
        <v>130000000</v>
      </c>
      <c r="V31" s="852"/>
      <c r="W31" s="851"/>
      <c r="X31" s="852"/>
      <c r="Y31" s="853"/>
      <c r="Z31" s="853"/>
      <c r="AA31" s="569"/>
      <c r="AB31" s="569"/>
      <c r="AC31" s="569"/>
    </row>
    <row r="32" spans="1:100" s="848" customFormat="1" ht="30">
      <c r="B32" s="868" t="s">
        <v>4897</v>
      </c>
      <c r="C32" s="867" t="str">
        <f>BTL!B18</f>
        <v>Belanja Hibah Urusan Perindustrian</v>
      </c>
      <c r="D32" s="861"/>
      <c r="E32" s="861"/>
      <c r="F32" s="861"/>
      <c r="G32" s="861"/>
      <c r="H32" s="861"/>
      <c r="I32" s="861"/>
      <c r="J32" s="861"/>
      <c r="K32" s="861"/>
      <c r="L32" s="861"/>
      <c r="M32" s="851">
        <f>BTL!D18</f>
        <v>47000000</v>
      </c>
      <c r="N32" s="851">
        <f>BTL!E18</f>
        <v>0</v>
      </c>
      <c r="O32" s="851">
        <f>BTL!F18</f>
        <v>272000000</v>
      </c>
      <c r="P32" s="851">
        <f>BTL!G18</f>
        <v>0</v>
      </c>
      <c r="Q32" s="851">
        <f>BTL!H18</f>
        <v>300000000</v>
      </c>
      <c r="R32" s="851">
        <f>BTL!I18</f>
        <v>0</v>
      </c>
      <c r="S32" s="851">
        <f>BTL!J18</f>
        <v>300000000</v>
      </c>
      <c r="T32" s="851">
        <f>BTL!K18</f>
        <v>0</v>
      </c>
      <c r="U32" s="851">
        <f>BTL!L18</f>
        <v>300000000</v>
      </c>
      <c r="V32" s="852"/>
      <c r="W32" s="851"/>
      <c r="X32" s="852"/>
      <c r="Y32" s="853"/>
      <c r="Z32" s="853"/>
      <c r="AA32" s="569"/>
      <c r="AB32" s="569"/>
      <c r="AC32" s="569"/>
    </row>
    <row r="33" spans="1:100" s="848" customFormat="1" ht="30">
      <c r="B33" s="868" t="s">
        <v>4898</v>
      </c>
      <c r="C33" s="867" t="str">
        <f>BTL!B19</f>
        <v>Belanja Hibah Urusan Ketahanan Pangan</v>
      </c>
      <c r="D33" s="861"/>
      <c r="E33" s="861"/>
      <c r="F33" s="861"/>
      <c r="G33" s="861"/>
      <c r="H33" s="861"/>
      <c r="I33" s="861"/>
      <c r="J33" s="861"/>
      <c r="K33" s="861"/>
      <c r="L33" s="861"/>
      <c r="M33" s="851">
        <f>BTL!D19</f>
        <v>63000000</v>
      </c>
      <c r="N33" s="851">
        <f>BTL!E19</f>
        <v>0</v>
      </c>
      <c r="O33" s="851">
        <f>BTL!F19</f>
        <v>63000000</v>
      </c>
      <c r="P33" s="851">
        <f>BTL!G19</f>
        <v>0</v>
      </c>
      <c r="Q33" s="851">
        <f>BTL!H19</f>
        <v>63000000</v>
      </c>
      <c r="R33" s="851">
        <f>BTL!I19</f>
        <v>0</v>
      </c>
      <c r="S33" s="851">
        <f>BTL!J19</f>
        <v>63000000</v>
      </c>
      <c r="T33" s="851">
        <f>BTL!K19</f>
        <v>0</v>
      </c>
      <c r="U33" s="851">
        <f>BTL!L19</f>
        <v>63000000</v>
      </c>
      <c r="V33" s="852"/>
      <c r="W33" s="851"/>
      <c r="X33" s="852"/>
      <c r="Y33" s="853"/>
      <c r="Z33" s="853"/>
      <c r="AA33" s="569"/>
      <c r="AB33" s="569"/>
      <c r="AC33" s="569"/>
    </row>
    <row r="34" spans="1:100" s="848" customFormat="1">
      <c r="B34" s="850"/>
      <c r="C34" s="677"/>
      <c r="D34" s="861"/>
      <c r="E34" s="861"/>
      <c r="F34" s="861"/>
      <c r="G34" s="861"/>
      <c r="H34" s="861"/>
      <c r="I34" s="861"/>
      <c r="J34" s="861"/>
      <c r="K34" s="861"/>
      <c r="L34" s="861"/>
      <c r="M34" s="851"/>
      <c r="N34" s="851"/>
      <c r="O34" s="851"/>
      <c r="P34" s="851"/>
      <c r="Q34" s="851"/>
      <c r="R34" s="851"/>
      <c r="S34" s="851"/>
      <c r="T34" s="851"/>
      <c r="U34" s="851"/>
      <c r="V34" s="852"/>
      <c r="W34" s="851"/>
      <c r="X34" s="852"/>
      <c r="Y34" s="853"/>
      <c r="Z34" s="853"/>
      <c r="AA34" s="569"/>
      <c r="AB34" s="569"/>
      <c r="AC34" s="569"/>
    </row>
    <row r="35" spans="1:100" s="862" customFormat="1">
      <c r="A35" s="848"/>
      <c r="B35" s="855">
        <v>2</v>
      </c>
      <c r="C35" s="856" t="str">
        <f>BTL!B22</f>
        <v>BELANJA BANTUAN SOSIAL</v>
      </c>
      <c r="D35" s="863"/>
      <c r="E35" s="863"/>
      <c r="F35" s="863"/>
      <c r="G35" s="863"/>
      <c r="H35" s="863"/>
      <c r="I35" s="863"/>
      <c r="J35" s="863"/>
      <c r="K35" s="863"/>
      <c r="L35" s="863"/>
      <c r="M35" s="858">
        <f>BTL!D22</f>
        <v>19838680000</v>
      </c>
      <c r="N35" s="858">
        <f>BTL!E22</f>
        <v>0</v>
      </c>
      <c r="O35" s="858">
        <f>BTL!F22</f>
        <v>25729180000</v>
      </c>
      <c r="P35" s="858">
        <f>BTL!G22</f>
        <v>0</v>
      </c>
      <c r="Q35" s="858">
        <f>BTL!H22</f>
        <v>25729180000</v>
      </c>
      <c r="R35" s="858">
        <f>BTL!I22</f>
        <v>0</v>
      </c>
      <c r="S35" s="858">
        <f>BTL!J22</f>
        <v>25901180000</v>
      </c>
      <c r="T35" s="858">
        <f>BTL!K22</f>
        <v>0</v>
      </c>
      <c r="U35" s="858">
        <f>BTL!L22</f>
        <v>26351180000</v>
      </c>
      <c r="V35" s="859"/>
      <c r="W35" s="858"/>
      <c r="X35" s="859"/>
      <c r="Y35" s="860"/>
      <c r="Z35" s="860"/>
      <c r="AA35" s="569"/>
      <c r="AB35" s="569"/>
      <c r="AC35" s="569"/>
      <c r="AD35" s="848"/>
      <c r="AE35" s="848"/>
      <c r="AF35" s="848"/>
      <c r="AG35" s="848"/>
      <c r="AH35" s="848"/>
      <c r="AI35" s="848"/>
      <c r="AJ35" s="848"/>
      <c r="AK35" s="848"/>
      <c r="AL35" s="848"/>
      <c r="AM35" s="848"/>
      <c r="AN35" s="848"/>
      <c r="AO35" s="848"/>
      <c r="AP35" s="848"/>
      <c r="AQ35" s="848"/>
      <c r="AR35" s="848"/>
      <c r="AS35" s="848"/>
      <c r="AT35" s="848"/>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8"/>
      <c r="BZ35" s="848"/>
      <c r="CA35" s="848"/>
      <c r="CB35" s="848"/>
      <c r="CC35" s="848"/>
      <c r="CD35" s="848"/>
      <c r="CE35" s="848"/>
      <c r="CF35" s="848"/>
      <c r="CG35" s="848"/>
      <c r="CH35" s="848"/>
      <c r="CI35" s="848"/>
      <c r="CJ35" s="848"/>
      <c r="CK35" s="848"/>
      <c r="CL35" s="848"/>
      <c r="CM35" s="848"/>
      <c r="CN35" s="848"/>
      <c r="CO35" s="848"/>
      <c r="CP35" s="848"/>
      <c r="CQ35" s="848"/>
      <c r="CR35" s="848"/>
      <c r="CS35" s="848"/>
      <c r="CT35" s="848"/>
      <c r="CU35" s="848"/>
      <c r="CV35" s="848"/>
    </row>
    <row r="36" spans="1:100" s="848" customFormat="1" ht="30">
      <c r="B36" s="868" t="s">
        <v>4884</v>
      </c>
      <c r="C36" s="867" t="str">
        <f>BTL!B23</f>
        <v>Belanja Bantuan Sosial Bencana</v>
      </c>
      <c r="D36" s="861"/>
      <c r="E36" s="861"/>
      <c r="F36" s="861"/>
      <c r="G36" s="861"/>
      <c r="H36" s="861"/>
      <c r="I36" s="861"/>
      <c r="J36" s="861"/>
      <c r="K36" s="861"/>
      <c r="L36" s="861"/>
      <c r="M36" s="851">
        <f>BTL!D23</f>
        <v>750000000</v>
      </c>
      <c r="N36" s="851">
        <f>BTL!E23</f>
        <v>0</v>
      </c>
      <c r="O36" s="851">
        <f>BTL!F23</f>
        <v>750000000</v>
      </c>
      <c r="P36" s="851">
        <f>BTL!G23</f>
        <v>0</v>
      </c>
      <c r="Q36" s="851">
        <f>BTL!H23</f>
        <v>750000000</v>
      </c>
      <c r="R36" s="851">
        <f>BTL!I23</f>
        <v>0</v>
      </c>
      <c r="S36" s="851">
        <f>BTL!J23</f>
        <v>1000000000</v>
      </c>
      <c r="T36" s="851">
        <f>BTL!K23</f>
        <v>0</v>
      </c>
      <c r="U36" s="851">
        <f>BTL!L23</f>
        <v>1500000000</v>
      </c>
      <c r="V36" s="852"/>
      <c r="W36" s="851"/>
      <c r="X36" s="852"/>
      <c r="Y36" s="853"/>
      <c r="Z36" s="853"/>
      <c r="AA36" s="569"/>
      <c r="AB36" s="569"/>
      <c r="AC36" s="569"/>
    </row>
    <row r="37" spans="1:100" s="848" customFormat="1" ht="30">
      <c r="B37" s="868" t="s">
        <v>4885</v>
      </c>
      <c r="C37" s="867" t="str">
        <f>BTL!B24</f>
        <v>Belanja Bantuan Pemberdayaan Perempuan</v>
      </c>
      <c r="D37" s="861"/>
      <c r="E37" s="861"/>
      <c r="F37" s="861"/>
      <c r="G37" s="861"/>
      <c r="H37" s="861"/>
      <c r="I37" s="861"/>
      <c r="J37" s="861"/>
      <c r="K37" s="861"/>
      <c r="L37" s="861"/>
      <c r="M37" s="851">
        <f>BTL!D24</f>
        <v>25000000</v>
      </c>
      <c r="N37" s="851">
        <f>BTL!E24</f>
        <v>0</v>
      </c>
      <c r="O37" s="851">
        <f>BTL!F24</f>
        <v>25000000</v>
      </c>
      <c r="P37" s="851">
        <f>BTL!G24</f>
        <v>0</v>
      </c>
      <c r="Q37" s="851">
        <f>BTL!H24</f>
        <v>25000000</v>
      </c>
      <c r="R37" s="851">
        <f>BTL!I24</f>
        <v>0</v>
      </c>
      <c r="S37" s="851">
        <f>BTL!J24</f>
        <v>25000000</v>
      </c>
      <c r="T37" s="851">
        <f>BTL!K24</f>
        <v>0</v>
      </c>
      <c r="U37" s="851">
        <f>BTL!L24</f>
        <v>25000000</v>
      </c>
      <c r="V37" s="852"/>
      <c r="W37" s="851"/>
      <c r="X37" s="852"/>
      <c r="Y37" s="853"/>
      <c r="Z37" s="853"/>
      <c r="AA37" s="569"/>
      <c r="AB37" s="569"/>
      <c r="AC37" s="569"/>
    </row>
    <row r="38" spans="1:100" s="848" customFormat="1" ht="30">
      <c r="B38" s="868" t="s">
        <v>4886</v>
      </c>
      <c r="C38" s="867" t="str">
        <f>BTL!B25</f>
        <v>Belanja Sosial Urusan Kesehatan</v>
      </c>
      <c r="D38" s="861"/>
      <c r="E38" s="861"/>
      <c r="F38" s="861"/>
      <c r="G38" s="861"/>
      <c r="H38" s="861"/>
      <c r="I38" s="861"/>
      <c r="J38" s="861"/>
      <c r="K38" s="861"/>
      <c r="L38" s="861"/>
      <c r="M38" s="851">
        <f>BTL!D25</f>
        <v>5248300000</v>
      </c>
      <c r="N38" s="851">
        <f>BTL!E25</f>
        <v>0</v>
      </c>
      <c r="O38" s="851">
        <f>BTL!F25</f>
        <v>8000000000</v>
      </c>
      <c r="P38" s="851">
        <f>BTL!G25</f>
        <v>0</v>
      </c>
      <c r="Q38" s="851">
        <f>BTL!H25</f>
        <v>8000000000</v>
      </c>
      <c r="R38" s="851">
        <f>BTL!I25</f>
        <v>0</v>
      </c>
      <c r="S38" s="851">
        <f>BTL!J25</f>
        <v>8000000000</v>
      </c>
      <c r="T38" s="851">
        <f>BTL!K25</f>
        <v>0</v>
      </c>
      <c r="U38" s="851">
        <f>BTL!L25</f>
        <v>8000000000</v>
      </c>
      <c r="V38" s="852"/>
      <c r="W38" s="851"/>
      <c r="X38" s="852"/>
      <c r="Y38" s="853"/>
      <c r="Z38" s="853"/>
      <c r="AA38" s="569"/>
      <c r="AB38" s="569"/>
      <c r="AC38" s="569"/>
    </row>
    <row r="39" spans="1:100" s="848" customFormat="1" ht="30">
      <c r="B39" s="868" t="s">
        <v>4887</v>
      </c>
      <c r="C39" s="867" t="str">
        <f>BTL!B26</f>
        <v>Belanja Sosial Urusan Pekerjaan Umum</v>
      </c>
      <c r="D39" s="861"/>
      <c r="E39" s="861"/>
      <c r="F39" s="861"/>
      <c r="G39" s="861"/>
      <c r="H39" s="861"/>
      <c r="I39" s="861"/>
      <c r="J39" s="861"/>
      <c r="K39" s="861"/>
      <c r="L39" s="861"/>
      <c r="M39" s="851">
        <f>BTL!D26</f>
        <v>216250000</v>
      </c>
      <c r="N39" s="851">
        <f>BTL!E26</f>
        <v>0</v>
      </c>
      <c r="O39" s="851">
        <f>BTL!F26</f>
        <v>216250000</v>
      </c>
      <c r="P39" s="851">
        <f>BTL!G26</f>
        <v>0</v>
      </c>
      <c r="Q39" s="851">
        <f>BTL!H26</f>
        <v>216250000</v>
      </c>
      <c r="R39" s="851">
        <f>BTL!I26</f>
        <v>0</v>
      </c>
      <c r="S39" s="851">
        <f>BTL!J26</f>
        <v>216250000</v>
      </c>
      <c r="T39" s="851">
        <f>BTL!K26</f>
        <v>0</v>
      </c>
      <c r="U39" s="851">
        <f>BTL!L26</f>
        <v>216250000</v>
      </c>
      <c r="V39" s="852"/>
      <c r="W39" s="851"/>
      <c r="X39" s="852"/>
      <c r="Y39" s="853"/>
      <c r="Z39" s="853"/>
      <c r="AA39" s="569"/>
      <c r="AB39" s="569"/>
      <c r="AC39" s="569"/>
    </row>
    <row r="40" spans="1:100" s="848" customFormat="1">
      <c r="B40" s="868" t="s">
        <v>4888</v>
      </c>
      <c r="C40" s="867" t="str">
        <f>BTL!B27</f>
        <v>Belanja Sosial Urusan Sosial</v>
      </c>
      <c r="D40" s="861"/>
      <c r="E40" s="861"/>
      <c r="F40" s="861"/>
      <c r="G40" s="861"/>
      <c r="H40" s="861"/>
      <c r="I40" s="861"/>
      <c r="J40" s="861"/>
      <c r="K40" s="861"/>
      <c r="L40" s="861"/>
      <c r="M40" s="851">
        <f>BTL!D27</f>
        <v>4974180000</v>
      </c>
      <c r="N40" s="851">
        <f>BTL!E27</f>
        <v>0</v>
      </c>
      <c r="O40" s="851">
        <f>BTL!F27</f>
        <v>8724180000</v>
      </c>
      <c r="P40" s="851">
        <f>BTL!G27</f>
        <v>0</v>
      </c>
      <c r="Q40" s="851">
        <f>BTL!H27</f>
        <v>8724180000</v>
      </c>
      <c r="R40" s="851">
        <f>BTL!I27</f>
        <v>0</v>
      </c>
      <c r="S40" s="851">
        <f>BTL!J27</f>
        <v>8724180000</v>
      </c>
      <c r="T40" s="851">
        <f>BTL!K27</f>
        <v>0</v>
      </c>
      <c r="U40" s="851">
        <f>BTL!L27</f>
        <v>8724180000</v>
      </c>
      <c r="V40" s="852"/>
      <c r="W40" s="851"/>
      <c r="X40" s="852"/>
      <c r="Y40" s="853"/>
      <c r="Z40" s="853"/>
      <c r="AA40" s="569"/>
      <c r="AB40" s="569"/>
      <c r="AC40" s="569"/>
    </row>
    <row r="41" spans="1:100" s="848" customFormat="1" ht="30">
      <c r="B41" s="868" t="s">
        <v>4889</v>
      </c>
      <c r="C41" s="867" t="str">
        <f>BTL!B28</f>
        <v>Belanja Sosial Urusan Ketenagakerjaan</v>
      </c>
      <c r="D41" s="861"/>
      <c r="E41" s="861"/>
      <c r="F41" s="861"/>
      <c r="G41" s="861"/>
      <c r="H41" s="861"/>
      <c r="I41" s="861"/>
      <c r="J41" s="861"/>
      <c r="K41" s="861"/>
      <c r="L41" s="861"/>
      <c r="M41" s="851">
        <f>BTL!D28</f>
        <v>50000000</v>
      </c>
      <c r="N41" s="851">
        <f>BTL!E28</f>
        <v>0</v>
      </c>
      <c r="O41" s="851">
        <f>BTL!F28</f>
        <v>50000000</v>
      </c>
      <c r="P41" s="851">
        <f>BTL!G28</f>
        <v>0</v>
      </c>
      <c r="Q41" s="851">
        <f>BTL!H28</f>
        <v>50000000</v>
      </c>
      <c r="R41" s="851">
        <f>BTL!I28</f>
        <v>0</v>
      </c>
      <c r="S41" s="851">
        <f>BTL!J28</f>
        <v>50000000</v>
      </c>
      <c r="T41" s="851">
        <f>BTL!K28</f>
        <v>0</v>
      </c>
      <c r="U41" s="851">
        <f>BTL!L28</f>
        <v>50000000</v>
      </c>
      <c r="V41" s="852"/>
      <c r="W41" s="851"/>
      <c r="X41" s="852"/>
      <c r="Y41" s="853"/>
      <c r="Z41" s="853"/>
      <c r="AA41" s="569"/>
      <c r="AB41" s="569"/>
      <c r="AC41" s="569"/>
    </row>
    <row r="42" spans="1:100" s="848" customFormat="1" ht="105">
      <c r="B42" s="868" t="s">
        <v>4890</v>
      </c>
      <c r="C42" s="867" t="str">
        <f>BTL!B29</f>
        <v>Belanja Sosial Urusan Otomomi Daerah, Pemerintahan Umum, Administrasi Keuangan Daerah, Perangkat Daerah, Kepegawaian, dan Persandian</v>
      </c>
      <c r="D42" s="861"/>
      <c r="E42" s="861"/>
      <c r="F42" s="861"/>
      <c r="G42" s="861"/>
      <c r="H42" s="861"/>
      <c r="I42" s="861"/>
      <c r="J42" s="861"/>
      <c r="K42" s="861"/>
      <c r="L42" s="861"/>
      <c r="M42" s="851">
        <f>BTL!D29</f>
        <v>849950000</v>
      </c>
      <c r="N42" s="851">
        <f>BTL!E29</f>
        <v>0</v>
      </c>
      <c r="O42" s="851">
        <f>BTL!F29</f>
        <v>798250000</v>
      </c>
      <c r="P42" s="851">
        <f>BTL!G29</f>
        <v>0</v>
      </c>
      <c r="Q42" s="851">
        <f>BTL!H29</f>
        <v>798250000</v>
      </c>
      <c r="R42" s="851">
        <f>BTL!I29</f>
        <v>0</v>
      </c>
      <c r="S42" s="851">
        <f>BTL!J29</f>
        <v>720250000</v>
      </c>
      <c r="T42" s="851">
        <f>BTL!K29</f>
        <v>0</v>
      </c>
      <c r="U42" s="851">
        <f>BTL!L29</f>
        <v>670250000</v>
      </c>
      <c r="V42" s="852"/>
      <c r="W42" s="851"/>
      <c r="X42" s="852"/>
      <c r="Y42" s="853"/>
      <c r="Z42" s="853"/>
      <c r="AA42" s="569"/>
      <c r="AB42" s="569"/>
      <c r="AC42" s="569"/>
    </row>
    <row r="43" spans="1:100" s="848" customFormat="1" ht="45">
      <c r="B43" s="868" t="s">
        <v>4641</v>
      </c>
      <c r="C43" s="867" t="str">
        <f>BTL!B30</f>
        <v>Belanja Bantuan Sosial Urusan Kemasyarakatan lainnya</v>
      </c>
      <c r="D43" s="861"/>
      <c r="E43" s="861"/>
      <c r="F43" s="861"/>
      <c r="G43" s="861"/>
      <c r="H43" s="861"/>
      <c r="I43" s="861"/>
      <c r="J43" s="861"/>
      <c r="K43" s="861"/>
      <c r="L43" s="861"/>
      <c r="M43" s="851">
        <f>BTL!D30</f>
        <v>7725000000</v>
      </c>
      <c r="N43" s="851">
        <f>BTL!E30</f>
        <v>0</v>
      </c>
      <c r="O43" s="851">
        <f>BTL!F30</f>
        <v>7165500000</v>
      </c>
      <c r="P43" s="851">
        <f>BTL!G30</f>
        <v>0</v>
      </c>
      <c r="Q43" s="851">
        <f>BTL!H30</f>
        <v>7165500000</v>
      </c>
      <c r="R43" s="851">
        <f>BTL!I30</f>
        <v>0</v>
      </c>
      <c r="S43" s="851">
        <f>BTL!J30</f>
        <v>7165500000</v>
      </c>
      <c r="T43" s="851">
        <f>BTL!K30</f>
        <v>0</v>
      </c>
      <c r="U43" s="851">
        <f>BTL!L30</f>
        <v>7165500000</v>
      </c>
      <c r="V43" s="852"/>
      <c r="W43" s="851"/>
      <c r="X43" s="852"/>
      <c r="Y43" s="853"/>
      <c r="Z43" s="853"/>
      <c r="AA43" s="569"/>
      <c r="AB43" s="569"/>
      <c r="AC43" s="569"/>
    </row>
    <row r="44" spans="1:100" s="848" customFormat="1">
      <c r="B44" s="850"/>
      <c r="C44" s="677"/>
      <c r="D44" s="861"/>
      <c r="E44" s="861"/>
      <c r="F44" s="861"/>
      <c r="G44" s="861"/>
      <c r="H44" s="861"/>
      <c r="I44" s="861"/>
      <c r="J44" s="861"/>
      <c r="K44" s="861"/>
      <c r="L44" s="861"/>
      <c r="M44" s="851"/>
      <c r="N44" s="851"/>
      <c r="O44" s="851"/>
      <c r="P44" s="851"/>
      <c r="Q44" s="851"/>
      <c r="R44" s="851"/>
      <c r="S44" s="851"/>
      <c r="T44" s="851"/>
      <c r="U44" s="851"/>
      <c r="V44" s="852"/>
      <c r="W44" s="851"/>
      <c r="X44" s="852"/>
      <c r="Y44" s="853"/>
      <c r="Z44" s="853"/>
      <c r="AA44" s="569"/>
      <c r="AB44" s="569"/>
      <c r="AC44" s="569"/>
    </row>
    <row r="45" spans="1:100" s="862" customFormat="1" ht="30">
      <c r="A45" s="848"/>
      <c r="B45" s="855">
        <v>3</v>
      </c>
      <c r="C45" s="856" t="str">
        <f>BTL!B33</f>
        <v>BELANJA BANTUAN KEUANGAN</v>
      </c>
      <c r="D45" s="863"/>
      <c r="E45" s="863"/>
      <c r="F45" s="863"/>
      <c r="G45" s="863"/>
      <c r="H45" s="863"/>
      <c r="I45" s="863"/>
      <c r="J45" s="863"/>
      <c r="K45" s="863"/>
      <c r="L45" s="863"/>
      <c r="M45" s="858">
        <f>BTL!D33</f>
        <v>41605119000</v>
      </c>
      <c r="N45" s="858">
        <f>BTL!E33</f>
        <v>0</v>
      </c>
      <c r="O45" s="858">
        <f>BTL!F33</f>
        <v>40380119000</v>
      </c>
      <c r="P45" s="858">
        <f>BTL!G33</f>
        <v>0</v>
      </c>
      <c r="Q45" s="858">
        <f>BTL!H33</f>
        <v>40380119000</v>
      </c>
      <c r="R45" s="858">
        <f>BTL!I33</f>
        <v>0</v>
      </c>
      <c r="S45" s="858">
        <f>BTL!J33</f>
        <v>40380119000</v>
      </c>
      <c r="T45" s="858">
        <f>BTL!K33</f>
        <v>0</v>
      </c>
      <c r="U45" s="858">
        <f>BTL!L33</f>
        <v>40380119000</v>
      </c>
      <c r="V45" s="859"/>
      <c r="W45" s="858"/>
      <c r="X45" s="859"/>
      <c r="Y45" s="860"/>
      <c r="Z45" s="860"/>
      <c r="AA45" s="569"/>
      <c r="AB45" s="569"/>
      <c r="AC45" s="569"/>
      <c r="AD45" s="848"/>
      <c r="AE45" s="848"/>
      <c r="AF45" s="848"/>
      <c r="AG45" s="848"/>
      <c r="AH45" s="848"/>
      <c r="AI45" s="848"/>
      <c r="AJ45" s="848"/>
      <c r="AK45" s="848"/>
      <c r="AL45" s="848"/>
      <c r="AM45" s="848"/>
      <c r="AN45" s="848"/>
      <c r="AO45" s="848"/>
      <c r="AP45" s="848"/>
      <c r="AQ45" s="848"/>
      <c r="AR45" s="848"/>
      <c r="AS45" s="848"/>
      <c r="AT45" s="848"/>
      <c r="AU45" s="848"/>
      <c r="AV45" s="848"/>
      <c r="AW45" s="848"/>
      <c r="AX45" s="848"/>
      <c r="AY45" s="848"/>
      <c r="AZ45" s="848"/>
      <c r="BA45" s="848"/>
      <c r="BB45" s="848"/>
      <c r="BC45" s="848"/>
      <c r="BD45" s="848"/>
      <c r="BE45" s="848"/>
      <c r="BF45" s="848"/>
      <c r="BG45" s="848"/>
      <c r="BH45" s="848"/>
      <c r="BI45" s="848"/>
      <c r="BJ45" s="848"/>
      <c r="BK45" s="848"/>
      <c r="BL45" s="848"/>
      <c r="BM45" s="848"/>
      <c r="BN45" s="848"/>
      <c r="BO45" s="848"/>
      <c r="BP45" s="848"/>
      <c r="BQ45" s="848"/>
      <c r="BR45" s="848"/>
      <c r="BS45" s="848"/>
      <c r="BT45" s="848"/>
      <c r="BU45" s="848"/>
      <c r="BV45" s="848"/>
      <c r="BW45" s="848"/>
      <c r="BX45" s="848"/>
      <c r="BY45" s="848"/>
      <c r="BZ45" s="848"/>
      <c r="CA45" s="848"/>
      <c r="CB45" s="848"/>
      <c r="CC45" s="848"/>
      <c r="CD45" s="848"/>
      <c r="CE45" s="848"/>
      <c r="CF45" s="848"/>
      <c r="CG45" s="848"/>
      <c r="CH45" s="848"/>
      <c r="CI45" s="848"/>
      <c r="CJ45" s="848"/>
      <c r="CK45" s="848"/>
      <c r="CL45" s="848"/>
      <c r="CM45" s="848"/>
      <c r="CN45" s="848"/>
      <c r="CO45" s="848"/>
      <c r="CP45" s="848"/>
      <c r="CQ45" s="848"/>
      <c r="CR45" s="848"/>
      <c r="CS45" s="848"/>
      <c r="CT45" s="848"/>
      <c r="CU45" s="848"/>
      <c r="CV45" s="848"/>
    </row>
    <row r="46" spans="1:100" s="848" customFormat="1" ht="30">
      <c r="B46" s="869" t="s">
        <v>4884</v>
      </c>
      <c r="C46" s="867" t="str">
        <f>BTL!B34</f>
        <v>Belanja Bantuan Keuangan kepada Pemerintahan Desa</v>
      </c>
      <c r="D46" s="861"/>
      <c r="E46" s="861"/>
      <c r="F46" s="861"/>
      <c r="G46" s="861"/>
      <c r="H46" s="861"/>
      <c r="I46" s="861"/>
      <c r="J46" s="861"/>
      <c r="K46" s="861"/>
      <c r="L46" s="861"/>
      <c r="M46" s="851">
        <f>BTL!D34</f>
        <v>40697512000</v>
      </c>
      <c r="N46" s="851">
        <f>BTL!E34</f>
        <v>0</v>
      </c>
      <c r="O46" s="851">
        <f>BTL!F34</f>
        <v>39472512000</v>
      </c>
      <c r="P46" s="851">
        <f>BTL!G34</f>
        <v>0</v>
      </c>
      <c r="Q46" s="851">
        <f>BTL!H34</f>
        <v>39472512000</v>
      </c>
      <c r="R46" s="851">
        <f>BTL!I34</f>
        <v>0</v>
      </c>
      <c r="S46" s="851">
        <f>BTL!J34</f>
        <v>39472512000</v>
      </c>
      <c r="T46" s="851">
        <f>BTL!K34</f>
        <v>0</v>
      </c>
      <c r="U46" s="851">
        <f>BTL!L34</f>
        <v>39472512000</v>
      </c>
      <c r="V46" s="852"/>
      <c r="W46" s="851"/>
      <c r="X46" s="852"/>
      <c r="Y46" s="853"/>
      <c r="Z46" s="853"/>
      <c r="AA46" s="569"/>
      <c r="AB46" s="569"/>
      <c r="AC46" s="569"/>
    </row>
    <row r="47" spans="1:100" s="848" customFormat="1" ht="30">
      <c r="B47" s="869" t="s">
        <v>4885</v>
      </c>
      <c r="C47" s="867" t="str">
        <f>BTL!B35</f>
        <v>Belanja Bantuan Keuangan Kepada Partai Politik</v>
      </c>
      <c r="D47" s="861"/>
      <c r="E47" s="861"/>
      <c r="F47" s="861"/>
      <c r="G47" s="861"/>
      <c r="H47" s="861"/>
      <c r="I47" s="861"/>
      <c r="J47" s="861"/>
      <c r="K47" s="861"/>
      <c r="L47" s="861"/>
      <c r="M47" s="851">
        <f>BTL!D35</f>
        <v>907607000</v>
      </c>
      <c r="N47" s="851">
        <f>BTL!E35</f>
        <v>0</v>
      </c>
      <c r="O47" s="851">
        <f>BTL!F35</f>
        <v>907607000</v>
      </c>
      <c r="P47" s="851">
        <f>BTL!G35</f>
        <v>0</v>
      </c>
      <c r="Q47" s="851">
        <f>BTL!H35</f>
        <v>907607000</v>
      </c>
      <c r="R47" s="851">
        <f>BTL!I35</f>
        <v>0</v>
      </c>
      <c r="S47" s="851">
        <f>BTL!J35</f>
        <v>907607000</v>
      </c>
      <c r="T47" s="851">
        <f>BTL!K35</f>
        <v>0</v>
      </c>
      <c r="U47" s="851">
        <f>BTL!L35</f>
        <v>907607000</v>
      </c>
      <c r="V47" s="852"/>
      <c r="W47" s="851"/>
      <c r="X47" s="852"/>
      <c r="Y47" s="853"/>
      <c r="Z47" s="853"/>
      <c r="AA47" s="569"/>
      <c r="AB47" s="569"/>
      <c r="AC47" s="569"/>
    </row>
    <row r="48" spans="1:100" s="848" customFormat="1">
      <c r="B48" s="850"/>
      <c r="C48" s="677"/>
      <c r="D48" s="861"/>
      <c r="E48" s="861"/>
      <c r="F48" s="861"/>
      <c r="G48" s="861"/>
      <c r="H48" s="861"/>
      <c r="I48" s="861"/>
      <c r="J48" s="861"/>
      <c r="K48" s="861"/>
      <c r="L48" s="861"/>
      <c r="M48" s="851"/>
      <c r="N48" s="851"/>
      <c r="O48" s="851"/>
      <c r="P48" s="851"/>
      <c r="Q48" s="851"/>
      <c r="R48" s="851"/>
      <c r="S48" s="851"/>
      <c r="T48" s="851"/>
      <c r="U48" s="851"/>
      <c r="V48" s="852"/>
      <c r="W48" s="851"/>
      <c r="X48" s="852"/>
      <c r="Y48" s="853"/>
      <c r="Z48" s="853"/>
      <c r="AA48" s="569"/>
      <c r="AB48" s="569"/>
      <c r="AC48" s="569"/>
    </row>
    <row r="49" spans="1:454" s="862" customFormat="1">
      <c r="A49" s="848"/>
      <c r="B49" s="855">
        <v>4</v>
      </c>
      <c r="C49" s="856" t="str">
        <f>BTL!B37</f>
        <v>BELANJA TIDAK TERDUGA</v>
      </c>
      <c r="D49" s="863"/>
      <c r="E49" s="863"/>
      <c r="F49" s="863"/>
      <c r="G49" s="863"/>
      <c r="H49" s="863"/>
      <c r="I49" s="863"/>
      <c r="J49" s="863"/>
      <c r="K49" s="863"/>
      <c r="L49" s="863"/>
      <c r="M49" s="858">
        <f>BTL!D37</f>
        <v>500000000</v>
      </c>
      <c r="N49" s="858">
        <f>BTL!E37</f>
        <v>0</v>
      </c>
      <c r="O49" s="858">
        <f>BTL!F37</f>
        <v>500000000</v>
      </c>
      <c r="P49" s="858">
        <f>BTL!G37</f>
        <v>0</v>
      </c>
      <c r="Q49" s="858">
        <f>BTL!H37</f>
        <v>500000000</v>
      </c>
      <c r="R49" s="858">
        <f>BTL!I37</f>
        <v>0</v>
      </c>
      <c r="S49" s="858">
        <f>BTL!J37</f>
        <v>1000000000</v>
      </c>
      <c r="T49" s="858">
        <f>BTL!K37</f>
        <v>0</v>
      </c>
      <c r="U49" s="858">
        <f>BTL!L37</f>
        <v>1500000000</v>
      </c>
      <c r="V49" s="859"/>
      <c r="W49" s="858"/>
      <c r="X49" s="859"/>
      <c r="Y49" s="860"/>
      <c r="Z49" s="860"/>
      <c r="AA49" s="569"/>
      <c r="AB49" s="569"/>
      <c r="AC49" s="569"/>
      <c r="AD49" s="848"/>
      <c r="AE49" s="848"/>
      <c r="AF49" s="848"/>
      <c r="AG49" s="848"/>
      <c r="AH49" s="848"/>
      <c r="AI49" s="848"/>
      <c r="AJ49" s="848"/>
      <c r="AK49" s="848"/>
      <c r="AL49" s="848"/>
      <c r="AM49" s="848"/>
      <c r="AN49" s="848"/>
      <c r="AO49" s="848"/>
      <c r="AP49" s="848"/>
      <c r="AQ49" s="848"/>
      <c r="AR49" s="848"/>
      <c r="AS49" s="848"/>
      <c r="AT49" s="848"/>
      <c r="AU49" s="848"/>
      <c r="AV49" s="848"/>
      <c r="AW49" s="848"/>
      <c r="AX49" s="848"/>
      <c r="AY49" s="848"/>
      <c r="AZ49" s="848"/>
      <c r="BA49" s="848"/>
      <c r="BB49" s="848"/>
      <c r="BC49" s="848"/>
      <c r="BD49" s="848"/>
      <c r="BE49" s="848"/>
      <c r="BF49" s="848"/>
      <c r="BG49" s="848"/>
      <c r="BH49" s="848"/>
      <c r="BI49" s="848"/>
      <c r="BJ49" s="848"/>
      <c r="BK49" s="848"/>
      <c r="BL49" s="848"/>
      <c r="BM49" s="848"/>
      <c r="BN49" s="848"/>
      <c r="BO49" s="848"/>
      <c r="BP49" s="848"/>
      <c r="BQ49" s="848"/>
      <c r="BR49" s="848"/>
      <c r="BS49" s="848"/>
      <c r="BT49" s="848"/>
      <c r="BU49" s="848"/>
      <c r="BV49" s="848"/>
      <c r="BW49" s="848"/>
      <c r="BX49" s="848"/>
      <c r="BY49" s="848"/>
      <c r="BZ49" s="848"/>
      <c r="CA49" s="848"/>
      <c r="CB49" s="848"/>
      <c r="CC49" s="848"/>
      <c r="CD49" s="848"/>
      <c r="CE49" s="848"/>
      <c r="CF49" s="848"/>
      <c r="CG49" s="848"/>
      <c r="CH49" s="848"/>
      <c r="CI49" s="848"/>
      <c r="CJ49" s="848"/>
      <c r="CK49" s="848"/>
      <c r="CL49" s="848"/>
      <c r="CM49" s="848"/>
      <c r="CN49" s="848"/>
      <c r="CO49" s="848"/>
      <c r="CP49" s="848"/>
      <c r="CQ49" s="848"/>
      <c r="CR49" s="848"/>
      <c r="CS49" s="848"/>
      <c r="CT49" s="848"/>
      <c r="CU49" s="848"/>
      <c r="CV49" s="848"/>
    </row>
    <row r="50" spans="1:454" s="848" customFormat="1">
      <c r="B50" s="869" t="s">
        <v>4884</v>
      </c>
      <c r="C50" s="867" t="str">
        <f>BTL!B38</f>
        <v>Belanja Tidak Terduga</v>
      </c>
      <c r="D50" s="861"/>
      <c r="E50" s="861"/>
      <c r="F50" s="861"/>
      <c r="G50" s="861"/>
      <c r="H50" s="861"/>
      <c r="I50" s="861"/>
      <c r="J50" s="861"/>
      <c r="K50" s="861"/>
      <c r="L50" s="861"/>
      <c r="M50" s="851">
        <f>BTL!D38</f>
        <v>500000000</v>
      </c>
      <c r="N50" s="851">
        <f>BTL!E38</f>
        <v>0</v>
      </c>
      <c r="O50" s="851">
        <f>BTL!F38</f>
        <v>500000000</v>
      </c>
      <c r="P50" s="851">
        <f>BTL!G38</f>
        <v>0</v>
      </c>
      <c r="Q50" s="851">
        <f>BTL!H38</f>
        <v>500000000</v>
      </c>
      <c r="R50" s="851">
        <f>BTL!I38</f>
        <v>0</v>
      </c>
      <c r="S50" s="851">
        <f>BTL!J38</f>
        <v>1000000000</v>
      </c>
      <c r="T50" s="851">
        <f>BTL!K38</f>
        <v>0</v>
      </c>
      <c r="U50" s="851">
        <f>BTL!L38</f>
        <v>1500000000</v>
      </c>
      <c r="V50" s="852"/>
      <c r="W50" s="851"/>
      <c r="X50" s="852"/>
      <c r="Y50" s="853"/>
      <c r="Z50" s="853"/>
      <c r="AA50" s="569"/>
      <c r="AB50" s="569"/>
      <c r="AC50" s="569"/>
    </row>
    <row r="51" spans="1:454" s="848" customFormat="1">
      <c r="B51" s="850"/>
      <c r="C51" s="565"/>
      <c r="D51" s="861"/>
      <c r="E51" s="861"/>
      <c r="F51" s="861"/>
      <c r="G51" s="861"/>
      <c r="H51" s="861"/>
      <c r="I51" s="861"/>
      <c r="J51" s="861"/>
      <c r="K51" s="861"/>
      <c r="L51" s="861"/>
      <c r="M51" s="851"/>
      <c r="N51" s="851"/>
      <c r="O51" s="851"/>
      <c r="P51" s="851"/>
      <c r="Q51" s="851"/>
      <c r="R51" s="851"/>
      <c r="S51" s="851"/>
      <c r="T51" s="851"/>
      <c r="U51" s="851"/>
      <c r="V51" s="851"/>
      <c r="W51" s="852"/>
      <c r="X51" s="852"/>
      <c r="Y51" s="853"/>
      <c r="Z51" s="853"/>
      <c r="AA51" s="569"/>
      <c r="AB51" s="569"/>
      <c r="AC51" s="569"/>
    </row>
    <row r="52" spans="1:454" s="839" customFormat="1">
      <c r="A52" s="848"/>
      <c r="B52" s="557" t="s">
        <v>2026</v>
      </c>
      <c r="C52" s="557" t="s">
        <v>4661</v>
      </c>
      <c r="D52" s="840"/>
      <c r="E52" s="840"/>
      <c r="F52" s="840"/>
      <c r="G52" s="840"/>
      <c r="H52" s="840"/>
      <c r="I52" s="840"/>
      <c r="J52" s="840"/>
      <c r="K52" s="840"/>
      <c r="L52" s="840"/>
      <c r="M52" s="864"/>
      <c r="N52" s="865"/>
      <c r="O52" s="865"/>
      <c r="P52" s="865"/>
      <c r="Q52" s="865"/>
      <c r="R52" s="865"/>
      <c r="S52" s="865"/>
      <c r="T52" s="865"/>
      <c r="U52" s="865"/>
      <c r="V52" s="865"/>
      <c r="W52" s="865"/>
      <c r="X52" s="865"/>
      <c r="Y52" s="866"/>
      <c r="Z52" s="866"/>
      <c r="AA52" s="569"/>
      <c r="AB52" s="569"/>
      <c r="AC52" s="569"/>
      <c r="AD52" s="848"/>
      <c r="AE52" s="848"/>
      <c r="AF52" s="848"/>
      <c r="AG52" s="848"/>
      <c r="AH52" s="848"/>
      <c r="AI52" s="848"/>
      <c r="AJ52" s="848"/>
      <c r="AK52" s="848"/>
      <c r="AL52" s="848"/>
      <c r="AM52" s="848"/>
      <c r="AN52" s="848"/>
      <c r="AO52" s="848"/>
      <c r="AP52" s="848"/>
      <c r="AQ52" s="848"/>
      <c r="AR52" s="848"/>
      <c r="AS52" s="848"/>
      <c r="AT52" s="848"/>
      <c r="AU52" s="848"/>
      <c r="AV52" s="848"/>
      <c r="AW52" s="848"/>
      <c r="AX52" s="848"/>
      <c r="AY52" s="848"/>
      <c r="AZ52" s="848"/>
      <c r="BA52" s="848"/>
      <c r="BB52" s="848"/>
      <c r="BC52" s="848"/>
      <c r="BD52" s="848"/>
      <c r="BE52" s="848"/>
      <c r="BF52" s="848"/>
      <c r="BG52" s="848"/>
      <c r="BH52" s="848"/>
      <c r="BI52" s="848"/>
      <c r="BJ52" s="848"/>
      <c r="BK52" s="848"/>
      <c r="BL52" s="848"/>
      <c r="BM52" s="848"/>
      <c r="BN52" s="848"/>
      <c r="BO52" s="848"/>
      <c r="BP52" s="848"/>
      <c r="BQ52" s="848"/>
      <c r="BR52" s="848"/>
      <c r="BS52" s="848"/>
      <c r="BT52" s="848"/>
      <c r="BU52" s="848"/>
      <c r="BV52" s="848"/>
      <c r="BW52" s="848"/>
      <c r="BX52" s="848"/>
      <c r="BY52" s="848"/>
      <c r="BZ52" s="848"/>
      <c r="CA52" s="848"/>
      <c r="CB52" s="848"/>
      <c r="CC52" s="848"/>
      <c r="CD52" s="848"/>
      <c r="CE52" s="848"/>
      <c r="CF52" s="848"/>
      <c r="CG52" s="848"/>
      <c r="CH52" s="848"/>
      <c r="CI52" s="848"/>
      <c r="CJ52" s="848"/>
      <c r="CK52" s="848"/>
      <c r="CL52" s="848"/>
      <c r="CM52" s="848"/>
      <c r="CN52" s="848"/>
      <c r="CO52" s="848"/>
      <c r="CP52" s="848"/>
      <c r="CQ52" s="848"/>
      <c r="CR52" s="848"/>
      <c r="CS52" s="848"/>
      <c r="CT52" s="848"/>
      <c r="CU52" s="848"/>
      <c r="CV52" s="848"/>
    </row>
    <row r="53" spans="1:454" s="560" customFormat="1">
      <c r="A53" s="566"/>
      <c r="B53" s="556"/>
      <c r="C53" s="557" t="s">
        <v>1800</v>
      </c>
      <c r="D53" s="558"/>
      <c r="E53" s="558"/>
      <c r="F53" s="558"/>
      <c r="G53" s="558"/>
      <c r="H53" s="558"/>
      <c r="I53" s="558"/>
      <c r="J53" s="558"/>
      <c r="K53" s="558"/>
      <c r="L53" s="558"/>
      <c r="M53" s="644"/>
      <c r="N53" s="558"/>
      <c r="O53" s="558"/>
      <c r="P53" s="558"/>
      <c r="Q53" s="558"/>
      <c r="R53" s="558"/>
      <c r="S53" s="558"/>
      <c r="T53" s="558"/>
      <c r="U53" s="558"/>
      <c r="V53" s="558"/>
      <c r="W53" s="558"/>
      <c r="X53" s="558"/>
      <c r="Y53" s="559"/>
      <c r="Z53" s="559"/>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c r="DJ53" s="566"/>
      <c r="DK53" s="566"/>
      <c r="DL53" s="566"/>
      <c r="DM53" s="566"/>
      <c r="DN53" s="566"/>
      <c r="DO53" s="566"/>
      <c r="DP53" s="566"/>
      <c r="DQ53" s="566"/>
      <c r="DR53" s="566"/>
      <c r="DS53" s="566"/>
      <c r="DT53" s="566"/>
      <c r="DU53" s="566"/>
      <c r="DV53" s="566"/>
      <c r="DW53" s="566"/>
      <c r="DX53" s="566"/>
      <c r="DY53" s="566"/>
      <c r="DZ53" s="566"/>
      <c r="EA53" s="566"/>
      <c r="EB53" s="566"/>
      <c r="EC53" s="566"/>
      <c r="ED53" s="566"/>
      <c r="EE53" s="566"/>
      <c r="EF53" s="566"/>
      <c r="EG53" s="566"/>
      <c r="EH53" s="566"/>
      <c r="EI53" s="566"/>
      <c r="EJ53" s="566"/>
      <c r="EK53" s="566"/>
      <c r="EL53" s="566"/>
      <c r="EM53" s="566"/>
      <c r="EN53" s="566"/>
      <c r="EO53" s="566"/>
      <c r="EP53" s="566"/>
      <c r="EQ53" s="566"/>
      <c r="ER53" s="566"/>
      <c r="ES53" s="566"/>
      <c r="ET53" s="566"/>
      <c r="EU53" s="566"/>
      <c r="EV53" s="566"/>
      <c r="EW53" s="566"/>
      <c r="EX53" s="566"/>
      <c r="EY53" s="566"/>
      <c r="EZ53" s="566"/>
      <c r="FA53" s="566"/>
      <c r="FB53" s="566"/>
      <c r="FC53" s="566"/>
      <c r="FD53" s="566"/>
      <c r="FE53" s="566"/>
      <c r="FF53" s="566"/>
      <c r="FG53" s="566"/>
      <c r="FH53" s="566"/>
      <c r="FI53" s="566"/>
      <c r="FJ53" s="566"/>
      <c r="FK53" s="566"/>
      <c r="FL53" s="566"/>
      <c r="FM53" s="566"/>
      <c r="FN53" s="566"/>
      <c r="FO53" s="566"/>
      <c r="FP53" s="566"/>
      <c r="FQ53" s="566"/>
      <c r="FR53" s="566"/>
      <c r="FS53" s="566"/>
      <c r="FT53" s="566"/>
      <c r="FU53" s="566"/>
      <c r="FV53" s="566"/>
      <c r="FW53" s="566"/>
      <c r="FX53" s="566"/>
      <c r="FY53" s="566"/>
      <c r="FZ53" s="566"/>
      <c r="GA53" s="566"/>
      <c r="GB53" s="566"/>
      <c r="GC53" s="566"/>
      <c r="GD53" s="566"/>
      <c r="GE53" s="566"/>
      <c r="GF53" s="566"/>
      <c r="GG53" s="566"/>
      <c r="GH53" s="566"/>
      <c r="GI53" s="566"/>
      <c r="GJ53" s="566"/>
      <c r="GK53" s="566"/>
      <c r="GL53" s="566"/>
      <c r="GM53" s="566"/>
      <c r="GN53" s="566"/>
      <c r="GO53" s="566"/>
      <c r="GP53" s="566"/>
      <c r="GQ53" s="566"/>
      <c r="GR53" s="566"/>
      <c r="GS53" s="566"/>
      <c r="GT53" s="566"/>
      <c r="GU53" s="566"/>
      <c r="GV53" s="566"/>
      <c r="GW53" s="566"/>
      <c r="GX53" s="566"/>
      <c r="GY53" s="566"/>
      <c r="GZ53" s="566"/>
      <c r="HA53" s="566"/>
      <c r="HB53" s="566"/>
      <c r="HC53" s="566"/>
      <c r="HD53" s="566"/>
      <c r="HE53" s="566"/>
      <c r="HF53" s="566"/>
      <c r="HG53" s="566"/>
      <c r="HH53" s="566"/>
      <c r="HI53" s="566"/>
      <c r="HJ53" s="566"/>
      <c r="HK53" s="566"/>
      <c r="HL53" s="566"/>
      <c r="HM53" s="566"/>
      <c r="HN53" s="566"/>
      <c r="HO53" s="566"/>
      <c r="HP53" s="566"/>
      <c r="HQ53" s="566"/>
      <c r="HR53" s="566"/>
      <c r="HS53" s="566"/>
      <c r="HT53" s="566"/>
      <c r="HU53" s="566"/>
      <c r="HV53" s="566"/>
      <c r="HW53" s="566"/>
      <c r="HX53" s="566"/>
      <c r="HY53" s="566"/>
      <c r="HZ53" s="566"/>
      <c r="IA53" s="566"/>
      <c r="IB53" s="566"/>
      <c r="IC53" s="566"/>
      <c r="ID53" s="566"/>
      <c r="IE53" s="566"/>
      <c r="IF53" s="566"/>
      <c r="IG53" s="566"/>
      <c r="IH53" s="566"/>
      <c r="II53" s="566"/>
      <c r="IJ53" s="566"/>
      <c r="IK53" s="566"/>
      <c r="IL53" s="566"/>
      <c r="IM53" s="566"/>
      <c r="IN53" s="566"/>
      <c r="IO53" s="566"/>
      <c r="IP53" s="566"/>
      <c r="IQ53" s="566"/>
      <c r="IR53" s="566"/>
      <c r="IS53" s="566"/>
      <c r="IT53" s="566"/>
      <c r="IU53" s="566"/>
      <c r="IV53" s="566"/>
      <c r="IW53" s="566"/>
      <c r="IX53" s="566"/>
      <c r="IY53" s="566"/>
      <c r="IZ53" s="566"/>
      <c r="JA53" s="566"/>
      <c r="JB53" s="566"/>
      <c r="JC53" s="566"/>
      <c r="JD53" s="566"/>
      <c r="JE53" s="566"/>
      <c r="JF53" s="566"/>
      <c r="JG53" s="566"/>
      <c r="JH53" s="566"/>
      <c r="JI53" s="566"/>
      <c r="JJ53" s="566"/>
      <c r="JK53" s="566"/>
      <c r="JL53" s="566"/>
      <c r="JM53" s="566"/>
      <c r="JN53" s="566"/>
      <c r="JO53" s="566"/>
      <c r="JP53" s="566"/>
      <c r="JQ53" s="566"/>
      <c r="JR53" s="566"/>
      <c r="JS53" s="566"/>
      <c r="JT53" s="566"/>
      <c r="JU53" s="566"/>
      <c r="JV53" s="566"/>
      <c r="JW53" s="566"/>
      <c r="JX53" s="566"/>
      <c r="JY53" s="566"/>
      <c r="JZ53" s="566"/>
      <c r="KA53" s="566"/>
      <c r="KB53" s="566"/>
      <c r="KC53" s="566"/>
      <c r="KD53" s="566"/>
      <c r="KE53" s="566"/>
      <c r="KF53" s="566"/>
      <c r="KG53" s="566"/>
      <c r="KH53" s="566"/>
      <c r="KI53" s="566"/>
      <c r="KJ53" s="566"/>
      <c r="KK53" s="566"/>
      <c r="KL53" s="566"/>
      <c r="KM53" s="566"/>
      <c r="KN53" s="566"/>
      <c r="KO53" s="566"/>
      <c r="KP53" s="566"/>
      <c r="KQ53" s="566"/>
      <c r="KR53" s="566"/>
      <c r="KS53" s="566"/>
      <c r="KT53" s="566"/>
      <c r="KU53" s="566"/>
      <c r="KV53" s="566"/>
      <c r="KW53" s="566"/>
      <c r="KX53" s="566"/>
      <c r="KY53" s="566"/>
      <c r="KZ53" s="566"/>
      <c r="LA53" s="566"/>
      <c r="LB53" s="566"/>
      <c r="LC53" s="566"/>
      <c r="LD53" s="566"/>
      <c r="LE53" s="566"/>
      <c r="LF53" s="566"/>
      <c r="LG53" s="566"/>
      <c r="LH53" s="566"/>
      <c r="LI53" s="566"/>
      <c r="LJ53" s="566"/>
      <c r="LK53" s="566"/>
      <c r="LL53" s="566"/>
      <c r="LM53" s="566"/>
      <c r="LN53" s="566"/>
      <c r="LO53" s="566"/>
      <c r="LP53" s="566"/>
      <c r="LQ53" s="566"/>
      <c r="LR53" s="566"/>
      <c r="LS53" s="566"/>
      <c r="LT53" s="566"/>
      <c r="LU53" s="566"/>
      <c r="LV53" s="566"/>
      <c r="LW53" s="566"/>
      <c r="LX53" s="566"/>
      <c r="LY53" s="566"/>
      <c r="LZ53" s="566"/>
      <c r="MA53" s="566"/>
      <c r="MB53" s="566"/>
      <c r="MC53" s="566"/>
      <c r="MD53" s="566"/>
      <c r="ME53" s="566"/>
      <c r="MF53" s="566"/>
      <c r="MG53" s="566"/>
      <c r="MH53" s="566"/>
      <c r="MI53" s="566"/>
      <c r="MJ53" s="566"/>
      <c r="MK53" s="566"/>
      <c r="ML53" s="566"/>
      <c r="MM53" s="566"/>
      <c r="MN53" s="566"/>
      <c r="MO53" s="566"/>
      <c r="MP53" s="566"/>
      <c r="MQ53" s="566"/>
      <c r="MR53" s="566"/>
      <c r="MS53" s="566"/>
      <c r="MT53" s="566"/>
      <c r="MU53" s="566"/>
      <c r="MV53" s="566"/>
      <c r="MW53" s="566"/>
      <c r="MX53" s="566"/>
      <c r="MY53" s="566"/>
      <c r="MZ53" s="566"/>
      <c r="NA53" s="566"/>
      <c r="NB53" s="566"/>
      <c r="NC53" s="566"/>
      <c r="ND53" s="566"/>
      <c r="NE53" s="566"/>
      <c r="NF53" s="566"/>
      <c r="NG53" s="566"/>
      <c r="NH53" s="566"/>
      <c r="NI53" s="566"/>
      <c r="NJ53" s="566"/>
      <c r="NK53" s="566"/>
      <c r="NL53" s="566"/>
      <c r="NM53" s="566"/>
      <c r="NN53" s="566"/>
      <c r="NO53" s="566"/>
      <c r="NP53" s="566"/>
      <c r="NQ53" s="566"/>
      <c r="NR53" s="566"/>
      <c r="NS53" s="566"/>
      <c r="NT53" s="566"/>
      <c r="NU53" s="566"/>
      <c r="NV53" s="566"/>
      <c r="NW53" s="566"/>
      <c r="NX53" s="566"/>
      <c r="NY53" s="566"/>
      <c r="NZ53" s="566"/>
      <c r="OA53" s="566"/>
      <c r="OB53" s="566"/>
      <c r="OC53" s="566"/>
      <c r="OD53" s="566"/>
      <c r="OE53" s="566"/>
      <c r="OF53" s="566"/>
      <c r="OG53" s="566"/>
      <c r="OH53" s="566"/>
      <c r="OI53" s="566"/>
      <c r="OJ53" s="566"/>
      <c r="OK53" s="566"/>
      <c r="OL53" s="566"/>
      <c r="OM53" s="566"/>
      <c r="ON53" s="566"/>
      <c r="OO53" s="566"/>
      <c r="OP53" s="566"/>
      <c r="OQ53" s="566"/>
      <c r="OR53" s="566"/>
      <c r="OS53" s="566"/>
      <c r="OT53" s="566"/>
      <c r="OU53" s="566"/>
      <c r="OV53" s="566"/>
      <c r="OW53" s="566"/>
      <c r="OX53" s="566"/>
      <c r="OY53" s="566"/>
      <c r="OZ53" s="566"/>
      <c r="PA53" s="566"/>
      <c r="PB53" s="566"/>
      <c r="PC53" s="566"/>
      <c r="PD53" s="566"/>
      <c r="PE53" s="566"/>
      <c r="PF53" s="566"/>
      <c r="PG53" s="566"/>
      <c r="PH53" s="566"/>
      <c r="PI53" s="566"/>
      <c r="PJ53" s="566"/>
      <c r="PK53" s="566"/>
      <c r="PL53" s="566"/>
      <c r="PM53" s="566"/>
      <c r="PN53" s="566"/>
      <c r="PO53" s="566"/>
      <c r="PP53" s="566"/>
      <c r="PQ53" s="566"/>
      <c r="PR53" s="566"/>
      <c r="PS53" s="566"/>
      <c r="PT53" s="566"/>
      <c r="PU53" s="566"/>
      <c r="PV53" s="566"/>
      <c r="PW53" s="566"/>
      <c r="PX53" s="566"/>
      <c r="PY53" s="566"/>
      <c r="PZ53" s="566"/>
      <c r="QA53" s="566"/>
      <c r="QB53" s="566"/>
      <c r="QC53" s="566"/>
      <c r="QD53" s="566"/>
      <c r="QE53" s="566"/>
      <c r="QF53" s="566"/>
      <c r="QG53" s="566"/>
      <c r="QH53" s="566"/>
      <c r="QI53" s="566"/>
      <c r="QJ53" s="566"/>
      <c r="QK53" s="566"/>
      <c r="QL53" s="566"/>
    </row>
    <row r="54" spans="1:454" s="620" customFormat="1" ht="90">
      <c r="A54" s="566"/>
      <c r="B54" s="576">
        <v>1</v>
      </c>
      <c r="C54" s="576" t="str">
        <f>'matrik MISI 4'!B8</f>
        <v>PENDIDIKAN</v>
      </c>
      <c r="D54" s="577">
        <f>'matrik MISI 4'!J9</f>
        <v>1.01</v>
      </c>
      <c r="E54" s="577" t="str">
        <f>'matrik MISI 4'!K9</f>
        <v>xx</v>
      </c>
      <c r="F54" s="577">
        <f>'matrik MISI 4'!L9</f>
        <v>15</v>
      </c>
      <c r="G54" s="577" t="str">
        <f>'matrik MISI 4'!M9</f>
        <v>Pendidikan anak usia dini, Wajib belajar pendidikan dasar, Pendidikan menengah , dan Pendidikan nonformal</v>
      </c>
      <c r="H54" s="621"/>
      <c r="I54" s="621"/>
      <c r="J54" s="621"/>
      <c r="K54" s="621"/>
      <c r="L54" s="621"/>
      <c r="M54" s="622">
        <f>'jangan dihapus 2'!K10</f>
        <v>1260000000</v>
      </c>
      <c r="N54" s="622"/>
      <c r="O54" s="622">
        <f>'jangan dihapus 2'!M10</f>
        <v>760000000</v>
      </c>
      <c r="P54" s="622"/>
      <c r="Q54" s="622">
        <f>'jangan dihapus 2'!O10</f>
        <v>950000000</v>
      </c>
      <c r="R54" s="622"/>
      <c r="S54" s="622">
        <f>'jangan dihapus 2'!Q10</f>
        <v>950000000</v>
      </c>
      <c r="T54" s="622"/>
      <c r="U54" s="622">
        <f>'jangan dihapus 2'!S10</f>
        <v>900000000</v>
      </c>
      <c r="V54" s="621"/>
      <c r="W54" s="578">
        <f>SUM(M54:U54)</f>
        <v>4820000000</v>
      </c>
      <c r="X54" s="621"/>
      <c r="Y54" s="623"/>
      <c r="Z54" s="623"/>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c r="BS54" s="566"/>
      <c r="BT54" s="566"/>
      <c r="BU54" s="566"/>
      <c r="BV54" s="566"/>
      <c r="BW54" s="566"/>
      <c r="BX54" s="566"/>
      <c r="BY54" s="566"/>
      <c r="BZ54" s="566"/>
      <c r="CA54" s="566"/>
      <c r="CB54" s="566"/>
      <c r="CC54" s="566"/>
      <c r="CD54" s="566"/>
      <c r="CE54" s="566"/>
      <c r="CF54" s="566"/>
      <c r="CG54" s="566"/>
      <c r="CH54" s="566"/>
      <c r="CI54" s="566"/>
      <c r="CJ54" s="566"/>
      <c r="CK54" s="566"/>
      <c r="CL54" s="566"/>
      <c r="CM54" s="566"/>
      <c r="CN54" s="566"/>
      <c r="CO54" s="566"/>
      <c r="CP54" s="566"/>
      <c r="CQ54" s="566"/>
      <c r="CR54" s="566"/>
      <c r="CS54" s="566"/>
      <c r="CT54" s="566"/>
      <c r="CU54" s="566"/>
      <c r="CV54" s="566"/>
      <c r="CW54" s="566"/>
      <c r="CX54" s="566"/>
      <c r="CY54" s="566"/>
      <c r="CZ54" s="566"/>
      <c r="DA54" s="566"/>
      <c r="DB54" s="566"/>
      <c r="DC54" s="566"/>
      <c r="DD54" s="566"/>
      <c r="DE54" s="566"/>
      <c r="DF54" s="566"/>
      <c r="DG54" s="566"/>
      <c r="DH54" s="566"/>
      <c r="DI54" s="566"/>
      <c r="DJ54" s="566"/>
      <c r="DK54" s="566"/>
      <c r="DL54" s="566"/>
      <c r="DM54" s="566"/>
      <c r="DN54" s="566"/>
      <c r="DO54" s="566"/>
      <c r="DP54" s="566"/>
      <c r="DQ54" s="566"/>
      <c r="DR54" s="566"/>
      <c r="DS54" s="566"/>
      <c r="DT54" s="566"/>
      <c r="DU54" s="566"/>
      <c r="DV54" s="566"/>
      <c r="DW54" s="566"/>
      <c r="DX54" s="566"/>
      <c r="DY54" s="566"/>
      <c r="DZ54" s="566"/>
      <c r="EA54" s="566"/>
      <c r="EB54" s="566"/>
      <c r="EC54" s="566"/>
      <c r="ED54" s="566"/>
      <c r="EE54" s="566"/>
      <c r="EF54" s="566"/>
      <c r="EG54" s="566"/>
      <c r="EH54" s="566"/>
      <c r="EI54" s="566"/>
      <c r="EJ54" s="566"/>
      <c r="EK54" s="566"/>
      <c r="EL54" s="566"/>
      <c r="EM54" s="566"/>
      <c r="EN54" s="566"/>
      <c r="EO54" s="566"/>
      <c r="EP54" s="566"/>
      <c r="EQ54" s="566"/>
      <c r="ER54" s="566"/>
      <c r="ES54" s="566"/>
      <c r="ET54" s="566"/>
      <c r="EU54" s="566"/>
      <c r="EV54" s="566"/>
      <c r="EW54" s="566"/>
      <c r="EX54" s="566"/>
      <c r="EY54" s="566"/>
      <c r="EZ54" s="566"/>
      <c r="FA54" s="566"/>
      <c r="FB54" s="566"/>
      <c r="FC54" s="566"/>
      <c r="FD54" s="566"/>
      <c r="FE54" s="566"/>
      <c r="FF54" s="566"/>
      <c r="FG54" s="566"/>
      <c r="FH54" s="566"/>
      <c r="FI54" s="566"/>
      <c r="FJ54" s="566"/>
      <c r="FK54" s="566"/>
      <c r="FL54" s="566"/>
      <c r="FM54" s="566"/>
      <c r="FN54" s="566"/>
      <c r="FO54" s="566"/>
      <c r="FP54" s="566"/>
      <c r="FQ54" s="566"/>
      <c r="FR54" s="566"/>
      <c r="FS54" s="566"/>
      <c r="FT54" s="566"/>
      <c r="FU54" s="566"/>
      <c r="FV54" s="566"/>
      <c r="FW54" s="566"/>
      <c r="FX54" s="566"/>
      <c r="FY54" s="566"/>
      <c r="FZ54" s="566"/>
      <c r="GA54" s="566"/>
      <c r="GB54" s="566"/>
      <c r="GC54" s="566"/>
      <c r="GD54" s="566"/>
      <c r="GE54" s="566"/>
      <c r="GF54" s="566"/>
      <c r="GG54" s="566"/>
      <c r="GH54" s="566"/>
      <c r="GI54" s="566"/>
      <c r="GJ54" s="566"/>
      <c r="GK54" s="566"/>
      <c r="GL54" s="566"/>
      <c r="GM54" s="566"/>
      <c r="GN54" s="566"/>
      <c r="GO54" s="566"/>
      <c r="GP54" s="566"/>
      <c r="GQ54" s="566"/>
      <c r="GR54" s="566"/>
      <c r="GS54" s="566"/>
      <c r="GT54" s="566"/>
      <c r="GU54" s="566"/>
      <c r="GV54" s="566"/>
      <c r="GW54" s="566"/>
      <c r="GX54" s="566"/>
      <c r="GY54" s="566"/>
      <c r="GZ54" s="566"/>
      <c r="HA54" s="566"/>
      <c r="HB54" s="566"/>
      <c r="HC54" s="566"/>
      <c r="HD54" s="566"/>
      <c r="HE54" s="566"/>
      <c r="HF54" s="566"/>
      <c r="HG54" s="566"/>
      <c r="HH54" s="566"/>
      <c r="HI54" s="566"/>
      <c r="HJ54" s="566"/>
      <c r="HK54" s="566"/>
      <c r="HL54" s="566"/>
      <c r="HM54" s="566"/>
      <c r="HN54" s="566"/>
      <c r="HO54" s="566"/>
      <c r="HP54" s="566"/>
      <c r="HQ54" s="566"/>
      <c r="HR54" s="566"/>
      <c r="HS54" s="566"/>
      <c r="HT54" s="566"/>
      <c r="HU54" s="566"/>
      <c r="HV54" s="566"/>
      <c r="HW54" s="566"/>
      <c r="HX54" s="566"/>
      <c r="HY54" s="566"/>
      <c r="HZ54" s="566"/>
      <c r="IA54" s="566"/>
      <c r="IB54" s="566"/>
      <c r="IC54" s="566"/>
      <c r="ID54" s="566"/>
      <c r="IE54" s="566"/>
      <c r="IF54" s="566"/>
      <c r="IG54" s="566"/>
      <c r="IH54" s="566"/>
      <c r="II54" s="566"/>
      <c r="IJ54" s="566"/>
      <c r="IK54" s="566"/>
      <c r="IL54" s="566"/>
      <c r="IM54" s="566"/>
      <c r="IN54" s="566"/>
      <c r="IO54" s="566"/>
      <c r="IP54" s="566"/>
      <c r="IQ54" s="566"/>
      <c r="IR54" s="566"/>
      <c r="IS54" s="566"/>
      <c r="IT54" s="566"/>
      <c r="IU54" s="566"/>
      <c r="IV54" s="566"/>
      <c r="IW54" s="566"/>
      <c r="IX54" s="566"/>
      <c r="IY54" s="566"/>
      <c r="IZ54" s="566"/>
      <c r="JA54" s="566"/>
      <c r="JB54" s="566"/>
      <c r="JC54" s="566"/>
      <c r="JD54" s="566"/>
      <c r="JE54" s="566"/>
      <c r="JF54" s="566"/>
      <c r="JG54" s="566"/>
      <c r="JH54" s="566"/>
      <c r="JI54" s="566"/>
      <c r="JJ54" s="566"/>
      <c r="JK54" s="566"/>
      <c r="JL54" s="566"/>
      <c r="JM54" s="566"/>
      <c r="JN54" s="566"/>
      <c r="JO54" s="566"/>
      <c r="JP54" s="566"/>
      <c r="JQ54" s="566"/>
      <c r="JR54" s="566"/>
      <c r="JS54" s="566"/>
      <c r="JT54" s="566"/>
      <c r="JU54" s="566"/>
      <c r="JV54" s="566"/>
      <c r="JW54" s="566"/>
      <c r="JX54" s="566"/>
      <c r="JY54" s="566"/>
      <c r="JZ54" s="566"/>
      <c r="KA54" s="566"/>
      <c r="KB54" s="566"/>
      <c r="KC54" s="566"/>
      <c r="KD54" s="566"/>
      <c r="KE54" s="566"/>
      <c r="KF54" s="566"/>
      <c r="KG54" s="566"/>
      <c r="KH54" s="566"/>
      <c r="KI54" s="566"/>
      <c r="KJ54" s="566"/>
      <c r="KK54" s="566"/>
      <c r="KL54" s="566"/>
      <c r="KM54" s="566"/>
      <c r="KN54" s="566"/>
      <c r="KO54" s="566"/>
      <c r="KP54" s="566"/>
      <c r="KQ54" s="566"/>
      <c r="KR54" s="566"/>
      <c r="KS54" s="566"/>
      <c r="KT54" s="566"/>
      <c r="KU54" s="566"/>
      <c r="KV54" s="566"/>
      <c r="KW54" s="566"/>
      <c r="KX54" s="566"/>
      <c r="KY54" s="566"/>
      <c r="KZ54" s="566"/>
      <c r="LA54" s="566"/>
      <c r="LB54" s="566"/>
      <c r="LC54" s="566"/>
      <c r="LD54" s="566"/>
      <c r="LE54" s="566"/>
      <c r="LF54" s="566"/>
      <c r="LG54" s="566"/>
      <c r="LH54" s="566"/>
      <c r="LI54" s="566"/>
      <c r="LJ54" s="566"/>
      <c r="LK54" s="566"/>
      <c r="LL54" s="566"/>
      <c r="LM54" s="566"/>
      <c r="LN54" s="566"/>
      <c r="LO54" s="566"/>
      <c r="LP54" s="566"/>
      <c r="LQ54" s="566"/>
      <c r="LR54" s="566"/>
      <c r="LS54" s="566"/>
      <c r="LT54" s="566"/>
      <c r="LU54" s="566"/>
      <c r="LV54" s="566"/>
      <c r="LW54" s="566"/>
      <c r="LX54" s="566"/>
      <c r="LY54" s="566"/>
      <c r="LZ54" s="566"/>
      <c r="MA54" s="566"/>
      <c r="MB54" s="566"/>
      <c r="MC54" s="566"/>
      <c r="MD54" s="566"/>
      <c r="ME54" s="566"/>
      <c r="MF54" s="566"/>
      <c r="MG54" s="566"/>
      <c r="MH54" s="566"/>
      <c r="MI54" s="566"/>
      <c r="MJ54" s="566"/>
      <c r="MK54" s="566"/>
      <c r="ML54" s="566"/>
      <c r="MM54" s="566"/>
      <c r="MN54" s="566"/>
      <c r="MO54" s="566"/>
      <c r="MP54" s="566"/>
      <c r="MQ54" s="566"/>
      <c r="MR54" s="566"/>
      <c r="MS54" s="566"/>
      <c r="MT54" s="566"/>
      <c r="MU54" s="566"/>
      <c r="MV54" s="566"/>
      <c r="MW54" s="566"/>
      <c r="MX54" s="566"/>
      <c r="MY54" s="566"/>
      <c r="MZ54" s="566"/>
      <c r="NA54" s="566"/>
      <c r="NB54" s="566"/>
      <c r="NC54" s="566"/>
      <c r="ND54" s="566"/>
      <c r="NE54" s="566"/>
      <c r="NF54" s="566"/>
      <c r="NG54" s="566"/>
      <c r="NH54" s="566"/>
      <c r="NI54" s="566"/>
      <c r="NJ54" s="566"/>
      <c r="NK54" s="566"/>
      <c r="NL54" s="566"/>
      <c r="NM54" s="566"/>
      <c r="NN54" s="566"/>
      <c r="NO54" s="566"/>
      <c r="NP54" s="566"/>
      <c r="NQ54" s="566"/>
      <c r="NR54" s="566"/>
      <c r="NS54" s="566"/>
      <c r="NT54" s="566"/>
      <c r="NU54" s="566"/>
      <c r="NV54" s="566"/>
      <c r="NW54" s="566"/>
      <c r="NX54" s="566"/>
      <c r="NY54" s="566"/>
      <c r="NZ54" s="566"/>
      <c r="OA54" s="566"/>
      <c r="OB54" s="566"/>
      <c r="OC54" s="566"/>
      <c r="OD54" s="566"/>
      <c r="OE54" s="566"/>
      <c r="OF54" s="566"/>
      <c r="OG54" s="566"/>
      <c r="OH54" s="566"/>
      <c r="OI54" s="566"/>
      <c r="OJ54" s="566"/>
      <c r="OK54" s="566"/>
      <c r="OL54" s="566"/>
      <c r="OM54" s="566"/>
      <c r="ON54" s="566"/>
      <c r="OO54" s="566"/>
      <c r="OP54" s="566"/>
      <c r="OQ54" s="566"/>
      <c r="OR54" s="566"/>
      <c r="OS54" s="566"/>
      <c r="OT54" s="566"/>
      <c r="OU54" s="566"/>
      <c r="OV54" s="566"/>
      <c r="OW54" s="566"/>
      <c r="OX54" s="566"/>
      <c r="OY54" s="566"/>
      <c r="OZ54" s="566"/>
      <c r="PA54" s="566"/>
      <c r="PB54" s="566"/>
      <c r="PC54" s="566"/>
      <c r="PD54" s="566"/>
      <c r="PE54" s="566"/>
      <c r="PF54" s="566"/>
      <c r="PG54" s="566"/>
      <c r="PH54" s="566"/>
      <c r="PI54" s="566"/>
      <c r="PJ54" s="566"/>
      <c r="PK54" s="566"/>
      <c r="PL54" s="566"/>
      <c r="PM54" s="566"/>
      <c r="PN54" s="566"/>
      <c r="PO54" s="566"/>
      <c r="PP54" s="566"/>
      <c r="PQ54" s="566"/>
      <c r="PR54" s="566"/>
      <c r="PS54" s="566"/>
      <c r="PT54" s="566"/>
      <c r="PU54" s="566"/>
      <c r="PV54" s="566"/>
      <c r="PW54" s="566"/>
      <c r="PX54" s="566"/>
      <c r="PY54" s="566"/>
      <c r="PZ54" s="566"/>
      <c r="QA54" s="566"/>
      <c r="QB54" s="566"/>
      <c r="QC54" s="566"/>
      <c r="QD54" s="566"/>
      <c r="QE54" s="566"/>
      <c r="QF54" s="566"/>
      <c r="QG54" s="566"/>
      <c r="QH54" s="566"/>
      <c r="QI54" s="566"/>
      <c r="QJ54" s="566"/>
      <c r="QK54" s="566"/>
      <c r="QL54" s="566"/>
    </row>
    <row r="55" spans="1:454" s="566" customFormat="1" ht="45">
      <c r="H55" s="563" t="str">
        <f>'matrik MISI 4'!N9</f>
        <v>Tersusun dan terlaksananya kurikulum muatan lokal Budi Pekerti dan Budaya Jawa</v>
      </c>
      <c r="I55" s="563" t="str">
        <f>'matrik MISI 4'!O9</f>
        <v>%</v>
      </c>
      <c r="J55" s="563" t="str">
        <f>'matrik MISI 4'!P9</f>
        <v xml:space="preserve"> - </v>
      </c>
      <c r="K55" s="563" t="str">
        <f>'matrik MISI 4'!Q9</f>
        <v xml:space="preserve"> - </v>
      </c>
      <c r="L55" s="563" t="str">
        <f>'matrik MISI 4'!R9</f>
        <v xml:space="preserve"> - </v>
      </c>
      <c r="M55" s="604"/>
      <c r="N55" s="563">
        <f>'matrik MISI 4'!S9</f>
        <v>32.729999999999997</v>
      </c>
      <c r="O55" s="564"/>
      <c r="P55" s="563">
        <f>'matrik MISI 4'!T9</f>
        <v>61.78</v>
      </c>
      <c r="Q55" s="564"/>
      <c r="R55" s="563">
        <f>'matrik MISI 4'!U9</f>
        <v>86.33</v>
      </c>
      <c r="S55" s="564"/>
      <c r="T55" s="563">
        <f>'matrik MISI 4'!V9</f>
        <v>100</v>
      </c>
      <c r="U55" s="564"/>
      <c r="V55" s="563">
        <f>'matrik MISI 4'!W9</f>
        <v>100</v>
      </c>
      <c r="W55" s="564"/>
      <c r="X55" s="563" t="str">
        <f>'matrik MISI 4'!X9</f>
        <v>Dinas Pendidikan</v>
      </c>
      <c r="Y55" s="565"/>
      <c r="Z55" s="565" t="str">
        <f>'matrik MISI 4'!Z9</f>
        <v>Segera disusun kurikulum muatan lokal Budi Pekerti dan Budaya Jawa di semua jenjang</v>
      </c>
    </row>
    <row r="56" spans="1:454" ht="90">
      <c r="G56" s="563"/>
      <c r="H56" s="563" t="str">
        <f>'matrik MISI 4'!N10</f>
        <v>Persentase siswa yang memiliki Buku Teks atau Buku Penunjang atau Buku Pengayaan yang Memuat Budi Pekerti  atau Tata Krama atau  Nilai Budaya Daerah atau Keteladanan</v>
      </c>
      <c r="I56" s="563" t="str">
        <f>'matrik MISI 4'!O10</f>
        <v>%</v>
      </c>
      <c r="J56" s="563" t="str">
        <f>'matrik MISI 4'!P10</f>
        <v xml:space="preserve"> - </v>
      </c>
      <c r="K56" s="563" t="str">
        <f>'matrik MISI 4'!Q10</f>
        <v xml:space="preserve"> - </v>
      </c>
      <c r="L56" s="563" t="str">
        <f>'matrik MISI 4'!R10</f>
        <v xml:space="preserve"> - </v>
      </c>
      <c r="M56" s="604"/>
      <c r="N56" s="563">
        <f>'matrik MISI 4'!S10</f>
        <v>20</v>
      </c>
      <c r="O56" s="564"/>
      <c r="P56" s="563">
        <f>'matrik MISI 4'!T10</f>
        <v>30</v>
      </c>
      <c r="Q56" s="564"/>
      <c r="R56" s="563">
        <f>'matrik MISI 4'!U10</f>
        <v>40</v>
      </c>
      <c r="S56" s="564"/>
      <c r="T56" s="563">
        <f>'matrik MISI 4'!V10</f>
        <v>50</v>
      </c>
      <c r="U56" s="564"/>
      <c r="V56" s="563">
        <f>'matrik MISI 4'!W10</f>
        <v>50</v>
      </c>
      <c r="W56" s="564"/>
      <c r="X56" s="563" t="str">
        <f>'matrik MISI 4'!X10</f>
        <v>Dinas Pendidikan</v>
      </c>
      <c r="Y56" s="565" t="str">
        <f>'matrik MISI 4'!Y10</f>
        <v>Jumlah siswa yang memiliki Buku Teks atau Buku Penunjang atau Buku Pengayaan yang Memuat Budi Pekerti  atau Tata Krama atau  Nilai Budaya Daerah atau Keteladanan dibagi jumlah seluruh siswa kali 100%</v>
      </c>
      <c r="Z56" s="565">
        <f>'matrik MISI 4'!Z10</f>
        <v>0</v>
      </c>
    </row>
    <row r="57" spans="1:454" ht="30">
      <c r="G57" s="563"/>
      <c r="H57" s="563" t="str">
        <f>'matrik MISI 4'!N14</f>
        <v>Persentase APK Pendidikan Anak Usia Dini (Usia 4-6 Tahun)</v>
      </c>
      <c r="I57" s="563" t="str">
        <f>'matrik MISI 4'!O14</f>
        <v>%</v>
      </c>
      <c r="J57" s="563">
        <f>'matrik MISI 4'!P14</f>
        <v>62.54</v>
      </c>
      <c r="K57" s="563">
        <f>'matrik MISI 4'!Q14</f>
        <v>66.13</v>
      </c>
      <c r="L57" s="563">
        <f>'matrik MISI 4'!R14</f>
        <v>67.13</v>
      </c>
      <c r="M57" s="604"/>
      <c r="N57" s="563">
        <f>'matrik MISI 4'!S14</f>
        <v>67.63</v>
      </c>
      <c r="O57" s="564"/>
      <c r="P57" s="563">
        <f>'matrik MISI 4'!T14</f>
        <v>68.13</v>
      </c>
      <c r="Q57" s="564"/>
      <c r="R57" s="563">
        <f>'matrik MISI 4'!U14</f>
        <v>68.63</v>
      </c>
      <c r="S57" s="564"/>
      <c r="T57" s="563">
        <f>'matrik MISI 4'!V14</f>
        <v>69.13</v>
      </c>
      <c r="U57" s="564"/>
      <c r="V57" s="563">
        <f>'matrik MISI 4'!W14</f>
        <v>69.13</v>
      </c>
      <c r="W57" s="564"/>
      <c r="X57" s="563" t="str">
        <f>'matrik MISI 4'!X14</f>
        <v>Dinas Pendidkan</v>
      </c>
      <c r="Y57" s="565" t="str">
        <f>'matrik MISI 4'!Y14</f>
        <v>Jumlah peserta didik TK-sederajat (PAUD Formal) dibagi jumlah penduduk usia 4-6 tahun kali 100%</v>
      </c>
      <c r="Z57" s="565">
        <f>'matrik MISI 4'!Z14</f>
        <v>0</v>
      </c>
    </row>
    <row r="58" spans="1:454" ht="30">
      <c r="G58" s="563"/>
      <c r="H58" s="563" t="str">
        <f>'matrik MISI 4'!N15</f>
        <v>Persentase APK Pendidikan Anak Usia Dini (Usia 0-6 Tahun)</v>
      </c>
      <c r="I58" s="563" t="str">
        <f>'matrik MISI 4'!O15</f>
        <v>%</v>
      </c>
      <c r="J58" s="563">
        <f>'matrik MISI 4'!P15</f>
        <v>32.32</v>
      </c>
      <c r="K58" s="563">
        <f>'matrik MISI 4'!Q15</f>
        <v>32.36</v>
      </c>
      <c r="L58" s="563">
        <f>'matrik MISI 4'!R15</f>
        <v>32.4</v>
      </c>
      <c r="M58" s="604"/>
      <c r="N58" s="563">
        <f>'matrik MISI 4'!S15</f>
        <v>32.44</v>
      </c>
      <c r="O58" s="564"/>
      <c r="P58" s="563">
        <f>'matrik MISI 4'!T15</f>
        <v>32.479999999999997</v>
      </c>
      <c r="Q58" s="564"/>
      <c r="R58" s="563">
        <f>'matrik MISI 4'!U15</f>
        <v>32.520000000000003</v>
      </c>
      <c r="S58" s="564"/>
      <c r="T58" s="563">
        <f>'matrik MISI 4'!V15</f>
        <v>32.56</v>
      </c>
      <c r="U58" s="564"/>
      <c r="V58" s="563">
        <f>'matrik MISI 4'!W15</f>
        <v>32.56</v>
      </c>
      <c r="W58" s="564"/>
      <c r="X58" s="563" t="str">
        <f>'matrik MISI 4'!X15</f>
        <v>Dinas Pendidkan</v>
      </c>
      <c r="Y58" s="565" t="str">
        <f>'matrik MISI 4'!Y15</f>
        <v>Jumlah peserta didik TK-sederajat (PAUD Formal dan Nonformal) dibagi jumlah penduduk usia 0-6 tahun kali 100%</v>
      </c>
      <c r="Z58" s="565">
        <f>'matrik MISI 4'!Z15</f>
        <v>0</v>
      </c>
    </row>
    <row r="59" spans="1:454" ht="45">
      <c r="G59" s="563"/>
      <c r="H59" s="563" t="str">
        <f>'matrik MISI 4'!N16</f>
        <v>Persentase Angka Partisipasi Anak Perempuan (Usia 4-6 Tahun)</v>
      </c>
      <c r="I59" s="563" t="str">
        <f>'matrik MISI 4'!O16</f>
        <v>%</v>
      </c>
      <c r="J59" s="563">
        <f>'matrik MISI 4'!P16</f>
        <v>48.611937338885589</v>
      </c>
      <c r="K59" s="563">
        <f>'matrik MISI 4'!Q16</f>
        <v>48.61</v>
      </c>
      <c r="L59" s="563">
        <f>'matrik MISI 4'!R16</f>
        <v>48.64</v>
      </c>
      <c r="M59" s="604"/>
      <c r="N59" s="563">
        <f>'matrik MISI 4'!S16</f>
        <v>48.67</v>
      </c>
      <c r="O59" s="564"/>
      <c r="P59" s="563">
        <f>'matrik MISI 4'!T16</f>
        <v>48.7</v>
      </c>
      <c r="Q59" s="564"/>
      <c r="R59" s="563">
        <f>'matrik MISI 4'!U16</f>
        <v>48.73</v>
      </c>
      <c r="S59" s="564"/>
      <c r="T59" s="563">
        <f>'matrik MISI 4'!V16</f>
        <v>48.76</v>
      </c>
      <c r="U59" s="564"/>
      <c r="V59" s="563">
        <f>'matrik MISI 4'!W16</f>
        <v>48.76</v>
      </c>
      <c r="W59" s="564"/>
      <c r="X59" s="563" t="str">
        <f>'matrik MISI 4'!X16</f>
        <v>Dinas Pendidkan</v>
      </c>
      <c r="Y59" s="565" t="str">
        <f>'matrik MISI 4'!Y16</f>
        <v>Jumlah peserta didik perempuan TK-sederajat (PAUD Formal) dibagi jumlah peserta didik laki-laki dan perempuan TK-sederajat (PAUD Formal) kali 100%</v>
      </c>
      <c r="Z59" s="565">
        <f>'matrik MISI 4'!Z16</f>
        <v>0</v>
      </c>
    </row>
    <row r="60" spans="1:454" ht="45">
      <c r="G60" s="563"/>
      <c r="H60" s="563" t="str">
        <f>'matrik MISI 4'!N17</f>
        <v>Persentase Angka Partisipasi Anak Perempuan (Usia 0-6 Tahun)</v>
      </c>
      <c r="I60" s="563" t="str">
        <f>'matrik MISI 4'!O17</f>
        <v>%</v>
      </c>
      <c r="J60" s="563">
        <f>'matrik MISI 4'!P17</f>
        <v>49.071503263260375</v>
      </c>
      <c r="K60" s="563">
        <f>'matrik MISI 4'!Q17</f>
        <v>49.07</v>
      </c>
      <c r="L60" s="563">
        <f>'matrik MISI 4'!R17</f>
        <v>49.09</v>
      </c>
      <c r="M60" s="604"/>
      <c r="N60" s="563">
        <f>'matrik MISI 4'!S17</f>
        <v>49.110999999999997</v>
      </c>
      <c r="O60" s="564"/>
      <c r="P60" s="563">
        <f>'matrik MISI 4'!T17</f>
        <v>49.13</v>
      </c>
      <c r="Q60" s="564"/>
      <c r="R60" s="563">
        <f>'matrik MISI 4'!U17</f>
        <v>49.15</v>
      </c>
      <c r="S60" s="564"/>
      <c r="T60" s="563">
        <f>'matrik MISI 4'!V17</f>
        <v>49.17</v>
      </c>
      <c r="U60" s="564"/>
      <c r="V60" s="563">
        <f>'matrik MISI 4'!W17</f>
        <v>49.17</v>
      </c>
      <c r="W60" s="564"/>
      <c r="X60" s="563" t="str">
        <f>'matrik MISI 4'!X17</f>
        <v>Dinas Pendidkan</v>
      </c>
      <c r="Y60" s="565" t="str">
        <f>'matrik MISI 4'!Y17</f>
        <v>Jumlah peserta didik perempuan TK-sederajat (PAUD Formal dan Nonformal) dibagi jumlah peserta didik laki-laki dan perempuan TK-sederajat (PAUD Formal dan Nonformal) kali 100%</v>
      </c>
      <c r="Z60" s="565">
        <f>'matrik MISI 4'!Z17</f>
        <v>0</v>
      </c>
    </row>
    <row r="61" spans="1:454" ht="30">
      <c r="G61" s="563"/>
      <c r="H61" s="563" t="str">
        <f>'matrik MISI 4'!N18</f>
        <v>Rasio siswa per kelas TK</v>
      </c>
      <c r="I61" s="563" t="str">
        <f>'matrik MISI 4'!O18</f>
        <v>Rasio</v>
      </c>
      <c r="J61" s="563">
        <f>'matrik MISI 4'!P18</f>
        <v>21</v>
      </c>
      <c r="K61" s="563">
        <f>'matrik MISI 4'!Q18</f>
        <v>21</v>
      </c>
      <c r="L61" s="563">
        <f>'matrik MISI 4'!R18</f>
        <v>21</v>
      </c>
      <c r="M61" s="604"/>
      <c r="N61" s="563">
        <f>'matrik MISI 4'!S18</f>
        <v>21</v>
      </c>
      <c r="O61" s="564"/>
      <c r="P61" s="563">
        <f>'matrik MISI 4'!T18</f>
        <v>21</v>
      </c>
      <c r="Q61" s="564"/>
      <c r="R61" s="563">
        <f>'matrik MISI 4'!U18</f>
        <v>21</v>
      </c>
      <c r="S61" s="564"/>
      <c r="T61" s="563">
        <f>'matrik MISI 4'!V18</f>
        <v>21</v>
      </c>
      <c r="U61" s="564"/>
      <c r="V61" s="563">
        <f>'matrik MISI 4'!W18</f>
        <v>21</v>
      </c>
      <c r="W61" s="564"/>
      <c r="X61" s="563" t="str">
        <f>'matrik MISI 4'!X18</f>
        <v>Dinas Pendidkan</v>
      </c>
      <c r="Y61" s="565" t="str">
        <f>'matrik MISI 4'!Y18</f>
        <v>Jumlah peserta didik TK-sederajat (PAUD Formal) dibagi jumlah kelas TK-sederajat (PAUD Formal)</v>
      </c>
      <c r="Z61" s="565" t="str">
        <f>'matrik MISI 4'!Z18</f>
        <v>Rasio maksimal adalah 25 anak/kelas</v>
      </c>
    </row>
    <row r="62" spans="1:454" ht="45">
      <c r="G62" s="563"/>
      <c r="H62" s="563" t="str">
        <f>'matrik MISI 4'!N110</f>
        <v>Persentase ruang belajar beserta perlengkapannya TK/RA yang kondisinya baik</v>
      </c>
      <c r="I62" s="563" t="str">
        <f>'matrik MISI 4'!O110</f>
        <v>%</v>
      </c>
      <c r="J62" s="563">
        <f>'matrik MISI 4'!P110</f>
        <v>86.45</v>
      </c>
      <c r="K62" s="563">
        <f>'matrik MISI 4'!Q110</f>
        <v>86.84</v>
      </c>
      <c r="L62" s="563">
        <f>'matrik MISI 4'!R110</f>
        <v>87.23</v>
      </c>
      <c r="M62" s="604"/>
      <c r="N62" s="563">
        <f>'matrik MISI 4'!S110</f>
        <v>87.62</v>
      </c>
      <c r="O62" s="564"/>
      <c r="P62" s="563">
        <f>'matrik MISI 4'!T110</f>
        <v>88.01</v>
      </c>
      <c r="Q62" s="564"/>
      <c r="R62" s="563">
        <f>'matrik MISI 4'!U110</f>
        <v>88.4</v>
      </c>
      <c r="S62" s="564"/>
      <c r="T62" s="563">
        <f>'matrik MISI 4'!V110</f>
        <v>88.79</v>
      </c>
      <c r="U62" s="564"/>
      <c r="V62" s="563">
        <f>'matrik MISI 4'!W110</f>
        <v>88.79</v>
      </c>
      <c r="W62" s="564"/>
      <c r="X62" s="563" t="str">
        <f>'matrik MISI 4'!X110</f>
        <v>Dinas Pendidikan</v>
      </c>
      <c r="Y62" s="565" t="str">
        <f>'matrik MISI 4'!Y110</f>
        <v>Jumlah ruang belajar TK/RA yang kondisinya baik dibagi jumlah ruang belajar TK/RA kali 100%</v>
      </c>
      <c r="Z62" s="565">
        <f>'matrik MISI 4'!Z110</f>
        <v>0</v>
      </c>
    </row>
    <row r="63" spans="1:454" ht="30">
      <c r="G63" s="563"/>
      <c r="H63" s="563" t="str">
        <f>'matrik MISI 4'!N111</f>
        <v>Persentase TK/RA yang memiliki buku teks pembelajaran</v>
      </c>
      <c r="I63" s="563" t="str">
        <f>'matrik MISI 4'!O111</f>
        <v>%</v>
      </c>
      <c r="J63" s="563">
        <f>'matrik MISI 4'!P111</f>
        <v>85</v>
      </c>
      <c r="K63" s="563">
        <f>'matrik MISI 4'!Q111</f>
        <v>85.41</v>
      </c>
      <c r="L63" s="563">
        <f>'matrik MISI 4'!R111</f>
        <v>85.82</v>
      </c>
      <c r="M63" s="604"/>
      <c r="N63" s="563">
        <f>'matrik MISI 4'!S111</f>
        <v>86.24</v>
      </c>
      <c r="O63" s="564"/>
      <c r="P63" s="563">
        <f>'matrik MISI 4'!T111</f>
        <v>86.65</v>
      </c>
      <c r="Q63" s="564"/>
      <c r="R63" s="563">
        <f>'matrik MISI 4'!U111</f>
        <v>87.06</v>
      </c>
      <c r="S63" s="564"/>
      <c r="T63" s="563">
        <f>'matrik MISI 4'!V111</f>
        <v>87.47</v>
      </c>
      <c r="U63" s="564"/>
      <c r="V63" s="563">
        <f>'matrik MISI 4'!W111</f>
        <v>87.47</v>
      </c>
      <c r="W63" s="564"/>
      <c r="X63" s="563" t="str">
        <f>'matrik MISI 4'!X111</f>
        <v>Dinas Pendidikan</v>
      </c>
      <c r="Y63" s="565" t="str">
        <f>'matrik MISI 4'!Y111</f>
        <v>Jumlah TK/RA yang memiliki buku teks pembelajaran dibagi jumlah TK/RA kali 100%</v>
      </c>
      <c r="Z63" s="565">
        <f>'matrik MISI 4'!Z111</f>
        <v>0</v>
      </c>
    </row>
    <row r="64" spans="1:454" ht="45">
      <c r="G64" s="563"/>
      <c r="H64" s="563" t="str">
        <f>'matrik MISI 4'!N112</f>
        <v>Persentase TK/RA yang memiliki ruang kesehatan dan perlengkapannya</v>
      </c>
      <c r="I64" s="563" t="str">
        <f>'matrik MISI 4'!O112</f>
        <v>%</v>
      </c>
      <c r="J64" s="563">
        <f>'matrik MISI 4'!P112</f>
        <v>23.66</v>
      </c>
      <c r="K64" s="563">
        <f>'matrik MISI 4'!Q112</f>
        <v>24.08</v>
      </c>
      <c r="L64" s="563">
        <f>'matrik MISI 4'!R112</f>
        <v>25.11</v>
      </c>
      <c r="M64" s="604"/>
      <c r="N64" s="563">
        <f>'matrik MISI 4'!S112</f>
        <v>26.14</v>
      </c>
      <c r="O64" s="564"/>
      <c r="P64" s="563">
        <f>'matrik MISI 4'!T112</f>
        <v>27.17</v>
      </c>
      <c r="Q64" s="564"/>
      <c r="R64" s="563">
        <f>'matrik MISI 4'!U112</f>
        <v>28.19</v>
      </c>
      <c r="S64" s="564"/>
      <c r="T64" s="563">
        <f>'matrik MISI 4'!V112</f>
        <v>29.22</v>
      </c>
      <c r="U64" s="564"/>
      <c r="V64" s="563">
        <f>'matrik MISI 4'!W112</f>
        <v>29.22</v>
      </c>
      <c r="W64" s="564"/>
      <c r="X64" s="563" t="str">
        <f>'matrik MISI 4'!X112</f>
        <v>Dinas Pendidikan</v>
      </c>
      <c r="Y64" s="565" t="str">
        <f>'matrik MISI 4'!Y112</f>
        <v>Jumlah TK/RA yang memiliki ruang kesehatan beserta perlengkapannya dibagi jumlah TK/RA kali 100%</v>
      </c>
      <c r="Z64" s="565">
        <f>'matrik MISI 4'!Z112</f>
        <v>0</v>
      </c>
    </row>
    <row r="65" spans="1:454" ht="45">
      <c r="G65" s="563"/>
      <c r="H65" s="563" t="str">
        <f>'matrik MISI 4'!N113</f>
        <v>Persentase TK/RA yang memiliki alat permainan edukatif dalam ruang</v>
      </c>
      <c r="I65" s="563" t="str">
        <f>'matrik MISI 4'!O113</f>
        <v>%</v>
      </c>
      <c r="J65" s="563">
        <f>'matrik MISI 4'!P113</f>
        <v>85</v>
      </c>
      <c r="K65" s="563">
        <f>'matrik MISI 4'!Q113</f>
        <v>85.41</v>
      </c>
      <c r="L65" s="563">
        <f>'matrik MISI 4'!R113</f>
        <v>85.82</v>
      </c>
      <c r="M65" s="604"/>
      <c r="N65" s="563">
        <f>'matrik MISI 4'!S113</f>
        <v>86.24</v>
      </c>
      <c r="O65" s="564"/>
      <c r="P65" s="563">
        <f>'matrik MISI 4'!T113</f>
        <v>86.65</v>
      </c>
      <c r="Q65" s="564"/>
      <c r="R65" s="563">
        <f>'matrik MISI 4'!U113</f>
        <v>87.06</v>
      </c>
      <c r="S65" s="564"/>
      <c r="T65" s="563">
        <f>'matrik MISI 4'!V113</f>
        <v>88.747</v>
      </c>
      <c r="U65" s="564"/>
      <c r="V65" s="563">
        <f>'matrik MISI 4'!W113</f>
        <v>88.75</v>
      </c>
      <c r="W65" s="564"/>
      <c r="X65" s="563" t="str">
        <f>'matrik MISI 4'!X113</f>
        <v>Dinas Pendidikan</v>
      </c>
      <c r="Y65" s="565" t="str">
        <f>'matrik MISI 4'!Y113</f>
        <v>Jumlah TK/RA yang memiliki alat permainan dalam ruang dibagi jumlah TK/RA kali 100%</v>
      </c>
      <c r="Z65" s="565">
        <f>'matrik MISI 4'!Z113</f>
        <v>0</v>
      </c>
    </row>
    <row r="66" spans="1:454" ht="45">
      <c r="G66" s="563"/>
      <c r="H66" s="563" t="str">
        <f>'matrik MISI 4'!N114</f>
        <v>Persentase TK/RA yang memiliki alat permainan edukatif luar ruang</v>
      </c>
      <c r="I66" s="563" t="str">
        <f>'matrik MISI 4'!O114</f>
        <v>%</v>
      </c>
      <c r="J66" s="563">
        <f>'matrik MISI 4'!P114</f>
        <v>85</v>
      </c>
      <c r="K66" s="563">
        <f>'matrik MISI 4'!Q114</f>
        <v>85.41</v>
      </c>
      <c r="L66" s="563">
        <f>'matrik MISI 4'!R114</f>
        <v>85.82</v>
      </c>
      <c r="M66" s="604"/>
      <c r="N66" s="563">
        <f>'matrik MISI 4'!S114</f>
        <v>86.24</v>
      </c>
      <c r="O66" s="564"/>
      <c r="P66" s="563">
        <f>'matrik MISI 4'!T114</f>
        <v>86.65</v>
      </c>
      <c r="Q66" s="564"/>
      <c r="R66" s="563">
        <f>'matrik MISI 4'!U114</f>
        <v>87.06</v>
      </c>
      <c r="S66" s="564"/>
      <c r="T66" s="563">
        <f>'matrik MISI 4'!V114</f>
        <v>87.47</v>
      </c>
      <c r="U66" s="564"/>
      <c r="V66" s="563">
        <f>'matrik MISI 4'!W114</f>
        <v>87.47</v>
      </c>
      <c r="W66" s="564"/>
      <c r="X66" s="563" t="str">
        <f>'matrik MISI 4'!X114</f>
        <v>Dinas Pendidikan</v>
      </c>
      <c r="Y66" s="565" t="str">
        <f>'matrik MISI 4'!Y114</f>
        <v>Jumlah TK/RA yang memiliki alat permainan luar ruang dibagi jumlah TK/RA kali 100%</v>
      </c>
      <c r="Z66" s="565">
        <f>'matrik MISI 4'!Z114</f>
        <v>0</v>
      </c>
    </row>
    <row r="67" spans="1:454" s="574" customFormat="1" ht="45">
      <c r="A67" s="569"/>
      <c r="B67" s="575"/>
      <c r="C67" s="576"/>
      <c r="D67" s="577">
        <f>'matrik MISI 4'!J20</f>
        <v>1.01</v>
      </c>
      <c r="E67" s="577" t="str">
        <f>'matrik MISI 4'!K20</f>
        <v>xx</v>
      </c>
      <c r="F67" s="577">
        <f>'matrik MISI 4'!L20</f>
        <v>16</v>
      </c>
      <c r="G67" s="577" t="str">
        <f>'matrik MISI 4'!M20</f>
        <v>Program wajib belajar pendidikan dasar sembilan tahun</v>
      </c>
      <c r="H67" s="577"/>
      <c r="I67" s="577"/>
      <c r="J67" s="577"/>
      <c r="K67" s="577"/>
      <c r="L67" s="577"/>
      <c r="M67" s="578">
        <f>'jangan dihapus 2'!K24</f>
        <v>21776586298</v>
      </c>
      <c r="N67" s="578"/>
      <c r="O67" s="578">
        <f>'jangan dihapus 2'!M24</f>
        <v>18368230250</v>
      </c>
      <c r="P67" s="578"/>
      <c r="Q67" s="578">
        <f>'jangan dihapus 2'!O24</f>
        <v>19300031650</v>
      </c>
      <c r="R67" s="578"/>
      <c r="S67" s="578">
        <f>'jangan dihapus 2'!Q24</f>
        <v>21719531650</v>
      </c>
      <c r="T67" s="578"/>
      <c r="U67" s="578">
        <f>'jangan dihapus 2'!S24</f>
        <v>22871031650</v>
      </c>
      <c r="V67" s="577"/>
      <c r="W67" s="578">
        <f>SUM(M67:U67)</f>
        <v>104035411498</v>
      </c>
      <c r="X67" s="577"/>
      <c r="Y67" s="577"/>
      <c r="Z67" s="577"/>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c r="IT67" s="569"/>
      <c r="IU67" s="569"/>
      <c r="IV67" s="569"/>
      <c r="IW67" s="569"/>
      <c r="IX67" s="569"/>
      <c r="IY67" s="569"/>
      <c r="IZ67" s="569"/>
      <c r="JA67" s="569"/>
      <c r="JB67" s="569"/>
      <c r="JC67" s="569"/>
      <c r="JD67" s="569"/>
      <c r="JE67" s="569"/>
      <c r="JF67" s="569"/>
      <c r="JG67" s="569"/>
      <c r="JH67" s="569"/>
      <c r="JI67" s="569"/>
      <c r="JJ67" s="569"/>
      <c r="JK67" s="569"/>
      <c r="JL67" s="569"/>
      <c r="JM67" s="569"/>
      <c r="JN67" s="569"/>
      <c r="JO67" s="569"/>
      <c r="JP67" s="569"/>
      <c r="JQ67" s="569"/>
      <c r="JR67" s="569"/>
      <c r="JS67" s="569"/>
      <c r="JT67" s="569"/>
      <c r="JU67" s="569"/>
      <c r="JV67" s="569"/>
      <c r="JW67" s="569"/>
      <c r="JX67" s="569"/>
      <c r="JY67" s="569"/>
      <c r="JZ67" s="569"/>
      <c r="KA67" s="569"/>
      <c r="KB67" s="569"/>
      <c r="KC67" s="569"/>
      <c r="KD67" s="569"/>
      <c r="KE67" s="569"/>
      <c r="KF67" s="569"/>
      <c r="KG67" s="569"/>
      <c r="KH67" s="569"/>
      <c r="KI67" s="569"/>
      <c r="KJ67" s="569"/>
      <c r="KK67" s="569"/>
      <c r="KL67" s="569"/>
      <c r="KM67" s="569"/>
      <c r="KN67" s="569"/>
      <c r="KO67" s="569"/>
      <c r="KP67" s="569"/>
      <c r="KQ67" s="569"/>
      <c r="KR67" s="569"/>
      <c r="KS67" s="569"/>
      <c r="KT67" s="569"/>
      <c r="KU67" s="569"/>
      <c r="KV67" s="569"/>
      <c r="KW67" s="569"/>
      <c r="KX67" s="569"/>
      <c r="KY67" s="569"/>
      <c r="KZ67" s="569"/>
      <c r="LA67" s="569"/>
      <c r="LB67" s="569"/>
      <c r="LC67" s="569"/>
      <c r="LD67" s="569"/>
      <c r="LE67" s="569"/>
      <c r="LF67" s="569"/>
      <c r="LG67" s="569"/>
      <c r="LH67" s="569"/>
      <c r="LI67" s="569"/>
      <c r="LJ67" s="569"/>
      <c r="LK67" s="569"/>
      <c r="LL67" s="569"/>
      <c r="LM67" s="569"/>
      <c r="LN67" s="569"/>
      <c r="LO67" s="569"/>
      <c r="LP67" s="569"/>
      <c r="LQ67" s="569"/>
      <c r="LR67" s="569"/>
      <c r="LS67" s="569"/>
      <c r="LT67" s="569"/>
      <c r="LU67" s="569"/>
      <c r="LV67" s="569"/>
      <c r="LW67" s="569"/>
      <c r="LX67" s="569"/>
      <c r="LY67" s="569"/>
      <c r="LZ67" s="569"/>
      <c r="MA67" s="569"/>
      <c r="MB67" s="569"/>
      <c r="MC67" s="569"/>
      <c r="MD67" s="569"/>
      <c r="ME67" s="569"/>
      <c r="MF67" s="569"/>
      <c r="MG67" s="569"/>
      <c r="MH67" s="569"/>
      <c r="MI67" s="569"/>
      <c r="MJ67" s="569"/>
      <c r="MK67" s="569"/>
      <c r="ML67" s="569"/>
      <c r="MM67" s="569"/>
      <c r="MN67" s="569"/>
      <c r="MO67" s="569"/>
      <c r="MP67" s="569"/>
      <c r="MQ67" s="569"/>
      <c r="MR67" s="569"/>
      <c r="MS67" s="569"/>
      <c r="MT67" s="569"/>
      <c r="MU67" s="569"/>
      <c r="MV67" s="569"/>
      <c r="MW67" s="569"/>
      <c r="MX67" s="569"/>
      <c r="MY67" s="569"/>
      <c r="MZ67" s="569"/>
      <c r="NA67" s="569"/>
      <c r="NB67" s="569"/>
      <c r="NC67" s="569"/>
      <c r="ND67" s="569"/>
      <c r="NE67" s="569"/>
      <c r="NF67" s="569"/>
      <c r="NG67" s="569"/>
      <c r="NH67" s="569"/>
      <c r="NI67" s="569"/>
      <c r="NJ67" s="569"/>
      <c r="NK67" s="569"/>
      <c r="NL67" s="569"/>
      <c r="NM67" s="569"/>
      <c r="NN67" s="569"/>
      <c r="NO67" s="569"/>
      <c r="NP67" s="569"/>
      <c r="NQ67" s="569"/>
      <c r="NR67" s="569"/>
      <c r="NS67" s="569"/>
      <c r="NT67" s="569"/>
      <c r="NU67" s="569"/>
      <c r="NV67" s="569"/>
      <c r="NW67" s="569"/>
      <c r="NX67" s="569"/>
      <c r="NY67" s="569"/>
      <c r="NZ67" s="569"/>
      <c r="OA67" s="569"/>
      <c r="OB67" s="569"/>
      <c r="OC67" s="569"/>
      <c r="OD67" s="569"/>
      <c r="OE67" s="569"/>
      <c r="OF67" s="569"/>
      <c r="OG67" s="569"/>
      <c r="OH67" s="569"/>
      <c r="OI67" s="569"/>
      <c r="OJ67" s="569"/>
      <c r="OK67" s="569"/>
      <c r="OL67" s="569"/>
      <c r="OM67" s="569"/>
      <c r="ON67" s="569"/>
      <c r="OO67" s="569"/>
      <c r="OP67" s="569"/>
      <c r="OQ67" s="569"/>
      <c r="OR67" s="569"/>
      <c r="OS67" s="569"/>
      <c r="OT67" s="569"/>
      <c r="OU67" s="569"/>
      <c r="OV67" s="569"/>
      <c r="OW67" s="569"/>
      <c r="OX67" s="569"/>
      <c r="OY67" s="569"/>
      <c r="OZ67" s="569"/>
      <c r="PA67" s="569"/>
      <c r="PB67" s="569"/>
      <c r="PC67" s="569"/>
      <c r="PD67" s="569"/>
      <c r="PE67" s="569"/>
      <c r="PF67" s="569"/>
      <c r="PG67" s="569"/>
      <c r="PH67" s="569"/>
      <c r="PI67" s="569"/>
      <c r="PJ67" s="569"/>
      <c r="PK67" s="569"/>
      <c r="PL67" s="569"/>
      <c r="PM67" s="569"/>
      <c r="PN67" s="569"/>
      <c r="PO67" s="569"/>
      <c r="PP67" s="569"/>
      <c r="PQ67" s="569"/>
      <c r="PR67" s="569"/>
      <c r="PS67" s="569"/>
      <c r="PT67" s="569"/>
      <c r="PU67" s="569"/>
      <c r="PV67" s="569"/>
      <c r="PW67" s="569"/>
      <c r="PX67" s="569"/>
      <c r="PY67" s="569"/>
      <c r="PZ67" s="569"/>
      <c r="QA67" s="569"/>
      <c r="QB67" s="569"/>
      <c r="QC67" s="569"/>
      <c r="QD67" s="569"/>
      <c r="QE67" s="569"/>
      <c r="QF67" s="569"/>
      <c r="QG67" s="569"/>
      <c r="QH67" s="569"/>
      <c r="QI67" s="569"/>
      <c r="QJ67" s="569"/>
      <c r="QK67" s="569"/>
      <c r="QL67" s="569"/>
    </row>
    <row r="68" spans="1:454" ht="30">
      <c r="D68" s="568"/>
      <c r="E68" s="568"/>
      <c r="F68" s="568"/>
      <c r="G68" s="568"/>
      <c r="H68" s="563" t="str">
        <f>'matrik MISI 4'!N20</f>
        <v>Persentase APK SD Sederajat</v>
      </c>
      <c r="I68" s="563" t="str">
        <f>'matrik MISI 4'!O20</f>
        <v>%</v>
      </c>
      <c r="J68" s="563">
        <f>'matrik MISI 4'!P20</f>
        <v>103.5</v>
      </c>
      <c r="K68" s="563">
        <f>'matrik MISI 4'!Q20</f>
        <v>103.55</v>
      </c>
      <c r="L68" s="563">
        <f>'matrik MISI 4'!R20</f>
        <v>103.58</v>
      </c>
      <c r="M68" s="604"/>
      <c r="N68" s="563">
        <f>'matrik MISI 4'!S20</f>
        <v>103.61</v>
      </c>
      <c r="O68" s="564"/>
      <c r="P68" s="563">
        <f>'matrik MISI 4'!T20</f>
        <v>103.64</v>
      </c>
      <c r="Q68" s="564"/>
      <c r="R68" s="563">
        <f>'matrik MISI 4'!U20</f>
        <v>103.67</v>
      </c>
      <c r="S68" s="564"/>
      <c r="T68" s="563">
        <f>'matrik MISI 4'!V20</f>
        <v>103.7</v>
      </c>
      <c r="U68" s="564"/>
      <c r="V68" s="563">
        <f>'matrik MISI 4'!W20</f>
        <v>103.7</v>
      </c>
      <c r="W68" s="564"/>
      <c r="X68" s="563" t="str">
        <f>'matrik MISI 4'!X20</f>
        <v>Dinas Pendidikan</v>
      </c>
      <c r="Y68" s="565" t="str">
        <f>'matrik MISI 4'!Y20</f>
        <v>Jumlah siswa SD-sederajat dibagi jumlah penduduk usia 7-12 tahun kali 100%</v>
      </c>
      <c r="Z68" s="565">
        <f>'matrik MISI 4'!Z20</f>
        <v>0</v>
      </c>
    </row>
    <row r="69" spans="1:454" ht="30">
      <c r="G69" s="563"/>
      <c r="H69" s="563" t="str">
        <f>'matrik MISI 4'!N21</f>
        <v>Persentase APM SD Sederajat</v>
      </c>
      <c r="I69" s="563" t="str">
        <f>'matrik MISI 4'!O21</f>
        <v>%</v>
      </c>
      <c r="J69" s="563">
        <f>'matrik MISI 4'!P21</f>
        <v>95.4</v>
      </c>
      <c r="K69" s="563">
        <f>'matrik MISI 4'!Q21</f>
        <v>95.42</v>
      </c>
      <c r="L69" s="563">
        <f>'matrik MISI 4'!R21</f>
        <v>95.45</v>
      </c>
      <c r="M69" s="604"/>
      <c r="N69" s="563">
        <f>'matrik MISI 4'!S21</f>
        <v>95.48</v>
      </c>
      <c r="O69" s="564"/>
      <c r="P69" s="563">
        <f>'matrik MISI 4'!T21</f>
        <v>95.51</v>
      </c>
      <c r="Q69" s="564"/>
      <c r="R69" s="563">
        <f>'matrik MISI 4'!U21</f>
        <v>95.54</v>
      </c>
      <c r="S69" s="564"/>
      <c r="T69" s="563">
        <f>'matrik MISI 4'!V21</f>
        <v>95.57</v>
      </c>
      <c r="U69" s="564"/>
      <c r="V69" s="563">
        <f>'matrik MISI 4'!W21</f>
        <v>95.57</v>
      </c>
      <c r="W69" s="564"/>
      <c r="X69" s="563" t="str">
        <f>'matrik MISI 4'!X21</f>
        <v>Dinas Pendidikan</v>
      </c>
      <c r="Y69" s="565" t="str">
        <f>'matrik MISI 4'!Y21</f>
        <v>Jumlah siswa SD-sederajat usia 7-12 tahun dibagi jumlah penduduk usia 7-12 tahun kali 100%</v>
      </c>
      <c r="Z69" s="565">
        <f>'matrik MISI 4'!Z21</f>
        <v>0</v>
      </c>
    </row>
    <row r="70" spans="1:454" ht="30">
      <c r="G70" s="563"/>
      <c r="H70" s="563" t="str">
        <f>'matrik MISI 4'!N22</f>
        <v>Persentase APK SMP Sederajat</v>
      </c>
      <c r="I70" s="563" t="str">
        <f>'matrik MISI 4'!O22</f>
        <v>%</v>
      </c>
      <c r="J70" s="563">
        <f>'matrik MISI 4'!P22</f>
        <v>96</v>
      </c>
      <c r="K70" s="563">
        <f>'matrik MISI 4'!Q22</f>
        <v>96.03</v>
      </c>
      <c r="L70" s="563">
        <f>'matrik MISI 4'!R22</f>
        <v>96.06</v>
      </c>
      <c r="M70" s="604"/>
      <c r="N70" s="563">
        <f>'matrik MISI 4'!S22</f>
        <v>96.09</v>
      </c>
      <c r="O70" s="564"/>
      <c r="P70" s="563">
        <f>'matrik MISI 4'!T22</f>
        <v>96.12</v>
      </c>
      <c r="Q70" s="564"/>
      <c r="R70" s="563">
        <f>'matrik MISI 4'!U22</f>
        <v>96.15</v>
      </c>
      <c r="S70" s="564"/>
      <c r="T70" s="563">
        <f>'matrik MISI 4'!V22</f>
        <v>96.15</v>
      </c>
      <c r="U70" s="564"/>
      <c r="V70" s="563">
        <f>'matrik MISI 4'!W22</f>
        <v>96.15</v>
      </c>
      <c r="W70" s="564"/>
      <c r="X70" s="563" t="str">
        <f>'matrik MISI 4'!X22</f>
        <v>Dinas Pendidikan</v>
      </c>
      <c r="Y70" s="565" t="str">
        <f>'matrik MISI 4'!Y22</f>
        <v>Jumlah siswa SMP-sederajat dibagi jumlah penduduk usia 13-15 tahun kali 100%</v>
      </c>
      <c r="Z70" s="565">
        <f>'matrik MISI 4'!Z22</f>
        <v>0</v>
      </c>
    </row>
    <row r="71" spans="1:454" ht="30">
      <c r="G71" s="563"/>
      <c r="H71" s="563" t="str">
        <f>'matrik MISI 4'!N23</f>
        <v>Persentase APM SMP Sederajat</v>
      </c>
      <c r="I71" s="563" t="str">
        <f>'matrik MISI 4'!O23</f>
        <v>%</v>
      </c>
      <c r="J71" s="563">
        <f>'matrik MISI 4'!P23</f>
        <v>83.63</v>
      </c>
      <c r="K71" s="563">
        <f>'matrik MISI 4'!Q23</f>
        <v>83.66</v>
      </c>
      <c r="L71" s="563">
        <f>'matrik MISI 4'!R23</f>
        <v>83.69</v>
      </c>
      <c r="M71" s="604"/>
      <c r="N71" s="563">
        <f>'matrik MISI 4'!S23</f>
        <v>83.72</v>
      </c>
      <c r="O71" s="564"/>
      <c r="P71" s="563">
        <f>'matrik MISI 4'!T23</f>
        <v>83.75</v>
      </c>
      <c r="Q71" s="564"/>
      <c r="R71" s="563">
        <f>'matrik MISI 4'!U23</f>
        <v>83.78</v>
      </c>
      <c r="S71" s="564"/>
      <c r="T71" s="563">
        <f>'matrik MISI 4'!V23</f>
        <v>83.81</v>
      </c>
      <c r="U71" s="564"/>
      <c r="V71" s="563">
        <f>'matrik MISI 4'!W23</f>
        <v>83.81</v>
      </c>
      <c r="W71" s="564"/>
      <c r="X71" s="563" t="str">
        <f>'matrik MISI 4'!X23</f>
        <v>Dinas Pendidikan</v>
      </c>
      <c r="Y71" s="565" t="str">
        <f>'matrik MISI 4'!Y23</f>
        <v>Jumlah siswa SMP-sederajat usia 13-15 tahun dibagi jumlah penduduk usia 13-15 tahun kali 100%</v>
      </c>
      <c r="Z71" s="565">
        <f>'matrik MISI 4'!Z23</f>
        <v>0</v>
      </c>
    </row>
    <row r="72" spans="1:454" ht="30">
      <c r="G72" s="563"/>
      <c r="H72" s="563" t="str">
        <f>'matrik MISI 4'!N24</f>
        <v>Persentase Angka  Melanjutkan ke SMP Sederajat</v>
      </c>
      <c r="I72" s="563" t="str">
        <f>'matrik MISI 4'!O24</f>
        <v>%</v>
      </c>
      <c r="J72" s="563">
        <f>'matrik MISI 4'!P24</f>
        <v>95.34094966083542</v>
      </c>
      <c r="K72" s="563">
        <f>'matrik MISI 4'!Q24</f>
        <v>95.37</v>
      </c>
      <c r="L72" s="563">
        <f>'matrik MISI 4'!R24</f>
        <v>100</v>
      </c>
      <c r="M72" s="604"/>
      <c r="N72" s="563">
        <f>'matrik MISI 4'!S24</f>
        <v>100</v>
      </c>
      <c r="O72" s="564"/>
      <c r="P72" s="563">
        <f>'matrik MISI 4'!T24</f>
        <v>100</v>
      </c>
      <c r="Q72" s="564"/>
      <c r="R72" s="563">
        <f>'matrik MISI 4'!U24</f>
        <v>100</v>
      </c>
      <c r="S72" s="564"/>
      <c r="T72" s="563">
        <f>'matrik MISI 4'!V24</f>
        <v>100</v>
      </c>
      <c r="U72" s="564"/>
      <c r="V72" s="563">
        <f>'matrik MISI 4'!W24</f>
        <v>100</v>
      </c>
      <c r="W72" s="564"/>
      <c r="X72" s="563" t="str">
        <f>'matrik MISI 4'!X24</f>
        <v>Dinas Pendidikan</v>
      </c>
      <c r="Y72" s="565" t="str">
        <f>'matrik MISI 4'!Y24</f>
        <v>Jumlah lulusan SD/MI tahun T-1 dibagi jumlah siswa baru tingkat I SMP/MTs tahun T kali 100%</v>
      </c>
      <c r="Z72" s="565">
        <f>'matrik MISI 4'!Z24</f>
        <v>0</v>
      </c>
    </row>
    <row r="73" spans="1:454" ht="45">
      <c r="G73" s="563"/>
      <c r="H73" s="563" t="str">
        <f>'matrik MISI 4'!N25</f>
        <v>Persentase Partisipasi Anak Perempuan dalam Pendidikan Dasar</v>
      </c>
      <c r="I73" s="563" t="str">
        <f>'matrik MISI 4'!O25</f>
        <v>%</v>
      </c>
      <c r="J73" s="563">
        <f>'matrik MISI 4'!P25</f>
        <v>48.594462811443769</v>
      </c>
      <c r="K73" s="563">
        <f>'matrik MISI 4'!Q25</f>
        <v>48.59</v>
      </c>
      <c r="L73" s="563">
        <f>'matrik MISI 4'!R25</f>
        <v>48.61</v>
      </c>
      <c r="M73" s="604"/>
      <c r="N73" s="563">
        <f>'matrik MISI 4'!S25</f>
        <v>48.63</v>
      </c>
      <c r="O73" s="564"/>
      <c r="P73" s="563">
        <f>'matrik MISI 4'!T25</f>
        <v>48.65</v>
      </c>
      <c r="Q73" s="564"/>
      <c r="R73" s="563">
        <f>'matrik MISI 4'!U25</f>
        <v>48.67</v>
      </c>
      <c r="S73" s="564"/>
      <c r="T73" s="563">
        <f>'matrik MISI 4'!V25</f>
        <v>48.69</v>
      </c>
      <c r="U73" s="564"/>
      <c r="V73" s="563">
        <f>'matrik MISI 4'!W25</f>
        <v>48.69</v>
      </c>
      <c r="W73" s="564"/>
      <c r="X73" s="563" t="str">
        <f>'matrik MISI 4'!X25</f>
        <v>Dinas Pendidikan</v>
      </c>
      <c r="Y73" s="565" t="str">
        <f>'matrik MISI 4'!Y25</f>
        <v>Jumlah siswa perempuan SD/MI/SMP/MTs dibagi jumlah siswa perempuan dan laki-laki SD/MI/SMP/MTs kali 100%</v>
      </c>
      <c r="Z73" s="565">
        <f>'matrik MISI 4'!Z25</f>
        <v>0</v>
      </c>
    </row>
    <row r="74" spans="1:454">
      <c r="G74" s="563"/>
      <c r="H74" s="563" t="str">
        <f>'matrik MISI 4'!N26</f>
        <v>Rasio Siswa per Kelas SD/MI</v>
      </c>
      <c r="I74" s="563" t="str">
        <f>'matrik MISI 4'!O26</f>
        <v>Angka</v>
      </c>
      <c r="J74" s="563">
        <f>'matrik MISI 4'!P26</f>
        <v>21.06</v>
      </c>
      <c r="K74" s="563">
        <f>'matrik MISI 4'!Q26</f>
        <v>21.06</v>
      </c>
      <c r="L74" s="563">
        <f>'matrik MISI 4'!R26</f>
        <v>21.8</v>
      </c>
      <c r="M74" s="604"/>
      <c r="N74" s="563">
        <f>'matrik MISI 4'!S26</f>
        <v>21.1</v>
      </c>
      <c r="O74" s="564"/>
      <c r="P74" s="563">
        <f>'matrik MISI 4'!T26</f>
        <v>21.12</v>
      </c>
      <c r="Q74" s="564"/>
      <c r="R74" s="563">
        <f>'matrik MISI 4'!U26</f>
        <v>21.14</v>
      </c>
      <c r="S74" s="564"/>
      <c r="T74" s="563">
        <f>'matrik MISI 4'!V26</f>
        <v>21.16</v>
      </c>
      <c r="U74" s="564"/>
      <c r="V74" s="563">
        <f>'matrik MISI 4'!W26</f>
        <v>21.16</v>
      </c>
      <c r="W74" s="564"/>
      <c r="X74" s="563" t="str">
        <f>'matrik MISI 4'!X26</f>
        <v>Dinas Pendidikan</v>
      </c>
      <c r="Y74" s="565" t="str">
        <f>'matrik MISI 4'!Y26</f>
        <v>Jumlah siswa SD/MI dibagi jumlah kelas SD/MI</v>
      </c>
      <c r="Z74" s="565">
        <f>'matrik MISI 4'!Z26</f>
        <v>0</v>
      </c>
    </row>
    <row r="75" spans="1:454">
      <c r="G75" s="563"/>
      <c r="H75" s="563" t="str">
        <f>'matrik MISI 4'!N27</f>
        <v>Rasio Siswa per Kelas SMP/MTs</v>
      </c>
      <c r="I75" s="563" t="str">
        <f>'matrik MISI 4'!O27</f>
        <v>Angka</v>
      </c>
      <c r="J75" s="563">
        <f>'matrik MISI 4'!P27</f>
        <v>31.9</v>
      </c>
      <c r="K75" s="563">
        <f>'matrik MISI 4'!Q27</f>
        <v>31.9</v>
      </c>
      <c r="L75" s="563">
        <f>'matrik MISI 4'!R27</f>
        <v>31.92</v>
      </c>
      <c r="M75" s="604"/>
      <c r="N75" s="563">
        <f>'matrik MISI 4'!S27</f>
        <v>31.94</v>
      </c>
      <c r="O75" s="564"/>
      <c r="P75" s="563">
        <f>'matrik MISI 4'!T27</f>
        <v>31.96</v>
      </c>
      <c r="Q75" s="564"/>
      <c r="R75" s="563">
        <f>'matrik MISI 4'!U27</f>
        <v>31.98</v>
      </c>
      <c r="S75" s="564"/>
      <c r="T75" s="563">
        <f>'matrik MISI 4'!V27</f>
        <v>32</v>
      </c>
      <c r="U75" s="564"/>
      <c r="V75" s="563">
        <f>'matrik MISI 4'!W27</f>
        <v>32</v>
      </c>
      <c r="W75" s="564"/>
      <c r="X75" s="563" t="str">
        <f>'matrik MISI 4'!X27</f>
        <v>Dinas Pendidikan</v>
      </c>
      <c r="Y75" s="565" t="str">
        <f>'matrik MISI 4'!Y27</f>
        <v>Jumlah siswa SMP/MTs dibagi jumlah kelas SMP/MTs</v>
      </c>
      <c r="Z75" s="565">
        <f>'matrik MISI 4'!Z27</f>
        <v>0</v>
      </c>
    </row>
    <row r="76" spans="1:454" ht="45">
      <c r="G76" s="563"/>
      <c r="H76" s="563" t="str">
        <f>'matrik MISI 4'!N28</f>
        <v>Persentase Siswa Miskin Penerima Beasiswa  untuk Menempuh Pendidikan Dasar</v>
      </c>
      <c r="I76" s="563" t="str">
        <f>'matrik MISI 4'!O28</f>
        <v>%</v>
      </c>
      <c r="J76" s="563" t="str">
        <f>'matrik MISI 4'!P28</f>
        <v>65,62</v>
      </c>
      <c r="K76" s="563" t="str">
        <f>'matrik MISI 4'!Q28</f>
        <v>68,13</v>
      </c>
      <c r="L76" s="563" t="str">
        <f>'matrik MISI 4'!R28</f>
        <v>70,65</v>
      </c>
      <c r="M76" s="604"/>
      <c r="N76" s="563" t="str">
        <f>'matrik MISI 4'!S28</f>
        <v>71,90</v>
      </c>
      <c r="O76" s="564"/>
      <c r="P76" s="563" t="str">
        <f>'matrik MISI 4'!T28</f>
        <v>73,16</v>
      </c>
      <c r="Q76" s="564"/>
      <c r="R76" s="563" t="str">
        <f>'matrik MISI 4'!U28</f>
        <v>74,42</v>
      </c>
      <c r="S76" s="564"/>
      <c r="T76" s="563" t="str">
        <f>'matrik MISI 4'!V28</f>
        <v>74,42</v>
      </c>
      <c r="U76" s="564"/>
      <c r="V76" s="563" t="str">
        <f>'matrik MISI 4'!W28</f>
        <v>74,42</v>
      </c>
      <c r="W76" s="564"/>
      <c r="X76" s="563" t="str">
        <f>'matrik MISI 4'!X28</f>
        <v>Dinas Pendidikan</v>
      </c>
      <c r="Y76" s="565" t="str">
        <f>'matrik MISI 4'!Y28</f>
        <v>Jumlah siswa miskin SD/MI/SMP/MTs penerima bantuan/beasiswa miskin dibagi jumlah siswa miskin SD/MI/SMP/MTs</v>
      </c>
      <c r="Z76" s="565">
        <f>'matrik MISI 4'!Z28</f>
        <v>0</v>
      </c>
    </row>
    <row r="77" spans="1:454" ht="30">
      <c r="G77" s="563"/>
      <c r="H77" s="563" t="str">
        <f>'matrik MISI 4'!N29</f>
        <v>Angka Partisipasi Sekolah Usia 7-12 Tahun</v>
      </c>
      <c r="I77" s="563" t="str">
        <f>'matrik MISI 4'!O29</f>
        <v>%</v>
      </c>
      <c r="J77" s="563">
        <f>'matrik MISI 4'!P29</f>
        <v>99.37</v>
      </c>
      <c r="K77" s="563">
        <f>'matrik MISI 4'!Q29</f>
        <v>99.37</v>
      </c>
      <c r="L77" s="563">
        <f>'matrik MISI 4'!R29</f>
        <v>99.4</v>
      </c>
      <c r="M77" s="604"/>
      <c r="N77" s="563">
        <f>'matrik MISI 4'!S29</f>
        <v>99.43</v>
      </c>
      <c r="O77" s="564"/>
      <c r="P77" s="563">
        <f>'matrik MISI 4'!T29</f>
        <v>99.46</v>
      </c>
      <c r="Q77" s="564"/>
      <c r="R77" s="563">
        <f>'matrik MISI 4'!U29</f>
        <v>99.49</v>
      </c>
      <c r="S77" s="564"/>
      <c r="T77" s="563">
        <f>'matrik MISI 4'!V29</f>
        <v>99.52</v>
      </c>
      <c r="U77" s="564"/>
      <c r="V77" s="563">
        <f>'matrik MISI 4'!W29</f>
        <v>99.52</v>
      </c>
      <c r="W77" s="564"/>
      <c r="X77" s="563" t="str">
        <f>'matrik MISI 4'!X29</f>
        <v>Dinas Pendidikan</v>
      </c>
      <c r="Y77" s="565" t="str">
        <f>'matrik MISI 4'!Y29</f>
        <v>Jumlah siswa TK/RA/SD/MI/SMP/MTs usia 7-12 tahun dibagi jumlah penduduk usia 7-12 tahun kali 100%</v>
      </c>
      <c r="Z77" s="565">
        <f>'matrik MISI 4'!Z29</f>
        <v>0</v>
      </c>
    </row>
    <row r="78" spans="1:454" ht="30">
      <c r="G78" s="563"/>
      <c r="H78" s="563" t="str">
        <f>'matrik MISI 4'!N30</f>
        <v>Angka Partisipasi Sekolah Usia 13-15 Tahun</v>
      </c>
      <c r="I78" s="563" t="str">
        <f>'matrik MISI 4'!O30</f>
        <v>%</v>
      </c>
      <c r="J78" s="563">
        <f>'matrik MISI 4'!P30</f>
        <v>99.25</v>
      </c>
      <c r="K78" s="563">
        <f>'matrik MISI 4'!Q30</f>
        <v>99.25</v>
      </c>
      <c r="L78" s="563">
        <f>'matrik MISI 4'!R30</f>
        <v>99.28</v>
      </c>
      <c r="M78" s="604"/>
      <c r="N78" s="563">
        <f>'matrik MISI 4'!S30</f>
        <v>99.31</v>
      </c>
      <c r="O78" s="564"/>
      <c r="P78" s="563">
        <f>'matrik MISI 4'!T30</f>
        <v>99.34</v>
      </c>
      <c r="Q78" s="564"/>
      <c r="R78" s="563">
        <f>'matrik MISI 4'!U30</f>
        <v>99.37</v>
      </c>
      <c r="S78" s="564"/>
      <c r="T78" s="563">
        <f>'matrik MISI 4'!V30</f>
        <v>99.4</v>
      </c>
      <c r="U78" s="564"/>
      <c r="V78" s="563">
        <f>'matrik MISI 4'!W30</f>
        <v>99.4</v>
      </c>
      <c r="W78" s="564"/>
      <c r="X78" s="563" t="str">
        <f>'matrik MISI 4'!X30</f>
        <v>Dinas Pendidikan</v>
      </c>
      <c r="Y78" s="565" t="str">
        <f>'matrik MISI 4'!Y30</f>
        <v>Jumlah siswa SD/MI/SMP/MTs/SMA/MA/ SMK usia 13-15 tahun dibagi jumlah penduduk usia 13-15 tahun kali 100%</v>
      </c>
      <c r="Z78" s="565">
        <f>'matrik MISI 4'!Z30</f>
        <v>0</v>
      </c>
    </row>
    <row r="79" spans="1:454" ht="30">
      <c r="G79" s="563"/>
      <c r="H79" s="563" t="str">
        <f>'matrik MISI 4'!N61</f>
        <v>Persentase Siswa Baru SD/MI yang berasal dari TK/RA</v>
      </c>
      <c r="I79" s="563" t="str">
        <f>'matrik MISI 4'!O61</f>
        <v>%</v>
      </c>
      <c r="J79" s="563">
        <f>'matrik MISI 4'!P61</f>
        <v>94.809186374114205</v>
      </c>
      <c r="K79" s="563">
        <f>'matrik MISI 4'!Q61</f>
        <v>94.82</v>
      </c>
      <c r="L79" s="563">
        <f>'matrik MISI 4'!R61</f>
        <v>94.83</v>
      </c>
      <c r="M79" s="604"/>
      <c r="N79" s="563">
        <f>'matrik MISI 4'!S61</f>
        <v>94.84</v>
      </c>
      <c r="O79" s="564"/>
      <c r="P79" s="563">
        <f>'matrik MISI 4'!T61</f>
        <v>94.85</v>
      </c>
      <c r="Q79" s="564"/>
      <c r="R79" s="563">
        <f>'matrik MISI 4'!U61</f>
        <v>94.86</v>
      </c>
      <c r="S79" s="564"/>
      <c r="T79" s="563">
        <f>'matrik MISI 4'!V61</f>
        <v>94.87</v>
      </c>
      <c r="U79" s="564"/>
      <c r="V79" s="563">
        <f>'matrik MISI 4'!W61</f>
        <v>94.87</v>
      </c>
      <c r="W79" s="564"/>
      <c r="X79" s="563" t="str">
        <f>'matrik MISI 4'!X61</f>
        <v>Dinas Pendidikan</v>
      </c>
      <c r="Y79" s="565" t="str">
        <f>'matrik MISI 4'!Y61</f>
        <v>Jumlah siswa baru tingkat I SD/MI yang berasal dari  TK/RA dibagi jumlah siswa baru tingkat I SD/MI kali 100%</v>
      </c>
      <c r="Z79" s="565">
        <f>'matrik MISI 4'!Z61</f>
        <v>0</v>
      </c>
    </row>
    <row r="80" spans="1:454">
      <c r="G80" s="563"/>
      <c r="H80" s="563" t="str">
        <f>'matrik MISI 4'!N62</f>
        <v>Angka Putus Sekolah SD/MI</v>
      </c>
      <c r="I80" s="563" t="str">
        <f>'matrik MISI 4'!O62</f>
        <v>%</v>
      </c>
      <c r="J80" s="563">
        <f>'matrik MISI 4'!P62</f>
        <v>0.2</v>
      </c>
      <c r="K80" s="563">
        <f>'matrik MISI 4'!Q62</f>
        <v>0.18</v>
      </c>
      <c r="L80" s="563">
        <f>'matrik MISI 4'!R62</f>
        <v>0.17</v>
      </c>
      <c r="M80" s="604"/>
      <c r="N80" s="563">
        <f>'matrik MISI 4'!S62</f>
        <v>0.16</v>
      </c>
      <c r="O80" s="564"/>
      <c r="P80" s="563">
        <f>'matrik MISI 4'!T62</f>
        <v>0.15</v>
      </c>
      <c r="Q80" s="564"/>
      <c r="R80" s="563">
        <f>'matrik MISI 4'!U62</f>
        <v>0.14000000000000001</v>
      </c>
      <c r="S80" s="564"/>
      <c r="T80" s="563">
        <f>'matrik MISI 4'!V62</f>
        <v>0.13</v>
      </c>
      <c r="U80" s="564"/>
      <c r="V80" s="563">
        <f>'matrik MISI 4'!W62</f>
        <v>0.13</v>
      </c>
      <c r="W80" s="564"/>
      <c r="X80" s="563" t="str">
        <f>'matrik MISI 4'!X62</f>
        <v>Dinas Pendidikan</v>
      </c>
      <c r="Y80" s="565" t="str">
        <f>'matrik MISI 4'!Y62</f>
        <v xml:space="preserve">Jumlah siswa putus sekolah SD/MI dibagi jumlah siswa SD/MI </v>
      </c>
      <c r="Z80" s="565">
        <f>'matrik MISI 4'!Z62</f>
        <v>0</v>
      </c>
    </row>
    <row r="81" spans="1:454">
      <c r="G81" s="563"/>
      <c r="H81" s="563" t="str">
        <f>'matrik MISI 4'!N63</f>
        <v>Angka Putus Sekolah SMP/MTs</v>
      </c>
      <c r="I81" s="563" t="str">
        <f>'matrik MISI 4'!O63</f>
        <v>%</v>
      </c>
      <c r="J81" s="563">
        <f>'matrik MISI 4'!P63</f>
        <v>0.44489263257800449</v>
      </c>
      <c r="K81" s="563">
        <f>'matrik MISI 4'!Q63</f>
        <v>0.43</v>
      </c>
      <c r="L81" s="563">
        <f>'matrik MISI 4'!R63</f>
        <v>0.42</v>
      </c>
      <c r="M81" s="604"/>
      <c r="N81" s="563">
        <f>'matrik MISI 4'!S63</f>
        <v>0.41</v>
      </c>
      <c r="O81" s="564"/>
      <c r="P81" s="563">
        <f>'matrik MISI 4'!T63</f>
        <v>0.4</v>
      </c>
      <c r="Q81" s="564"/>
      <c r="R81" s="563">
        <f>'matrik MISI 4'!U63</f>
        <v>0.39</v>
      </c>
      <c r="S81" s="564"/>
      <c r="T81" s="563">
        <f>'matrik MISI 4'!V63</f>
        <v>0.33800000000000002</v>
      </c>
      <c r="U81" s="564"/>
      <c r="V81" s="563">
        <f>'matrik MISI 4'!W63</f>
        <v>0.33800000000000002</v>
      </c>
      <c r="W81" s="564"/>
      <c r="X81" s="563" t="str">
        <f>'matrik MISI 4'!X63</f>
        <v>Dinas Pendidikan</v>
      </c>
      <c r="Y81" s="565" t="str">
        <f>'matrik MISI 4'!Y63</f>
        <v xml:space="preserve">Jumlah siswa putus sekolah SMP/MTs dibagi jumlah siswa SMP/MTs </v>
      </c>
      <c r="Z81" s="565">
        <f>'matrik MISI 4'!Z63</f>
        <v>0</v>
      </c>
    </row>
    <row r="82" spans="1:454" ht="30">
      <c r="G82" s="563"/>
      <c r="H82" s="563" t="str">
        <f>'matrik MISI 4'!N116</f>
        <v>Persentase Ruang Kelas SD/MI yang Kondisinya Baik</v>
      </c>
      <c r="I82" s="563" t="str">
        <f>'matrik MISI 4'!O116</f>
        <v>%</v>
      </c>
      <c r="J82" s="563">
        <f>'matrik MISI 4'!P116</f>
        <v>85.008469791078483</v>
      </c>
      <c r="K82" s="563">
        <f>'matrik MISI 4'!Q116</f>
        <v>86.42</v>
      </c>
      <c r="L82" s="563">
        <f>'matrik MISI 4'!R116</f>
        <v>87.83</v>
      </c>
      <c r="M82" s="604"/>
      <c r="N82" s="563">
        <f>'matrik MISI 4'!S116</f>
        <v>89.25</v>
      </c>
      <c r="O82" s="564"/>
      <c r="P82" s="563">
        <f>'matrik MISI 4'!T116</f>
        <v>90.66</v>
      </c>
      <c r="Q82" s="564"/>
      <c r="R82" s="563">
        <f>'matrik MISI 4'!U116</f>
        <v>92.07</v>
      </c>
      <c r="S82" s="564"/>
      <c r="T82" s="563">
        <f>'matrik MISI 4'!V116</f>
        <v>93.48</v>
      </c>
      <c r="U82" s="564"/>
      <c r="V82" s="563">
        <f>'matrik MISI 4'!W116</f>
        <v>93.48</v>
      </c>
      <c r="W82" s="564"/>
      <c r="X82" s="563" t="str">
        <f>'matrik MISI 4'!X116</f>
        <v>Dinas Pendidikan</v>
      </c>
      <c r="Y82" s="565" t="str">
        <f>'matrik MISI 4'!Y116</f>
        <v>Jumlah ruang kelas SD/MI yang kondisinya baik dibagi jumlah ruang kelas SD/MI kali 100%</v>
      </c>
      <c r="Z82" s="565">
        <f>'matrik MISI 4'!Z116</f>
        <v>0</v>
      </c>
    </row>
    <row r="83" spans="1:454" ht="30">
      <c r="G83" s="563"/>
      <c r="H83" s="563" t="str">
        <f>'matrik MISI 4'!N117</f>
        <v>Persentase Ruang Kelas SMP yang Kondisinya Baik</v>
      </c>
      <c r="I83" s="563" t="str">
        <f>'matrik MISI 4'!O117</f>
        <v>%</v>
      </c>
      <c r="J83" s="563">
        <f>'matrik MISI 4'!P117</f>
        <v>87.352941176470594</v>
      </c>
      <c r="K83" s="563">
        <f>'matrik MISI 4'!Q117</f>
        <v>88.33</v>
      </c>
      <c r="L83" s="563">
        <f>'matrik MISI 4'!R117</f>
        <v>89.31</v>
      </c>
      <c r="M83" s="604"/>
      <c r="N83" s="563">
        <f>'matrik MISI 4'!S117</f>
        <v>90.29</v>
      </c>
      <c r="O83" s="564"/>
      <c r="P83" s="563">
        <f>'matrik MISI 4'!T117</f>
        <v>91.27</v>
      </c>
      <c r="Q83" s="564"/>
      <c r="R83" s="563">
        <f>'matrik MISI 4'!U117</f>
        <v>92.25</v>
      </c>
      <c r="S83" s="564"/>
      <c r="T83" s="563">
        <f>'matrik MISI 4'!V117</f>
        <v>93.23</v>
      </c>
      <c r="U83" s="564"/>
      <c r="V83" s="563">
        <f>'matrik MISI 4'!W117</f>
        <v>93.23</v>
      </c>
      <c r="W83" s="564"/>
      <c r="X83" s="563" t="str">
        <f>'matrik MISI 4'!X117</f>
        <v>Dinas Pendidikan</v>
      </c>
      <c r="Y83" s="565" t="str">
        <f>'matrik MISI 4'!Y117</f>
        <v>Jumlah ruang kelas SMP/MTs yang kondisinya baik dibagi jumlah ruang kelas SMP/MTs kali 100%</v>
      </c>
      <c r="Z83" s="565">
        <f>'matrik MISI 4'!Z117</f>
        <v>0</v>
      </c>
    </row>
    <row r="84" spans="1:454" ht="45">
      <c r="G84" s="563"/>
      <c r="H84" s="563" t="str">
        <f>'matrik MISI 4'!N118</f>
        <v>Persentase SD/MI yang Memiliki Sarana dan Prasarana sesuai dengan Standar Sarana Prasarana</v>
      </c>
      <c r="I84" s="563" t="str">
        <f>'matrik MISI 4'!O118</f>
        <v>%</v>
      </c>
      <c r="J84" s="563">
        <f>'matrik MISI 4'!P118</f>
        <v>60</v>
      </c>
      <c r="K84" s="563">
        <f>'matrik MISI 4'!Q118</f>
        <v>61.75</v>
      </c>
      <c r="L84" s="563">
        <f>'matrik MISI 4'!R118</f>
        <v>63.5</v>
      </c>
      <c r="M84" s="604"/>
      <c r="N84" s="563">
        <f>'matrik MISI 4'!S118</f>
        <v>65.239999999999995</v>
      </c>
      <c r="O84" s="564"/>
      <c r="P84" s="563">
        <f>'matrik MISI 4'!T118</f>
        <v>66.989999999999995</v>
      </c>
      <c r="Q84" s="564"/>
      <c r="R84" s="563">
        <f>'matrik MISI 4'!U118</f>
        <v>68.739999999999995</v>
      </c>
      <c r="S84" s="564"/>
      <c r="T84" s="563">
        <f>'matrik MISI 4'!V118</f>
        <v>70.489999999999995</v>
      </c>
      <c r="U84" s="564"/>
      <c r="V84" s="563">
        <f>'matrik MISI 4'!W118</f>
        <v>70.489999999999995</v>
      </c>
      <c r="W84" s="564"/>
      <c r="X84" s="563" t="str">
        <f>'matrik MISI 4'!X118</f>
        <v>Dinas Pendidikan</v>
      </c>
      <c r="Y84" s="565" t="str">
        <f>'matrik MISI 4'!Y118</f>
        <v>Jumlah SD/MI yang memiliki sarana prasarana sesuai dengan standar sarana prasarana dibagi jumlah SD/MI kali 100%</v>
      </c>
      <c r="Z84" s="565">
        <f>'matrik MISI 4'!Z118</f>
        <v>0</v>
      </c>
    </row>
    <row r="85" spans="1:454" ht="60">
      <c r="G85" s="563"/>
      <c r="H85" s="563" t="str">
        <f>'matrik MISI 4'!N119</f>
        <v>Persentase SMP/MTs yang Memiliki Sarana dan Prasarana sesuai dengan Standar Sarana Prasarana</v>
      </c>
      <c r="I85" s="563" t="str">
        <f>'matrik MISI 4'!O119</f>
        <v>%</v>
      </c>
      <c r="J85" s="563">
        <f>'matrik MISI 4'!P119</f>
        <v>75.239999999999995</v>
      </c>
      <c r="K85" s="563">
        <f>'matrik MISI 4'!Q119</f>
        <v>76.19</v>
      </c>
      <c r="L85" s="563">
        <f>'matrik MISI 4'!R119</f>
        <v>77.14</v>
      </c>
      <c r="M85" s="604"/>
      <c r="N85" s="563">
        <f>'matrik MISI 4'!S119</f>
        <v>78.09</v>
      </c>
      <c r="O85" s="564"/>
      <c r="P85" s="563">
        <f>'matrik MISI 4'!T119</f>
        <v>79.040000000000006</v>
      </c>
      <c r="Q85" s="564"/>
      <c r="R85" s="563">
        <f>'matrik MISI 4'!U119</f>
        <v>79.989999999999995</v>
      </c>
      <c r="S85" s="564"/>
      <c r="T85" s="563" t="str">
        <f>'matrik MISI 4'!V119</f>
        <v>80..94</v>
      </c>
      <c r="U85" s="564"/>
      <c r="V85" s="563" t="str">
        <f>'matrik MISI 4'!W119</f>
        <v>80..94</v>
      </c>
      <c r="W85" s="564"/>
      <c r="X85" s="563" t="str">
        <f>'matrik MISI 4'!X119</f>
        <v>Dinas Pendidikan</v>
      </c>
      <c r="Y85" s="565" t="str">
        <f>'matrik MISI 4'!Y119</f>
        <v>Jumlah SMP/MTs yang memiliki sarana prasarana sesuai dengan standar sarana prasarana dibagi jumlah SMP/MTs kali 100%</v>
      </c>
      <c r="Z85" s="565">
        <f>'matrik MISI 4'!Z119</f>
        <v>0</v>
      </c>
    </row>
    <row r="86" spans="1:454" ht="75">
      <c r="G86" s="563"/>
      <c r="H86" s="563" t="str">
        <f>'matrik MISI 4'!N120</f>
        <v>Cakupan keterjangkauan  satuan pendidikan SD/MI dan6 km untuk SMP/MTs dari kelompok permukiman permanen di daerah terpencil</v>
      </c>
      <c r="I86" s="563" t="str">
        <f>'matrik MISI 4'!O120</f>
        <v>%</v>
      </c>
      <c r="J86" s="563">
        <f>'matrik MISI 4'!P120</f>
        <v>100</v>
      </c>
      <c r="K86" s="563">
        <f>'matrik MISI 4'!Q120</f>
        <v>100</v>
      </c>
      <c r="L86" s="563">
        <f>'matrik MISI 4'!R120</f>
        <v>100</v>
      </c>
      <c r="M86" s="604"/>
      <c r="N86" s="563">
        <f>'matrik MISI 4'!S120</f>
        <v>100</v>
      </c>
      <c r="O86" s="564"/>
      <c r="P86" s="563">
        <f>'matrik MISI 4'!T120</f>
        <v>100</v>
      </c>
      <c r="Q86" s="564"/>
      <c r="R86" s="563">
        <f>'matrik MISI 4'!U120</f>
        <v>100</v>
      </c>
      <c r="S86" s="564"/>
      <c r="T86" s="563">
        <f>'matrik MISI 4'!V120</f>
        <v>100</v>
      </c>
      <c r="U86" s="564"/>
      <c r="V86" s="563">
        <f>'matrik MISI 4'!W120</f>
        <v>100</v>
      </c>
      <c r="W86" s="564"/>
      <c r="X86" s="563" t="str">
        <f>'matrik MISI 4'!X120</f>
        <v>Dinas Pendidikan</v>
      </c>
      <c r="Y86" s="565"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86" s="565" t="str">
        <f>'matrik MISI 4'!Z120</f>
        <v>(SPM 1) Tersedia satuan pendidikan dalam jarak yang terjangkau dengan berjalan kaki yaitu maksimal 3 km untuk SD/MI dan6 km untuk SMP/MTs dari kelompok permukiman permanen di daerah terpencil</v>
      </c>
    </row>
    <row r="87" spans="1:454" ht="75">
      <c r="G87" s="563"/>
      <c r="H87" s="563" t="str">
        <f>'matrik MISI 4'!N121</f>
        <v>Cakupan ketersediaan Sarana prasarana kelas (SD/MI dan SMP/MTs)</v>
      </c>
      <c r="I87" s="563" t="str">
        <f>'matrik MISI 4'!O121</f>
        <v>%</v>
      </c>
      <c r="J87" s="563">
        <f>'matrik MISI 4'!P121</f>
        <v>86.69</v>
      </c>
      <c r="K87" s="563">
        <f>'matrik MISI 4'!Q121</f>
        <v>86.98</v>
      </c>
      <c r="L87" s="563">
        <f>'matrik MISI 4'!R121</f>
        <v>87.28</v>
      </c>
      <c r="M87" s="604"/>
      <c r="N87" s="563">
        <f>'matrik MISI 4'!S121</f>
        <v>87.57</v>
      </c>
      <c r="O87" s="564"/>
      <c r="P87" s="563">
        <f>'matrik MISI 4'!T121</f>
        <v>87.87</v>
      </c>
      <c r="Q87" s="564"/>
      <c r="R87" s="563">
        <f>'matrik MISI 4'!U121</f>
        <v>88.16</v>
      </c>
      <c r="S87" s="564"/>
      <c r="T87" s="563">
        <f>'matrik MISI 4'!V121</f>
        <v>88.45</v>
      </c>
      <c r="U87" s="564"/>
      <c r="V87" s="563">
        <f>'matrik MISI 4'!W121</f>
        <v>88.45</v>
      </c>
      <c r="W87" s="564"/>
      <c r="X87" s="563" t="str">
        <f>'matrik MISI 4'!X121</f>
        <v>Dinas Pendidikan</v>
      </c>
      <c r="Y87" s="565" t="str">
        <f>'matrik MISI 4'!Y121</f>
        <v>Jumlah SD/MI yang semua rombongan belajar (rombel)nya tidak melebihi 32 orang dibagi Jumlah SD/MI di wilayah kabupaten/kota kali 100%</v>
      </c>
      <c r="Z87" s="565"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88" spans="1:454" ht="60">
      <c r="G88" s="563"/>
      <c r="H88" s="563" t="str">
        <f>'matrik MISI 4'!N122</f>
        <v xml:space="preserve">Cakupan ketersediaan laboratorium IPA SMP dan MTs </v>
      </c>
      <c r="I88" s="563" t="str">
        <f>'matrik MISI 4'!O122</f>
        <v>%</v>
      </c>
      <c r="J88" s="563">
        <f>'matrik MISI 4'!P122</f>
        <v>70</v>
      </c>
      <c r="K88" s="563">
        <f>'matrik MISI 4'!Q122</f>
        <v>71.900000000000006</v>
      </c>
      <c r="L88" s="563">
        <f>'matrik MISI 4'!R122</f>
        <v>73.81</v>
      </c>
      <c r="M88" s="604"/>
      <c r="N88" s="563">
        <f>'matrik MISI 4'!S122</f>
        <v>75.709999999999994</v>
      </c>
      <c r="O88" s="564"/>
      <c r="P88" s="563">
        <f>'matrik MISI 4'!T122</f>
        <v>77.62</v>
      </c>
      <c r="Q88" s="564"/>
      <c r="R88" s="563">
        <f>'matrik MISI 4'!U122</f>
        <v>79.52</v>
      </c>
      <c r="S88" s="564"/>
      <c r="T88" s="563">
        <f>'matrik MISI 4'!V122</f>
        <v>81.42</v>
      </c>
      <c r="U88" s="564"/>
      <c r="V88" s="563">
        <f>'matrik MISI 4'!W122</f>
        <v>81.42</v>
      </c>
      <c r="W88" s="564"/>
      <c r="X88" s="563" t="str">
        <f>'matrik MISI 4'!X122</f>
        <v>Dinas Pendidikan</v>
      </c>
      <c r="Y88" s="565" t="str">
        <f>'matrik MISI 4'!Y122</f>
        <v>Jumlah SMP/MTs yang memiliki ruang laboratorium IPA yang dilengkapi dengan meja dan kursi untuk 36 peserta didik dibagi jumlah SMP/MTs kali 100%</v>
      </c>
      <c r="Z88" s="565" t="str">
        <f>'matrik MISI 4'!Z122</f>
        <v>(SPM 3) Di setiap SMP dan MTs tersedia ruang laboratorium IPA yang dilengkapi dengan meja dan kursi yang cukup untuk 36 peserta didik dan minimal satu set peralatan praktek IPA untuk demonstrasi dan eksperimen peserta didik.</v>
      </c>
    </row>
    <row r="89" spans="1:454" ht="60">
      <c r="G89" s="563"/>
      <c r="H89" s="563" t="str">
        <f>'matrik MISI 4'!N123</f>
        <v xml:space="preserve">Cakupan Ketersediaan Ruang Guru </v>
      </c>
      <c r="I89" s="563" t="str">
        <f>'matrik MISI 4'!O123</f>
        <v>%</v>
      </c>
      <c r="J89" s="563">
        <f>'matrik MISI 4'!P123</f>
        <v>98.47</v>
      </c>
      <c r="K89" s="563">
        <f>'matrik MISI 4'!Q123</f>
        <v>98.67</v>
      </c>
      <c r="L89" s="563">
        <f>'matrik MISI 4'!R123</f>
        <v>98.97</v>
      </c>
      <c r="M89" s="604"/>
      <c r="N89" s="563">
        <f>'matrik MISI 4'!S123</f>
        <v>99.26</v>
      </c>
      <c r="O89" s="564"/>
      <c r="P89" s="563">
        <f>'matrik MISI 4'!T123</f>
        <v>99.56</v>
      </c>
      <c r="Q89" s="564"/>
      <c r="R89" s="563">
        <f>'matrik MISI 4'!U123</f>
        <v>99.85</v>
      </c>
      <c r="S89" s="564"/>
      <c r="T89" s="563">
        <f>'matrik MISI 4'!V123</f>
        <v>100</v>
      </c>
      <c r="U89" s="564"/>
      <c r="V89" s="563">
        <f>'matrik MISI 4'!W123</f>
        <v>100</v>
      </c>
      <c r="W89" s="564"/>
      <c r="X89" s="563" t="str">
        <f>'matrik MISI 4'!X123</f>
        <v>Dinas Pendidikan</v>
      </c>
      <c r="Y89" s="565" t="str">
        <f>'matrik MISI 4'!Y123</f>
        <v>Jumlah SD/MI yang memiliki satu ruang guru dan dilengkapi dengan meja dan kursi untuk setiap orang guru, kepala sekolah/madrasah dan staf kependidikan lainnya dibagi jumlah SD/MI kali 100%</v>
      </c>
      <c r="Z89" s="565"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90" spans="1:454" s="574" customFormat="1" ht="31.5" customHeight="1">
      <c r="A90" s="569"/>
      <c r="B90" s="575"/>
      <c r="C90" s="576"/>
      <c r="D90" s="577">
        <f>'matrik MISI 4'!J32</f>
        <v>1.01</v>
      </c>
      <c r="E90" s="577" t="str">
        <f>'matrik MISI 4'!K32</f>
        <v>xx</v>
      </c>
      <c r="F90" s="577">
        <f>'matrik MISI 4'!L32</f>
        <v>17</v>
      </c>
      <c r="G90" s="577" t="str">
        <f>'matrik MISI 4'!M32</f>
        <v xml:space="preserve">Program pendidikan menengah </v>
      </c>
      <c r="H90" s="577"/>
      <c r="I90" s="577"/>
      <c r="J90" s="577"/>
      <c r="K90" s="577"/>
      <c r="L90" s="577"/>
      <c r="M90" s="578">
        <f>'jangan dihapus 2'!K116</f>
        <v>16340145100</v>
      </c>
      <c r="N90" s="578"/>
      <c r="O90" s="578">
        <f>'jangan dihapus 2'!M116</f>
        <v>16450985000</v>
      </c>
      <c r="P90" s="578"/>
      <c r="Q90" s="578">
        <f>'jangan dihapus 2'!O116</f>
        <v>18086620000</v>
      </c>
      <c r="R90" s="578"/>
      <c r="S90" s="578">
        <f>'jangan dihapus 2'!Q116</f>
        <v>16961620000</v>
      </c>
      <c r="T90" s="578"/>
      <c r="U90" s="578">
        <f>'jangan dihapus 2'!S116</f>
        <v>16551620000</v>
      </c>
      <c r="V90" s="577"/>
      <c r="W90" s="578">
        <f>SUM(M90:U90)</f>
        <v>84390990100</v>
      </c>
      <c r="X90" s="577"/>
      <c r="Y90" s="577"/>
      <c r="Z90" s="577"/>
      <c r="AA90" s="569"/>
      <c r="AB90" s="569"/>
      <c r="AC90" s="569"/>
      <c r="AD90" s="569"/>
      <c r="AE90" s="569"/>
      <c r="AF90" s="569"/>
      <c r="AG90" s="569"/>
      <c r="AH90" s="569"/>
      <c r="AI90" s="569"/>
      <c r="AJ90" s="569"/>
      <c r="AK90" s="569"/>
      <c r="AL90" s="569"/>
      <c r="AM90" s="569"/>
      <c r="AN90" s="569"/>
      <c r="AO90" s="569"/>
      <c r="AP90" s="569"/>
      <c r="AQ90" s="569"/>
      <c r="AR90" s="569"/>
      <c r="AS90" s="569"/>
      <c r="AT90" s="569"/>
      <c r="AU90" s="569"/>
      <c r="AV90" s="569"/>
      <c r="AW90" s="569"/>
      <c r="AX90" s="569"/>
      <c r="AY90" s="569"/>
      <c r="AZ90" s="569"/>
      <c r="BA90" s="569"/>
      <c r="BB90" s="569"/>
      <c r="BC90" s="569"/>
      <c r="BD90" s="569"/>
      <c r="BE90" s="569"/>
      <c r="BF90" s="569"/>
      <c r="BG90" s="569"/>
      <c r="BH90" s="569"/>
      <c r="BI90" s="569"/>
      <c r="BJ90" s="569"/>
      <c r="BK90" s="569"/>
      <c r="BL90" s="569"/>
      <c r="BM90" s="569"/>
      <c r="BN90" s="569"/>
      <c r="BO90" s="569"/>
      <c r="BP90" s="569"/>
      <c r="BQ90" s="569"/>
      <c r="BR90" s="569"/>
      <c r="BS90" s="569"/>
      <c r="BT90" s="569"/>
      <c r="BU90" s="569"/>
      <c r="BV90" s="569"/>
      <c r="BW90" s="569"/>
      <c r="BX90" s="569"/>
      <c r="BY90" s="569"/>
      <c r="BZ90" s="569"/>
      <c r="CA90" s="569"/>
      <c r="CB90" s="569"/>
      <c r="CC90" s="569"/>
      <c r="CD90" s="569"/>
      <c r="CE90" s="569"/>
      <c r="CF90" s="569"/>
      <c r="CG90" s="569"/>
      <c r="CH90" s="569"/>
      <c r="CI90" s="569"/>
      <c r="CJ90" s="569"/>
      <c r="CK90" s="569"/>
      <c r="CL90" s="569"/>
      <c r="CM90" s="569"/>
      <c r="CN90" s="569"/>
      <c r="CO90" s="569"/>
      <c r="CP90" s="569"/>
      <c r="CQ90" s="569"/>
      <c r="CR90" s="569"/>
      <c r="CS90" s="569"/>
      <c r="CT90" s="569"/>
      <c r="CU90" s="569"/>
      <c r="CV90" s="569"/>
      <c r="CW90" s="569"/>
      <c r="CX90" s="569"/>
      <c r="CY90" s="569"/>
      <c r="CZ90" s="569"/>
      <c r="DA90" s="569"/>
      <c r="DB90" s="569"/>
      <c r="DC90" s="569"/>
      <c r="DD90" s="569"/>
      <c r="DE90" s="569"/>
      <c r="DF90" s="569"/>
      <c r="DG90" s="569"/>
      <c r="DH90" s="569"/>
      <c r="DI90" s="569"/>
      <c r="DJ90" s="569"/>
      <c r="DK90" s="569"/>
      <c r="DL90" s="569"/>
      <c r="DM90" s="569"/>
      <c r="DN90" s="569"/>
      <c r="DO90" s="569"/>
      <c r="DP90" s="569"/>
      <c r="DQ90" s="569"/>
      <c r="DR90" s="569"/>
      <c r="DS90" s="569"/>
      <c r="DT90" s="569"/>
      <c r="DU90" s="569"/>
      <c r="DV90" s="569"/>
      <c r="DW90" s="569"/>
      <c r="DX90" s="569"/>
      <c r="DY90" s="569"/>
      <c r="DZ90" s="569"/>
      <c r="EA90" s="569"/>
      <c r="EB90" s="569"/>
      <c r="EC90" s="569"/>
      <c r="ED90" s="569"/>
      <c r="EE90" s="569"/>
      <c r="EF90" s="569"/>
      <c r="EG90" s="569"/>
      <c r="EH90" s="569"/>
      <c r="EI90" s="569"/>
      <c r="EJ90" s="569"/>
      <c r="EK90" s="569"/>
      <c r="EL90" s="569"/>
      <c r="EM90" s="569"/>
      <c r="EN90" s="569"/>
      <c r="EO90" s="569"/>
      <c r="EP90" s="569"/>
      <c r="EQ90" s="569"/>
      <c r="ER90" s="569"/>
      <c r="ES90" s="569"/>
      <c r="ET90" s="569"/>
      <c r="EU90" s="569"/>
      <c r="EV90" s="569"/>
      <c r="EW90" s="569"/>
      <c r="EX90" s="569"/>
      <c r="EY90" s="569"/>
      <c r="EZ90" s="569"/>
      <c r="FA90" s="569"/>
      <c r="FB90" s="569"/>
      <c r="FC90" s="569"/>
      <c r="FD90" s="569"/>
      <c r="FE90" s="569"/>
      <c r="FF90" s="569"/>
      <c r="FG90" s="569"/>
      <c r="FH90" s="569"/>
      <c r="FI90" s="569"/>
      <c r="FJ90" s="569"/>
      <c r="FK90" s="569"/>
      <c r="FL90" s="569"/>
      <c r="FM90" s="569"/>
      <c r="FN90" s="569"/>
      <c r="FO90" s="569"/>
      <c r="FP90" s="569"/>
      <c r="FQ90" s="569"/>
      <c r="FR90" s="569"/>
      <c r="FS90" s="569"/>
      <c r="FT90" s="569"/>
      <c r="FU90" s="569"/>
      <c r="FV90" s="569"/>
      <c r="FW90" s="569"/>
      <c r="FX90" s="569"/>
      <c r="FY90" s="569"/>
      <c r="FZ90" s="569"/>
      <c r="GA90" s="569"/>
      <c r="GB90" s="569"/>
      <c r="GC90" s="569"/>
      <c r="GD90" s="569"/>
      <c r="GE90" s="569"/>
      <c r="GF90" s="569"/>
      <c r="GG90" s="569"/>
      <c r="GH90" s="569"/>
      <c r="GI90" s="569"/>
      <c r="GJ90" s="569"/>
      <c r="GK90" s="569"/>
      <c r="GL90" s="569"/>
      <c r="GM90" s="569"/>
      <c r="GN90" s="569"/>
      <c r="GO90" s="569"/>
      <c r="GP90" s="569"/>
      <c r="GQ90" s="569"/>
      <c r="GR90" s="569"/>
      <c r="GS90" s="569"/>
      <c r="GT90" s="569"/>
      <c r="GU90" s="569"/>
      <c r="GV90" s="569"/>
      <c r="GW90" s="569"/>
      <c r="GX90" s="569"/>
      <c r="GY90" s="569"/>
      <c r="GZ90" s="569"/>
      <c r="HA90" s="569"/>
      <c r="HB90" s="569"/>
      <c r="HC90" s="569"/>
      <c r="HD90" s="569"/>
      <c r="HE90" s="569"/>
      <c r="HF90" s="569"/>
      <c r="HG90" s="569"/>
      <c r="HH90" s="569"/>
      <c r="HI90" s="569"/>
      <c r="HJ90" s="569"/>
      <c r="HK90" s="569"/>
      <c r="HL90" s="569"/>
      <c r="HM90" s="569"/>
      <c r="HN90" s="569"/>
      <c r="HO90" s="569"/>
      <c r="HP90" s="569"/>
      <c r="HQ90" s="569"/>
      <c r="HR90" s="569"/>
      <c r="HS90" s="569"/>
      <c r="HT90" s="569"/>
      <c r="HU90" s="569"/>
      <c r="HV90" s="569"/>
      <c r="HW90" s="569"/>
      <c r="HX90" s="569"/>
      <c r="HY90" s="569"/>
      <c r="HZ90" s="569"/>
      <c r="IA90" s="569"/>
      <c r="IB90" s="569"/>
      <c r="IC90" s="569"/>
      <c r="ID90" s="569"/>
      <c r="IE90" s="569"/>
      <c r="IF90" s="569"/>
      <c r="IG90" s="569"/>
      <c r="IH90" s="569"/>
      <c r="II90" s="569"/>
      <c r="IJ90" s="569"/>
      <c r="IK90" s="569"/>
      <c r="IL90" s="569"/>
      <c r="IM90" s="569"/>
      <c r="IN90" s="569"/>
      <c r="IO90" s="569"/>
      <c r="IP90" s="569"/>
      <c r="IQ90" s="569"/>
      <c r="IR90" s="569"/>
      <c r="IS90" s="569"/>
      <c r="IT90" s="569"/>
      <c r="IU90" s="569"/>
      <c r="IV90" s="569"/>
      <c r="IW90" s="569"/>
      <c r="IX90" s="569"/>
      <c r="IY90" s="569"/>
      <c r="IZ90" s="569"/>
      <c r="JA90" s="569"/>
      <c r="JB90" s="569"/>
      <c r="JC90" s="569"/>
      <c r="JD90" s="569"/>
      <c r="JE90" s="569"/>
      <c r="JF90" s="569"/>
      <c r="JG90" s="569"/>
      <c r="JH90" s="569"/>
      <c r="JI90" s="569"/>
      <c r="JJ90" s="569"/>
      <c r="JK90" s="569"/>
      <c r="JL90" s="569"/>
      <c r="JM90" s="569"/>
      <c r="JN90" s="569"/>
      <c r="JO90" s="569"/>
      <c r="JP90" s="569"/>
      <c r="JQ90" s="569"/>
      <c r="JR90" s="569"/>
      <c r="JS90" s="569"/>
      <c r="JT90" s="569"/>
      <c r="JU90" s="569"/>
      <c r="JV90" s="569"/>
      <c r="JW90" s="569"/>
      <c r="JX90" s="569"/>
      <c r="JY90" s="569"/>
      <c r="JZ90" s="569"/>
      <c r="KA90" s="569"/>
      <c r="KB90" s="569"/>
      <c r="KC90" s="569"/>
      <c r="KD90" s="569"/>
      <c r="KE90" s="569"/>
      <c r="KF90" s="569"/>
      <c r="KG90" s="569"/>
      <c r="KH90" s="569"/>
      <c r="KI90" s="569"/>
      <c r="KJ90" s="569"/>
      <c r="KK90" s="569"/>
      <c r="KL90" s="569"/>
      <c r="KM90" s="569"/>
      <c r="KN90" s="569"/>
      <c r="KO90" s="569"/>
      <c r="KP90" s="569"/>
      <c r="KQ90" s="569"/>
      <c r="KR90" s="569"/>
      <c r="KS90" s="569"/>
      <c r="KT90" s="569"/>
      <c r="KU90" s="569"/>
      <c r="KV90" s="569"/>
      <c r="KW90" s="569"/>
      <c r="KX90" s="569"/>
      <c r="KY90" s="569"/>
      <c r="KZ90" s="569"/>
      <c r="LA90" s="569"/>
      <c r="LB90" s="569"/>
      <c r="LC90" s="569"/>
      <c r="LD90" s="569"/>
      <c r="LE90" s="569"/>
      <c r="LF90" s="569"/>
      <c r="LG90" s="569"/>
      <c r="LH90" s="569"/>
      <c r="LI90" s="569"/>
      <c r="LJ90" s="569"/>
      <c r="LK90" s="569"/>
      <c r="LL90" s="569"/>
      <c r="LM90" s="569"/>
      <c r="LN90" s="569"/>
      <c r="LO90" s="569"/>
      <c r="LP90" s="569"/>
      <c r="LQ90" s="569"/>
      <c r="LR90" s="569"/>
      <c r="LS90" s="569"/>
      <c r="LT90" s="569"/>
      <c r="LU90" s="569"/>
      <c r="LV90" s="569"/>
      <c r="LW90" s="569"/>
      <c r="LX90" s="569"/>
      <c r="LY90" s="569"/>
      <c r="LZ90" s="569"/>
      <c r="MA90" s="569"/>
      <c r="MB90" s="569"/>
      <c r="MC90" s="569"/>
      <c r="MD90" s="569"/>
      <c r="ME90" s="569"/>
      <c r="MF90" s="569"/>
      <c r="MG90" s="569"/>
      <c r="MH90" s="569"/>
      <c r="MI90" s="569"/>
      <c r="MJ90" s="569"/>
      <c r="MK90" s="569"/>
      <c r="ML90" s="569"/>
      <c r="MM90" s="569"/>
      <c r="MN90" s="569"/>
      <c r="MO90" s="569"/>
      <c r="MP90" s="569"/>
      <c r="MQ90" s="569"/>
      <c r="MR90" s="569"/>
      <c r="MS90" s="569"/>
      <c r="MT90" s="569"/>
      <c r="MU90" s="569"/>
      <c r="MV90" s="569"/>
      <c r="MW90" s="569"/>
      <c r="MX90" s="569"/>
      <c r="MY90" s="569"/>
      <c r="MZ90" s="569"/>
      <c r="NA90" s="569"/>
      <c r="NB90" s="569"/>
      <c r="NC90" s="569"/>
      <c r="ND90" s="569"/>
      <c r="NE90" s="569"/>
      <c r="NF90" s="569"/>
      <c r="NG90" s="569"/>
      <c r="NH90" s="569"/>
      <c r="NI90" s="569"/>
      <c r="NJ90" s="569"/>
      <c r="NK90" s="569"/>
      <c r="NL90" s="569"/>
      <c r="NM90" s="569"/>
      <c r="NN90" s="569"/>
      <c r="NO90" s="569"/>
      <c r="NP90" s="569"/>
      <c r="NQ90" s="569"/>
      <c r="NR90" s="569"/>
      <c r="NS90" s="569"/>
      <c r="NT90" s="569"/>
      <c r="NU90" s="569"/>
      <c r="NV90" s="569"/>
      <c r="NW90" s="569"/>
      <c r="NX90" s="569"/>
      <c r="NY90" s="569"/>
      <c r="NZ90" s="569"/>
      <c r="OA90" s="569"/>
      <c r="OB90" s="569"/>
      <c r="OC90" s="569"/>
      <c r="OD90" s="569"/>
      <c r="OE90" s="569"/>
      <c r="OF90" s="569"/>
      <c r="OG90" s="569"/>
      <c r="OH90" s="569"/>
      <c r="OI90" s="569"/>
      <c r="OJ90" s="569"/>
      <c r="OK90" s="569"/>
      <c r="OL90" s="569"/>
      <c r="OM90" s="569"/>
      <c r="ON90" s="569"/>
      <c r="OO90" s="569"/>
      <c r="OP90" s="569"/>
      <c r="OQ90" s="569"/>
      <c r="OR90" s="569"/>
      <c r="OS90" s="569"/>
      <c r="OT90" s="569"/>
      <c r="OU90" s="569"/>
      <c r="OV90" s="569"/>
      <c r="OW90" s="569"/>
      <c r="OX90" s="569"/>
      <c r="OY90" s="569"/>
      <c r="OZ90" s="569"/>
      <c r="PA90" s="569"/>
      <c r="PB90" s="569"/>
      <c r="PC90" s="569"/>
      <c r="PD90" s="569"/>
      <c r="PE90" s="569"/>
      <c r="PF90" s="569"/>
      <c r="PG90" s="569"/>
      <c r="PH90" s="569"/>
      <c r="PI90" s="569"/>
      <c r="PJ90" s="569"/>
      <c r="PK90" s="569"/>
      <c r="PL90" s="569"/>
      <c r="PM90" s="569"/>
      <c r="PN90" s="569"/>
      <c r="PO90" s="569"/>
      <c r="PP90" s="569"/>
      <c r="PQ90" s="569"/>
      <c r="PR90" s="569"/>
      <c r="PS90" s="569"/>
      <c r="PT90" s="569"/>
      <c r="PU90" s="569"/>
      <c r="PV90" s="569"/>
      <c r="PW90" s="569"/>
      <c r="PX90" s="569"/>
      <c r="PY90" s="569"/>
      <c r="PZ90" s="569"/>
      <c r="QA90" s="569"/>
      <c r="QB90" s="569"/>
      <c r="QC90" s="569"/>
      <c r="QD90" s="569"/>
      <c r="QE90" s="569"/>
      <c r="QF90" s="569"/>
      <c r="QG90" s="569"/>
      <c r="QH90" s="569"/>
      <c r="QI90" s="569"/>
      <c r="QJ90" s="569"/>
      <c r="QK90" s="569"/>
      <c r="QL90" s="569"/>
    </row>
    <row r="91" spans="1:454" ht="30">
      <c r="D91" s="568"/>
      <c r="E91" s="568"/>
      <c r="F91" s="568"/>
      <c r="G91" s="568"/>
      <c r="H91" s="563" t="str">
        <f>'matrik MISI 4'!N32</f>
        <v>Persentase APK Pendidikan Menengah</v>
      </c>
      <c r="I91" s="563" t="str">
        <f>'matrik MISI 4'!O32</f>
        <v>%</v>
      </c>
      <c r="J91" s="563">
        <f>'matrik MISI 4'!P32</f>
        <v>56.56</v>
      </c>
      <c r="K91" s="563">
        <f>'matrik MISI 4'!Q32</f>
        <v>56.66</v>
      </c>
      <c r="L91" s="563">
        <f>'matrik MISI 4'!R32</f>
        <v>56.76</v>
      </c>
      <c r="M91" s="604"/>
      <c r="N91" s="563">
        <f>'matrik MISI 4'!S32</f>
        <v>56.86</v>
      </c>
      <c r="O91" s="564"/>
      <c r="P91" s="563">
        <f>'matrik MISI 4'!T32</f>
        <v>56.96</v>
      </c>
      <c r="Q91" s="564"/>
      <c r="R91" s="563">
        <f>'matrik MISI 4'!U32</f>
        <v>57.06</v>
      </c>
      <c r="S91" s="564"/>
      <c r="T91" s="563">
        <f>'matrik MISI 4'!V32</f>
        <v>57.16</v>
      </c>
      <c r="U91" s="564"/>
      <c r="V91" s="563">
        <f>'matrik MISI 4'!W32</f>
        <v>57.16</v>
      </c>
      <c r="W91" s="564"/>
      <c r="X91" s="563" t="str">
        <f>'matrik MISI 4'!X32</f>
        <v>Dinas Pendidikan</v>
      </c>
      <c r="Y91" s="565" t="str">
        <f>'matrik MISI 4'!Y32</f>
        <v>Jumlah siswa SMA/MA/SMK-sederajat dibagi jumlah penduduk usia 16-18 tahun kali 100%</v>
      </c>
      <c r="Z91" s="565">
        <f>'matrik MISI 4'!Z32</f>
        <v>0</v>
      </c>
    </row>
    <row r="92" spans="1:454" ht="30">
      <c r="G92" s="563"/>
      <c r="H92" s="563" t="str">
        <f>'matrik MISI 4'!N33</f>
        <v>Persentase APM Pendidikan Menengah</v>
      </c>
      <c r="I92" s="563" t="str">
        <f>'matrik MISI 4'!O33</f>
        <v>%</v>
      </c>
      <c r="J92" s="563">
        <f>'matrik MISI 4'!P33</f>
        <v>39.549999999999997</v>
      </c>
      <c r="K92" s="563">
        <f>'matrik MISI 4'!Q33</f>
        <v>39.65</v>
      </c>
      <c r="L92" s="563">
        <f>'matrik MISI 4'!R33</f>
        <v>39.75</v>
      </c>
      <c r="M92" s="604"/>
      <c r="N92" s="563">
        <f>'matrik MISI 4'!S33</f>
        <v>39.85</v>
      </c>
      <c r="O92" s="564"/>
      <c r="P92" s="563" t="str">
        <f>'matrik MISI 4'!T33</f>
        <v>39..95</v>
      </c>
      <c r="Q92" s="564"/>
      <c r="R92" s="563">
        <f>'matrik MISI 4'!U33</f>
        <v>40.049999999999997</v>
      </c>
      <c r="S92" s="564"/>
      <c r="T92" s="563">
        <f>'matrik MISI 4'!V33</f>
        <v>40.15</v>
      </c>
      <c r="U92" s="564"/>
      <c r="V92" s="563">
        <f>'matrik MISI 4'!W33</f>
        <v>40.15</v>
      </c>
      <c r="W92" s="564"/>
      <c r="X92" s="563" t="str">
        <f>'matrik MISI 4'!X33</f>
        <v>Dinas Pendidikan</v>
      </c>
      <c r="Y92" s="565" t="str">
        <f>'matrik MISI 4'!Y33</f>
        <v>Jumlah siswa SMA/MA/SMK-sederajat usia 16-18 tahundibagi jumlah penduduk usia 16-18 tahun kali 100%</v>
      </c>
      <c r="Z92" s="565">
        <f>'matrik MISI 4'!Z33</f>
        <v>0</v>
      </c>
    </row>
    <row r="93" spans="1:454" ht="30">
      <c r="G93" s="563"/>
      <c r="H93" s="563" t="str">
        <f>'matrik MISI 4'!N34</f>
        <v>Angka Melanjutkan ke Jenjang Pendidikan Menengah</v>
      </c>
      <c r="I93" s="563" t="str">
        <f>'matrik MISI 4'!O34</f>
        <v>%</v>
      </c>
      <c r="J93" s="563">
        <f>'matrik MISI 4'!P34</f>
        <v>65.479140850888058</v>
      </c>
      <c r="K93" s="563">
        <f>'matrik MISI 4'!Q34</f>
        <v>65.569999999999993</v>
      </c>
      <c r="L93" s="563">
        <f>'matrik MISI 4'!R34</f>
        <v>65.66</v>
      </c>
      <c r="M93" s="604"/>
      <c r="N93" s="563">
        <f>'matrik MISI 4'!S34</f>
        <v>65.75</v>
      </c>
      <c r="O93" s="564"/>
      <c r="P93" s="563">
        <f>'matrik MISI 4'!T34</f>
        <v>65.84</v>
      </c>
      <c r="Q93" s="564"/>
      <c r="R93" s="563">
        <f>'matrik MISI 4'!U34</f>
        <v>65.930000000000007</v>
      </c>
      <c r="S93" s="564"/>
      <c r="T93" s="563">
        <f>'matrik MISI 4'!V34</f>
        <v>66.02</v>
      </c>
      <c r="U93" s="564"/>
      <c r="V93" s="563">
        <f>'matrik MISI 4'!W34</f>
        <v>66.02</v>
      </c>
      <c r="W93" s="564"/>
      <c r="X93" s="563" t="str">
        <f>'matrik MISI 4'!X34</f>
        <v>Dinas Pendidikan</v>
      </c>
      <c r="Y93" s="565" t="str">
        <f>'matrik MISI 4'!Y34</f>
        <v>Jumlah lulusan SMP/MTs tahun T-1 dibagi jumlah siswa baru tingkat I SMA/MA/SMK tahun T kali 100%</v>
      </c>
      <c r="Z93" s="565">
        <f>'matrik MISI 4'!Z34</f>
        <v>0</v>
      </c>
    </row>
    <row r="94" spans="1:454" ht="45">
      <c r="G94" s="563"/>
      <c r="H94" s="563" t="str">
        <f>'matrik MISI 4'!N35</f>
        <v>Persentase Partisipasi Anak Perempuan dalam Pendidikan Menengah</v>
      </c>
      <c r="I94" s="563" t="str">
        <f>'matrik MISI 4'!O35</f>
        <v>%</v>
      </c>
      <c r="J94" s="563">
        <f>'matrik MISI 4'!P35</f>
        <v>51.247836525040483</v>
      </c>
      <c r="K94" s="563">
        <f>'matrik MISI 4'!Q35</f>
        <v>51.25</v>
      </c>
      <c r="L94" s="563">
        <f>'matrik MISI 4'!R35</f>
        <v>51.17</v>
      </c>
      <c r="M94" s="604"/>
      <c r="N94" s="563">
        <f>'matrik MISI 4'!S35</f>
        <v>51.09</v>
      </c>
      <c r="O94" s="564"/>
      <c r="P94" s="563">
        <f>'matrik MISI 4'!T35</f>
        <v>51.01</v>
      </c>
      <c r="Q94" s="564"/>
      <c r="R94" s="563">
        <f>'matrik MISI 4'!U35</f>
        <v>50.93</v>
      </c>
      <c r="S94" s="564"/>
      <c r="T94" s="563">
        <f>'matrik MISI 4'!V35</f>
        <v>50.85</v>
      </c>
      <c r="U94" s="564"/>
      <c r="V94" s="563">
        <f>'matrik MISI 4'!W35</f>
        <v>50.85</v>
      </c>
      <c r="W94" s="564"/>
      <c r="X94" s="563" t="str">
        <f>'matrik MISI 4'!X35</f>
        <v>Dinas Pendidikan</v>
      </c>
      <c r="Y94" s="565" t="str">
        <f>'matrik MISI 4'!Y35</f>
        <v>Jumlah siswa perempuan SMA/MA/SMK dibagi jumlah siswa perempuan dan laki-laki SMA/MA/SMK kali 100%</v>
      </c>
      <c r="Z94" s="565">
        <f>'matrik MISI 4'!Z35</f>
        <v>0</v>
      </c>
    </row>
    <row r="95" spans="1:454">
      <c r="G95" s="563"/>
      <c r="H95" s="563" t="str">
        <f>'matrik MISI 4'!N36</f>
        <v>Rasio Siswa per Kelas SMA/MA</v>
      </c>
      <c r="I95" s="563" t="str">
        <f>'matrik MISI 4'!O36</f>
        <v>Rasio</v>
      </c>
      <c r="J95" s="563" t="str">
        <f>'matrik MISI 4'!P36</f>
        <v>1 : 28</v>
      </c>
      <c r="K95" s="563" t="str">
        <f>'matrik MISI 4'!Q36</f>
        <v>1 : 28</v>
      </c>
      <c r="L95" s="563" t="str">
        <f>'matrik MISI 4'!R36</f>
        <v>1:29</v>
      </c>
      <c r="M95" s="604"/>
      <c r="N95" s="563" t="str">
        <f>'matrik MISI 4'!S36</f>
        <v>1:29</v>
      </c>
      <c r="O95" s="564"/>
      <c r="P95" s="563" t="str">
        <f>'matrik MISI 4'!T36</f>
        <v>1:30</v>
      </c>
      <c r="Q95" s="564"/>
      <c r="R95" s="563" t="str">
        <f>'matrik MISI 4'!U36</f>
        <v>1:30</v>
      </c>
      <c r="S95" s="564"/>
      <c r="T95" s="563">
        <f>'matrik MISI 4'!V36</f>
        <v>0</v>
      </c>
      <c r="U95" s="564"/>
      <c r="V95" s="563">
        <f>'matrik MISI 4'!W36</f>
        <v>0</v>
      </c>
      <c r="W95" s="564"/>
      <c r="X95" s="563" t="str">
        <f>'matrik MISI 4'!X36</f>
        <v>Dinas Pendidikan</v>
      </c>
      <c r="Y95" s="565" t="str">
        <f>'matrik MISI 4'!Y36</f>
        <v>Jumlah siswa SMA/MA dibagi jumlah kelas SMA/MA</v>
      </c>
      <c r="Z95" s="565">
        <f>'matrik MISI 4'!Z36</f>
        <v>0</v>
      </c>
    </row>
    <row r="96" spans="1:454">
      <c r="G96" s="563"/>
      <c r="H96" s="563" t="str">
        <f>'matrik MISI 4'!N37</f>
        <v>Rasio Siswa per Kelas SMK</v>
      </c>
      <c r="I96" s="563" t="str">
        <f>'matrik MISI 4'!O37</f>
        <v>Rasio</v>
      </c>
      <c r="J96" s="563" t="str">
        <f>'matrik MISI 4'!P37</f>
        <v>1 : 32</v>
      </c>
      <c r="K96" s="563" t="str">
        <f>'matrik MISI 4'!Q37</f>
        <v>1 : 32</v>
      </c>
      <c r="L96" s="563" t="str">
        <f>'matrik MISI 4'!R37</f>
        <v>1 : 32</v>
      </c>
      <c r="M96" s="604"/>
      <c r="N96" s="563" t="str">
        <f>'matrik MISI 4'!S37</f>
        <v>1 : 32</v>
      </c>
      <c r="O96" s="564"/>
      <c r="P96" s="563" t="str">
        <f>'matrik MISI 4'!T37</f>
        <v>1 : 32</v>
      </c>
      <c r="Q96" s="564"/>
      <c r="R96" s="563" t="str">
        <f>'matrik MISI 4'!U37</f>
        <v>1 : 32</v>
      </c>
      <c r="S96" s="564"/>
      <c r="T96" s="563" t="str">
        <f>'matrik MISI 4'!V37</f>
        <v>1 : 32</v>
      </c>
      <c r="U96" s="564"/>
      <c r="V96" s="563" t="str">
        <f>'matrik MISI 4'!W37</f>
        <v>1 : 32</v>
      </c>
      <c r="W96" s="564"/>
      <c r="X96" s="563" t="str">
        <f>'matrik MISI 4'!X37</f>
        <v>Dinas Pendidikan</v>
      </c>
      <c r="Y96" s="565" t="str">
        <f>'matrik MISI 4'!Y37</f>
        <v>Jumlah siswa SMK dibagi jumlah kelas SMK</v>
      </c>
      <c r="Z96" s="565">
        <f>'matrik MISI 4'!Z37</f>
        <v>0</v>
      </c>
    </row>
    <row r="97" spans="1:454" ht="60">
      <c r="G97" s="563"/>
      <c r="H97" s="563" t="str">
        <f>'matrik MISI 4'!N38</f>
        <v>Persentase Siswa Miskin Penerima Beasiswa untuk Menempuh Pendidikan Menengah</v>
      </c>
      <c r="I97" s="563" t="str">
        <f>'matrik MISI 4'!O38</f>
        <v>%</v>
      </c>
      <c r="J97" s="563">
        <f>'matrik MISI 4'!P38</f>
        <v>0</v>
      </c>
      <c r="K97" s="563">
        <f>'matrik MISI 4'!Q38</f>
        <v>24</v>
      </c>
      <c r="L97" s="563" t="str">
        <f>'matrik MISI 4'!R38</f>
        <v>29,35</v>
      </c>
      <c r="M97" s="604"/>
      <c r="N97" s="563" t="str">
        <f>'matrik MISI 4'!S38</f>
        <v>34,70</v>
      </c>
      <c r="O97" s="564"/>
      <c r="P97" s="563" t="str">
        <f>'matrik MISI 4'!T38</f>
        <v>40,06</v>
      </c>
      <c r="Q97" s="564"/>
      <c r="R97" s="563" t="str">
        <f>'matrik MISI 4'!U38</f>
        <v>45,41</v>
      </c>
      <c r="S97" s="564"/>
      <c r="T97" s="563" t="str">
        <f>'matrik MISI 4'!V38</f>
        <v>50,76</v>
      </c>
      <c r="U97" s="564"/>
      <c r="V97" s="563" t="str">
        <f>'matrik MISI 4'!W38</f>
        <v>50,76</v>
      </c>
      <c r="W97" s="564"/>
      <c r="X97" s="563" t="str">
        <f>'matrik MISI 4'!X38</f>
        <v>Dinas Pendidikan</v>
      </c>
      <c r="Y97" s="565" t="str">
        <f>'matrik MISI 4'!Y38</f>
        <v>Jumlah siswa miskin SMA/MA/SMK penerima bantuan/beasiswa miskin dibagi jumlah siswa miskin SMA/MA/SMK kali 100%</v>
      </c>
      <c r="Z97" s="565">
        <f>'matrik MISI 4'!Z38</f>
        <v>0</v>
      </c>
    </row>
    <row r="98" spans="1:454" ht="90">
      <c r="G98" s="563"/>
      <c r="H98" s="563" t="str">
        <f>'matrik MISI 4'!N39</f>
        <v>Tersedianya layanan pendidikan menengah di setiap kecamatan</v>
      </c>
      <c r="I98" s="563" t="str">
        <f>'matrik MISI 4'!O39</f>
        <v>%</v>
      </c>
      <c r="J98" s="563">
        <f>'matrik MISI 4'!P39</f>
        <v>80</v>
      </c>
      <c r="K98" s="563">
        <f>'matrik MISI 4'!Q39</f>
        <v>75</v>
      </c>
      <c r="L98" s="563">
        <f>'matrik MISI 4'!R39</f>
        <v>75</v>
      </c>
      <c r="M98" s="604"/>
      <c r="N98" s="563">
        <f>'matrik MISI 4'!S39</f>
        <v>75</v>
      </c>
      <c r="O98" s="564"/>
      <c r="P98" s="563">
        <f>'matrik MISI 4'!T39</f>
        <v>80</v>
      </c>
      <c r="Q98" s="564"/>
      <c r="R98" s="563">
        <f>'matrik MISI 4'!U39</f>
        <v>80</v>
      </c>
      <c r="S98" s="564"/>
      <c r="T98" s="563">
        <f>'matrik MISI 4'!V39</f>
        <v>80</v>
      </c>
      <c r="U98" s="564"/>
      <c r="V98" s="563">
        <f>'matrik MISI 4'!W39</f>
        <v>80</v>
      </c>
      <c r="W98" s="564"/>
      <c r="X98" s="563" t="str">
        <f>'matrik MISI 4'!X39</f>
        <v>Dinas Pendidikan</v>
      </c>
      <c r="Y98" s="565" t="str">
        <f>'matrik MISI 4'!Y39</f>
        <v>Jumlah kecamatan yang sudah memiliki lembaga pendidikan menengah dibagi jumlah Kecamatan kali 100%</v>
      </c>
      <c r="Z98" s="565"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99" spans="1:454" ht="30">
      <c r="G99" s="563"/>
      <c r="H99" s="563" t="str">
        <f>'matrik MISI 4'!N40</f>
        <v>Angka Partisipasi Sekolah 16-18 Tahun</v>
      </c>
      <c r="I99" s="563" t="str">
        <f>'matrik MISI 4'!O40</f>
        <v>%</v>
      </c>
      <c r="J99" s="563">
        <f>'matrik MISI 4'!P40</f>
        <v>43.89</v>
      </c>
      <c r="K99" s="563">
        <f>'matrik MISI 4'!Q40</f>
        <v>43.89</v>
      </c>
      <c r="L99" s="563">
        <f>'matrik MISI 4'!R40</f>
        <v>43.97</v>
      </c>
      <c r="M99" s="604"/>
      <c r="N99" s="563">
        <f>'matrik MISI 4'!S40</f>
        <v>44.05</v>
      </c>
      <c r="O99" s="564"/>
      <c r="P99" s="563">
        <f>'matrik MISI 4'!T40</f>
        <v>44.13</v>
      </c>
      <c r="Q99" s="564"/>
      <c r="R99" s="563">
        <f>'matrik MISI 4'!U40</f>
        <v>44.21</v>
      </c>
      <c r="S99" s="564"/>
      <c r="T99" s="563">
        <f>'matrik MISI 4'!V40</f>
        <v>44.29</v>
      </c>
      <c r="U99" s="564"/>
      <c r="V99" s="563">
        <f>'matrik MISI 4'!W40</f>
        <v>44.29</v>
      </c>
      <c r="W99" s="564"/>
      <c r="X99" s="563" t="str">
        <f>'matrik MISI 4'!X40</f>
        <v>Dinas Pendidikan</v>
      </c>
      <c r="Y99" s="565" t="str">
        <f>'matrik MISI 4'!Y40</f>
        <v>Jumlah siswa SMP/MTs/SMA/MA/SMK usia 16-18 tahun dibagi jumlah penduduk usia 16-18 tahun kali 100%</v>
      </c>
      <c r="Z99" s="565">
        <f>'matrik MISI 4'!Z40</f>
        <v>0</v>
      </c>
    </row>
    <row r="100" spans="1:454" ht="45">
      <c r="G100" s="563"/>
      <c r="H100" s="563" t="str">
        <f>'matrik MISI 4'!N41</f>
        <v>Rasio ketersediaan sekolah (SMA/MA/SMK) per Penduduk Usia 16-18 Tahun</v>
      </c>
      <c r="I100" s="563" t="str">
        <f>'matrik MISI 4'!O41</f>
        <v>Unit/10 000 penduduk usia sekolah</v>
      </c>
      <c r="J100" s="563" t="str">
        <f>'matrik MISI 4'!P41</f>
        <v>14,71</v>
      </c>
      <c r="K100" s="563" t="str">
        <f>'matrik MISI 4'!Q41</f>
        <v>14,28</v>
      </c>
      <c r="L100" s="563" t="str">
        <f>'matrik MISI 4'!R41</f>
        <v>14,12</v>
      </c>
      <c r="M100" s="604"/>
      <c r="N100" s="563" t="str">
        <f>'matrik MISI 4'!S41</f>
        <v>13,96</v>
      </c>
      <c r="O100" s="564"/>
      <c r="P100" s="563" t="str">
        <f>'matrik MISI 4'!T41</f>
        <v>13,91</v>
      </c>
      <c r="Q100" s="564"/>
      <c r="R100" s="563" t="str">
        <f>'matrik MISI 4'!U41</f>
        <v>13,75</v>
      </c>
      <c r="S100" s="564"/>
      <c r="T100" s="563" t="str">
        <f>'matrik MISI 4'!V41</f>
        <v>13,57</v>
      </c>
      <c r="U100" s="564"/>
      <c r="V100" s="563" t="str">
        <f>'matrik MISI 4'!W41</f>
        <v>13,57</v>
      </c>
      <c r="W100" s="564"/>
      <c r="X100" s="563" t="str">
        <f>'matrik MISI 4'!X41</f>
        <v>Dinas Pendidikan</v>
      </c>
      <c r="Y100" s="565" t="str">
        <f>'matrik MISI 4'!Y41</f>
        <v>Jumlah satuan pendidikan SMA/MA/SMK dibagi jumlah penduduk usia 16-18 tahun</v>
      </c>
      <c r="Z100" s="565" t="str">
        <f>'matrik MISI 4'!Z41</f>
        <v>Maksudnya apa?</v>
      </c>
    </row>
    <row r="101" spans="1:454" ht="30">
      <c r="G101" s="563"/>
      <c r="H101" s="563" t="str">
        <f>'matrik MISI 4'!N75</f>
        <v>Angka Putus Sekolah SMA/MA/SMK</v>
      </c>
      <c r="I101" s="563" t="str">
        <f>'matrik MISI 4'!O75</f>
        <v>%</v>
      </c>
      <c r="J101" s="563">
        <f>'matrik MISI 4'!P75</f>
        <v>1.1807668898356665</v>
      </c>
      <c r="K101" s="563">
        <f>'matrik MISI 4'!Q75</f>
        <v>1.64</v>
      </c>
      <c r="L101" s="563">
        <f>'matrik MISI 4'!R75</f>
        <v>1.62</v>
      </c>
      <c r="M101" s="604"/>
      <c r="N101" s="563">
        <f>'matrik MISI 4'!S75</f>
        <v>1.6</v>
      </c>
      <c r="O101" s="564"/>
      <c r="P101" s="563">
        <f>'matrik MISI 4'!T75</f>
        <v>1.58</v>
      </c>
      <c r="Q101" s="564"/>
      <c r="R101" s="563">
        <f>'matrik MISI 4'!U75</f>
        <v>1.56</v>
      </c>
      <c r="S101" s="564"/>
      <c r="T101" s="563">
        <f>'matrik MISI 4'!V75</f>
        <v>1.54</v>
      </c>
      <c r="U101" s="564"/>
      <c r="V101" s="563">
        <f>'matrik MISI 4'!W75</f>
        <v>1.54</v>
      </c>
      <c r="W101" s="564"/>
      <c r="X101" s="563" t="str">
        <f>'matrik MISI 4'!X75</f>
        <v>Dinas Pendidikan</v>
      </c>
      <c r="Y101" s="565" t="str">
        <f>'matrik MISI 4'!Y75</f>
        <v>Jumlah siswa putus sekolah SMA/MA/SMK dibagi jumlah siswa SMA/MA/SMK kali 100%</v>
      </c>
      <c r="Z101" s="565">
        <f>'matrik MISI 4'!Z75</f>
        <v>0</v>
      </c>
    </row>
    <row r="102" spans="1:454" ht="30">
      <c r="G102" s="563"/>
      <c r="H102" s="563" t="str">
        <f>'matrik MISI 4'!N125</f>
        <v>Persentase ruang kelas SMA/MA yang kondisinya baik</v>
      </c>
      <c r="I102" s="563" t="str">
        <f>'matrik MISI 4'!O125</f>
        <v>%</v>
      </c>
      <c r="J102" s="563">
        <f>'matrik MISI 4'!P125</f>
        <v>95.3125</v>
      </c>
      <c r="K102" s="563">
        <f>'matrik MISI 4'!Q125</f>
        <v>96.59</v>
      </c>
      <c r="L102" s="563">
        <f>'matrik MISI 4'!R125</f>
        <v>97.37</v>
      </c>
      <c r="M102" s="604"/>
      <c r="N102" s="563">
        <f>'matrik MISI 4'!S125</f>
        <v>98.15</v>
      </c>
      <c r="O102" s="564"/>
      <c r="P102" s="563">
        <f>'matrik MISI 4'!T125</f>
        <v>98.93</v>
      </c>
      <c r="Q102" s="564"/>
      <c r="R102" s="563">
        <f>'matrik MISI 4'!U125</f>
        <v>99.71</v>
      </c>
      <c r="S102" s="564"/>
      <c r="T102" s="563">
        <f>'matrik MISI 4'!V125</f>
        <v>100</v>
      </c>
      <c r="U102" s="564"/>
      <c r="V102" s="563">
        <f>'matrik MISI 4'!W125</f>
        <v>100</v>
      </c>
      <c r="W102" s="564"/>
      <c r="X102" s="563" t="str">
        <f>'matrik MISI 4'!X125</f>
        <v>Dinas Pendidikan</v>
      </c>
      <c r="Y102" s="565" t="str">
        <f>'matrik MISI 4'!Y125</f>
        <v>Jumlah ruang kelas SMA/MA yang kondisinya baik dibagi jumlah ruang kelas SMA/MA kali 100%</v>
      </c>
      <c r="Z102" s="565">
        <f>'matrik MISI 4'!Z125</f>
        <v>0</v>
      </c>
    </row>
    <row r="103" spans="1:454" ht="30">
      <c r="G103" s="563"/>
      <c r="H103" s="563" t="str">
        <f>'matrik MISI 4'!N126</f>
        <v>Persentase ruang kelas SMK yang kondisinya baik</v>
      </c>
      <c r="I103" s="563" t="str">
        <f>'matrik MISI 4'!O126</f>
        <v>%</v>
      </c>
      <c r="J103" s="563">
        <f>'matrik MISI 4'!P126</f>
        <v>98.107255520504737</v>
      </c>
      <c r="K103" s="563">
        <f>'matrik MISI 4'!Q126</f>
        <v>98.75</v>
      </c>
      <c r="L103" s="563">
        <f>'matrik MISI 4'!R126</f>
        <v>99.39</v>
      </c>
      <c r="M103" s="604"/>
      <c r="N103" s="563">
        <f>'matrik MISI 4'!S126</f>
        <v>100</v>
      </c>
      <c r="O103" s="564"/>
      <c r="P103" s="563">
        <f>'matrik MISI 4'!T126</f>
        <v>99.39</v>
      </c>
      <c r="Q103" s="564"/>
      <c r="R103" s="563">
        <f>'matrik MISI 4'!U126</f>
        <v>99.39</v>
      </c>
      <c r="S103" s="564"/>
      <c r="T103" s="563">
        <f>'matrik MISI 4'!V126</f>
        <v>99.39</v>
      </c>
      <c r="U103" s="564"/>
      <c r="V103" s="563">
        <f>'matrik MISI 4'!W126</f>
        <v>99.39</v>
      </c>
      <c r="W103" s="564"/>
      <c r="X103" s="563" t="str">
        <f>'matrik MISI 4'!X126</f>
        <v>Dinas Pendidikan</v>
      </c>
      <c r="Y103" s="565" t="str">
        <f>'matrik MISI 4'!Y126</f>
        <v>Jumlah ruang kelas SMK yang kondisinya baik dibagi jumlah ruang kelas SMK kali 100%</v>
      </c>
      <c r="Z103" s="565">
        <f>'matrik MISI 4'!Z126</f>
        <v>0</v>
      </c>
    </row>
    <row r="104" spans="1:454" ht="60">
      <c r="G104" s="563"/>
      <c r="H104" s="563" t="str">
        <f>'matrik MISI 4'!N127</f>
        <v>Persentase SMA/MA yang memiliki sarana dan prasarana sesuai dengan standar sarana  prasarana</v>
      </c>
      <c r="I104" s="563" t="str">
        <f>'matrik MISI 4'!O127</f>
        <v>%</v>
      </c>
      <c r="J104" s="563">
        <f>'matrik MISI 4'!P127</f>
        <v>80</v>
      </c>
      <c r="K104" s="563">
        <f>'matrik MISI 4'!Q127</f>
        <v>74.069999999999993</v>
      </c>
      <c r="L104" s="563">
        <f>'matrik MISI 4'!R127</f>
        <v>81.47</v>
      </c>
      <c r="M104" s="604"/>
      <c r="N104" s="563">
        <f>'matrik MISI 4'!S127</f>
        <v>8.8699999999999992</v>
      </c>
      <c r="O104" s="564"/>
      <c r="P104" s="563">
        <f>'matrik MISI 4'!T127</f>
        <v>96.27</v>
      </c>
      <c r="Q104" s="564"/>
      <c r="R104" s="563">
        <f>'matrik MISI 4'!U127</f>
        <v>96.27</v>
      </c>
      <c r="S104" s="564"/>
      <c r="T104" s="563">
        <f>'matrik MISI 4'!V127</f>
        <v>96.27</v>
      </c>
      <c r="U104" s="564"/>
      <c r="V104" s="563">
        <f>'matrik MISI 4'!W127</f>
        <v>96.27</v>
      </c>
      <c r="W104" s="564"/>
      <c r="X104" s="563" t="str">
        <f>'matrik MISI 4'!X127</f>
        <v>Dinas Pendidikan</v>
      </c>
      <c r="Y104" s="565" t="str">
        <f>'matrik MISI 4'!Y127</f>
        <v>Jumlah SMA/MA yang memiliki sarana dan prasarana sesuai dengan standar sarana  prasarana dibagi jumlah SMA/MA kali 100%</v>
      </c>
      <c r="Z104" s="565">
        <f>'matrik MISI 4'!Z127</f>
        <v>0</v>
      </c>
    </row>
    <row r="105" spans="1:454" ht="60">
      <c r="G105" s="563"/>
      <c r="H105" s="563" t="str">
        <f>'matrik MISI 4'!N128</f>
        <v>Persentase SMK yang memiliki sarana dan prasarana sesuai dengan standar sarana  prasarana</v>
      </c>
      <c r="I105" s="563" t="str">
        <f>'matrik MISI 4'!O128</f>
        <v>%</v>
      </c>
      <c r="J105" s="563">
        <f>'matrik MISI 4'!P128</f>
        <v>80</v>
      </c>
      <c r="K105" s="563">
        <f>'matrik MISI 4'!Q128</f>
        <v>81.819999999999993</v>
      </c>
      <c r="L105" s="563">
        <f>'matrik MISI 4'!R128</f>
        <v>86.37</v>
      </c>
      <c r="M105" s="604"/>
      <c r="N105" s="563">
        <f>'matrik MISI 4'!S128</f>
        <v>90.92</v>
      </c>
      <c r="O105" s="564"/>
      <c r="P105" s="563">
        <f>'matrik MISI 4'!T128</f>
        <v>95.47</v>
      </c>
      <c r="Q105" s="564"/>
      <c r="R105" s="563">
        <f>'matrik MISI 4'!U128</f>
        <v>95.47</v>
      </c>
      <c r="S105" s="564"/>
      <c r="T105" s="563">
        <f>'matrik MISI 4'!V128</f>
        <v>95.47</v>
      </c>
      <c r="U105" s="564"/>
      <c r="V105" s="563">
        <f>'matrik MISI 4'!W128</f>
        <v>95.47</v>
      </c>
      <c r="W105" s="564"/>
      <c r="X105" s="563" t="str">
        <f>'matrik MISI 4'!X128</f>
        <v>Dinas Pendidikan</v>
      </c>
      <c r="Y105" s="565" t="str">
        <f>'matrik MISI 4'!Y128</f>
        <v>Jumlah SMK yang memiliki sarana dan prasarana sesuai dengan standar sarana  prasarana dibagi jumlah SMK kali 100%</v>
      </c>
      <c r="Z105" s="565">
        <f>'matrik MISI 4'!Z128</f>
        <v>0</v>
      </c>
    </row>
    <row r="106" spans="1:454" s="574" customFormat="1" ht="33" customHeight="1">
      <c r="A106" s="569"/>
      <c r="B106" s="575"/>
      <c r="C106" s="576"/>
      <c r="D106" s="577">
        <f>'matrik MISI 4'!J43</f>
        <v>1.01</v>
      </c>
      <c r="E106" s="577" t="str">
        <f>'matrik MISI 4'!K43</f>
        <v>xx</v>
      </c>
      <c r="F106" s="577">
        <f>'matrik MISI 4'!L43</f>
        <v>18</v>
      </c>
      <c r="G106" s="577" t="str">
        <f>'matrik MISI 4'!M43</f>
        <v>Program Pendidikan Non Formal</v>
      </c>
      <c r="H106" s="577"/>
      <c r="I106" s="577"/>
      <c r="J106" s="577"/>
      <c r="K106" s="577"/>
      <c r="L106" s="577"/>
      <c r="M106" s="578">
        <f>'jangan dihapus 2'!K162</f>
        <v>1076441500</v>
      </c>
      <c r="N106" s="578"/>
      <c r="O106" s="578">
        <f>'jangan dihapus 2'!M162</f>
        <v>1136455000</v>
      </c>
      <c r="P106" s="578"/>
      <c r="Q106" s="578">
        <f>'jangan dihapus 2'!O162</f>
        <v>2499250000</v>
      </c>
      <c r="R106" s="578"/>
      <c r="S106" s="578">
        <f>'jangan dihapus 2'!Q162</f>
        <v>2509250000</v>
      </c>
      <c r="T106" s="578"/>
      <c r="U106" s="578">
        <f>'jangan dihapus 2'!S162</f>
        <v>2523000000</v>
      </c>
      <c r="V106" s="577"/>
      <c r="W106" s="578">
        <f>SUM(M106:U106)</f>
        <v>9744396500</v>
      </c>
      <c r="X106" s="577"/>
      <c r="Y106" s="577"/>
      <c r="Z106" s="577"/>
      <c r="AA106" s="569"/>
      <c r="AB106" s="569"/>
      <c r="AC106" s="569"/>
      <c r="AD106" s="569"/>
      <c r="AE106" s="569"/>
      <c r="AF106" s="569"/>
      <c r="AG106" s="569"/>
      <c r="AH106" s="569"/>
      <c r="AI106" s="569"/>
      <c r="AJ106" s="569"/>
      <c r="AK106" s="569"/>
      <c r="AL106" s="569"/>
      <c r="AM106" s="569"/>
      <c r="AN106" s="569"/>
      <c r="AO106" s="569"/>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569"/>
      <c r="BK106" s="569"/>
      <c r="BL106" s="569"/>
      <c r="BM106" s="569"/>
      <c r="BN106" s="569"/>
      <c r="BO106" s="569"/>
      <c r="BP106" s="569"/>
      <c r="BQ106" s="569"/>
      <c r="BR106" s="569"/>
      <c r="BS106" s="569"/>
      <c r="BT106" s="569"/>
      <c r="BU106" s="569"/>
      <c r="BV106" s="569"/>
      <c r="BW106" s="569"/>
      <c r="BX106" s="569"/>
      <c r="BY106" s="569"/>
      <c r="BZ106" s="569"/>
      <c r="CA106" s="569"/>
      <c r="CB106" s="569"/>
      <c r="CC106" s="569"/>
      <c r="CD106" s="569"/>
      <c r="CE106" s="569"/>
      <c r="CF106" s="569"/>
      <c r="CG106" s="569"/>
      <c r="CH106" s="569"/>
      <c r="CI106" s="569"/>
      <c r="CJ106" s="569"/>
      <c r="CK106" s="569"/>
      <c r="CL106" s="569"/>
      <c r="CM106" s="569"/>
      <c r="CN106" s="569"/>
      <c r="CO106" s="569"/>
      <c r="CP106" s="569"/>
      <c r="CQ106" s="569"/>
      <c r="CR106" s="569"/>
      <c r="CS106" s="569"/>
      <c r="CT106" s="569"/>
      <c r="CU106" s="569"/>
      <c r="CV106" s="569"/>
      <c r="CW106" s="569"/>
      <c r="CX106" s="569"/>
      <c r="CY106" s="569"/>
      <c r="CZ106" s="569"/>
      <c r="DA106" s="569"/>
      <c r="DB106" s="569"/>
      <c r="DC106" s="569"/>
      <c r="DD106" s="569"/>
      <c r="DE106" s="569"/>
      <c r="DF106" s="569"/>
      <c r="DG106" s="569"/>
      <c r="DH106" s="569"/>
      <c r="DI106" s="569"/>
      <c r="DJ106" s="569"/>
      <c r="DK106" s="569"/>
      <c r="DL106" s="569"/>
      <c r="DM106" s="569"/>
      <c r="DN106" s="569"/>
      <c r="DO106" s="569"/>
      <c r="DP106" s="569"/>
      <c r="DQ106" s="569"/>
      <c r="DR106" s="569"/>
      <c r="DS106" s="569"/>
      <c r="DT106" s="569"/>
      <c r="DU106" s="569"/>
      <c r="DV106" s="569"/>
      <c r="DW106" s="569"/>
      <c r="DX106" s="569"/>
      <c r="DY106" s="569"/>
      <c r="DZ106" s="569"/>
      <c r="EA106" s="569"/>
      <c r="EB106" s="569"/>
      <c r="EC106" s="569"/>
      <c r="ED106" s="569"/>
      <c r="EE106" s="569"/>
      <c r="EF106" s="569"/>
      <c r="EG106" s="569"/>
      <c r="EH106" s="569"/>
      <c r="EI106" s="569"/>
      <c r="EJ106" s="569"/>
      <c r="EK106" s="569"/>
      <c r="EL106" s="569"/>
      <c r="EM106" s="569"/>
      <c r="EN106" s="569"/>
      <c r="EO106" s="569"/>
      <c r="EP106" s="569"/>
      <c r="EQ106" s="569"/>
      <c r="ER106" s="569"/>
      <c r="ES106" s="569"/>
      <c r="ET106" s="569"/>
      <c r="EU106" s="569"/>
      <c r="EV106" s="569"/>
      <c r="EW106" s="569"/>
      <c r="EX106" s="569"/>
      <c r="EY106" s="569"/>
      <c r="EZ106" s="569"/>
      <c r="FA106" s="569"/>
      <c r="FB106" s="569"/>
      <c r="FC106" s="569"/>
      <c r="FD106" s="569"/>
      <c r="FE106" s="569"/>
      <c r="FF106" s="569"/>
      <c r="FG106" s="569"/>
      <c r="FH106" s="569"/>
      <c r="FI106" s="569"/>
      <c r="FJ106" s="569"/>
      <c r="FK106" s="569"/>
      <c r="FL106" s="569"/>
      <c r="FM106" s="569"/>
      <c r="FN106" s="569"/>
      <c r="FO106" s="569"/>
      <c r="FP106" s="569"/>
      <c r="FQ106" s="569"/>
      <c r="FR106" s="569"/>
      <c r="FS106" s="569"/>
      <c r="FT106" s="569"/>
      <c r="FU106" s="569"/>
      <c r="FV106" s="569"/>
      <c r="FW106" s="569"/>
      <c r="FX106" s="569"/>
      <c r="FY106" s="569"/>
      <c r="FZ106" s="569"/>
      <c r="GA106" s="569"/>
      <c r="GB106" s="569"/>
      <c r="GC106" s="569"/>
      <c r="GD106" s="569"/>
      <c r="GE106" s="569"/>
      <c r="GF106" s="569"/>
      <c r="GG106" s="569"/>
      <c r="GH106" s="569"/>
      <c r="GI106" s="569"/>
      <c r="GJ106" s="569"/>
      <c r="GK106" s="569"/>
      <c r="GL106" s="569"/>
      <c r="GM106" s="569"/>
      <c r="GN106" s="569"/>
      <c r="GO106" s="569"/>
      <c r="GP106" s="569"/>
      <c r="GQ106" s="569"/>
      <c r="GR106" s="569"/>
      <c r="GS106" s="569"/>
      <c r="GT106" s="569"/>
      <c r="GU106" s="569"/>
      <c r="GV106" s="569"/>
      <c r="GW106" s="569"/>
      <c r="GX106" s="569"/>
      <c r="GY106" s="569"/>
      <c r="GZ106" s="569"/>
      <c r="HA106" s="569"/>
      <c r="HB106" s="569"/>
      <c r="HC106" s="569"/>
      <c r="HD106" s="569"/>
      <c r="HE106" s="569"/>
      <c r="HF106" s="569"/>
      <c r="HG106" s="569"/>
      <c r="HH106" s="569"/>
      <c r="HI106" s="569"/>
      <c r="HJ106" s="569"/>
      <c r="HK106" s="569"/>
      <c r="HL106" s="569"/>
      <c r="HM106" s="569"/>
      <c r="HN106" s="569"/>
      <c r="HO106" s="569"/>
      <c r="HP106" s="569"/>
      <c r="HQ106" s="569"/>
      <c r="HR106" s="569"/>
      <c r="HS106" s="569"/>
      <c r="HT106" s="569"/>
      <c r="HU106" s="569"/>
      <c r="HV106" s="569"/>
      <c r="HW106" s="569"/>
      <c r="HX106" s="569"/>
      <c r="HY106" s="569"/>
      <c r="HZ106" s="569"/>
      <c r="IA106" s="569"/>
      <c r="IB106" s="569"/>
      <c r="IC106" s="569"/>
      <c r="ID106" s="569"/>
      <c r="IE106" s="569"/>
      <c r="IF106" s="569"/>
      <c r="IG106" s="569"/>
      <c r="IH106" s="569"/>
      <c r="II106" s="569"/>
      <c r="IJ106" s="569"/>
      <c r="IK106" s="569"/>
      <c r="IL106" s="569"/>
      <c r="IM106" s="569"/>
      <c r="IN106" s="569"/>
      <c r="IO106" s="569"/>
      <c r="IP106" s="569"/>
      <c r="IQ106" s="569"/>
      <c r="IR106" s="569"/>
      <c r="IS106" s="569"/>
      <c r="IT106" s="569"/>
      <c r="IU106" s="569"/>
      <c r="IV106" s="569"/>
      <c r="IW106" s="569"/>
      <c r="IX106" s="569"/>
      <c r="IY106" s="569"/>
      <c r="IZ106" s="569"/>
      <c r="JA106" s="569"/>
      <c r="JB106" s="569"/>
      <c r="JC106" s="569"/>
      <c r="JD106" s="569"/>
      <c r="JE106" s="569"/>
      <c r="JF106" s="569"/>
      <c r="JG106" s="569"/>
      <c r="JH106" s="569"/>
      <c r="JI106" s="569"/>
      <c r="JJ106" s="569"/>
      <c r="JK106" s="569"/>
      <c r="JL106" s="569"/>
      <c r="JM106" s="569"/>
      <c r="JN106" s="569"/>
      <c r="JO106" s="569"/>
      <c r="JP106" s="569"/>
      <c r="JQ106" s="569"/>
      <c r="JR106" s="569"/>
      <c r="JS106" s="569"/>
      <c r="JT106" s="569"/>
      <c r="JU106" s="569"/>
      <c r="JV106" s="569"/>
      <c r="JW106" s="569"/>
      <c r="JX106" s="569"/>
      <c r="JY106" s="569"/>
      <c r="JZ106" s="569"/>
      <c r="KA106" s="569"/>
      <c r="KB106" s="569"/>
      <c r="KC106" s="569"/>
      <c r="KD106" s="569"/>
      <c r="KE106" s="569"/>
      <c r="KF106" s="569"/>
      <c r="KG106" s="569"/>
      <c r="KH106" s="569"/>
      <c r="KI106" s="569"/>
      <c r="KJ106" s="569"/>
      <c r="KK106" s="569"/>
      <c r="KL106" s="569"/>
      <c r="KM106" s="569"/>
      <c r="KN106" s="569"/>
      <c r="KO106" s="569"/>
      <c r="KP106" s="569"/>
      <c r="KQ106" s="569"/>
      <c r="KR106" s="569"/>
      <c r="KS106" s="569"/>
      <c r="KT106" s="569"/>
      <c r="KU106" s="569"/>
      <c r="KV106" s="569"/>
      <c r="KW106" s="569"/>
      <c r="KX106" s="569"/>
      <c r="KY106" s="569"/>
      <c r="KZ106" s="569"/>
      <c r="LA106" s="569"/>
      <c r="LB106" s="569"/>
      <c r="LC106" s="569"/>
      <c r="LD106" s="569"/>
      <c r="LE106" s="569"/>
      <c r="LF106" s="569"/>
      <c r="LG106" s="569"/>
      <c r="LH106" s="569"/>
      <c r="LI106" s="569"/>
      <c r="LJ106" s="569"/>
      <c r="LK106" s="569"/>
      <c r="LL106" s="569"/>
      <c r="LM106" s="569"/>
      <c r="LN106" s="569"/>
      <c r="LO106" s="569"/>
      <c r="LP106" s="569"/>
      <c r="LQ106" s="569"/>
      <c r="LR106" s="569"/>
      <c r="LS106" s="569"/>
      <c r="LT106" s="569"/>
      <c r="LU106" s="569"/>
      <c r="LV106" s="569"/>
      <c r="LW106" s="569"/>
      <c r="LX106" s="569"/>
      <c r="LY106" s="569"/>
      <c r="LZ106" s="569"/>
      <c r="MA106" s="569"/>
      <c r="MB106" s="569"/>
      <c r="MC106" s="569"/>
      <c r="MD106" s="569"/>
      <c r="ME106" s="569"/>
      <c r="MF106" s="569"/>
      <c r="MG106" s="569"/>
      <c r="MH106" s="569"/>
      <c r="MI106" s="569"/>
      <c r="MJ106" s="569"/>
      <c r="MK106" s="569"/>
      <c r="ML106" s="569"/>
      <c r="MM106" s="569"/>
      <c r="MN106" s="569"/>
      <c r="MO106" s="569"/>
      <c r="MP106" s="569"/>
      <c r="MQ106" s="569"/>
      <c r="MR106" s="569"/>
      <c r="MS106" s="569"/>
      <c r="MT106" s="569"/>
      <c r="MU106" s="569"/>
      <c r="MV106" s="569"/>
      <c r="MW106" s="569"/>
      <c r="MX106" s="569"/>
      <c r="MY106" s="569"/>
      <c r="MZ106" s="569"/>
      <c r="NA106" s="569"/>
      <c r="NB106" s="569"/>
      <c r="NC106" s="569"/>
      <c r="ND106" s="569"/>
      <c r="NE106" s="569"/>
      <c r="NF106" s="569"/>
      <c r="NG106" s="569"/>
      <c r="NH106" s="569"/>
      <c r="NI106" s="569"/>
      <c r="NJ106" s="569"/>
      <c r="NK106" s="569"/>
      <c r="NL106" s="569"/>
      <c r="NM106" s="569"/>
      <c r="NN106" s="569"/>
      <c r="NO106" s="569"/>
      <c r="NP106" s="569"/>
      <c r="NQ106" s="569"/>
      <c r="NR106" s="569"/>
      <c r="NS106" s="569"/>
      <c r="NT106" s="569"/>
      <c r="NU106" s="569"/>
      <c r="NV106" s="569"/>
      <c r="NW106" s="569"/>
      <c r="NX106" s="569"/>
      <c r="NY106" s="569"/>
      <c r="NZ106" s="569"/>
      <c r="OA106" s="569"/>
      <c r="OB106" s="569"/>
      <c r="OC106" s="569"/>
      <c r="OD106" s="569"/>
      <c r="OE106" s="569"/>
      <c r="OF106" s="569"/>
      <c r="OG106" s="569"/>
      <c r="OH106" s="569"/>
      <c r="OI106" s="569"/>
      <c r="OJ106" s="569"/>
      <c r="OK106" s="569"/>
      <c r="OL106" s="569"/>
      <c r="OM106" s="569"/>
      <c r="ON106" s="569"/>
      <c r="OO106" s="569"/>
      <c r="OP106" s="569"/>
      <c r="OQ106" s="569"/>
      <c r="OR106" s="569"/>
      <c r="OS106" s="569"/>
      <c r="OT106" s="569"/>
      <c r="OU106" s="569"/>
      <c r="OV106" s="569"/>
      <c r="OW106" s="569"/>
      <c r="OX106" s="569"/>
      <c r="OY106" s="569"/>
      <c r="OZ106" s="569"/>
      <c r="PA106" s="569"/>
      <c r="PB106" s="569"/>
      <c r="PC106" s="569"/>
      <c r="PD106" s="569"/>
      <c r="PE106" s="569"/>
      <c r="PF106" s="569"/>
      <c r="PG106" s="569"/>
      <c r="PH106" s="569"/>
      <c r="PI106" s="569"/>
      <c r="PJ106" s="569"/>
      <c r="PK106" s="569"/>
      <c r="PL106" s="569"/>
      <c r="PM106" s="569"/>
      <c r="PN106" s="569"/>
      <c r="PO106" s="569"/>
      <c r="PP106" s="569"/>
      <c r="PQ106" s="569"/>
      <c r="PR106" s="569"/>
      <c r="PS106" s="569"/>
      <c r="PT106" s="569"/>
      <c r="PU106" s="569"/>
      <c r="PV106" s="569"/>
      <c r="PW106" s="569"/>
      <c r="PX106" s="569"/>
      <c r="PY106" s="569"/>
      <c r="PZ106" s="569"/>
      <c r="QA106" s="569"/>
      <c r="QB106" s="569"/>
      <c r="QC106" s="569"/>
      <c r="QD106" s="569"/>
      <c r="QE106" s="569"/>
      <c r="QF106" s="569"/>
      <c r="QG106" s="569"/>
      <c r="QH106" s="569"/>
      <c r="QI106" s="569"/>
      <c r="QJ106" s="569"/>
      <c r="QK106" s="569"/>
      <c r="QL106" s="569"/>
    </row>
    <row r="107" spans="1:454" ht="30">
      <c r="D107" s="568"/>
      <c r="E107" s="568"/>
      <c r="F107" s="568"/>
      <c r="G107" s="568"/>
      <c r="H107" s="563" t="str">
        <f>'matrik MISI 4'!N43</f>
        <v>Persentase Angka Melek Huruf Usia ≥ 15 tahun</v>
      </c>
      <c r="I107" s="563" t="str">
        <f>'matrik MISI 4'!O43</f>
        <v>%</v>
      </c>
      <c r="J107" s="563">
        <f>'matrik MISI 4'!P43</f>
        <v>97.82</v>
      </c>
      <c r="K107" s="563">
        <f>'matrik MISI 4'!Q43</f>
        <v>97.9</v>
      </c>
      <c r="L107" s="563">
        <f>'matrik MISI 4'!R43</f>
        <v>98.09</v>
      </c>
      <c r="M107" s="604"/>
      <c r="N107" s="563">
        <f>'matrik MISI 4'!S43</f>
        <v>98.36</v>
      </c>
      <c r="O107" s="564"/>
      <c r="P107" s="563">
        <f>'matrik MISI 4'!T43</f>
        <v>98.63</v>
      </c>
      <c r="Q107" s="564"/>
      <c r="R107" s="563">
        <f>'matrik MISI 4'!U43</f>
        <v>98.7</v>
      </c>
      <c r="S107" s="564"/>
      <c r="T107" s="563">
        <f>'matrik MISI 4'!V43</f>
        <v>99.17</v>
      </c>
      <c r="U107" s="564"/>
      <c r="V107" s="563">
        <f>'matrik MISI 4'!W43</f>
        <v>99.17</v>
      </c>
      <c r="W107" s="564"/>
      <c r="X107" s="563" t="str">
        <f>'matrik MISI 4'!X43</f>
        <v>Dinas Pendidikan</v>
      </c>
      <c r="Y107" s="565" t="str">
        <f>'matrik MISI 4'!Y43</f>
        <v>Jumlah penduduk usia ≥ 15 tahun yang melek huruf dibagi jumlah penduduk  usia ≥ 15 tahun kali 100%</v>
      </c>
      <c r="Z107" s="565">
        <f>'matrik MISI 4'!Z43</f>
        <v>0</v>
      </c>
    </row>
    <row r="108" spans="1:454" ht="30">
      <c r="G108" s="563"/>
      <c r="H108" s="563" t="str">
        <f>'matrik MISI 4'!N44</f>
        <v>Rata-rata Lama Sekolah</v>
      </c>
      <c r="I108" s="563" t="str">
        <f>'matrik MISI 4'!O44</f>
        <v>Tahun</v>
      </c>
      <c r="J108" s="563">
        <f>'matrik MISI 4'!P44</f>
        <v>7.1</v>
      </c>
      <c r="K108" s="563">
        <f>'matrik MISI 4'!Q44</f>
        <v>7.1</v>
      </c>
      <c r="L108" s="563">
        <f>'matrik MISI 4'!R44</f>
        <v>7.11</v>
      </c>
      <c r="M108" s="604"/>
      <c r="N108" s="563">
        <f>'matrik MISI 4'!S44</f>
        <v>7.13</v>
      </c>
      <c r="O108" s="564"/>
      <c r="P108" s="563">
        <f>'matrik MISI 4'!T44</f>
        <v>7.15</v>
      </c>
      <c r="Q108" s="564"/>
      <c r="R108" s="563">
        <f>'matrik MISI 4'!U44</f>
        <v>7.17</v>
      </c>
      <c r="S108" s="564"/>
      <c r="T108" s="563">
        <f>'matrik MISI 4'!V44</f>
        <v>7.19</v>
      </c>
      <c r="U108" s="564"/>
      <c r="V108" s="563">
        <f>'matrik MISI 4'!W44</f>
        <v>7.19</v>
      </c>
      <c r="W108" s="564"/>
      <c r="X108" s="563" t="str">
        <f>'matrik MISI 4'!X44</f>
        <v>Badan Pusat Statistik, Dinas Pendiidikan</v>
      </c>
      <c r="Y108" s="565" t="str">
        <f>'matrik MISI 4'!Y44</f>
        <v>Jumlah tahun bersekolah individu usia 5 tahun ke atas dibagi jumlah penduduk usia 5 tahun ke atas</v>
      </c>
      <c r="Z108" s="565" t="str">
        <f>'matrik MISI 4'!Z44</f>
        <v>Sumber BPS</v>
      </c>
    </row>
    <row r="109" spans="1:454" ht="75">
      <c r="G109" s="563"/>
      <c r="H109" s="563" t="str">
        <f>'matrik MISI 4'!N45</f>
        <v>Persentase Layanan Pendidikan Kesetaraan dalam Rangka Menampung Siswa Putus Sekolah Pendidikan Dasar dan Menengah</v>
      </c>
      <c r="I109" s="563" t="str">
        <f>'matrik MISI 4'!O45</f>
        <v>%</v>
      </c>
      <c r="J109" s="563">
        <f>'matrik MISI 4'!P45</f>
        <v>20</v>
      </c>
      <c r="K109" s="563">
        <f>'matrik MISI 4'!Q45</f>
        <v>25</v>
      </c>
      <c r="L109" s="563">
        <f>'matrik MISI 4'!R45</f>
        <v>25</v>
      </c>
      <c r="M109" s="604"/>
      <c r="N109" s="563">
        <f>'matrik MISI 4'!S45</f>
        <v>25</v>
      </c>
      <c r="O109" s="564"/>
      <c r="P109" s="563">
        <f>'matrik MISI 4'!T45</f>
        <v>33</v>
      </c>
      <c r="Q109" s="564"/>
      <c r="R109" s="563">
        <f>'matrik MISI 4'!U45</f>
        <v>50</v>
      </c>
      <c r="S109" s="564"/>
      <c r="T109" s="563">
        <f>'matrik MISI 4'!V45</f>
        <v>100</v>
      </c>
      <c r="U109" s="564"/>
      <c r="V109" s="563">
        <f>'matrik MISI 4'!W45</f>
        <v>100</v>
      </c>
      <c r="W109" s="564"/>
      <c r="X109" s="563" t="str">
        <f>'matrik MISI 4'!X45</f>
        <v>Dinas Pendidikan</v>
      </c>
      <c r="Y109" s="565" t="str">
        <f>'matrik MISI 4'!Y45</f>
        <v>Jumlah siswa putus sekolah yang menikuti pendidikan kesetaraan dibagi jumlah siswa putus sekolah kali 100%</v>
      </c>
      <c r="Z109" s="565">
        <f>'matrik MISI 4'!Z45</f>
        <v>0</v>
      </c>
    </row>
    <row r="110" spans="1:454" ht="30">
      <c r="G110" s="563"/>
      <c r="H110" s="563" t="str">
        <f>'matrik MISI 4'!N77</f>
        <v>Persentase Angka Lulusan Pendidikan Kesetaraan</v>
      </c>
      <c r="I110" s="563" t="str">
        <f>'matrik MISI 4'!O77</f>
        <v>%</v>
      </c>
      <c r="J110" s="563">
        <f>'matrik MISI 4'!P77</f>
        <v>90.39</v>
      </c>
      <c r="K110" s="563">
        <f>'matrik MISI 4'!Q77</f>
        <v>81.56</v>
      </c>
      <c r="L110" s="563">
        <f>'matrik MISI 4'!R77</f>
        <v>87.06</v>
      </c>
      <c r="M110" s="604"/>
      <c r="N110" s="563">
        <f>'matrik MISI 4'!S77</f>
        <v>92.56</v>
      </c>
      <c r="O110" s="564"/>
      <c r="P110" s="563">
        <f>'matrik MISI 4'!T77</f>
        <v>92.56</v>
      </c>
      <c r="Q110" s="564"/>
      <c r="R110" s="563">
        <f>'matrik MISI 4'!U77</f>
        <v>92.56</v>
      </c>
      <c r="S110" s="564"/>
      <c r="T110" s="563">
        <f>'matrik MISI 4'!V77</f>
        <v>92.56</v>
      </c>
      <c r="U110" s="564"/>
      <c r="V110" s="563">
        <f>'matrik MISI 4'!W77</f>
        <v>92.56</v>
      </c>
      <c r="W110" s="564"/>
      <c r="X110" s="563" t="str">
        <f>'matrik MISI 4'!X77</f>
        <v>Dinas Pendidikan</v>
      </c>
      <c r="Y110" s="565" t="str">
        <f>'matrik MISI 4'!Y77</f>
        <v>Jumlah lulusan pendidikan kesetaraan dibagi jumlah peserta Ujian Nasional Pendidikan Kesetaraan kali 100%</v>
      </c>
      <c r="Z110" s="565">
        <f>'matrik MISI 4'!Z77</f>
        <v>0</v>
      </c>
    </row>
    <row r="111" spans="1:454" ht="45">
      <c r="G111" s="563"/>
      <c r="H111" s="563" t="str">
        <f>'matrik MISI 4'!N130</f>
        <v>Persentase lembaga pendidikan nonformal yang memliki ruang belajar beserta perlengkapannya</v>
      </c>
      <c r="I111" s="563" t="str">
        <f>'matrik MISI 4'!O130</f>
        <v>%</v>
      </c>
      <c r="J111" s="563" t="str">
        <f>'matrik MISI 4'!P130</f>
        <v>68,07</v>
      </c>
      <c r="K111" s="563" t="str">
        <f>'matrik MISI 4'!Q130</f>
        <v>69,95</v>
      </c>
      <c r="L111" s="563" t="str">
        <f>'matrik MISI 4'!R130</f>
        <v>72,76</v>
      </c>
      <c r="M111" s="604"/>
      <c r="N111" s="563" t="str">
        <f>'matrik MISI 4'!S130</f>
        <v>75,12</v>
      </c>
      <c r="O111" s="564"/>
      <c r="P111" s="563" t="str">
        <f>'matrik MISI 4'!T130</f>
        <v>77,46</v>
      </c>
      <c r="Q111" s="564"/>
      <c r="R111" s="563" t="str">
        <f>'matrik MISI 4'!U130</f>
        <v>79,81</v>
      </c>
      <c r="S111" s="564"/>
      <c r="T111" s="563" t="str">
        <f>'matrik MISI 4'!V130</f>
        <v>82,6</v>
      </c>
      <c r="U111" s="564"/>
      <c r="V111" s="563" t="str">
        <f>'matrik MISI 4'!W130</f>
        <v>82,6</v>
      </c>
      <c r="W111" s="564"/>
      <c r="X111" s="563" t="str">
        <f>'matrik MISI 4'!X130</f>
        <v>Dinas Pendidikan</v>
      </c>
      <c r="Y111" s="565" t="str">
        <f>'matrik MISI 4'!Y130</f>
        <v>Jumlah lembaga pendidikan nonformal yang memiliki ruang belajar beserta perlengkapannya dibagi jumlah lembaga pendidikan nonformal kali 100%</v>
      </c>
      <c r="Z111" s="565">
        <f>'matrik MISI 4'!Z130</f>
        <v>0</v>
      </c>
    </row>
    <row r="112" spans="1:454" ht="45">
      <c r="G112" s="563"/>
      <c r="H112" s="563" t="str">
        <f>'matrik MISI 4'!N131</f>
        <v>Persentase lembaga pendidikan nonformal yang memiliki alat dan bahan belajar</v>
      </c>
      <c r="I112" s="563" t="str">
        <f>'matrik MISI 4'!O131</f>
        <v>%</v>
      </c>
      <c r="J112" s="563" t="str">
        <f>'matrik MISI 4'!P131</f>
        <v>71,36</v>
      </c>
      <c r="K112" s="563" t="str">
        <f>'matrik MISI 4'!Q131</f>
        <v>73,71</v>
      </c>
      <c r="L112" s="563" t="str">
        <f>'matrik MISI 4'!R131</f>
        <v>76,06</v>
      </c>
      <c r="M112" s="604"/>
      <c r="N112" s="563" t="str">
        <f>'matrik MISI 4'!S131</f>
        <v>78,40</v>
      </c>
      <c r="O112" s="564"/>
      <c r="P112" s="563" t="str">
        <f>'matrik MISI 4'!T131</f>
        <v>80,75</v>
      </c>
      <c r="Q112" s="564"/>
      <c r="R112" s="563" t="str">
        <f>'matrik MISI 4'!U131</f>
        <v>83,10</v>
      </c>
      <c r="S112" s="564"/>
      <c r="T112" s="563" t="str">
        <f>'matrik MISI 4'!V131</f>
        <v>85,45</v>
      </c>
      <c r="U112" s="564"/>
      <c r="V112" s="563" t="str">
        <f>'matrik MISI 4'!W131</f>
        <v>85,45</v>
      </c>
      <c r="W112" s="564"/>
      <c r="X112" s="563" t="str">
        <f>'matrik MISI 4'!X131</f>
        <v>Dinas Pendidikan</v>
      </c>
      <c r="Y112" s="565" t="str">
        <f>'matrik MISI 4'!Y131</f>
        <v>Jumlah lembaga pendidikan nonformal yang memiliki alat dan bahan belajar dibagi jumlah lembaga pendidikan nonformal kali 100%</v>
      </c>
      <c r="Z112" s="565">
        <f>'matrik MISI 4'!Z131</f>
        <v>0</v>
      </c>
    </row>
    <row r="113" spans="1:454" s="574" customFormat="1" ht="30">
      <c r="A113" s="569"/>
      <c r="B113" s="575"/>
      <c r="C113" s="576"/>
      <c r="D113" s="577">
        <f>'matrik MISI 4'!J47</f>
        <v>1.01</v>
      </c>
      <c r="E113" s="577" t="str">
        <f>'matrik MISI 4'!K47</f>
        <v>xx</v>
      </c>
      <c r="F113" s="577">
        <f>'matrik MISI 4'!L47</f>
        <v>22</v>
      </c>
      <c r="G113" s="577" t="str">
        <f>'matrik MISI 4'!M47</f>
        <v>Program manajemen pelayanan pendidikan</v>
      </c>
      <c r="H113" s="577"/>
      <c r="I113" s="577"/>
      <c r="J113" s="577"/>
      <c r="K113" s="577"/>
      <c r="L113" s="577"/>
      <c r="M113" s="578">
        <f>'jangan dihapus 2'!K258</f>
        <v>133000000</v>
      </c>
      <c r="N113" s="578"/>
      <c r="O113" s="578">
        <f>'jangan dihapus 2'!M258</f>
        <v>133000000</v>
      </c>
      <c r="P113" s="578"/>
      <c r="Q113" s="578">
        <f>'jangan dihapus 2'!O258</f>
        <v>137500000</v>
      </c>
      <c r="R113" s="578"/>
      <c r="S113" s="578">
        <f>'jangan dihapus 2'!Q258</f>
        <v>137500000</v>
      </c>
      <c r="T113" s="578"/>
      <c r="U113" s="578">
        <f>'jangan dihapus 2'!S258</f>
        <v>145000000</v>
      </c>
      <c r="V113" s="577"/>
      <c r="W113" s="578">
        <f>SUM(M113:U113)</f>
        <v>686000000</v>
      </c>
      <c r="X113" s="577"/>
      <c r="Y113" s="577"/>
      <c r="Z113" s="577"/>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569"/>
      <c r="AW113" s="569"/>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569"/>
      <c r="CP113" s="569"/>
      <c r="CQ113" s="569"/>
      <c r="CR113" s="569"/>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c r="DP113" s="569"/>
      <c r="DQ113" s="569"/>
      <c r="DR113" s="569"/>
      <c r="DS113" s="569"/>
      <c r="DT113" s="569"/>
      <c r="DU113" s="569"/>
      <c r="DV113" s="569"/>
      <c r="DW113" s="569"/>
      <c r="DX113" s="569"/>
      <c r="DY113" s="569"/>
      <c r="DZ113" s="569"/>
      <c r="EA113" s="569"/>
      <c r="EB113" s="569"/>
      <c r="EC113" s="569"/>
      <c r="ED113" s="569"/>
      <c r="EE113" s="569"/>
      <c r="EF113" s="569"/>
      <c r="EG113" s="569"/>
      <c r="EH113" s="569"/>
      <c r="EI113" s="569"/>
      <c r="EJ113" s="569"/>
      <c r="EK113" s="569"/>
      <c r="EL113" s="569"/>
      <c r="EM113" s="569"/>
      <c r="EN113" s="569"/>
      <c r="EO113" s="569"/>
      <c r="EP113" s="569"/>
      <c r="EQ113" s="569"/>
      <c r="ER113" s="569"/>
      <c r="ES113" s="569"/>
      <c r="ET113" s="569"/>
      <c r="EU113" s="569"/>
      <c r="EV113" s="569"/>
      <c r="EW113" s="569"/>
      <c r="EX113" s="569"/>
      <c r="EY113" s="569"/>
      <c r="EZ113" s="569"/>
      <c r="FA113" s="569"/>
      <c r="FB113" s="569"/>
      <c r="FC113" s="569"/>
      <c r="FD113" s="569"/>
      <c r="FE113" s="569"/>
      <c r="FF113" s="569"/>
      <c r="FG113" s="569"/>
      <c r="FH113" s="569"/>
      <c r="FI113" s="569"/>
      <c r="FJ113" s="569"/>
      <c r="FK113" s="569"/>
      <c r="FL113" s="569"/>
      <c r="FM113" s="569"/>
      <c r="FN113" s="569"/>
      <c r="FO113" s="569"/>
      <c r="FP113" s="569"/>
      <c r="FQ113" s="569"/>
      <c r="FR113" s="569"/>
      <c r="FS113" s="569"/>
      <c r="FT113" s="569"/>
      <c r="FU113" s="569"/>
      <c r="FV113" s="569"/>
      <c r="FW113" s="569"/>
      <c r="FX113" s="569"/>
      <c r="FY113" s="569"/>
      <c r="FZ113" s="569"/>
      <c r="GA113" s="569"/>
      <c r="GB113" s="569"/>
      <c r="GC113" s="569"/>
      <c r="GD113" s="569"/>
      <c r="GE113" s="569"/>
      <c r="GF113" s="569"/>
      <c r="GG113" s="569"/>
      <c r="GH113" s="569"/>
      <c r="GI113" s="569"/>
      <c r="GJ113" s="569"/>
      <c r="GK113" s="569"/>
      <c r="GL113" s="569"/>
      <c r="GM113" s="569"/>
      <c r="GN113" s="569"/>
      <c r="GO113" s="569"/>
      <c r="GP113" s="569"/>
      <c r="GQ113" s="569"/>
      <c r="GR113" s="569"/>
      <c r="GS113" s="569"/>
      <c r="GT113" s="569"/>
      <c r="GU113" s="569"/>
      <c r="GV113" s="569"/>
      <c r="GW113" s="569"/>
      <c r="GX113" s="569"/>
      <c r="GY113" s="569"/>
      <c r="GZ113" s="569"/>
      <c r="HA113" s="569"/>
      <c r="HB113" s="569"/>
      <c r="HC113" s="569"/>
      <c r="HD113" s="569"/>
      <c r="HE113" s="569"/>
      <c r="HF113" s="569"/>
      <c r="HG113" s="569"/>
      <c r="HH113" s="569"/>
      <c r="HI113" s="569"/>
      <c r="HJ113" s="569"/>
      <c r="HK113" s="569"/>
      <c r="HL113" s="569"/>
      <c r="HM113" s="569"/>
      <c r="HN113" s="569"/>
      <c r="HO113" s="569"/>
      <c r="HP113" s="569"/>
      <c r="HQ113" s="569"/>
      <c r="HR113" s="569"/>
      <c r="HS113" s="569"/>
      <c r="HT113" s="569"/>
      <c r="HU113" s="569"/>
      <c r="HV113" s="569"/>
      <c r="HW113" s="569"/>
      <c r="HX113" s="569"/>
      <c r="HY113" s="569"/>
      <c r="HZ113" s="569"/>
      <c r="IA113" s="569"/>
      <c r="IB113" s="569"/>
      <c r="IC113" s="569"/>
      <c r="ID113" s="569"/>
      <c r="IE113" s="569"/>
      <c r="IF113" s="569"/>
      <c r="IG113" s="569"/>
      <c r="IH113" s="569"/>
      <c r="II113" s="569"/>
      <c r="IJ113" s="569"/>
      <c r="IK113" s="569"/>
      <c r="IL113" s="569"/>
      <c r="IM113" s="569"/>
      <c r="IN113" s="569"/>
      <c r="IO113" s="569"/>
      <c r="IP113" s="569"/>
      <c r="IQ113" s="569"/>
      <c r="IR113" s="569"/>
      <c r="IS113" s="569"/>
      <c r="IT113" s="569"/>
      <c r="IU113" s="569"/>
      <c r="IV113" s="569"/>
      <c r="IW113" s="569"/>
      <c r="IX113" s="569"/>
      <c r="IY113" s="569"/>
      <c r="IZ113" s="569"/>
      <c r="JA113" s="569"/>
      <c r="JB113" s="569"/>
      <c r="JC113" s="569"/>
      <c r="JD113" s="569"/>
      <c r="JE113" s="569"/>
      <c r="JF113" s="569"/>
      <c r="JG113" s="569"/>
      <c r="JH113" s="569"/>
      <c r="JI113" s="569"/>
      <c r="JJ113" s="569"/>
      <c r="JK113" s="569"/>
      <c r="JL113" s="569"/>
      <c r="JM113" s="569"/>
      <c r="JN113" s="569"/>
      <c r="JO113" s="569"/>
      <c r="JP113" s="569"/>
      <c r="JQ113" s="569"/>
      <c r="JR113" s="569"/>
      <c r="JS113" s="569"/>
      <c r="JT113" s="569"/>
      <c r="JU113" s="569"/>
      <c r="JV113" s="569"/>
      <c r="JW113" s="569"/>
      <c r="JX113" s="569"/>
      <c r="JY113" s="569"/>
      <c r="JZ113" s="569"/>
      <c r="KA113" s="569"/>
      <c r="KB113" s="569"/>
      <c r="KC113" s="569"/>
      <c r="KD113" s="569"/>
      <c r="KE113" s="569"/>
      <c r="KF113" s="569"/>
      <c r="KG113" s="569"/>
      <c r="KH113" s="569"/>
      <c r="KI113" s="569"/>
      <c r="KJ113" s="569"/>
      <c r="KK113" s="569"/>
      <c r="KL113" s="569"/>
      <c r="KM113" s="569"/>
      <c r="KN113" s="569"/>
      <c r="KO113" s="569"/>
      <c r="KP113" s="569"/>
      <c r="KQ113" s="569"/>
      <c r="KR113" s="569"/>
      <c r="KS113" s="569"/>
      <c r="KT113" s="569"/>
      <c r="KU113" s="569"/>
      <c r="KV113" s="569"/>
      <c r="KW113" s="569"/>
      <c r="KX113" s="569"/>
      <c r="KY113" s="569"/>
      <c r="KZ113" s="569"/>
      <c r="LA113" s="569"/>
      <c r="LB113" s="569"/>
      <c r="LC113" s="569"/>
      <c r="LD113" s="569"/>
      <c r="LE113" s="569"/>
      <c r="LF113" s="569"/>
      <c r="LG113" s="569"/>
      <c r="LH113" s="569"/>
      <c r="LI113" s="569"/>
      <c r="LJ113" s="569"/>
      <c r="LK113" s="569"/>
      <c r="LL113" s="569"/>
      <c r="LM113" s="569"/>
      <c r="LN113" s="569"/>
      <c r="LO113" s="569"/>
      <c r="LP113" s="569"/>
      <c r="LQ113" s="569"/>
      <c r="LR113" s="569"/>
      <c r="LS113" s="569"/>
      <c r="LT113" s="569"/>
      <c r="LU113" s="569"/>
      <c r="LV113" s="569"/>
      <c r="LW113" s="569"/>
      <c r="LX113" s="569"/>
      <c r="LY113" s="569"/>
      <c r="LZ113" s="569"/>
      <c r="MA113" s="569"/>
      <c r="MB113" s="569"/>
      <c r="MC113" s="569"/>
      <c r="MD113" s="569"/>
      <c r="ME113" s="569"/>
      <c r="MF113" s="569"/>
      <c r="MG113" s="569"/>
      <c r="MH113" s="569"/>
      <c r="MI113" s="569"/>
      <c r="MJ113" s="569"/>
      <c r="MK113" s="569"/>
      <c r="ML113" s="569"/>
      <c r="MM113" s="569"/>
      <c r="MN113" s="569"/>
      <c r="MO113" s="569"/>
      <c r="MP113" s="569"/>
      <c r="MQ113" s="569"/>
      <c r="MR113" s="569"/>
      <c r="MS113" s="569"/>
      <c r="MT113" s="569"/>
      <c r="MU113" s="569"/>
      <c r="MV113" s="569"/>
      <c r="MW113" s="569"/>
      <c r="MX113" s="569"/>
      <c r="MY113" s="569"/>
      <c r="MZ113" s="569"/>
      <c r="NA113" s="569"/>
      <c r="NB113" s="569"/>
      <c r="NC113" s="569"/>
      <c r="ND113" s="569"/>
      <c r="NE113" s="569"/>
      <c r="NF113" s="569"/>
      <c r="NG113" s="569"/>
      <c r="NH113" s="569"/>
      <c r="NI113" s="569"/>
      <c r="NJ113" s="569"/>
      <c r="NK113" s="569"/>
      <c r="NL113" s="569"/>
      <c r="NM113" s="569"/>
      <c r="NN113" s="569"/>
      <c r="NO113" s="569"/>
      <c r="NP113" s="569"/>
      <c r="NQ113" s="569"/>
      <c r="NR113" s="569"/>
      <c r="NS113" s="569"/>
      <c r="NT113" s="569"/>
      <c r="NU113" s="569"/>
      <c r="NV113" s="569"/>
      <c r="NW113" s="569"/>
      <c r="NX113" s="569"/>
      <c r="NY113" s="569"/>
      <c r="NZ113" s="569"/>
      <c r="OA113" s="569"/>
      <c r="OB113" s="569"/>
      <c r="OC113" s="569"/>
      <c r="OD113" s="569"/>
      <c r="OE113" s="569"/>
      <c r="OF113" s="569"/>
      <c r="OG113" s="569"/>
      <c r="OH113" s="569"/>
      <c r="OI113" s="569"/>
      <c r="OJ113" s="569"/>
      <c r="OK113" s="569"/>
      <c r="OL113" s="569"/>
      <c r="OM113" s="569"/>
      <c r="ON113" s="569"/>
      <c r="OO113" s="569"/>
      <c r="OP113" s="569"/>
      <c r="OQ113" s="569"/>
      <c r="OR113" s="569"/>
      <c r="OS113" s="569"/>
      <c r="OT113" s="569"/>
      <c r="OU113" s="569"/>
      <c r="OV113" s="569"/>
      <c r="OW113" s="569"/>
      <c r="OX113" s="569"/>
      <c r="OY113" s="569"/>
      <c r="OZ113" s="569"/>
      <c r="PA113" s="569"/>
      <c r="PB113" s="569"/>
      <c r="PC113" s="569"/>
      <c r="PD113" s="569"/>
      <c r="PE113" s="569"/>
      <c r="PF113" s="569"/>
      <c r="PG113" s="569"/>
      <c r="PH113" s="569"/>
      <c r="PI113" s="569"/>
      <c r="PJ113" s="569"/>
      <c r="PK113" s="569"/>
      <c r="PL113" s="569"/>
      <c r="PM113" s="569"/>
      <c r="PN113" s="569"/>
      <c r="PO113" s="569"/>
      <c r="PP113" s="569"/>
      <c r="PQ113" s="569"/>
      <c r="PR113" s="569"/>
      <c r="PS113" s="569"/>
      <c r="PT113" s="569"/>
      <c r="PU113" s="569"/>
      <c r="PV113" s="569"/>
      <c r="PW113" s="569"/>
      <c r="PX113" s="569"/>
      <c r="PY113" s="569"/>
      <c r="PZ113" s="569"/>
      <c r="QA113" s="569"/>
      <c r="QB113" s="569"/>
      <c r="QC113" s="569"/>
      <c r="QD113" s="569"/>
      <c r="QE113" s="569"/>
      <c r="QF113" s="569"/>
      <c r="QG113" s="569"/>
      <c r="QH113" s="569"/>
      <c r="QI113" s="569"/>
      <c r="QJ113" s="569"/>
      <c r="QK113" s="569"/>
      <c r="QL113" s="569"/>
    </row>
    <row r="114" spans="1:454" ht="30">
      <c r="D114" s="568"/>
      <c r="E114" s="568"/>
      <c r="F114" s="568"/>
      <c r="G114" s="568"/>
      <c r="H114" s="563" t="str">
        <f>'matrik MISI 4'!N47</f>
        <v>Persentase TK/RA Terakreditasi A</v>
      </c>
      <c r="I114" s="563" t="str">
        <f>'matrik MISI 4'!O47</f>
        <v>%</v>
      </c>
      <c r="J114" s="563">
        <f>'matrik MISI 4'!P47</f>
        <v>5.83</v>
      </c>
      <c r="K114" s="563">
        <f>'matrik MISI 4'!Q47</f>
        <v>5.83</v>
      </c>
      <c r="L114" s="563">
        <f>'matrik MISI 4'!R47</f>
        <v>5.83</v>
      </c>
      <c r="M114" s="604"/>
      <c r="N114" s="563">
        <f>'matrik MISI 4'!S47</f>
        <v>5.83</v>
      </c>
      <c r="O114" s="564"/>
      <c r="P114" s="563">
        <f>'matrik MISI 4'!T47</f>
        <v>5.83</v>
      </c>
      <c r="Q114" s="564"/>
      <c r="R114" s="563">
        <f>'matrik MISI 4'!U47</f>
        <v>5.83</v>
      </c>
      <c r="S114" s="564"/>
      <c r="T114" s="563">
        <f>'matrik MISI 4'!V47</f>
        <v>5.83</v>
      </c>
      <c r="U114" s="564"/>
      <c r="V114" s="563">
        <f>'matrik MISI 4'!W47</f>
        <v>5.83</v>
      </c>
      <c r="W114" s="564"/>
      <c r="X114" s="563" t="str">
        <f>'matrik MISI 4'!X47</f>
        <v>Dinas Pendidikan</v>
      </c>
      <c r="Y114" s="565" t="str">
        <f>'matrik MISI 4'!Y47</f>
        <v>Jumlah TK/RA terakreditasi A dibagi jumlah TK/RA kali 100%</v>
      </c>
      <c r="Z114" s="565" t="str">
        <f>'matrik MISI 4'!Z47</f>
        <v>Akreditasi menjadi kewenangan BAN-PNF dan kewenangan ini belum dilaksanakan</v>
      </c>
    </row>
    <row r="115" spans="1:454" ht="30">
      <c r="G115" s="563"/>
      <c r="H115" s="563" t="str">
        <f>'matrik MISI 4'!N48</f>
        <v>Persentase TK/RA Terakreditasi B</v>
      </c>
      <c r="I115" s="563" t="str">
        <f>'matrik MISI 4'!O48</f>
        <v>%</v>
      </c>
      <c r="J115" s="563">
        <f>'matrik MISI 4'!P48</f>
        <v>42.71</v>
      </c>
      <c r="K115" s="563">
        <f>'matrik MISI 4'!Q48</f>
        <v>42.71</v>
      </c>
      <c r="L115" s="563">
        <f>'matrik MISI 4'!R48</f>
        <v>42.71</v>
      </c>
      <c r="M115" s="604"/>
      <c r="N115" s="563">
        <f>'matrik MISI 4'!S48</f>
        <v>42.71</v>
      </c>
      <c r="O115" s="564"/>
      <c r="P115" s="563">
        <f>'matrik MISI 4'!T48</f>
        <v>42.71</v>
      </c>
      <c r="Q115" s="564"/>
      <c r="R115" s="563">
        <f>'matrik MISI 4'!U48</f>
        <v>42.71</v>
      </c>
      <c r="S115" s="564"/>
      <c r="T115" s="563">
        <f>'matrik MISI 4'!V48</f>
        <v>42.71</v>
      </c>
      <c r="U115" s="564"/>
      <c r="V115" s="563">
        <f>'matrik MISI 4'!W48</f>
        <v>42.71</v>
      </c>
      <c r="W115" s="564"/>
      <c r="X115" s="563" t="str">
        <f>'matrik MISI 4'!X48</f>
        <v>Dinas Pendidikan</v>
      </c>
      <c r="Y115" s="565" t="str">
        <f>'matrik MISI 4'!Y48</f>
        <v>Jumlah TK/RA terakreditasi B dibagi jumlah TK/RA kali 100%</v>
      </c>
      <c r="Z115" s="565" t="str">
        <f>'matrik MISI 4'!Z48</f>
        <v>Akreditasi menjadi kewenangan BAN-PNF dan kewenangan ini belum dilaksanakan</v>
      </c>
    </row>
    <row r="116" spans="1:454" ht="30">
      <c r="G116" s="563"/>
      <c r="H116" s="563" t="str">
        <f>'matrik MISI 4'!N49</f>
        <v>Persentase TK/RA Terakreditasi C</v>
      </c>
      <c r="I116" s="563" t="str">
        <f>'matrik MISI 4'!O49</f>
        <v>%</v>
      </c>
      <c r="J116" s="563">
        <f>'matrik MISI 4'!P49</f>
        <v>42.29</v>
      </c>
      <c r="K116" s="563">
        <f>'matrik MISI 4'!Q49</f>
        <v>42.29</v>
      </c>
      <c r="L116" s="563">
        <f>'matrik MISI 4'!R49</f>
        <v>42.29</v>
      </c>
      <c r="M116" s="604"/>
      <c r="N116" s="563">
        <f>'matrik MISI 4'!S49</f>
        <v>42.29</v>
      </c>
      <c r="O116" s="564"/>
      <c r="P116" s="563">
        <f>'matrik MISI 4'!T49</f>
        <v>42.29</v>
      </c>
      <c r="Q116" s="564"/>
      <c r="R116" s="563">
        <f>'matrik MISI 4'!U49</f>
        <v>42.29</v>
      </c>
      <c r="S116" s="564"/>
      <c r="T116" s="563">
        <f>'matrik MISI 4'!V49</f>
        <v>42.29</v>
      </c>
      <c r="U116" s="564"/>
      <c r="V116" s="563">
        <f>'matrik MISI 4'!W49</f>
        <v>42.29</v>
      </c>
      <c r="W116" s="564"/>
      <c r="X116" s="563" t="str">
        <f>'matrik MISI 4'!X49</f>
        <v>Dinas Pendidikan</v>
      </c>
      <c r="Y116" s="565" t="str">
        <f>'matrik MISI 4'!Y49</f>
        <v>Jumlah TK/RA terakreditasi C dibagi jumlah TK/RA kali 100%</v>
      </c>
      <c r="Z116" s="565" t="str">
        <f>'matrik MISI 4'!Z49</f>
        <v>Akreditasi menjadi kewenangan BAN-PNF (sampai saat ini ada 9,17% TK yang belum terakreditasi)</v>
      </c>
    </row>
    <row r="117" spans="1:454" ht="30">
      <c r="G117" s="563"/>
      <c r="H117" s="563" t="str">
        <f>'matrik MISI 4'!N51</f>
        <v>Persentase SD/MI Terakreditasi A</v>
      </c>
      <c r="I117" s="563" t="str">
        <f>'matrik MISI 4'!O51</f>
        <v>%</v>
      </c>
      <c r="J117" s="563">
        <f>'matrik MISI 4'!P51</f>
        <v>2.97</v>
      </c>
      <c r="K117" s="563">
        <f>'matrik MISI 4'!Q51</f>
        <v>2.97</v>
      </c>
      <c r="L117" s="563">
        <f>'matrik MISI 4'!R51</f>
        <v>3.31</v>
      </c>
      <c r="M117" s="604"/>
      <c r="N117" s="563">
        <f>'matrik MISI 4'!S51</f>
        <v>3.65</v>
      </c>
      <c r="O117" s="564"/>
      <c r="P117" s="563">
        <f>'matrik MISI 4'!T51</f>
        <v>3.99</v>
      </c>
      <c r="Q117" s="564"/>
      <c r="R117" s="563">
        <f>'matrik MISI 4'!U51</f>
        <v>4.33</v>
      </c>
      <c r="S117" s="564"/>
      <c r="T117" s="563">
        <f>'matrik MISI 4'!V51</f>
        <v>4.67</v>
      </c>
      <c r="U117" s="564"/>
      <c r="V117" s="563">
        <f>'matrik MISI 4'!W51</f>
        <v>4.67</v>
      </c>
      <c r="W117" s="564"/>
      <c r="X117" s="563" t="str">
        <f>'matrik MISI 4'!X51</f>
        <v>Dinas Pendidikan</v>
      </c>
      <c r="Y117" s="565" t="str">
        <f>'matrik MISI 4'!Y51</f>
        <v>Jumlah SD/MI terakreditasi A dibagi jumlah SD/MI kali 100%</v>
      </c>
      <c r="Z117" s="565">
        <f>'matrik MISI 4'!Z51</f>
        <v>0</v>
      </c>
    </row>
    <row r="118" spans="1:454" ht="30">
      <c r="G118" s="563"/>
      <c r="H118" s="563" t="str">
        <f>'matrik MISI 4'!N52</f>
        <v>Persentase SD/MI Terakreditasi B</v>
      </c>
      <c r="I118" s="563" t="str">
        <f>'matrik MISI 4'!O52</f>
        <v>%</v>
      </c>
      <c r="J118" s="563">
        <f>'matrik MISI 4'!P52</f>
        <v>61.01</v>
      </c>
      <c r="K118" s="563">
        <f>'matrik MISI 4'!Q52</f>
        <v>61.1</v>
      </c>
      <c r="L118" s="563">
        <f>'matrik MISI 4'!R52</f>
        <v>61.011000000000003</v>
      </c>
      <c r="M118" s="604"/>
      <c r="N118" s="563">
        <f>'matrik MISI 4'!S52</f>
        <v>61.01</v>
      </c>
      <c r="O118" s="564"/>
      <c r="P118" s="563">
        <f>'matrik MISI 4'!T52</f>
        <v>61.01</v>
      </c>
      <c r="Q118" s="564"/>
      <c r="R118" s="563">
        <f>'matrik MISI 4'!U52</f>
        <v>61.01</v>
      </c>
      <c r="S118" s="564"/>
      <c r="T118" s="563">
        <f>'matrik MISI 4'!V52</f>
        <v>61.01</v>
      </c>
      <c r="U118" s="564"/>
      <c r="V118" s="563">
        <f>'matrik MISI 4'!W52</f>
        <v>61.01</v>
      </c>
      <c r="W118" s="564"/>
      <c r="X118" s="563" t="str">
        <f>'matrik MISI 4'!X52</f>
        <v>Dinas Pendidikan</v>
      </c>
      <c r="Y118" s="565" t="str">
        <f>'matrik MISI 4'!Y52</f>
        <v>Jumlah SD/MI terakreditasi B dibagi jumlah SD/MI kali 100%</v>
      </c>
      <c r="Z118" s="565">
        <f>'matrik MISI 4'!Z52</f>
        <v>0</v>
      </c>
    </row>
    <row r="119" spans="1:454" ht="30">
      <c r="G119" s="563"/>
      <c r="H119" s="563" t="str">
        <f>'matrik MISI 4'!N53</f>
        <v>Persentase SD/MI Terakreditasi C</v>
      </c>
      <c r="I119" s="563" t="str">
        <f>'matrik MISI 4'!O53</f>
        <v>%</v>
      </c>
      <c r="J119" s="563">
        <f>'matrik MISI 4'!P53</f>
        <v>33.22</v>
      </c>
      <c r="K119" s="563">
        <f>'matrik MISI 4'!Q53</f>
        <v>33.22</v>
      </c>
      <c r="L119" s="563">
        <f>'matrik MISI 4'!R53</f>
        <v>33.22</v>
      </c>
      <c r="M119" s="604"/>
      <c r="N119" s="563">
        <f>'matrik MISI 4'!S53</f>
        <v>33.22</v>
      </c>
      <c r="O119" s="564"/>
      <c r="P119" s="563">
        <f>'matrik MISI 4'!T53</f>
        <v>33.22</v>
      </c>
      <c r="Q119" s="564"/>
      <c r="R119" s="563">
        <f>'matrik MISI 4'!U53</f>
        <v>33.22</v>
      </c>
      <c r="S119" s="564"/>
      <c r="T119" s="563">
        <f>'matrik MISI 4'!V53</f>
        <v>33.22</v>
      </c>
      <c r="U119" s="564"/>
      <c r="V119" s="563">
        <f>'matrik MISI 4'!W53</f>
        <v>33.22</v>
      </c>
      <c r="W119" s="564"/>
      <c r="X119" s="563" t="str">
        <f>'matrik MISI 4'!X53</f>
        <v>Dinas Pendidikan</v>
      </c>
      <c r="Y119" s="565" t="str">
        <f>'matrik MISI 4'!Y53</f>
        <v>Jumlah SD/MI terakreditasi C dibagi jumlah SD/MI kali 100%</v>
      </c>
      <c r="Z119" s="565" t="str">
        <f>'matrik MISI 4'!Z53</f>
        <v>diharapkan di tahun 2018 tinggal 1,1% yang belum terakreditasi</v>
      </c>
    </row>
    <row r="120" spans="1:454" ht="30">
      <c r="G120" s="563"/>
      <c r="H120" s="563" t="str">
        <f>'matrik MISI 4'!N54</f>
        <v>Persentase SMP/MTs Terakreditasi A</v>
      </c>
      <c r="I120" s="563" t="str">
        <f>'matrik MISI 4'!O54</f>
        <v>%</v>
      </c>
      <c r="J120" s="563">
        <f>'matrik MISI 4'!P54</f>
        <v>21.9</v>
      </c>
      <c r="K120" s="563">
        <f>'matrik MISI 4'!Q54</f>
        <v>21.9</v>
      </c>
      <c r="L120" s="563">
        <f>'matrik MISI 4'!R54</f>
        <v>23.8</v>
      </c>
      <c r="M120" s="604"/>
      <c r="N120" s="563">
        <f>'matrik MISI 4'!S54</f>
        <v>25.7</v>
      </c>
      <c r="O120" s="564"/>
      <c r="P120" s="563">
        <f>'matrik MISI 4'!T54</f>
        <v>27.6</v>
      </c>
      <c r="Q120" s="564"/>
      <c r="R120" s="563">
        <f>'matrik MISI 4'!U54</f>
        <v>29.5</v>
      </c>
      <c r="S120" s="564"/>
      <c r="T120" s="563">
        <f>'matrik MISI 4'!V54</f>
        <v>31.4</v>
      </c>
      <c r="U120" s="564"/>
      <c r="V120" s="563">
        <f>'matrik MISI 4'!W54</f>
        <v>31.4</v>
      </c>
      <c r="W120" s="564"/>
      <c r="X120" s="563" t="str">
        <f>'matrik MISI 4'!X54</f>
        <v>Dinas Pendidikan</v>
      </c>
      <c r="Y120" s="565" t="str">
        <f>'matrik MISI 4'!Y54</f>
        <v>Jumlah SMP/MTs terakreditasi A dibagi jumlah SMP/MTs kali 100%</v>
      </c>
      <c r="Z120" s="565">
        <f>'matrik MISI 4'!Z54</f>
        <v>0</v>
      </c>
    </row>
    <row r="121" spans="1:454" ht="30">
      <c r="G121" s="563"/>
      <c r="H121" s="563" t="str">
        <f>'matrik MISI 4'!N55</f>
        <v>Persentase SMP/MTs Terakreditasi B</v>
      </c>
      <c r="I121" s="563" t="str">
        <f>'matrik MISI 4'!O55</f>
        <v>%</v>
      </c>
      <c r="J121" s="563">
        <f>'matrik MISI 4'!P55</f>
        <v>40</v>
      </c>
      <c r="K121" s="563">
        <f>'matrik MISI 4'!Q55</f>
        <v>40</v>
      </c>
      <c r="L121" s="563">
        <f>'matrik MISI 4'!R55</f>
        <v>40</v>
      </c>
      <c r="M121" s="604"/>
      <c r="N121" s="563">
        <f>'matrik MISI 4'!S55</f>
        <v>40</v>
      </c>
      <c r="O121" s="564"/>
      <c r="P121" s="563">
        <f>'matrik MISI 4'!T55</f>
        <v>40</v>
      </c>
      <c r="Q121" s="564"/>
      <c r="R121" s="563">
        <f>'matrik MISI 4'!U55</f>
        <v>40</v>
      </c>
      <c r="S121" s="564"/>
      <c r="T121" s="563">
        <f>'matrik MISI 4'!V55</f>
        <v>40</v>
      </c>
      <c r="U121" s="564"/>
      <c r="V121" s="563">
        <f>'matrik MISI 4'!W55</f>
        <v>40</v>
      </c>
      <c r="W121" s="564"/>
      <c r="X121" s="563" t="str">
        <f>'matrik MISI 4'!X55</f>
        <v>Dinas Pendidikan</v>
      </c>
      <c r="Y121" s="565" t="str">
        <f>'matrik MISI 4'!Y55</f>
        <v>Jumlah SMP/MTs terakreditasi B dibagi jumlah SMP/MTs kali 100%</v>
      </c>
      <c r="Z121" s="565">
        <f>'matrik MISI 4'!Z55</f>
        <v>0</v>
      </c>
    </row>
    <row r="122" spans="1:454" ht="30">
      <c r="G122" s="563"/>
      <c r="H122" s="563" t="str">
        <f>'matrik MISI 4'!N56</f>
        <v>Persentase SMP/MTs Terakreditasi C</v>
      </c>
      <c r="I122" s="563" t="str">
        <f>'matrik MISI 4'!O56</f>
        <v>%</v>
      </c>
      <c r="J122" s="563">
        <f>'matrik MISI 4'!P56</f>
        <v>27.62</v>
      </c>
      <c r="K122" s="563">
        <f>'matrik MISI 4'!Q56</f>
        <v>27.62</v>
      </c>
      <c r="L122" s="563">
        <f>'matrik MISI 4'!R56</f>
        <v>27.62</v>
      </c>
      <c r="M122" s="604"/>
      <c r="N122" s="563">
        <f>'matrik MISI 4'!S56</f>
        <v>27.62</v>
      </c>
      <c r="O122" s="564"/>
      <c r="P122" s="563">
        <f>'matrik MISI 4'!T56</f>
        <v>27.62</v>
      </c>
      <c r="Q122" s="564"/>
      <c r="R122" s="563">
        <f>'matrik MISI 4'!U56</f>
        <v>27.62</v>
      </c>
      <c r="S122" s="564"/>
      <c r="T122" s="563">
        <f>'matrik MISI 4'!V56</f>
        <v>27.62</v>
      </c>
      <c r="U122" s="564"/>
      <c r="V122" s="563">
        <f>'matrik MISI 4'!W56</f>
        <v>27.62</v>
      </c>
      <c r="W122" s="564"/>
      <c r="X122" s="563" t="str">
        <f>'matrik MISI 4'!X56</f>
        <v>Dinas Pendidikan</v>
      </c>
      <c r="Y122" s="565" t="str">
        <f>'matrik MISI 4'!Y56</f>
        <v>Jumlah SMP/MTs terakreditasi C dibagi jumlah SMP/MTs kali 100%</v>
      </c>
      <c r="Z122" s="565" t="str">
        <f>'matrik MISI 4'!Z56</f>
        <v>diharapkan di tahun 2018 tinggal 0,98% yang belum terakreditasi</v>
      </c>
    </row>
    <row r="123" spans="1:454">
      <c r="G123" s="563"/>
      <c r="H123" s="563" t="str">
        <f>'matrik MISI 4'!N57</f>
        <v>Persentase Angka Lulusan SD/MI</v>
      </c>
      <c r="I123" s="563" t="str">
        <f>'matrik MISI 4'!O57</f>
        <v>%</v>
      </c>
      <c r="J123" s="563">
        <f>'matrik MISI 4'!P57</f>
        <v>99.99</v>
      </c>
      <c r="K123" s="563">
        <f>'matrik MISI 4'!Q57</f>
        <v>100</v>
      </c>
      <c r="L123" s="563">
        <f>'matrik MISI 4'!R57</f>
        <v>99.9</v>
      </c>
      <c r="M123" s="604"/>
      <c r="N123" s="563">
        <f>'matrik MISI 4'!S57</f>
        <v>99.93</v>
      </c>
      <c r="O123" s="564"/>
      <c r="P123" s="563">
        <f>'matrik MISI 4'!T57</f>
        <v>99.95</v>
      </c>
      <c r="Q123" s="564"/>
      <c r="R123" s="563">
        <f>'matrik MISI 4'!U57</f>
        <v>99.97</v>
      </c>
      <c r="S123" s="564"/>
      <c r="T123" s="563">
        <f>'matrik MISI 4'!V57</f>
        <v>100</v>
      </c>
      <c r="U123" s="564"/>
      <c r="V123" s="563">
        <f>'matrik MISI 4'!W57</f>
        <v>100</v>
      </c>
      <c r="W123" s="564"/>
      <c r="X123" s="563" t="str">
        <f>'matrik MISI 4'!X57</f>
        <v>Dinas Pendidikan</v>
      </c>
      <c r="Y123" s="565" t="str">
        <f>'matrik MISI 4'!Y57</f>
        <v>Jumlah lulusan SD/MI dibagi jumlah peserta ujian SD/MI kali 100%</v>
      </c>
      <c r="Z123" s="565">
        <f>'matrik MISI 4'!Z57</f>
        <v>0</v>
      </c>
    </row>
    <row r="124" spans="1:454" ht="30">
      <c r="G124" s="563"/>
      <c r="H124" s="563" t="str">
        <f>'matrik MISI 4'!N58</f>
        <v>Persentase Angka Lulusan SMP/MTs</v>
      </c>
      <c r="I124" s="563" t="str">
        <f>'matrik MISI 4'!O58</f>
        <v>%</v>
      </c>
      <c r="J124" s="563">
        <f>'matrik MISI 4'!P58</f>
        <v>98.13</v>
      </c>
      <c r="K124" s="563">
        <f>'matrik MISI 4'!Q58</f>
        <v>99.17</v>
      </c>
      <c r="L124" s="563">
        <f>'matrik MISI 4'!R58</f>
        <v>100</v>
      </c>
      <c r="M124" s="604"/>
      <c r="N124" s="563">
        <f>'matrik MISI 4'!S58</f>
        <v>100</v>
      </c>
      <c r="O124" s="564"/>
      <c r="P124" s="563">
        <f>'matrik MISI 4'!T58</f>
        <v>100</v>
      </c>
      <c r="Q124" s="564"/>
      <c r="R124" s="563">
        <f>'matrik MISI 4'!U58</f>
        <v>100</v>
      </c>
      <c r="S124" s="564"/>
      <c r="T124" s="563">
        <f>'matrik MISI 4'!V58</f>
        <v>100</v>
      </c>
      <c r="U124" s="564"/>
      <c r="V124" s="563">
        <f>'matrik MISI 4'!W58</f>
        <v>100</v>
      </c>
      <c r="W124" s="564"/>
      <c r="X124" s="563" t="str">
        <f>'matrik MISI 4'!X58</f>
        <v>Dinas Pendidikan</v>
      </c>
      <c r="Y124" s="565" t="str">
        <f>'matrik MISI 4'!Y58</f>
        <v>Jumlah lulusan SMP/MTs dibagi jumlah peserta ujian SMP/MTs kali 100%</v>
      </c>
      <c r="Z124" s="565">
        <f>'matrik MISI 4'!Z58</f>
        <v>0</v>
      </c>
    </row>
    <row r="125" spans="1:454" ht="45">
      <c r="G125" s="563"/>
      <c r="H125" s="563" t="str">
        <f>'matrik MISI 4'!N59</f>
        <v>Persentase Siswa SD/MI yang Memperoleh Rerata Nilai Ujian Nasional ≥ 7,00</v>
      </c>
      <c r="I125" s="563" t="str">
        <f>'matrik MISI 4'!O59</f>
        <v>%</v>
      </c>
      <c r="J125" s="563">
        <f>'matrik MISI 4'!P59</f>
        <v>73.150000000000006</v>
      </c>
      <c r="K125" s="563">
        <f>'matrik MISI 4'!Q59</f>
        <v>73.192643444359689</v>
      </c>
      <c r="L125" s="563">
        <f>'matrik MISI 4'!R59</f>
        <v>73.23</v>
      </c>
      <c r="M125" s="604"/>
      <c r="N125" s="563">
        <f>'matrik MISI 4'!S59</f>
        <v>73.27</v>
      </c>
      <c r="O125" s="564"/>
      <c r="P125" s="563">
        <f>'matrik MISI 4'!T59</f>
        <v>73.31</v>
      </c>
      <c r="Q125" s="564"/>
      <c r="R125" s="563">
        <f>'matrik MISI 4'!U59</f>
        <v>73.349999999999994</v>
      </c>
      <c r="S125" s="564"/>
      <c r="T125" s="563">
        <f>'matrik MISI 4'!V59</f>
        <v>73.39</v>
      </c>
      <c r="U125" s="564"/>
      <c r="V125" s="563">
        <f>'matrik MISI 4'!W59</f>
        <v>73.39</v>
      </c>
      <c r="W125" s="564"/>
      <c r="X125" s="563" t="str">
        <f>'matrik MISI 4'!X59</f>
        <v>Dinas Pendidikan</v>
      </c>
      <c r="Y125" s="565" t="str">
        <f>'matrik MISI 4'!Y59</f>
        <v>Jumlah peserta ujian SD/MI yang memperoleh nilai ujian nasional ≥ 7,00 dibagi jumlah peserta ujian SD/MI kali 100%</v>
      </c>
      <c r="Z125" s="565">
        <f>'matrik MISI 4'!Z59</f>
        <v>0</v>
      </c>
    </row>
    <row r="126" spans="1:454" ht="45">
      <c r="G126" s="563"/>
      <c r="H126" s="563" t="str">
        <f>'matrik MISI 4'!N60</f>
        <v>Persentase Siswa SMP/MTs yang Memperoleh Rerata Nilai Ujian Nasional ≥ 7,00</v>
      </c>
      <c r="I126" s="563" t="str">
        <f>'matrik MISI 4'!O60</f>
        <v>%</v>
      </c>
      <c r="J126" s="563">
        <f>'matrik MISI 4'!P60</f>
        <v>27.633419948031179</v>
      </c>
      <c r="K126" s="563">
        <f>'matrik MISI 4'!Q60</f>
        <v>21.029365329965266</v>
      </c>
      <c r="L126" s="563">
        <f>'matrik MISI 4'!R60</f>
        <v>21.08</v>
      </c>
      <c r="M126" s="604"/>
      <c r="N126" s="563">
        <f>'matrik MISI 4'!S60</f>
        <v>21.13</v>
      </c>
      <c r="O126" s="564"/>
      <c r="P126" s="563">
        <f>'matrik MISI 4'!T60</f>
        <v>21.18</v>
      </c>
      <c r="Q126" s="564"/>
      <c r="R126" s="563">
        <f>'matrik MISI 4'!U60</f>
        <v>21.23</v>
      </c>
      <c r="S126" s="564"/>
      <c r="T126" s="563">
        <f>'matrik MISI 4'!V60</f>
        <v>21.28</v>
      </c>
      <c r="U126" s="564"/>
      <c r="V126" s="563">
        <f>'matrik MISI 4'!W60</f>
        <v>21.28</v>
      </c>
      <c r="W126" s="564"/>
      <c r="X126" s="563" t="str">
        <f>'matrik MISI 4'!X60</f>
        <v>Dinas Pendidikan</v>
      </c>
      <c r="Y126" s="565" t="str">
        <f>'matrik MISI 4'!Y60</f>
        <v>Jumlah peserta ujian SMP/MTs yang memperoleh nilai ujian nasional ≥ 7,00 dibagi jumlah peserta ujian SMP/MTs kali 100%</v>
      </c>
      <c r="Z126" s="565">
        <f>'matrik MISI 4'!Z60</f>
        <v>0</v>
      </c>
    </row>
    <row r="127" spans="1:454" ht="105">
      <c r="G127" s="563"/>
      <c r="H127" s="563" t="str">
        <f>'matrik MISI 4'!N64</f>
        <v>Cakupan ketersediaan rencana pengembangan kurikulum dan proses pembelajaran yang efektif</v>
      </c>
      <c r="I127" s="563" t="str">
        <f>'matrik MISI 4'!O64</f>
        <v>%</v>
      </c>
      <c r="J127" s="563">
        <f>'matrik MISI 4'!P64</f>
        <v>100</v>
      </c>
      <c r="K127" s="563">
        <f>'matrik MISI 4'!Q64</f>
        <v>100</v>
      </c>
      <c r="L127" s="563">
        <f>'matrik MISI 4'!R64</f>
        <v>100</v>
      </c>
      <c r="M127" s="604"/>
      <c r="N127" s="563">
        <f>'matrik MISI 4'!S64</f>
        <v>100</v>
      </c>
      <c r="O127" s="564"/>
      <c r="P127" s="563">
        <f>'matrik MISI 4'!T64</f>
        <v>100</v>
      </c>
      <c r="Q127" s="564"/>
      <c r="R127" s="563">
        <f>'matrik MISI 4'!U64</f>
        <v>100</v>
      </c>
      <c r="S127" s="564"/>
      <c r="T127" s="563">
        <f>'matrik MISI 4'!V64</f>
        <v>100</v>
      </c>
      <c r="U127" s="564"/>
      <c r="V127" s="563">
        <f>'matrik MISI 4'!W64</f>
        <v>100</v>
      </c>
      <c r="W127" s="564"/>
      <c r="X127" s="563" t="str">
        <f>'matrik MISI 4'!X64</f>
        <v>Dinas Pendidikan</v>
      </c>
      <c r="Y127" s="565"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27" s="565" t="str">
        <f>'matrik MISI 4'!Z64</f>
        <v>(SPM 13) Pemerintah kabupaten/kota memiliki rencana dan melaksanakan kegiatan untuk membantu satuan pendidikan dalam mengembangkan kurikulum dan proses pembelajaran yang efektif</v>
      </c>
    </row>
    <row r="128" spans="1:454" ht="90">
      <c r="G128" s="563"/>
      <c r="H128" s="563" t="str">
        <f>'matrik MISI 4'!N65</f>
        <v>Cakupan Kunjungan pengawas  Sekolah ke satuan pendidikan.</v>
      </c>
      <c r="I128" s="563" t="str">
        <f>'matrik MISI 4'!O65</f>
        <v>%</v>
      </c>
      <c r="J128" s="563">
        <f>'matrik MISI 4'!P65</f>
        <v>66.180000000000007</v>
      </c>
      <c r="K128" s="563">
        <f>'matrik MISI 4'!Q65</f>
        <v>74</v>
      </c>
      <c r="L128" s="563">
        <f>'matrik MISI 4'!R65</f>
        <v>74.260000000000005</v>
      </c>
      <c r="M128" s="604"/>
      <c r="N128" s="563">
        <f>'matrik MISI 4'!S65</f>
        <v>74.52</v>
      </c>
      <c r="O128" s="564"/>
      <c r="P128" s="563">
        <f>'matrik MISI 4'!T65</f>
        <v>74.78</v>
      </c>
      <c r="Q128" s="564"/>
      <c r="R128" s="563">
        <f>'matrik MISI 4'!U65</f>
        <v>75.040000000000006</v>
      </c>
      <c r="S128" s="564"/>
      <c r="T128" s="563">
        <f>'matrik MISI 4'!V65</f>
        <v>75.3</v>
      </c>
      <c r="U128" s="564"/>
      <c r="V128" s="563">
        <f>'matrik MISI 4'!W65</f>
        <v>75.3</v>
      </c>
      <c r="W128" s="564"/>
      <c r="X128" s="563" t="str">
        <f>'matrik MISI 4'!X65</f>
        <v>Dinas Pendidikan</v>
      </c>
      <c r="Y128" s="565"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28" s="565" t="str">
        <f>'matrik MISI 4'!Z65</f>
        <v>(SPM 14) Kunjungan pengawas ke satuan pendidikan dilakukan satu kali setiap bulan dan setiap 
kunjungan dilakukan selama 3 jam untuk melakukan supervisi dan pembinaan</v>
      </c>
    </row>
    <row r="129" spans="1:454" ht="30">
      <c r="G129" s="563"/>
      <c r="H129" s="563" t="str">
        <f>'matrik MISI 4'!N67</f>
        <v>Persentase SMA/MA Terakreditasi A</v>
      </c>
      <c r="I129" s="563" t="str">
        <f>'matrik MISI 4'!O67</f>
        <v>%</v>
      </c>
      <c r="J129" s="563">
        <f>'matrik MISI 4'!P67</f>
        <v>29.63</v>
      </c>
      <c r="K129" s="563">
        <f>'matrik MISI 4'!Q67</f>
        <v>29.63</v>
      </c>
      <c r="L129" s="563">
        <f>'matrik MISI 4'!R67</f>
        <v>33.33</v>
      </c>
      <c r="M129" s="604"/>
      <c r="N129" s="563">
        <f>'matrik MISI 4'!S67</f>
        <v>37.03</v>
      </c>
      <c r="O129" s="564"/>
      <c r="P129" s="563">
        <f>'matrik MISI 4'!T67</f>
        <v>40.729999999999997</v>
      </c>
      <c r="Q129" s="564"/>
      <c r="R129" s="563">
        <f>'matrik MISI 4'!U67</f>
        <v>44.43</v>
      </c>
      <c r="S129" s="564"/>
      <c r="T129" s="563">
        <f>'matrik MISI 4'!V67</f>
        <v>48.13</v>
      </c>
      <c r="U129" s="564"/>
      <c r="V129" s="563">
        <f>'matrik MISI 4'!W67</f>
        <v>48.13</v>
      </c>
      <c r="W129" s="564"/>
      <c r="X129" s="563" t="str">
        <f>'matrik MISI 4'!X67</f>
        <v>Dinas Pendidikan</v>
      </c>
      <c r="Y129" s="565" t="str">
        <f>'matrik MISI 4'!Y67</f>
        <v>Jumlah SMA/MA terakreditasi A dibagi jumlah SMA/MA kali 100%</v>
      </c>
      <c r="Z129" s="565">
        <f>'matrik MISI 4'!Z67</f>
        <v>0</v>
      </c>
    </row>
    <row r="130" spans="1:454" ht="30">
      <c r="G130" s="563"/>
      <c r="H130" s="563" t="str">
        <f>'matrik MISI 4'!N68</f>
        <v>Persentase SMA/MA Terakreditasi B</v>
      </c>
      <c r="I130" s="563" t="str">
        <f>'matrik MISI 4'!O68</f>
        <v>%</v>
      </c>
      <c r="J130" s="563">
        <f>'matrik MISI 4'!P68</f>
        <v>25.93</v>
      </c>
      <c r="K130" s="563">
        <f>'matrik MISI 4'!Q68</f>
        <v>25.93</v>
      </c>
      <c r="L130" s="563">
        <f>'matrik MISI 4'!R68</f>
        <v>25.93</v>
      </c>
      <c r="M130" s="604"/>
      <c r="N130" s="563">
        <f>'matrik MISI 4'!S68</f>
        <v>25.93</v>
      </c>
      <c r="O130" s="564"/>
      <c r="P130" s="563">
        <f>'matrik MISI 4'!T68</f>
        <v>25.93</v>
      </c>
      <c r="Q130" s="564"/>
      <c r="R130" s="563">
        <f>'matrik MISI 4'!U68</f>
        <v>25.93</v>
      </c>
      <c r="S130" s="564"/>
      <c r="T130" s="563">
        <f>'matrik MISI 4'!V68</f>
        <v>25.93</v>
      </c>
      <c r="U130" s="564"/>
      <c r="V130" s="563">
        <f>'matrik MISI 4'!W68</f>
        <v>25.93</v>
      </c>
      <c r="W130" s="564"/>
      <c r="X130" s="563" t="str">
        <f>'matrik MISI 4'!X68</f>
        <v>Dinas Pendidikan</v>
      </c>
      <c r="Y130" s="565" t="str">
        <f>'matrik MISI 4'!Y68</f>
        <v>Jumlah SMA/MA terakreditasi B dibagi jumlah SMA/MA kali 100%</v>
      </c>
      <c r="Z130" s="565">
        <f>'matrik MISI 4'!Z68</f>
        <v>0</v>
      </c>
    </row>
    <row r="131" spans="1:454" ht="30">
      <c r="G131" s="563"/>
      <c r="H131" s="563" t="str">
        <f>'matrik MISI 4'!N69</f>
        <v>Persentase SMA/MA Terakreditasi C</v>
      </c>
      <c r="I131" s="563" t="str">
        <f>'matrik MISI 4'!O69</f>
        <v>%</v>
      </c>
      <c r="J131" s="563">
        <f>'matrik MISI 4'!P69</f>
        <v>22.22</v>
      </c>
      <c r="K131" s="563">
        <f>'matrik MISI 4'!Q69</f>
        <v>22.22</v>
      </c>
      <c r="L131" s="563">
        <f>'matrik MISI 4'!R69</f>
        <v>22.22</v>
      </c>
      <c r="M131" s="604"/>
      <c r="N131" s="563">
        <f>'matrik MISI 4'!S69</f>
        <v>22.22</v>
      </c>
      <c r="O131" s="564"/>
      <c r="P131" s="563">
        <f>'matrik MISI 4'!T69</f>
        <v>22.22</v>
      </c>
      <c r="Q131" s="564"/>
      <c r="R131" s="563">
        <f>'matrik MISI 4'!U69</f>
        <v>22.22</v>
      </c>
      <c r="S131" s="564"/>
      <c r="T131" s="563">
        <f>'matrik MISI 4'!V69</f>
        <v>22.22</v>
      </c>
      <c r="U131" s="564"/>
      <c r="V131" s="563">
        <f>'matrik MISI 4'!W69</f>
        <v>22.22</v>
      </c>
      <c r="W131" s="564"/>
      <c r="X131" s="563" t="str">
        <f>'matrik MISI 4'!X69</f>
        <v>Dinas Pendidikan</v>
      </c>
      <c r="Y131" s="565" t="str">
        <f>'matrik MISI 4'!Y69</f>
        <v>Jumlah SMA/MA terakreditasi C dibagi jumlah SMA/MA kali 100%</v>
      </c>
      <c r="Z131" s="565" t="str">
        <f>'matrik MISI 4'!Z69</f>
        <v>diharapkan di tahun 2018 tinggal 3,72% yang belum terakreditasi</v>
      </c>
    </row>
    <row r="132" spans="1:454" ht="30">
      <c r="G132" s="563"/>
      <c r="H132" s="563" t="str">
        <f>'matrik MISI 4'!N70</f>
        <v>Persentase Program Keahlian SMK Terakreditasi A</v>
      </c>
      <c r="I132" s="563" t="str">
        <f>'matrik MISI 4'!O70</f>
        <v>%</v>
      </c>
      <c r="J132" s="563">
        <f>'matrik MISI 4'!P70</f>
        <v>15.87</v>
      </c>
      <c r="K132" s="563">
        <f>'matrik MISI 4'!Q70</f>
        <v>15.87</v>
      </c>
      <c r="L132" s="563">
        <f>'matrik MISI 4'!R70</f>
        <v>19.05</v>
      </c>
      <c r="M132" s="604"/>
      <c r="N132" s="563">
        <f>'matrik MISI 4'!S70</f>
        <v>22.23</v>
      </c>
      <c r="O132" s="564"/>
      <c r="P132" s="563">
        <f>'matrik MISI 4'!T70</f>
        <v>25.41</v>
      </c>
      <c r="Q132" s="564"/>
      <c r="R132" s="563">
        <f>'matrik MISI 4'!U70</f>
        <v>28.59</v>
      </c>
      <c r="S132" s="564"/>
      <c r="T132" s="563">
        <f>'matrik MISI 4'!V70</f>
        <v>31.77</v>
      </c>
      <c r="U132" s="564"/>
      <c r="V132" s="563">
        <f>'matrik MISI 4'!W70</f>
        <v>31.77</v>
      </c>
      <c r="W132" s="564"/>
      <c r="X132" s="563" t="str">
        <f>'matrik MISI 4'!X70</f>
        <v>Dinas Pendidikan</v>
      </c>
      <c r="Y132" s="565" t="str">
        <f>'matrik MISI 4'!Y70</f>
        <v>Jumlah Program Keahlian SMK terakreditasi A dibagi jumlah Program Keahlian SMK kali 100%</v>
      </c>
      <c r="Z132" s="565">
        <f>'matrik MISI 4'!Z70</f>
        <v>0</v>
      </c>
    </row>
    <row r="133" spans="1:454" ht="30">
      <c r="G133" s="563"/>
      <c r="H133" s="563" t="str">
        <f>'matrik MISI 4'!N71</f>
        <v>Persentase Program Keahlian SMK Terakreditasi B</v>
      </c>
      <c r="I133" s="563" t="str">
        <f>'matrik MISI 4'!O71</f>
        <v>%</v>
      </c>
      <c r="J133" s="563">
        <f>'matrik MISI 4'!P71</f>
        <v>47.62</v>
      </c>
      <c r="K133" s="563">
        <f>'matrik MISI 4'!Q71</f>
        <v>47.62</v>
      </c>
      <c r="L133" s="563">
        <f>'matrik MISI 4'!R71</f>
        <v>47.62</v>
      </c>
      <c r="M133" s="604"/>
      <c r="N133" s="563">
        <f>'matrik MISI 4'!S71</f>
        <v>47.62</v>
      </c>
      <c r="O133" s="564"/>
      <c r="P133" s="563">
        <f>'matrik MISI 4'!T71</f>
        <v>47.62</v>
      </c>
      <c r="Q133" s="564"/>
      <c r="R133" s="563">
        <f>'matrik MISI 4'!U71</f>
        <v>47.62</v>
      </c>
      <c r="S133" s="564"/>
      <c r="T133" s="563">
        <f>'matrik MISI 4'!V71</f>
        <v>47.62</v>
      </c>
      <c r="U133" s="564"/>
      <c r="V133" s="563">
        <f>'matrik MISI 4'!W71</f>
        <v>47.62</v>
      </c>
      <c r="W133" s="564"/>
      <c r="X133" s="563" t="str">
        <f>'matrik MISI 4'!X71</f>
        <v>Dinas Pendidikan</v>
      </c>
      <c r="Y133" s="565" t="str">
        <f>'matrik MISI 4'!Y71</f>
        <v>Jumlah Program Keahlian SMK terakreditasi B dibagi jumlah Program Keahlian SMK kali 100%</v>
      </c>
      <c r="Z133" s="565">
        <f>'matrik MISI 4'!Z71</f>
        <v>0</v>
      </c>
    </row>
    <row r="134" spans="1:454" ht="30">
      <c r="G134" s="563"/>
      <c r="H134" s="563" t="str">
        <f>'matrik MISI 4'!N72</f>
        <v>Persentase Program Keahlian SMK Terakreditasi C</v>
      </c>
      <c r="I134" s="563" t="str">
        <f>'matrik MISI 4'!O72</f>
        <v>%</v>
      </c>
      <c r="J134" s="563">
        <f>'matrik MISI 4'!P72</f>
        <v>19.05</v>
      </c>
      <c r="K134" s="563">
        <f>'matrik MISI 4'!Q72</f>
        <v>19.05</v>
      </c>
      <c r="L134" s="563">
        <f>'matrik MISI 4'!R72</f>
        <v>19.05</v>
      </c>
      <c r="M134" s="604"/>
      <c r="N134" s="563">
        <f>'matrik MISI 4'!S72</f>
        <v>19.05</v>
      </c>
      <c r="O134" s="564"/>
      <c r="P134" s="563">
        <f>'matrik MISI 4'!T72</f>
        <v>19.05</v>
      </c>
      <c r="Q134" s="564"/>
      <c r="R134" s="563">
        <f>'matrik MISI 4'!U72</f>
        <v>19.05</v>
      </c>
      <c r="S134" s="564"/>
      <c r="T134" s="563">
        <f>'matrik MISI 4'!V72</f>
        <v>19.05</v>
      </c>
      <c r="U134" s="564"/>
      <c r="V134" s="563">
        <f>'matrik MISI 4'!W72</f>
        <v>19.05</v>
      </c>
      <c r="W134" s="564"/>
      <c r="X134" s="563" t="str">
        <f>'matrik MISI 4'!X72</f>
        <v>Dinas Pendidikan</v>
      </c>
      <c r="Y134" s="565" t="str">
        <f>'matrik MISI 4'!Y72</f>
        <v>Jumlah Program Keahlian SMK terakreditasi C dibagi jumlah Program Keahlian SMK kali 100%</v>
      </c>
      <c r="Z134" s="565" t="str">
        <f>'matrik MISI 4'!Z72</f>
        <v>diharapkan di tahun 2018 tinggal 1,56% program keahlian yang belum terakreditasi</v>
      </c>
    </row>
    <row r="135" spans="1:454" ht="30">
      <c r="G135" s="563"/>
      <c r="H135" s="563" t="str">
        <f>'matrik MISI 4'!N73</f>
        <v>Persentase Angka Lulusan SMA/MA/SMK</v>
      </c>
      <c r="I135" s="563" t="str">
        <f>'matrik MISI 4'!O73</f>
        <v>%</v>
      </c>
      <c r="J135" s="563">
        <f>'matrik MISI 4'!P73</f>
        <v>99.320568252007419</v>
      </c>
      <c r="K135" s="563">
        <f>'matrik MISI 4'!Q73</f>
        <v>99.864786555920418</v>
      </c>
      <c r="L135" s="563">
        <f>'matrik MISI 4'!R73</f>
        <v>100</v>
      </c>
      <c r="M135" s="604"/>
      <c r="N135" s="563">
        <f>'matrik MISI 4'!S73</f>
        <v>100</v>
      </c>
      <c r="O135" s="564"/>
      <c r="P135" s="563">
        <f>'matrik MISI 4'!T73</f>
        <v>100</v>
      </c>
      <c r="Q135" s="564"/>
      <c r="R135" s="563">
        <f>'matrik MISI 4'!U73</f>
        <v>100</v>
      </c>
      <c r="S135" s="564"/>
      <c r="T135" s="563">
        <f>'matrik MISI 4'!V73</f>
        <v>100</v>
      </c>
      <c r="U135" s="564"/>
      <c r="V135" s="563">
        <f>'matrik MISI 4'!W73</f>
        <v>100</v>
      </c>
      <c r="W135" s="564"/>
      <c r="X135" s="563" t="str">
        <f>'matrik MISI 4'!X73</f>
        <v>Dinas Pendidikan</v>
      </c>
      <c r="Y135" s="565" t="str">
        <f>'matrik MISI 4'!Y73</f>
        <v>Jumlah lulusan SMA/MA/SMK dibagi jumlah peserta Ujian Nasional SMA/MA/SMK kali 100%</v>
      </c>
      <c r="Z135" s="565">
        <f>'matrik MISI 4'!Z73</f>
        <v>0</v>
      </c>
    </row>
    <row r="136" spans="1:454" ht="45">
      <c r="G136" s="563"/>
      <c r="H136" s="563" t="str">
        <f>'matrik MISI 4'!N74</f>
        <v>Persentase Siswa SMA/MA/SMK yang Memperoleh Rerata Nilai Ujian Nasional ≥ 7,00</v>
      </c>
      <c r="I136" s="563" t="str">
        <f>'matrik MISI 4'!O74</f>
        <v>%</v>
      </c>
      <c r="J136" s="563">
        <f>'matrik MISI 4'!P74</f>
        <v>72.122709491455623</v>
      </c>
      <c r="K136" s="563">
        <f>'matrik MISI 4'!Q74</f>
        <v>57.331009103234557</v>
      </c>
      <c r="L136" s="563">
        <f>'matrik MISI 4'!R74</f>
        <v>57.43</v>
      </c>
      <c r="M136" s="604"/>
      <c r="N136" s="563">
        <f>'matrik MISI 4'!S74</f>
        <v>57.63</v>
      </c>
      <c r="O136" s="564"/>
      <c r="P136" s="563">
        <f>'matrik MISI 4'!T74</f>
        <v>57.78</v>
      </c>
      <c r="Q136" s="564"/>
      <c r="R136" s="563">
        <f>'matrik MISI 4'!U74</f>
        <v>57.93</v>
      </c>
      <c r="S136" s="564"/>
      <c r="T136" s="563">
        <f>'matrik MISI 4'!V74</f>
        <v>58.08</v>
      </c>
      <c r="U136" s="564"/>
      <c r="V136" s="563">
        <f>'matrik MISI 4'!W74</f>
        <v>58.08</v>
      </c>
      <c r="W136" s="564"/>
      <c r="X136" s="563" t="str">
        <f>'matrik MISI 4'!X74</f>
        <v>Dinas Pendidikan</v>
      </c>
      <c r="Y136" s="565" t="str">
        <f>'matrik MISI 4'!Y74</f>
        <v>Jumlah peserta Ujian Nasional SMA/MA/SMK yang memperoleh nilai rata-rata Ujian Nasional ≥ 7,00 dibagi jumlah peserta Ujian Nasional SMA/MA/SMK  kali 100%</v>
      </c>
      <c r="Z136" s="565" t="str">
        <f>'matrik MISI 4'!Z74</f>
        <v>target capaian sangat tergantung dengan kualitas materi ujian.</v>
      </c>
    </row>
    <row r="137" spans="1:454" ht="30">
      <c r="G137" s="563"/>
      <c r="H137" s="563" t="str">
        <f>'matrik MISI 4'!N12</f>
        <v>Persentase angka kenakalan siswa</v>
      </c>
      <c r="I137" s="563" t="str">
        <f>'matrik MISI 4'!O12</f>
        <v>%</v>
      </c>
      <c r="J137" s="563" t="str">
        <f>'matrik MISI 4'!P12</f>
        <v xml:space="preserve"> - </v>
      </c>
      <c r="K137" s="563" t="str">
        <f>'matrik MISI 4'!Q12</f>
        <v xml:space="preserve"> - </v>
      </c>
      <c r="L137" s="563">
        <f>'matrik MISI 4'!R12</f>
        <v>0</v>
      </c>
      <c r="M137" s="604"/>
      <c r="N137" s="563">
        <f>'matrik MISI 4'!S12</f>
        <v>0</v>
      </c>
      <c r="O137" s="564"/>
      <c r="P137" s="563">
        <f>'matrik MISI 4'!T12</f>
        <v>0</v>
      </c>
      <c r="Q137" s="564"/>
      <c r="R137" s="563">
        <f>'matrik MISI 4'!U12</f>
        <v>0</v>
      </c>
      <c r="S137" s="564"/>
      <c r="T137" s="563">
        <f>'matrik MISI 4'!V12</f>
        <v>0</v>
      </c>
      <c r="U137" s="564"/>
      <c r="V137" s="563">
        <f>'matrik MISI 4'!W12</f>
        <v>0</v>
      </c>
      <c r="W137" s="564"/>
      <c r="X137" s="563" t="str">
        <f>'matrik MISI 4'!X12</f>
        <v>Dinas Pendidikan</v>
      </c>
      <c r="Y137" s="565" t="str">
        <f>'matrik MISI 4'!Y12</f>
        <v>Jumlah siswa yang dikembalikan kepada orangtua,  dibagi jumlah seluruh siswa kali 100%</v>
      </c>
      <c r="Z137" s="565" t="str">
        <f>'matrik MISI 4'!Z12</f>
        <v>Dikembalikan karena melanggar disiplin/tata tertib sekolah</v>
      </c>
    </row>
    <row r="138" spans="1:454" s="574" customFormat="1" ht="45">
      <c r="A138" s="569"/>
      <c r="B138" s="575"/>
      <c r="C138" s="576"/>
      <c r="D138" s="577">
        <f>'matrik MISI 4'!J79</f>
        <v>1.01</v>
      </c>
      <c r="E138" s="577" t="str">
        <f>'matrik MISI 4'!K79</f>
        <v>xx</v>
      </c>
      <c r="F138" s="577">
        <f>'matrik MISI 4'!L79</f>
        <v>20</v>
      </c>
      <c r="G138" s="577" t="str">
        <f>'matrik MISI 4'!M79</f>
        <v>Program peningkatan mutu pendidik dan tenaga kependidikan</v>
      </c>
      <c r="H138" s="577"/>
      <c r="I138" s="577"/>
      <c r="J138" s="577"/>
      <c r="K138" s="577"/>
      <c r="L138" s="577"/>
      <c r="M138" s="578">
        <f>'jangan dihapus 2'!K196</f>
        <v>8234183000</v>
      </c>
      <c r="N138" s="578"/>
      <c r="O138" s="578">
        <f>'jangan dihapus 2'!M196</f>
        <v>8048701500</v>
      </c>
      <c r="P138" s="578"/>
      <c r="Q138" s="578">
        <f>'jangan dihapus 2'!O196</f>
        <v>8135486500</v>
      </c>
      <c r="R138" s="578"/>
      <c r="S138" s="578">
        <f>'jangan dihapus 2'!Q196</f>
        <v>8117086500</v>
      </c>
      <c r="T138" s="578"/>
      <c r="U138" s="578">
        <f>'jangan dihapus 2'!S196</f>
        <v>8178086500</v>
      </c>
      <c r="V138" s="577"/>
      <c r="W138" s="578">
        <f>SUM(M138:U138)</f>
        <v>40713544000</v>
      </c>
      <c r="X138" s="577"/>
      <c r="Y138" s="577"/>
      <c r="Z138" s="577"/>
      <c r="AA138" s="569"/>
      <c r="AB138" s="569"/>
      <c r="AC138" s="569"/>
      <c r="AD138" s="569"/>
      <c r="AE138" s="569"/>
      <c r="AF138" s="569"/>
      <c r="AG138" s="569"/>
      <c r="AH138" s="569"/>
      <c r="AI138" s="569"/>
      <c r="AJ138" s="569"/>
      <c r="AK138" s="569"/>
      <c r="AL138" s="569"/>
      <c r="AM138" s="569"/>
      <c r="AN138" s="569"/>
      <c r="AO138" s="569"/>
      <c r="AP138" s="569"/>
      <c r="AQ138" s="569"/>
      <c r="AR138" s="569"/>
      <c r="AS138" s="569"/>
      <c r="AT138" s="569"/>
      <c r="AU138" s="569"/>
      <c r="AV138" s="569"/>
      <c r="AW138" s="569"/>
      <c r="AX138" s="569"/>
      <c r="AY138" s="569"/>
      <c r="AZ138" s="569"/>
      <c r="BA138" s="569"/>
      <c r="BB138" s="569"/>
      <c r="BC138" s="569"/>
      <c r="BD138" s="569"/>
      <c r="BE138" s="569"/>
      <c r="BF138" s="569"/>
      <c r="BG138" s="569"/>
      <c r="BH138" s="569"/>
      <c r="BI138" s="569"/>
      <c r="BJ138" s="569"/>
      <c r="BK138" s="569"/>
      <c r="BL138" s="569"/>
      <c r="BM138" s="569"/>
      <c r="BN138" s="569"/>
      <c r="BO138" s="569"/>
      <c r="BP138" s="569"/>
      <c r="BQ138" s="569"/>
      <c r="BR138" s="569"/>
      <c r="BS138" s="569"/>
      <c r="BT138" s="569"/>
      <c r="BU138" s="569"/>
      <c r="BV138" s="569"/>
      <c r="BW138" s="569"/>
      <c r="BX138" s="569"/>
      <c r="BY138" s="569"/>
      <c r="BZ138" s="569"/>
      <c r="CA138" s="569"/>
      <c r="CB138" s="569"/>
      <c r="CC138" s="569"/>
      <c r="CD138" s="569"/>
      <c r="CE138" s="569"/>
      <c r="CF138" s="569"/>
      <c r="CG138" s="569"/>
      <c r="CH138" s="569"/>
      <c r="CI138" s="569"/>
      <c r="CJ138" s="569"/>
      <c r="CK138" s="569"/>
      <c r="CL138" s="569"/>
      <c r="CM138" s="569"/>
      <c r="CN138" s="569"/>
      <c r="CO138" s="569"/>
      <c r="CP138" s="569"/>
      <c r="CQ138" s="569"/>
      <c r="CR138" s="569"/>
      <c r="CS138" s="569"/>
      <c r="CT138" s="569"/>
      <c r="CU138" s="569"/>
      <c r="CV138" s="569"/>
      <c r="CW138" s="569"/>
      <c r="CX138" s="569"/>
      <c r="CY138" s="569"/>
      <c r="CZ138" s="569"/>
      <c r="DA138" s="569"/>
      <c r="DB138" s="569"/>
      <c r="DC138" s="569"/>
      <c r="DD138" s="569"/>
      <c r="DE138" s="569"/>
      <c r="DF138" s="569"/>
      <c r="DG138" s="569"/>
      <c r="DH138" s="569"/>
      <c r="DI138" s="569"/>
      <c r="DJ138" s="569"/>
      <c r="DK138" s="569"/>
      <c r="DL138" s="569"/>
      <c r="DM138" s="569"/>
      <c r="DN138" s="569"/>
      <c r="DO138" s="569"/>
      <c r="DP138" s="569"/>
      <c r="DQ138" s="569"/>
      <c r="DR138" s="569"/>
      <c r="DS138" s="569"/>
      <c r="DT138" s="569"/>
      <c r="DU138" s="569"/>
      <c r="DV138" s="569"/>
      <c r="DW138" s="569"/>
      <c r="DX138" s="569"/>
      <c r="DY138" s="569"/>
      <c r="DZ138" s="569"/>
      <c r="EA138" s="569"/>
      <c r="EB138" s="569"/>
      <c r="EC138" s="569"/>
      <c r="ED138" s="569"/>
      <c r="EE138" s="569"/>
      <c r="EF138" s="569"/>
      <c r="EG138" s="569"/>
      <c r="EH138" s="569"/>
      <c r="EI138" s="569"/>
      <c r="EJ138" s="569"/>
      <c r="EK138" s="569"/>
      <c r="EL138" s="569"/>
      <c r="EM138" s="569"/>
      <c r="EN138" s="569"/>
      <c r="EO138" s="569"/>
      <c r="EP138" s="569"/>
      <c r="EQ138" s="569"/>
      <c r="ER138" s="569"/>
      <c r="ES138" s="569"/>
      <c r="ET138" s="569"/>
      <c r="EU138" s="569"/>
      <c r="EV138" s="569"/>
      <c r="EW138" s="569"/>
      <c r="EX138" s="569"/>
      <c r="EY138" s="569"/>
      <c r="EZ138" s="569"/>
      <c r="FA138" s="569"/>
      <c r="FB138" s="569"/>
      <c r="FC138" s="569"/>
      <c r="FD138" s="569"/>
      <c r="FE138" s="569"/>
      <c r="FF138" s="569"/>
      <c r="FG138" s="569"/>
      <c r="FH138" s="569"/>
      <c r="FI138" s="569"/>
      <c r="FJ138" s="569"/>
      <c r="FK138" s="569"/>
      <c r="FL138" s="569"/>
      <c r="FM138" s="569"/>
      <c r="FN138" s="569"/>
      <c r="FO138" s="569"/>
      <c r="FP138" s="569"/>
      <c r="FQ138" s="569"/>
      <c r="FR138" s="569"/>
      <c r="FS138" s="569"/>
      <c r="FT138" s="569"/>
      <c r="FU138" s="569"/>
      <c r="FV138" s="569"/>
      <c r="FW138" s="569"/>
      <c r="FX138" s="569"/>
      <c r="FY138" s="569"/>
      <c r="FZ138" s="569"/>
      <c r="GA138" s="569"/>
      <c r="GB138" s="569"/>
      <c r="GC138" s="569"/>
      <c r="GD138" s="569"/>
      <c r="GE138" s="569"/>
      <c r="GF138" s="569"/>
      <c r="GG138" s="569"/>
      <c r="GH138" s="569"/>
      <c r="GI138" s="569"/>
      <c r="GJ138" s="569"/>
      <c r="GK138" s="569"/>
      <c r="GL138" s="569"/>
      <c r="GM138" s="569"/>
      <c r="GN138" s="569"/>
      <c r="GO138" s="569"/>
      <c r="GP138" s="569"/>
      <c r="GQ138" s="569"/>
      <c r="GR138" s="569"/>
      <c r="GS138" s="569"/>
      <c r="GT138" s="569"/>
      <c r="GU138" s="569"/>
      <c r="GV138" s="569"/>
      <c r="GW138" s="569"/>
      <c r="GX138" s="569"/>
      <c r="GY138" s="569"/>
      <c r="GZ138" s="569"/>
      <c r="HA138" s="569"/>
      <c r="HB138" s="569"/>
      <c r="HC138" s="569"/>
      <c r="HD138" s="569"/>
      <c r="HE138" s="569"/>
      <c r="HF138" s="569"/>
      <c r="HG138" s="569"/>
      <c r="HH138" s="569"/>
      <c r="HI138" s="569"/>
      <c r="HJ138" s="569"/>
      <c r="HK138" s="569"/>
      <c r="HL138" s="569"/>
      <c r="HM138" s="569"/>
      <c r="HN138" s="569"/>
      <c r="HO138" s="569"/>
      <c r="HP138" s="569"/>
      <c r="HQ138" s="569"/>
      <c r="HR138" s="569"/>
      <c r="HS138" s="569"/>
      <c r="HT138" s="569"/>
      <c r="HU138" s="569"/>
      <c r="HV138" s="569"/>
      <c r="HW138" s="569"/>
      <c r="HX138" s="569"/>
      <c r="HY138" s="569"/>
      <c r="HZ138" s="569"/>
      <c r="IA138" s="569"/>
      <c r="IB138" s="569"/>
      <c r="IC138" s="569"/>
      <c r="ID138" s="569"/>
      <c r="IE138" s="569"/>
      <c r="IF138" s="569"/>
      <c r="IG138" s="569"/>
      <c r="IH138" s="569"/>
      <c r="II138" s="569"/>
      <c r="IJ138" s="569"/>
      <c r="IK138" s="569"/>
      <c r="IL138" s="569"/>
      <c r="IM138" s="569"/>
      <c r="IN138" s="569"/>
      <c r="IO138" s="569"/>
      <c r="IP138" s="569"/>
      <c r="IQ138" s="569"/>
      <c r="IR138" s="569"/>
      <c r="IS138" s="569"/>
      <c r="IT138" s="569"/>
      <c r="IU138" s="569"/>
      <c r="IV138" s="569"/>
      <c r="IW138" s="569"/>
      <c r="IX138" s="569"/>
      <c r="IY138" s="569"/>
      <c r="IZ138" s="569"/>
      <c r="JA138" s="569"/>
      <c r="JB138" s="569"/>
      <c r="JC138" s="569"/>
      <c r="JD138" s="569"/>
      <c r="JE138" s="569"/>
      <c r="JF138" s="569"/>
      <c r="JG138" s="569"/>
      <c r="JH138" s="569"/>
      <c r="JI138" s="569"/>
      <c r="JJ138" s="569"/>
      <c r="JK138" s="569"/>
      <c r="JL138" s="569"/>
      <c r="JM138" s="569"/>
      <c r="JN138" s="569"/>
      <c r="JO138" s="569"/>
      <c r="JP138" s="569"/>
      <c r="JQ138" s="569"/>
      <c r="JR138" s="569"/>
      <c r="JS138" s="569"/>
      <c r="JT138" s="569"/>
      <c r="JU138" s="569"/>
      <c r="JV138" s="569"/>
      <c r="JW138" s="569"/>
      <c r="JX138" s="569"/>
      <c r="JY138" s="569"/>
      <c r="JZ138" s="569"/>
      <c r="KA138" s="569"/>
      <c r="KB138" s="569"/>
      <c r="KC138" s="569"/>
      <c r="KD138" s="569"/>
      <c r="KE138" s="569"/>
      <c r="KF138" s="569"/>
      <c r="KG138" s="569"/>
      <c r="KH138" s="569"/>
      <c r="KI138" s="569"/>
      <c r="KJ138" s="569"/>
      <c r="KK138" s="569"/>
      <c r="KL138" s="569"/>
      <c r="KM138" s="569"/>
      <c r="KN138" s="569"/>
      <c r="KO138" s="569"/>
      <c r="KP138" s="569"/>
      <c r="KQ138" s="569"/>
      <c r="KR138" s="569"/>
      <c r="KS138" s="569"/>
      <c r="KT138" s="569"/>
      <c r="KU138" s="569"/>
      <c r="KV138" s="569"/>
      <c r="KW138" s="569"/>
      <c r="KX138" s="569"/>
      <c r="KY138" s="569"/>
      <c r="KZ138" s="569"/>
      <c r="LA138" s="569"/>
      <c r="LB138" s="569"/>
      <c r="LC138" s="569"/>
      <c r="LD138" s="569"/>
      <c r="LE138" s="569"/>
      <c r="LF138" s="569"/>
      <c r="LG138" s="569"/>
      <c r="LH138" s="569"/>
      <c r="LI138" s="569"/>
      <c r="LJ138" s="569"/>
      <c r="LK138" s="569"/>
      <c r="LL138" s="569"/>
      <c r="LM138" s="569"/>
      <c r="LN138" s="569"/>
      <c r="LO138" s="569"/>
      <c r="LP138" s="569"/>
      <c r="LQ138" s="569"/>
      <c r="LR138" s="569"/>
      <c r="LS138" s="569"/>
      <c r="LT138" s="569"/>
      <c r="LU138" s="569"/>
      <c r="LV138" s="569"/>
      <c r="LW138" s="569"/>
      <c r="LX138" s="569"/>
      <c r="LY138" s="569"/>
      <c r="LZ138" s="569"/>
      <c r="MA138" s="569"/>
      <c r="MB138" s="569"/>
      <c r="MC138" s="569"/>
      <c r="MD138" s="569"/>
      <c r="ME138" s="569"/>
      <c r="MF138" s="569"/>
      <c r="MG138" s="569"/>
      <c r="MH138" s="569"/>
      <c r="MI138" s="569"/>
      <c r="MJ138" s="569"/>
      <c r="MK138" s="569"/>
      <c r="ML138" s="569"/>
      <c r="MM138" s="569"/>
      <c r="MN138" s="569"/>
      <c r="MO138" s="569"/>
      <c r="MP138" s="569"/>
      <c r="MQ138" s="569"/>
      <c r="MR138" s="569"/>
      <c r="MS138" s="569"/>
      <c r="MT138" s="569"/>
      <c r="MU138" s="569"/>
      <c r="MV138" s="569"/>
      <c r="MW138" s="569"/>
      <c r="MX138" s="569"/>
      <c r="MY138" s="569"/>
      <c r="MZ138" s="569"/>
      <c r="NA138" s="569"/>
      <c r="NB138" s="569"/>
      <c r="NC138" s="569"/>
      <c r="ND138" s="569"/>
      <c r="NE138" s="569"/>
      <c r="NF138" s="569"/>
      <c r="NG138" s="569"/>
      <c r="NH138" s="569"/>
      <c r="NI138" s="569"/>
      <c r="NJ138" s="569"/>
      <c r="NK138" s="569"/>
      <c r="NL138" s="569"/>
      <c r="NM138" s="569"/>
      <c r="NN138" s="569"/>
      <c r="NO138" s="569"/>
      <c r="NP138" s="569"/>
      <c r="NQ138" s="569"/>
      <c r="NR138" s="569"/>
      <c r="NS138" s="569"/>
      <c r="NT138" s="569"/>
      <c r="NU138" s="569"/>
      <c r="NV138" s="569"/>
      <c r="NW138" s="569"/>
      <c r="NX138" s="569"/>
      <c r="NY138" s="569"/>
      <c r="NZ138" s="569"/>
      <c r="OA138" s="569"/>
      <c r="OB138" s="569"/>
      <c r="OC138" s="569"/>
      <c r="OD138" s="569"/>
      <c r="OE138" s="569"/>
      <c r="OF138" s="569"/>
      <c r="OG138" s="569"/>
      <c r="OH138" s="569"/>
      <c r="OI138" s="569"/>
      <c r="OJ138" s="569"/>
      <c r="OK138" s="569"/>
      <c r="OL138" s="569"/>
      <c r="OM138" s="569"/>
      <c r="ON138" s="569"/>
      <c r="OO138" s="569"/>
      <c r="OP138" s="569"/>
      <c r="OQ138" s="569"/>
      <c r="OR138" s="569"/>
      <c r="OS138" s="569"/>
      <c r="OT138" s="569"/>
      <c r="OU138" s="569"/>
      <c r="OV138" s="569"/>
      <c r="OW138" s="569"/>
      <c r="OX138" s="569"/>
      <c r="OY138" s="569"/>
      <c r="OZ138" s="569"/>
      <c r="PA138" s="569"/>
      <c r="PB138" s="569"/>
      <c r="PC138" s="569"/>
      <c r="PD138" s="569"/>
      <c r="PE138" s="569"/>
      <c r="PF138" s="569"/>
      <c r="PG138" s="569"/>
      <c r="PH138" s="569"/>
      <c r="PI138" s="569"/>
      <c r="PJ138" s="569"/>
      <c r="PK138" s="569"/>
      <c r="PL138" s="569"/>
      <c r="PM138" s="569"/>
      <c r="PN138" s="569"/>
      <c r="PO138" s="569"/>
      <c r="PP138" s="569"/>
      <c r="PQ138" s="569"/>
      <c r="PR138" s="569"/>
      <c r="PS138" s="569"/>
      <c r="PT138" s="569"/>
      <c r="PU138" s="569"/>
      <c r="PV138" s="569"/>
      <c r="PW138" s="569"/>
      <c r="PX138" s="569"/>
      <c r="PY138" s="569"/>
      <c r="PZ138" s="569"/>
      <c r="QA138" s="569"/>
      <c r="QB138" s="569"/>
      <c r="QC138" s="569"/>
      <c r="QD138" s="569"/>
      <c r="QE138" s="569"/>
      <c r="QF138" s="569"/>
      <c r="QG138" s="569"/>
      <c r="QH138" s="569"/>
      <c r="QI138" s="569"/>
      <c r="QJ138" s="569"/>
      <c r="QK138" s="569"/>
      <c r="QL138" s="569"/>
    </row>
    <row r="139" spans="1:454">
      <c r="D139" s="568"/>
      <c r="E139" s="568"/>
      <c r="F139" s="568"/>
      <c r="G139" s="568"/>
      <c r="H139" s="563" t="str">
        <f>'matrik MISI 4'!N79</f>
        <v>Rasio Siswa per Pendidik TK/RA</v>
      </c>
      <c r="I139" s="563" t="str">
        <f>'matrik MISI 4'!O79</f>
        <v>Rasio</v>
      </c>
      <c r="J139" s="563" t="str">
        <f>'matrik MISI 4'!P79</f>
        <v>1 : 14</v>
      </c>
      <c r="K139" s="563" t="str">
        <f>'matrik MISI 4'!Q79</f>
        <v>1 : 14</v>
      </c>
      <c r="L139" s="563" t="str">
        <f>'matrik MISI 4'!R79</f>
        <v>1 : 14</v>
      </c>
      <c r="M139" s="604"/>
      <c r="N139" s="563" t="str">
        <f>'matrik MISI 4'!S79</f>
        <v>1 : 14</v>
      </c>
      <c r="O139" s="564"/>
      <c r="P139" s="563" t="str">
        <f>'matrik MISI 4'!T79</f>
        <v>1 : 14</v>
      </c>
      <c r="Q139" s="564"/>
      <c r="R139" s="563" t="str">
        <f>'matrik MISI 4'!U79</f>
        <v>1 : 14</v>
      </c>
      <c r="S139" s="564"/>
      <c r="T139" s="563" t="str">
        <f>'matrik MISI 4'!V79</f>
        <v>1 : 14</v>
      </c>
      <c r="U139" s="564"/>
      <c r="V139" s="563" t="str">
        <f>'matrik MISI 4'!W79</f>
        <v>1 : 14</v>
      </c>
      <c r="W139" s="564"/>
      <c r="X139" s="563" t="str">
        <f>'matrik MISI 4'!X79</f>
        <v>Dinas Pendidikan</v>
      </c>
      <c r="Y139" s="565" t="str">
        <f>'matrik MISI 4'!Y79</f>
        <v>Jumlah siswa TK/RA dibagi jumlah pendidik TK/RA</v>
      </c>
      <c r="Z139" s="565">
        <f>'matrik MISI 4'!Z79</f>
        <v>0</v>
      </c>
    </row>
    <row r="140" spans="1:454">
      <c r="G140" s="563"/>
      <c r="H140" s="563" t="str">
        <f>'matrik MISI 4'!N80</f>
        <v>Rasio Siswa per Pendidik SD/MI</v>
      </c>
      <c r="I140" s="563" t="str">
        <f>'matrik MISI 4'!O80</f>
        <v>Rasio</v>
      </c>
      <c r="J140" s="563" t="str">
        <f>'matrik MISI 4'!P80</f>
        <v>1 : 14</v>
      </c>
      <c r="K140" s="563" t="str">
        <f>'matrik MISI 4'!Q80</f>
        <v>1 : 14</v>
      </c>
      <c r="L140" s="563" t="str">
        <f>'matrik MISI 4'!R80</f>
        <v>1 : 14</v>
      </c>
      <c r="M140" s="604"/>
      <c r="N140" s="563" t="str">
        <f>'matrik MISI 4'!S80</f>
        <v>1 : 14</v>
      </c>
      <c r="O140" s="564"/>
      <c r="P140" s="563" t="str">
        <f>'matrik MISI 4'!T80</f>
        <v>1 : 14</v>
      </c>
      <c r="Q140" s="564"/>
      <c r="R140" s="563" t="str">
        <f>'matrik MISI 4'!U80</f>
        <v>1 : 14</v>
      </c>
      <c r="S140" s="564"/>
      <c r="T140" s="563" t="str">
        <f>'matrik MISI 4'!V80</f>
        <v>1 : 14</v>
      </c>
      <c r="U140" s="564"/>
      <c r="V140" s="563" t="str">
        <f>'matrik MISI 4'!W80</f>
        <v>1 : 14</v>
      </c>
      <c r="W140" s="564"/>
      <c r="X140" s="563" t="str">
        <f>'matrik MISI 4'!X80</f>
        <v>Dinas Pendidikan</v>
      </c>
      <c r="Y140" s="565" t="str">
        <f>'matrik MISI 4'!Y80</f>
        <v>Jumlah siswa SD/MI dibagi jumlah pendidik SD/MI</v>
      </c>
      <c r="Z140" s="565">
        <f>'matrik MISI 4'!Z80</f>
        <v>0</v>
      </c>
    </row>
    <row r="141" spans="1:454" ht="30">
      <c r="G141" s="563"/>
      <c r="H141" s="563" t="str">
        <f>'matrik MISI 4'!N81</f>
        <v>Rasio Siswa per Pendidik SMP/MTs</v>
      </c>
      <c r="I141" s="563" t="str">
        <f>'matrik MISI 4'!O81</f>
        <v>Rasio</v>
      </c>
      <c r="J141" s="563" t="str">
        <f>'matrik MISI 4'!P81</f>
        <v>1 : 16</v>
      </c>
      <c r="K141" s="563" t="str">
        <f>'matrik MISI 4'!Q81</f>
        <v>1 : 16</v>
      </c>
      <c r="L141" s="563" t="str">
        <f>'matrik MISI 4'!R81</f>
        <v>1 : 16</v>
      </c>
      <c r="M141" s="604"/>
      <c r="N141" s="563" t="str">
        <f>'matrik MISI 4'!S81</f>
        <v>1:15</v>
      </c>
      <c r="O141" s="564"/>
      <c r="P141" s="563" t="str">
        <f>'matrik MISI 4'!T81</f>
        <v>1:15</v>
      </c>
      <c r="Q141" s="564"/>
      <c r="R141" s="563" t="str">
        <f>'matrik MISI 4'!U81</f>
        <v>1:15</v>
      </c>
      <c r="S141" s="564"/>
      <c r="T141" s="563" t="str">
        <f>'matrik MISI 4'!V81</f>
        <v>1:15</v>
      </c>
      <c r="U141" s="564"/>
      <c r="V141" s="563" t="str">
        <f>'matrik MISI 4'!W81</f>
        <v>1:15</v>
      </c>
      <c r="W141" s="564"/>
      <c r="X141" s="563" t="str">
        <f>'matrik MISI 4'!X81</f>
        <v>Dinas Pendidikan</v>
      </c>
      <c r="Y141" s="565" t="str">
        <f>'matrik MISI 4'!Y81</f>
        <v>Jumlah siswa SMP/MTs dibagi jumlah pendidik SMP/MTs</v>
      </c>
      <c r="Z141" s="565">
        <f>'matrik MISI 4'!Z81</f>
        <v>0</v>
      </c>
    </row>
    <row r="142" spans="1:454" ht="30">
      <c r="G142" s="563"/>
      <c r="H142" s="563" t="str">
        <f>'matrik MISI 4'!N82</f>
        <v>Rasio Siswa per Pendidik SMA/MA</v>
      </c>
      <c r="I142" s="563" t="str">
        <f>'matrik MISI 4'!O82</f>
        <v>Rasio</v>
      </c>
      <c r="J142" s="563" t="str">
        <f>'matrik MISI 4'!P82</f>
        <v>1 : 11</v>
      </c>
      <c r="K142" s="563" t="str">
        <f>'matrik MISI 4'!Q82</f>
        <v>1 : 11</v>
      </c>
      <c r="L142" s="563" t="str">
        <f>'matrik MISI 4'!R82</f>
        <v>1 : 11</v>
      </c>
      <c r="M142" s="604"/>
      <c r="N142" s="563" t="str">
        <f>'matrik MISI 4'!S82</f>
        <v>1 : 11</v>
      </c>
      <c r="O142" s="564"/>
      <c r="P142" s="563" t="str">
        <f>'matrik MISI 4'!T82</f>
        <v>1 : 11</v>
      </c>
      <c r="Q142" s="564"/>
      <c r="R142" s="563" t="str">
        <f>'matrik MISI 4'!U82</f>
        <v>1 : 11</v>
      </c>
      <c r="S142" s="564"/>
      <c r="T142" s="563" t="str">
        <f>'matrik MISI 4'!V82</f>
        <v>1 : 11</v>
      </c>
      <c r="U142" s="564"/>
      <c r="V142" s="563" t="str">
        <f>'matrik MISI 4'!W82</f>
        <v>1 : 11</v>
      </c>
      <c r="W142" s="564"/>
      <c r="X142" s="563" t="str">
        <f>'matrik MISI 4'!X82</f>
        <v>Dinas Pendidikan</v>
      </c>
      <c r="Y142" s="565" t="str">
        <f>'matrik MISI 4'!Y82</f>
        <v>Jumlah siswa SMA/MA dibagi jumlah pendidik SMA/MA</v>
      </c>
      <c r="Z142" s="565">
        <f>'matrik MISI 4'!Z82</f>
        <v>0</v>
      </c>
    </row>
    <row r="143" spans="1:454">
      <c r="G143" s="563"/>
      <c r="H143" s="563" t="str">
        <f>'matrik MISI 4'!N83</f>
        <v>Rasio Siswa per Pendidik SMK</v>
      </c>
      <c r="I143" s="563" t="str">
        <f>'matrik MISI 4'!O83</f>
        <v>Rasio</v>
      </c>
      <c r="J143" s="563" t="str">
        <f>'matrik MISI 4'!P83</f>
        <v>1 : 15</v>
      </c>
      <c r="K143" s="563" t="str">
        <f>'matrik MISI 4'!Q83</f>
        <v>1 : 15</v>
      </c>
      <c r="L143" s="563" t="str">
        <f>'matrik MISI 4'!R83</f>
        <v>1 : 15</v>
      </c>
      <c r="M143" s="604"/>
      <c r="N143" s="563" t="str">
        <f>'matrik MISI 4'!S83</f>
        <v>1:14</v>
      </c>
      <c r="O143" s="564"/>
      <c r="P143" s="563" t="str">
        <f>'matrik MISI 4'!T83</f>
        <v>1:14</v>
      </c>
      <c r="Q143" s="564"/>
      <c r="R143" s="563" t="str">
        <f>'matrik MISI 4'!U83</f>
        <v>1:14</v>
      </c>
      <c r="S143" s="564"/>
      <c r="T143" s="563" t="str">
        <f>'matrik MISI 4'!V83</f>
        <v>1:13</v>
      </c>
      <c r="U143" s="564"/>
      <c r="V143" s="563" t="str">
        <f>'matrik MISI 4'!W83</f>
        <v>1:13</v>
      </c>
      <c r="W143" s="564"/>
      <c r="X143" s="563" t="str">
        <f>'matrik MISI 4'!X83</f>
        <v>Dinas Pendidikan</v>
      </c>
      <c r="Y143" s="565" t="str">
        <f>'matrik MISI 4'!Y83</f>
        <v>Jumlah siswa SMK dibagi jumlah pendidik SMK</v>
      </c>
      <c r="Z143" s="565">
        <f>'matrik MISI 4'!Z83</f>
        <v>0</v>
      </c>
    </row>
    <row r="144" spans="1:454" ht="45">
      <c r="G144" s="563"/>
      <c r="H144" s="563" t="str">
        <f>'matrik MISI 4'!N85</f>
        <v>Persentase Pendidik TK/RA yang memenuhi standar kualifikasi akademik</v>
      </c>
      <c r="I144" s="563" t="str">
        <f>'matrik MISI 4'!O85</f>
        <v>%</v>
      </c>
      <c r="J144" s="563">
        <f>'matrik MISI 4'!P85</f>
        <v>35.14986376021799</v>
      </c>
      <c r="K144" s="563">
        <f>'matrik MISI 4'!Q85</f>
        <v>41.79</v>
      </c>
      <c r="L144" s="563">
        <f>'matrik MISI 4'!R85</f>
        <v>42.34</v>
      </c>
      <c r="M144" s="604"/>
      <c r="N144" s="563">
        <f>'matrik MISI 4'!S85</f>
        <v>42.89</v>
      </c>
      <c r="O144" s="564"/>
      <c r="P144" s="563">
        <f>'matrik MISI 4'!T85</f>
        <v>43.44</v>
      </c>
      <c r="Q144" s="564"/>
      <c r="R144" s="563">
        <f>'matrik MISI 4'!U85</f>
        <v>44.33</v>
      </c>
      <c r="S144" s="564"/>
      <c r="T144" s="563">
        <f>'matrik MISI 4'!V85</f>
        <v>45.22</v>
      </c>
      <c r="U144" s="564"/>
      <c r="V144" s="563">
        <f>'matrik MISI 4'!W85</f>
        <v>45.22</v>
      </c>
      <c r="W144" s="564"/>
      <c r="X144" s="563" t="str">
        <f>'matrik MISI 4'!X85</f>
        <v>Dinas Pendidikan</v>
      </c>
      <c r="Y144" s="565" t="str">
        <f>'matrik MISI 4'!Y85</f>
        <v>Jumlah pendidik TK/RA yang memiliki ijazah ≥ S1/D4 dibagi jumlah pendidik TK/RA kali 100%</v>
      </c>
      <c r="Z144" s="565" t="str">
        <f>'matrik MISI 4'!Z85</f>
        <v>kualifikasi akademik adalah setara dengan S1/D4 dan belum melihat standar kompetensi.</v>
      </c>
    </row>
    <row r="145" spans="7:26" ht="45">
      <c r="G145" s="563"/>
      <c r="H145" s="563" t="str">
        <f>'matrik MISI 4'!N86</f>
        <v>Persentase Pendidik SD/MI yang memenuhi standar kualifikasi akademik</v>
      </c>
      <c r="I145" s="563" t="str">
        <f>'matrik MISI 4'!O86</f>
        <v>%</v>
      </c>
      <c r="J145" s="563">
        <f>'matrik MISI 4'!P86</f>
        <v>63.370350784417418</v>
      </c>
      <c r="K145" s="563">
        <f>'matrik MISI 4'!Q86</f>
        <v>70.510000000000005</v>
      </c>
      <c r="L145" s="563" t="str">
        <f>'matrik MISI 4'!R86</f>
        <v>70,56</v>
      </c>
      <c r="M145" s="604"/>
      <c r="N145" s="563" t="str">
        <f>'matrik MISI 4'!S86</f>
        <v>70,61</v>
      </c>
      <c r="O145" s="564"/>
      <c r="P145" s="563" t="str">
        <f>'matrik MISI 4'!T86</f>
        <v>70,66</v>
      </c>
      <c r="Q145" s="564"/>
      <c r="R145" s="563">
        <f>'matrik MISI 4'!U86</f>
        <v>71.16</v>
      </c>
      <c r="S145" s="564"/>
      <c r="T145" s="563">
        <f>'matrik MISI 4'!V86</f>
        <v>71.66</v>
      </c>
      <c r="U145" s="564"/>
      <c r="V145" s="563">
        <f>'matrik MISI 4'!W86</f>
        <v>71.66</v>
      </c>
      <c r="W145" s="564"/>
      <c r="X145" s="563" t="str">
        <f>'matrik MISI 4'!X86</f>
        <v>Dinas Pendidikan</v>
      </c>
      <c r="Y145" s="565" t="str">
        <f>'matrik MISI 4'!Y86</f>
        <v>Jumlah pendidik SD/MI yang memiliki ijazah ≥ S1/D4 dibagi jumlah pendidik SD/MI kali 100%</v>
      </c>
      <c r="Z145" s="565">
        <f>'matrik MISI 4'!Z86</f>
        <v>0</v>
      </c>
    </row>
    <row r="146" spans="7:26" ht="45">
      <c r="G146" s="563"/>
      <c r="H146" s="563" t="str">
        <f>'matrik MISI 4'!N87</f>
        <v>Persentase Pendidik SMP/MTs yang memenuhi standar kualifikasi akademik</v>
      </c>
      <c r="I146" s="563" t="str">
        <f>'matrik MISI 4'!O87</f>
        <v>%</v>
      </c>
      <c r="J146" s="563">
        <f>'matrik MISI 4'!P87</f>
        <v>83.286516853932582</v>
      </c>
      <c r="K146" s="563">
        <f>'matrik MISI 4'!Q87</f>
        <v>83.34</v>
      </c>
      <c r="L146" s="563">
        <f>'matrik MISI 4'!R87</f>
        <v>83.39</v>
      </c>
      <c r="M146" s="604"/>
      <c r="N146" s="563">
        <f>'matrik MISI 4'!S87</f>
        <v>83.44</v>
      </c>
      <c r="O146" s="564"/>
      <c r="P146" s="563">
        <f>'matrik MISI 4'!T87</f>
        <v>83.49</v>
      </c>
      <c r="Q146" s="564"/>
      <c r="R146" s="563">
        <f>'matrik MISI 4'!U87</f>
        <v>83.54</v>
      </c>
      <c r="S146" s="564"/>
      <c r="T146" s="563">
        <f>'matrik MISI 4'!V87</f>
        <v>83.59</v>
      </c>
      <c r="U146" s="564"/>
      <c r="V146" s="563">
        <f>'matrik MISI 4'!W87</f>
        <v>83.59</v>
      </c>
      <c r="W146" s="564"/>
      <c r="X146" s="563" t="str">
        <f>'matrik MISI 4'!X87</f>
        <v>Dinas Pendidikan</v>
      </c>
      <c r="Y146" s="565" t="str">
        <f>'matrik MISI 4'!Y87</f>
        <v>Jumlah pendidik SMP/MTs yang memiliki ijazah ≥ S1/D4 dibagi jumlah pendidik SMP/MTs kali 100%</v>
      </c>
      <c r="Z146" s="565">
        <f>'matrik MISI 4'!Z87</f>
        <v>0</v>
      </c>
    </row>
    <row r="147" spans="7:26" ht="45">
      <c r="G147" s="563"/>
      <c r="H147" s="563" t="str">
        <f>'matrik MISI 4'!N88</f>
        <v>Persentase Pendidik SMA/MA yang memenuhi standar kualifikasi akademik</v>
      </c>
      <c r="I147" s="563" t="str">
        <f>'matrik MISI 4'!O88</f>
        <v>%</v>
      </c>
      <c r="J147" s="563">
        <f>'matrik MISI 4'!P88</f>
        <v>91.448275862068968</v>
      </c>
      <c r="K147" s="563">
        <f>'matrik MISI 4'!Q88</f>
        <v>91.5</v>
      </c>
      <c r="L147" s="563">
        <f>'matrik MISI 4'!R88</f>
        <v>91.55</v>
      </c>
      <c r="M147" s="604"/>
      <c r="N147" s="563">
        <f>'matrik MISI 4'!S88</f>
        <v>91.6</v>
      </c>
      <c r="O147" s="564"/>
      <c r="P147" s="563">
        <f>'matrik MISI 4'!T88</f>
        <v>91.65</v>
      </c>
      <c r="Q147" s="564"/>
      <c r="R147" s="563">
        <f>'matrik MISI 4'!U88</f>
        <v>91.7</v>
      </c>
      <c r="S147" s="564"/>
      <c r="T147" s="563">
        <f>'matrik MISI 4'!V88</f>
        <v>91.75</v>
      </c>
      <c r="U147" s="564"/>
      <c r="V147" s="563">
        <f>'matrik MISI 4'!W88</f>
        <v>91.75</v>
      </c>
      <c r="W147" s="564"/>
      <c r="X147" s="563" t="str">
        <f>'matrik MISI 4'!X88</f>
        <v>Dinas Pendidikan</v>
      </c>
      <c r="Y147" s="565" t="str">
        <f>'matrik MISI 4'!Y88</f>
        <v>Jumlah pendidik SMA/MA yang memiliki ijazah ≥ S1/D4 dibagi jumlah pendidik SMA/MA kali 100%</v>
      </c>
      <c r="Z147" s="565">
        <f>'matrik MISI 4'!Z88</f>
        <v>0</v>
      </c>
    </row>
    <row r="148" spans="7:26" ht="45">
      <c r="G148" s="563"/>
      <c r="H148" s="563" t="str">
        <f>'matrik MISI 4'!N89</f>
        <v>Persentase Pendidik SMK  yang memenuhi standar kualifikasi akademik</v>
      </c>
      <c r="I148" s="563" t="str">
        <f>'matrik MISI 4'!O89</f>
        <v>%</v>
      </c>
      <c r="J148" s="563">
        <f>'matrik MISI 4'!P89</f>
        <v>90.209790209790214</v>
      </c>
      <c r="K148" s="563">
        <f>'matrik MISI 4'!Q89</f>
        <v>90.26</v>
      </c>
      <c r="L148" s="563">
        <f>'matrik MISI 4'!R89</f>
        <v>90.31</v>
      </c>
      <c r="M148" s="604"/>
      <c r="N148" s="563">
        <f>'matrik MISI 4'!S89</f>
        <v>90.36</v>
      </c>
      <c r="O148" s="564"/>
      <c r="P148" s="563">
        <f>'matrik MISI 4'!T89</f>
        <v>90.41</v>
      </c>
      <c r="Q148" s="564"/>
      <c r="R148" s="563">
        <f>'matrik MISI 4'!U89</f>
        <v>90.46</v>
      </c>
      <c r="S148" s="564"/>
      <c r="T148" s="563">
        <f>'matrik MISI 4'!V89</f>
        <v>90.51</v>
      </c>
      <c r="U148" s="564"/>
      <c r="V148" s="563">
        <f>'matrik MISI 4'!W89</f>
        <v>90.51</v>
      </c>
      <c r="W148" s="564"/>
      <c r="X148" s="563" t="str">
        <f>'matrik MISI 4'!X89</f>
        <v>Dinas Pendidikan</v>
      </c>
      <c r="Y148" s="565" t="str">
        <f>'matrik MISI 4'!Y89</f>
        <v>Jumlah pendidik SMK yang memiliki ijazah ≥ S1/D4 dibagi jumlah pendidik SMK kali 100%</v>
      </c>
      <c r="Z148" s="565">
        <f>'matrik MISI 4'!Z89</f>
        <v>0</v>
      </c>
    </row>
    <row r="149" spans="7:26" ht="60">
      <c r="G149" s="563"/>
      <c r="H149" s="563" t="str">
        <f>'matrik MISI 4'!N90</f>
        <v xml:space="preserve">Cakupan ketersediaan guru  SD/MI. </v>
      </c>
      <c r="I149" s="563" t="str">
        <f>'matrik MISI 4'!O90</f>
        <v>%</v>
      </c>
      <c r="J149" s="563">
        <f>'matrik MISI 4'!P90</f>
        <v>90.87</v>
      </c>
      <c r="K149" s="563">
        <f>'matrik MISI 4'!Q90</f>
        <v>92</v>
      </c>
      <c r="L149" s="563">
        <f>'matrik MISI 4'!R90</f>
        <v>92.6</v>
      </c>
      <c r="M149" s="604"/>
      <c r="N149" s="563">
        <f>'matrik MISI 4'!S90</f>
        <v>93.2</v>
      </c>
      <c r="O149" s="564"/>
      <c r="P149" s="563">
        <f>'matrik MISI 4'!T90</f>
        <v>93.8</v>
      </c>
      <c r="Q149" s="564"/>
      <c r="R149" s="563">
        <f>'matrik MISI 4'!U90</f>
        <v>94.4</v>
      </c>
      <c r="S149" s="564"/>
      <c r="T149" s="563">
        <f>'matrik MISI 4'!V90</f>
        <v>95</v>
      </c>
      <c r="U149" s="564"/>
      <c r="V149" s="563">
        <f>'matrik MISI 4'!W90</f>
        <v>95</v>
      </c>
      <c r="W149" s="564"/>
      <c r="X149" s="563" t="str">
        <f>'matrik MISI 4'!X90</f>
        <v>Dinas Pendidikan</v>
      </c>
      <c r="Y149" s="565" t="str">
        <f>'matrik MISI 4'!Y90</f>
        <v>Rata-rata Jumlah SD/MI yang memiliki satu orang guru untuk setiap 32 peserta didik dibagi jumlah SD/MI kali 100%; dan Jumlah SD/MI yang memiliki 6 (enam) 
orang guru kali jumlah SD/MI kali 100%</v>
      </c>
      <c r="Z149" s="565" t="str">
        <f>'matrik MISI 4'!Z90</f>
        <v>(SPM 5) Di setiap SD/MI tersedia 1 (satu) orang guru untuk setiap 32 peserta didik dan 6 (enam) orang guru untuk setiap satuan pendidikan</v>
      </c>
    </row>
    <row r="150" spans="7:26" ht="45">
      <c r="G150" s="563"/>
      <c r="H150" s="563" t="str">
        <f>'matrik MISI 4'!N91</f>
        <v xml:space="preserve">Cakupan ketersediaan guru  SMP/MTS per Satuan mata pelajaran. </v>
      </c>
      <c r="I150" s="563" t="str">
        <f>'matrik MISI 4'!O91</f>
        <v>%</v>
      </c>
      <c r="J150" s="563">
        <f>'matrik MISI 4'!P91</f>
        <v>78.099999999999994</v>
      </c>
      <c r="K150" s="563">
        <f>'matrik MISI 4'!Q91</f>
        <v>78.5</v>
      </c>
      <c r="L150" s="563">
        <f>'matrik MISI 4'!R91</f>
        <v>79.7</v>
      </c>
      <c r="M150" s="604"/>
      <c r="N150" s="563">
        <f>'matrik MISI 4'!S91</f>
        <v>80.900000000000006</v>
      </c>
      <c r="O150" s="564"/>
      <c r="P150" s="563">
        <f>'matrik MISI 4'!T91</f>
        <v>82.1</v>
      </c>
      <c r="Q150" s="564"/>
      <c r="R150" s="563">
        <f>'matrik MISI 4'!U91</f>
        <v>83.3</v>
      </c>
      <c r="S150" s="564"/>
      <c r="T150" s="563">
        <f>'matrik MISI 4'!V91</f>
        <v>84.5</v>
      </c>
      <c r="U150" s="564"/>
      <c r="V150" s="563">
        <f>'matrik MISI 4'!W91</f>
        <v>84.5</v>
      </c>
      <c r="W150" s="564"/>
      <c r="X150" s="563" t="str">
        <f>'matrik MISI 4'!X91</f>
        <v>Dinas Pendidikan</v>
      </c>
      <c r="Y150" s="565" t="str">
        <f>'matrik MISI 4'!Y91</f>
        <v>Jumlah SMP/MTs yang memiliki guru untuk setiap mata pelajaran dibagi jumlah SMP/MTs kali 100%</v>
      </c>
      <c r="Z150" s="565" t="str">
        <f>'matrik MISI 4'!Z91</f>
        <v>(SPM 6) Di setiap SMP/MTs tersedia 1 (satu) orang guru untuk setiap mata pelajaran</v>
      </c>
    </row>
    <row r="151" spans="7:26" ht="75">
      <c r="G151" s="563"/>
      <c r="H151" s="563" t="str">
        <f>'matrik MISI 4'!N92</f>
        <v>Cakupan ketersediaan Guru SD/MI  yang memenuhi kualifikasi akademik S1 atau D-IV yang telah memiliki sertifikat pendidik</v>
      </c>
      <c r="I151" s="563" t="str">
        <f>'matrik MISI 4'!O92</f>
        <v>%</v>
      </c>
      <c r="J151" s="563">
        <f>'matrik MISI 4'!P92</f>
        <v>81.3</v>
      </c>
      <c r="K151" s="563">
        <f>'matrik MISI 4'!Q92</f>
        <v>81.5</v>
      </c>
      <c r="L151" s="563">
        <f>'matrik MISI 4'!R92</f>
        <v>83</v>
      </c>
      <c r="M151" s="604"/>
      <c r="N151" s="563">
        <f>'matrik MISI 4'!S92</f>
        <v>84.5</v>
      </c>
      <c r="O151" s="564"/>
      <c r="P151" s="563">
        <f>'matrik MISI 4'!T92</f>
        <v>86</v>
      </c>
      <c r="Q151" s="564"/>
      <c r="R151" s="563">
        <f>'matrik MISI 4'!U92</f>
        <v>87.5</v>
      </c>
      <c r="S151" s="564"/>
      <c r="T151" s="563">
        <f>'matrik MISI 4'!V92</f>
        <v>89</v>
      </c>
      <c r="U151" s="564"/>
      <c r="V151" s="563">
        <f>'matrik MISI 4'!W92</f>
        <v>89</v>
      </c>
      <c r="W151" s="564"/>
      <c r="X151" s="563" t="str">
        <f>'matrik MISI 4'!X92</f>
        <v>Dinas Pendidikan</v>
      </c>
      <c r="Y151" s="565" t="str">
        <f>'matrik MISI 4'!Y92</f>
        <v>Rata-rata jumlah SD/MI yang memiliki 2 orang guru yang memenuhi kualifikasi akademik S1 atau D-IV dibagi jumlah SD/Mi kali 100%; dan Jumlah SD/MI yang memiliki 2 orang guru yang telah memiliki sertifikat pendidik dibagi jumlah SD/MI kali 100%</v>
      </c>
      <c r="Z151" s="565" t="str">
        <f>'matrik MISI 4'!Z92</f>
        <v>(SPM 7) Di setiap SD/MI tersedia 2 (dua) orang guru yang memenuhi kualifikasi akademik S1 atau D-IV dan 2 (dua) orang guru yang telah memiliki sertifikat pendidik</v>
      </c>
    </row>
    <row r="152" spans="7:26" ht="60">
      <c r="G152" s="563"/>
      <c r="H152" s="563" t="str">
        <f>'matrik MISI 4'!N93</f>
        <v>Cakupan kualifikasi guru SMP/MTs.</v>
      </c>
      <c r="I152" s="563" t="str">
        <f>'matrik MISI 4'!O93</f>
        <v>%</v>
      </c>
      <c r="J152" s="563">
        <f>'matrik MISI 4'!P93</f>
        <v>72.38</v>
      </c>
      <c r="K152" s="563">
        <f>'matrik MISI 4'!Q93</f>
        <v>72.5</v>
      </c>
      <c r="L152" s="563">
        <f>'matrik MISI 4'!R93</f>
        <v>74.5</v>
      </c>
      <c r="M152" s="604"/>
      <c r="N152" s="563">
        <f>'matrik MISI 4'!S93</f>
        <v>76.5</v>
      </c>
      <c r="O152" s="564"/>
      <c r="P152" s="563">
        <f>'matrik MISI 4'!T93</f>
        <v>78.5</v>
      </c>
      <c r="Q152" s="564"/>
      <c r="R152" s="563">
        <f>'matrik MISI 4'!U93</f>
        <v>80.5</v>
      </c>
      <c r="S152" s="564"/>
      <c r="T152" s="563">
        <f>'matrik MISI 4'!V93</f>
        <v>82.5</v>
      </c>
      <c r="U152" s="564"/>
      <c r="V152" s="563">
        <f>'matrik MISI 4'!W93</f>
        <v>82.5</v>
      </c>
      <c r="W152" s="564"/>
      <c r="X152" s="563" t="str">
        <f>'matrik MISI 4'!X93</f>
        <v>Dinas Pendidikan</v>
      </c>
      <c r="Y152" s="565"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52" s="565" t="str">
        <f>'matrik MISI 4'!Z93</f>
        <v>(SPM 8) Di setiap SMP/MTs tersedia guru dengan kualifikasi akademik S-1 atau D-IV sebanyak 70% dan separuh diantaranya (35% dari keseluruhan guru) telah memiliki sertifikat pendidik</v>
      </c>
    </row>
    <row r="153" spans="7:26" ht="30">
      <c r="G153" s="563"/>
      <c r="H153" s="563" t="str">
        <f>'matrik MISI 4'!N11</f>
        <v>Persentase pendidik yang disiplin</v>
      </c>
      <c r="I153" s="563" t="str">
        <f>'matrik MISI 4'!O11</f>
        <v>%</v>
      </c>
      <c r="J153" s="563" t="str">
        <f>'matrik MISI 4'!P11</f>
        <v xml:space="preserve"> - </v>
      </c>
      <c r="K153" s="563" t="str">
        <f>'matrik MISI 4'!Q11</f>
        <v xml:space="preserve"> - </v>
      </c>
      <c r="L153" s="563">
        <f>'matrik MISI 4'!R11</f>
        <v>100</v>
      </c>
      <c r="M153" s="604"/>
      <c r="N153" s="563">
        <f>'matrik MISI 4'!S11</f>
        <v>100</v>
      </c>
      <c r="O153" s="564"/>
      <c r="P153" s="563">
        <f>'matrik MISI 4'!T11</f>
        <v>100</v>
      </c>
      <c r="Q153" s="564"/>
      <c r="R153" s="563">
        <f>'matrik MISI 4'!U11</f>
        <v>100</v>
      </c>
      <c r="S153" s="564"/>
      <c r="T153" s="563">
        <f>'matrik MISI 4'!V11</f>
        <v>100</v>
      </c>
      <c r="U153" s="564"/>
      <c r="V153" s="563">
        <f>'matrik MISI 4'!W11</f>
        <v>100</v>
      </c>
      <c r="W153" s="564"/>
      <c r="X153" s="563" t="str">
        <f>'matrik MISI 4'!X11</f>
        <v>Dinas Pendidikan</v>
      </c>
      <c r="Y153" s="565" t="str">
        <f>'matrik MISI 4'!Y11</f>
        <v>Jumlah pendidik yang disiplin dibagi jumlah total pendidik kali 100%</v>
      </c>
      <c r="Z153" s="565" t="str">
        <f>'matrik MISI 4'!Z11</f>
        <v>Dengan surat teguran</v>
      </c>
    </row>
    <row r="154" spans="7:26" ht="75">
      <c r="G154" s="563"/>
      <c r="H154" s="563" t="str">
        <f>'matrik MISI 4'!N94</f>
        <v>Cakupan ketersediaan guru SMP/MTs untuk mata pelajaran Matematika, IPA, Bahasa Indonesia, Bahasa Inggris dan PKn.</v>
      </c>
      <c r="I154" s="563" t="str">
        <f>'matrik MISI 4'!O94</f>
        <v>%</v>
      </c>
      <c r="J154" s="563">
        <f>'matrik MISI 4'!P94</f>
        <v>65.709999999999994</v>
      </c>
      <c r="K154" s="563">
        <f>'matrik MISI 4'!Q94</f>
        <v>66</v>
      </c>
      <c r="L154" s="563">
        <f>'matrik MISI 4'!R94</f>
        <v>67.7</v>
      </c>
      <c r="M154" s="604"/>
      <c r="N154" s="563">
        <f>'matrik MISI 4'!S94</f>
        <v>69.400000000000006</v>
      </c>
      <c r="O154" s="564"/>
      <c r="P154" s="563">
        <f>'matrik MISI 4'!T94</f>
        <v>71.099999999999994</v>
      </c>
      <c r="Q154" s="564"/>
      <c r="R154" s="563">
        <f>'matrik MISI 4'!U94</f>
        <v>72.8</v>
      </c>
      <c r="S154" s="564"/>
      <c r="T154" s="563">
        <f>'matrik MISI 4'!V94</f>
        <v>74.5</v>
      </c>
      <c r="U154" s="564"/>
      <c r="V154" s="563">
        <f>'matrik MISI 4'!W94</f>
        <v>74.5</v>
      </c>
      <c r="W154" s="564"/>
      <c r="X154" s="563" t="str">
        <f>'matrik MISI 4'!X94</f>
        <v>Dinas Pendidikan</v>
      </c>
      <c r="Y154" s="565" t="str">
        <f>'matrik MISI 4'!Y94</f>
        <v>Jumlah SMP/MTs yang memiliki guru dengan kualifikasi akademik S1 atau D-IV dan telah memiliki sertifikat pendidik, masing-masing 1 (satu) orang untuk mapel Matematika, IPA, Bahasa Indonesia, Bahasa Inggris dan PKn dibagi jumlah SMP/MTs kali 100%</v>
      </c>
      <c r="Z154" s="565" t="str">
        <f>'matrik MISI 4'!Z94</f>
        <v>(SPM 9) Di setiap SMP/MTs tersedia guru dengan kualifikasi akademik S-1 atau D-IV dan telah memiliki sertifikat pendidik masing-masing satu orang untuk mata pelajaran Matematika, IPA, Bahasa Indonesia, Bahasa Inggris dan PKn.</v>
      </c>
    </row>
    <row r="155" spans="7:26" ht="30">
      <c r="G155" s="563"/>
      <c r="H155" s="563" t="str">
        <f>'matrik MISI 4'!N95</f>
        <v xml:space="preserve">Cakupan kualifikasi akademik Kepala SD/MI. </v>
      </c>
      <c r="I155" s="563" t="str">
        <f>'matrik MISI 4'!O95</f>
        <v>%</v>
      </c>
      <c r="J155" s="563">
        <f>'matrik MISI 4'!P95</f>
        <v>82.96</v>
      </c>
      <c r="K155" s="563">
        <f>'matrik MISI 4'!Q95</f>
        <v>83</v>
      </c>
      <c r="L155" s="563">
        <f>'matrik MISI 4'!R95</f>
        <v>84.2</v>
      </c>
      <c r="M155" s="604"/>
      <c r="N155" s="563">
        <f>'matrik MISI 4'!S95</f>
        <v>85.4</v>
      </c>
      <c r="O155" s="564"/>
      <c r="P155" s="563">
        <f>'matrik MISI 4'!T95</f>
        <v>86.6</v>
      </c>
      <c r="Q155" s="564"/>
      <c r="R155" s="563">
        <f>'matrik MISI 4'!U95</f>
        <v>87.8</v>
      </c>
      <c r="S155" s="564"/>
      <c r="T155" s="563">
        <f>'matrik MISI 4'!V95</f>
        <v>89</v>
      </c>
      <c r="U155" s="564"/>
      <c r="V155" s="563">
        <f>'matrik MISI 4'!W95</f>
        <v>89</v>
      </c>
      <c r="W155" s="564"/>
      <c r="X155" s="563" t="str">
        <f>'matrik MISI 4'!X95</f>
        <v>Dinas Pendidikan</v>
      </c>
      <c r="Y155" s="565" t="str">
        <f>'matrik MISI 4'!Y95</f>
        <v>Jumlah Kepala SD/MI yang berkualifikasi akademik S-1 atau D-IV dan telah bersertifikat pendidik dibagi jumlah SD/MI kali 100%</v>
      </c>
      <c r="Z155" s="565" t="str">
        <f>'matrik MISI 4'!Z95</f>
        <v>(SPM 10) Di setiap kabupaten/kota semua kepala SD/MI berkualifikasi akademik S-1 atau D-IV dan telah memiliki sertifikat pendidik</v>
      </c>
    </row>
    <row r="156" spans="7:26" ht="30">
      <c r="G156" s="563"/>
      <c r="H156" s="563" t="str">
        <f>'matrik MISI 4'!N96</f>
        <v xml:space="preserve">Cakupan Kualifikasi Akademik Kepala SMP/MTs </v>
      </c>
      <c r="I156" s="563" t="str">
        <f>'matrik MISI 4'!O96</f>
        <v>%</v>
      </c>
      <c r="J156" s="563">
        <f>'matrik MISI 4'!P96</f>
        <v>90.48</v>
      </c>
      <c r="K156" s="563">
        <f>'matrik MISI 4'!Q96</f>
        <v>90.5</v>
      </c>
      <c r="L156" s="563">
        <f>'matrik MISI 4'!R96</f>
        <v>92</v>
      </c>
      <c r="M156" s="604"/>
      <c r="N156" s="563">
        <f>'matrik MISI 4'!S96</f>
        <v>93.5</v>
      </c>
      <c r="O156" s="564"/>
      <c r="P156" s="563">
        <f>'matrik MISI 4'!T96</f>
        <v>95</v>
      </c>
      <c r="Q156" s="564"/>
      <c r="R156" s="563">
        <f>'matrik MISI 4'!U96</f>
        <v>96.5</v>
      </c>
      <c r="S156" s="564"/>
      <c r="T156" s="563">
        <f>'matrik MISI 4'!V96</f>
        <v>98</v>
      </c>
      <c r="U156" s="564"/>
      <c r="V156" s="563">
        <f>'matrik MISI 4'!W96</f>
        <v>98</v>
      </c>
      <c r="W156" s="564"/>
      <c r="X156" s="563" t="str">
        <f>'matrik MISI 4'!X96</f>
        <v>Dinas Pendidikan</v>
      </c>
      <c r="Y156" s="565" t="str">
        <f>'matrik MISI 4'!Y96</f>
        <v>Jumlah Kepala SMP/MTs yang berkualifikasi akademik S-1 atau D-IV dan telah bersertifikat pendidik dibagi jumlah SMP/MTs kali 100%</v>
      </c>
      <c r="Z156" s="565" t="str">
        <f>'matrik MISI 4'!Z96</f>
        <v>(SPM 11) Di setiap kabupaten/kota semua kepala SMP/MTs berkualifikasi akademik S-1 atau D-IV dan telah memiliki sertifikat pendidik</v>
      </c>
    </row>
    <row r="157" spans="7:26" ht="45">
      <c r="G157" s="563"/>
      <c r="H157" s="563" t="str">
        <f>'matrik MISI 4'!N97</f>
        <v>Cakupan Kualifikasi Akademik  pengawas sekolah/Madrasah.</v>
      </c>
      <c r="I157" s="563" t="str">
        <f>'matrik MISI 4'!O97</f>
        <v>%</v>
      </c>
      <c r="J157" s="563">
        <f>'matrik MISI 4'!P97</f>
        <v>100</v>
      </c>
      <c r="K157" s="563">
        <f>'matrik MISI 4'!Q97</f>
        <v>95.92</v>
      </c>
      <c r="L157" s="563">
        <f>'matrik MISI 4'!R97</f>
        <v>95.92</v>
      </c>
      <c r="M157" s="604"/>
      <c r="N157" s="563">
        <f>'matrik MISI 4'!S97</f>
        <v>95.92</v>
      </c>
      <c r="O157" s="564"/>
      <c r="P157" s="563">
        <f>'matrik MISI 4'!T97</f>
        <v>95.92</v>
      </c>
      <c r="Q157" s="564"/>
      <c r="R157" s="563">
        <f>'matrik MISI 4'!U97</f>
        <v>95.92</v>
      </c>
      <c r="S157" s="564"/>
      <c r="T157" s="563">
        <f>'matrik MISI 4'!V97</f>
        <v>95.92</v>
      </c>
      <c r="U157" s="564"/>
      <c r="V157" s="563">
        <f>'matrik MISI 4'!W97</f>
        <v>95.92</v>
      </c>
      <c r="W157" s="564"/>
      <c r="X157" s="563" t="str">
        <f>'matrik MISI 4'!X97</f>
        <v>Dinas Pendidikan</v>
      </c>
      <c r="Y157" s="565" t="str">
        <f>'matrik MISI 4'!Y97</f>
        <v>Jumlah pengawas sekolah/madrasah yang berkualifikasi akademik S-1 atau D-IV dan telah bersertifikat pendidik dibagi jumlah pengawas sekolah/madrasah kali 100%</v>
      </c>
      <c r="Z157" s="565" t="str">
        <f>'matrik MISI 4'!Z97</f>
        <v>(SPM 12) Di setiap kabupaten/kota semua pengawas sekolah/ madrasah memiliki kualifikasi akademik S-1 atau D-IV dan telah memiliki sertifikat pendidik</v>
      </c>
    </row>
    <row r="158" spans="7:26" ht="30">
      <c r="G158" s="563"/>
      <c r="H158" s="563" t="str">
        <f>'matrik MISI 4'!N99</f>
        <v xml:space="preserve">Persentase Pendidik TK/RA yang memiliki sertifikat pendidik </v>
      </c>
      <c r="I158" s="563" t="str">
        <f>'matrik MISI 4'!O99</f>
        <v>%</v>
      </c>
      <c r="J158" s="563">
        <f>'matrik MISI 4'!P99</f>
        <v>3.13</v>
      </c>
      <c r="K158" s="563">
        <f>'matrik MISI 4'!Q99</f>
        <v>3.23</v>
      </c>
      <c r="L158" s="563">
        <f>'matrik MISI 4'!R99</f>
        <v>3.33</v>
      </c>
      <c r="M158" s="604"/>
      <c r="N158" s="563">
        <f>'matrik MISI 4'!S99</f>
        <v>3.43</v>
      </c>
      <c r="O158" s="564"/>
      <c r="P158" s="563">
        <f>'matrik MISI 4'!T99</f>
        <v>3.53</v>
      </c>
      <c r="Q158" s="564"/>
      <c r="R158" s="563">
        <f>'matrik MISI 4'!U99</f>
        <v>3.63</v>
      </c>
      <c r="S158" s="564"/>
      <c r="T158" s="563">
        <f>'matrik MISI 4'!V99</f>
        <v>3.73</v>
      </c>
      <c r="U158" s="564"/>
      <c r="V158" s="563">
        <f>'matrik MISI 4'!W99</f>
        <v>3.73</v>
      </c>
      <c r="W158" s="564"/>
      <c r="X158" s="563" t="str">
        <f>'matrik MISI 4'!X99</f>
        <v>Dinas  Pendidikan</v>
      </c>
      <c r="Y158" s="565" t="str">
        <f>'matrik MISI 4'!Y99</f>
        <v>Jumlah pendidik TK/RA yang memiliki sertifikat pendidik dibagi jumlah pendidik TK/RA kali 100%</v>
      </c>
      <c r="Z158" s="565" t="str">
        <f>'matrik MISI 4'!Z99</f>
        <v>Capaian Target Tergantung dengan kebijakan kementerian Pendidikan dan Kebudayaan.</v>
      </c>
    </row>
    <row r="159" spans="7:26" ht="30">
      <c r="G159" s="563"/>
      <c r="H159" s="563" t="str">
        <f>'matrik MISI 4'!N100</f>
        <v xml:space="preserve">Persentase Pendidik SD/MI yang memiliki sertifikat pendidik </v>
      </c>
      <c r="I159" s="563" t="str">
        <f>'matrik MISI 4'!O100</f>
        <v>%</v>
      </c>
      <c r="J159" s="563">
        <f>'matrik MISI 4'!P100</f>
        <v>30.8</v>
      </c>
      <c r="K159" s="563">
        <f>'matrik MISI 4'!Q100</f>
        <v>30.9</v>
      </c>
      <c r="L159" s="563">
        <f>'matrik MISI 4'!R100</f>
        <v>31</v>
      </c>
      <c r="M159" s="604"/>
      <c r="N159" s="563">
        <f>'matrik MISI 4'!S100</f>
        <v>31.1</v>
      </c>
      <c r="O159" s="564"/>
      <c r="P159" s="563">
        <f>'matrik MISI 4'!T100</f>
        <v>31.2</v>
      </c>
      <c r="Q159" s="564"/>
      <c r="R159" s="563">
        <f>'matrik MISI 4'!U100</f>
        <v>31.3</v>
      </c>
      <c r="S159" s="564"/>
      <c r="T159" s="563">
        <f>'matrik MISI 4'!V100</f>
        <v>31.4</v>
      </c>
      <c r="U159" s="564"/>
      <c r="V159" s="563">
        <f>'matrik MISI 4'!W100</f>
        <v>31.4</v>
      </c>
      <c r="W159" s="564"/>
      <c r="X159" s="563" t="str">
        <f>'matrik MISI 4'!X100</f>
        <v>Dinas  Pendidikan</v>
      </c>
      <c r="Y159" s="565" t="str">
        <f>'matrik MISI 4'!Y100</f>
        <v>Jumlah pendidik SD/MI yang memiliki sertifikat pendidik dibagi jumlah pendidik SD/MI kali 100%</v>
      </c>
      <c r="Z159" s="565" t="str">
        <f>'matrik MISI 4'!Z100</f>
        <v>Capaian Target Tergantung dengan kebijakan kementerian Pendidikan dan Kebudayaan.</v>
      </c>
    </row>
    <row r="160" spans="7:26" ht="45">
      <c r="G160" s="563"/>
      <c r="H160" s="563" t="str">
        <f>'matrik MISI 4'!N101</f>
        <v xml:space="preserve">Persentase Pendidik SMP/MTs yang memiliki sertifikat pendidik </v>
      </c>
      <c r="I160" s="563" t="str">
        <f>'matrik MISI 4'!O101</f>
        <v>%</v>
      </c>
      <c r="J160" s="563">
        <f>'matrik MISI 4'!P101</f>
        <v>50.09</v>
      </c>
      <c r="K160" s="563">
        <f>'matrik MISI 4'!Q101</f>
        <v>5019</v>
      </c>
      <c r="L160" s="563">
        <f>'matrik MISI 4'!R101</f>
        <v>50.29</v>
      </c>
      <c r="M160" s="604"/>
      <c r="N160" s="563">
        <f>'matrik MISI 4'!S101</f>
        <v>50.39</v>
      </c>
      <c r="O160" s="564"/>
      <c r="P160" s="563">
        <f>'matrik MISI 4'!T101</f>
        <v>50.49</v>
      </c>
      <c r="Q160" s="564"/>
      <c r="R160" s="563" t="str">
        <f>'matrik MISI 4'!U101</f>
        <v>50..59</v>
      </c>
      <c r="S160" s="564"/>
      <c r="T160" s="563">
        <f>'matrik MISI 4'!V101</f>
        <v>50.69</v>
      </c>
      <c r="U160" s="564"/>
      <c r="V160" s="563">
        <f>'matrik MISI 4'!W101</f>
        <v>50.69</v>
      </c>
      <c r="W160" s="564"/>
      <c r="X160" s="563" t="str">
        <f>'matrik MISI 4'!X101</f>
        <v>Dinas  Pendidikan</v>
      </c>
      <c r="Y160" s="565" t="str">
        <f>'matrik MISI 4'!Y101</f>
        <v>Jumlah pendidik SMP/MTs yang memiliki sertifikat pendidik dibagi jumlah pendidik SMP/MTs kali 100%</v>
      </c>
      <c r="Z160" s="565" t="str">
        <f>'matrik MISI 4'!Z101</f>
        <v>Capaian Target Tergantung dengan kebijakan kementerian Pendidikan dan Kebudayaan.</v>
      </c>
    </row>
    <row r="161" spans="1:454" ht="45">
      <c r="G161" s="563"/>
      <c r="H161" s="563" t="str">
        <f>'matrik MISI 4'!N102</f>
        <v xml:space="preserve">Persentase Pendidik SMA/MA yang memiliki sertifikat pendidik </v>
      </c>
      <c r="I161" s="563" t="str">
        <f>'matrik MISI 4'!O102</f>
        <v>%</v>
      </c>
      <c r="J161" s="563">
        <f>'matrik MISI 4'!P102</f>
        <v>44.79</v>
      </c>
      <c r="K161" s="563">
        <f>'matrik MISI 4'!Q102</f>
        <v>44.89</v>
      </c>
      <c r="L161" s="563">
        <f>'matrik MISI 4'!R102</f>
        <v>44.99</v>
      </c>
      <c r="M161" s="604"/>
      <c r="N161" s="563">
        <f>'matrik MISI 4'!S102</f>
        <v>45.09</v>
      </c>
      <c r="O161" s="564"/>
      <c r="P161" s="563">
        <f>'matrik MISI 4'!T102</f>
        <v>45.19</v>
      </c>
      <c r="Q161" s="564"/>
      <c r="R161" s="563">
        <f>'matrik MISI 4'!U102</f>
        <v>45.29</v>
      </c>
      <c r="S161" s="564"/>
      <c r="T161" s="563">
        <f>'matrik MISI 4'!V102</f>
        <v>45.39</v>
      </c>
      <c r="U161" s="564"/>
      <c r="V161" s="563">
        <f>'matrik MISI 4'!W102</f>
        <v>45.39</v>
      </c>
      <c r="W161" s="564"/>
      <c r="X161" s="563" t="str">
        <f>'matrik MISI 4'!X102</f>
        <v>Dinas  Pendidikan</v>
      </c>
      <c r="Y161" s="565" t="str">
        <f>'matrik MISI 4'!Y102</f>
        <v>Jumlah pendidik SMA/MA yang memiliki sertifikat pendidik dibagi jumlah pendidik SMA/MA kali 100%</v>
      </c>
      <c r="Z161" s="565" t="str">
        <f>'matrik MISI 4'!Z102</f>
        <v>Capaian Target Tergantung dengan kebijakan kementerian Pendidikan dan Kebudayaan.</v>
      </c>
    </row>
    <row r="162" spans="1:454" ht="30">
      <c r="G162" s="563"/>
      <c r="H162" s="563" t="str">
        <f>'matrik MISI 4'!N103</f>
        <v xml:space="preserve">Persentase Pendidik SMK yang memiliki sertifikat pendidik </v>
      </c>
      <c r="I162" s="563" t="str">
        <f>'matrik MISI 4'!O103</f>
        <v>%</v>
      </c>
      <c r="J162" s="563">
        <f>'matrik MISI 4'!P103</f>
        <v>44.79</v>
      </c>
      <c r="K162" s="563">
        <f>'matrik MISI 4'!Q103</f>
        <v>44.89</v>
      </c>
      <c r="L162" s="563">
        <f>'matrik MISI 4'!R103</f>
        <v>44.99</v>
      </c>
      <c r="M162" s="604"/>
      <c r="N162" s="563">
        <f>'matrik MISI 4'!S103</f>
        <v>45.09</v>
      </c>
      <c r="O162" s="564"/>
      <c r="P162" s="563">
        <f>'matrik MISI 4'!T103</f>
        <v>45.19</v>
      </c>
      <c r="Q162" s="564"/>
      <c r="R162" s="563">
        <f>'matrik MISI 4'!U103</f>
        <v>45.29</v>
      </c>
      <c r="S162" s="564"/>
      <c r="T162" s="563">
        <f>'matrik MISI 4'!V103</f>
        <v>45.39</v>
      </c>
      <c r="U162" s="564"/>
      <c r="V162" s="563">
        <f>'matrik MISI 4'!W103</f>
        <v>45.39</v>
      </c>
      <c r="W162" s="564"/>
      <c r="X162" s="563" t="str">
        <f>'matrik MISI 4'!X103</f>
        <v>Dinas  Pendidikan</v>
      </c>
      <c r="Y162" s="565" t="str">
        <f>'matrik MISI 4'!Y103</f>
        <v>Jumlah pendidik SMK yang memiliki sertifikat pendidik dibagi jumlah pendidik SMK kali 100%</v>
      </c>
      <c r="Z162" s="565" t="str">
        <f>'matrik MISI 4'!Z103</f>
        <v>Capaian Target Tergantung dengan kebijakan kementerian Pendidikan dan Kebudayaan.</v>
      </c>
    </row>
    <row r="163" spans="1:454" ht="30">
      <c r="G163" s="563"/>
      <c r="H163" s="563" t="str">
        <f>'matrik MISI 4'!N105</f>
        <v>Besaran Pegawai Administrasi Sekolah</v>
      </c>
      <c r="I163" s="563" t="str">
        <f>'matrik MISI 4'!O105</f>
        <v>Orang</v>
      </c>
      <c r="J163" s="563">
        <f>'matrik MISI 4'!P105</f>
        <v>181</v>
      </c>
      <c r="K163" s="563">
        <f>'matrik MISI 4'!Q105</f>
        <v>181</v>
      </c>
      <c r="L163" s="563">
        <f>'matrik MISI 4'!R105</f>
        <v>181</v>
      </c>
      <c r="M163" s="604"/>
      <c r="N163" s="563">
        <f>'matrik MISI 4'!S105</f>
        <v>181</v>
      </c>
      <c r="O163" s="564"/>
      <c r="P163" s="563">
        <f>'matrik MISI 4'!T105</f>
        <v>181</v>
      </c>
      <c r="Q163" s="564"/>
      <c r="R163" s="563">
        <f>'matrik MISI 4'!U105</f>
        <v>181</v>
      </c>
      <c r="S163" s="564"/>
      <c r="T163" s="563">
        <f>'matrik MISI 4'!V105</f>
        <v>181</v>
      </c>
      <c r="U163" s="564"/>
      <c r="V163" s="563">
        <f>'matrik MISI 4'!W105</f>
        <v>181</v>
      </c>
      <c r="W163" s="564"/>
      <c r="X163" s="563" t="str">
        <f>'matrik MISI 4'!X105</f>
        <v>Dinas Pendidikan</v>
      </c>
      <c r="Y163" s="565" t="str">
        <f>'matrik MISI 4'!Y105</f>
        <v xml:space="preserve">Jumlah tenaga administrasi sekolah </v>
      </c>
      <c r="Z163" s="565">
        <f>'matrik MISI 4'!Z105</f>
        <v>0</v>
      </c>
    </row>
    <row r="164" spans="1:454" ht="30">
      <c r="G164" s="563"/>
      <c r="H164" s="563" t="str">
        <f>'matrik MISI 4'!N106</f>
        <v>Besaran Penilik Pendidikan Nonformal</v>
      </c>
      <c r="I164" s="563" t="str">
        <f>'matrik MISI 4'!O106</f>
        <v>Orang</v>
      </c>
      <c r="J164" s="563">
        <f>'matrik MISI 4'!P106</f>
        <v>18</v>
      </c>
      <c r="K164" s="563">
        <f>'matrik MISI 4'!Q106</f>
        <v>18</v>
      </c>
      <c r="L164" s="563">
        <f>'matrik MISI 4'!R106</f>
        <v>18</v>
      </c>
      <c r="M164" s="604"/>
      <c r="N164" s="563">
        <f>'matrik MISI 4'!S106</f>
        <v>18</v>
      </c>
      <c r="O164" s="564"/>
      <c r="P164" s="563">
        <f>'matrik MISI 4'!T106</f>
        <v>18</v>
      </c>
      <c r="Q164" s="564"/>
      <c r="R164" s="563">
        <f>'matrik MISI 4'!U106</f>
        <v>18</v>
      </c>
      <c r="S164" s="564"/>
      <c r="T164" s="563">
        <f>'matrik MISI 4'!V106</f>
        <v>20</v>
      </c>
      <c r="U164" s="564"/>
      <c r="V164" s="563">
        <f>'matrik MISI 4'!W106</f>
        <v>20</v>
      </c>
      <c r="W164" s="564"/>
      <c r="X164" s="563" t="str">
        <f>'matrik MISI 4'!X106</f>
        <v>Dinas Pendidikan</v>
      </c>
      <c r="Y164" s="565" t="str">
        <f>'matrik MISI 4'!Y106</f>
        <v>Jumlah penilik pendidikan nonformal</v>
      </c>
      <c r="Z164" s="565">
        <f>'matrik MISI 4'!Z106</f>
        <v>0</v>
      </c>
    </row>
    <row r="165" spans="1:454">
      <c r="G165" s="563"/>
      <c r="H165" s="563" t="str">
        <f>'matrik MISI 4'!N107</f>
        <v>Rasio Pengawas Sekolah</v>
      </c>
      <c r="I165" s="563" t="str">
        <f>'matrik MISI 4'!O107</f>
        <v>Rasio</v>
      </c>
      <c r="J165" s="563" t="str">
        <f>'matrik MISI 4'!P107</f>
        <v>1 ; 17</v>
      </c>
      <c r="K165" s="563" t="str">
        <f>'matrik MISI 4'!Q107</f>
        <v>1 ; 17</v>
      </c>
      <c r="L165" s="563" t="str">
        <f>'matrik MISI 4'!R107</f>
        <v>1 ; 17</v>
      </c>
      <c r="M165" s="604"/>
      <c r="N165" s="563" t="str">
        <f>'matrik MISI 4'!S107</f>
        <v>1 ; 17</v>
      </c>
      <c r="O165" s="564"/>
      <c r="P165" s="563" t="str">
        <f>'matrik MISI 4'!T107</f>
        <v>1 ; 17</v>
      </c>
      <c r="Q165" s="564"/>
      <c r="R165" s="563" t="str">
        <f>'matrik MISI 4'!U107</f>
        <v>1 ; 17</v>
      </c>
      <c r="S165" s="564"/>
      <c r="T165" s="563" t="str">
        <f>'matrik MISI 4'!V107</f>
        <v>1 ; 17</v>
      </c>
      <c r="U165" s="564"/>
      <c r="V165" s="563" t="str">
        <f>'matrik MISI 4'!W107</f>
        <v>1 ; 17</v>
      </c>
      <c r="W165" s="564"/>
      <c r="X165" s="563" t="str">
        <f>'matrik MISI 4'!X107</f>
        <v>Dinas Pendidikan</v>
      </c>
      <c r="Y165" s="565" t="str">
        <f>'matrik MISI 4'!Y107</f>
        <v>Jumlah pengawas sekolah dibagi jumlah sekolah</v>
      </c>
      <c r="Z165" s="565">
        <f>'matrik MISI 4'!Z107</f>
        <v>0</v>
      </c>
    </row>
    <row r="166" spans="1:454">
      <c r="G166" s="563"/>
      <c r="H166" s="563" t="str">
        <f>'matrik MISI 4'!N108</f>
        <v>Besaran Pamong Belajar</v>
      </c>
      <c r="I166" s="563" t="str">
        <f>'matrik MISI 4'!O108</f>
        <v>Orang</v>
      </c>
      <c r="J166" s="563">
        <f>'matrik MISI 4'!P108</f>
        <v>3</v>
      </c>
      <c r="K166" s="563">
        <f>'matrik MISI 4'!Q108</f>
        <v>3</v>
      </c>
      <c r="L166" s="563">
        <f>'matrik MISI 4'!R108</f>
        <v>3</v>
      </c>
      <c r="M166" s="604"/>
      <c r="N166" s="563">
        <f>'matrik MISI 4'!S108</f>
        <v>4</v>
      </c>
      <c r="O166" s="564"/>
      <c r="P166" s="563">
        <f>'matrik MISI 4'!T108</f>
        <v>4</v>
      </c>
      <c r="Q166" s="564"/>
      <c r="R166" s="563">
        <f>'matrik MISI 4'!U108</f>
        <v>5</v>
      </c>
      <c r="S166" s="564"/>
      <c r="T166" s="563">
        <f>'matrik MISI 4'!V108</f>
        <v>5</v>
      </c>
      <c r="U166" s="564"/>
      <c r="V166" s="563">
        <f>'matrik MISI 4'!W108</f>
        <v>6</v>
      </c>
      <c r="W166" s="564"/>
      <c r="X166" s="563" t="str">
        <f>'matrik MISI 4'!X108</f>
        <v>Dinas Pendidikan</v>
      </c>
      <c r="Y166" s="565" t="str">
        <f>'matrik MISI 4'!Y108</f>
        <v xml:space="preserve">Jumlah pamong belajar </v>
      </c>
      <c r="Z166" s="565">
        <f>'matrik MISI 4'!Z108</f>
        <v>0</v>
      </c>
    </row>
    <row r="167" spans="1:454" s="570" customFormat="1">
      <c r="A167" s="569"/>
      <c r="B167" s="571"/>
      <c r="C167" s="572"/>
      <c r="D167" s="573"/>
      <c r="E167" s="573"/>
      <c r="F167" s="573"/>
      <c r="G167" s="573"/>
      <c r="H167" s="573"/>
      <c r="I167" s="573"/>
      <c r="J167" s="573"/>
      <c r="K167" s="573"/>
      <c r="L167" s="573"/>
      <c r="M167" s="604"/>
      <c r="N167" s="573"/>
      <c r="O167" s="564"/>
      <c r="P167" s="573"/>
      <c r="Q167" s="564"/>
      <c r="R167" s="573"/>
      <c r="S167" s="564"/>
      <c r="T167" s="573"/>
      <c r="U167" s="564"/>
      <c r="V167" s="573"/>
      <c r="W167" s="564"/>
      <c r="X167" s="573"/>
      <c r="Y167" s="565"/>
      <c r="Z167" s="565"/>
      <c r="AA167" s="569"/>
      <c r="AB167" s="569"/>
      <c r="AC167" s="569"/>
      <c r="AD167" s="569"/>
      <c r="AE167" s="569"/>
      <c r="AF167" s="569"/>
      <c r="AG167" s="569"/>
      <c r="AH167" s="569"/>
      <c r="AI167" s="569"/>
      <c r="AJ167" s="569"/>
      <c r="AK167" s="569"/>
      <c r="AL167" s="569"/>
      <c r="AM167" s="569"/>
      <c r="AN167" s="569"/>
      <c r="AO167" s="569"/>
      <c r="AP167" s="569"/>
      <c r="AQ167" s="569"/>
      <c r="AR167" s="569"/>
      <c r="AS167" s="569"/>
      <c r="AT167" s="569"/>
      <c r="AU167" s="569"/>
      <c r="AV167" s="569"/>
      <c r="AW167" s="569"/>
      <c r="AX167" s="569"/>
      <c r="AY167" s="569"/>
      <c r="AZ167" s="569"/>
      <c r="BA167" s="569"/>
      <c r="BB167" s="569"/>
      <c r="BC167" s="569"/>
      <c r="BD167" s="569"/>
      <c r="BE167" s="569"/>
      <c r="BF167" s="569"/>
      <c r="BG167" s="569"/>
      <c r="BH167" s="569"/>
      <c r="BI167" s="569"/>
      <c r="BJ167" s="569"/>
      <c r="BK167" s="569"/>
      <c r="BL167" s="569"/>
      <c r="BM167" s="569"/>
      <c r="BN167" s="569"/>
      <c r="BO167" s="569"/>
      <c r="BP167" s="569"/>
      <c r="BQ167" s="569"/>
      <c r="BR167" s="569"/>
      <c r="BS167" s="569"/>
      <c r="BT167" s="569"/>
      <c r="BU167" s="569"/>
      <c r="BV167" s="569"/>
      <c r="BW167" s="569"/>
      <c r="BX167" s="569"/>
      <c r="BY167" s="569"/>
      <c r="BZ167" s="569"/>
      <c r="CA167" s="569"/>
      <c r="CB167" s="569"/>
      <c r="CC167" s="569"/>
      <c r="CD167" s="569"/>
      <c r="CE167" s="569"/>
      <c r="CF167" s="569"/>
      <c r="CG167" s="569"/>
      <c r="CH167" s="569"/>
      <c r="CI167" s="569"/>
      <c r="CJ167" s="569"/>
      <c r="CK167" s="569"/>
      <c r="CL167" s="569"/>
      <c r="CM167" s="569"/>
      <c r="CN167" s="569"/>
      <c r="CO167" s="569"/>
      <c r="CP167" s="569"/>
      <c r="CQ167" s="569"/>
      <c r="CR167" s="569"/>
      <c r="CS167" s="569"/>
      <c r="CT167" s="569"/>
      <c r="CU167" s="569"/>
      <c r="CV167" s="569"/>
      <c r="CW167" s="569"/>
      <c r="CX167" s="569"/>
      <c r="CY167" s="569"/>
      <c r="CZ167" s="569"/>
      <c r="DA167" s="569"/>
      <c r="DB167" s="569"/>
      <c r="DC167" s="569"/>
      <c r="DD167" s="569"/>
      <c r="DE167" s="569"/>
      <c r="DF167" s="569"/>
      <c r="DG167" s="569"/>
      <c r="DH167" s="569"/>
      <c r="DI167" s="569"/>
      <c r="DJ167" s="569"/>
      <c r="DK167" s="569"/>
      <c r="DL167" s="569"/>
      <c r="DM167" s="569"/>
      <c r="DN167" s="569"/>
      <c r="DO167" s="569"/>
      <c r="DP167" s="569"/>
      <c r="DQ167" s="569"/>
      <c r="DR167" s="569"/>
      <c r="DS167" s="569"/>
      <c r="DT167" s="569"/>
      <c r="DU167" s="569"/>
      <c r="DV167" s="569"/>
      <c r="DW167" s="569"/>
      <c r="DX167" s="569"/>
      <c r="DY167" s="569"/>
      <c r="DZ167" s="569"/>
      <c r="EA167" s="569"/>
      <c r="EB167" s="569"/>
      <c r="EC167" s="569"/>
      <c r="ED167" s="569"/>
      <c r="EE167" s="569"/>
      <c r="EF167" s="569"/>
      <c r="EG167" s="569"/>
      <c r="EH167" s="569"/>
      <c r="EI167" s="569"/>
      <c r="EJ167" s="569"/>
      <c r="EK167" s="569"/>
      <c r="EL167" s="569"/>
      <c r="EM167" s="569"/>
      <c r="EN167" s="569"/>
      <c r="EO167" s="569"/>
      <c r="EP167" s="569"/>
      <c r="EQ167" s="569"/>
      <c r="ER167" s="569"/>
      <c r="ES167" s="569"/>
      <c r="ET167" s="569"/>
      <c r="EU167" s="569"/>
      <c r="EV167" s="569"/>
      <c r="EW167" s="569"/>
      <c r="EX167" s="569"/>
      <c r="EY167" s="569"/>
      <c r="EZ167" s="569"/>
      <c r="FA167" s="569"/>
      <c r="FB167" s="569"/>
      <c r="FC167" s="569"/>
      <c r="FD167" s="569"/>
      <c r="FE167" s="569"/>
      <c r="FF167" s="569"/>
      <c r="FG167" s="569"/>
      <c r="FH167" s="569"/>
      <c r="FI167" s="569"/>
      <c r="FJ167" s="569"/>
      <c r="FK167" s="569"/>
      <c r="FL167" s="569"/>
      <c r="FM167" s="569"/>
      <c r="FN167" s="569"/>
      <c r="FO167" s="569"/>
      <c r="FP167" s="569"/>
      <c r="FQ167" s="569"/>
      <c r="FR167" s="569"/>
      <c r="FS167" s="569"/>
      <c r="FT167" s="569"/>
      <c r="FU167" s="569"/>
      <c r="FV167" s="569"/>
      <c r="FW167" s="569"/>
      <c r="FX167" s="569"/>
      <c r="FY167" s="569"/>
      <c r="FZ167" s="569"/>
      <c r="GA167" s="569"/>
      <c r="GB167" s="569"/>
      <c r="GC167" s="569"/>
      <c r="GD167" s="569"/>
      <c r="GE167" s="569"/>
      <c r="GF167" s="569"/>
      <c r="GG167" s="569"/>
      <c r="GH167" s="569"/>
      <c r="GI167" s="569"/>
      <c r="GJ167" s="569"/>
      <c r="GK167" s="569"/>
      <c r="GL167" s="569"/>
      <c r="GM167" s="569"/>
      <c r="GN167" s="569"/>
      <c r="GO167" s="569"/>
      <c r="GP167" s="569"/>
      <c r="GQ167" s="569"/>
      <c r="GR167" s="569"/>
      <c r="GS167" s="569"/>
      <c r="GT167" s="569"/>
      <c r="GU167" s="569"/>
      <c r="GV167" s="569"/>
      <c r="GW167" s="569"/>
      <c r="GX167" s="569"/>
      <c r="GY167" s="569"/>
      <c r="GZ167" s="569"/>
      <c r="HA167" s="569"/>
      <c r="HB167" s="569"/>
      <c r="HC167" s="569"/>
      <c r="HD167" s="569"/>
      <c r="HE167" s="569"/>
      <c r="HF167" s="569"/>
      <c r="HG167" s="569"/>
      <c r="HH167" s="569"/>
      <c r="HI167" s="569"/>
      <c r="HJ167" s="569"/>
      <c r="HK167" s="569"/>
      <c r="HL167" s="569"/>
      <c r="HM167" s="569"/>
      <c r="HN167" s="569"/>
      <c r="HO167" s="569"/>
      <c r="HP167" s="569"/>
      <c r="HQ167" s="569"/>
      <c r="HR167" s="569"/>
      <c r="HS167" s="569"/>
      <c r="HT167" s="569"/>
      <c r="HU167" s="569"/>
      <c r="HV167" s="569"/>
      <c r="HW167" s="569"/>
      <c r="HX167" s="569"/>
      <c r="HY167" s="569"/>
      <c r="HZ167" s="569"/>
      <c r="IA167" s="569"/>
      <c r="IB167" s="569"/>
      <c r="IC167" s="569"/>
      <c r="ID167" s="569"/>
      <c r="IE167" s="569"/>
      <c r="IF167" s="569"/>
      <c r="IG167" s="569"/>
      <c r="IH167" s="569"/>
      <c r="II167" s="569"/>
      <c r="IJ167" s="569"/>
      <c r="IK167" s="569"/>
      <c r="IL167" s="569"/>
      <c r="IM167" s="569"/>
      <c r="IN167" s="569"/>
      <c r="IO167" s="569"/>
      <c r="IP167" s="569"/>
      <c r="IQ167" s="569"/>
      <c r="IR167" s="569"/>
      <c r="IS167" s="569"/>
      <c r="IT167" s="569"/>
      <c r="IU167" s="569"/>
      <c r="IV167" s="569"/>
      <c r="IW167" s="569"/>
      <c r="IX167" s="569"/>
      <c r="IY167" s="569"/>
      <c r="IZ167" s="569"/>
      <c r="JA167" s="569"/>
      <c r="JB167" s="569"/>
      <c r="JC167" s="569"/>
      <c r="JD167" s="569"/>
      <c r="JE167" s="569"/>
      <c r="JF167" s="569"/>
      <c r="JG167" s="569"/>
      <c r="JH167" s="569"/>
      <c r="JI167" s="569"/>
      <c r="JJ167" s="569"/>
      <c r="JK167" s="569"/>
      <c r="JL167" s="569"/>
      <c r="JM167" s="569"/>
      <c r="JN167" s="569"/>
      <c r="JO167" s="569"/>
      <c r="JP167" s="569"/>
      <c r="JQ167" s="569"/>
      <c r="JR167" s="569"/>
      <c r="JS167" s="569"/>
      <c r="JT167" s="569"/>
      <c r="JU167" s="569"/>
      <c r="JV167" s="569"/>
      <c r="JW167" s="569"/>
      <c r="JX167" s="569"/>
      <c r="JY167" s="569"/>
      <c r="JZ167" s="569"/>
      <c r="KA167" s="569"/>
      <c r="KB167" s="569"/>
      <c r="KC167" s="569"/>
      <c r="KD167" s="569"/>
      <c r="KE167" s="569"/>
      <c r="KF167" s="569"/>
      <c r="KG167" s="569"/>
      <c r="KH167" s="569"/>
      <c r="KI167" s="569"/>
      <c r="KJ167" s="569"/>
      <c r="KK167" s="569"/>
      <c r="KL167" s="569"/>
      <c r="KM167" s="569"/>
      <c r="KN167" s="569"/>
      <c r="KO167" s="569"/>
      <c r="KP167" s="569"/>
      <c r="KQ167" s="569"/>
      <c r="KR167" s="569"/>
      <c r="KS167" s="569"/>
      <c r="KT167" s="569"/>
      <c r="KU167" s="569"/>
      <c r="KV167" s="569"/>
      <c r="KW167" s="569"/>
      <c r="KX167" s="569"/>
      <c r="KY167" s="569"/>
      <c r="KZ167" s="569"/>
      <c r="LA167" s="569"/>
      <c r="LB167" s="569"/>
      <c r="LC167" s="569"/>
      <c r="LD167" s="569"/>
      <c r="LE167" s="569"/>
      <c r="LF167" s="569"/>
      <c r="LG167" s="569"/>
      <c r="LH167" s="569"/>
      <c r="LI167" s="569"/>
      <c r="LJ167" s="569"/>
      <c r="LK167" s="569"/>
      <c r="LL167" s="569"/>
      <c r="LM167" s="569"/>
      <c r="LN167" s="569"/>
      <c r="LO167" s="569"/>
      <c r="LP167" s="569"/>
      <c r="LQ167" s="569"/>
      <c r="LR167" s="569"/>
      <c r="LS167" s="569"/>
      <c r="LT167" s="569"/>
      <c r="LU167" s="569"/>
      <c r="LV167" s="569"/>
      <c r="LW167" s="569"/>
      <c r="LX167" s="569"/>
      <c r="LY167" s="569"/>
      <c r="LZ167" s="569"/>
      <c r="MA167" s="569"/>
      <c r="MB167" s="569"/>
      <c r="MC167" s="569"/>
      <c r="MD167" s="569"/>
      <c r="ME167" s="569"/>
      <c r="MF167" s="569"/>
      <c r="MG167" s="569"/>
      <c r="MH167" s="569"/>
      <c r="MI167" s="569"/>
      <c r="MJ167" s="569"/>
      <c r="MK167" s="569"/>
      <c r="ML167" s="569"/>
      <c r="MM167" s="569"/>
      <c r="MN167" s="569"/>
      <c r="MO167" s="569"/>
      <c r="MP167" s="569"/>
      <c r="MQ167" s="569"/>
      <c r="MR167" s="569"/>
      <c r="MS167" s="569"/>
      <c r="MT167" s="569"/>
      <c r="MU167" s="569"/>
      <c r="MV167" s="569"/>
      <c r="MW167" s="569"/>
      <c r="MX167" s="569"/>
      <c r="MY167" s="569"/>
      <c r="MZ167" s="569"/>
      <c r="NA167" s="569"/>
      <c r="NB167" s="569"/>
      <c r="NC167" s="569"/>
      <c r="ND167" s="569"/>
      <c r="NE167" s="569"/>
      <c r="NF167" s="569"/>
      <c r="NG167" s="569"/>
      <c r="NH167" s="569"/>
      <c r="NI167" s="569"/>
      <c r="NJ167" s="569"/>
      <c r="NK167" s="569"/>
      <c r="NL167" s="569"/>
      <c r="NM167" s="569"/>
      <c r="NN167" s="569"/>
      <c r="NO167" s="569"/>
      <c r="NP167" s="569"/>
      <c r="NQ167" s="569"/>
      <c r="NR167" s="569"/>
      <c r="NS167" s="569"/>
      <c r="NT167" s="569"/>
      <c r="NU167" s="569"/>
      <c r="NV167" s="569"/>
      <c r="NW167" s="569"/>
      <c r="NX167" s="569"/>
      <c r="NY167" s="569"/>
      <c r="NZ167" s="569"/>
      <c r="OA167" s="569"/>
      <c r="OB167" s="569"/>
      <c r="OC167" s="569"/>
      <c r="OD167" s="569"/>
      <c r="OE167" s="569"/>
      <c r="OF167" s="569"/>
      <c r="OG167" s="569"/>
      <c r="OH167" s="569"/>
      <c r="OI167" s="569"/>
      <c r="OJ167" s="569"/>
      <c r="OK167" s="569"/>
      <c r="OL167" s="569"/>
      <c r="OM167" s="569"/>
      <c r="ON167" s="569"/>
      <c r="OO167" s="569"/>
      <c r="OP167" s="569"/>
      <c r="OQ167" s="569"/>
      <c r="OR167" s="569"/>
      <c r="OS167" s="569"/>
      <c r="OT167" s="569"/>
      <c r="OU167" s="569"/>
      <c r="OV167" s="569"/>
      <c r="OW167" s="569"/>
      <c r="OX167" s="569"/>
      <c r="OY167" s="569"/>
      <c r="OZ167" s="569"/>
      <c r="PA167" s="569"/>
      <c r="PB167" s="569"/>
      <c r="PC167" s="569"/>
      <c r="PD167" s="569"/>
      <c r="PE167" s="569"/>
      <c r="PF167" s="569"/>
      <c r="PG167" s="569"/>
      <c r="PH167" s="569"/>
      <c r="PI167" s="569"/>
      <c r="PJ167" s="569"/>
      <c r="PK167" s="569"/>
      <c r="PL167" s="569"/>
      <c r="PM167" s="569"/>
      <c r="PN167" s="569"/>
      <c r="PO167" s="569"/>
      <c r="PP167" s="569"/>
      <c r="PQ167" s="569"/>
      <c r="PR167" s="569"/>
      <c r="PS167" s="569"/>
      <c r="PT167" s="569"/>
      <c r="PU167" s="569"/>
      <c r="PV167" s="569"/>
      <c r="PW167" s="569"/>
      <c r="PX167" s="569"/>
      <c r="PY167" s="569"/>
      <c r="PZ167" s="569"/>
      <c r="QA167" s="569"/>
      <c r="QB167" s="569"/>
      <c r="QC167" s="569"/>
      <c r="QD167" s="569"/>
      <c r="QE167" s="569"/>
      <c r="QF167" s="569"/>
      <c r="QG167" s="569"/>
      <c r="QH167" s="569"/>
      <c r="QI167" s="569"/>
      <c r="QJ167" s="569"/>
      <c r="QK167" s="569"/>
      <c r="QL167" s="569"/>
    </row>
    <row r="168" spans="1:454" s="574" customFormat="1" ht="45">
      <c r="A168" s="569"/>
      <c r="B168" s="575">
        <v>2</v>
      </c>
      <c r="C168" s="576" t="str">
        <f>'matrik MISI 5'!B6</f>
        <v>KESEHATAN</v>
      </c>
      <c r="D168" s="577">
        <f>'matrik MISI 5'!J7</f>
        <v>1.02</v>
      </c>
      <c r="E168" s="577" t="str">
        <f>'matrik MISI 5'!K7</f>
        <v>xx</v>
      </c>
      <c r="F168" s="577">
        <f>'matrik MISI 5'!L7</f>
        <v>32</v>
      </c>
      <c r="G168" s="577" t="str">
        <f>'matrik MISI 5'!M7</f>
        <v>Program peningkatan keselamatan ibu melahirkan dan anak</v>
      </c>
      <c r="H168" s="577"/>
      <c r="I168" s="577"/>
      <c r="J168" s="577"/>
      <c r="K168" s="577"/>
      <c r="L168" s="577"/>
      <c r="M168" s="578">
        <f>'jangan di hapus 1'!K405</f>
        <v>223774500</v>
      </c>
      <c r="N168" s="578"/>
      <c r="O168" s="578">
        <f>'jangan di hapus 1'!M405</f>
        <v>340000000</v>
      </c>
      <c r="P168" s="578"/>
      <c r="Q168" s="578">
        <f>'jangan di hapus 1'!O405</f>
        <v>665000000</v>
      </c>
      <c r="R168" s="578"/>
      <c r="S168" s="578">
        <f>'jangan di hapus 1'!Q405</f>
        <v>740000000</v>
      </c>
      <c r="T168" s="578"/>
      <c r="U168" s="578">
        <f>'jangan di hapus 1'!S405</f>
        <v>815000000</v>
      </c>
      <c r="V168" s="577"/>
      <c r="W168" s="579">
        <f t="shared" ref="W168" si="1">SUM(M168:U168)</f>
        <v>2783774500</v>
      </c>
      <c r="X168" s="577"/>
      <c r="Y168" s="577"/>
      <c r="Z168" s="577"/>
      <c r="AA168" s="569"/>
      <c r="AB168" s="569"/>
      <c r="AC168" s="569"/>
      <c r="AD168" s="569"/>
      <c r="AE168" s="569"/>
      <c r="AF168" s="569"/>
      <c r="AG168" s="569"/>
      <c r="AH168" s="569"/>
      <c r="AI168" s="569"/>
      <c r="AJ168" s="569"/>
      <c r="AK168" s="569"/>
      <c r="AL168" s="569"/>
      <c r="AM168" s="569"/>
      <c r="AN168" s="569"/>
      <c r="AO168" s="569"/>
      <c r="AP168" s="569"/>
      <c r="AQ168" s="569"/>
      <c r="AR168" s="569"/>
      <c r="AS168" s="569"/>
      <c r="AT168" s="569"/>
      <c r="AU168" s="569"/>
      <c r="AV168" s="569"/>
      <c r="AW168" s="569"/>
      <c r="AX168" s="569"/>
      <c r="AY168" s="569"/>
      <c r="AZ168" s="569"/>
      <c r="BA168" s="569"/>
      <c r="BB168" s="569"/>
      <c r="BC168" s="569"/>
      <c r="BD168" s="569"/>
      <c r="BE168" s="569"/>
      <c r="BF168" s="569"/>
      <c r="BG168" s="569"/>
      <c r="BH168" s="569"/>
      <c r="BI168" s="569"/>
      <c r="BJ168" s="569"/>
      <c r="BK168" s="569"/>
      <c r="BL168" s="569"/>
      <c r="BM168" s="569"/>
      <c r="BN168" s="569"/>
      <c r="BO168" s="569"/>
      <c r="BP168" s="569"/>
      <c r="BQ168" s="569"/>
      <c r="BR168" s="569"/>
      <c r="BS168" s="569"/>
      <c r="BT168" s="569"/>
      <c r="BU168" s="569"/>
      <c r="BV168" s="569"/>
      <c r="BW168" s="569"/>
      <c r="BX168" s="569"/>
      <c r="BY168" s="569"/>
      <c r="BZ168" s="569"/>
      <c r="CA168" s="569"/>
      <c r="CB168" s="569"/>
      <c r="CC168" s="569"/>
      <c r="CD168" s="569"/>
      <c r="CE168" s="569"/>
      <c r="CF168" s="569"/>
      <c r="CG168" s="569"/>
      <c r="CH168" s="569"/>
      <c r="CI168" s="569"/>
      <c r="CJ168" s="569"/>
      <c r="CK168" s="569"/>
      <c r="CL168" s="569"/>
      <c r="CM168" s="569"/>
      <c r="CN168" s="569"/>
      <c r="CO168" s="569"/>
      <c r="CP168" s="569"/>
      <c r="CQ168" s="569"/>
      <c r="CR168" s="569"/>
      <c r="CS168" s="569"/>
      <c r="CT168" s="569"/>
      <c r="CU168" s="569"/>
      <c r="CV168" s="569"/>
      <c r="CW168" s="569"/>
      <c r="CX168" s="569"/>
      <c r="CY168" s="569"/>
      <c r="CZ168" s="569"/>
      <c r="DA168" s="569"/>
      <c r="DB168" s="569"/>
      <c r="DC168" s="569"/>
      <c r="DD168" s="569"/>
      <c r="DE168" s="569"/>
      <c r="DF168" s="569"/>
      <c r="DG168" s="569"/>
      <c r="DH168" s="569"/>
      <c r="DI168" s="569"/>
      <c r="DJ168" s="569"/>
      <c r="DK168" s="569"/>
      <c r="DL168" s="569"/>
      <c r="DM168" s="569"/>
      <c r="DN168" s="569"/>
      <c r="DO168" s="569"/>
      <c r="DP168" s="569"/>
      <c r="DQ168" s="569"/>
      <c r="DR168" s="569"/>
      <c r="DS168" s="569"/>
      <c r="DT168" s="569"/>
      <c r="DU168" s="569"/>
      <c r="DV168" s="569"/>
      <c r="DW168" s="569"/>
      <c r="DX168" s="569"/>
      <c r="DY168" s="569"/>
      <c r="DZ168" s="569"/>
      <c r="EA168" s="569"/>
      <c r="EB168" s="569"/>
      <c r="EC168" s="569"/>
      <c r="ED168" s="569"/>
      <c r="EE168" s="569"/>
      <c r="EF168" s="569"/>
      <c r="EG168" s="569"/>
      <c r="EH168" s="569"/>
      <c r="EI168" s="569"/>
      <c r="EJ168" s="569"/>
      <c r="EK168" s="569"/>
      <c r="EL168" s="569"/>
      <c r="EM168" s="569"/>
      <c r="EN168" s="569"/>
      <c r="EO168" s="569"/>
      <c r="EP168" s="569"/>
      <c r="EQ168" s="569"/>
      <c r="ER168" s="569"/>
      <c r="ES168" s="569"/>
      <c r="ET168" s="569"/>
      <c r="EU168" s="569"/>
      <c r="EV168" s="569"/>
      <c r="EW168" s="569"/>
      <c r="EX168" s="569"/>
      <c r="EY168" s="569"/>
      <c r="EZ168" s="569"/>
      <c r="FA168" s="569"/>
      <c r="FB168" s="569"/>
      <c r="FC168" s="569"/>
      <c r="FD168" s="569"/>
      <c r="FE168" s="569"/>
      <c r="FF168" s="569"/>
      <c r="FG168" s="569"/>
      <c r="FH168" s="569"/>
      <c r="FI168" s="569"/>
      <c r="FJ168" s="569"/>
      <c r="FK168" s="569"/>
      <c r="FL168" s="569"/>
      <c r="FM168" s="569"/>
      <c r="FN168" s="569"/>
      <c r="FO168" s="569"/>
      <c r="FP168" s="569"/>
      <c r="FQ168" s="569"/>
      <c r="FR168" s="569"/>
      <c r="FS168" s="569"/>
      <c r="FT168" s="569"/>
      <c r="FU168" s="569"/>
      <c r="FV168" s="569"/>
      <c r="FW168" s="569"/>
      <c r="FX168" s="569"/>
      <c r="FY168" s="569"/>
      <c r="FZ168" s="569"/>
      <c r="GA168" s="569"/>
      <c r="GB168" s="569"/>
      <c r="GC168" s="569"/>
      <c r="GD168" s="569"/>
      <c r="GE168" s="569"/>
      <c r="GF168" s="569"/>
      <c r="GG168" s="569"/>
      <c r="GH168" s="569"/>
      <c r="GI168" s="569"/>
      <c r="GJ168" s="569"/>
      <c r="GK168" s="569"/>
      <c r="GL168" s="569"/>
      <c r="GM168" s="569"/>
      <c r="GN168" s="569"/>
      <c r="GO168" s="569"/>
      <c r="GP168" s="569"/>
      <c r="GQ168" s="569"/>
      <c r="GR168" s="569"/>
      <c r="GS168" s="569"/>
      <c r="GT168" s="569"/>
      <c r="GU168" s="569"/>
      <c r="GV168" s="569"/>
      <c r="GW168" s="569"/>
      <c r="GX168" s="569"/>
      <c r="GY168" s="569"/>
      <c r="GZ168" s="569"/>
      <c r="HA168" s="569"/>
      <c r="HB168" s="569"/>
      <c r="HC168" s="569"/>
      <c r="HD168" s="569"/>
      <c r="HE168" s="569"/>
      <c r="HF168" s="569"/>
      <c r="HG168" s="569"/>
      <c r="HH168" s="569"/>
      <c r="HI168" s="569"/>
      <c r="HJ168" s="569"/>
      <c r="HK168" s="569"/>
      <c r="HL168" s="569"/>
      <c r="HM168" s="569"/>
      <c r="HN168" s="569"/>
      <c r="HO168" s="569"/>
      <c r="HP168" s="569"/>
      <c r="HQ168" s="569"/>
      <c r="HR168" s="569"/>
      <c r="HS168" s="569"/>
      <c r="HT168" s="569"/>
      <c r="HU168" s="569"/>
      <c r="HV168" s="569"/>
      <c r="HW168" s="569"/>
      <c r="HX168" s="569"/>
      <c r="HY168" s="569"/>
      <c r="HZ168" s="569"/>
      <c r="IA168" s="569"/>
      <c r="IB168" s="569"/>
      <c r="IC168" s="569"/>
      <c r="ID168" s="569"/>
      <c r="IE168" s="569"/>
      <c r="IF168" s="569"/>
      <c r="IG168" s="569"/>
      <c r="IH168" s="569"/>
      <c r="II168" s="569"/>
      <c r="IJ168" s="569"/>
      <c r="IK168" s="569"/>
      <c r="IL168" s="569"/>
      <c r="IM168" s="569"/>
      <c r="IN168" s="569"/>
      <c r="IO168" s="569"/>
      <c r="IP168" s="569"/>
      <c r="IQ168" s="569"/>
      <c r="IR168" s="569"/>
      <c r="IS168" s="569"/>
      <c r="IT168" s="569"/>
      <c r="IU168" s="569"/>
      <c r="IV168" s="569"/>
      <c r="IW168" s="569"/>
      <c r="IX168" s="569"/>
      <c r="IY168" s="569"/>
      <c r="IZ168" s="569"/>
      <c r="JA168" s="569"/>
      <c r="JB168" s="569"/>
      <c r="JC168" s="569"/>
      <c r="JD168" s="569"/>
      <c r="JE168" s="569"/>
      <c r="JF168" s="569"/>
      <c r="JG168" s="569"/>
      <c r="JH168" s="569"/>
      <c r="JI168" s="569"/>
      <c r="JJ168" s="569"/>
      <c r="JK168" s="569"/>
      <c r="JL168" s="569"/>
      <c r="JM168" s="569"/>
      <c r="JN168" s="569"/>
      <c r="JO168" s="569"/>
      <c r="JP168" s="569"/>
      <c r="JQ168" s="569"/>
      <c r="JR168" s="569"/>
      <c r="JS168" s="569"/>
      <c r="JT168" s="569"/>
      <c r="JU168" s="569"/>
      <c r="JV168" s="569"/>
      <c r="JW168" s="569"/>
      <c r="JX168" s="569"/>
      <c r="JY168" s="569"/>
      <c r="JZ168" s="569"/>
      <c r="KA168" s="569"/>
      <c r="KB168" s="569"/>
      <c r="KC168" s="569"/>
      <c r="KD168" s="569"/>
      <c r="KE168" s="569"/>
      <c r="KF168" s="569"/>
      <c r="KG168" s="569"/>
      <c r="KH168" s="569"/>
      <c r="KI168" s="569"/>
      <c r="KJ168" s="569"/>
      <c r="KK168" s="569"/>
      <c r="KL168" s="569"/>
      <c r="KM168" s="569"/>
      <c r="KN168" s="569"/>
      <c r="KO168" s="569"/>
      <c r="KP168" s="569"/>
      <c r="KQ168" s="569"/>
      <c r="KR168" s="569"/>
      <c r="KS168" s="569"/>
      <c r="KT168" s="569"/>
      <c r="KU168" s="569"/>
      <c r="KV168" s="569"/>
      <c r="KW168" s="569"/>
      <c r="KX168" s="569"/>
      <c r="KY168" s="569"/>
      <c r="KZ168" s="569"/>
      <c r="LA168" s="569"/>
      <c r="LB168" s="569"/>
      <c r="LC168" s="569"/>
      <c r="LD168" s="569"/>
      <c r="LE168" s="569"/>
      <c r="LF168" s="569"/>
      <c r="LG168" s="569"/>
      <c r="LH168" s="569"/>
      <c r="LI168" s="569"/>
      <c r="LJ168" s="569"/>
      <c r="LK168" s="569"/>
      <c r="LL168" s="569"/>
      <c r="LM168" s="569"/>
      <c r="LN168" s="569"/>
      <c r="LO168" s="569"/>
      <c r="LP168" s="569"/>
      <c r="LQ168" s="569"/>
      <c r="LR168" s="569"/>
      <c r="LS168" s="569"/>
      <c r="LT168" s="569"/>
      <c r="LU168" s="569"/>
      <c r="LV168" s="569"/>
      <c r="LW168" s="569"/>
      <c r="LX168" s="569"/>
      <c r="LY168" s="569"/>
      <c r="LZ168" s="569"/>
      <c r="MA168" s="569"/>
      <c r="MB168" s="569"/>
      <c r="MC168" s="569"/>
      <c r="MD168" s="569"/>
      <c r="ME168" s="569"/>
      <c r="MF168" s="569"/>
      <c r="MG168" s="569"/>
      <c r="MH168" s="569"/>
      <c r="MI168" s="569"/>
      <c r="MJ168" s="569"/>
      <c r="MK168" s="569"/>
      <c r="ML168" s="569"/>
      <c r="MM168" s="569"/>
      <c r="MN168" s="569"/>
      <c r="MO168" s="569"/>
      <c r="MP168" s="569"/>
      <c r="MQ168" s="569"/>
      <c r="MR168" s="569"/>
      <c r="MS168" s="569"/>
      <c r="MT168" s="569"/>
      <c r="MU168" s="569"/>
      <c r="MV168" s="569"/>
      <c r="MW168" s="569"/>
      <c r="MX168" s="569"/>
      <c r="MY168" s="569"/>
      <c r="MZ168" s="569"/>
      <c r="NA168" s="569"/>
      <c r="NB168" s="569"/>
      <c r="NC168" s="569"/>
      <c r="ND168" s="569"/>
      <c r="NE168" s="569"/>
      <c r="NF168" s="569"/>
      <c r="NG168" s="569"/>
      <c r="NH168" s="569"/>
      <c r="NI168" s="569"/>
      <c r="NJ168" s="569"/>
      <c r="NK168" s="569"/>
      <c r="NL168" s="569"/>
      <c r="NM168" s="569"/>
      <c r="NN168" s="569"/>
      <c r="NO168" s="569"/>
      <c r="NP168" s="569"/>
      <c r="NQ168" s="569"/>
      <c r="NR168" s="569"/>
      <c r="NS168" s="569"/>
      <c r="NT168" s="569"/>
      <c r="NU168" s="569"/>
      <c r="NV168" s="569"/>
      <c r="NW168" s="569"/>
      <c r="NX168" s="569"/>
      <c r="NY168" s="569"/>
      <c r="NZ168" s="569"/>
      <c r="OA168" s="569"/>
      <c r="OB168" s="569"/>
      <c r="OC168" s="569"/>
      <c r="OD168" s="569"/>
      <c r="OE168" s="569"/>
      <c r="OF168" s="569"/>
      <c r="OG168" s="569"/>
      <c r="OH168" s="569"/>
      <c r="OI168" s="569"/>
      <c r="OJ168" s="569"/>
      <c r="OK168" s="569"/>
      <c r="OL168" s="569"/>
      <c r="OM168" s="569"/>
      <c r="ON168" s="569"/>
      <c r="OO168" s="569"/>
      <c r="OP168" s="569"/>
      <c r="OQ168" s="569"/>
      <c r="OR168" s="569"/>
      <c r="OS168" s="569"/>
      <c r="OT168" s="569"/>
      <c r="OU168" s="569"/>
      <c r="OV168" s="569"/>
      <c r="OW168" s="569"/>
      <c r="OX168" s="569"/>
      <c r="OY168" s="569"/>
      <c r="OZ168" s="569"/>
      <c r="PA168" s="569"/>
      <c r="PB168" s="569"/>
      <c r="PC168" s="569"/>
      <c r="PD168" s="569"/>
      <c r="PE168" s="569"/>
      <c r="PF168" s="569"/>
      <c r="PG168" s="569"/>
      <c r="PH168" s="569"/>
      <c r="PI168" s="569"/>
      <c r="PJ168" s="569"/>
      <c r="PK168" s="569"/>
      <c r="PL168" s="569"/>
      <c r="PM168" s="569"/>
      <c r="PN168" s="569"/>
      <c r="PO168" s="569"/>
      <c r="PP168" s="569"/>
      <c r="PQ168" s="569"/>
      <c r="PR168" s="569"/>
      <c r="PS168" s="569"/>
      <c r="PT168" s="569"/>
      <c r="PU168" s="569"/>
      <c r="PV168" s="569"/>
      <c r="PW168" s="569"/>
      <c r="PX168" s="569"/>
      <c r="PY168" s="569"/>
      <c r="PZ168" s="569"/>
      <c r="QA168" s="569"/>
      <c r="QB168" s="569"/>
      <c r="QC168" s="569"/>
      <c r="QD168" s="569"/>
      <c r="QE168" s="569"/>
      <c r="QF168" s="569"/>
      <c r="QG168" s="569"/>
      <c r="QH168" s="569"/>
      <c r="QI168" s="569"/>
      <c r="QJ168" s="569"/>
      <c r="QK168" s="569"/>
      <c r="QL168" s="569"/>
    </row>
    <row r="169" spans="1:454" s="569" customFormat="1" ht="30">
      <c r="H169" s="563" t="str">
        <f>'matrik MISI 5'!N7</f>
        <v>Cakupan Kunjungan Ibu Hamil K4</v>
      </c>
      <c r="I169" s="563" t="str">
        <f>'matrik MISI 5'!O7</f>
        <v>%</v>
      </c>
      <c r="J169" s="563" t="str">
        <f>'matrik MISI 5'!P7</f>
        <v>92,24</v>
      </c>
      <c r="K169" s="563">
        <f>'matrik MISI 5'!Q7</f>
        <v>95</v>
      </c>
      <c r="L169" s="563">
        <f>'matrik MISI 5'!R7</f>
        <v>95</v>
      </c>
      <c r="M169" s="605"/>
      <c r="N169" s="563">
        <f>'matrik MISI 5'!S7</f>
        <v>95</v>
      </c>
      <c r="P169" s="563">
        <f>'matrik MISI 5'!T7</f>
        <v>95</v>
      </c>
      <c r="R169" s="563">
        <f>'matrik MISI 5'!U7</f>
        <v>95</v>
      </c>
      <c r="S169" s="564"/>
      <c r="T169" s="563">
        <f>'matrik MISI 5'!V7</f>
        <v>95</v>
      </c>
      <c r="U169" s="564"/>
      <c r="V169" s="563">
        <f>'matrik MISI 5'!W7</f>
        <v>95</v>
      </c>
      <c r="W169" s="564"/>
      <c r="X169" s="563" t="str">
        <f>'matrik MISI 5'!X7</f>
        <v>Dinas Kesehatan</v>
      </c>
      <c r="Y169" s="565" t="str">
        <f>'matrik MISI 5'!Y7</f>
        <v>Jumlah Ibu hamil yang telah memperoleh pelayanan antenatal sesuai standar minimal 4 kali / Jumlah sasaran ibu hamil x 100</v>
      </c>
      <c r="Z169" s="565" t="str">
        <f>'matrik MISI 5'!Z7</f>
        <v>akhir tahun denominator menggunakan jumlah ibu hamil riil</v>
      </c>
    </row>
    <row r="170" spans="1:454" s="569" customFormat="1" ht="60">
      <c r="B170" s="267"/>
      <c r="C170" s="562"/>
      <c r="D170" s="563"/>
      <c r="E170" s="563"/>
      <c r="F170" s="563"/>
      <c r="G170" s="563"/>
      <c r="H170" s="563" t="str">
        <f>'matrik MISI 5'!N8</f>
        <v>Cakupan Pertolongan Persalinan oleh Bidan atau Tenaga Kesehatan yang Memiliki Kompetensi Kebidanan</v>
      </c>
      <c r="I170" s="563" t="str">
        <f>'matrik MISI 5'!O8</f>
        <v>%</v>
      </c>
      <c r="J170" s="563" t="str">
        <f>'matrik MISI 5'!P8</f>
        <v>99,65</v>
      </c>
      <c r="K170" s="563">
        <f>'matrik MISI 5'!Q8</f>
        <v>95</v>
      </c>
      <c r="L170" s="563">
        <f>'matrik MISI 5'!R8</f>
        <v>95</v>
      </c>
      <c r="M170" s="604"/>
      <c r="N170" s="563">
        <f>'matrik MISI 5'!S8</f>
        <v>95</v>
      </c>
      <c r="O170" s="564"/>
      <c r="P170" s="563">
        <f>'matrik MISI 5'!T8</f>
        <v>95</v>
      </c>
      <c r="Q170" s="564"/>
      <c r="R170" s="563">
        <f>'matrik MISI 5'!U8</f>
        <v>95</v>
      </c>
      <c r="S170" s="564"/>
      <c r="T170" s="563">
        <f>'matrik MISI 5'!V8</f>
        <v>95</v>
      </c>
      <c r="U170" s="564"/>
      <c r="V170" s="563">
        <f>'matrik MISI 5'!W8</f>
        <v>95</v>
      </c>
      <c r="W170" s="564"/>
      <c r="X170" s="563" t="str">
        <f>'matrik MISI 5'!X8</f>
        <v>Dinas Kesehatan</v>
      </c>
      <c r="Y170" s="565" t="str">
        <f>'matrik MISI 5'!Y8</f>
        <v>Jumlah ibu bersalin yang ditolong oleh tenaga kesehatan / Jumlah seluruh sasaran ibu bersalin x 100</v>
      </c>
      <c r="Z170" s="565">
        <f>'matrik MISI 5'!Z8</f>
        <v>0</v>
      </c>
    </row>
    <row r="171" spans="1:454" s="569" customFormat="1" ht="30">
      <c r="B171" s="267"/>
      <c r="C171" s="562"/>
      <c r="D171" s="563"/>
      <c r="E171" s="563"/>
      <c r="F171" s="563"/>
      <c r="G171" s="563"/>
      <c r="H171" s="563" t="str">
        <f>'matrik MISI 5'!N9</f>
        <v>Cakupan Komplikasi Kebidanan yang Ditangani</v>
      </c>
      <c r="I171" s="563" t="str">
        <f>'matrik MISI 5'!O9</f>
        <v>%</v>
      </c>
      <c r="J171" s="563" t="str">
        <f>'matrik MISI 5'!P9</f>
        <v>100</v>
      </c>
      <c r="K171" s="563">
        <f>'matrik MISI 5'!Q9</f>
        <v>96</v>
      </c>
      <c r="L171" s="563">
        <f>'matrik MISI 5'!R9</f>
        <v>87</v>
      </c>
      <c r="M171" s="604"/>
      <c r="N171" s="563">
        <f>'matrik MISI 5'!S9</f>
        <v>87</v>
      </c>
      <c r="O171" s="564"/>
      <c r="P171" s="563">
        <f>'matrik MISI 5'!T9</f>
        <v>90</v>
      </c>
      <c r="Q171" s="564"/>
      <c r="R171" s="563">
        <f>'matrik MISI 5'!U9</f>
        <v>90</v>
      </c>
      <c r="S171" s="564"/>
      <c r="T171" s="563">
        <f>'matrik MISI 5'!V9</f>
        <v>90</v>
      </c>
      <c r="U171" s="564"/>
      <c r="V171" s="563">
        <f>'matrik MISI 5'!W9</f>
        <v>90</v>
      </c>
      <c r="W171" s="564"/>
      <c r="X171" s="563" t="str">
        <f>'matrik MISI 5'!X9</f>
        <v>Dinas Kesehatan</v>
      </c>
      <c r="Y171" s="565" t="str">
        <f>'matrik MISI 5'!Y9</f>
        <v>Jumlah komplikasi kebidanan yg mendapat penanganan definitif / Jumlah ibu dengan komplikasi kebidanan x 100</v>
      </c>
      <c r="Z171" s="565">
        <f>'matrik MISI 5'!Z9</f>
        <v>0</v>
      </c>
    </row>
    <row r="172" spans="1:454" ht="30">
      <c r="G172" s="563"/>
      <c r="H172" s="563" t="str">
        <f>'matrik MISI 5'!N10</f>
        <v>Cakupan Pelayanan Nifas</v>
      </c>
      <c r="I172" s="563" t="str">
        <f>'matrik MISI 5'!O10</f>
        <v>%</v>
      </c>
      <c r="J172" s="563">
        <f>'matrik MISI 5'!P10</f>
        <v>94.56</v>
      </c>
      <c r="K172" s="563">
        <f>'matrik MISI 5'!Q10</f>
        <v>95</v>
      </c>
      <c r="L172" s="563">
        <f>'matrik MISI 5'!R10</f>
        <v>95</v>
      </c>
      <c r="M172" s="604"/>
      <c r="N172" s="563">
        <f>'matrik MISI 5'!S10</f>
        <v>95</v>
      </c>
      <c r="O172" s="564"/>
      <c r="P172" s="563">
        <f>'matrik MISI 5'!T10</f>
        <v>95</v>
      </c>
      <c r="Q172" s="564"/>
      <c r="R172" s="563">
        <f>'matrik MISI 5'!U10</f>
        <v>95</v>
      </c>
      <c r="S172" s="564"/>
      <c r="T172" s="563">
        <f>'matrik MISI 5'!V10</f>
        <v>95</v>
      </c>
      <c r="U172" s="564"/>
      <c r="V172" s="563">
        <f>'matrik MISI 5'!W10</f>
        <v>95</v>
      </c>
      <c r="W172" s="564"/>
      <c r="X172" s="563" t="str">
        <f>'matrik MISI 5'!X10</f>
        <v>Dinas Kesehatan</v>
      </c>
      <c r="Y172" s="565" t="str">
        <f>'matrik MISI 5'!Y10</f>
        <v>Jumlah ibu nifas yang telah memperoleh 3 kali pelayanan nifas sesuai standar / Jumlah seluruh Ibu nifas x 100</v>
      </c>
      <c r="Z172" s="565">
        <f>'matrik MISI 5'!Z10</f>
        <v>0</v>
      </c>
    </row>
    <row r="173" spans="1:454" s="569" customFormat="1" ht="45">
      <c r="B173" s="267"/>
      <c r="C173" s="562"/>
      <c r="D173" s="563"/>
      <c r="E173" s="563"/>
      <c r="F173" s="563"/>
      <c r="G173" s="563"/>
      <c r="H173" s="563" t="str">
        <f>'matrik MISI 5'!N11</f>
        <v>Angka Kematian Ibu per 100.000 Kelahiran Hidup</v>
      </c>
      <c r="I173" s="563" t="str">
        <f>'matrik MISI 5'!O11</f>
        <v>perkilomil</v>
      </c>
      <c r="J173" s="563">
        <f>'matrik MISI 5'!P11</f>
        <v>88.92</v>
      </c>
      <c r="K173" s="563">
        <f>'matrik MISI 5'!Q11</f>
        <v>102</v>
      </c>
      <c r="L173" s="563">
        <f>'matrik MISI 5'!R11</f>
        <v>102</v>
      </c>
      <c r="M173" s="604"/>
      <c r="N173" s="563">
        <f>'matrik MISI 5'!S11</f>
        <v>101</v>
      </c>
      <c r="O173" s="564"/>
      <c r="P173" s="563">
        <f>'matrik MISI 5'!T11</f>
        <v>101</v>
      </c>
      <c r="Q173" s="564"/>
      <c r="R173" s="563">
        <f>'matrik MISI 5'!U11</f>
        <v>100</v>
      </c>
      <c r="S173" s="564"/>
      <c r="T173" s="563">
        <f>'matrik MISI 5'!V11</f>
        <v>100</v>
      </c>
      <c r="U173" s="564"/>
      <c r="V173" s="563">
        <f>'matrik MISI 5'!W11</f>
        <v>100</v>
      </c>
      <c r="W173" s="564"/>
      <c r="X173" s="563" t="str">
        <f>'matrik MISI 5'!X11</f>
        <v>Dinas Kesehatan</v>
      </c>
      <c r="Y173" s="565" t="str">
        <f>'matrik MISI 5'!Y11</f>
        <v>Jumlah ibu yang meninggal karena hamil, bersalin dan nifas di suatu wilayah pada kurun waktu tertentu / Jumlah kelahiran hidup di wilayah dan pada kurun waktu yang sama x 100.000</v>
      </c>
      <c r="Z173" s="565">
        <f>'matrik MISI 5'!Z11</f>
        <v>0</v>
      </c>
    </row>
    <row r="174" spans="1:454" s="569" customFormat="1" ht="30">
      <c r="B174" s="267"/>
      <c r="C174" s="562"/>
      <c r="H174" s="563" t="str">
        <f>'matrik MISI 5'!N12</f>
        <v>Cakupan Kunjungan Bayi</v>
      </c>
      <c r="I174" s="563" t="str">
        <f>'matrik MISI 5'!O12</f>
        <v>%</v>
      </c>
      <c r="J174" s="563" t="str">
        <f>'matrik MISI 5'!P12</f>
        <v>96,9</v>
      </c>
      <c r="K174" s="563">
        <f>'matrik MISI 5'!Q12</f>
        <v>90</v>
      </c>
      <c r="L174" s="563">
        <f>'matrik MISI 5'!R12</f>
        <v>92.5</v>
      </c>
      <c r="M174" s="604"/>
      <c r="N174" s="563">
        <f>'matrik MISI 5'!S12</f>
        <v>95</v>
      </c>
      <c r="O174" s="564"/>
      <c r="P174" s="563">
        <f>'matrik MISI 5'!T12</f>
        <v>97.5</v>
      </c>
      <c r="Q174" s="564"/>
      <c r="R174" s="563">
        <f>'matrik MISI 5'!U12</f>
        <v>98</v>
      </c>
      <c r="S174" s="564"/>
      <c r="T174" s="563">
        <f>'matrik MISI 5'!V12</f>
        <v>99</v>
      </c>
      <c r="U174" s="564"/>
      <c r="V174" s="563">
        <f>'matrik MISI 5'!W12</f>
        <v>99</v>
      </c>
      <c r="W174" s="564"/>
      <c r="X174" s="563" t="str">
        <f>'matrik MISI 5'!X12</f>
        <v>Dinas Kesehatan</v>
      </c>
      <c r="Y174" s="565" t="str">
        <f>'matrik MISI 5'!Y12</f>
        <v>Jumlah bayi memperoleh pelayanan kesehatan sesuai standar / Jumlah seluruh bayi lahir hidup  x 100</v>
      </c>
      <c r="Z174" s="565">
        <f>'matrik MISI 5'!Z12</f>
        <v>0</v>
      </c>
    </row>
    <row r="175" spans="1:454" s="569" customFormat="1" ht="60">
      <c r="B175" s="267"/>
      <c r="C175" s="562"/>
      <c r="D175" s="563"/>
      <c r="E175" s="563"/>
      <c r="F175" s="563"/>
      <c r="G175" s="563"/>
      <c r="H175" s="563" t="str">
        <f>'matrik MISI 5'!N13</f>
        <v>Cakupan Kunjungan Neonatus (KN1)</v>
      </c>
      <c r="I175" s="563" t="str">
        <f>'matrik MISI 5'!O13</f>
        <v>%</v>
      </c>
      <c r="J175" s="563" t="str">
        <f>'matrik MISI 5'!P13</f>
        <v>96,8</v>
      </c>
      <c r="K175" s="563">
        <f>'matrik MISI 5'!Q13</f>
        <v>96</v>
      </c>
      <c r="L175" s="563">
        <f>'matrik MISI 5'!R13</f>
        <v>99</v>
      </c>
      <c r="M175" s="604"/>
      <c r="N175" s="563">
        <f>'matrik MISI 5'!S13</f>
        <v>99</v>
      </c>
      <c r="O175" s="564"/>
      <c r="P175" s="563">
        <f>'matrik MISI 5'!T13</f>
        <v>99</v>
      </c>
      <c r="Q175" s="564"/>
      <c r="R175" s="563">
        <f>'matrik MISI 5'!U13</f>
        <v>99</v>
      </c>
      <c r="S175" s="564"/>
      <c r="T175" s="563">
        <f>'matrik MISI 5'!V13</f>
        <v>99</v>
      </c>
      <c r="U175" s="564"/>
      <c r="V175" s="563">
        <f>'matrik MISI 5'!W13</f>
        <v>99</v>
      </c>
      <c r="W175" s="564"/>
      <c r="X175" s="563" t="str">
        <f>'matrik MISI 5'!X13</f>
        <v>Dinas Kesehatan</v>
      </c>
      <c r="Y175" s="565" t="str">
        <f>'matrik MISI 5'!Y13</f>
        <v>Jumlah bayi yang memperoleh pelayanan kesehatan sesuai standar, pada kunjungan ke-1 ( 6-24 jam setelah lahir) di satu wilayah kerja pada kurun waktu tertentu / seluruh bayi lahir hidup di satu wilayah kerja pada kurun waktu yang sama x 100</v>
      </c>
      <c r="Z175" s="565">
        <f>'matrik MISI 5'!Z13</f>
        <v>0</v>
      </c>
    </row>
    <row r="176" spans="1:454" s="569" customFormat="1" ht="45">
      <c r="B176" s="267"/>
      <c r="C176" s="562"/>
      <c r="D176" s="563"/>
      <c r="E176" s="563"/>
      <c r="F176" s="563"/>
      <c r="G176" s="563"/>
      <c r="H176" s="563" t="str">
        <f>'matrik MISI 5'!N14</f>
        <v>Cakupan Pelayanan Anak Balita</v>
      </c>
      <c r="I176" s="563" t="str">
        <f>'matrik MISI 5'!O14</f>
        <v>%</v>
      </c>
      <c r="J176" s="563" t="str">
        <f>'matrik MISI 5'!P14</f>
        <v>89,84</v>
      </c>
      <c r="K176" s="563">
        <f>'matrik MISI 5'!Q14</f>
        <v>90</v>
      </c>
      <c r="L176" s="563">
        <f>'matrik MISI 5'!R14</f>
        <v>90</v>
      </c>
      <c r="M176" s="604"/>
      <c r="N176" s="563">
        <f>'matrik MISI 5'!S14</f>
        <v>90</v>
      </c>
      <c r="O176" s="564"/>
      <c r="P176" s="563">
        <f>'matrik MISI 5'!T14</f>
        <v>90</v>
      </c>
      <c r="Q176" s="564"/>
      <c r="R176" s="563">
        <f>'matrik MISI 5'!U14</f>
        <v>90</v>
      </c>
      <c r="S176" s="564"/>
      <c r="T176" s="563">
        <f>'matrik MISI 5'!V14</f>
        <v>90</v>
      </c>
      <c r="U176" s="564"/>
      <c r="V176" s="563">
        <f>'matrik MISI 5'!W14</f>
        <v>90</v>
      </c>
      <c r="W176" s="564"/>
      <c r="X176" s="563" t="str">
        <f>'matrik MISI 5'!X14</f>
        <v>Dinas Kesehatan</v>
      </c>
      <c r="Y176" s="565" t="str">
        <f>'matrik MISI 5'!Y14</f>
        <v>Jumlah anak balita (12-59 bulan) yang memperoleh pelayanan pemantauan pertumbuhan minimal 8 kali / Jumlah seluruh anak balita (12-59 bulan) x 100</v>
      </c>
      <c r="Z176" s="565">
        <f>'matrik MISI 5'!Z14</f>
        <v>0</v>
      </c>
    </row>
    <row r="177" spans="1:454" s="569" customFormat="1" ht="30">
      <c r="B177" s="267"/>
      <c r="C177" s="562"/>
      <c r="D177" s="563"/>
      <c r="E177" s="563"/>
      <c r="F177" s="563"/>
      <c r="G177" s="563"/>
      <c r="H177" s="563" t="str">
        <f>'matrik MISI 5'!N15</f>
        <v>Cakupan Neonatal dengan Komplikasi yang Ditangani</v>
      </c>
      <c r="I177" s="563" t="str">
        <f>'matrik MISI 5'!O15</f>
        <v>%</v>
      </c>
      <c r="J177" s="563" t="str">
        <f>'matrik MISI 5'!P15</f>
        <v>100</v>
      </c>
      <c r="K177" s="563">
        <f>'matrik MISI 5'!Q15</f>
        <v>100</v>
      </c>
      <c r="L177" s="563">
        <f>'matrik MISI 5'!R15</f>
        <v>65</v>
      </c>
      <c r="M177" s="604"/>
      <c r="N177" s="563">
        <f>'matrik MISI 5'!S15</f>
        <v>65</v>
      </c>
      <c r="O177" s="564"/>
      <c r="P177" s="563">
        <f>'matrik MISI 5'!T15</f>
        <v>65</v>
      </c>
      <c r="Q177" s="564"/>
      <c r="R177" s="563">
        <f>'matrik MISI 5'!U15</f>
        <v>65</v>
      </c>
      <c r="S177" s="564"/>
      <c r="T177" s="563">
        <f>'matrik MISI 5'!V15</f>
        <v>65</v>
      </c>
      <c r="U177" s="564"/>
      <c r="V177" s="563">
        <f>'matrik MISI 5'!W15</f>
        <v>65</v>
      </c>
      <c r="W177" s="564"/>
      <c r="X177" s="563" t="str">
        <f>'matrik MISI 5'!X15</f>
        <v>Dinas Kesehatan</v>
      </c>
      <c r="Y177" s="565" t="str">
        <f>'matrik MISI 5'!Y15</f>
        <v>Jumlah neonatus dengan komplikasi yang tertangani / Jumlah seluruh neonatus dengan komplikasi yang ada x 100</v>
      </c>
      <c r="Z177" s="565">
        <f>'matrik MISI 5'!Z15</f>
        <v>0</v>
      </c>
    </row>
    <row r="178" spans="1:454" s="569" customFormat="1">
      <c r="B178" s="267"/>
      <c r="C178" s="562"/>
      <c r="D178" s="563"/>
      <c r="E178" s="563"/>
      <c r="F178" s="563"/>
      <c r="G178" s="563"/>
      <c r="H178" s="563" t="str">
        <f>'matrik MISI 5'!N16</f>
        <v>Angka Kelangsungan Hidup Bayi</v>
      </c>
      <c r="I178" s="563" t="str">
        <f>'matrik MISI 5'!O16</f>
        <v>permil</v>
      </c>
      <c r="J178" s="563">
        <f>'matrik MISI 5'!P16</f>
        <v>0.98699999999999999</v>
      </c>
      <c r="K178" s="563">
        <f>'matrik MISI 5'!Q16</f>
        <v>0.98</v>
      </c>
      <c r="L178" s="563" t="str">
        <f>'matrik MISI 5'!R16</f>
        <v>0,980</v>
      </c>
      <c r="M178" s="604"/>
      <c r="N178" s="563" t="str">
        <f>'matrik MISI 5'!S16</f>
        <v>0,983</v>
      </c>
      <c r="O178" s="564"/>
      <c r="P178" s="563" t="str">
        <f>'matrik MISI 5'!T16</f>
        <v>0,986</v>
      </c>
      <c r="Q178" s="564"/>
      <c r="R178" s="563" t="str">
        <f>'matrik MISI 5'!U16</f>
        <v>0,989</v>
      </c>
      <c r="S178" s="564"/>
      <c r="T178" s="563" t="str">
        <f>'matrik MISI 5'!V16</f>
        <v>0,992</v>
      </c>
      <c r="U178" s="564"/>
      <c r="V178" s="563" t="str">
        <f>'matrik MISI 5'!W16</f>
        <v>0,992</v>
      </c>
      <c r="W178" s="564"/>
      <c r="X178" s="563" t="str">
        <f>'matrik MISI 5'!X16</f>
        <v>Dinas Kesehatan</v>
      </c>
      <c r="Y178" s="565" t="str">
        <f>'matrik MISI 5'!Y16</f>
        <v>1-angka kematian bayi per 1.000 kelahiran hidup</v>
      </c>
      <c r="Z178" s="565">
        <f>'matrik MISI 5'!Z16</f>
        <v>0</v>
      </c>
    </row>
    <row r="179" spans="1:454" s="569" customFormat="1" ht="45">
      <c r="B179" s="267"/>
      <c r="C179" s="562"/>
      <c r="D179" s="563"/>
      <c r="E179" s="563"/>
      <c r="F179" s="563"/>
      <c r="G179" s="563"/>
      <c r="H179" s="563" t="str">
        <f>'matrik MISI 5'!N17</f>
        <v>Angka Kematian Neonatal per 1.000 Kelahiran Hidup</v>
      </c>
      <c r="I179" s="563" t="str">
        <f>'matrik MISI 5'!O17</f>
        <v>permil</v>
      </c>
      <c r="J179" s="563">
        <f>'matrik MISI 5'!P17</f>
        <v>6</v>
      </c>
      <c r="K179" s="563">
        <f>'matrik MISI 5'!Q17</f>
        <v>9</v>
      </c>
      <c r="L179" s="563">
        <f>'matrik MISI 5'!R17</f>
        <v>8.5</v>
      </c>
      <c r="M179" s="604"/>
      <c r="N179" s="563">
        <f>'matrik MISI 5'!S17</f>
        <v>8.5</v>
      </c>
      <c r="O179" s="564"/>
      <c r="P179" s="563">
        <f>'matrik MISI 5'!T17</f>
        <v>7.3</v>
      </c>
      <c r="Q179" s="564"/>
      <c r="R179" s="563">
        <f>'matrik MISI 5'!U17</f>
        <v>7</v>
      </c>
      <c r="S179" s="564"/>
      <c r="T179" s="563">
        <f>'matrik MISI 5'!V17</f>
        <v>6.8</v>
      </c>
      <c r="U179" s="564"/>
      <c r="V179" s="563">
        <f>'matrik MISI 5'!W17</f>
        <v>6.8</v>
      </c>
      <c r="W179" s="564"/>
      <c r="X179" s="563" t="str">
        <f>'matrik MISI 5'!X17</f>
        <v>Dinas Kesehatan</v>
      </c>
      <c r="Y179" s="565" t="str">
        <f>'matrik MISI 5'!Y17</f>
        <v>Jumlah bayi (berumur 0-28 hari) yang meninggal di suatu wilayah pada kurun waktu tertentu / Jumlah kelahiran hidup di wilayah dan pada kurun waktu yang sama x 1.000</v>
      </c>
      <c r="Z179" s="565">
        <f>'matrik MISI 5'!Z17</f>
        <v>0</v>
      </c>
    </row>
    <row r="180" spans="1:454" s="569" customFormat="1" ht="45">
      <c r="B180" s="267"/>
      <c r="C180" s="562"/>
      <c r="D180" s="563"/>
      <c r="E180" s="563"/>
      <c r="F180" s="563"/>
      <c r="G180" s="563"/>
      <c r="H180" s="563" t="str">
        <f>'matrik MISI 5'!N18</f>
        <v>Angka Kematian Bayi per 1.000 Kelahiran Hidup</v>
      </c>
      <c r="I180" s="563" t="str">
        <f>'matrik MISI 5'!O18</f>
        <v>permil</v>
      </c>
      <c r="J180" s="563">
        <f>'matrik MISI 5'!P18</f>
        <v>12.21</v>
      </c>
      <c r="K180" s="563">
        <f>'matrik MISI 5'!Q18</f>
        <v>14.2</v>
      </c>
      <c r="L180" s="563">
        <f>'matrik MISI 5'!R18</f>
        <v>14.11</v>
      </c>
      <c r="M180" s="604"/>
      <c r="N180" s="563">
        <f>'matrik MISI 5'!S18</f>
        <v>14</v>
      </c>
      <c r="O180" s="564"/>
      <c r="P180" s="563">
        <f>'matrik MISI 5'!T18</f>
        <v>13</v>
      </c>
      <c r="Q180" s="564"/>
      <c r="R180" s="563">
        <f>'matrik MISI 5'!U18</f>
        <v>12</v>
      </c>
      <c r="S180" s="564"/>
      <c r="T180" s="563">
        <f>'matrik MISI 5'!V18</f>
        <v>11</v>
      </c>
      <c r="U180" s="564"/>
      <c r="V180" s="563">
        <f>'matrik MISI 5'!W18</f>
        <v>11</v>
      </c>
      <c r="W180" s="564"/>
      <c r="X180" s="563" t="str">
        <f>'matrik MISI 5'!X18</f>
        <v>Dinas Kesehatan</v>
      </c>
      <c r="Y180" s="565" t="str">
        <f>'matrik MISI 5'!Y18</f>
        <v>Jumlah bayi (berumur &lt; 1tahun) yang meninggal di suatu wilayah pada kurun waktu tertentu / Jumlah kelahiran hidup di wilayah dan pada kurun waktu yang sama x 1.000</v>
      </c>
      <c r="Z180" s="565">
        <f>'matrik MISI 5'!Z18</f>
        <v>0</v>
      </c>
    </row>
    <row r="181" spans="1:454" ht="45">
      <c r="G181" s="563"/>
      <c r="H181" s="563" t="str">
        <f>'matrik MISI 5'!N19</f>
        <v>Angka Kematian Balita per 1.000 Kelahiran Hidup</v>
      </c>
      <c r="I181" s="563" t="str">
        <f>'matrik MISI 5'!O19</f>
        <v>permil</v>
      </c>
      <c r="J181" s="563">
        <f>'matrik MISI 5'!P19</f>
        <v>13</v>
      </c>
      <c r="K181" s="563">
        <f>'matrik MISI 5'!Q19</f>
        <v>15.5</v>
      </c>
      <c r="L181" s="563">
        <f>'matrik MISI 5'!R19</f>
        <v>15.2</v>
      </c>
      <c r="M181" s="604"/>
      <c r="N181" s="563">
        <f>'matrik MISI 5'!S19</f>
        <v>14.7</v>
      </c>
      <c r="O181" s="564"/>
      <c r="P181" s="563">
        <f>'matrik MISI 5'!T19</f>
        <v>14.5</v>
      </c>
      <c r="Q181" s="564"/>
      <c r="R181" s="563">
        <f>'matrik MISI 5'!U19</f>
        <v>14</v>
      </c>
      <c r="S181" s="564"/>
      <c r="T181" s="563">
        <f>'matrik MISI 5'!V19</f>
        <v>13.8</v>
      </c>
      <c r="U181" s="564"/>
      <c r="V181" s="563">
        <f>'matrik MISI 5'!W19</f>
        <v>13.8</v>
      </c>
      <c r="W181" s="564"/>
      <c r="X181" s="563" t="str">
        <f>'matrik MISI 5'!X19</f>
        <v>Dinas Kesehatan</v>
      </c>
      <c r="Y181" s="565" t="str">
        <f>'matrik MISI 5'!Y19</f>
        <v>Jumlah anak berumur &lt; 5 tahun yang meninggal di suatu wilayah pada kurun waktu tertentu / Jumlah kelahiran hidup di wilayah dan pada kurun waktu yang sama x 1.000</v>
      </c>
      <c r="Z181" s="565">
        <f>'matrik MISI 5'!Z19</f>
        <v>0</v>
      </c>
    </row>
    <row r="182" spans="1:454" ht="60">
      <c r="G182" s="563"/>
      <c r="H182" s="563" t="str">
        <f>'matrik MISI 5'!N20</f>
        <v>Cakupan Layanan Kesehatan Peserta Aktif KB</v>
      </c>
      <c r="I182" s="563" t="str">
        <f>'matrik MISI 5'!O20</f>
        <v>%</v>
      </c>
      <c r="J182" s="563" t="str">
        <f>'matrik MISI 5'!P20</f>
        <v>85,98</v>
      </c>
      <c r="K182" s="563">
        <f>'matrik MISI 5'!Q20</f>
        <v>86</v>
      </c>
      <c r="L182" s="563">
        <f>'matrik MISI 5'!R20</f>
        <v>80</v>
      </c>
      <c r="M182" s="604"/>
      <c r="N182" s="563">
        <f>'matrik MISI 5'!S20</f>
        <v>80</v>
      </c>
      <c r="O182" s="564"/>
      <c r="P182" s="563">
        <f>'matrik MISI 5'!T20</f>
        <v>80</v>
      </c>
      <c r="Q182" s="564"/>
      <c r="R182" s="563">
        <f>'matrik MISI 5'!U20</f>
        <v>80</v>
      </c>
      <c r="S182" s="564"/>
      <c r="T182" s="563">
        <f>'matrik MISI 5'!V20</f>
        <v>80</v>
      </c>
      <c r="U182" s="564"/>
      <c r="V182" s="563">
        <f>'matrik MISI 5'!W20</f>
        <v>80</v>
      </c>
      <c r="W182" s="564"/>
      <c r="X182" s="563" t="str">
        <f>'matrik MISI 5'!X20</f>
        <v>Dinas Kesehatan</v>
      </c>
      <c r="Y182" s="565" t="str">
        <f>'matrik MISI 5'!Y20</f>
        <v>Jumlah Pasangan Usia Subur (PUS) yang memperoleh pelayanan kontrasepsi sesuai standar di suatu wilayah kerja pada kurun waktu tertentu / Jumlah seluruh PUS di suatu wilayah kerja pada kurun waktu yang sama  x 100</v>
      </c>
      <c r="Z182" s="565">
        <f>'matrik MISI 5'!Z20</f>
        <v>0</v>
      </c>
    </row>
    <row r="183" spans="1:454" s="574" customFormat="1" ht="45">
      <c r="A183" s="569"/>
      <c r="B183" s="575"/>
      <c r="C183" s="576"/>
      <c r="D183" s="577">
        <f>'matrik MISI 5'!J21</f>
        <v>1.02</v>
      </c>
      <c r="E183" s="577" t="str">
        <f>'matrik MISI 5'!K21</f>
        <v>xx</v>
      </c>
      <c r="F183" s="577">
        <f>'matrik MISI 5'!L21</f>
        <v>24</v>
      </c>
      <c r="G183" s="577" t="str">
        <f>'matrik MISI 5'!M21</f>
        <v>Program Pelayanan Kesehatan Penduduk Miskin</v>
      </c>
      <c r="H183" s="577"/>
      <c r="I183" s="577"/>
      <c r="J183" s="577"/>
      <c r="K183" s="577"/>
      <c r="L183" s="577"/>
      <c r="M183" s="578">
        <f>'jangan di hapus 1'!K374</f>
        <v>4665000000</v>
      </c>
      <c r="N183" s="578"/>
      <c r="O183" s="578">
        <f>'jangan di hapus 1'!M374</f>
        <v>4859979670.25</v>
      </c>
      <c r="P183" s="578"/>
      <c r="Q183" s="578">
        <f>'jangan di hapus 1'!O374</f>
        <v>5021501670.25</v>
      </c>
      <c r="R183" s="578"/>
      <c r="S183" s="578">
        <f>'jangan di hapus 1'!Q374</f>
        <v>5071501670.25</v>
      </c>
      <c r="T183" s="578"/>
      <c r="U183" s="578">
        <f>'jangan di hapus 1'!S374</f>
        <v>5121501670.25</v>
      </c>
      <c r="V183" s="577"/>
      <c r="W183" s="578">
        <f>SUM(M183:U183)</f>
        <v>24739484681</v>
      </c>
      <c r="X183" s="577"/>
      <c r="Y183" s="577"/>
      <c r="Z183" s="577"/>
      <c r="AA183" s="569"/>
      <c r="AB183" s="569"/>
      <c r="AC183" s="569"/>
      <c r="AD183" s="569"/>
      <c r="AE183" s="569"/>
      <c r="AF183" s="569"/>
      <c r="AG183" s="569"/>
      <c r="AH183" s="569"/>
      <c r="AI183" s="569"/>
      <c r="AJ183" s="569"/>
      <c r="AK183" s="569"/>
      <c r="AL183" s="569"/>
      <c r="AM183" s="569"/>
      <c r="AN183" s="569"/>
      <c r="AO183" s="569"/>
      <c r="AP183" s="569"/>
      <c r="AQ183" s="569"/>
      <c r="AR183" s="569"/>
      <c r="AS183" s="569"/>
      <c r="AT183" s="569"/>
      <c r="AU183" s="569"/>
      <c r="AV183" s="569"/>
      <c r="AW183" s="569"/>
      <c r="AX183" s="569"/>
      <c r="AY183" s="569"/>
      <c r="AZ183" s="569"/>
      <c r="BA183" s="569"/>
      <c r="BB183" s="569"/>
      <c r="BC183" s="569"/>
      <c r="BD183" s="569"/>
      <c r="BE183" s="569"/>
      <c r="BF183" s="569"/>
      <c r="BG183" s="569"/>
      <c r="BH183" s="569"/>
      <c r="BI183" s="569"/>
      <c r="BJ183" s="569"/>
      <c r="BK183" s="569"/>
      <c r="BL183" s="569"/>
      <c r="BM183" s="569"/>
      <c r="BN183" s="569"/>
      <c r="BO183" s="569"/>
      <c r="BP183" s="569"/>
      <c r="BQ183" s="569"/>
      <c r="BR183" s="569"/>
      <c r="BS183" s="569"/>
      <c r="BT183" s="569"/>
      <c r="BU183" s="569"/>
      <c r="BV183" s="569"/>
      <c r="BW183" s="569"/>
      <c r="BX183" s="569"/>
      <c r="BY183" s="569"/>
      <c r="BZ183" s="569"/>
      <c r="CA183" s="569"/>
      <c r="CB183" s="569"/>
      <c r="CC183" s="569"/>
      <c r="CD183" s="569"/>
      <c r="CE183" s="569"/>
      <c r="CF183" s="569"/>
      <c r="CG183" s="569"/>
      <c r="CH183" s="569"/>
      <c r="CI183" s="569"/>
      <c r="CJ183" s="569"/>
      <c r="CK183" s="569"/>
      <c r="CL183" s="569"/>
      <c r="CM183" s="569"/>
      <c r="CN183" s="569"/>
      <c r="CO183" s="569"/>
      <c r="CP183" s="569"/>
      <c r="CQ183" s="569"/>
      <c r="CR183" s="569"/>
      <c r="CS183" s="569"/>
      <c r="CT183" s="569"/>
      <c r="CU183" s="569"/>
      <c r="CV183" s="569"/>
      <c r="CW183" s="569"/>
      <c r="CX183" s="569"/>
      <c r="CY183" s="569"/>
      <c r="CZ183" s="569"/>
      <c r="DA183" s="569"/>
      <c r="DB183" s="569"/>
      <c r="DC183" s="569"/>
      <c r="DD183" s="569"/>
      <c r="DE183" s="569"/>
      <c r="DF183" s="569"/>
      <c r="DG183" s="569"/>
      <c r="DH183" s="569"/>
      <c r="DI183" s="569"/>
      <c r="DJ183" s="569"/>
      <c r="DK183" s="569"/>
      <c r="DL183" s="569"/>
      <c r="DM183" s="569"/>
      <c r="DN183" s="569"/>
      <c r="DO183" s="569"/>
      <c r="DP183" s="569"/>
      <c r="DQ183" s="569"/>
      <c r="DR183" s="569"/>
      <c r="DS183" s="569"/>
      <c r="DT183" s="569"/>
      <c r="DU183" s="569"/>
      <c r="DV183" s="569"/>
      <c r="DW183" s="569"/>
      <c r="DX183" s="569"/>
      <c r="DY183" s="569"/>
      <c r="DZ183" s="569"/>
      <c r="EA183" s="569"/>
      <c r="EB183" s="569"/>
      <c r="EC183" s="569"/>
      <c r="ED183" s="569"/>
      <c r="EE183" s="569"/>
      <c r="EF183" s="569"/>
      <c r="EG183" s="569"/>
      <c r="EH183" s="569"/>
      <c r="EI183" s="569"/>
      <c r="EJ183" s="569"/>
      <c r="EK183" s="569"/>
      <c r="EL183" s="569"/>
      <c r="EM183" s="569"/>
      <c r="EN183" s="569"/>
      <c r="EO183" s="569"/>
      <c r="EP183" s="569"/>
      <c r="EQ183" s="569"/>
      <c r="ER183" s="569"/>
      <c r="ES183" s="569"/>
      <c r="ET183" s="569"/>
      <c r="EU183" s="569"/>
      <c r="EV183" s="569"/>
      <c r="EW183" s="569"/>
      <c r="EX183" s="569"/>
      <c r="EY183" s="569"/>
      <c r="EZ183" s="569"/>
      <c r="FA183" s="569"/>
      <c r="FB183" s="569"/>
      <c r="FC183" s="569"/>
      <c r="FD183" s="569"/>
      <c r="FE183" s="569"/>
      <c r="FF183" s="569"/>
      <c r="FG183" s="569"/>
      <c r="FH183" s="569"/>
      <c r="FI183" s="569"/>
      <c r="FJ183" s="569"/>
      <c r="FK183" s="569"/>
      <c r="FL183" s="569"/>
      <c r="FM183" s="569"/>
      <c r="FN183" s="569"/>
      <c r="FO183" s="569"/>
      <c r="FP183" s="569"/>
      <c r="FQ183" s="569"/>
      <c r="FR183" s="569"/>
      <c r="FS183" s="569"/>
      <c r="FT183" s="569"/>
      <c r="FU183" s="569"/>
      <c r="FV183" s="569"/>
      <c r="FW183" s="569"/>
      <c r="FX183" s="569"/>
      <c r="FY183" s="569"/>
      <c r="FZ183" s="569"/>
      <c r="GA183" s="569"/>
      <c r="GB183" s="569"/>
      <c r="GC183" s="569"/>
      <c r="GD183" s="569"/>
      <c r="GE183" s="569"/>
      <c r="GF183" s="569"/>
      <c r="GG183" s="569"/>
      <c r="GH183" s="569"/>
      <c r="GI183" s="569"/>
      <c r="GJ183" s="569"/>
      <c r="GK183" s="569"/>
      <c r="GL183" s="569"/>
      <c r="GM183" s="569"/>
      <c r="GN183" s="569"/>
      <c r="GO183" s="569"/>
      <c r="GP183" s="569"/>
      <c r="GQ183" s="569"/>
      <c r="GR183" s="569"/>
      <c r="GS183" s="569"/>
      <c r="GT183" s="569"/>
      <c r="GU183" s="569"/>
      <c r="GV183" s="569"/>
      <c r="GW183" s="569"/>
      <c r="GX183" s="569"/>
      <c r="GY183" s="569"/>
      <c r="GZ183" s="569"/>
      <c r="HA183" s="569"/>
      <c r="HB183" s="569"/>
      <c r="HC183" s="569"/>
      <c r="HD183" s="569"/>
      <c r="HE183" s="569"/>
      <c r="HF183" s="569"/>
      <c r="HG183" s="569"/>
      <c r="HH183" s="569"/>
      <c r="HI183" s="569"/>
      <c r="HJ183" s="569"/>
      <c r="HK183" s="569"/>
      <c r="HL183" s="569"/>
      <c r="HM183" s="569"/>
      <c r="HN183" s="569"/>
      <c r="HO183" s="569"/>
      <c r="HP183" s="569"/>
      <c r="HQ183" s="569"/>
      <c r="HR183" s="569"/>
      <c r="HS183" s="569"/>
      <c r="HT183" s="569"/>
      <c r="HU183" s="569"/>
      <c r="HV183" s="569"/>
      <c r="HW183" s="569"/>
      <c r="HX183" s="569"/>
      <c r="HY183" s="569"/>
      <c r="HZ183" s="569"/>
      <c r="IA183" s="569"/>
      <c r="IB183" s="569"/>
      <c r="IC183" s="569"/>
      <c r="ID183" s="569"/>
      <c r="IE183" s="569"/>
      <c r="IF183" s="569"/>
      <c r="IG183" s="569"/>
      <c r="IH183" s="569"/>
      <c r="II183" s="569"/>
      <c r="IJ183" s="569"/>
      <c r="IK183" s="569"/>
      <c r="IL183" s="569"/>
      <c r="IM183" s="569"/>
      <c r="IN183" s="569"/>
      <c r="IO183" s="569"/>
      <c r="IP183" s="569"/>
      <c r="IQ183" s="569"/>
      <c r="IR183" s="569"/>
      <c r="IS183" s="569"/>
      <c r="IT183" s="569"/>
      <c r="IU183" s="569"/>
      <c r="IV183" s="569"/>
      <c r="IW183" s="569"/>
      <c r="IX183" s="569"/>
      <c r="IY183" s="569"/>
      <c r="IZ183" s="569"/>
      <c r="JA183" s="569"/>
      <c r="JB183" s="569"/>
      <c r="JC183" s="569"/>
      <c r="JD183" s="569"/>
      <c r="JE183" s="569"/>
      <c r="JF183" s="569"/>
      <c r="JG183" s="569"/>
      <c r="JH183" s="569"/>
      <c r="JI183" s="569"/>
      <c r="JJ183" s="569"/>
      <c r="JK183" s="569"/>
      <c r="JL183" s="569"/>
      <c r="JM183" s="569"/>
      <c r="JN183" s="569"/>
      <c r="JO183" s="569"/>
      <c r="JP183" s="569"/>
      <c r="JQ183" s="569"/>
      <c r="JR183" s="569"/>
      <c r="JS183" s="569"/>
      <c r="JT183" s="569"/>
      <c r="JU183" s="569"/>
      <c r="JV183" s="569"/>
      <c r="JW183" s="569"/>
      <c r="JX183" s="569"/>
      <c r="JY183" s="569"/>
      <c r="JZ183" s="569"/>
      <c r="KA183" s="569"/>
      <c r="KB183" s="569"/>
      <c r="KC183" s="569"/>
      <c r="KD183" s="569"/>
      <c r="KE183" s="569"/>
      <c r="KF183" s="569"/>
      <c r="KG183" s="569"/>
      <c r="KH183" s="569"/>
      <c r="KI183" s="569"/>
      <c r="KJ183" s="569"/>
      <c r="KK183" s="569"/>
      <c r="KL183" s="569"/>
      <c r="KM183" s="569"/>
      <c r="KN183" s="569"/>
      <c r="KO183" s="569"/>
      <c r="KP183" s="569"/>
      <c r="KQ183" s="569"/>
      <c r="KR183" s="569"/>
      <c r="KS183" s="569"/>
      <c r="KT183" s="569"/>
      <c r="KU183" s="569"/>
      <c r="KV183" s="569"/>
      <c r="KW183" s="569"/>
      <c r="KX183" s="569"/>
      <c r="KY183" s="569"/>
      <c r="KZ183" s="569"/>
      <c r="LA183" s="569"/>
      <c r="LB183" s="569"/>
      <c r="LC183" s="569"/>
      <c r="LD183" s="569"/>
      <c r="LE183" s="569"/>
      <c r="LF183" s="569"/>
      <c r="LG183" s="569"/>
      <c r="LH183" s="569"/>
      <c r="LI183" s="569"/>
      <c r="LJ183" s="569"/>
      <c r="LK183" s="569"/>
      <c r="LL183" s="569"/>
      <c r="LM183" s="569"/>
      <c r="LN183" s="569"/>
      <c r="LO183" s="569"/>
      <c r="LP183" s="569"/>
      <c r="LQ183" s="569"/>
      <c r="LR183" s="569"/>
      <c r="LS183" s="569"/>
      <c r="LT183" s="569"/>
      <c r="LU183" s="569"/>
      <c r="LV183" s="569"/>
      <c r="LW183" s="569"/>
      <c r="LX183" s="569"/>
      <c r="LY183" s="569"/>
      <c r="LZ183" s="569"/>
      <c r="MA183" s="569"/>
      <c r="MB183" s="569"/>
      <c r="MC183" s="569"/>
      <c r="MD183" s="569"/>
      <c r="ME183" s="569"/>
      <c r="MF183" s="569"/>
      <c r="MG183" s="569"/>
      <c r="MH183" s="569"/>
      <c r="MI183" s="569"/>
      <c r="MJ183" s="569"/>
      <c r="MK183" s="569"/>
      <c r="ML183" s="569"/>
      <c r="MM183" s="569"/>
      <c r="MN183" s="569"/>
      <c r="MO183" s="569"/>
      <c r="MP183" s="569"/>
      <c r="MQ183" s="569"/>
      <c r="MR183" s="569"/>
      <c r="MS183" s="569"/>
      <c r="MT183" s="569"/>
      <c r="MU183" s="569"/>
      <c r="MV183" s="569"/>
      <c r="MW183" s="569"/>
      <c r="MX183" s="569"/>
      <c r="MY183" s="569"/>
      <c r="MZ183" s="569"/>
      <c r="NA183" s="569"/>
      <c r="NB183" s="569"/>
      <c r="NC183" s="569"/>
      <c r="ND183" s="569"/>
      <c r="NE183" s="569"/>
      <c r="NF183" s="569"/>
      <c r="NG183" s="569"/>
      <c r="NH183" s="569"/>
      <c r="NI183" s="569"/>
      <c r="NJ183" s="569"/>
      <c r="NK183" s="569"/>
      <c r="NL183" s="569"/>
      <c r="NM183" s="569"/>
      <c r="NN183" s="569"/>
      <c r="NO183" s="569"/>
      <c r="NP183" s="569"/>
      <c r="NQ183" s="569"/>
      <c r="NR183" s="569"/>
      <c r="NS183" s="569"/>
      <c r="NT183" s="569"/>
      <c r="NU183" s="569"/>
      <c r="NV183" s="569"/>
      <c r="NW183" s="569"/>
      <c r="NX183" s="569"/>
      <c r="NY183" s="569"/>
      <c r="NZ183" s="569"/>
      <c r="OA183" s="569"/>
      <c r="OB183" s="569"/>
      <c r="OC183" s="569"/>
      <c r="OD183" s="569"/>
      <c r="OE183" s="569"/>
      <c r="OF183" s="569"/>
      <c r="OG183" s="569"/>
      <c r="OH183" s="569"/>
      <c r="OI183" s="569"/>
      <c r="OJ183" s="569"/>
      <c r="OK183" s="569"/>
      <c r="OL183" s="569"/>
      <c r="OM183" s="569"/>
      <c r="ON183" s="569"/>
      <c r="OO183" s="569"/>
      <c r="OP183" s="569"/>
      <c r="OQ183" s="569"/>
      <c r="OR183" s="569"/>
      <c r="OS183" s="569"/>
      <c r="OT183" s="569"/>
      <c r="OU183" s="569"/>
      <c r="OV183" s="569"/>
      <c r="OW183" s="569"/>
      <c r="OX183" s="569"/>
      <c r="OY183" s="569"/>
      <c r="OZ183" s="569"/>
      <c r="PA183" s="569"/>
      <c r="PB183" s="569"/>
      <c r="PC183" s="569"/>
      <c r="PD183" s="569"/>
      <c r="PE183" s="569"/>
      <c r="PF183" s="569"/>
      <c r="PG183" s="569"/>
      <c r="PH183" s="569"/>
      <c r="PI183" s="569"/>
      <c r="PJ183" s="569"/>
      <c r="PK183" s="569"/>
      <c r="PL183" s="569"/>
      <c r="PM183" s="569"/>
      <c r="PN183" s="569"/>
      <c r="PO183" s="569"/>
      <c r="PP183" s="569"/>
      <c r="PQ183" s="569"/>
      <c r="PR183" s="569"/>
      <c r="PS183" s="569"/>
      <c r="PT183" s="569"/>
      <c r="PU183" s="569"/>
      <c r="PV183" s="569"/>
      <c r="PW183" s="569"/>
      <c r="PX183" s="569"/>
      <c r="PY183" s="569"/>
      <c r="PZ183" s="569"/>
      <c r="QA183" s="569"/>
      <c r="QB183" s="569"/>
      <c r="QC183" s="569"/>
      <c r="QD183" s="569"/>
      <c r="QE183" s="569"/>
      <c r="QF183" s="569"/>
      <c r="QG183" s="569"/>
      <c r="QH183" s="569"/>
      <c r="QI183" s="569"/>
      <c r="QJ183" s="569"/>
      <c r="QK183" s="569"/>
      <c r="QL183" s="569"/>
    </row>
    <row r="184" spans="1:454" ht="30">
      <c r="D184" s="568"/>
      <c r="E184" s="568"/>
      <c r="F184" s="568"/>
      <c r="G184" s="568"/>
      <c r="H184" s="563" t="str">
        <f>'matrik MISI 5'!N21</f>
        <v>Cakupan Pelayanan Kesehatan Dasar Masyarakat Miskin</v>
      </c>
      <c r="I184" s="563" t="str">
        <f>'matrik MISI 5'!O21</f>
        <v>%</v>
      </c>
      <c r="J184" s="563" t="str">
        <f>'matrik MISI 5'!P21</f>
        <v>67,23</v>
      </c>
      <c r="K184" s="563">
        <f>'matrik MISI 5'!Q21</f>
        <v>100</v>
      </c>
      <c r="L184" s="563">
        <f>'matrik MISI 5'!R21</f>
        <v>100</v>
      </c>
      <c r="M184" s="604"/>
      <c r="N184" s="563">
        <f>'matrik MISI 5'!S21</f>
        <v>100</v>
      </c>
      <c r="O184" s="564"/>
      <c r="P184" s="563">
        <f>'matrik MISI 5'!T21</f>
        <v>100</v>
      </c>
      <c r="Q184" s="564"/>
      <c r="R184" s="563">
        <f>'matrik MISI 5'!U21</f>
        <v>100</v>
      </c>
      <c r="S184" s="564"/>
      <c r="T184" s="563">
        <f>'matrik MISI 5'!V21</f>
        <v>100</v>
      </c>
      <c r="U184" s="564"/>
      <c r="V184" s="563">
        <f>'matrik MISI 5'!W21</f>
        <v>100</v>
      </c>
      <c r="W184" s="564"/>
      <c r="X184" s="563" t="str">
        <f>'matrik MISI 5'!X21</f>
        <v>Dinas Kesehatan</v>
      </c>
      <c r="Y184" s="565" t="str">
        <f>'matrik MISI 5'!Y21</f>
        <v>Jumlah kunjungan pasien maskin di Sarkes strata 1 selama satu tahun (lama dan baru) / Jumlah seluruh masyarakat miskin sakit x 100</v>
      </c>
      <c r="Z184" s="565">
        <f>'matrik MISI 5'!Z21</f>
        <v>0</v>
      </c>
    </row>
    <row r="185" spans="1:454" ht="45">
      <c r="G185" s="563"/>
      <c r="H185" s="563" t="str">
        <f>'matrik MISI 5'!N22</f>
        <v>Pelayanan kesehatan penduduk miskin di RSUD</v>
      </c>
      <c r="I185" s="563" t="str">
        <f>'matrik MISI 5'!O22</f>
        <v>%</v>
      </c>
      <c r="J185" s="563">
        <f>'matrik MISI 5'!P22</f>
        <v>130.63999999999999</v>
      </c>
      <c r="K185" s="563">
        <f>'matrik MISI 5'!Q22</f>
        <v>100</v>
      </c>
      <c r="L185" s="563">
        <f>'matrik MISI 5'!R22</f>
        <v>100</v>
      </c>
      <c r="M185" s="604"/>
      <c r="N185" s="563">
        <f>'matrik MISI 5'!S22</f>
        <v>100</v>
      </c>
      <c r="O185" s="564"/>
      <c r="P185" s="563">
        <f>'matrik MISI 5'!T22</f>
        <v>100</v>
      </c>
      <c r="Q185" s="564"/>
      <c r="R185" s="563">
        <f>'matrik MISI 5'!U22</f>
        <v>100</v>
      </c>
      <c r="S185" s="564"/>
      <c r="T185" s="563">
        <f>'matrik MISI 5'!V22</f>
        <v>100</v>
      </c>
      <c r="U185" s="564"/>
      <c r="V185" s="563">
        <f>'matrik MISI 5'!W22</f>
        <v>100</v>
      </c>
      <c r="W185" s="564"/>
      <c r="X185" s="563" t="str">
        <f>'matrik MISI 5'!X22</f>
        <v xml:space="preserve">RSUD </v>
      </c>
      <c r="Y185" s="565" t="str">
        <f>'matrik MISI 5'!Y22</f>
        <v>Jumlah kunjungan pasien penduduk miskin yang dilayani Jaminan Kesehatan Temanggung (JKT) selama satu tahun (lama dan baru) / Jumlah seluruh penduduk miskin sakit yang tidak ditanggung Jamkesmas x 100</v>
      </c>
      <c r="Z185" s="565">
        <f>'matrik MISI 5'!Z22</f>
        <v>0</v>
      </c>
    </row>
    <row r="186" spans="1:454" s="574" customFormat="1" ht="45">
      <c r="A186" s="569"/>
      <c r="B186" s="575"/>
      <c r="C186" s="576"/>
      <c r="D186" s="577">
        <f>'matrik MISI 5'!J23</f>
        <v>1.02</v>
      </c>
      <c r="E186" s="577" t="str">
        <f>'matrik MISI 5'!K23</f>
        <v>xx</v>
      </c>
      <c r="F186" s="577">
        <f>'matrik MISI 5'!L23</f>
        <v>28</v>
      </c>
      <c r="G186" s="577" t="str">
        <f>'matrik MISI 5'!M23</f>
        <v>Program kemitraan peningkatan pelayanan kesehatan</v>
      </c>
      <c r="H186" s="577"/>
      <c r="I186" s="577"/>
      <c r="J186" s="577"/>
      <c r="K186" s="577"/>
      <c r="L186" s="577"/>
      <c r="M186" s="578">
        <f>'jangan di hapus 1'!K402</f>
        <v>9640000</v>
      </c>
      <c r="N186" s="578">
        <f>'jangan di hapus 1'!L402</f>
        <v>0</v>
      </c>
      <c r="O186" s="578">
        <f>'jangan di hapus 1'!M402</f>
        <v>13000000</v>
      </c>
      <c r="P186" s="578">
        <f>'jangan di hapus 1'!N402</f>
        <v>0</v>
      </c>
      <c r="Q186" s="578">
        <f>'jangan di hapus 1'!O402</f>
        <v>25000000</v>
      </c>
      <c r="R186" s="578">
        <f>'jangan di hapus 1'!P402</f>
        <v>0</v>
      </c>
      <c r="S186" s="578">
        <f>'jangan di hapus 1'!Q402</f>
        <v>30000000</v>
      </c>
      <c r="T186" s="578">
        <f>'jangan di hapus 1'!R402</f>
        <v>0</v>
      </c>
      <c r="U186" s="578">
        <f>'jangan di hapus 1'!S402</f>
        <v>35000000</v>
      </c>
      <c r="V186" s="577"/>
      <c r="W186" s="578">
        <f>SUM(M186:U186)</f>
        <v>112640000</v>
      </c>
      <c r="X186" s="577"/>
      <c r="Y186" s="577"/>
      <c r="Z186" s="577"/>
      <c r="AA186" s="569"/>
      <c r="AB186" s="569"/>
      <c r="AC186" s="569"/>
      <c r="AD186" s="569"/>
      <c r="AE186" s="569"/>
      <c r="AF186" s="569"/>
      <c r="AG186" s="569"/>
      <c r="AH186" s="569"/>
      <c r="AI186" s="569"/>
      <c r="AJ186" s="569"/>
      <c r="AK186" s="569"/>
      <c r="AL186" s="569"/>
      <c r="AM186" s="569"/>
      <c r="AN186" s="569"/>
      <c r="AO186" s="569"/>
      <c r="AP186" s="569"/>
      <c r="AQ186" s="569"/>
      <c r="AR186" s="569"/>
      <c r="AS186" s="569"/>
      <c r="AT186" s="569"/>
      <c r="AU186" s="569"/>
      <c r="AV186" s="569"/>
      <c r="AW186" s="569"/>
      <c r="AX186" s="569"/>
      <c r="AY186" s="569"/>
      <c r="AZ186" s="569"/>
      <c r="BA186" s="569"/>
      <c r="BB186" s="569"/>
      <c r="BC186" s="569"/>
      <c r="BD186" s="569"/>
      <c r="BE186" s="569"/>
      <c r="BF186" s="569"/>
      <c r="BG186" s="569"/>
      <c r="BH186" s="569"/>
      <c r="BI186" s="569"/>
      <c r="BJ186" s="569"/>
      <c r="BK186" s="569"/>
      <c r="BL186" s="569"/>
      <c r="BM186" s="569"/>
      <c r="BN186" s="569"/>
      <c r="BO186" s="569"/>
      <c r="BP186" s="569"/>
      <c r="BQ186" s="569"/>
      <c r="BR186" s="569"/>
      <c r="BS186" s="569"/>
      <c r="BT186" s="569"/>
      <c r="BU186" s="569"/>
      <c r="BV186" s="569"/>
      <c r="BW186" s="569"/>
      <c r="BX186" s="569"/>
      <c r="BY186" s="569"/>
      <c r="BZ186" s="569"/>
      <c r="CA186" s="569"/>
      <c r="CB186" s="569"/>
      <c r="CC186" s="569"/>
      <c r="CD186" s="569"/>
      <c r="CE186" s="569"/>
      <c r="CF186" s="569"/>
      <c r="CG186" s="569"/>
      <c r="CH186" s="569"/>
      <c r="CI186" s="569"/>
      <c r="CJ186" s="569"/>
      <c r="CK186" s="569"/>
      <c r="CL186" s="569"/>
      <c r="CM186" s="569"/>
      <c r="CN186" s="569"/>
      <c r="CO186" s="569"/>
      <c r="CP186" s="569"/>
      <c r="CQ186" s="569"/>
      <c r="CR186" s="569"/>
      <c r="CS186" s="569"/>
      <c r="CT186" s="569"/>
      <c r="CU186" s="569"/>
      <c r="CV186" s="569"/>
      <c r="CW186" s="569"/>
      <c r="CX186" s="569"/>
      <c r="CY186" s="569"/>
      <c r="CZ186" s="569"/>
      <c r="DA186" s="569"/>
      <c r="DB186" s="569"/>
      <c r="DC186" s="569"/>
      <c r="DD186" s="569"/>
      <c r="DE186" s="569"/>
      <c r="DF186" s="569"/>
      <c r="DG186" s="569"/>
      <c r="DH186" s="569"/>
      <c r="DI186" s="569"/>
      <c r="DJ186" s="569"/>
      <c r="DK186" s="569"/>
      <c r="DL186" s="569"/>
      <c r="DM186" s="569"/>
      <c r="DN186" s="569"/>
      <c r="DO186" s="569"/>
      <c r="DP186" s="569"/>
      <c r="DQ186" s="569"/>
      <c r="DR186" s="569"/>
      <c r="DS186" s="569"/>
      <c r="DT186" s="569"/>
      <c r="DU186" s="569"/>
      <c r="DV186" s="569"/>
      <c r="DW186" s="569"/>
      <c r="DX186" s="569"/>
      <c r="DY186" s="569"/>
      <c r="DZ186" s="569"/>
      <c r="EA186" s="569"/>
      <c r="EB186" s="569"/>
      <c r="EC186" s="569"/>
      <c r="ED186" s="569"/>
      <c r="EE186" s="569"/>
      <c r="EF186" s="569"/>
      <c r="EG186" s="569"/>
      <c r="EH186" s="569"/>
      <c r="EI186" s="569"/>
      <c r="EJ186" s="569"/>
      <c r="EK186" s="569"/>
      <c r="EL186" s="569"/>
      <c r="EM186" s="569"/>
      <c r="EN186" s="569"/>
      <c r="EO186" s="569"/>
      <c r="EP186" s="569"/>
      <c r="EQ186" s="569"/>
      <c r="ER186" s="569"/>
      <c r="ES186" s="569"/>
      <c r="ET186" s="569"/>
      <c r="EU186" s="569"/>
      <c r="EV186" s="569"/>
      <c r="EW186" s="569"/>
      <c r="EX186" s="569"/>
      <c r="EY186" s="569"/>
      <c r="EZ186" s="569"/>
      <c r="FA186" s="569"/>
      <c r="FB186" s="569"/>
      <c r="FC186" s="569"/>
      <c r="FD186" s="569"/>
      <c r="FE186" s="569"/>
      <c r="FF186" s="569"/>
      <c r="FG186" s="569"/>
      <c r="FH186" s="569"/>
      <c r="FI186" s="569"/>
      <c r="FJ186" s="569"/>
      <c r="FK186" s="569"/>
      <c r="FL186" s="569"/>
      <c r="FM186" s="569"/>
      <c r="FN186" s="569"/>
      <c r="FO186" s="569"/>
      <c r="FP186" s="569"/>
      <c r="FQ186" s="569"/>
      <c r="FR186" s="569"/>
      <c r="FS186" s="569"/>
      <c r="FT186" s="569"/>
      <c r="FU186" s="569"/>
      <c r="FV186" s="569"/>
      <c r="FW186" s="569"/>
      <c r="FX186" s="569"/>
      <c r="FY186" s="569"/>
      <c r="FZ186" s="569"/>
      <c r="GA186" s="569"/>
      <c r="GB186" s="569"/>
      <c r="GC186" s="569"/>
      <c r="GD186" s="569"/>
      <c r="GE186" s="569"/>
      <c r="GF186" s="569"/>
      <c r="GG186" s="569"/>
      <c r="GH186" s="569"/>
      <c r="GI186" s="569"/>
      <c r="GJ186" s="569"/>
      <c r="GK186" s="569"/>
      <c r="GL186" s="569"/>
      <c r="GM186" s="569"/>
      <c r="GN186" s="569"/>
      <c r="GO186" s="569"/>
      <c r="GP186" s="569"/>
      <c r="GQ186" s="569"/>
      <c r="GR186" s="569"/>
      <c r="GS186" s="569"/>
      <c r="GT186" s="569"/>
      <c r="GU186" s="569"/>
      <c r="GV186" s="569"/>
      <c r="GW186" s="569"/>
      <c r="GX186" s="569"/>
      <c r="GY186" s="569"/>
      <c r="GZ186" s="569"/>
      <c r="HA186" s="569"/>
      <c r="HB186" s="569"/>
      <c r="HC186" s="569"/>
      <c r="HD186" s="569"/>
      <c r="HE186" s="569"/>
      <c r="HF186" s="569"/>
      <c r="HG186" s="569"/>
      <c r="HH186" s="569"/>
      <c r="HI186" s="569"/>
      <c r="HJ186" s="569"/>
      <c r="HK186" s="569"/>
      <c r="HL186" s="569"/>
      <c r="HM186" s="569"/>
      <c r="HN186" s="569"/>
      <c r="HO186" s="569"/>
      <c r="HP186" s="569"/>
      <c r="HQ186" s="569"/>
      <c r="HR186" s="569"/>
      <c r="HS186" s="569"/>
      <c r="HT186" s="569"/>
      <c r="HU186" s="569"/>
      <c r="HV186" s="569"/>
      <c r="HW186" s="569"/>
      <c r="HX186" s="569"/>
      <c r="HY186" s="569"/>
      <c r="HZ186" s="569"/>
      <c r="IA186" s="569"/>
      <c r="IB186" s="569"/>
      <c r="IC186" s="569"/>
      <c r="ID186" s="569"/>
      <c r="IE186" s="569"/>
      <c r="IF186" s="569"/>
      <c r="IG186" s="569"/>
      <c r="IH186" s="569"/>
      <c r="II186" s="569"/>
      <c r="IJ186" s="569"/>
      <c r="IK186" s="569"/>
      <c r="IL186" s="569"/>
      <c r="IM186" s="569"/>
      <c r="IN186" s="569"/>
      <c r="IO186" s="569"/>
      <c r="IP186" s="569"/>
      <c r="IQ186" s="569"/>
      <c r="IR186" s="569"/>
      <c r="IS186" s="569"/>
      <c r="IT186" s="569"/>
      <c r="IU186" s="569"/>
      <c r="IV186" s="569"/>
      <c r="IW186" s="569"/>
      <c r="IX186" s="569"/>
      <c r="IY186" s="569"/>
      <c r="IZ186" s="569"/>
      <c r="JA186" s="569"/>
      <c r="JB186" s="569"/>
      <c r="JC186" s="569"/>
      <c r="JD186" s="569"/>
      <c r="JE186" s="569"/>
      <c r="JF186" s="569"/>
      <c r="JG186" s="569"/>
      <c r="JH186" s="569"/>
      <c r="JI186" s="569"/>
      <c r="JJ186" s="569"/>
      <c r="JK186" s="569"/>
      <c r="JL186" s="569"/>
      <c r="JM186" s="569"/>
      <c r="JN186" s="569"/>
      <c r="JO186" s="569"/>
      <c r="JP186" s="569"/>
      <c r="JQ186" s="569"/>
      <c r="JR186" s="569"/>
      <c r="JS186" s="569"/>
      <c r="JT186" s="569"/>
      <c r="JU186" s="569"/>
      <c r="JV186" s="569"/>
      <c r="JW186" s="569"/>
      <c r="JX186" s="569"/>
      <c r="JY186" s="569"/>
      <c r="JZ186" s="569"/>
      <c r="KA186" s="569"/>
      <c r="KB186" s="569"/>
      <c r="KC186" s="569"/>
      <c r="KD186" s="569"/>
      <c r="KE186" s="569"/>
      <c r="KF186" s="569"/>
      <c r="KG186" s="569"/>
      <c r="KH186" s="569"/>
      <c r="KI186" s="569"/>
      <c r="KJ186" s="569"/>
      <c r="KK186" s="569"/>
      <c r="KL186" s="569"/>
      <c r="KM186" s="569"/>
      <c r="KN186" s="569"/>
      <c r="KO186" s="569"/>
      <c r="KP186" s="569"/>
      <c r="KQ186" s="569"/>
      <c r="KR186" s="569"/>
      <c r="KS186" s="569"/>
      <c r="KT186" s="569"/>
      <c r="KU186" s="569"/>
      <c r="KV186" s="569"/>
      <c r="KW186" s="569"/>
      <c r="KX186" s="569"/>
      <c r="KY186" s="569"/>
      <c r="KZ186" s="569"/>
      <c r="LA186" s="569"/>
      <c r="LB186" s="569"/>
      <c r="LC186" s="569"/>
      <c r="LD186" s="569"/>
      <c r="LE186" s="569"/>
      <c r="LF186" s="569"/>
      <c r="LG186" s="569"/>
      <c r="LH186" s="569"/>
      <c r="LI186" s="569"/>
      <c r="LJ186" s="569"/>
      <c r="LK186" s="569"/>
      <c r="LL186" s="569"/>
      <c r="LM186" s="569"/>
      <c r="LN186" s="569"/>
      <c r="LO186" s="569"/>
      <c r="LP186" s="569"/>
      <c r="LQ186" s="569"/>
      <c r="LR186" s="569"/>
      <c r="LS186" s="569"/>
      <c r="LT186" s="569"/>
      <c r="LU186" s="569"/>
      <c r="LV186" s="569"/>
      <c r="LW186" s="569"/>
      <c r="LX186" s="569"/>
      <c r="LY186" s="569"/>
      <c r="LZ186" s="569"/>
      <c r="MA186" s="569"/>
      <c r="MB186" s="569"/>
      <c r="MC186" s="569"/>
      <c r="MD186" s="569"/>
      <c r="ME186" s="569"/>
      <c r="MF186" s="569"/>
      <c r="MG186" s="569"/>
      <c r="MH186" s="569"/>
      <c r="MI186" s="569"/>
      <c r="MJ186" s="569"/>
      <c r="MK186" s="569"/>
      <c r="ML186" s="569"/>
      <c r="MM186" s="569"/>
      <c r="MN186" s="569"/>
      <c r="MO186" s="569"/>
      <c r="MP186" s="569"/>
      <c r="MQ186" s="569"/>
      <c r="MR186" s="569"/>
      <c r="MS186" s="569"/>
      <c r="MT186" s="569"/>
      <c r="MU186" s="569"/>
      <c r="MV186" s="569"/>
      <c r="MW186" s="569"/>
      <c r="MX186" s="569"/>
      <c r="MY186" s="569"/>
      <c r="MZ186" s="569"/>
      <c r="NA186" s="569"/>
      <c r="NB186" s="569"/>
      <c r="NC186" s="569"/>
      <c r="ND186" s="569"/>
      <c r="NE186" s="569"/>
      <c r="NF186" s="569"/>
      <c r="NG186" s="569"/>
      <c r="NH186" s="569"/>
      <c r="NI186" s="569"/>
      <c r="NJ186" s="569"/>
      <c r="NK186" s="569"/>
      <c r="NL186" s="569"/>
      <c r="NM186" s="569"/>
      <c r="NN186" s="569"/>
      <c r="NO186" s="569"/>
      <c r="NP186" s="569"/>
      <c r="NQ186" s="569"/>
      <c r="NR186" s="569"/>
      <c r="NS186" s="569"/>
      <c r="NT186" s="569"/>
      <c r="NU186" s="569"/>
      <c r="NV186" s="569"/>
      <c r="NW186" s="569"/>
      <c r="NX186" s="569"/>
      <c r="NY186" s="569"/>
      <c r="NZ186" s="569"/>
      <c r="OA186" s="569"/>
      <c r="OB186" s="569"/>
      <c r="OC186" s="569"/>
      <c r="OD186" s="569"/>
      <c r="OE186" s="569"/>
      <c r="OF186" s="569"/>
      <c r="OG186" s="569"/>
      <c r="OH186" s="569"/>
      <c r="OI186" s="569"/>
      <c r="OJ186" s="569"/>
      <c r="OK186" s="569"/>
      <c r="OL186" s="569"/>
      <c r="OM186" s="569"/>
      <c r="ON186" s="569"/>
      <c r="OO186" s="569"/>
      <c r="OP186" s="569"/>
      <c r="OQ186" s="569"/>
      <c r="OR186" s="569"/>
      <c r="OS186" s="569"/>
      <c r="OT186" s="569"/>
      <c r="OU186" s="569"/>
      <c r="OV186" s="569"/>
      <c r="OW186" s="569"/>
      <c r="OX186" s="569"/>
      <c r="OY186" s="569"/>
      <c r="OZ186" s="569"/>
      <c r="PA186" s="569"/>
      <c r="PB186" s="569"/>
      <c r="PC186" s="569"/>
      <c r="PD186" s="569"/>
      <c r="PE186" s="569"/>
      <c r="PF186" s="569"/>
      <c r="PG186" s="569"/>
      <c r="PH186" s="569"/>
      <c r="PI186" s="569"/>
      <c r="PJ186" s="569"/>
      <c r="PK186" s="569"/>
      <c r="PL186" s="569"/>
      <c r="PM186" s="569"/>
      <c r="PN186" s="569"/>
      <c r="PO186" s="569"/>
      <c r="PP186" s="569"/>
      <c r="PQ186" s="569"/>
      <c r="PR186" s="569"/>
      <c r="PS186" s="569"/>
      <c r="PT186" s="569"/>
      <c r="PU186" s="569"/>
      <c r="PV186" s="569"/>
      <c r="PW186" s="569"/>
      <c r="PX186" s="569"/>
      <c r="PY186" s="569"/>
      <c r="PZ186" s="569"/>
      <c r="QA186" s="569"/>
      <c r="QB186" s="569"/>
      <c r="QC186" s="569"/>
      <c r="QD186" s="569"/>
      <c r="QE186" s="569"/>
      <c r="QF186" s="569"/>
      <c r="QG186" s="569"/>
      <c r="QH186" s="569"/>
      <c r="QI186" s="569"/>
      <c r="QJ186" s="569"/>
      <c r="QK186" s="569"/>
      <c r="QL186" s="569"/>
    </row>
    <row r="187" spans="1:454" ht="45">
      <c r="D187" s="568"/>
      <c r="E187" s="568"/>
      <c r="F187" s="568"/>
      <c r="G187" s="568"/>
      <c r="H187" s="563" t="str">
        <f>'matrik MISI 5'!N23</f>
        <v>Cakupan Pelayanan Kesehatan Rujukan Pasien Masyarakat Miskin</v>
      </c>
      <c r="I187" s="563" t="str">
        <f>'matrik MISI 5'!O23</f>
        <v>%</v>
      </c>
      <c r="J187" s="563" t="str">
        <f>'matrik MISI 5'!P23</f>
        <v>100</v>
      </c>
      <c r="K187" s="563">
        <f>'matrik MISI 5'!Q23</f>
        <v>100</v>
      </c>
      <c r="L187" s="563">
        <f>'matrik MISI 5'!R23</f>
        <v>100</v>
      </c>
      <c r="M187" s="604"/>
      <c r="N187" s="563">
        <f>'matrik MISI 5'!S23</f>
        <v>100</v>
      </c>
      <c r="O187" s="564"/>
      <c r="P187" s="563">
        <f>'matrik MISI 5'!T23</f>
        <v>100</v>
      </c>
      <c r="Q187" s="564"/>
      <c r="R187" s="563">
        <f>'matrik MISI 5'!U23</f>
        <v>100</v>
      </c>
      <c r="S187" s="564"/>
      <c r="T187" s="563">
        <f>'matrik MISI 5'!V23</f>
        <v>100</v>
      </c>
      <c r="U187" s="564"/>
      <c r="V187" s="563">
        <f>'matrik MISI 5'!W23</f>
        <v>100</v>
      </c>
      <c r="W187" s="564"/>
      <c r="X187" s="563" t="str">
        <f>'matrik MISI 5'!X23</f>
        <v>Dinas Kesehatan</v>
      </c>
      <c r="Y187" s="565" t="str">
        <f>'matrik MISI 5'!Y23</f>
        <v>Jumlah pasien maskin di  sarkes strata 2 dan strata 3 selama satu tahun / Jumlah masyarakat miskin yang berkunjung ke sarkes strata 2 dan 3 x 100</v>
      </c>
      <c r="Z187" s="565">
        <f>'matrik MISI 5'!Z23</f>
        <v>0</v>
      </c>
    </row>
    <row r="188" spans="1:454" ht="75">
      <c r="G188" s="563"/>
      <c r="H188" s="563" t="str">
        <f>'matrik MISI 5'!N24</f>
        <v>Cakupan Pelayanan Gawat Darurat Level 1 yang harus diberikan Sarana Kesehatan (RS) di Kabupaten</v>
      </c>
      <c r="I188" s="563" t="str">
        <f>'matrik MISI 5'!O24</f>
        <v>%</v>
      </c>
      <c r="J188" s="563">
        <f>'matrik MISI 5'!P24</f>
        <v>100</v>
      </c>
      <c r="K188" s="563">
        <f>'matrik MISI 5'!Q24</f>
        <v>100</v>
      </c>
      <c r="L188" s="563">
        <f>'matrik MISI 5'!R24</f>
        <v>100</v>
      </c>
      <c r="M188" s="604"/>
      <c r="N188" s="563">
        <f>'matrik MISI 5'!S24</f>
        <v>100</v>
      </c>
      <c r="O188" s="564"/>
      <c r="P188" s="563">
        <f>'matrik MISI 5'!T24</f>
        <v>100</v>
      </c>
      <c r="Q188" s="564"/>
      <c r="R188" s="563">
        <f>'matrik MISI 5'!U24</f>
        <v>100</v>
      </c>
      <c r="S188" s="564"/>
      <c r="T188" s="563">
        <f>'matrik MISI 5'!V24</f>
        <v>100</v>
      </c>
      <c r="U188" s="564"/>
      <c r="V188" s="563">
        <f>'matrik MISI 5'!W24</f>
        <v>100</v>
      </c>
      <c r="W188" s="564"/>
      <c r="X188" s="563" t="str">
        <f>'matrik MISI 5'!X24</f>
        <v>Dinas Kesehatan</v>
      </c>
      <c r="Y188" s="565" t="str">
        <f>'matrik MISI 5'!Y24</f>
        <v>Jumlah RS yang mampu memberikan pelayanan gawat darurat level 1 / Jumlah RS kab/kota x 100</v>
      </c>
      <c r="Z188" s="565"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189" spans="1:454" s="574" customFormat="1" ht="45">
      <c r="A189" s="569"/>
      <c r="B189" s="575"/>
      <c r="C189" s="576"/>
      <c r="D189" s="577">
        <f>'matrik MISI 5'!J26</f>
        <v>1.02</v>
      </c>
      <c r="E189" s="577" t="str">
        <f>'matrik MISI 5'!K26</f>
        <v>xx</v>
      </c>
      <c r="F189" s="577">
        <f>'matrik MISI 5'!L26</f>
        <v>22</v>
      </c>
      <c r="G189" s="577" t="str">
        <f>'matrik MISI 5'!M26</f>
        <v xml:space="preserve">Program Pencegahan dan Penanggulangan Penyakit Menular </v>
      </c>
      <c r="H189" s="577"/>
      <c r="I189" s="577"/>
      <c r="J189" s="577"/>
      <c r="K189" s="577"/>
      <c r="L189" s="577"/>
      <c r="M189" s="578">
        <f>'jangan di hapus 1'!K344</f>
        <v>263428000</v>
      </c>
      <c r="N189" s="578"/>
      <c r="O189" s="578">
        <f>'jangan di hapus 1'!M344</f>
        <v>215000000</v>
      </c>
      <c r="P189" s="578"/>
      <c r="Q189" s="578">
        <f>'jangan di hapus 1'!O344</f>
        <v>450000000</v>
      </c>
      <c r="R189" s="578"/>
      <c r="S189" s="578">
        <f>'jangan di hapus 1'!Q344</f>
        <v>550000000</v>
      </c>
      <c r="T189" s="578"/>
      <c r="U189" s="578">
        <f>'jangan di hapus 1'!S344</f>
        <v>650000000</v>
      </c>
      <c r="V189" s="577"/>
      <c r="W189" s="578">
        <f>SUM(M189:U189)</f>
        <v>2128428000</v>
      </c>
      <c r="X189" s="577"/>
      <c r="Y189" s="577"/>
      <c r="Z189" s="577"/>
      <c r="AA189" s="569"/>
      <c r="AB189" s="569"/>
      <c r="AC189" s="569"/>
      <c r="AD189" s="569"/>
      <c r="AE189" s="569"/>
      <c r="AF189" s="569"/>
      <c r="AG189" s="569"/>
      <c r="AH189" s="569"/>
      <c r="AI189" s="569"/>
      <c r="AJ189" s="569"/>
      <c r="AK189" s="569"/>
      <c r="AL189" s="569"/>
      <c r="AM189" s="569"/>
      <c r="AN189" s="569"/>
      <c r="AO189" s="569"/>
      <c r="AP189" s="569"/>
      <c r="AQ189" s="569"/>
      <c r="AR189" s="569"/>
      <c r="AS189" s="569"/>
      <c r="AT189" s="569"/>
      <c r="AU189" s="569"/>
      <c r="AV189" s="569"/>
      <c r="AW189" s="569"/>
      <c r="AX189" s="569"/>
      <c r="AY189" s="569"/>
      <c r="AZ189" s="569"/>
      <c r="BA189" s="569"/>
      <c r="BB189" s="569"/>
      <c r="BC189" s="569"/>
      <c r="BD189" s="569"/>
      <c r="BE189" s="569"/>
      <c r="BF189" s="569"/>
      <c r="BG189" s="569"/>
      <c r="BH189" s="569"/>
      <c r="BI189" s="569"/>
      <c r="BJ189" s="569"/>
      <c r="BK189" s="569"/>
      <c r="BL189" s="569"/>
      <c r="BM189" s="569"/>
      <c r="BN189" s="569"/>
      <c r="BO189" s="569"/>
      <c r="BP189" s="569"/>
      <c r="BQ189" s="569"/>
      <c r="BR189" s="569"/>
      <c r="BS189" s="569"/>
      <c r="BT189" s="569"/>
      <c r="BU189" s="569"/>
      <c r="BV189" s="569"/>
      <c r="BW189" s="569"/>
      <c r="BX189" s="569"/>
      <c r="BY189" s="569"/>
      <c r="BZ189" s="569"/>
      <c r="CA189" s="569"/>
      <c r="CB189" s="569"/>
      <c r="CC189" s="569"/>
      <c r="CD189" s="569"/>
      <c r="CE189" s="569"/>
      <c r="CF189" s="569"/>
      <c r="CG189" s="569"/>
      <c r="CH189" s="569"/>
      <c r="CI189" s="569"/>
      <c r="CJ189" s="569"/>
      <c r="CK189" s="569"/>
      <c r="CL189" s="569"/>
      <c r="CM189" s="569"/>
      <c r="CN189" s="569"/>
      <c r="CO189" s="569"/>
      <c r="CP189" s="569"/>
      <c r="CQ189" s="569"/>
      <c r="CR189" s="569"/>
      <c r="CS189" s="569"/>
      <c r="CT189" s="569"/>
      <c r="CU189" s="569"/>
      <c r="CV189" s="569"/>
      <c r="CW189" s="569"/>
      <c r="CX189" s="569"/>
      <c r="CY189" s="569"/>
      <c r="CZ189" s="569"/>
      <c r="DA189" s="569"/>
      <c r="DB189" s="569"/>
      <c r="DC189" s="569"/>
      <c r="DD189" s="569"/>
      <c r="DE189" s="569"/>
      <c r="DF189" s="569"/>
      <c r="DG189" s="569"/>
      <c r="DH189" s="569"/>
      <c r="DI189" s="569"/>
      <c r="DJ189" s="569"/>
      <c r="DK189" s="569"/>
      <c r="DL189" s="569"/>
      <c r="DM189" s="569"/>
      <c r="DN189" s="569"/>
      <c r="DO189" s="569"/>
      <c r="DP189" s="569"/>
      <c r="DQ189" s="569"/>
      <c r="DR189" s="569"/>
      <c r="DS189" s="569"/>
      <c r="DT189" s="569"/>
      <c r="DU189" s="569"/>
      <c r="DV189" s="569"/>
      <c r="DW189" s="569"/>
      <c r="DX189" s="569"/>
      <c r="DY189" s="569"/>
      <c r="DZ189" s="569"/>
      <c r="EA189" s="569"/>
      <c r="EB189" s="569"/>
      <c r="EC189" s="569"/>
      <c r="ED189" s="569"/>
      <c r="EE189" s="569"/>
      <c r="EF189" s="569"/>
      <c r="EG189" s="569"/>
      <c r="EH189" s="569"/>
      <c r="EI189" s="569"/>
      <c r="EJ189" s="569"/>
      <c r="EK189" s="569"/>
      <c r="EL189" s="569"/>
      <c r="EM189" s="569"/>
      <c r="EN189" s="569"/>
      <c r="EO189" s="569"/>
      <c r="EP189" s="569"/>
      <c r="EQ189" s="569"/>
      <c r="ER189" s="569"/>
      <c r="ES189" s="569"/>
      <c r="ET189" s="569"/>
      <c r="EU189" s="569"/>
      <c r="EV189" s="569"/>
      <c r="EW189" s="569"/>
      <c r="EX189" s="569"/>
      <c r="EY189" s="569"/>
      <c r="EZ189" s="569"/>
      <c r="FA189" s="569"/>
      <c r="FB189" s="569"/>
      <c r="FC189" s="569"/>
      <c r="FD189" s="569"/>
      <c r="FE189" s="569"/>
      <c r="FF189" s="569"/>
      <c r="FG189" s="569"/>
      <c r="FH189" s="569"/>
      <c r="FI189" s="569"/>
      <c r="FJ189" s="569"/>
      <c r="FK189" s="569"/>
      <c r="FL189" s="569"/>
      <c r="FM189" s="569"/>
      <c r="FN189" s="569"/>
      <c r="FO189" s="569"/>
      <c r="FP189" s="569"/>
      <c r="FQ189" s="569"/>
      <c r="FR189" s="569"/>
      <c r="FS189" s="569"/>
      <c r="FT189" s="569"/>
      <c r="FU189" s="569"/>
      <c r="FV189" s="569"/>
      <c r="FW189" s="569"/>
      <c r="FX189" s="569"/>
      <c r="FY189" s="569"/>
      <c r="FZ189" s="569"/>
      <c r="GA189" s="569"/>
      <c r="GB189" s="569"/>
      <c r="GC189" s="569"/>
      <c r="GD189" s="569"/>
      <c r="GE189" s="569"/>
      <c r="GF189" s="569"/>
      <c r="GG189" s="569"/>
      <c r="GH189" s="569"/>
      <c r="GI189" s="569"/>
      <c r="GJ189" s="569"/>
      <c r="GK189" s="569"/>
      <c r="GL189" s="569"/>
      <c r="GM189" s="569"/>
      <c r="GN189" s="569"/>
      <c r="GO189" s="569"/>
      <c r="GP189" s="569"/>
      <c r="GQ189" s="569"/>
      <c r="GR189" s="569"/>
      <c r="GS189" s="569"/>
      <c r="GT189" s="569"/>
      <c r="GU189" s="569"/>
      <c r="GV189" s="569"/>
      <c r="GW189" s="569"/>
      <c r="GX189" s="569"/>
      <c r="GY189" s="569"/>
      <c r="GZ189" s="569"/>
      <c r="HA189" s="569"/>
      <c r="HB189" s="569"/>
      <c r="HC189" s="569"/>
      <c r="HD189" s="569"/>
      <c r="HE189" s="569"/>
      <c r="HF189" s="569"/>
      <c r="HG189" s="569"/>
      <c r="HH189" s="569"/>
      <c r="HI189" s="569"/>
      <c r="HJ189" s="569"/>
      <c r="HK189" s="569"/>
      <c r="HL189" s="569"/>
      <c r="HM189" s="569"/>
      <c r="HN189" s="569"/>
      <c r="HO189" s="569"/>
      <c r="HP189" s="569"/>
      <c r="HQ189" s="569"/>
      <c r="HR189" s="569"/>
      <c r="HS189" s="569"/>
      <c r="HT189" s="569"/>
      <c r="HU189" s="569"/>
      <c r="HV189" s="569"/>
      <c r="HW189" s="569"/>
      <c r="HX189" s="569"/>
      <c r="HY189" s="569"/>
      <c r="HZ189" s="569"/>
      <c r="IA189" s="569"/>
      <c r="IB189" s="569"/>
      <c r="IC189" s="569"/>
      <c r="ID189" s="569"/>
      <c r="IE189" s="569"/>
      <c r="IF189" s="569"/>
      <c r="IG189" s="569"/>
      <c r="IH189" s="569"/>
      <c r="II189" s="569"/>
      <c r="IJ189" s="569"/>
      <c r="IK189" s="569"/>
      <c r="IL189" s="569"/>
      <c r="IM189" s="569"/>
      <c r="IN189" s="569"/>
      <c r="IO189" s="569"/>
      <c r="IP189" s="569"/>
      <c r="IQ189" s="569"/>
      <c r="IR189" s="569"/>
      <c r="IS189" s="569"/>
      <c r="IT189" s="569"/>
      <c r="IU189" s="569"/>
      <c r="IV189" s="569"/>
      <c r="IW189" s="569"/>
      <c r="IX189" s="569"/>
      <c r="IY189" s="569"/>
      <c r="IZ189" s="569"/>
      <c r="JA189" s="569"/>
      <c r="JB189" s="569"/>
      <c r="JC189" s="569"/>
      <c r="JD189" s="569"/>
      <c r="JE189" s="569"/>
      <c r="JF189" s="569"/>
      <c r="JG189" s="569"/>
      <c r="JH189" s="569"/>
      <c r="JI189" s="569"/>
      <c r="JJ189" s="569"/>
      <c r="JK189" s="569"/>
      <c r="JL189" s="569"/>
      <c r="JM189" s="569"/>
      <c r="JN189" s="569"/>
      <c r="JO189" s="569"/>
      <c r="JP189" s="569"/>
      <c r="JQ189" s="569"/>
      <c r="JR189" s="569"/>
      <c r="JS189" s="569"/>
      <c r="JT189" s="569"/>
      <c r="JU189" s="569"/>
      <c r="JV189" s="569"/>
      <c r="JW189" s="569"/>
      <c r="JX189" s="569"/>
      <c r="JY189" s="569"/>
      <c r="JZ189" s="569"/>
      <c r="KA189" s="569"/>
      <c r="KB189" s="569"/>
      <c r="KC189" s="569"/>
      <c r="KD189" s="569"/>
      <c r="KE189" s="569"/>
      <c r="KF189" s="569"/>
      <c r="KG189" s="569"/>
      <c r="KH189" s="569"/>
      <c r="KI189" s="569"/>
      <c r="KJ189" s="569"/>
      <c r="KK189" s="569"/>
      <c r="KL189" s="569"/>
      <c r="KM189" s="569"/>
      <c r="KN189" s="569"/>
      <c r="KO189" s="569"/>
      <c r="KP189" s="569"/>
      <c r="KQ189" s="569"/>
      <c r="KR189" s="569"/>
      <c r="KS189" s="569"/>
      <c r="KT189" s="569"/>
      <c r="KU189" s="569"/>
      <c r="KV189" s="569"/>
      <c r="KW189" s="569"/>
      <c r="KX189" s="569"/>
      <c r="KY189" s="569"/>
      <c r="KZ189" s="569"/>
      <c r="LA189" s="569"/>
      <c r="LB189" s="569"/>
      <c r="LC189" s="569"/>
      <c r="LD189" s="569"/>
      <c r="LE189" s="569"/>
      <c r="LF189" s="569"/>
      <c r="LG189" s="569"/>
      <c r="LH189" s="569"/>
      <c r="LI189" s="569"/>
      <c r="LJ189" s="569"/>
      <c r="LK189" s="569"/>
      <c r="LL189" s="569"/>
      <c r="LM189" s="569"/>
      <c r="LN189" s="569"/>
      <c r="LO189" s="569"/>
      <c r="LP189" s="569"/>
      <c r="LQ189" s="569"/>
      <c r="LR189" s="569"/>
      <c r="LS189" s="569"/>
      <c r="LT189" s="569"/>
      <c r="LU189" s="569"/>
      <c r="LV189" s="569"/>
      <c r="LW189" s="569"/>
      <c r="LX189" s="569"/>
      <c r="LY189" s="569"/>
      <c r="LZ189" s="569"/>
      <c r="MA189" s="569"/>
      <c r="MB189" s="569"/>
      <c r="MC189" s="569"/>
      <c r="MD189" s="569"/>
      <c r="ME189" s="569"/>
      <c r="MF189" s="569"/>
      <c r="MG189" s="569"/>
      <c r="MH189" s="569"/>
      <c r="MI189" s="569"/>
      <c r="MJ189" s="569"/>
      <c r="MK189" s="569"/>
      <c r="ML189" s="569"/>
      <c r="MM189" s="569"/>
      <c r="MN189" s="569"/>
      <c r="MO189" s="569"/>
      <c r="MP189" s="569"/>
      <c r="MQ189" s="569"/>
      <c r="MR189" s="569"/>
      <c r="MS189" s="569"/>
      <c r="MT189" s="569"/>
      <c r="MU189" s="569"/>
      <c r="MV189" s="569"/>
      <c r="MW189" s="569"/>
      <c r="MX189" s="569"/>
      <c r="MY189" s="569"/>
      <c r="MZ189" s="569"/>
      <c r="NA189" s="569"/>
      <c r="NB189" s="569"/>
      <c r="NC189" s="569"/>
      <c r="ND189" s="569"/>
      <c r="NE189" s="569"/>
      <c r="NF189" s="569"/>
      <c r="NG189" s="569"/>
      <c r="NH189" s="569"/>
      <c r="NI189" s="569"/>
      <c r="NJ189" s="569"/>
      <c r="NK189" s="569"/>
      <c r="NL189" s="569"/>
      <c r="NM189" s="569"/>
      <c r="NN189" s="569"/>
      <c r="NO189" s="569"/>
      <c r="NP189" s="569"/>
      <c r="NQ189" s="569"/>
      <c r="NR189" s="569"/>
      <c r="NS189" s="569"/>
      <c r="NT189" s="569"/>
      <c r="NU189" s="569"/>
      <c r="NV189" s="569"/>
      <c r="NW189" s="569"/>
      <c r="NX189" s="569"/>
      <c r="NY189" s="569"/>
      <c r="NZ189" s="569"/>
      <c r="OA189" s="569"/>
      <c r="OB189" s="569"/>
      <c r="OC189" s="569"/>
      <c r="OD189" s="569"/>
      <c r="OE189" s="569"/>
      <c r="OF189" s="569"/>
      <c r="OG189" s="569"/>
      <c r="OH189" s="569"/>
      <c r="OI189" s="569"/>
      <c r="OJ189" s="569"/>
      <c r="OK189" s="569"/>
      <c r="OL189" s="569"/>
      <c r="OM189" s="569"/>
      <c r="ON189" s="569"/>
      <c r="OO189" s="569"/>
      <c r="OP189" s="569"/>
      <c r="OQ189" s="569"/>
      <c r="OR189" s="569"/>
      <c r="OS189" s="569"/>
      <c r="OT189" s="569"/>
      <c r="OU189" s="569"/>
      <c r="OV189" s="569"/>
      <c r="OW189" s="569"/>
      <c r="OX189" s="569"/>
      <c r="OY189" s="569"/>
      <c r="OZ189" s="569"/>
      <c r="PA189" s="569"/>
      <c r="PB189" s="569"/>
      <c r="PC189" s="569"/>
      <c r="PD189" s="569"/>
      <c r="PE189" s="569"/>
      <c r="PF189" s="569"/>
      <c r="PG189" s="569"/>
      <c r="PH189" s="569"/>
      <c r="PI189" s="569"/>
      <c r="PJ189" s="569"/>
      <c r="PK189" s="569"/>
      <c r="PL189" s="569"/>
      <c r="PM189" s="569"/>
      <c r="PN189" s="569"/>
      <c r="PO189" s="569"/>
      <c r="PP189" s="569"/>
      <c r="PQ189" s="569"/>
      <c r="PR189" s="569"/>
      <c r="PS189" s="569"/>
      <c r="PT189" s="569"/>
      <c r="PU189" s="569"/>
      <c r="PV189" s="569"/>
      <c r="PW189" s="569"/>
      <c r="PX189" s="569"/>
      <c r="PY189" s="569"/>
      <c r="PZ189" s="569"/>
      <c r="QA189" s="569"/>
      <c r="QB189" s="569"/>
      <c r="QC189" s="569"/>
      <c r="QD189" s="569"/>
      <c r="QE189" s="569"/>
      <c r="QF189" s="569"/>
      <c r="QG189" s="569"/>
      <c r="QH189" s="569"/>
      <c r="QI189" s="569"/>
      <c r="QJ189" s="569"/>
      <c r="QK189" s="569"/>
      <c r="QL189" s="569"/>
    </row>
    <row r="190" spans="1:454" ht="45">
      <c r="D190" s="568"/>
      <c r="E190" s="568"/>
      <c r="F190" s="568"/>
      <c r="G190" s="568"/>
      <c r="H190" s="563" t="str">
        <f>'matrik MISI 5'!N26</f>
        <v xml:space="preserve">Angka Kesembuhan Penderita TBC BTA Positif (CR/Cure Rate) </v>
      </c>
      <c r="I190" s="563" t="str">
        <f>'matrik MISI 5'!O26</f>
        <v>%</v>
      </c>
      <c r="J190" s="563" t="str">
        <f>'matrik MISI 5'!P26</f>
        <v>87,16</v>
      </c>
      <c r="K190" s="563">
        <f>'matrik MISI 5'!Q26</f>
        <v>87</v>
      </c>
      <c r="L190" s="563" t="str">
        <f>'matrik MISI 5'!R26</f>
        <v>&gt;87</v>
      </c>
      <c r="M190" s="604"/>
      <c r="N190" s="563" t="str">
        <f>'matrik MISI 5'!S26</f>
        <v>&gt;87</v>
      </c>
      <c r="O190" s="564"/>
      <c r="P190" s="563" t="str">
        <f>'matrik MISI 5'!T26</f>
        <v>&gt;87</v>
      </c>
      <c r="Q190" s="564"/>
      <c r="R190" s="563" t="str">
        <f>'matrik MISI 5'!U26</f>
        <v>&gt;87</v>
      </c>
      <c r="S190" s="564"/>
      <c r="T190" s="563" t="str">
        <f>'matrik MISI 5'!V26</f>
        <v>&gt;87</v>
      </c>
      <c r="U190" s="564"/>
      <c r="V190" s="563" t="str">
        <f>'matrik MISI 5'!W26</f>
        <v>&gt;87</v>
      </c>
      <c r="W190" s="564"/>
      <c r="X190" s="563" t="str">
        <f>'matrik MISI 5'!X26</f>
        <v>Dinas Kesehatan</v>
      </c>
      <c r="Y190" s="565" t="str">
        <f>'matrik MISI 5'!Y26</f>
        <v>Jumlah penderita TB Paru BTA positif yang diobati di suatu wilayah selama 1 tahun / Jumlah penderita TB paru BTA positif yang sembuh di suatu wilayah dan pada kurun waktu yang sama  x 100</v>
      </c>
      <c r="Z190" s="565">
        <f>'matrik MISI 5'!Z26</f>
        <v>0</v>
      </c>
    </row>
    <row r="191" spans="1:454" ht="45">
      <c r="G191" s="563"/>
      <c r="H191" s="563" t="str">
        <f>'matrik MISI 5'!N27</f>
        <v>Angka Penemuan Kasus TBC BTA Positif (CDR/Case  Detection Rate)</v>
      </c>
      <c r="I191" s="563" t="str">
        <f>'matrik MISI 5'!O27</f>
        <v>%</v>
      </c>
      <c r="J191" s="563">
        <f>'matrik MISI 5'!P27</f>
        <v>38.700000000000003</v>
      </c>
      <c r="K191" s="563">
        <f>'matrik MISI 5'!Q27</f>
        <v>70</v>
      </c>
      <c r="L191" s="563">
        <f>'matrik MISI 5'!R27</f>
        <v>70</v>
      </c>
      <c r="M191" s="604"/>
      <c r="N191" s="563">
        <f>'matrik MISI 5'!S27</f>
        <v>70</v>
      </c>
      <c r="O191" s="564"/>
      <c r="P191" s="563">
        <f>'matrik MISI 5'!T27</f>
        <v>70</v>
      </c>
      <c r="Q191" s="564"/>
      <c r="R191" s="563">
        <f>'matrik MISI 5'!U27</f>
        <v>70</v>
      </c>
      <c r="S191" s="564"/>
      <c r="T191" s="563">
        <f>'matrik MISI 5'!V27</f>
        <v>70</v>
      </c>
      <c r="U191" s="564"/>
      <c r="V191" s="563">
        <f>'matrik MISI 5'!W27</f>
        <v>70</v>
      </c>
      <c r="W191" s="564"/>
      <c r="X191" s="563" t="str">
        <f>'matrik MISI 5'!X27</f>
        <v>Dinas Kesehatan</v>
      </c>
      <c r="Y191" s="565" t="str">
        <f>'matrik MISI 5'!Y27</f>
        <v>Jumlah pasien baru TB Paru BTA positif yang ditemukan dan diobati / Jumlah perkiraan pasien baru TB Paru BTA positif  x 100</v>
      </c>
      <c r="Z191" s="565" t="str">
        <f>'matrik MISI 5'!Z27</f>
        <v>Jumlah perkiraan pasien baru TB =  Insiden rate hasil survey nasional x jumlah penduduk pada wilayah dan kurun waktu yang yang sama</v>
      </c>
    </row>
    <row r="192" spans="1:454" ht="30">
      <c r="G192" s="563"/>
      <c r="H192" s="563" t="str">
        <f>'matrik MISI 5'!N28</f>
        <v>Prevalensi HIV pada Penduduk Usia Dewasa</v>
      </c>
      <c r="I192" s="563" t="str">
        <f>'matrik MISI 5'!O28</f>
        <v>%</v>
      </c>
      <c r="J192" s="563">
        <f>'matrik MISI 5'!P28</f>
        <v>8.7999999999999995E-2</v>
      </c>
      <c r="K192" s="563">
        <f>'matrik MISI 5'!Q28</f>
        <v>3.8999999999999998E-3</v>
      </c>
      <c r="L192" s="563" t="str">
        <f>'matrik MISI 5'!R28</f>
        <v>&lt; 0,05</v>
      </c>
      <c r="M192" s="604"/>
      <c r="N192" s="563" t="str">
        <f>'matrik MISI 5'!S28</f>
        <v>&lt;0,05</v>
      </c>
      <c r="O192" s="564"/>
      <c r="P192" s="563" t="str">
        <f>'matrik MISI 5'!T28</f>
        <v>&lt; 0,05</v>
      </c>
      <c r="Q192" s="564"/>
      <c r="R192" s="563" t="str">
        <f>'matrik MISI 5'!U28</f>
        <v>&lt;0,05</v>
      </c>
      <c r="S192" s="564"/>
      <c r="T192" s="563" t="str">
        <f>'matrik MISI 5'!V28</f>
        <v>&lt; 0,05</v>
      </c>
      <c r="U192" s="564"/>
      <c r="V192" s="563" t="str">
        <f>'matrik MISI 5'!W28</f>
        <v>&lt;0,05</v>
      </c>
      <c r="W192" s="564"/>
      <c r="X192" s="563" t="str">
        <f>'matrik MISI 5'!X28</f>
        <v>Dinas Kesehatan</v>
      </c>
      <c r="Y192" s="565" t="str">
        <f>'matrik MISI 5'!Y28</f>
        <v xml:space="preserve"> Jumlah penderita HIV pada Penduduk Usia Dewasa (15-49 tahun) / Jumlah penduduk usia dewasa (15-49 tahun) x 100</v>
      </c>
      <c r="Z192" s="565">
        <f>'matrik MISI 5'!Z28</f>
        <v>0</v>
      </c>
    </row>
    <row r="193" spans="1:454" ht="60">
      <c r="G193" s="563"/>
      <c r="H193" s="563" t="str">
        <f>'matrik MISI 5'!N29</f>
        <v>Proporsi Penduduk Usia 15 - 24 Tahun yang Memiliki Pengetahuan Komprehensif tentang HIV/AIDS</v>
      </c>
      <c r="I193" s="563" t="str">
        <f>'matrik MISI 5'!O29</f>
        <v>%</v>
      </c>
      <c r="J193" s="563" t="str">
        <f>'matrik MISI 5'!P29</f>
        <v>tda</v>
      </c>
      <c r="K193" s="563">
        <f>'matrik MISI 5'!Q29</f>
        <v>60</v>
      </c>
      <c r="L193" s="563">
        <f>'matrik MISI 5'!R29</f>
        <v>60</v>
      </c>
      <c r="M193" s="604"/>
      <c r="N193" s="563">
        <f>'matrik MISI 5'!S29</f>
        <v>62.5</v>
      </c>
      <c r="O193" s="564"/>
      <c r="P193" s="563">
        <f>'matrik MISI 5'!T29</f>
        <v>65</v>
      </c>
      <c r="Q193" s="564"/>
      <c r="R193" s="563">
        <f>'matrik MISI 5'!U29</f>
        <v>67.5</v>
      </c>
      <c r="S193" s="564"/>
      <c r="T193" s="563">
        <f>'matrik MISI 5'!V29</f>
        <v>70</v>
      </c>
      <c r="U193" s="564"/>
      <c r="V193" s="563">
        <f>'matrik MISI 5'!W29</f>
        <v>70</v>
      </c>
      <c r="W193" s="564"/>
      <c r="X193" s="563" t="str">
        <f>'matrik MISI 5'!X29</f>
        <v>Dinas Kesehatan</v>
      </c>
      <c r="Y193" s="565" t="str">
        <f>'matrik MISI 5'!Y29</f>
        <v>Banyaknya penduduk usia 15-24 tahun belum menikah yang memiliki pengetahuan komprehensif mengenai HIV/AIDS / Penduduk usia 15-24 tahun yang belum menikah x 100</v>
      </c>
      <c r="Z193" s="565">
        <f>'matrik MISI 5'!Z29</f>
        <v>0</v>
      </c>
    </row>
    <row r="194" spans="1:454" ht="30">
      <c r="G194" s="563"/>
      <c r="H194" s="563" t="str">
        <f>'matrik MISI 5'!N30</f>
        <v>Cakupan Penemuan Penderita Pneumonia Balita</v>
      </c>
      <c r="I194" s="563" t="str">
        <f>'matrik MISI 5'!O30</f>
        <v>%</v>
      </c>
      <c r="J194" s="563">
        <f>'matrik MISI 5'!P30</f>
        <v>28.5</v>
      </c>
      <c r="K194" s="563">
        <f>'matrik MISI 5'!Q30</f>
        <v>60</v>
      </c>
      <c r="L194" s="563">
        <f>'matrik MISI 5'!R30</f>
        <v>60</v>
      </c>
      <c r="M194" s="604"/>
      <c r="N194" s="563">
        <f>'matrik MISI 5'!S30</f>
        <v>65</v>
      </c>
      <c r="O194" s="564"/>
      <c r="P194" s="563">
        <f>'matrik MISI 5'!T30</f>
        <v>65</v>
      </c>
      <c r="Q194" s="564"/>
      <c r="R194" s="563">
        <f>'matrik MISI 5'!U30</f>
        <v>70</v>
      </c>
      <c r="S194" s="564"/>
      <c r="T194" s="563">
        <f>'matrik MISI 5'!V30</f>
        <v>70</v>
      </c>
      <c r="U194" s="564"/>
      <c r="V194" s="563">
        <f>'matrik MISI 5'!W30</f>
        <v>70</v>
      </c>
      <c r="W194" s="564"/>
      <c r="X194" s="563" t="str">
        <f>'matrik MISI 5'!X30</f>
        <v>Dinas Kesehatan</v>
      </c>
      <c r="Y194" s="565" t="str">
        <f>'matrik MISI 5'!Y30</f>
        <v>Jumlah penderita pneumonia balita yang ditemukan dan ditangani / Jumlah perkiraan penderita pneumonia balita x 100</v>
      </c>
      <c r="Z194" s="565" t="str">
        <f>'matrik MISI 5'!Z30</f>
        <v>Jumlah perkiraan penderita pneumonia pada balita = 10% dari jumlah balita pada wilayah dan kurun waktu yang yang sama</v>
      </c>
    </row>
    <row r="195" spans="1:454" ht="60">
      <c r="G195" s="563"/>
      <c r="H195" s="563" t="str">
        <f>'matrik MISI 5'!N31</f>
        <v>Cakupan Penemuan Penderita Diare</v>
      </c>
      <c r="I195" s="563" t="str">
        <f>'matrik MISI 5'!O31</f>
        <v>%</v>
      </c>
      <c r="J195" s="563">
        <f>'matrik MISI 5'!P31</f>
        <v>62.9</v>
      </c>
      <c r="K195" s="563">
        <f>'matrik MISI 5'!Q31</f>
        <v>90</v>
      </c>
      <c r="L195" s="563">
        <f>'matrik MISI 5'!R31</f>
        <v>90</v>
      </c>
      <c r="M195" s="604"/>
      <c r="N195" s="563">
        <f>'matrik MISI 5'!S31</f>
        <v>90</v>
      </c>
      <c r="O195" s="564"/>
      <c r="P195" s="563">
        <f>'matrik MISI 5'!T31</f>
        <v>90</v>
      </c>
      <c r="Q195" s="564"/>
      <c r="R195" s="563">
        <f>'matrik MISI 5'!U31</f>
        <v>90</v>
      </c>
      <c r="S195" s="564"/>
      <c r="T195" s="563">
        <f>'matrik MISI 5'!V31</f>
        <v>90</v>
      </c>
      <c r="U195" s="564"/>
      <c r="V195" s="563">
        <f>'matrik MISI 5'!W31</f>
        <v>90</v>
      </c>
      <c r="W195" s="564"/>
      <c r="X195" s="563" t="str">
        <f>'matrik MISI 5'!X31</f>
        <v>Dinas Kesehatan</v>
      </c>
      <c r="Y195" s="565" t="str">
        <f>'matrik MISI 5'!Y31</f>
        <v>Jumlah penderita diare yang datang dan dilayani di sarana Kesehatan dan Kader di suatu wilayah tertentu dalam waktu satu tahun. / Jumlah perkiraan penderita diare pd satu wilayah tertentu dalam waktu yg sama x 100</v>
      </c>
      <c r="Z195" s="565" t="str">
        <f>'matrik MISI 5'!Z31</f>
        <v xml:space="preserve"> Jumlah perkiraan penderita diare  = 10% dari angka kesakitan diare x jumlah penduduk</v>
      </c>
    </row>
    <row r="196" spans="1:454" ht="45">
      <c r="G196" s="563"/>
      <c r="H196" s="563" t="str">
        <f>'matrik MISI 5'!N32</f>
        <v>CFR (Angka Kematian Diare per 10.000 Penduduk)</v>
      </c>
      <c r="I196" s="563">
        <f>'matrik MISI 5'!O32</f>
        <v>0</v>
      </c>
      <c r="J196" s="563">
        <f>'matrik MISI 5'!P32</f>
        <v>0.79</v>
      </c>
      <c r="K196" s="563" t="str">
        <f>'matrik MISI 5'!Q32</f>
        <v>&lt;1</v>
      </c>
      <c r="L196" s="563" t="str">
        <f>'matrik MISI 5'!R32</f>
        <v>&lt; 1</v>
      </c>
      <c r="M196" s="604"/>
      <c r="N196" s="563" t="str">
        <f>'matrik MISI 5'!S32</f>
        <v>&lt; 1</v>
      </c>
      <c r="O196" s="564"/>
      <c r="P196" s="563" t="str">
        <f>'matrik MISI 5'!T32</f>
        <v>&lt; 1</v>
      </c>
      <c r="Q196" s="564"/>
      <c r="R196" s="563" t="str">
        <f>'matrik MISI 5'!U32</f>
        <v>&lt; 1</v>
      </c>
      <c r="S196" s="564"/>
      <c r="T196" s="563" t="str">
        <f>'matrik MISI 5'!V32</f>
        <v>&lt; 1</v>
      </c>
      <c r="U196" s="564"/>
      <c r="V196" s="563" t="str">
        <f>'matrik MISI 5'!W32</f>
        <v>&lt; 1</v>
      </c>
      <c r="W196" s="564"/>
      <c r="X196" s="563" t="str">
        <f>'matrik MISI 5'!X32</f>
        <v>Dinas Kesehatan</v>
      </c>
      <c r="Y196" s="565" t="str">
        <f>'matrik MISI 5'!Y32</f>
        <v>Jumlah kematian yang disebabkan diare di suatu wilayah kerja pada kurun waktu  tahun tertentu / Jumlah penduduk di suatu wilayah kerja pada kurun waktu yang sama x 10.000</v>
      </c>
      <c r="Z196" s="565">
        <f>'matrik MISI 5'!Z32</f>
        <v>0</v>
      </c>
    </row>
    <row r="197" spans="1:454" ht="30">
      <c r="G197" s="563"/>
      <c r="H197" s="563" t="str">
        <f>'matrik MISI 5'!N33</f>
        <v>Angka Penemuan Kasus Malaria per 1.000 Penduduk</v>
      </c>
      <c r="I197" s="563">
        <f>'matrik MISI 5'!O33</f>
        <v>0</v>
      </c>
      <c r="J197" s="563" t="str">
        <f>'matrik MISI 5'!P33</f>
        <v>&lt;1</v>
      </c>
      <c r="K197" s="563" t="str">
        <f>'matrik MISI 5'!Q33</f>
        <v>&lt;1</v>
      </c>
      <c r="L197" s="563" t="str">
        <f>'matrik MISI 5'!R33</f>
        <v>&lt;1</v>
      </c>
      <c r="M197" s="604"/>
      <c r="N197" s="563" t="str">
        <f>'matrik MISI 5'!S33</f>
        <v>&lt;1</v>
      </c>
      <c r="O197" s="564"/>
      <c r="P197" s="563" t="str">
        <f>'matrik MISI 5'!T33</f>
        <v>&lt;1</v>
      </c>
      <c r="Q197" s="564"/>
      <c r="R197" s="563" t="str">
        <f>'matrik MISI 5'!U33</f>
        <v>&lt;1</v>
      </c>
      <c r="S197" s="564"/>
      <c r="T197" s="563" t="str">
        <f>'matrik MISI 5'!V33</f>
        <v>&lt;1</v>
      </c>
      <c r="U197" s="564"/>
      <c r="V197" s="563" t="str">
        <f>'matrik MISI 5'!W33</f>
        <v>&lt;1</v>
      </c>
      <c r="W197" s="564"/>
      <c r="X197" s="563" t="str">
        <f>'matrik MISI 5'!X33</f>
        <v>Dinas Kesehatan</v>
      </c>
      <c r="Y197" s="565" t="str">
        <f>'matrik MISI 5'!Y33</f>
        <v>Banyaknya penduduk yang terdiagnosis
menderita malaria / Jumlah penduduk x 1.000</v>
      </c>
      <c r="Z197" s="565">
        <f>'matrik MISI 5'!Z33</f>
        <v>0</v>
      </c>
    </row>
    <row r="198" spans="1:454" ht="45">
      <c r="G198" s="563"/>
      <c r="H198" s="563" t="str">
        <f>'matrik MISI 5'!N34</f>
        <v>Inciden Rate DBD (Demam Berdarah Dengue) per 10.000 Penduduk</v>
      </c>
      <c r="I198" s="563" t="str">
        <f>'matrik MISI 5'!O34</f>
        <v>%</v>
      </c>
      <c r="J198" s="563">
        <f>'matrik MISI 5'!P34</f>
        <v>0.56999999999999995</v>
      </c>
      <c r="K198" s="563" t="str">
        <f>'matrik MISI 5'!Q34</f>
        <v>&lt;20</v>
      </c>
      <c r="L198" s="563" t="str">
        <f>'matrik MISI 5'!R34</f>
        <v>&lt;20</v>
      </c>
      <c r="M198" s="604"/>
      <c r="N198" s="563" t="str">
        <f>'matrik MISI 5'!S34</f>
        <v>&lt;20</v>
      </c>
      <c r="O198" s="564"/>
      <c r="P198" s="563" t="str">
        <f>'matrik MISI 5'!T34</f>
        <v>&lt;20</v>
      </c>
      <c r="Q198" s="564"/>
      <c r="R198" s="563" t="str">
        <f>'matrik MISI 5'!U34</f>
        <v>&lt;20</v>
      </c>
      <c r="S198" s="564"/>
      <c r="T198" s="563" t="str">
        <f>'matrik MISI 5'!V34</f>
        <v>&lt;20</v>
      </c>
      <c r="U198" s="564"/>
      <c r="V198" s="563" t="str">
        <f>'matrik MISI 5'!W34</f>
        <v>&lt;20</v>
      </c>
      <c r="W198" s="564"/>
      <c r="X198" s="563" t="str">
        <f>'matrik MISI 5'!X34</f>
        <v>Dinas Kesehatan</v>
      </c>
      <c r="Y198" s="565" t="str">
        <f>'matrik MISI 5'!Y34</f>
        <v>Jumlah penderita DBD yang ditangani sesuai SOP / Jumlah penderita DBD yang ditemukan x 100</v>
      </c>
      <c r="Z198" s="565">
        <f>'matrik MISI 5'!Z34</f>
        <v>0</v>
      </c>
    </row>
    <row r="199" spans="1:454" ht="45">
      <c r="G199" s="563"/>
      <c r="H199" s="563" t="str">
        <f>'matrik MISI 5'!N35</f>
        <v>CFR atau Angka Kematian DBD (Demam Berdarah Dengue)</v>
      </c>
      <c r="I199" s="563" t="str">
        <f>'matrik MISI 5'!O35</f>
        <v>%</v>
      </c>
      <c r="J199" s="563">
        <f>'matrik MISI 5'!P35</f>
        <v>0</v>
      </c>
      <c r="K199" s="563" t="str">
        <f>'matrik MISI 5'!Q35</f>
        <v>&lt;2</v>
      </c>
      <c r="L199" s="563" t="str">
        <f>'matrik MISI 5'!R35</f>
        <v>&lt;1</v>
      </c>
      <c r="M199" s="604"/>
      <c r="N199" s="563" t="str">
        <f>'matrik MISI 5'!S35</f>
        <v>&lt;1</v>
      </c>
      <c r="O199" s="564"/>
      <c r="P199" s="563" t="str">
        <f>'matrik MISI 5'!T35</f>
        <v>&lt;1</v>
      </c>
      <c r="Q199" s="564"/>
      <c r="R199" s="563" t="str">
        <f>'matrik MISI 5'!U35</f>
        <v>&lt;1</v>
      </c>
      <c r="S199" s="564"/>
      <c r="T199" s="563" t="str">
        <f>'matrik MISI 5'!V35</f>
        <v>&lt;1</v>
      </c>
      <c r="U199" s="564"/>
      <c r="V199" s="563" t="str">
        <f>'matrik MISI 5'!W35</f>
        <v>&lt;1</v>
      </c>
      <c r="W199" s="564"/>
      <c r="X199" s="563" t="str">
        <f>'matrik MISI 5'!X35</f>
        <v>Dinas Kesehatan</v>
      </c>
      <c r="Y199" s="565" t="str">
        <f>'matrik MISI 5'!Y35</f>
        <v>Jumlah kematian yang disebabkan DBD di suatu wilayah kerja pada kurun waktu  tahun tertentu / Jumlah penderita penyakit DBD yang ditemukan di suatu wilayah kerja pada kurun waktu yang sama x 100</v>
      </c>
      <c r="Z199" s="565">
        <f>'matrik MISI 5'!Z35</f>
        <v>0</v>
      </c>
    </row>
    <row r="200" spans="1:454" ht="45">
      <c r="G200" s="563"/>
      <c r="H200" s="563" t="str">
        <f>'matrik MISI 5'!N36</f>
        <v>Penderita DBD (Demam Berdarah Dengue) yang Ditangani</v>
      </c>
      <c r="I200" s="563" t="str">
        <f>'matrik MISI 5'!O36</f>
        <v>%</v>
      </c>
      <c r="J200" s="563">
        <f>'matrik MISI 5'!P36</f>
        <v>100</v>
      </c>
      <c r="K200" s="563">
        <f>'matrik MISI 5'!Q36</f>
        <v>100</v>
      </c>
      <c r="L200" s="563">
        <f>'matrik MISI 5'!R36</f>
        <v>100</v>
      </c>
      <c r="M200" s="604"/>
      <c r="N200" s="563">
        <f>'matrik MISI 5'!S36</f>
        <v>100</v>
      </c>
      <c r="O200" s="564"/>
      <c r="P200" s="563">
        <f>'matrik MISI 5'!T36</f>
        <v>100</v>
      </c>
      <c r="Q200" s="564"/>
      <c r="R200" s="563">
        <f>'matrik MISI 5'!U36</f>
        <v>100</v>
      </c>
      <c r="S200" s="564"/>
      <c r="T200" s="563">
        <f>'matrik MISI 5'!V36</f>
        <v>100</v>
      </c>
      <c r="U200" s="564"/>
      <c r="V200" s="563">
        <f>'matrik MISI 5'!W36</f>
        <v>100</v>
      </c>
      <c r="W200" s="564"/>
      <c r="X200" s="563" t="str">
        <f>'matrik MISI 5'!X36</f>
        <v>Dinas Kesehatan</v>
      </c>
      <c r="Y200" s="565" t="str">
        <f>'matrik MISI 5'!Y36</f>
        <v>Jumlah penderita DBD yang ditangani sesuai SOP / Jumlah penderita DBD yang ditemukan x100</v>
      </c>
      <c r="Z200" s="565">
        <f>'matrik MISI 5'!Z36</f>
        <v>0</v>
      </c>
    </row>
    <row r="201" spans="1:454" ht="45">
      <c r="G201" s="563"/>
      <c r="H201" s="563" t="str">
        <f>'matrik MISI 5'!N37</f>
        <v>Cakupan Desa atau Kelurahan Universal Child Immunisation (UCI)</v>
      </c>
      <c r="I201" s="563" t="str">
        <f>'matrik MISI 5'!O37</f>
        <v>%</v>
      </c>
      <c r="J201" s="563">
        <f>'matrik MISI 5'!P37</f>
        <v>99.65</v>
      </c>
      <c r="K201" s="563">
        <f>'matrik MISI 5'!Q37</f>
        <v>100</v>
      </c>
      <c r="L201" s="563">
        <f>'matrik MISI 5'!R37</f>
        <v>100</v>
      </c>
      <c r="M201" s="604"/>
      <c r="N201" s="563">
        <f>'matrik MISI 5'!S37</f>
        <v>100</v>
      </c>
      <c r="O201" s="564"/>
      <c r="P201" s="563">
        <f>'matrik MISI 5'!T37</f>
        <v>100</v>
      </c>
      <c r="Q201" s="564"/>
      <c r="R201" s="563">
        <f>'matrik MISI 5'!U37</f>
        <v>100</v>
      </c>
      <c r="S201" s="564"/>
      <c r="T201" s="563">
        <f>'matrik MISI 5'!V37</f>
        <v>100</v>
      </c>
      <c r="U201" s="564"/>
      <c r="V201" s="563">
        <f>'matrik MISI 5'!W37</f>
        <v>100</v>
      </c>
      <c r="W201" s="564"/>
      <c r="X201" s="563" t="str">
        <f>'matrik MISI 5'!X37</f>
        <v>Dinas Kesehatan</v>
      </c>
      <c r="Y201" s="565" t="str">
        <f>'matrik MISI 5'!Y37</f>
        <v>Jumlah desa/kelurahan UCI / Jumlah seluruh desa/kelurahan x 100</v>
      </c>
      <c r="Z201" s="565">
        <f>'matrik MISI 5'!Z37</f>
        <v>0</v>
      </c>
    </row>
    <row r="202" spans="1:454" ht="30">
      <c r="G202" s="563"/>
      <c r="H202" s="563" t="str">
        <f>'matrik MISI 5'!N38</f>
        <v>Proporsi Anak Umur 1 Tahun diimunisasi Campak</v>
      </c>
      <c r="I202" s="563" t="str">
        <f>'matrik MISI 5'!O38</f>
        <v>%</v>
      </c>
      <c r="J202" s="563">
        <f>'matrik MISI 5'!P38</f>
        <v>95</v>
      </c>
      <c r="K202" s="563">
        <f>'matrik MISI 5'!Q38</f>
        <v>95</v>
      </c>
      <c r="L202" s="563">
        <f>'matrik MISI 5'!R38</f>
        <v>95</v>
      </c>
      <c r="M202" s="604"/>
      <c r="N202" s="563">
        <f>'matrik MISI 5'!S38</f>
        <v>95</v>
      </c>
      <c r="O202" s="564"/>
      <c r="P202" s="563">
        <f>'matrik MISI 5'!T38</f>
        <v>95</v>
      </c>
      <c r="Q202" s="564"/>
      <c r="R202" s="563">
        <f>'matrik MISI 5'!U38</f>
        <v>95</v>
      </c>
      <c r="S202" s="564"/>
      <c r="T202" s="563">
        <f>'matrik MISI 5'!V38</f>
        <v>95</v>
      </c>
      <c r="U202" s="564"/>
      <c r="V202" s="563">
        <f>'matrik MISI 5'!W38</f>
        <v>95</v>
      </c>
      <c r="W202" s="564"/>
      <c r="X202" s="563" t="str">
        <f>'matrik MISI 5'!X38</f>
        <v>Dinas Kesehatan</v>
      </c>
      <c r="Y202" s="565" t="str">
        <f>'matrik MISI 5'!Y38</f>
        <v>Banyaknya anak yang pernah diimunisasi campak sekurang-kurangnya 1 kali dan usia 12-23 bulan / Jumlah anak yang berusia 12-23 bulan x 100</v>
      </c>
      <c r="Z202" s="565">
        <f>'matrik MISI 5'!Z38</f>
        <v>0</v>
      </c>
    </row>
    <row r="203" spans="1:454" ht="45">
      <c r="G203" s="563"/>
      <c r="H203" s="563" t="str">
        <f>'matrik MISI 5'!N39</f>
        <v>Acut Flacid Paralysis (AFP) Rate per 100.000  Penduduk Usia &lt; 15 Tahun</v>
      </c>
      <c r="I203" s="563" t="str">
        <f>'matrik MISI 5'!O39</f>
        <v>kasus</v>
      </c>
      <c r="J203" s="563" t="str">
        <f>'matrik MISI 5'!P39</f>
        <v>5 kasus</v>
      </c>
      <c r="K203" s="563" t="str">
        <f>'matrik MISI 5'!Q39</f>
        <v>≥2 (4 kasus)</v>
      </c>
      <c r="L203" s="563" t="str">
        <f>'matrik MISI 5'!R39</f>
        <v>≥2 (4 kasus)</v>
      </c>
      <c r="M203" s="604"/>
      <c r="N203" s="563" t="str">
        <f>'matrik MISI 5'!S39</f>
        <v>≥2 (4 kasus)</v>
      </c>
      <c r="O203" s="564"/>
      <c r="P203" s="563" t="str">
        <f>'matrik MISI 5'!T39</f>
        <v>≥2 (4 kasus)</v>
      </c>
      <c r="Q203" s="564"/>
      <c r="R203" s="563" t="str">
        <f>'matrik MISI 5'!U39</f>
        <v>≥2 (4 kasus)</v>
      </c>
      <c r="S203" s="564"/>
      <c r="T203" s="563" t="str">
        <f>'matrik MISI 5'!V39</f>
        <v>≥2 (4 kasus)</v>
      </c>
      <c r="U203" s="564"/>
      <c r="V203" s="563" t="str">
        <f>'matrik MISI 5'!W39</f>
        <v>≥2 (4 kasus)</v>
      </c>
      <c r="W203" s="564"/>
      <c r="X203" s="563" t="str">
        <f>'matrik MISI 5'!X39</f>
        <v>Dinas Kesehatan</v>
      </c>
      <c r="Y203" s="565" t="str">
        <f>'matrik MISI 5'!Y39</f>
        <v xml:space="preserve">Jumlah kasus AFP non Polio pada penduduk &lt; 15 tahun yang dilaporkan / Jumlah Penduduk &lt; 15 tahun x 100
</v>
      </c>
      <c r="Z203" s="565">
        <f>'matrik MISI 5'!Z39</f>
        <v>0</v>
      </c>
    </row>
    <row r="204" spans="1:454" s="569" customFormat="1" ht="75">
      <c r="B204" s="267"/>
      <c r="C204" s="562"/>
      <c r="D204" s="563"/>
      <c r="E204" s="563"/>
      <c r="F204" s="563"/>
      <c r="G204" s="563"/>
      <c r="H204" s="563" t="str">
        <f>'matrik MISI 5'!N40</f>
        <v>Cakupan Desa atau Kelurahan Mengalami Kejadian Luar Biasa (KLB) yang dilakukan Penyelidikan Epidemiologi &lt; 24 jam</v>
      </c>
      <c r="I204" s="563" t="str">
        <f>'matrik MISI 5'!O40</f>
        <v>%</v>
      </c>
      <c r="J204" s="563">
        <f>'matrik MISI 5'!P40</f>
        <v>96.15</v>
      </c>
      <c r="K204" s="563">
        <f>'matrik MISI 5'!Q40</f>
        <v>100</v>
      </c>
      <c r="L204" s="563">
        <f>'matrik MISI 5'!R40</f>
        <v>100</v>
      </c>
      <c r="M204" s="604"/>
      <c r="N204" s="563">
        <f>'matrik MISI 5'!S40</f>
        <v>100</v>
      </c>
      <c r="O204" s="564"/>
      <c r="P204" s="563">
        <f>'matrik MISI 5'!T40</f>
        <v>100</v>
      </c>
      <c r="Q204" s="564"/>
      <c r="R204" s="563">
        <f>'matrik MISI 5'!U40</f>
        <v>100</v>
      </c>
      <c r="S204" s="564"/>
      <c r="T204" s="563">
        <f>'matrik MISI 5'!V40</f>
        <v>100</v>
      </c>
      <c r="U204" s="564"/>
      <c r="V204" s="563">
        <f>'matrik MISI 5'!W40</f>
        <v>100</v>
      </c>
      <c r="W204" s="564"/>
      <c r="X204" s="563" t="str">
        <f>'matrik MISI 5'!X40</f>
        <v>Dinas Kesehatan</v>
      </c>
      <c r="Y204" s="565" t="str">
        <f>'matrik MISI 5'!Y40</f>
        <v>Jumlah KLB di desa/kelurahan yang ditangani &lt;24 jam / Jumlah KLB di desa/kelurahan yang terjadi pada wilayah desa/kelurahan x 100</v>
      </c>
      <c r="Z204" s="565">
        <f>'matrik MISI 5'!Z40</f>
        <v>0</v>
      </c>
    </row>
    <row r="205" spans="1:454" s="569" customFormat="1" ht="30">
      <c r="B205" s="267"/>
      <c r="C205" s="562"/>
      <c r="D205" s="563"/>
      <c r="E205" s="563"/>
      <c r="F205" s="563"/>
      <c r="G205" s="563"/>
      <c r="H205" s="563" t="str">
        <f>'matrik MISI 5'!N41</f>
        <v>Cakupan Penderita diare Yang ditangani</v>
      </c>
      <c r="I205" s="563" t="str">
        <f>'matrik MISI 5'!O41</f>
        <v>%</v>
      </c>
      <c r="J205" s="563">
        <f>'matrik MISI 5'!P41</f>
        <v>100</v>
      </c>
      <c r="K205" s="563">
        <f>'matrik MISI 5'!Q41</f>
        <v>100</v>
      </c>
      <c r="L205" s="563">
        <f>'matrik MISI 5'!R41</f>
        <v>100</v>
      </c>
      <c r="M205" s="604"/>
      <c r="N205" s="563">
        <f>'matrik MISI 5'!S41</f>
        <v>100</v>
      </c>
      <c r="O205" s="564"/>
      <c r="P205" s="563">
        <f>'matrik MISI 5'!T41</f>
        <v>100</v>
      </c>
      <c r="Q205" s="564"/>
      <c r="R205" s="563">
        <f>'matrik MISI 5'!U41</f>
        <v>100</v>
      </c>
      <c r="S205" s="564"/>
      <c r="T205" s="563">
        <f>'matrik MISI 5'!V41</f>
        <v>100</v>
      </c>
      <c r="U205" s="564"/>
      <c r="V205" s="563">
        <f>'matrik MISI 5'!W41</f>
        <v>100</v>
      </c>
      <c r="W205" s="564"/>
      <c r="X205" s="563" t="str">
        <f>'matrik MISI 5'!X41</f>
        <v>Dinas Kesehatan</v>
      </c>
      <c r="Y205" s="565" t="str">
        <f>'matrik MISI 5'!Y41</f>
        <v>Jumlah penderita diare yang datang dan dilayani di sarana Kesehatan dan Kader / Jumlah perkiraan penderita diare   x 100</v>
      </c>
      <c r="Z205" s="565">
        <f>'matrik MISI 5'!Z41</f>
        <v>0</v>
      </c>
    </row>
    <row r="206" spans="1:454" s="574" customFormat="1" ht="30">
      <c r="A206" s="569"/>
      <c r="B206" s="575"/>
      <c r="C206" s="576"/>
      <c r="D206" s="577">
        <f>'matrik MISI 5'!J43</f>
        <v>1.02</v>
      </c>
      <c r="E206" s="577" t="str">
        <f>'matrik MISI 5'!K43</f>
        <v>xx</v>
      </c>
      <c r="F206" s="577">
        <f>'matrik MISI 5'!L43</f>
        <v>20</v>
      </c>
      <c r="G206" s="577" t="str">
        <f>'matrik MISI 5'!M43</f>
        <v>Perbaikan Gizi Masyarakat</v>
      </c>
      <c r="H206" s="577"/>
      <c r="I206" s="577"/>
      <c r="J206" s="577"/>
      <c r="K206" s="577"/>
      <c r="L206" s="577"/>
      <c r="M206" s="578">
        <f>'jangan di hapus 1'!K315</f>
        <v>250000000</v>
      </c>
      <c r="N206" s="578"/>
      <c r="O206" s="578">
        <f>'jangan di hapus 1'!M315</f>
        <v>612500000</v>
      </c>
      <c r="P206" s="578"/>
      <c r="Q206" s="578">
        <f>'jangan di hapus 1'!O315</f>
        <v>700000000</v>
      </c>
      <c r="R206" s="578"/>
      <c r="S206" s="578">
        <f>'jangan di hapus 1'!Q315</f>
        <v>750000000</v>
      </c>
      <c r="T206" s="578"/>
      <c r="U206" s="578">
        <f>'jangan di hapus 1'!S315</f>
        <v>800000000</v>
      </c>
      <c r="V206" s="577"/>
      <c r="W206" s="578">
        <f>SUM(M206:U206)</f>
        <v>3112500000</v>
      </c>
      <c r="X206" s="577"/>
      <c r="Y206" s="577"/>
      <c r="Z206" s="577"/>
      <c r="AA206" s="569"/>
      <c r="AB206" s="569"/>
      <c r="AC206" s="569"/>
      <c r="AD206" s="569"/>
      <c r="AE206" s="569"/>
      <c r="AF206" s="569"/>
      <c r="AG206" s="569"/>
      <c r="AH206" s="569"/>
      <c r="AI206" s="569"/>
      <c r="AJ206" s="569"/>
      <c r="AK206" s="569"/>
      <c r="AL206" s="569"/>
      <c r="AM206" s="569"/>
      <c r="AN206" s="569"/>
      <c r="AO206" s="569"/>
      <c r="AP206" s="569"/>
      <c r="AQ206" s="569"/>
      <c r="AR206" s="569"/>
      <c r="AS206" s="569"/>
      <c r="AT206" s="569"/>
      <c r="AU206" s="569"/>
      <c r="AV206" s="569"/>
      <c r="AW206" s="569"/>
      <c r="AX206" s="569"/>
      <c r="AY206" s="569"/>
      <c r="AZ206" s="569"/>
      <c r="BA206" s="569"/>
      <c r="BB206" s="569"/>
      <c r="BC206" s="569"/>
      <c r="BD206" s="569"/>
      <c r="BE206" s="569"/>
      <c r="BF206" s="569"/>
      <c r="BG206" s="569"/>
      <c r="BH206" s="569"/>
      <c r="BI206" s="569"/>
      <c r="BJ206" s="569"/>
      <c r="BK206" s="569"/>
      <c r="BL206" s="569"/>
      <c r="BM206" s="569"/>
      <c r="BN206" s="569"/>
      <c r="BO206" s="569"/>
      <c r="BP206" s="569"/>
      <c r="BQ206" s="569"/>
      <c r="BR206" s="569"/>
      <c r="BS206" s="569"/>
      <c r="BT206" s="569"/>
      <c r="BU206" s="569"/>
      <c r="BV206" s="569"/>
      <c r="BW206" s="569"/>
      <c r="BX206" s="569"/>
      <c r="BY206" s="569"/>
      <c r="BZ206" s="569"/>
      <c r="CA206" s="569"/>
      <c r="CB206" s="569"/>
      <c r="CC206" s="569"/>
      <c r="CD206" s="569"/>
      <c r="CE206" s="569"/>
      <c r="CF206" s="569"/>
      <c r="CG206" s="569"/>
      <c r="CH206" s="569"/>
      <c r="CI206" s="569"/>
      <c r="CJ206" s="569"/>
      <c r="CK206" s="569"/>
      <c r="CL206" s="569"/>
      <c r="CM206" s="569"/>
      <c r="CN206" s="569"/>
      <c r="CO206" s="569"/>
      <c r="CP206" s="569"/>
      <c r="CQ206" s="569"/>
      <c r="CR206" s="569"/>
      <c r="CS206" s="569"/>
      <c r="CT206" s="569"/>
      <c r="CU206" s="569"/>
      <c r="CV206" s="569"/>
      <c r="CW206" s="569"/>
      <c r="CX206" s="569"/>
      <c r="CY206" s="569"/>
      <c r="CZ206" s="569"/>
      <c r="DA206" s="569"/>
      <c r="DB206" s="569"/>
      <c r="DC206" s="569"/>
      <c r="DD206" s="569"/>
      <c r="DE206" s="569"/>
      <c r="DF206" s="569"/>
      <c r="DG206" s="569"/>
      <c r="DH206" s="569"/>
      <c r="DI206" s="569"/>
      <c r="DJ206" s="569"/>
      <c r="DK206" s="569"/>
      <c r="DL206" s="569"/>
      <c r="DM206" s="569"/>
      <c r="DN206" s="569"/>
      <c r="DO206" s="569"/>
      <c r="DP206" s="569"/>
      <c r="DQ206" s="569"/>
      <c r="DR206" s="569"/>
      <c r="DS206" s="569"/>
      <c r="DT206" s="569"/>
      <c r="DU206" s="569"/>
      <c r="DV206" s="569"/>
      <c r="DW206" s="569"/>
      <c r="DX206" s="569"/>
      <c r="DY206" s="569"/>
      <c r="DZ206" s="569"/>
      <c r="EA206" s="569"/>
      <c r="EB206" s="569"/>
      <c r="EC206" s="569"/>
      <c r="ED206" s="569"/>
      <c r="EE206" s="569"/>
      <c r="EF206" s="569"/>
      <c r="EG206" s="569"/>
      <c r="EH206" s="569"/>
      <c r="EI206" s="569"/>
      <c r="EJ206" s="569"/>
      <c r="EK206" s="569"/>
      <c r="EL206" s="569"/>
      <c r="EM206" s="569"/>
      <c r="EN206" s="569"/>
      <c r="EO206" s="569"/>
      <c r="EP206" s="569"/>
      <c r="EQ206" s="569"/>
      <c r="ER206" s="569"/>
      <c r="ES206" s="569"/>
      <c r="ET206" s="569"/>
      <c r="EU206" s="569"/>
      <c r="EV206" s="569"/>
      <c r="EW206" s="569"/>
      <c r="EX206" s="569"/>
      <c r="EY206" s="569"/>
      <c r="EZ206" s="569"/>
      <c r="FA206" s="569"/>
      <c r="FB206" s="569"/>
      <c r="FC206" s="569"/>
      <c r="FD206" s="569"/>
      <c r="FE206" s="569"/>
      <c r="FF206" s="569"/>
      <c r="FG206" s="569"/>
      <c r="FH206" s="569"/>
      <c r="FI206" s="569"/>
      <c r="FJ206" s="569"/>
      <c r="FK206" s="569"/>
      <c r="FL206" s="569"/>
      <c r="FM206" s="569"/>
      <c r="FN206" s="569"/>
      <c r="FO206" s="569"/>
      <c r="FP206" s="569"/>
      <c r="FQ206" s="569"/>
      <c r="FR206" s="569"/>
      <c r="FS206" s="569"/>
      <c r="FT206" s="569"/>
      <c r="FU206" s="569"/>
      <c r="FV206" s="569"/>
      <c r="FW206" s="569"/>
      <c r="FX206" s="569"/>
      <c r="FY206" s="569"/>
      <c r="FZ206" s="569"/>
      <c r="GA206" s="569"/>
      <c r="GB206" s="569"/>
      <c r="GC206" s="569"/>
      <c r="GD206" s="569"/>
      <c r="GE206" s="569"/>
      <c r="GF206" s="569"/>
      <c r="GG206" s="569"/>
      <c r="GH206" s="569"/>
      <c r="GI206" s="569"/>
      <c r="GJ206" s="569"/>
      <c r="GK206" s="569"/>
      <c r="GL206" s="569"/>
      <c r="GM206" s="569"/>
      <c r="GN206" s="569"/>
      <c r="GO206" s="569"/>
      <c r="GP206" s="569"/>
      <c r="GQ206" s="569"/>
      <c r="GR206" s="569"/>
      <c r="GS206" s="569"/>
      <c r="GT206" s="569"/>
      <c r="GU206" s="569"/>
      <c r="GV206" s="569"/>
      <c r="GW206" s="569"/>
      <c r="GX206" s="569"/>
      <c r="GY206" s="569"/>
      <c r="GZ206" s="569"/>
      <c r="HA206" s="569"/>
      <c r="HB206" s="569"/>
      <c r="HC206" s="569"/>
      <c r="HD206" s="569"/>
      <c r="HE206" s="569"/>
      <c r="HF206" s="569"/>
      <c r="HG206" s="569"/>
      <c r="HH206" s="569"/>
      <c r="HI206" s="569"/>
      <c r="HJ206" s="569"/>
      <c r="HK206" s="569"/>
      <c r="HL206" s="569"/>
      <c r="HM206" s="569"/>
      <c r="HN206" s="569"/>
      <c r="HO206" s="569"/>
      <c r="HP206" s="569"/>
      <c r="HQ206" s="569"/>
      <c r="HR206" s="569"/>
      <c r="HS206" s="569"/>
      <c r="HT206" s="569"/>
      <c r="HU206" s="569"/>
      <c r="HV206" s="569"/>
      <c r="HW206" s="569"/>
      <c r="HX206" s="569"/>
      <c r="HY206" s="569"/>
      <c r="HZ206" s="569"/>
      <c r="IA206" s="569"/>
      <c r="IB206" s="569"/>
      <c r="IC206" s="569"/>
      <c r="ID206" s="569"/>
      <c r="IE206" s="569"/>
      <c r="IF206" s="569"/>
      <c r="IG206" s="569"/>
      <c r="IH206" s="569"/>
      <c r="II206" s="569"/>
      <c r="IJ206" s="569"/>
      <c r="IK206" s="569"/>
      <c r="IL206" s="569"/>
      <c r="IM206" s="569"/>
      <c r="IN206" s="569"/>
      <c r="IO206" s="569"/>
      <c r="IP206" s="569"/>
      <c r="IQ206" s="569"/>
      <c r="IR206" s="569"/>
      <c r="IS206" s="569"/>
      <c r="IT206" s="569"/>
      <c r="IU206" s="569"/>
      <c r="IV206" s="569"/>
      <c r="IW206" s="569"/>
      <c r="IX206" s="569"/>
      <c r="IY206" s="569"/>
      <c r="IZ206" s="569"/>
      <c r="JA206" s="569"/>
      <c r="JB206" s="569"/>
      <c r="JC206" s="569"/>
      <c r="JD206" s="569"/>
      <c r="JE206" s="569"/>
      <c r="JF206" s="569"/>
      <c r="JG206" s="569"/>
      <c r="JH206" s="569"/>
      <c r="JI206" s="569"/>
      <c r="JJ206" s="569"/>
      <c r="JK206" s="569"/>
      <c r="JL206" s="569"/>
      <c r="JM206" s="569"/>
      <c r="JN206" s="569"/>
      <c r="JO206" s="569"/>
      <c r="JP206" s="569"/>
      <c r="JQ206" s="569"/>
      <c r="JR206" s="569"/>
      <c r="JS206" s="569"/>
      <c r="JT206" s="569"/>
      <c r="JU206" s="569"/>
      <c r="JV206" s="569"/>
      <c r="JW206" s="569"/>
      <c r="JX206" s="569"/>
      <c r="JY206" s="569"/>
      <c r="JZ206" s="569"/>
      <c r="KA206" s="569"/>
      <c r="KB206" s="569"/>
      <c r="KC206" s="569"/>
      <c r="KD206" s="569"/>
      <c r="KE206" s="569"/>
      <c r="KF206" s="569"/>
      <c r="KG206" s="569"/>
      <c r="KH206" s="569"/>
      <c r="KI206" s="569"/>
      <c r="KJ206" s="569"/>
      <c r="KK206" s="569"/>
      <c r="KL206" s="569"/>
      <c r="KM206" s="569"/>
      <c r="KN206" s="569"/>
      <c r="KO206" s="569"/>
      <c r="KP206" s="569"/>
      <c r="KQ206" s="569"/>
      <c r="KR206" s="569"/>
      <c r="KS206" s="569"/>
      <c r="KT206" s="569"/>
      <c r="KU206" s="569"/>
      <c r="KV206" s="569"/>
      <c r="KW206" s="569"/>
      <c r="KX206" s="569"/>
      <c r="KY206" s="569"/>
      <c r="KZ206" s="569"/>
      <c r="LA206" s="569"/>
      <c r="LB206" s="569"/>
      <c r="LC206" s="569"/>
      <c r="LD206" s="569"/>
      <c r="LE206" s="569"/>
      <c r="LF206" s="569"/>
      <c r="LG206" s="569"/>
      <c r="LH206" s="569"/>
      <c r="LI206" s="569"/>
      <c r="LJ206" s="569"/>
      <c r="LK206" s="569"/>
      <c r="LL206" s="569"/>
      <c r="LM206" s="569"/>
      <c r="LN206" s="569"/>
      <c r="LO206" s="569"/>
      <c r="LP206" s="569"/>
      <c r="LQ206" s="569"/>
      <c r="LR206" s="569"/>
      <c r="LS206" s="569"/>
      <c r="LT206" s="569"/>
      <c r="LU206" s="569"/>
      <c r="LV206" s="569"/>
      <c r="LW206" s="569"/>
      <c r="LX206" s="569"/>
      <c r="LY206" s="569"/>
      <c r="LZ206" s="569"/>
      <c r="MA206" s="569"/>
      <c r="MB206" s="569"/>
      <c r="MC206" s="569"/>
      <c r="MD206" s="569"/>
      <c r="ME206" s="569"/>
      <c r="MF206" s="569"/>
      <c r="MG206" s="569"/>
      <c r="MH206" s="569"/>
      <c r="MI206" s="569"/>
      <c r="MJ206" s="569"/>
      <c r="MK206" s="569"/>
      <c r="ML206" s="569"/>
      <c r="MM206" s="569"/>
      <c r="MN206" s="569"/>
      <c r="MO206" s="569"/>
      <c r="MP206" s="569"/>
      <c r="MQ206" s="569"/>
      <c r="MR206" s="569"/>
      <c r="MS206" s="569"/>
      <c r="MT206" s="569"/>
      <c r="MU206" s="569"/>
      <c r="MV206" s="569"/>
      <c r="MW206" s="569"/>
      <c r="MX206" s="569"/>
      <c r="MY206" s="569"/>
      <c r="MZ206" s="569"/>
      <c r="NA206" s="569"/>
      <c r="NB206" s="569"/>
      <c r="NC206" s="569"/>
      <c r="ND206" s="569"/>
      <c r="NE206" s="569"/>
      <c r="NF206" s="569"/>
      <c r="NG206" s="569"/>
      <c r="NH206" s="569"/>
      <c r="NI206" s="569"/>
      <c r="NJ206" s="569"/>
      <c r="NK206" s="569"/>
      <c r="NL206" s="569"/>
      <c r="NM206" s="569"/>
      <c r="NN206" s="569"/>
      <c r="NO206" s="569"/>
      <c r="NP206" s="569"/>
      <c r="NQ206" s="569"/>
      <c r="NR206" s="569"/>
      <c r="NS206" s="569"/>
      <c r="NT206" s="569"/>
      <c r="NU206" s="569"/>
      <c r="NV206" s="569"/>
      <c r="NW206" s="569"/>
      <c r="NX206" s="569"/>
      <c r="NY206" s="569"/>
      <c r="NZ206" s="569"/>
      <c r="OA206" s="569"/>
      <c r="OB206" s="569"/>
      <c r="OC206" s="569"/>
      <c r="OD206" s="569"/>
      <c r="OE206" s="569"/>
      <c r="OF206" s="569"/>
      <c r="OG206" s="569"/>
      <c r="OH206" s="569"/>
      <c r="OI206" s="569"/>
      <c r="OJ206" s="569"/>
      <c r="OK206" s="569"/>
      <c r="OL206" s="569"/>
      <c r="OM206" s="569"/>
      <c r="ON206" s="569"/>
      <c r="OO206" s="569"/>
      <c r="OP206" s="569"/>
      <c r="OQ206" s="569"/>
      <c r="OR206" s="569"/>
      <c r="OS206" s="569"/>
      <c r="OT206" s="569"/>
      <c r="OU206" s="569"/>
      <c r="OV206" s="569"/>
      <c r="OW206" s="569"/>
      <c r="OX206" s="569"/>
      <c r="OY206" s="569"/>
      <c r="OZ206" s="569"/>
      <c r="PA206" s="569"/>
      <c r="PB206" s="569"/>
      <c r="PC206" s="569"/>
      <c r="PD206" s="569"/>
      <c r="PE206" s="569"/>
      <c r="PF206" s="569"/>
      <c r="PG206" s="569"/>
      <c r="PH206" s="569"/>
      <c r="PI206" s="569"/>
      <c r="PJ206" s="569"/>
      <c r="PK206" s="569"/>
      <c r="PL206" s="569"/>
      <c r="PM206" s="569"/>
      <c r="PN206" s="569"/>
      <c r="PO206" s="569"/>
      <c r="PP206" s="569"/>
      <c r="PQ206" s="569"/>
      <c r="PR206" s="569"/>
      <c r="PS206" s="569"/>
      <c r="PT206" s="569"/>
      <c r="PU206" s="569"/>
      <c r="PV206" s="569"/>
      <c r="PW206" s="569"/>
      <c r="PX206" s="569"/>
      <c r="PY206" s="569"/>
      <c r="PZ206" s="569"/>
      <c r="QA206" s="569"/>
      <c r="QB206" s="569"/>
      <c r="QC206" s="569"/>
      <c r="QD206" s="569"/>
      <c r="QE206" s="569"/>
      <c r="QF206" s="569"/>
      <c r="QG206" s="569"/>
      <c r="QH206" s="569"/>
      <c r="QI206" s="569"/>
      <c r="QJ206" s="569"/>
      <c r="QK206" s="569"/>
      <c r="QL206" s="569"/>
    </row>
    <row r="207" spans="1:454" s="569" customFormat="1" ht="30">
      <c r="B207" s="267"/>
      <c r="C207" s="562"/>
      <c r="H207" s="563" t="str">
        <f>'matrik MISI 5'!N43</f>
        <v>Prevalensi Gizi Kurang pada Anak Balita (0-60 bulan)</v>
      </c>
      <c r="I207" s="563" t="str">
        <f>'matrik MISI 5'!O43</f>
        <v>%</v>
      </c>
      <c r="J207" s="563">
        <f>'matrik MISI 5'!P43</f>
        <v>11.2</v>
      </c>
      <c r="K207" s="563">
        <f>'matrik MISI 5'!Q43</f>
        <v>15.5</v>
      </c>
      <c r="L207" s="563">
        <f>'matrik MISI 5'!R43</f>
        <v>15.5</v>
      </c>
      <c r="M207" s="604"/>
      <c r="N207" s="563">
        <f>'matrik MISI 5'!S43</f>
        <v>15.5</v>
      </c>
      <c r="O207" s="564"/>
      <c r="P207" s="563">
        <f>'matrik MISI 5'!T43</f>
        <v>15.5</v>
      </c>
      <c r="Q207" s="564"/>
      <c r="R207" s="563">
        <f>'matrik MISI 5'!U43</f>
        <v>15.5</v>
      </c>
      <c r="S207" s="564"/>
      <c r="T207" s="563">
        <f>'matrik MISI 5'!V43</f>
        <v>15.5</v>
      </c>
      <c r="U207" s="564"/>
      <c r="V207" s="563">
        <f>'matrik MISI 5'!W43</f>
        <v>15.5</v>
      </c>
      <c r="W207" s="564"/>
      <c r="X207" s="563" t="str">
        <f>'matrik MISI 5'!X43</f>
        <v>Dinas Kesehatan</v>
      </c>
      <c r="Y207" s="565" t="str">
        <f>'matrik MISI 5'!Y43</f>
        <v>Jumlah Gizi Kurang pada Anak Balita (0-60 bulan) yang ditemukan / Jumlah seluruh anak balita x 100</v>
      </c>
      <c r="Z207" s="565">
        <f>'matrik MISI 5'!Z43</f>
        <v>0</v>
      </c>
    </row>
    <row r="208" spans="1:454" s="569" customFormat="1" ht="30">
      <c r="B208" s="267"/>
      <c r="C208" s="562"/>
      <c r="D208" s="563"/>
      <c r="E208" s="563"/>
      <c r="F208" s="563"/>
      <c r="G208" s="563"/>
      <c r="H208" s="563" t="str">
        <f>'matrik MISI 5'!N44</f>
        <v>Prevalensi Gizi Buruk pada Anak Balita (0-60 bulan)</v>
      </c>
      <c r="I208" s="563" t="str">
        <f>'matrik MISI 5'!O44</f>
        <v>%</v>
      </c>
      <c r="J208" s="563">
        <f>'matrik MISI 5'!P44</f>
        <v>0.04</v>
      </c>
      <c r="K208" s="563" t="str">
        <f>'matrik MISI 5'!Q44</f>
        <v>&lt;0,5</v>
      </c>
      <c r="L208" s="563" t="str">
        <f>'matrik MISI 5'!R44</f>
        <v>&lt;0,5</v>
      </c>
      <c r="M208" s="604"/>
      <c r="N208" s="563" t="str">
        <f>'matrik MISI 5'!S44</f>
        <v>&lt;0,5</v>
      </c>
      <c r="O208" s="564"/>
      <c r="P208" s="563" t="str">
        <f>'matrik MISI 5'!T44</f>
        <v>&lt;0,5</v>
      </c>
      <c r="Q208" s="564"/>
      <c r="R208" s="563" t="str">
        <f>'matrik MISI 5'!U44</f>
        <v>&lt;0,5</v>
      </c>
      <c r="S208" s="564"/>
      <c r="T208" s="563" t="str">
        <f>'matrik MISI 5'!V44</f>
        <v>&lt;0,5</v>
      </c>
      <c r="U208" s="564"/>
      <c r="V208" s="563" t="str">
        <f>'matrik MISI 5'!W44</f>
        <v>&lt;0,5</v>
      </c>
      <c r="W208" s="564"/>
      <c r="X208" s="563">
        <f>'matrik MISI 5'!X44</f>
        <v>0</v>
      </c>
      <c r="Y208" s="565" t="str">
        <f>'matrik MISI 5'!Y44</f>
        <v>Jumlah Gizi Buruk pada Anak Balita (0-60 bulan) yang ditemukan / Jumlah seluruh anak balita x 100</v>
      </c>
      <c r="Z208" s="565">
        <f>'matrik MISI 5'!Z44</f>
        <v>0</v>
      </c>
    </row>
    <row r="209" spans="1:454" s="569" customFormat="1" ht="45">
      <c r="B209" s="267"/>
      <c r="C209" s="562"/>
      <c r="D209" s="563"/>
      <c r="E209" s="563"/>
      <c r="F209" s="563"/>
      <c r="G209" s="563"/>
      <c r="H209" s="563" t="str">
        <f>'matrik MISI 5'!N45</f>
        <v>Cakupan Pemberian Makanan Pendamping ASI pada Anak Usia &lt; 24 Bulan dari Keluarga Miskin</v>
      </c>
      <c r="I209" s="563" t="str">
        <f>'matrik MISI 5'!O45</f>
        <v>%</v>
      </c>
      <c r="J209" s="563">
        <f>'matrik MISI 5'!P45</f>
        <v>100</v>
      </c>
      <c r="K209" s="563">
        <f>'matrik MISI 5'!Q45</f>
        <v>100</v>
      </c>
      <c r="L209" s="563">
        <f>'matrik MISI 5'!R45</f>
        <v>100</v>
      </c>
      <c r="M209" s="604"/>
      <c r="N209" s="563">
        <f>'matrik MISI 5'!S45</f>
        <v>100</v>
      </c>
      <c r="O209" s="564"/>
      <c r="P209" s="563">
        <f>'matrik MISI 5'!T45</f>
        <v>100</v>
      </c>
      <c r="Q209" s="564"/>
      <c r="R209" s="563">
        <f>'matrik MISI 5'!U45</f>
        <v>100</v>
      </c>
      <c r="S209" s="564"/>
      <c r="T209" s="563">
        <f>'matrik MISI 5'!V45</f>
        <v>100</v>
      </c>
      <c r="U209" s="564"/>
      <c r="V209" s="563">
        <f>'matrik MISI 5'!W45</f>
        <v>100</v>
      </c>
      <c r="W209" s="564"/>
      <c r="X209" s="563" t="str">
        <f>'matrik MISI 5'!X45</f>
        <v>Dinas Kesehatan</v>
      </c>
      <c r="Y209" s="565" t="str">
        <f>'matrik MISI 5'!Y45</f>
        <v>Jumlah anak usia 6 – 24 bulan dari keluarga miskin yang mendapat MP – ASI / Jumlah seluruh anak usia 6 – 24 bulan dari keluarga miskin x 100</v>
      </c>
      <c r="Z209" s="565">
        <f>'matrik MISI 5'!Z45</f>
        <v>0</v>
      </c>
    </row>
    <row r="210" spans="1:454" s="569" customFormat="1" ht="30">
      <c r="B210" s="267"/>
      <c r="C210" s="562"/>
      <c r="D210" s="563"/>
      <c r="E210" s="563"/>
      <c r="F210" s="563"/>
      <c r="G210" s="563"/>
      <c r="H210" s="563" t="str">
        <f>'matrik MISI 5'!N46</f>
        <v>Cakupan Balita Gizi Buruk Mendapat Perawatan</v>
      </c>
      <c r="I210" s="563" t="str">
        <f>'matrik MISI 5'!O46</f>
        <v>%</v>
      </c>
      <c r="J210" s="563">
        <f>'matrik MISI 5'!P46</f>
        <v>100</v>
      </c>
      <c r="K210" s="563">
        <f>'matrik MISI 5'!Q46</f>
        <v>100</v>
      </c>
      <c r="L210" s="563">
        <f>'matrik MISI 5'!R46</f>
        <v>100</v>
      </c>
      <c r="M210" s="604"/>
      <c r="N210" s="563">
        <f>'matrik MISI 5'!S46</f>
        <v>100</v>
      </c>
      <c r="O210" s="564"/>
      <c r="P210" s="563">
        <f>'matrik MISI 5'!T46</f>
        <v>100</v>
      </c>
      <c r="Q210" s="564"/>
      <c r="R210" s="563">
        <f>'matrik MISI 5'!U46</f>
        <v>100</v>
      </c>
      <c r="S210" s="564"/>
      <c r="T210" s="563">
        <f>'matrik MISI 5'!V46</f>
        <v>100</v>
      </c>
      <c r="U210" s="564"/>
      <c r="V210" s="563">
        <f>'matrik MISI 5'!W46</f>
        <v>100</v>
      </c>
      <c r="W210" s="564"/>
      <c r="X210" s="563" t="str">
        <f>'matrik MISI 5'!X46</f>
        <v>Dinas Kesehatan</v>
      </c>
      <c r="Y210" s="565" t="str">
        <f>'matrik MISI 5'!Y46</f>
        <v>Jumlah balita gizi buruk yang mendapat perawatan di sarana pelayanan kesehatan / Jumlah seluruh balita gizi buruk yang ditemukan x 100</v>
      </c>
      <c r="Z210" s="565">
        <f>'matrik MISI 5'!Z46</f>
        <v>0</v>
      </c>
    </row>
    <row r="211" spans="1:454" s="574" customFormat="1" ht="60">
      <c r="A211" s="569"/>
      <c r="B211" s="575"/>
      <c r="C211" s="576"/>
      <c r="D211" s="577">
        <f>'matrik MISI 5'!J48</f>
        <v>1.02</v>
      </c>
      <c r="E211" s="577" t="str">
        <f>'matrik MISI 5'!K48</f>
        <v>xx</v>
      </c>
      <c r="F211" s="577">
        <f>'matrik MISI 5'!L48</f>
        <v>15</v>
      </c>
      <c r="G211" s="577" t="str">
        <f>'matrik MISI 5'!M48</f>
        <v>Penyediaan Obat dan Perbekalan Kesehatan (Program Obat dan Perbekalan Kesehatan)</v>
      </c>
      <c r="H211" s="577"/>
      <c r="I211" s="577"/>
      <c r="J211" s="577"/>
      <c r="K211" s="577"/>
      <c r="L211" s="577"/>
      <c r="M211" s="578">
        <f>'jangan di hapus 1'!K287</f>
        <v>1592079000</v>
      </c>
      <c r="N211" s="578"/>
      <c r="O211" s="578">
        <f>'jangan di hapus 1'!M287</f>
        <v>2610000000</v>
      </c>
      <c r="P211" s="578"/>
      <c r="Q211" s="578">
        <f>'jangan di hapus 1'!O287</f>
        <v>2720000000</v>
      </c>
      <c r="R211" s="578"/>
      <c r="S211" s="578">
        <f>'jangan di hapus 1'!Q287</f>
        <v>2825000000</v>
      </c>
      <c r="T211" s="578"/>
      <c r="U211" s="578">
        <f>'jangan di hapus 1'!S287</f>
        <v>2931000000</v>
      </c>
      <c r="V211" s="577"/>
      <c r="W211" s="578">
        <f>SUM(M211:U211)</f>
        <v>12678079000</v>
      </c>
      <c r="X211" s="577"/>
      <c r="Y211" s="577"/>
      <c r="Z211" s="577"/>
      <c r="AA211" s="569"/>
      <c r="AB211" s="569"/>
      <c r="AC211" s="569"/>
      <c r="AD211" s="569"/>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c r="BZ211" s="569"/>
      <c r="CA211" s="569"/>
      <c r="CB211" s="569"/>
      <c r="CC211" s="569"/>
      <c r="CD211" s="569"/>
      <c r="CE211" s="569"/>
      <c r="CF211" s="569"/>
      <c r="CG211" s="569"/>
      <c r="CH211" s="569"/>
      <c r="CI211" s="569"/>
      <c r="CJ211" s="569"/>
      <c r="CK211" s="569"/>
      <c r="CL211" s="569"/>
      <c r="CM211" s="569"/>
      <c r="CN211" s="569"/>
      <c r="CO211" s="569"/>
      <c r="CP211" s="569"/>
      <c r="CQ211" s="569"/>
      <c r="CR211" s="569"/>
      <c r="CS211" s="569"/>
      <c r="CT211" s="569"/>
      <c r="CU211" s="569"/>
      <c r="CV211" s="569"/>
      <c r="CW211" s="569"/>
      <c r="CX211" s="569"/>
      <c r="CY211" s="569"/>
      <c r="CZ211" s="569"/>
      <c r="DA211" s="569"/>
      <c r="DB211" s="569"/>
      <c r="DC211" s="569"/>
      <c r="DD211" s="569"/>
      <c r="DE211" s="569"/>
      <c r="DF211" s="569"/>
      <c r="DG211" s="569"/>
      <c r="DH211" s="569"/>
      <c r="DI211" s="569"/>
      <c r="DJ211" s="569"/>
      <c r="DK211" s="569"/>
      <c r="DL211" s="569"/>
      <c r="DM211" s="569"/>
      <c r="DN211" s="569"/>
      <c r="DO211" s="569"/>
      <c r="DP211" s="569"/>
      <c r="DQ211" s="569"/>
      <c r="DR211" s="569"/>
      <c r="DS211" s="569"/>
      <c r="DT211" s="569"/>
      <c r="DU211" s="569"/>
      <c r="DV211" s="569"/>
      <c r="DW211" s="569"/>
      <c r="DX211" s="569"/>
      <c r="DY211" s="569"/>
      <c r="DZ211" s="569"/>
      <c r="EA211" s="569"/>
      <c r="EB211" s="569"/>
      <c r="EC211" s="569"/>
      <c r="ED211" s="569"/>
      <c r="EE211" s="569"/>
      <c r="EF211" s="569"/>
      <c r="EG211" s="569"/>
      <c r="EH211" s="569"/>
      <c r="EI211" s="569"/>
      <c r="EJ211" s="569"/>
      <c r="EK211" s="569"/>
      <c r="EL211" s="569"/>
      <c r="EM211" s="569"/>
      <c r="EN211" s="569"/>
      <c r="EO211" s="569"/>
      <c r="EP211" s="569"/>
      <c r="EQ211" s="569"/>
      <c r="ER211" s="569"/>
      <c r="ES211" s="569"/>
      <c r="ET211" s="569"/>
      <c r="EU211" s="569"/>
      <c r="EV211" s="569"/>
      <c r="EW211" s="569"/>
      <c r="EX211" s="569"/>
      <c r="EY211" s="569"/>
      <c r="EZ211" s="569"/>
      <c r="FA211" s="569"/>
      <c r="FB211" s="569"/>
      <c r="FC211" s="569"/>
      <c r="FD211" s="569"/>
      <c r="FE211" s="569"/>
      <c r="FF211" s="569"/>
      <c r="FG211" s="569"/>
      <c r="FH211" s="569"/>
      <c r="FI211" s="569"/>
      <c r="FJ211" s="569"/>
      <c r="FK211" s="569"/>
      <c r="FL211" s="569"/>
      <c r="FM211" s="569"/>
      <c r="FN211" s="569"/>
      <c r="FO211" s="569"/>
      <c r="FP211" s="569"/>
      <c r="FQ211" s="569"/>
      <c r="FR211" s="569"/>
      <c r="FS211" s="569"/>
      <c r="FT211" s="569"/>
      <c r="FU211" s="569"/>
      <c r="FV211" s="569"/>
      <c r="FW211" s="569"/>
      <c r="FX211" s="569"/>
      <c r="FY211" s="569"/>
      <c r="FZ211" s="569"/>
      <c r="GA211" s="569"/>
      <c r="GB211" s="569"/>
      <c r="GC211" s="569"/>
      <c r="GD211" s="569"/>
      <c r="GE211" s="569"/>
      <c r="GF211" s="569"/>
      <c r="GG211" s="569"/>
      <c r="GH211" s="569"/>
      <c r="GI211" s="569"/>
      <c r="GJ211" s="569"/>
      <c r="GK211" s="569"/>
      <c r="GL211" s="569"/>
      <c r="GM211" s="569"/>
      <c r="GN211" s="569"/>
      <c r="GO211" s="569"/>
      <c r="GP211" s="569"/>
      <c r="GQ211" s="569"/>
      <c r="GR211" s="569"/>
      <c r="GS211" s="569"/>
      <c r="GT211" s="569"/>
      <c r="GU211" s="569"/>
      <c r="GV211" s="569"/>
      <c r="GW211" s="569"/>
      <c r="GX211" s="569"/>
      <c r="GY211" s="569"/>
      <c r="GZ211" s="569"/>
      <c r="HA211" s="569"/>
      <c r="HB211" s="569"/>
      <c r="HC211" s="569"/>
      <c r="HD211" s="569"/>
      <c r="HE211" s="569"/>
      <c r="HF211" s="569"/>
      <c r="HG211" s="569"/>
      <c r="HH211" s="569"/>
      <c r="HI211" s="569"/>
      <c r="HJ211" s="569"/>
      <c r="HK211" s="569"/>
      <c r="HL211" s="569"/>
      <c r="HM211" s="569"/>
      <c r="HN211" s="569"/>
      <c r="HO211" s="569"/>
      <c r="HP211" s="569"/>
      <c r="HQ211" s="569"/>
      <c r="HR211" s="569"/>
      <c r="HS211" s="569"/>
      <c r="HT211" s="569"/>
      <c r="HU211" s="569"/>
      <c r="HV211" s="569"/>
      <c r="HW211" s="569"/>
      <c r="HX211" s="569"/>
      <c r="HY211" s="569"/>
      <c r="HZ211" s="569"/>
      <c r="IA211" s="569"/>
      <c r="IB211" s="569"/>
      <c r="IC211" s="569"/>
      <c r="ID211" s="569"/>
      <c r="IE211" s="569"/>
      <c r="IF211" s="569"/>
      <c r="IG211" s="569"/>
      <c r="IH211" s="569"/>
      <c r="II211" s="569"/>
      <c r="IJ211" s="569"/>
      <c r="IK211" s="569"/>
      <c r="IL211" s="569"/>
      <c r="IM211" s="569"/>
      <c r="IN211" s="569"/>
      <c r="IO211" s="569"/>
      <c r="IP211" s="569"/>
      <c r="IQ211" s="569"/>
      <c r="IR211" s="569"/>
      <c r="IS211" s="569"/>
      <c r="IT211" s="569"/>
      <c r="IU211" s="569"/>
      <c r="IV211" s="569"/>
      <c r="IW211" s="569"/>
      <c r="IX211" s="569"/>
      <c r="IY211" s="569"/>
      <c r="IZ211" s="569"/>
      <c r="JA211" s="569"/>
      <c r="JB211" s="569"/>
      <c r="JC211" s="569"/>
      <c r="JD211" s="569"/>
      <c r="JE211" s="569"/>
      <c r="JF211" s="569"/>
      <c r="JG211" s="569"/>
      <c r="JH211" s="569"/>
      <c r="JI211" s="569"/>
      <c r="JJ211" s="569"/>
      <c r="JK211" s="569"/>
      <c r="JL211" s="569"/>
      <c r="JM211" s="569"/>
      <c r="JN211" s="569"/>
      <c r="JO211" s="569"/>
      <c r="JP211" s="569"/>
      <c r="JQ211" s="569"/>
      <c r="JR211" s="569"/>
      <c r="JS211" s="569"/>
      <c r="JT211" s="569"/>
      <c r="JU211" s="569"/>
      <c r="JV211" s="569"/>
      <c r="JW211" s="569"/>
      <c r="JX211" s="569"/>
      <c r="JY211" s="569"/>
      <c r="JZ211" s="569"/>
      <c r="KA211" s="569"/>
      <c r="KB211" s="569"/>
      <c r="KC211" s="569"/>
      <c r="KD211" s="569"/>
      <c r="KE211" s="569"/>
      <c r="KF211" s="569"/>
      <c r="KG211" s="569"/>
      <c r="KH211" s="569"/>
      <c r="KI211" s="569"/>
      <c r="KJ211" s="569"/>
      <c r="KK211" s="569"/>
      <c r="KL211" s="569"/>
      <c r="KM211" s="569"/>
      <c r="KN211" s="569"/>
      <c r="KO211" s="569"/>
      <c r="KP211" s="569"/>
      <c r="KQ211" s="569"/>
      <c r="KR211" s="569"/>
      <c r="KS211" s="569"/>
      <c r="KT211" s="569"/>
      <c r="KU211" s="569"/>
      <c r="KV211" s="569"/>
      <c r="KW211" s="569"/>
      <c r="KX211" s="569"/>
      <c r="KY211" s="569"/>
      <c r="KZ211" s="569"/>
      <c r="LA211" s="569"/>
      <c r="LB211" s="569"/>
      <c r="LC211" s="569"/>
      <c r="LD211" s="569"/>
      <c r="LE211" s="569"/>
      <c r="LF211" s="569"/>
      <c r="LG211" s="569"/>
      <c r="LH211" s="569"/>
      <c r="LI211" s="569"/>
      <c r="LJ211" s="569"/>
      <c r="LK211" s="569"/>
      <c r="LL211" s="569"/>
      <c r="LM211" s="569"/>
      <c r="LN211" s="569"/>
      <c r="LO211" s="569"/>
      <c r="LP211" s="569"/>
      <c r="LQ211" s="569"/>
      <c r="LR211" s="569"/>
      <c r="LS211" s="569"/>
      <c r="LT211" s="569"/>
      <c r="LU211" s="569"/>
      <c r="LV211" s="569"/>
      <c r="LW211" s="569"/>
      <c r="LX211" s="569"/>
      <c r="LY211" s="569"/>
      <c r="LZ211" s="569"/>
      <c r="MA211" s="569"/>
      <c r="MB211" s="569"/>
      <c r="MC211" s="569"/>
      <c r="MD211" s="569"/>
      <c r="ME211" s="569"/>
      <c r="MF211" s="569"/>
      <c r="MG211" s="569"/>
      <c r="MH211" s="569"/>
      <c r="MI211" s="569"/>
      <c r="MJ211" s="569"/>
      <c r="MK211" s="569"/>
      <c r="ML211" s="569"/>
      <c r="MM211" s="569"/>
      <c r="MN211" s="569"/>
      <c r="MO211" s="569"/>
      <c r="MP211" s="569"/>
      <c r="MQ211" s="569"/>
      <c r="MR211" s="569"/>
      <c r="MS211" s="569"/>
      <c r="MT211" s="569"/>
      <c r="MU211" s="569"/>
      <c r="MV211" s="569"/>
      <c r="MW211" s="569"/>
      <c r="MX211" s="569"/>
      <c r="MY211" s="569"/>
      <c r="MZ211" s="569"/>
      <c r="NA211" s="569"/>
      <c r="NB211" s="569"/>
      <c r="NC211" s="569"/>
      <c r="ND211" s="569"/>
      <c r="NE211" s="569"/>
      <c r="NF211" s="569"/>
      <c r="NG211" s="569"/>
      <c r="NH211" s="569"/>
      <c r="NI211" s="569"/>
      <c r="NJ211" s="569"/>
      <c r="NK211" s="569"/>
      <c r="NL211" s="569"/>
      <c r="NM211" s="569"/>
      <c r="NN211" s="569"/>
      <c r="NO211" s="569"/>
      <c r="NP211" s="569"/>
      <c r="NQ211" s="569"/>
      <c r="NR211" s="569"/>
      <c r="NS211" s="569"/>
      <c r="NT211" s="569"/>
      <c r="NU211" s="569"/>
      <c r="NV211" s="569"/>
      <c r="NW211" s="569"/>
      <c r="NX211" s="569"/>
      <c r="NY211" s="569"/>
      <c r="NZ211" s="569"/>
      <c r="OA211" s="569"/>
      <c r="OB211" s="569"/>
      <c r="OC211" s="569"/>
      <c r="OD211" s="569"/>
      <c r="OE211" s="569"/>
      <c r="OF211" s="569"/>
      <c r="OG211" s="569"/>
      <c r="OH211" s="569"/>
      <c r="OI211" s="569"/>
      <c r="OJ211" s="569"/>
      <c r="OK211" s="569"/>
      <c r="OL211" s="569"/>
      <c r="OM211" s="569"/>
      <c r="ON211" s="569"/>
      <c r="OO211" s="569"/>
      <c r="OP211" s="569"/>
      <c r="OQ211" s="569"/>
      <c r="OR211" s="569"/>
      <c r="OS211" s="569"/>
      <c r="OT211" s="569"/>
      <c r="OU211" s="569"/>
      <c r="OV211" s="569"/>
      <c r="OW211" s="569"/>
      <c r="OX211" s="569"/>
      <c r="OY211" s="569"/>
      <c r="OZ211" s="569"/>
      <c r="PA211" s="569"/>
      <c r="PB211" s="569"/>
      <c r="PC211" s="569"/>
      <c r="PD211" s="569"/>
      <c r="PE211" s="569"/>
      <c r="PF211" s="569"/>
      <c r="PG211" s="569"/>
      <c r="PH211" s="569"/>
      <c r="PI211" s="569"/>
      <c r="PJ211" s="569"/>
      <c r="PK211" s="569"/>
      <c r="PL211" s="569"/>
      <c r="PM211" s="569"/>
      <c r="PN211" s="569"/>
      <c r="PO211" s="569"/>
      <c r="PP211" s="569"/>
      <c r="PQ211" s="569"/>
      <c r="PR211" s="569"/>
      <c r="PS211" s="569"/>
      <c r="PT211" s="569"/>
      <c r="PU211" s="569"/>
      <c r="PV211" s="569"/>
      <c r="PW211" s="569"/>
      <c r="PX211" s="569"/>
      <c r="PY211" s="569"/>
      <c r="PZ211" s="569"/>
      <c r="QA211" s="569"/>
      <c r="QB211" s="569"/>
      <c r="QC211" s="569"/>
      <c r="QD211" s="569"/>
      <c r="QE211" s="569"/>
      <c r="QF211" s="569"/>
      <c r="QG211" s="569"/>
      <c r="QH211" s="569"/>
      <c r="QI211" s="569"/>
      <c r="QJ211" s="569"/>
      <c r="QK211" s="569"/>
      <c r="QL211" s="569"/>
    </row>
    <row r="212" spans="1:454" s="574" customFormat="1" ht="30">
      <c r="A212" s="569"/>
      <c r="B212" s="575"/>
      <c r="C212" s="576"/>
      <c r="D212" s="577">
        <f>'matrik MISI 5'!J49</f>
        <v>1.02</v>
      </c>
      <c r="E212" s="577" t="str">
        <f>'matrik MISI 5'!K49</f>
        <v>xx</v>
      </c>
      <c r="F212" s="577">
        <f>'matrik MISI 5'!L49</f>
        <v>17</v>
      </c>
      <c r="G212" s="577" t="str">
        <f>'matrik MISI 5'!M49</f>
        <v>Program Pengawasan Obat dan Makanan</v>
      </c>
      <c r="H212" s="577"/>
      <c r="I212" s="577"/>
      <c r="J212" s="577"/>
      <c r="K212" s="577"/>
      <c r="L212" s="577"/>
      <c r="M212" s="578">
        <f>'jangan di hapus 1'!K306</f>
        <v>30000000</v>
      </c>
      <c r="N212" s="578"/>
      <c r="O212" s="578">
        <f>'jangan di hapus 1'!M306</f>
        <v>92500000</v>
      </c>
      <c r="P212" s="578"/>
      <c r="Q212" s="578">
        <f>'jangan di hapus 1'!O306</f>
        <v>120000000</v>
      </c>
      <c r="R212" s="578"/>
      <c r="S212" s="578">
        <f>'jangan di hapus 1'!Q306</f>
        <v>145000000</v>
      </c>
      <c r="T212" s="578"/>
      <c r="U212" s="578">
        <f>'jangan di hapus 1'!S306</f>
        <v>170000000</v>
      </c>
      <c r="V212" s="577"/>
      <c r="W212" s="578">
        <f>SUM(M212:U212)</f>
        <v>557500000</v>
      </c>
      <c r="X212" s="577"/>
      <c r="Y212" s="577"/>
      <c r="Z212" s="577"/>
      <c r="AA212" s="569"/>
      <c r="AB212" s="569"/>
      <c r="AC212" s="569"/>
      <c r="AD212" s="569"/>
      <c r="AE212" s="569"/>
      <c r="AF212" s="569"/>
      <c r="AG212" s="569"/>
      <c r="AH212" s="569"/>
      <c r="AI212" s="56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c r="BZ212" s="569"/>
      <c r="CA212" s="569"/>
      <c r="CB212" s="569"/>
      <c r="CC212" s="569"/>
      <c r="CD212" s="569"/>
      <c r="CE212" s="569"/>
      <c r="CF212" s="569"/>
      <c r="CG212" s="569"/>
      <c r="CH212" s="569"/>
      <c r="CI212" s="569"/>
      <c r="CJ212" s="569"/>
      <c r="CK212" s="569"/>
      <c r="CL212" s="569"/>
      <c r="CM212" s="569"/>
      <c r="CN212" s="569"/>
      <c r="CO212" s="569"/>
      <c r="CP212" s="569"/>
      <c r="CQ212" s="569"/>
      <c r="CR212" s="569"/>
      <c r="CS212" s="569"/>
      <c r="CT212" s="569"/>
      <c r="CU212" s="569"/>
      <c r="CV212" s="569"/>
      <c r="CW212" s="569"/>
      <c r="CX212" s="569"/>
      <c r="CY212" s="569"/>
      <c r="CZ212" s="569"/>
      <c r="DA212" s="569"/>
      <c r="DB212" s="569"/>
      <c r="DC212" s="569"/>
      <c r="DD212" s="569"/>
      <c r="DE212" s="569"/>
      <c r="DF212" s="569"/>
      <c r="DG212" s="569"/>
      <c r="DH212" s="569"/>
      <c r="DI212" s="569"/>
      <c r="DJ212" s="569"/>
      <c r="DK212" s="569"/>
      <c r="DL212" s="569"/>
      <c r="DM212" s="569"/>
      <c r="DN212" s="569"/>
      <c r="DO212" s="569"/>
      <c r="DP212" s="569"/>
      <c r="DQ212" s="569"/>
      <c r="DR212" s="569"/>
      <c r="DS212" s="569"/>
      <c r="DT212" s="569"/>
      <c r="DU212" s="569"/>
      <c r="DV212" s="569"/>
      <c r="DW212" s="569"/>
      <c r="DX212" s="569"/>
      <c r="DY212" s="569"/>
      <c r="DZ212" s="569"/>
      <c r="EA212" s="569"/>
      <c r="EB212" s="569"/>
      <c r="EC212" s="569"/>
      <c r="ED212" s="569"/>
      <c r="EE212" s="569"/>
      <c r="EF212" s="569"/>
      <c r="EG212" s="569"/>
      <c r="EH212" s="569"/>
      <c r="EI212" s="569"/>
      <c r="EJ212" s="569"/>
      <c r="EK212" s="569"/>
      <c r="EL212" s="569"/>
      <c r="EM212" s="569"/>
      <c r="EN212" s="569"/>
      <c r="EO212" s="569"/>
      <c r="EP212" s="569"/>
      <c r="EQ212" s="569"/>
      <c r="ER212" s="569"/>
      <c r="ES212" s="569"/>
      <c r="ET212" s="569"/>
      <c r="EU212" s="569"/>
      <c r="EV212" s="569"/>
      <c r="EW212" s="569"/>
      <c r="EX212" s="569"/>
      <c r="EY212" s="569"/>
      <c r="EZ212" s="569"/>
      <c r="FA212" s="569"/>
      <c r="FB212" s="569"/>
      <c r="FC212" s="569"/>
      <c r="FD212" s="569"/>
      <c r="FE212" s="569"/>
      <c r="FF212" s="569"/>
      <c r="FG212" s="569"/>
      <c r="FH212" s="569"/>
      <c r="FI212" s="569"/>
      <c r="FJ212" s="569"/>
      <c r="FK212" s="569"/>
      <c r="FL212" s="569"/>
      <c r="FM212" s="569"/>
      <c r="FN212" s="569"/>
      <c r="FO212" s="569"/>
      <c r="FP212" s="569"/>
      <c r="FQ212" s="569"/>
      <c r="FR212" s="569"/>
      <c r="FS212" s="569"/>
      <c r="FT212" s="569"/>
      <c r="FU212" s="569"/>
      <c r="FV212" s="569"/>
      <c r="FW212" s="569"/>
      <c r="FX212" s="569"/>
      <c r="FY212" s="569"/>
      <c r="FZ212" s="569"/>
      <c r="GA212" s="569"/>
      <c r="GB212" s="569"/>
      <c r="GC212" s="569"/>
      <c r="GD212" s="569"/>
      <c r="GE212" s="569"/>
      <c r="GF212" s="569"/>
      <c r="GG212" s="569"/>
      <c r="GH212" s="569"/>
      <c r="GI212" s="569"/>
      <c r="GJ212" s="569"/>
      <c r="GK212" s="569"/>
      <c r="GL212" s="569"/>
      <c r="GM212" s="569"/>
      <c r="GN212" s="569"/>
      <c r="GO212" s="569"/>
      <c r="GP212" s="569"/>
      <c r="GQ212" s="569"/>
      <c r="GR212" s="569"/>
      <c r="GS212" s="569"/>
      <c r="GT212" s="569"/>
      <c r="GU212" s="569"/>
      <c r="GV212" s="569"/>
      <c r="GW212" s="569"/>
      <c r="GX212" s="569"/>
      <c r="GY212" s="569"/>
      <c r="GZ212" s="569"/>
      <c r="HA212" s="569"/>
      <c r="HB212" s="569"/>
      <c r="HC212" s="569"/>
      <c r="HD212" s="569"/>
      <c r="HE212" s="569"/>
      <c r="HF212" s="569"/>
      <c r="HG212" s="569"/>
      <c r="HH212" s="569"/>
      <c r="HI212" s="569"/>
      <c r="HJ212" s="569"/>
      <c r="HK212" s="569"/>
      <c r="HL212" s="569"/>
      <c r="HM212" s="569"/>
      <c r="HN212" s="569"/>
      <c r="HO212" s="569"/>
      <c r="HP212" s="569"/>
      <c r="HQ212" s="569"/>
      <c r="HR212" s="569"/>
      <c r="HS212" s="569"/>
      <c r="HT212" s="569"/>
      <c r="HU212" s="569"/>
      <c r="HV212" s="569"/>
      <c r="HW212" s="569"/>
      <c r="HX212" s="569"/>
      <c r="HY212" s="569"/>
      <c r="HZ212" s="569"/>
      <c r="IA212" s="569"/>
      <c r="IB212" s="569"/>
      <c r="IC212" s="569"/>
      <c r="ID212" s="569"/>
      <c r="IE212" s="569"/>
      <c r="IF212" s="569"/>
      <c r="IG212" s="569"/>
      <c r="IH212" s="569"/>
      <c r="II212" s="569"/>
      <c r="IJ212" s="569"/>
      <c r="IK212" s="569"/>
      <c r="IL212" s="569"/>
      <c r="IM212" s="569"/>
      <c r="IN212" s="569"/>
      <c r="IO212" s="569"/>
      <c r="IP212" s="569"/>
      <c r="IQ212" s="569"/>
      <c r="IR212" s="569"/>
      <c r="IS212" s="569"/>
      <c r="IT212" s="569"/>
      <c r="IU212" s="569"/>
      <c r="IV212" s="569"/>
      <c r="IW212" s="569"/>
      <c r="IX212" s="569"/>
      <c r="IY212" s="569"/>
      <c r="IZ212" s="569"/>
      <c r="JA212" s="569"/>
      <c r="JB212" s="569"/>
      <c r="JC212" s="569"/>
      <c r="JD212" s="569"/>
      <c r="JE212" s="569"/>
      <c r="JF212" s="569"/>
      <c r="JG212" s="569"/>
      <c r="JH212" s="569"/>
      <c r="JI212" s="569"/>
      <c r="JJ212" s="569"/>
      <c r="JK212" s="569"/>
      <c r="JL212" s="569"/>
      <c r="JM212" s="569"/>
      <c r="JN212" s="569"/>
      <c r="JO212" s="569"/>
      <c r="JP212" s="569"/>
      <c r="JQ212" s="569"/>
      <c r="JR212" s="569"/>
      <c r="JS212" s="569"/>
      <c r="JT212" s="569"/>
      <c r="JU212" s="569"/>
      <c r="JV212" s="569"/>
      <c r="JW212" s="569"/>
      <c r="JX212" s="569"/>
      <c r="JY212" s="569"/>
      <c r="JZ212" s="569"/>
      <c r="KA212" s="569"/>
      <c r="KB212" s="569"/>
      <c r="KC212" s="569"/>
      <c r="KD212" s="569"/>
      <c r="KE212" s="569"/>
      <c r="KF212" s="569"/>
      <c r="KG212" s="569"/>
      <c r="KH212" s="569"/>
      <c r="KI212" s="569"/>
      <c r="KJ212" s="569"/>
      <c r="KK212" s="569"/>
      <c r="KL212" s="569"/>
      <c r="KM212" s="569"/>
      <c r="KN212" s="569"/>
      <c r="KO212" s="569"/>
      <c r="KP212" s="569"/>
      <c r="KQ212" s="569"/>
      <c r="KR212" s="569"/>
      <c r="KS212" s="569"/>
      <c r="KT212" s="569"/>
      <c r="KU212" s="569"/>
      <c r="KV212" s="569"/>
      <c r="KW212" s="569"/>
      <c r="KX212" s="569"/>
      <c r="KY212" s="569"/>
      <c r="KZ212" s="569"/>
      <c r="LA212" s="569"/>
      <c r="LB212" s="569"/>
      <c r="LC212" s="569"/>
      <c r="LD212" s="569"/>
      <c r="LE212" s="569"/>
      <c r="LF212" s="569"/>
      <c r="LG212" s="569"/>
      <c r="LH212" s="569"/>
      <c r="LI212" s="569"/>
      <c r="LJ212" s="569"/>
      <c r="LK212" s="569"/>
      <c r="LL212" s="569"/>
      <c r="LM212" s="569"/>
      <c r="LN212" s="569"/>
      <c r="LO212" s="569"/>
      <c r="LP212" s="569"/>
      <c r="LQ212" s="569"/>
      <c r="LR212" s="569"/>
      <c r="LS212" s="569"/>
      <c r="LT212" s="569"/>
      <c r="LU212" s="569"/>
      <c r="LV212" s="569"/>
      <c r="LW212" s="569"/>
      <c r="LX212" s="569"/>
      <c r="LY212" s="569"/>
      <c r="LZ212" s="569"/>
      <c r="MA212" s="569"/>
      <c r="MB212" s="569"/>
      <c r="MC212" s="569"/>
      <c r="MD212" s="569"/>
      <c r="ME212" s="569"/>
      <c r="MF212" s="569"/>
      <c r="MG212" s="569"/>
      <c r="MH212" s="569"/>
      <c r="MI212" s="569"/>
      <c r="MJ212" s="569"/>
      <c r="MK212" s="569"/>
      <c r="ML212" s="569"/>
      <c r="MM212" s="569"/>
      <c r="MN212" s="569"/>
      <c r="MO212" s="569"/>
      <c r="MP212" s="569"/>
      <c r="MQ212" s="569"/>
      <c r="MR212" s="569"/>
      <c r="MS212" s="569"/>
      <c r="MT212" s="569"/>
      <c r="MU212" s="569"/>
      <c r="MV212" s="569"/>
      <c r="MW212" s="569"/>
      <c r="MX212" s="569"/>
      <c r="MY212" s="569"/>
      <c r="MZ212" s="569"/>
      <c r="NA212" s="569"/>
      <c r="NB212" s="569"/>
      <c r="NC212" s="569"/>
      <c r="ND212" s="569"/>
      <c r="NE212" s="569"/>
      <c r="NF212" s="569"/>
      <c r="NG212" s="569"/>
      <c r="NH212" s="569"/>
      <c r="NI212" s="569"/>
      <c r="NJ212" s="569"/>
      <c r="NK212" s="569"/>
      <c r="NL212" s="569"/>
      <c r="NM212" s="569"/>
      <c r="NN212" s="569"/>
      <c r="NO212" s="569"/>
      <c r="NP212" s="569"/>
      <c r="NQ212" s="569"/>
      <c r="NR212" s="569"/>
      <c r="NS212" s="569"/>
      <c r="NT212" s="569"/>
      <c r="NU212" s="569"/>
      <c r="NV212" s="569"/>
      <c r="NW212" s="569"/>
      <c r="NX212" s="569"/>
      <c r="NY212" s="569"/>
      <c r="NZ212" s="569"/>
      <c r="OA212" s="569"/>
      <c r="OB212" s="569"/>
      <c r="OC212" s="569"/>
      <c r="OD212" s="569"/>
      <c r="OE212" s="569"/>
      <c r="OF212" s="569"/>
      <c r="OG212" s="569"/>
      <c r="OH212" s="569"/>
      <c r="OI212" s="569"/>
      <c r="OJ212" s="569"/>
      <c r="OK212" s="569"/>
      <c r="OL212" s="569"/>
      <c r="OM212" s="569"/>
      <c r="ON212" s="569"/>
      <c r="OO212" s="569"/>
      <c r="OP212" s="569"/>
      <c r="OQ212" s="569"/>
      <c r="OR212" s="569"/>
      <c r="OS212" s="569"/>
      <c r="OT212" s="569"/>
      <c r="OU212" s="569"/>
      <c r="OV212" s="569"/>
      <c r="OW212" s="569"/>
      <c r="OX212" s="569"/>
      <c r="OY212" s="569"/>
      <c r="OZ212" s="569"/>
      <c r="PA212" s="569"/>
      <c r="PB212" s="569"/>
      <c r="PC212" s="569"/>
      <c r="PD212" s="569"/>
      <c r="PE212" s="569"/>
      <c r="PF212" s="569"/>
      <c r="PG212" s="569"/>
      <c r="PH212" s="569"/>
      <c r="PI212" s="569"/>
      <c r="PJ212" s="569"/>
      <c r="PK212" s="569"/>
      <c r="PL212" s="569"/>
      <c r="PM212" s="569"/>
      <c r="PN212" s="569"/>
      <c r="PO212" s="569"/>
      <c r="PP212" s="569"/>
      <c r="PQ212" s="569"/>
      <c r="PR212" s="569"/>
      <c r="PS212" s="569"/>
      <c r="PT212" s="569"/>
      <c r="PU212" s="569"/>
      <c r="PV212" s="569"/>
      <c r="PW212" s="569"/>
      <c r="PX212" s="569"/>
      <c r="PY212" s="569"/>
      <c r="PZ212" s="569"/>
      <c r="QA212" s="569"/>
      <c r="QB212" s="569"/>
      <c r="QC212" s="569"/>
      <c r="QD212" s="569"/>
      <c r="QE212" s="569"/>
      <c r="QF212" s="569"/>
      <c r="QG212" s="569"/>
      <c r="QH212" s="569"/>
      <c r="QI212" s="569"/>
      <c r="QJ212" s="569"/>
      <c r="QK212" s="569"/>
      <c r="QL212" s="569"/>
    </row>
    <row r="213" spans="1:454" s="569" customFormat="1" ht="30">
      <c r="B213" s="267"/>
      <c r="C213" s="562"/>
      <c r="H213" s="563" t="str">
        <f>'matrik MISI 5'!N48</f>
        <v>Cakupan Ketersediaan Obat sesuai Kebutuhan</v>
      </c>
      <c r="I213" s="563" t="str">
        <f>'matrik MISI 5'!O48</f>
        <v>%</v>
      </c>
      <c r="J213" s="563">
        <f>'matrik MISI 5'!P48</f>
        <v>98.6</v>
      </c>
      <c r="K213" s="563">
        <f>'matrik MISI 5'!Q48</f>
        <v>100</v>
      </c>
      <c r="L213" s="563">
        <f>'matrik MISI 5'!R48</f>
        <v>90</v>
      </c>
      <c r="M213" s="604"/>
      <c r="N213" s="563">
        <f>'matrik MISI 5'!S48</f>
        <v>90</v>
      </c>
      <c r="O213" s="564"/>
      <c r="P213" s="563">
        <f>'matrik MISI 5'!T48</f>
        <v>90</v>
      </c>
      <c r="Q213" s="564"/>
      <c r="R213" s="563">
        <f>'matrik MISI 5'!U48</f>
        <v>90</v>
      </c>
      <c r="S213" s="564"/>
      <c r="T213" s="563">
        <f>'matrik MISI 5'!V48</f>
        <v>90</v>
      </c>
      <c r="U213" s="564"/>
      <c r="V213" s="563">
        <f>'matrik MISI 5'!W48</f>
        <v>90</v>
      </c>
      <c r="W213" s="564"/>
      <c r="X213" s="563" t="str">
        <f>'matrik MISI 5'!X48</f>
        <v>Dinas Kesehatan</v>
      </c>
      <c r="Y213" s="565" t="str">
        <f>'matrik MISI 5'!Y48</f>
        <v>Jumlah obat yang tersedia sesuai kebutuhan / Jumlah obat yang dibutuhkan x 100</v>
      </c>
      <c r="Z213" s="565" t="str">
        <f>'matrik MISI 5'!Z48</f>
        <v xml:space="preserve">Jumlah ob at yang dibutuhkan adalah jumlah obat yang diusulkan pemenuhannya melalui mekanisme pengadaan </v>
      </c>
    </row>
    <row r="214" spans="1:454" s="574" customFormat="1" ht="60">
      <c r="A214" s="569"/>
      <c r="B214" s="575"/>
      <c r="C214" s="576"/>
      <c r="D214" s="577">
        <f>'matrik MISI 5'!J51</f>
        <v>1.02</v>
      </c>
      <c r="E214" s="577" t="str">
        <f>'matrik MISI 5'!K51</f>
        <v>xx</v>
      </c>
      <c r="F214" s="577">
        <f>'matrik MISI 5'!L51</f>
        <v>23</v>
      </c>
      <c r="G214" s="577" t="str">
        <f>'matrik MISI 5'!M51</f>
        <v>Pengembangan Sumber Daya Kesehatan (Program Standarisasi Pelayanan Kesehatan)</v>
      </c>
      <c r="H214" s="577"/>
      <c r="I214" s="577"/>
      <c r="J214" s="577"/>
      <c r="K214" s="577"/>
      <c r="L214" s="577"/>
      <c r="M214" s="578">
        <f>'jangan di hapus 1'!K364</f>
        <v>374000000</v>
      </c>
      <c r="N214" s="578"/>
      <c r="O214" s="578">
        <f>'jangan di hapus 1'!M364</f>
        <v>537520000</v>
      </c>
      <c r="P214" s="578"/>
      <c r="Q214" s="578">
        <f>'jangan di hapus 1'!O364</f>
        <v>578000000</v>
      </c>
      <c r="R214" s="578"/>
      <c r="S214" s="578">
        <f>'jangan di hapus 1'!Q364</f>
        <v>615000000</v>
      </c>
      <c r="T214" s="578"/>
      <c r="U214" s="578">
        <f>'jangan di hapus 1'!S364</f>
        <v>670000000</v>
      </c>
      <c r="V214" s="577"/>
      <c r="W214" s="578">
        <f>SUM(M214:U214)</f>
        <v>2774520000</v>
      </c>
      <c r="X214" s="577"/>
      <c r="Y214" s="577"/>
      <c r="Z214" s="577"/>
      <c r="AA214" s="569"/>
      <c r="AB214" s="569"/>
      <c r="AC214" s="569"/>
      <c r="AD214" s="569"/>
      <c r="AE214" s="569"/>
      <c r="AF214" s="569"/>
      <c r="AG214" s="569"/>
      <c r="AH214" s="569"/>
      <c r="AI214" s="56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69"/>
      <c r="BH214" s="569"/>
      <c r="BI214" s="569"/>
      <c r="BJ214" s="569"/>
      <c r="BK214" s="569"/>
      <c r="BL214" s="569"/>
      <c r="BM214" s="569"/>
      <c r="BN214" s="569"/>
      <c r="BO214" s="569"/>
      <c r="BP214" s="569"/>
      <c r="BQ214" s="569"/>
      <c r="BR214" s="569"/>
      <c r="BS214" s="569"/>
      <c r="BT214" s="569"/>
      <c r="BU214" s="569"/>
      <c r="BV214" s="569"/>
      <c r="BW214" s="569"/>
      <c r="BX214" s="569"/>
      <c r="BY214" s="569"/>
      <c r="BZ214" s="569"/>
      <c r="CA214" s="569"/>
      <c r="CB214" s="569"/>
      <c r="CC214" s="569"/>
      <c r="CD214" s="569"/>
      <c r="CE214" s="569"/>
      <c r="CF214" s="569"/>
      <c r="CG214" s="569"/>
      <c r="CH214" s="569"/>
      <c r="CI214" s="569"/>
      <c r="CJ214" s="569"/>
      <c r="CK214" s="569"/>
      <c r="CL214" s="569"/>
      <c r="CM214" s="569"/>
      <c r="CN214" s="569"/>
      <c r="CO214" s="569"/>
      <c r="CP214" s="569"/>
      <c r="CQ214" s="569"/>
      <c r="CR214" s="569"/>
      <c r="CS214" s="569"/>
      <c r="CT214" s="569"/>
      <c r="CU214" s="569"/>
      <c r="CV214" s="569"/>
      <c r="CW214" s="569"/>
      <c r="CX214" s="569"/>
      <c r="CY214" s="569"/>
      <c r="CZ214" s="569"/>
      <c r="DA214" s="569"/>
      <c r="DB214" s="569"/>
      <c r="DC214" s="569"/>
      <c r="DD214" s="569"/>
      <c r="DE214" s="569"/>
      <c r="DF214" s="569"/>
      <c r="DG214" s="569"/>
      <c r="DH214" s="569"/>
      <c r="DI214" s="569"/>
      <c r="DJ214" s="569"/>
      <c r="DK214" s="569"/>
      <c r="DL214" s="569"/>
      <c r="DM214" s="569"/>
      <c r="DN214" s="569"/>
      <c r="DO214" s="569"/>
      <c r="DP214" s="569"/>
      <c r="DQ214" s="569"/>
      <c r="DR214" s="569"/>
      <c r="DS214" s="569"/>
      <c r="DT214" s="569"/>
      <c r="DU214" s="569"/>
      <c r="DV214" s="569"/>
      <c r="DW214" s="569"/>
      <c r="DX214" s="569"/>
      <c r="DY214" s="569"/>
      <c r="DZ214" s="569"/>
      <c r="EA214" s="569"/>
      <c r="EB214" s="569"/>
      <c r="EC214" s="569"/>
      <c r="ED214" s="569"/>
      <c r="EE214" s="569"/>
      <c r="EF214" s="569"/>
      <c r="EG214" s="569"/>
      <c r="EH214" s="569"/>
      <c r="EI214" s="569"/>
      <c r="EJ214" s="569"/>
      <c r="EK214" s="569"/>
      <c r="EL214" s="569"/>
      <c r="EM214" s="569"/>
      <c r="EN214" s="569"/>
      <c r="EO214" s="569"/>
      <c r="EP214" s="569"/>
      <c r="EQ214" s="569"/>
      <c r="ER214" s="569"/>
      <c r="ES214" s="569"/>
      <c r="ET214" s="569"/>
      <c r="EU214" s="569"/>
      <c r="EV214" s="569"/>
      <c r="EW214" s="569"/>
      <c r="EX214" s="569"/>
      <c r="EY214" s="569"/>
      <c r="EZ214" s="569"/>
      <c r="FA214" s="569"/>
      <c r="FB214" s="569"/>
      <c r="FC214" s="569"/>
      <c r="FD214" s="569"/>
      <c r="FE214" s="569"/>
      <c r="FF214" s="569"/>
      <c r="FG214" s="569"/>
      <c r="FH214" s="569"/>
      <c r="FI214" s="569"/>
      <c r="FJ214" s="569"/>
      <c r="FK214" s="569"/>
      <c r="FL214" s="569"/>
      <c r="FM214" s="569"/>
      <c r="FN214" s="569"/>
      <c r="FO214" s="569"/>
      <c r="FP214" s="569"/>
      <c r="FQ214" s="569"/>
      <c r="FR214" s="569"/>
      <c r="FS214" s="569"/>
      <c r="FT214" s="569"/>
      <c r="FU214" s="569"/>
      <c r="FV214" s="569"/>
      <c r="FW214" s="569"/>
      <c r="FX214" s="569"/>
      <c r="FY214" s="569"/>
      <c r="FZ214" s="569"/>
      <c r="GA214" s="569"/>
      <c r="GB214" s="569"/>
      <c r="GC214" s="569"/>
      <c r="GD214" s="569"/>
      <c r="GE214" s="569"/>
      <c r="GF214" s="569"/>
      <c r="GG214" s="569"/>
      <c r="GH214" s="569"/>
      <c r="GI214" s="569"/>
      <c r="GJ214" s="569"/>
      <c r="GK214" s="569"/>
      <c r="GL214" s="569"/>
      <c r="GM214" s="569"/>
      <c r="GN214" s="569"/>
      <c r="GO214" s="569"/>
      <c r="GP214" s="569"/>
      <c r="GQ214" s="569"/>
      <c r="GR214" s="569"/>
      <c r="GS214" s="569"/>
      <c r="GT214" s="569"/>
      <c r="GU214" s="569"/>
      <c r="GV214" s="569"/>
      <c r="GW214" s="569"/>
      <c r="GX214" s="569"/>
      <c r="GY214" s="569"/>
      <c r="GZ214" s="569"/>
      <c r="HA214" s="569"/>
      <c r="HB214" s="569"/>
      <c r="HC214" s="569"/>
      <c r="HD214" s="569"/>
      <c r="HE214" s="569"/>
      <c r="HF214" s="569"/>
      <c r="HG214" s="569"/>
      <c r="HH214" s="569"/>
      <c r="HI214" s="569"/>
      <c r="HJ214" s="569"/>
      <c r="HK214" s="569"/>
      <c r="HL214" s="569"/>
      <c r="HM214" s="569"/>
      <c r="HN214" s="569"/>
      <c r="HO214" s="569"/>
      <c r="HP214" s="569"/>
      <c r="HQ214" s="569"/>
      <c r="HR214" s="569"/>
      <c r="HS214" s="569"/>
      <c r="HT214" s="569"/>
      <c r="HU214" s="569"/>
      <c r="HV214" s="569"/>
      <c r="HW214" s="569"/>
      <c r="HX214" s="569"/>
      <c r="HY214" s="569"/>
      <c r="HZ214" s="569"/>
      <c r="IA214" s="569"/>
      <c r="IB214" s="569"/>
      <c r="IC214" s="569"/>
      <c r="ID214" s="569"/>
      <c r="IE214" s="569"/>
      <c r="IF214" s="569"/>
      <c r="IG214" s="569"/>
      <c r="IH214" s="569"/>
      <c r="II214" s="569"/>
      <c r="IJ214" s="569"/>
      <c r="IK214" s="569"/>
      <c r="IL214" s="569"/>
      <c r="IM214" s="569"/>
      <c r="IN214" s="569"/>
      <c r="IO214" s="569"/>
      <c r="IP214" s="569"/>
      <c r="IQ214" s="569"/>
      <c r="IR214" s="569"/>
      <c r="IS214" s="569"/>
      <c r="IT214" s="569"/>
      <c r="IU214" s="569"/>
      <c r="IV214" s="569"/>
      <c r="IW214" s="569"/>
      <c r="IX214" s="569"/>
      <c r="IY214" s="569"/>
      <c r="IZ214" s="569"/>
      <c r="JA214" s="569"/>
      <c r="JB214" s="569"/>
      <c r="JC214" s="569"/>
      <c r="JD214" s="569"/>
      <c r="JE214" s="569"/>
      <c r="JF214" s="569"/>
      <c r="JG214" s="569"/>
      <c r="JH214" s="569"/>
      <c r="JI214" s="569"/>
      <c r="JJ214" s="569"/>
      <c r="JK214" s="569"/>
      <c r="JL214" s="569"/>
      <c r="JM214" s="569"/>
      <c r="JN214" s="569"/>
      <c r="JO214" s="569"/>
      <c r="JP214" s="569"/>
      <c r="JQ214" s="569"/>
      <c r="JR214" s="569"/>
      <c r="JS214" s="569"/>
      <c r="JT214" s="569"/>
      <c r="JU214" s="569"/>
      <c r="JV214" s="569"/>
      <c r="JW214" s="569"/>
      <c r="JX214" s="569"/>
      <c r="JY214" s="569"/>
      <c r="JZ214" s="569"/>
      <c r="KA214" s="569"/>
      <c r="KB214" s="569"/>
      <c r="KC214" s="569"/>
      <c r="KD214" s="569"/>
      <c r="KE214" s="569"/>
      <c r="KF214" s="569"/>
      <c r="KG214" s="569"/>
      <c r="KH214" s="569"/>
      <c r="KI214" s="569"/>
      <c r="KJ214" s="569"/>
      <c r="KK214" s="569"/>
      <c r="KL214" s="569"/>
      <c r="KM214" s="569"/>
      <c r="KN214" s="569"/>
      <c r="KO214" s="569"/>
      <c r="KP214" s="569"/>
      <c r="KQ214" s="569"/>
      <c r="KR214" s="569"/>
      <c r="KS214" s="569"/>
      <c r="KT214" s="569"/>
      <c r="KU214" s="569"/>
      <c r="KV214" s="569"/>
      <c r="KW214" s="569"/>
      <c r="KX214" s="569"/>
      <c r="KY214" s="569"/>
      <c r="KZ214" s="569"/>
      <c r="LA214" s="569"/>
      <c r="LB214" s="569"/>
      <c r="LC214" s="569"/>
      <c r="LD214" s="569"/>
      <c r="LE214" s="569"/>
      <c r="LF214" s="569"/>
      <c r="LG214" s="569"/>
      <c r="LH214" s="569"/>
      <c r="LI214" s="569"/>
      <c r="LJ214" s="569"/>
      <c r="LK214" s="569"/>
      <c r="LL214" s="569"/>
      <c r="LM214" s="569"/>
      <c r="LN214" s="569"/>
      <c r="LO214" s="569"/>
      <c r="LP214" s="569"/>
      <c r="LQ214" s="569"/>
      <c r="LR214" s="569"/>
      <c r="LS214" s="569"/>
      <c r="LT214" s="569"/>
      <c r="LU214" s="569"/>
      <c r="LV214" s="569"/>
      <c r="LW214" s="569"/>
      <c r="LX214" s="569"/>
      <c r="LY214" s="569"/>
      <c r="LZ214" s="569"/>
      <c r="MA214" s="569"/>
      <c r="MB214" s="569"/>
      <c r="MC214" s="569"/>
      <c r="MD214" s="569"/>
      <c r="ME214" s="569"/>
      <c r="MF214" s="569"/>
      <c r="MG214" s="569"/>
      <c r="MH214" s="569"/>
      <c r="MI214" s="569"/>
      <c r="MJ214" s="569"/>
      <c r="MK214" s="569"/>
      <c r="ML214" s="569"/>
      <c r="MM214" s="569"/>
      <c r="MN214" s="569"/>
      <c r="MO214" s="569"/>
      <c r="MP214" s="569"/>
      <c r="MQ214" s="569"/>
      <c r="MR214" s="569"/>
      <c r="MS214" s="569"/>
      <c r="MT214" s="569"/>
      <c r="MU214" s="569"/>
      <c r="MV214" s="569"/>
      <c r="MW214" s="569"/>
      <c r="MX214" s="569"/>
      <c r="MY214" s="569"/>
      <c r="MZ214" s="569"/>
      <c r="NA214" s="569"/>
      <c r="NB214" s="569"/>
      <c r="NC214" s="569"/>
      <c r="ND214" s="569"/>
      <c r="NE214" s="569"/>
      <c r="NF214" s="569"/>
      <c r="NG214" s="569"/>
      <c r="NH214" s="569"/>
      <c r="NI214" s="569"/>
      <c r="NJ214" s="569"/>
      <c r="NK214" s="569"/>
      <c r="NL214" s="569"/>
      <c r="NM214" s="569"/>
      <c r="NN214" s="569"/>
      <c r="NO214" s="569"/>
      <c r="NP214" s="569"/>
      <c r="NQ214" s="569"/>
      <c r="NR214" s="569"/>
      <c r="NS214" s="569"/>
      <c r="NT214" s="569"/>
      <c r="NU214" s="569"/>
      <c r="NV214" s="569"/>
      <c r="NW214" s="569"/>
      <c r="NX214" s="569"/>
      <c r="NY214" s="569"/>
      <c r="NZ214" s="569"/>
      <c r="OA214" s="569"/>
      <c r="OB214" s="569"/>
      <c r="OC214" s="569"/>
      <c r="OD214" s="569"/>
      <c r="OE214" s="569"/>
      <c r="OF214" s="569"/>
      <c r="OG214" s="569"/>
      <c r="OH214" s="569"/>
      <c r="OI214" s="569"/>
      <c r="OJ214" s="569"/>
      <c r="OK214" s="569"/>
      <c r="OL214" s="569"/>
      <c r="OM214" s="569"/>
      <c r="ON214" s="569"/>
      <c r="OO214" s="569"/>
      <c r="OP214" s="569"/>
      <c r="OQ214" s="569"/>
      <c r="OR214" s="569"/>
      <c r="OS214" s="569"/>
      <c r="OT214" s="569"/>
      <c r="OU214" s="569"/>
      <c r="OV214" s="569"/>
      <c r="OW214" s="569"/>
      <c r="OX214" s="569"/>
      <c r="OY214" s="569"/>
      <c r="OZ214" s="569"/>
      <c r="PA214" s="569"/>
      <c r="PB214" s="569"/>
      <c r="PC214" s="569"/>
      <c r="PD214" s="569"/>
      <c r="PE214" s="569"/>
      <c r="PF214" s="569"/>
      <c r="PG214" s="569"/>
      <c r="PH214" s="569"/>
      <c r="PI214" s="569"/>
      <c r="PJ214" s="569"/>
      <c r="PK214" s="569"/>
      <c r="PL214" s="569"/>
      <c r="PM214" s="569"/>
      <c r="PN214" s="569"/>
      <c r="PO214" s="569"/>
      <c r="PP214" s="569"/>
      <c r="PQ214" s="569"/>
      <c r="PR214" s="569"/>
      <c r="PS214" s="569"/>
      <c r="PT214" s="569"/>
      <c r="PU214" s="569"/>
      <c r="PV214" s="569"/>
      <c r="PW214" s="569"/>
      <c r="PX214" s="569"/>
      <c r="PY214" s="569"/>
      <c r="PZ214" s="569"/>
      <c r="QA214" s="569"/>
      <c r="QB214" s="569"/>
      <c r="QC214" s="569"/>
      <c r="QD214" s="569"/>
      <c r="QE214" s="569"/>
      <c r="QF214" s="569"/>
      <c r="QG214" s="569"/>
      <c r="QH214" s="569"/>
      <c r="QI214" s="569"/>
      <c r="QJ214" s="569"/>
      <c r="QK214" s="569"/>
      <c r="QL214" s="569"/>
    </row>
    <row r="215" spans="1:454" s="569" customFormat="1" ht="30">
      <c r="B215" s="267"/>
      <c r="C215" s="562"/>
      <c r="H215" s="563" t="str">
        <f>'matrik MISI 5'!N51</f>
        <v>Cakupan Fasilitas Kesehatan dengan SDM sesuai Standar</v>
      </c>
      <c r="I215" s="563" t="str">
        <f>'matrik MISI 5'!O51</f>
        <v>%</v>
      </c>
      <c r="J215" s="563" t="str">
        <f>'matrik MISI 5'!P51</f>
        <v>tda</v>
      </c>
      <c r="K215" s="563" t="str">
        <f>'matrik MISI 5'!Q51</f>
        <v>tda</v>
      </c>
      <c r="L215" s="563">
        <f>'matrik MISI 5'!R51</f>
        <v>65</v>
      </c>
      <c r="M215" s="604"/>
      <c r="N215" s="563">
        <f>'matrik MISI 5'!S51</f>
        <v>66.25</v>
      </c>
      <c r="O215" s="564"/>
      <c r="P215" s="563">
        <f>'matrik MISI 5'!T51</f>
        <v>67</v>
      </c>
      <c r="Q215" s="564"/>
      <c r="R215" s="563">
        <f>'matrik MISI 5'!U51</f>
        <v>68.5</v>
      </c>
      <c r="S215" s="564"/>
      <c r="T215" s="563">
        <f>'matrik MISI 5'!V51</f>
        <v>70</v>
      </c>
      <c r="U215" s="564"/>
      <c r="V215" s="563">
        <f>'matrik MISI 5'!W51</f>
        <v>70</v>
      </c>
      <c r="W215" s="564"/>
      <c r="X215" s="563" t="str">
        <f>'matrik MISI 5'!X51</f>
        <v>Dinas Kesehatan</v>
      </c>
      <c r="Y215" s="565" t="str">
        <f>'matrik MISI 5'!Y51</f>
        <v xml:space="preserve">Jumlah Fasilitas Kesehatan dengan SDM sesuai Standar/ Jumlah fasilitas kesehatan yang ada x 100 </v>
      </c>
      <c r="Z215" s="565" t="str">
        <f>'matrik MISI 5'!Z51</f>
        <v>SDM terdiri dari tenaga kesehatan dan non kesehatan</v>
      </c>
    </row>
    <row r="216" spans="1:454" s="569" customFormat="1" ht="30">
      <c r="B216" s="267"/>
      <c r="C216" s="562"/>
      <c r="D216" s="563"/>
      <c r="E216" s="563"/>
      <c r="F216" s="563"/>
      <c r="G216" s="563"/>
      <c r="H216" s="563" t="str">
        <f>'matrik MISI 5'!N52</f>
        <v>Cakupan Tenaga Kesehatan yang Memenuhi Standar Kompetensi</v>
      </c>
      <c r="I216" s="563" t="str">
        <f>'matrik MISI 5'!O52</f>
        <v>%</v>
      </c>
      <c r="J216" s="563" t="str">
        <f>'matrik MISI 5'!P52</f>
        <v>tda</v>
      </c>
      <c r="K216" s="563" t="str">
        <f>'matrik MISI 5'!Q52</f>
        <v>tda</v>
      </c>
      <c r="L216" s="563">
        <f>'matrik MISI 5'!R52</f>
        <v>70</v>
      </c>
      <c r="M216" s="604"/>
      <c r="N216" s="563">
        <f>'matrik MISI 5'!S52</f>
        <v>75</v>
      </c>
      <c r="O216" s="564"/>
      <c r="P216" s="563">
        <f>'matrik MISI 5'!T52</f>
        <v>80</v>
      </c>
      <c r="Q216" s="564"/>
      <c r="R216" s="563">
        <f>'matrik MISI 5'!U52</f>
        <v>85</v>
      </c>
      <c r="S216" s="564"/>
      <c r="T216" s="563">
        <f>'matrik MISI 5'!V52</f>
        <v>90</v>
      </c>
      <c r="U216" s="564"/>
      <c r="V216" s="563">
        <f>'matrik MISI 5'!W52</f>
        <v>90</v>
      </c>
      <c r="W216" s="564"/>
      <c r="X216" s="563" t="str">
        <f>'matrik MISI 5'!X52</f>
        <v>Dinas Kesehatan</v>
      </c>
      <c r="Y216" s="565" t="str">
        <f>'matrik MISI 5'!Y52</f>
        <v>Jumlah tenaga medis dan paramedis aktif yang memenuhi standar kompetensi/Jumlah tenaga medis dan paramedis aktif x 100</v>
      </c>
      <c r="Z216" s="565" t="str">
        <f>'matrik MISI 5'!Z52</f>
        <v>Tenaga medis dan paramedis aktif adalah tenaga medis dan paramedis yang menjalankan praktik profesinya</v>
      </c>
    </row>
    <row r="217" spans="1:454" s="574" customFormat="1" ht="90">
      <c r="A217" s="569"/>
      <c r="B217" s="575"/>
      <c r="C217" s="576"/>
      <c r="D217" s="577">
        <f>'matrik MISI 5'!J53</f>
        <v>1.02</v>
      </c>
      <c r="E217" s="577" t="str">
        <f>'matrik MISI 5'!K53</f>
        <v>xx</v>
      </c>
      <c r="F217" s="577">
        <f>'matrik MISI 5'!L53</f>
        <v>26</v>
      </c>
      <c r="G217" s="577" t="str">
        <f>'matrik MISI 5'!M53</f>
        <v>Program pengadaan, peningkatan sarana dan prasarana rumah sakit/rumah sakit jiwa/rumah sakit paru-paru/rumah sakit mata</v>
      </c>
      <c r="H217" s="577"/>
      <c r="I217" s="577"/>
      <c r="J217" s="577"/>
      <c r="K217" s="577"/>
      <c r="L217" s="577"/>
      <c r="M217" s="578">
        <f>'jangan di hapus 1'!K382</f>
        <v>32315240000</v>
      </c>
      <c r="N217" s="578"/>
      <c r="O217" s="578">
        <f>'jangan di hapus 1'!M382</f>
        <v>30300000000</v>
      </c>
      <c r="P217" s="578"/>
      <c r="Q217" s="578">
        <f>'jangan di hapus 1'!O382</f>
        <v>21400000000</v>
      </c>
      <c r="R217" s="578"/>
      <c r="S217" s="578">
        <f>'jangan di hapus 1'!Q382</f>
        <v>24583820001</v>
      </c>
      <c r="T217" s="578"/>
      <c r="U217" s="578">
        <f>'jangan di hapus 1'!S382</f>
        <v>20900000000</v>
      </c>
      <c r="V217" s="577"/>
      <c r="W217" s="578">
        <f>SUM(M217:U217)</f>
        <v>129499060001</v>
      </c>
      <c r="X217" s="577"/>
      <c r="Y217" s="577"/>
      <c r="Z217" s="577"/>
      <c r="AA217" s="569"/>
      <c r="AB217" s="569"/>
      <c r="AC217" s="569"/>
      <c r="AD217" s="569"/>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L217" s="569"/>
      <c r="BM217" s="569"/>
      <c r="BN217" s="569"/>
      <c r="BO217" s="569"/>
      <c r="BP217" s="569"/>
      <c r="BQ217" s="569"/>
      <c r="BR217" s="569"/>
      <c r="BS217" s="569"/>
      <c r="BT217" s="569"/>
      <c r="BU217" s="569"/>
      <c r="BV217" s="569"/>
      <c r="BW217" s="569"/>
      <c r="BX217" s="569"/>
      <c r="BY217" s="569"/>
      <c r="BZ217" s="569"/>
      <c r="CA217" s="569"/>
      <c r="CB217" s="569"/>
      <c r="CC217" s="569"/>
      <c r="CD217" s="569"/>
      <c r="CE217" s="569"/>
      <c r="CF217" s="569"/>
      <c r="CG217" s="569"/>
      <c r="CH217" s="569"/>
      <c r="CI217" s="569"/>
      <c r="CJ217" s="569"/>
      <c r="CK217" s="569"/>
      <c r="CL217" s="569"/>
      <c r="CM217" s="569"/>
      <c r="CN217" s="569"/>
      <c r="CO217" s="569"/>
      <c r="CP217" s="569"/>
      <c r="CQ217" s="569"/>
      <c r="CR217" s="569"/>
      <c r="CS217" s="569"/>
      <c r="CT217" s="569"/>
      <c r="CU217" s="569"/>
      <c r="CV217" s="569"/>
      <c r="CW217" s="569"/>
      <c r="CX217" s="569"/>
      <c r="CY217" s="569"/>
      <c r="CZ217" s="569"/>
      <c r="DA217" s="569"/>
      <c r="DB217" s="569"/>
      <c r="DC217" s="569"/>
      <c r="DD217" s="569"/>
      <c r="DE217" s="569"/>
      <c r="DF217" s="569"/>
      <c r="DG217" s="569"/>
      <c r="DH217" s="569"/>
      <c r="DI217" s="569"/>
      <c r="DJ217" s="569"/>
      <c r="DK217" s="569"/>
      <c r="DL217" s="569"/>
      <c r="DM217" s="569"/>
      <c r="DN217" s="569"/>
      <c r="DO217" s="569"/>
      <c r="DP217" s="569"/>
      <c r="DQ217" s="569"/>
      <c r="DR217" s="569"/>
      <c r="DS217" s="569"/>
      <c r="DT217" s="569"/>
      <c r="DU217" s="569"/>
      <c r="DV217" s="569"/>
      <c r="DW217" s="569"/>
      <c r="DX217" s="569"/>
      <c r="DY217" s="569"/>
      <c r="DZ217" s="569"/>
      <c r="EA217" s="569"/>
      <c r="EB217" s="569"/>
      <c r="EC217" s="569"/>
      <c r="ED217" s="569"/>
      <c r="EE217" s="569"/>
      <c r="EF217" s="569"/>
      <c r="EG217" s="569"/>
      <c r="EH217" s="569"/>
      <c r="EI217" s="569"/>
      <c r="EJ217" s="569"/>
      <c r="EK217" s="569"/>
      <c r="EL217" s="569"/>
      <c r="EM217" s="569"/>
      <c r="EN217" s="569"/>
      <c r="EO217" s="569"/>
      <c r="EP217" s="569"/>
      <c r="EQ217" s="569"/>
      <c r="ER217" s="569"/>
      <c r="ES217" s="569"/>
      <c r="ET217" s="569"/>
      <c r="EU217" s="569"/>
      <c r="EV217" s="569"/>
      <c r="EW217" s="569"/>
      <c r="EX217" s="569"/>
      <c r="EY217" s="569"/>
      <c r="EZ217" s="569"/>
      <c r="FA217" s="569"/>
      <c r="FB217" s="569"/>
      <c r="FC217" s="569"/>
      <c r="FD217" s="569"/>
      <c r="FE217" s="569"/>
      <c r="FF217" s="569"/>
      <c r="FG217" s="569"/>
      <c r="FH217" s="569"/>
      <c r="FI217" s="569"/>
      <c r="FJ217" s="569"/>
      <c r="FK217" s="569"/>
      <c r="FL217" s="569"/>
      <c r="FM217" s="569"/>
      <c r="FN217" s="569"/>
      <c r="FO217" s="569"/>
      <c r="FP217" s="569"/>
      <c r="FQ217" s="569"/>
      <c r="FR217" s="569"/>
      <c r="FS217" s="569"/>
      <c r="FT217" s="569"/>
      <c r="FU217" s="569"/>
      <c r="FV217" s="569"/>
      <c r="FW217" s="569"/>
      <c r="FX217" s="569"/>
      <c r="FY217" s="569"/>
      <c r="FZ217" s="569"/>
      <c r="GA217" s="569"/>
      <c r="GB217" s="569"/>
      <c r="GC217" s="569"/>
      <c r="GD217" s="569"/>
      <c r="GE217" s="569"/>
      <c r="GF217" s="569"/>
      <c r="GG217" s="569"/>
      <c r="GH217" s="569"/>
      <c r="GI217" s="569"/>
      <c r="GJ217" s="569"/>
      <c r="GK217" s="569"/>
      <c r="GL217" s="569"/>
      <c r="GM217" s="569"/>
      <c r="GN217" s="569"/>
      <c r="GO217" s="569"/>
      <c r="GP217" s="569"/>
      <c r="GQ217" s="569"/>
      <c r="GR217" s="569"/>
      <c r="GS217" s="569"/>
      <c r="GT217" s="569"/>
      <c r="GU217" s="569"/>
      <c r="GV217" s="569"/>
      <c r="GW217" s="569"/>
      <c r="GX217" s="569"/>
      <c r="GY217" s="569"/>
      <c r="GZ217" s="569"/>
      <c r="HA217" s="569"/>
      <c r="HB217" s="569"/>
      <c r="HC217" s="569"/>
      <c r="HD217" s="569"/>
      <c r="HE217" s="569"/>
      <c r="HF217" s="569"/>
      <c r="HG217" s="569"/>
      <c r="HH217" s="569"/>
      <c r="HI217" s="569"/>
      <c r="HJ217" s="569"/>
      <c r="HK217" s="569"/>
      <c r="HL217" s="569"/>
      <c r="HM217" s="569"/>
      <c r="HN217" s="569"/>
      <c r="HO217" s="569"/>
      <c r="HP217" s="569"/>
      <c r="HQ217" s="569"/>
      <c r="HR217" s="569"/>
      <c r="HS217" s="569"/>
      <c r="HT217" s="569"/>
      <c r="HU217" s="569"/>
      <c r="HV217" s="569"/>
      <c r="HW217" s="569"/>
      <c r="HX217" s="569"/>
      <c r="HY217" s="569"/>
      <c r="HZ217" s="569"/>
      <c r="IA217" s="569"/>
      <c r="IB217" s="569"/>
      <c r="IC217" s="569"/>
      <c r="ID217" s="569"/>
      <c r="IE217" s="569"/>
      <c r="IF217" s="569"/>
      <c r="IG217" s="569"/>
      <c r="IH217" s="569"/>
      <c r="II217" s="569"/>
      <c r="IJ217" s="569"/>
      <c r="IK217" s="569"/>
      <c r="IL217" s="569"/>
      <c r="IM217" s="569"/>
      <c r="IN217" s="569"/>
      <c r="IO217" s="569"/>
      <c r="IP217" s="569"/>
      <c r="IQ217" s="569"/>
      <c r="IR217" s="569"/>
      <c r="IS217" s="569"/>
      <c r="IT217" s="569"/>
      <c r="IU217" s="569"/>
      <c r="IV217" s="569"/>
      <c r="IW217" s="569"/>
      <c r="IX217" s="569"/>
      <c r="IY217" s="569"/>
      <c r="IZ217" s="569"/>
      <c r="JA217" s="569"/>
      <c r="JB217" s="569"/>
      <c r="JC217" s="569"/>
      <c r="JD217" s="569"/>
      <c r="JE217" s="569"/>
      <c r="JF217" s="569"/>
      <c r="JG217" s="569"/>
      <c r="JH217" s="569"/>
      <c r="JI217" s="569"/>
      <c r="JJ217" s="569"/>
      <c r="JK217" s="569"/>
      <c r="JL217" s="569"/>
      <c r="JM217" s="569"/>
      <c r="JN217" s="569"/>
      <c r="JO217" s="569"/>
      <c r="JP217" s="569"/>
      <c r="JQ217" s="569"/>
      <c r="JR217" s="569"/>
      <c r="JS217" s="569"/>
      <c r="JT217" s="569"/>
      <c r="JU217" s="569"/>
      <c r="JV217" s="569"/>
      <c r="JW217" s="569"/>
      <c r="JX217" s="569"/>
      <c r="JY217" s="569"/>
      <c r="JZ217" s="569"/>
      <c r="KA217" s="569"/>
      <c r="KB217" s="569"/>
      <c r="KC217" s="569"/>
      <c r="KD217" s="569"/>
      <c r="KE217" s="569"/>
      <c r="KF217" s="569"/>
      <c r="KG217" s="569"/>
      <c r="KH217" s="569"/>
      <c r="KI217" s="569"/>
      <c r="KJ217" s="569"/>
      <c r="KK217" s="569"/>
      <c r="KL217" s="569"/>
      <c r="KM217" s="569"/>
      <c r="KN217" s="569"/>
      <c r="KO217" s="569"/>
      <c r="KP217" s="569"/>
      <c r="KQ217" s="569"/>
      <c r="KR217" s="569"/>
      <c r="KS217" s="569"/>
      <c r="KT217" s="569"/>
      <c r="KU217" s="569"/>
      <c r="KV217" s="569"/>
      <c r="KW217" s="569"/>
      <c r="KX217" s="569"/>
      <c r="KY217" s="569"/>
      <c r="KZ217" s="569"/>
      <c r="LA217" s="569"/>
      <c r="LB217" s="569"/>
      <c r="LC217" s="569"/>
      <c r="LD217" s="569"/>
      <c r="LE217" s="569"/>
      <c r="LF217" s="569"/>
      <c r="LG217" s="569"/>
      <c r="LH217" s="569"/>
      <c r="LI217" s="569"/>
      <c r="LJ217" s="569"/>
      <c r="LK217" s="569"/>
      <c r="LL217" s="569"/>
      <c r="LM217" s="569"/>
      <c r="LN217" s="569"/>
      <c r="LO217" s="569"/>
      <c r="LP217" s="569"/>
      <c r="LQ217" s="569"/>
      <c r="LR217" s="569"/>
      <c r="LS217" s="569"/>
      <c r="LT217" s="569"/>
      <c r="LU217" s="569"/>
      <c r="LV217" s="569"/>
      <c r="LW217" s="569"/>
      <c r="LX217" s="569"/>
      <c r="LY217" s="569"/>
      <c r="LZ217" s="569"/>
      <c r="MA217" s="569"/>
      <c r="MB217" s="569"/>
      <c r="MC217" s="569"/>
      <c r="MD217" s="569"/>
      <c r="ME217" s="569"/>
      <c r="MF217" s="569"/>
      <c r="MG217" s="569"/>
      <c r="MH217" s="569"/>
      <c r="MI217" s="569"/>
      <c r="MJ217" s="569"/>
      <c r="MK217" s="569"/>
      <c r="ML217" s="569"/>
      <c r="MM217" s="569"/>
      <c r="MN217" s="569"/>
      <c r="MO217" s="569"/>
      <c r="MP217" s="569"/>
      <c r="MQ217" s="569"/>
      <c r="MR217" s="569"/>
      <c r="MS217" s="569"/>
      <c r="MT217" s="569"/>
      <c r="MU217" s="569"/>
      <c r="MV217" s="569"/>
      <c r="MW217" s="569"/>
      <c r="MX217" s="569"/>
      <c r="MY217" s="569"/>
      <c r="MZ217" s="569"/>
      <c r="NA217" s="569"/>
      <c r="NB217" s="569"/>
      <c r="NC217" s="569"/>
      <c r="ND217" s="569"/>
      <c r="NE217" s="569"/>
      <c r="NF217" s="569"/>
      <c r="NG217" s="569"/>
      <c r="NH217" s="569"/>
      <c r="NI217" s="569"/>
      <c r="NJ217" s="569"/>
      <c r="NK217" s="569"/>
      <c r="NL217" s="569"/>
      <c r="NM217" s="569"/>
      <c r="NN217" s="569"/>
      <c r="NO217" s="569"/>
      <c r="NP217" s="569"/>
      <c r="NQ217" s="569"/>
      <c r="NR217" s="569"/>
      <c r="NS217" s="569"/>
      <c r="NT217" s="569"/>
      <c r="NU217" s="569"/>
      <c r="NV217" s="569"/>
      <c r="NW217" s="569"/>
      <c r="NX217" s="569"/>
      <c r="NY217" s="569"/>
      <c r="NZ217" s="569"/>
      <c r="OA217" s="569"/>
      <c r="OB217" s="569"/>
      <c r="OC217" s="569"/>
      <c r="OD217" s="569"/>
      <c r="OE217" s="569"/>
      <c r="OF217" s="569"/>
      <c r="OG217" s="569"/>
      <c r="OH217" s="569"/>
      <c r="OI217" s="569"/>
      <c r="OJ217" s="569"/>
      <c r="OK217" s="569"/>
      <c r="OL217" s="569"/>
      <c r="OM217" s="569"/>
      <c r="ON217" s="569"/>
      <c r="OO217" s="569"/>
      <c r="OP217" s="569"/>
      <c r="OQ217" s="569"/>
      <c r="OR217" s="569"/>
      <c r="OS217" s="569"/>
      <c r="OT217" s="569"/>
      <c r="OU217" s="569"/>
      <c r="OV217" s="569"/>
      <c r="OW217" s="569"/>
      <c r="OX217" s="569"/>
      <c r="OY217" s="569"/>
      <c r="OZ217" s="569"/>
      <c r="PA217" s="569"/>
      <c r="PB217" s="569"/>
      <c r="PC217" s="569"/>
      <c r="PD217" s="569"/>
      <c r="PE217" s="569"/>
      <c r="PF217" s="569"/>
      <c r="PG217" s="569"/>
      <c r="PH217" s="569"/>
      <c r="PI217" s="569"/>
      <c r="PJ217" s="569"/>
      <c r="PK217" s="569"/>
      <c r="PL217" s="569"/>
      <c r="PM217" s="569"/>
      <c r="PN217" s="569"/>
      <c r="PO217" s="569"/>
      <c r="PP217" s="569"/>
      <c r="PQ217" s="569"/>
      <c r="PR217" s="569"/>
      <c r="PS217" s="569"/>
      <c r="PT217" s="569"/>
      <c r="PU217" s="569"/>
      <c r="PV217" s="569"/>
      <c r="PW217" s="569"/>
      <c r="PX217" s="569"/>
      <c r="PY217" s="569"/>
      <c r="PZ217" s="569"/>
      <c r="QA217" s="569"/>
      <c r="QB217" s="569"/>
      <c r="QC217" s="569"/>
      <c r="QD217" s="569"/>
      <c r="QE217" s="569"/>
      <c r="QF217" s="569"/>
      <c r="QG217" s="569"/>
      <c r="QH217" s="569"/>
      <c r="QI217" s="569"/>
      <c r="QJ217" s="569"/>
      <c r="QK217" s="569"/>
      <c r="QL217" s="569"/>
    </row>
    <row r="218" spans="1:454" s="569" customFormat="1" ht="30">
      <c r="B218" s="267"/>
      <c r="C218" s="562"/>
      <c r="H218" s="563" t="str">
        <f>'matrik MISI 5'!N53</f>
        <v>Rasio ketersediaan sarana dan prasarana puskesmas</v>
      </c>
      <c r="I218" s="563" t="str">
        <f>'matrik MISI 5'!O53</f>
        <v>Rasio</v>
      </c>
      <c r="J218" s="563" t="str">
        <f>'matrik MISI 5'!P53</f>
        <v>1 : 32412</v>
      </c>
      <c r="K218" s="563" t="str">
        <f>'matrik MISI 5'!Q53</f>
        <v>1/30.000</v>
      </c>
      <c r="L218" s="563" t="str">
        <f>'matrik MISI 5'!R53</f>
        <v>1/33.000</v>
      </c>
      <c r="M218" s="604"/>
      <c r="N218" s="563" t="str">
        <f>'matrik MISI 5'!S53</f>
        <v>1/33.000</v>
      </c>
      <c r="O218" s="564"/>
      <c r="P218" s="563" t="str">
        <f>'matrik MISI 5'!T53</f>
        <v>1/32.000</v>
      </c>
      <c r="Q218" s="564"/>
      <c r="R218" s="563" t="str">
        <f>'matrik MISI 5'!U53</f>
        <v>1/31.000</v>
      </c>
      <c r="S218" s="564"/>
      <c r="T218" s="563" t="str">
        <f>'matrik MISI 5'!V53</f>
        <v>1/31.000</v>
      </c>
      <c r="U218" s="564"/>
      <c r="V218" s="563" t="str">
        <f>'matrik MISI 5'!W53</f>
        <v>1/30.000</v>
      </c>
      <c r="W218" s="564"/>
      <c r="X218" s="563">
        <f>'matrik MISI 5'!X53</f>
        <v>0</v>
      </c>
      <c r="Y218" s="565" t="str">
        <f>'matrik MISI 5'!Y53</f>
        <v>Jumlah puskesmas dibanding jumlah penduduk</v>
      </c>
      <c r="Z218" s="565" t="str">
        <f>'matrik MISI 5'!Z53</f>
        <v>Rasio ideal : 1 : 30000</v>
      </c>
    </row>
    <row r="219" spans="1:454" s="569" customFormat="1" ht="30">
      <c r="B219" s="267"/>
      <c r="C219" s="562"/>
      <c r="D219" s="563"/>
      <c r="E219" s="563"/>
      <c r="F219" s="563"/>
      <c r="G219" s="563"/>
      <c r="H219" s="563" t="str">
        <f>'matrik MISI 5'!N54</f>
        <v>Penyediaan Sarana dan Prasarana Rumah Sakit</v>
      </c>
      <c r="I219" s="563" t="str">
        <f>'matrik MISI 5'!O54</f>
        <v>%</v>
      </c>
      <c r="J219" s="563">
        <f>'matrik MISI 5'!P54</f>
        <v>50.63</v>
      </c>
      <c r="K219" s="563">
        <f>'matrik MISI 5'!Q54</f>
        <v>80</v>
      </c>
      <c r="L219" s="563">
        <f>'matrik MISI 5'!R54</f>
        <v>85</v>
      </c>
      <c r="M219" s="604"/>
      <c r="N219" s="563">
        <f>'matrik MISI 5'!S54</f>
        <v>90</v>
      </c>
      <c r="O219" s="564"/>
      <c r="P219" s="563">
        <f>'matrik MISI 5'!T54</f>
        <v>95</v>
      </c>
      <c r="Q219" s="564"/>
      <c r="R219" s="563">
        <f>'matrik MISI 5'!U54</f>
        <v>100</v>
      </c>
      <c r="S219" s="564"/>
      <c r="T219" s="563">
        <f>'matrik MISI 5'!V54</f>
        <v>100</v>
      </c>
      <c r="U219" s="564"/>
      <c r="V219" s="563">
        <f>'matrik MISI 5'!W54</f>
        <v>100</v>
      </c>
      <c r="W219" s="564"/>
      <c r="X219" s="563" t="str">
        <f>'matrik MISI 5'!X54</f>
        <v xml:space="preserve">RSUD </v>
      </c>
      <c r="Y219" s="565" t="str">
        <f>'matrik MISI 5'!Y54</f>
        <v>Jumlah sarana dan prasarana  yang ada / jumlah sarana dan prasarana yang seharusnya  ada x 100</v>
      </c>
      <c r="Z219" s="565" t="str">
        <f>'matrik MISI 5'!Z54</f>
        <v>Untuk memenuhi ketentuan Rumah sakit Tipe B</v>
      </c>
    </row>
    <row r="220" spans="1:454" s="574" customFormat="1" ht="60">
      <c r="A220" s="569"/>
      <c r="B220" s="575"/>
      <c r="C220" s="576"/>
      <c r="D220" s="577">
        <f>'matrik MISI 5'!J55</f>
        <v>1.02</v>
      </c>
      <c r="E220" s="577" t="str">
        <f>'matrik MISI 5'!K55</f>
        <v>xx</v>
      </c>
      <c r="F220" s="577">
        <f>'matrik MISI 5'!L55</f>
        <v>33</v>
      </c>
      <c r="G220" s="577" t="str">
        <f>'matrik MISI 5'!M55</f>
        <v>Program peningkatan Kualitas pelayanan kesehatan pada BLUD RSUD</v>
      </c>
      <c r="H220" s="577"/>
      <c r="I220" s="577"/>
      <c r="J220" s="577"/>
      <c r="K220" s="577"/>
      <c r="L220" s="577"/>
      <c r="M220" s="578">
        <f>'jangan di hapus 1'!K428</f>
        <v>66213700000</v>
      </c>
      <c r="N220" s="578"/>
      <c r="O220" s="578">
        <f>'jangan di hapus 1'!M428</f>
        <v>63478558000</v>
      </c>
      <c r="P220" s="578"/>
      <c r="Q220" s="578">
        <f>'jangan di hapus 1'!O428</f>
        <v>65000000000</v>
      </c>
      <c r="R220" s="578"/>
      <c r="S220" s="578">
        <f>'jangan di hapus 1'!Q428</f>
        <v>67000000000</v>
      </c>
      <c r="T220" s="578"/>
      <c r="U220" s="578">
        <f>'jangan di hapus 1'!S428</f>
        <v>68000000000</v>
      </c>
      <c r="V220" s="577"/>
      <c r="W220" s="578">
        <f>SUM(M220:U220)</f>
        <v>329692258000</v>
      </c>
      <c r="X220" s="577"/>
      <c r="Y220" s="577"/>
      <c r="Z220" s="577"/>
      <c r="AA220" s="569"/>
      <c r="AB220" s="569"/>
      <c r="AC220" s="569"/>
      <c r="AD220" s="569"/>
      <c r="AE220" s="569"/>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569"/>
      <c r="CE220" s="569"/>
      <c r="CF220" s="569"/>
      <c r="CG220" s="569"/>
      <c r="CH220" s="569"/>
      <c r="CI220" s="569"/>
      <c r="CJ220" s="569"/>
      <c r="CK220" s="569"/>
      <c r="CL220" s="569"/>
      <c r="CM220" s="569"/>
      <c r="CN220" s="569"/>
      <c r="CO220" s="569"/>
      <c r="CP220" s="569"/>
      <c r="CQ220" s="569"/>
      <c r="CR220" s="569"/>
      <c r="CS220" s="569"/>
      <c r="CT220" s="569"/>
      <c r="CU220" s="569"/>
      <c r="CV220" s="569"/>
      <c r="CW220" s="569"/>
      <c r="CX220" s="569"/>
      <c r="CY220" s="569"/>
      <c r="CZ220" s="569"/>
      <c r="DA220" s="569"/>
      <c r="DB220" s="569"/>
      <c r="DC220" s="569"/>
      <c r="DD220" s="569"/>
      <c r="DE220" s="569"/>
      <c r="DF220" s="569"/>
      <c r="DG220" s="569"/>
      <c r="DH220" s="569"/>
      <c r="DI220" s="569"/>
      <c r="DJ220" s="569"/>
      <c r="DK220" s="569"/>
      <c r="DL220" s="569"/>
      <c r="DM220" s="569"/>
      <c r="DN220" s="569"/>
      <c r="DO220" s="569"/>
      <c r="DP220" s="569"/>
      <c r="DQ220" s="569"/>
      <c r="DR220" s="569"/>
      <c r="DS220" s="569"/>
      <c r="DT220" s="569"/>
      <c r="DU220" s="569"/>
      <c r="DV220" s="569"/>
      <c r="DW220" s="569"/>
      <c r="DX220" s="569"/>
      <c r="DY220" s="569"/>
      <c r="DZ220" s="569"/>
      <c r="EA220" s="569"/>
      <c r="EB220" s="569"/>
      <c r="EC220" s="569"/>
      <c r="ED220" s="569"/>
      <c r="EE220" s="569"/>
      <c r="EF220" s="569"/>
      <c r="EG220" s="569"/>
      <c r="EH220" s="569"/>
      <c r="EI220" s="569"/>
      <c r="EJ220" s="569"/>
      <c r="EK220" s="569"/>
      <c r="EL220" s="569"/>
      <c r="EM220" s="569"/>
      <c r="EN220" s="569"/>
      <c r="EO220" s="569"/>
      <c r="EP220" s="569"/>
      <c r="EQ220" s="569"/>
      <c r="ER220" s="569"/>
      <c r="ES220" s="569"/>
      <c r="ET220" s="569"/>
      <c r="EU220" s="569"/>
      <c r="EV220" s="569"/>
      <c r="EW220" s="569"/>
      <c r="EX220" s="569"/>
      <c r="EY220" s="569"/>
      <c r="EZ220" s="569"/>
      <c r="FA220" s="569"/>
      <c r="FB220" s="569"/>
      <c r="FC220" s="569"/>
      <c r="FD220" s="569"/>
      <c r="FE220" s="569"/>
      <c r="FF220" s="569"/>
      <c r="FG220" s="569"/>
      <c r="FH220" s="569"/>
      <c r="FI220" s="569"/>
      <c r="FJ220" s="569"/>
      <c r="FK220" s="569"/>
      <c r="FL220" s="569"/>
      <c r="FM220" s="569"/>
      <c r="FN220" s="569"/>
      <c r="FO220" s="569"/>
      <c r="FP220" s="569"/>
      <c r="FQ220" s="569"/>
      <c r="FR220" s="569"/>
      <c r="FS220" s="569"/>
      <c r="FT220" s="569"/>
      <c r="FU220" s="569"/>
      <c r="FV220" s="569"/>
      <c r="FW220" s="569"/>
      <c r="FX220" s="569"/>
      <c r="FY220" s="569"/>
      <c r="FZ220" s="569"/>
      <c r="GA220" s="569"/>
      <c r="GB220" s="569"/>
      <c r="GC220" s="569"/>
      <c r="GD220" s="569"/>
      <c r="GE220" s="569"/>
      <c r="GF220" s="569"/>
      <c r="GG220" s="569"/>
      <c r="GH220" s="569"/>
      <c r="GI220" s="569"/>
      <c r="GJ220" s="569"/>
      <c r="GK220" s="569"/>
      <c r="GL220" s="569"/>
      <c r="GM220" s="569"/>
      <c r="GN220" s="569"/>
      <c r="GO220" s="569"/>
      <c r="GP220" s="569"/>
      <c r="GQ220" s="569"/>
      <c r="GR220" s="569"/>
      <c r="GS220" s="569"/>
      <c r="GT220" s="569"/>
      <c r="GU220" s="569"/>
      <c r="GV220" s="569"/>
      <c r="GW220" s="569"/>
      <c r="GX220" s="569"/>
      <c r="GY220" s="569"/>
      <c r="GZ220" s="569"/>
      <c r="HA220" s="569"/>
      <c r="HB220" s="569"/>
      <c r="HC220" s="569"/>
      <c r="HD220" s="569"/>
      <c r="HE220" s="569"/>
      <c r="HF220" s="569"/>
      <c r="HG220" s="569"/>
      <c r="HH220" s="569"/>
      <c r="HI220" s="569"/>
      <c r="HJ220" s="569"/>
      <c r="HK220" s="569"/>
      <c r="HL220" s="569"/>
      <c r="HM220" s="569"/>
      <c r="HN220" s="569"/>
      <c r="HO220" s="569"/>
      <c r="HP220" s="569"/>
      <c r="HQ220" s="569"/>
      <c r="HR220" s="569"/>
      <c r="HS220" s="569"/>
      <c r="HT220" s="569"/>
      <c r="HU220" s="569"/>
      <c r="HV220" s="569"/>
      <c r="HW220" s="569"/>
      <c r="HX220" s="569"/>
      <c r="HY220" s="569"/>
      <c r="HZ220" s="569"/>
      <c r="IA220" s="569"/>
      <c r="IB220" s="569"/>
      <c r="IC220" s="569"/>
      <c r="ID220" s="569"/>
      <c r="IE220" s="569"/>
      <c r="IF220" s="569"/>
      <c r="IG220" s="569"/>
      <c r="IH220" s="569"/>
      <c r="II220" s="569"/>
      <c r="IJ220" s="569"/>
      <c r="IK220" s="569"/>
      <c r="IL220" s="569"/>
      <c r="IM220" s="569"/>
      <c r="IN220" s="569"/>
      <c r="IO220" s="569"/>
      <c r="IP220" s="569"/>
      <c r="IQ220" s="569"/>
      <c r="IR220" s="569"/>
      <c r="IS220" s="569"/>
      <c r="IT220" s="569"/>
      <c r="IU220" s="569"/>
      <c r="IV220" s="569"/>
      <c r="IW220" s="569"/>
      <c r="IX220" s="569"/>
      <c r="IY220" s="569"/>
      <c r="IZ220" s="569"/>
      <c r="JA220" s="569"/>
      <c r="JB220" s="569"/>
      <c r="JC220" s="569"/>
      <c r="JD220" s="569"/>
      <c r="JE220" s="569"/>
      <c r="JF220" s="569"/>
      <c r="JG220" s="569"/>
      <c r="JH220" s="569"/>
      <c r="JI220" s="569"/>
      <c r="JJ220" s="569"/>
      <c r="JK220" s="569"/>
      <c r="JL220" s="569"/>
      <c r="JM220" s="569"/>
      <c r="JN220" s="569"/>
      <c r="JO220" s="569"/>
      <c r="JP220" s="569"/>
      <c r="JQ220" s="569"/>
      <c r="JR220" s="569"/>
      <c r="JS220" s="569"/>
      <c r="JT220" s="569"/>
      <c r="JU220" s="569"/>
      <c r="JV220" s="569"/>
      <c r="JW220" s="569"/>
      <c r="JX220" s="569"/>
      <c r="JY220" s="569"/>
      <c r="JZ220" s="569"/>
      <c r="KA220" s="569"/>
      <c r="KB220" s="569"/>
      <c r="KC220" s="569"/>
      <c r="KD220" s="569"/>
      <c r="KE220" s="569"/>
      <c r="KF220" s="569"/>
      <c r="KG220" s="569"/>
      <c r="KH220" s="569"/>
      <c r="KI220" s="569"/>
      <c r="KJ220" s="569"/>
      <c r="KK220" s="569"/>
      <c r="KL220" s="569"/>
      <c r="KM220" s="569"/>
      <c r="KN220" s="569"/>
      <c r="KO220" s="569"/>
      <c r="KP220" s="569"/>
      <c r="KQ220" s="569"/>
      <c r="KR220" s="569"/>
      <c r="KS220" s="569"/>
      <c r="KT220" s="569"/>
      <c r="KU220" s="569"/>
      <c r="KV220" s="569"/>
      <c r="KW220" s="569"/>
      <c r="KX220" s="569"/>
      <c r="KY220" s="569"/>
      <c r="KZ220" s="569"/>
      <c r="LA220" s="569"/>
      <c r="LB220" s="569"/>
      <c r="LC220" s="569"/>
      <c r="LD220" s="569"/>
      <c r="LE220" s="569"/>
      <c r="LF220" s="569"/>
      <c r="LG220" s="569"/>
      <c r="LH220" s="569"/>
      <c r="LI220" s="569"/>
      <c r="LJ220" s="569"/>
      <c r="LK220" s="569"/>
      <c r="LL220" s="569"/>
      <c r="LM220" s="569"/>
      <c r="LN220" s="569"/>
      <c r="LO220" s="569"/>
      <c r="LP220" s="569"/>
      <c r="LQ220" s="569"/>
      <c r="LR220" s="569"/>
      <c r="LS220" s="569"/>
      <c r="LT220" s="569"/>
      <c r="LU220" s="569"/>
      <c r="LV220" s="569"/>
      <c r="LW220" s="569"/>
      <c r="LX220" s="569"/>
      <c r="LY220" s="569"/>
      <c r="LZ220" s="569"/>
      <c r="MA220" s="569"/>
      <c r="MB220" s="569"/>
      <c r="MC220" s="569"/>
      <c r="MD220" s="569"/>
      <c r="ME220" s="569"/>
      <c r="MF220" s="569"/>
      <c r="MG220" s="569"/>
      <c r="MH220" s="569"/>
      <c r="MI220" s="569"/>
      <c r="MJ220" s="569"/>
      <c r="MK220" s="569"/>
      <c r="ML220" s="569"/>
      <c r="MM220" s="569"/>
      <c r="MN220" s="569"/>
      <c r="MO220" s="569"/>
      <c r="MP220" s="569"/>
      <c r="MQ220" s="569"/>
      <c r="MR220" s="569"/>
      <c r="MS220" s="569"/>
      <c r="MT220" s="569"/>
      <c r="MU220" s="569"/>
      <c r="MV220" s="569"/>
      <c r="MW220" s="569"/>
      <c r="MX220" s="569"/>
      <c r="MY220" s="569"/>
      <c r="MZ220" s="569"/>
      <c r="NA220" s="569"/>
      <c r="NB220" s="569"/>
      <c r="NC220" s="569"/>
      <c r="ND220" s="569"/>
      <c r="NE220" s="569"/>
      <c r="NF220" s="569"/>
      <c r="NG220" s="569"/>
      <c r="NH220" s="569"/>
      <c r="NI220" s="569"/>
      <c r="NJ220" s="569"/>
      <c r="NK220" s="569"/>
      <c r="NL220" s="569"/>
      <c r="NM220" s="569"/>
      <c r="NN220" s="569"/>
      <c r="NO220" s="569"/>
      <c r="NP220" s="569"/>
      <c r="NQ220" s="569"/>
      <c r="NR220" s="569"/>
      <c r="NS220" s="569"/>
      <c r="NT220" s="569"/>
      <c r="NU220" s="569"/>
      <c r="NV220" s="569"/>
      <c r="NW220" s="569"/>
      <c r="NX220" s="569"/>
      <c r="NY220" s="569"/>
      <c r="NZ220" s="569"/>
      <c r="OA220" s="569"/>
      <c r="OB220" s="569"/>
      <c r="OC220" s="569"/>
      <c r="OD220" s="569"/>
      <c r="OE220" s="569"/>
      <c r="OF220" s="569"/>
      <c r="OG220" s="569"/>
      <c r="OH220" s="569"/>
      <c r="OI220" s="569"/>
      <c r="OJ220" s="569"/>
      <c r="OK220" s="569"/>
      <c r="OL220" s="569"/>
      <c r="OM220" s="569"/>
      <c r="ON220" s="569"/>
      <c r="OO220" s="569"/>
      <c r="OP220" s="569"/>
      <c r="OQ220" s="569"/>
      <c r="OR220" s="569"/>
      <c r="OS220" s="569"/>
      <c r="OT220" s="569"/>
      <c r="OU220" s="569"/>
      <c r="OV220" s="569"/>
      <c r="OW220" s="569"/>
      <c r="OX220" s="569"/>
      <c r="OY220" s="569"/>
      <c r="OZ220" s="569"/>
      <c r="PA220" s="569"/>
      <c r="PB220" s="569"/>
      <c r="PC220" s="569"/>
      <c r="PD220" s="569"/>
      <c r="PE220" s="569"/>
      <c r="PF220" s="569"/>
      <c r="PG220" s="569"/>
      <c r="PH220" s="569"/>
      <c r="PI220" s="569"/>
      <c r="PJ220" s="569"/>
      <c r="PK220" s="569"/>
      <c r="PL220" s="569"/>
      <c r="PM220" s="569"/>
      <c r="PN220" s="569"/>
      <c r="PO220" s="569"/>
      <c r="PP220" s="569"/>
      <c r="PQ220" s="569"/>
      <c r="PR220" s="569"/>
      <c r="PS220" s="569"/>
      <c r="PT220" s="569"/>
      <c r="PU220" s="569"/>
      <c r="PV220" s="569"/>
      <c r="PW220" s="569"/>
      <c r="PX220" s="569"/>
      <c r="PY220" s="569"/>
      <c r="PZ220" s="569"/>
      <c r="QA220" s="569"/>
      <c r="QB220" s="569"/>
      <c r="QC220" s="569"/>
      <c r="QD220" s="569"/>
      <c r="QE220" s="569"/>
      <c r="QF220" s="569"/>
      <c r="QG220" s="569"/>
      <c r="QH220" s="569"/>
      <c r="QI220" s="569"/>
      <c r="QJ220" s="569"/>
      <c r="QK220" s="569"/>
      <c r="QL220" s="569"/>
    </row>
    <row r="221" spans="1:454" s="569" customFormat="1">
      <c r="B221" s="267"/>
      <c r="C221" s="562"/>
      <c r="H221" s="563" t="str">
        <f>'matrik MISI 5'!N55</f>
        <v xml:space="preserve">Cakupan Pelayanan RSUD: </v>
      </c>
      <c r="I221" s="563"/>
      <c r="J221" s="563"/>
      <c r="K221" s="563"/>
      <c r="L221" s="563"/>
      <c r="M221" s="604"/>
      <c r="N221" s="563"/>
      <c r="O221" s="564"/>
      <c r="P221" s="563"/>
      <c r="Q221" s="564"/>
      <c r="R221" s="563"/>
      <c r="S221" s="564"/>
      <c r="T221" s="563"/>
      <c r="U221" s="564"/>
      <c r="V221" s="563"/>
      <c r="W221" s="564"/>
      <c r="X221" s="563"/>
      <c r="Y221" s="565"/>
      <c r="Z221" s="565"/>
    </row>
    <row r="222" spans="1:454" s="569" customFormat="1" ht="30">
      <c r="B222" s="267"/>
      <c r="C222" s="562"/>
      <c r="D222" s="563"/>
      <c r="E222" s="563"/>
      <c r="F222" s="563"/>
      <c r="G222" s="563"/>
      <c r="H222" s="563" t="str">
        <f>'matrik MISI 5'!N56</f>
        <v>BOR</v>
      </c>
      <c r="I222" s="563" t="str">
        <f>'matrik MISI 5'!O56</f>
        <v>%</v>
      </c>
      <c r="J222" s="563">
        <f>'matrik MISI 5'!P56</f>
        <v>73.73</v>
      </c>
      <c r="K222" s="563">
        <f>'matrik MISI 5'!Q56</f>
        <v>70</v>
      </c>
      <c r="L222" s="563">
        <f>'matrik MISI 5'!R56</f>
        <v>65</v>
      </c>
      <c r="M222" s="604"/>
      <c r="N222" s="563">
        <f>'matrik MISI 5'!S56</f>
        <v>65</v>
      </c>
      <c r="O222" s="564"/>
      <c r="P222" s="563">
        <f>'matrik MISI 5'!T56</f>
        <v>66</v>
      </c>
      <c r="Q222" s="564"/>
      <c r="R222" s="563">
        <f>'matrik MISI 5'!U56</f>
        <v>68</v>
      </c>
      <c r="S222" s="564"/>
      <c r="T222" s="563">
        <f>'matrik MISI 5'!V56</f>
        <v>70</v>
      </c>
      <c r="U222" s="564"/>
      <c r="V222" s="563">
        <f>'matrik MISI 5'!W56</f>
        <v>70</v>
      </c>
      <c r="W222" s="564"/>
      <c r="X222" s="563">
        <f>'matrik MISI 5'!X56</f>
        <v>0</v>
      </c>
      <c r="Y222" s="565" t="str">
        <f>'matrik MISI 5'!Y56</f>
        <v>BOR = Jumlah hari perawatan rumah sakit / (Jmlh Tempat Tidur x jml hari dalam satu satuan waktu) x 100</v>
      </c>
      <c r="Z222" s="565">
        <f>'matrik MISI 5'!Z56</f>
        <v>0</v>
      </c>
    </row>
    <row r="223" spans="1:454" s="569" customFormat="1" ht="30">
      <c r="B223" s="267"/>
      <c r="C223" s="562"/>
      <c r="D223" s="563"/>
      <c r="E223" s="563"/>
      <c r="F223" s="563"/>
      <c r="G223" s="563"/>
      <c r="H223" s="563" t="str">
        <f>'matrik MISI 5'!N57</f>
        <v>LOS</v>
      </c>
      <c r="I223" s="563" t="str">
        <f>'matrik MISI 5'!O57</f>
        <v>hari</v>
      </c>
      <c r="J223" s="563">
        <f>'matrik MISI 5'!P57</f>
        <v>4.24</v>
      </c>
      <c r="K223" s="563">
        <f>'matrik MISI 5'!Q57</f>
        <v>4</v>
      </c>
      <c r="L223" s="563">
        <f>'matrik MISI 5'!R57</f>
        <v>4</v>
      </c>
      <c r="M223" s="604"/>
      <c r="N223" s="563">
        <f>'matrik MISI 5'!S57</f>
        <v>4</v>
      </c>
      <c r="O223" s="564"/>
      <c r="P223" s="563">
        <f>'matrik MISI 5'!T57</f>
        <v>5</v>
      </c>
      <c r="Q223" s="564"/>
      <c r="R223" s="563">
        <f>'matrik MISI 5'!U57</f>
        <v>5</v>
      </c>
      <c r="S223" s="564"/>
      <c r="T223" s="563">
        <f>'matrik MISI 5'!V57</f>
        <v>6</v>
      </c>
      <c r="U223" s="564"/>
      <c r="V223" s="563">
        <f>'matrik MISI 5'!W57</f>
        <v>6</v>
      </c>
      <c r="W223" s="564"/>
      <c r="X223" s="563">
        <f>'matrik MISI 5'!X57</f>
        <v>0</v>
      </c>
      <c r="Y223" s="565" t="str">
        <f>'matrik MISI 5'!Y57</f>
        <v>LOS = Jumlah hari lama dirawat pasien keluar / Jumlah pasien keluar (hidup + mati)</v>
      </c>
      <c r="Z223" s="565">
        <f>'matrik MISI 5'!Z57</f>
        <v>0</v>
      </c>
    </row>
    <row r="224" spans="1:454" s="569" customFormat="1" ht="45">
      <c r="B224" s="267"/>
      <c r="C224" s="562"/>
      <c r="D224" s="563"/>
      <c r="E224" s="563"/>
      <c r="F224" s="563"/>
      <c r="G224" s="563"/>
      <c r="H224" s="563" t="str">
        <f>'matrik MISI 5'!N58</f>
        <v>TOI</v>
      </c>
      <c r="I224" s="563" t="str">
        <f>'matrik MISI 5'!O58</f>
        <v>hari</v>
      </c>
      <c r="J224" s="563">
        <f>'matrik MISI 5'!P58</f>
        <v>1.1599999999999999</v>
      </c>
      <c r="K224" s="563">
        <f>'matrik MISI 5'!Q58</f>
        <v>1</v>
      </c>
      <c r="L224" s="563">
        <f>'matrik MISI 5'!R58</f>
        <v>2</v>
      </c>
      <c r="M224" s="604"/>
      <c r="N224" s="563">
        <f>'matrik MISI 5'!S58</f>
        <v>2</v>
      </c>
      <c r="O224" s="564"/>
      <c r="P224" s="563">
        <f>'matrik MISI 5'!T58</f>
        <v>2</v>
      </c>
      <c r="Q224" s="564"/>
      <c r="R224" s="563">
        <f>'matrik MISI 5'!U58</f>
        <v>2</v>
      </c>
      <c r="S224" s="564"/>
      <c r="T224" s="563">
        <f>'matrik MISI 5'!V58</f>
        <v>2</v>
      </c>
      <c r="U224" s="564"/>
      <c r="V224" s="563">
        <f>'matrik MISI 5'!W58</f>
        <v>2</v>
      </c>
      <c r="W224" s="564"/>
      <c r="X224" s="563">
        <f>'matrik MISI 5'!X58</f>
        <v>0</v>
      </c>
      <c r="Y224" s="565" t="str">
        <f>'matrik MISI 5'!Y58</f>
        <v xml:space="preserve">TOI = (Jumlah TT x hari) - hari perawatan rumah sakit / Jumlah pasien keluar (hidup + mati)
</v>
      </c>
      <c r="Z224" s="565">
        <f>'matrik MISI 5'!Z58</f>
        <v>0</v>
      </c>
    </row>
    <row r="225" spans="1:454" s="569" customFormat="1" ht="45">
      <c r="B225" s="267"/>
      <c r="C225" s="562"/>
      <c r="D225" s="563"/>
      <c r="E225" s="563"/>
      <c r="F225" s="563"/>
      <c r="G225" s="563"/>
      <c r="H225" s="563" t="str">
        <f>'matrik MISI 5'!N59</f>
        <v>GDR</v>
      </c>
      <c r="I225" s="563" t="str">
        <f>'matrik MISI 5'!O59</f>
        <v>‰</v>
      </c>
      <c r="J225" s="563">
        <f>'matrik MISI 5'!P59</f>
        <v>37.299999999999997</v>
      </c>
      <c r="K225" s="563">
        <f>'matrik MISI 5'!Q59</f>
        <v>37</v>
      </c>
      <c r="L225" s="563">
        <f>'matrik MISI 5'!R59</f>
        <v>37</v>
      </c>
      <c r="M225" s="604"/>
      <c r="N225" s="563">
        <f>'matrik MISI 5'!S59</f>
        <v>37</v>
      </c>
      <c r="O225" s="564"/>
      <c r="P225" s="563">
        <f>'matrik MISI 5'!T59</f>
        <v>36</v>
      </c>
      <c r="Q225" s="564"/>
      <c r="R225" s="563">
        <f>'matrik MISI 5'!U59</f>
        <v>36</v>
      </c>
      <c r="S225" s="564"/>
      <c r="T225" s="563">
        <f>'matrik MISI 5'!V59</f>
        <v>36</v>
      </c>
      <c r="U225" s="564"/>
      <c r="V225" s="563">
        <f>'matrik MISI 5'!W59</f>
        <v>36</v>
      </c>
      <c r="W225" s="564"/>
      <c r="X225" s="563">
        <f>'matrik MISI 5'!X59</f>
        <v>0</v>
      </c>
      <c r="Y225" s="565" t="str">
        <f>'matrik MISI 5'!Y59</f>
        <v xml:space="preserve">GDR = jumlah pasien mati seluruhnya / Jumlah pasien keluar (hidup+mati) x 1000  ‰
</v>
      </c>
      <c r="Z225" s="565">
        <f>'matrik MISI 5'!Z59</f>
        <v>0</v>
      </c>
    </row>
    <row r="226" spans="1:454" ht="45">
      <c r="G226" s="563"/>
      <c r="H226" s="563" t="str">
        <f>'matrik MISI 5'!N60</f>
        <v>NDR</v>
      </c>
      <c r="I226" s="563" t="str">
        <f>'matrik MISI 5'!O60</f>
        <v>‰</v>
      </c>
      <c r="J226" s="563">
        <f>'matrik MISI 5'!P60</f>
        <v>19.059999999999999</v>
      </c>
      <c r="K226" s="563">
        <f>'matrik MISI 5'!Q60</f>
        <v>17</v>
      </c>
      <c r="L226" s="563">
        <f>'matrik MISI 5'!R60</f>
        <v>19</v>
      </c>
      <c r="M226" s="604"/>
      <c r="N226" s="563">
        <f>'matrik MISI 5'!S60</f>
        <v>19</v>
      </c>
      <c r="O226" s="564"/>
      <c r="P226" s="563">
        <f>'matrik MISI 5'!T60</f>
        <v>18</v>
      </c>
      <c r="Q226" s="564"/>
      <c r="R226" s="563">
        <f>'matrik MISI 5'!U60</f>
        <v>18</v>
      </c>
      <c r="S226" s="564"/>
      <c r="T226" s="563">
        <f>'matrik MISI 5'!V60</f>
        <v>18</v>
      </c>
      <c r="U226" s="564"/>
      <c r="V226" s="563">
        <f>'matrik MISI 5'!W60</f>
        <v>18</v>
      </c>
      <c r="W226" s="564"/>
      <c r="X226" s="563">
        <f>'matrik MISI 5'!X60</f>
        <v>0</v>
      </c>
      <c r="Y226" s="565" t="str">
        <f>'matrik MISI 5'!Y60</f>
        <v xml:space="preserve">NDR = Jumlah pasien mati ≥ 48 jam setelah dirawat / Jumlah pasien keluar (hidup + mati) x 1000  ‰
</v>
      </c>
      <c r="Z226" s="565">
        <f>'matrik MISI 5'!Z60</f>
        <v>0</v>
      </c>
    </row>
    <row r="227" spans="1:454" s="569" customFormat="1">
      <c r="B227" s="267"/>
      <c r="C227" s="562"/>
      <c r="D227" s="563"/>
      <c r="E227" s="563"/>
      <c r="F227" s="563"/>
      <c r="G227" s="563"/>
      <c r="H227" s="563" t="str">
        <f>'matrik MISI 5'!N61</f>
        <v>Kinerja Pelayanan BLUD</v>
      </c>
      <c r="I227" s="563" t="str">
        <f>'matrik MISI 5'!O61</f>
        <v>Strata</v>
      </c>
      <c r="J227" s="563" t="str">
        <f>'matrik MISI 5'!P61</f>
        <v>-</v>
      </c>
      <c r="K227" s="563" t="str">
        <f>'matrik MISI 5'!Q61</f>
        <v>Sehat</v>
      </c>
      <c r="L227" s="563" t="str">
        <f>'matrik MISI 5'!R61</f>
        <v>Sehat</v>
      </c>
      <c r="M227" s="604"/>
      <c r="N227" s="563" t="str">
        <f>'matrik MISI 5'!S61</f>
        <v>Sehat</v>
      </c>
      <c r="O227" s="564"/>
      <c r="P227" s="563" t="str">
        <f>'matrik MISI 5'!T61</f>
        <v>Sehat</v>
      </c>
      <c r="Q227" s="564"/>
      <c r="R227" s="563" t="str">
        <f>'matrik MISI 5'!U61</f>
        <v>Sehat</v>
      </c>
      <c r="S227" s="564"/>
      <c r="T227" s="563" t="str">
        <f>'matrik MISI 5'!V61</f>
        <v>Sehat</v>
      </c>
      <c r="U227" s="564"/>
      <c r="V227" s="563" t="str">
        <f>'matrik MISI 5'!W61</f>
        <v>Sehat</v>
      </c>
      <c r="W227" s="564"/>
      <c r="X227" s="563">
        <f>'matrik MISI 5'!X61</f>
        <v>0</v>
      </c>
      <c r="Y227" s="565">
        <f>'matrik MISI 5'!Y61</f>
        <v>0</v>
      </c>
      <c r="Z227" s="565">
        <f>'matrik MISI 5'!Z61</f>
        <v>0</v>
      </c>
    </row>
    <row r="228" spans="1:454" ht="30">
      <c r="G228" s="563"/>
      <c r="H228" s="563" t="str">
        <f>'matrik MISI 5'!N62</f>
        <v>Standarisasi Pelayanan Kesehatan RSUD</v>
      </c>
      <c r="I228" s="563" t="str">
        <f>'matrik MISI 5'!O62</f>
        <v>-</v>
      </c>
      <c r="J228" s="563" t="str">
        <f>'matrik MISI 5'!P62</f>
        <v>Lulus</v>
      </c>
      <c r="K228" s="563" t="str">
        <f>'matrik MISI 5'!Q62</f>
        <v>Lulus</v>
      </c>
      <c r="L228" s="563" t="str">
        <f>'matrik MISI 5'!R62</f>
        <v>Lulus</v>
      </c>
      <c r="M228" s="604"/>
      <c r="N228" s="563" t="str">
        <f>'matrik MISI 5'!S62</f>
        <v>Lulus</v>
      </c>
      <c r="O228" s="564"/>
      <c r="P228" s="563" t="str">
        <f>'matrik MISI 5'!T62</f>
        <v>Lulus</v>
      </c>
      <c r="Q228" s="564"/>
      <c r="R228" s="563" t="str">
        <f>'matrik MISI 5'!U62</f>
        <v>Lulus</v>
      </c>
      <c r="S228" s="564"/>
      <c r="T228" s="563" t="str">
        <f>'matrik MISI 5'!V62</f>
        <v>Lulus</v>
      </c>
      <c r="U228" s="564"/>
      <c r="V228" s="563" t="str">
        <f>'matrik MISI 5'!W62</f>
        <v>Lulus</v>
      </c>
      <c r="W228" s="564"/>
      <c r="X228" s="563" t="str">
        <f>'matrik MISI 5'!X62</f>
        <v xml:space="preserve">RSUD </v>
      </c>
      <c r="Y228" s="565" t="str">
        <f>'matrik MISI 5'!Y62</f>
        <v>Jumlah pelayanan di RSUD yang sudah terakreditasi/Jumlah pelayanan yang seharusnya diakreditasi x 100</v>
      </c>
      <c r="Z228" s="565" t="str">
        <f>'matrik MISI 5'!Z62</f>
        <v xml:space="preserve">penjelasan layanan wajib akreditasi </v>
      </c>
    </row>
    <row r="229" spans="1:454" s="574" customFormat="1" ht="30">
      <c r="A229" s="569"/>
      <c r="B229" s="575"/>
      <c r="C229" s="576"/>
      <c r="D229" s="577">
        <f>'matrik MISI 5'!J64</f>
        <v>1.02</v>
      </c>
      <c r="E229" s="577" t="str">
        <f>'matrik MISI 5'!K64</f>
        <v>xx</v>
      </c>
      <c r="F229" s="577">
        <f>'matrik MISI 5'!L64</f>
        <v>21</v>
      </c>
      <c r="G229" s="577" t="str">
        <f>'matrik MISI 5'!M64</f>
        <v>Pengembangan Lingkungan Sehat</v>
      </c>
      <c r="H229" s="577"/>
      <c r="I229" s="577"/>
      <c r="J229" s="577"/>
      <c r="K229" s="577"/>
      <c r="L229" s="577"/>
      <c r="M229" s="578">
        <f>'jangan di hapus 1'!K333</f>
        <v>87396000</v>
      </c>
      <c r="N229" s="578"/>
      <c r="O229" s="578">
        <f>'jangan di hapus 1'!M333</f>
        <v>115000000</v>
      </c>
      <c r="P229" s="578"/>
      <c r="Q229" s="578">
        <f>'jangan di hapus 1'!O333</f>
        <v>125000000</v>
      </c>
      <c r="R229" s="578"/>
      <c r="S229" s="578">
        <f>'jangan di hapus 1'!Q333</f>
        <v>145000000</v>
      </c>
      <c r="T229" s="578"/>
      <c r="U229" s="578">
        <f>'jangan di hapus 1'!S333</f>
        <v>155000000</v>
      </c>
      <c r="V229" s="577"/>
      <c r="W229" s="578">
        <f>SUM(M229:U229)</f>
        <v>627396000</v>
      </c>
      <c r="X229" s="577"/>
      <c r="Y229" s="577"/>
      <c r="Z229" s="577"/>
      <c r="AA229" s="569"/>
      <c r="AB229" s="569"/>
      <c r="AC229" s="569"/>
      <c r="AD229" s="569"/>
      <c r="AE229" s="569"/>
      <c r="AF229" s="569"/>
      <c r="AG229" s="569"/>
      <c r="AH229" s="569"/>
      <c r="AI229" s="569"/>
      <c r="AJ229" s="569"/>
      <c r="AK229" s="569"/>
      <c r="AL229" s="569"/>
      <c r="AM229" s="569"/>
      <c r="AN229" s="569"/>
      <c r="AO229" s="569"/>
      <c r="AP229" s="569"/>
      <c r="AQ229" s="569"/>
      <c r="AR229" s="569"/>
      <c r="AS229" s="569"/>
      <c r="AT229" s="569"/>
      <c r="AU229" s="569"/>
      <c r="AV229" s="569"/>
      <c r="AW229" s="569"/>
      <c r="AX229" s="569"/>
      <c r="AY229" s="569"/>
      <c r="AZ229" s="569"/>
      <c r="BA229" s="569"/>
      <c r="BB229" s="569"/>
      <c r="BC229" s="569"/>
      <c r="BD229" s="569"/>
      <c r="BE229" s="569"/>
      <c r="BF229" s="569"/>
      <c r="BG229" s="569"/>
      <c r="BH229" s="569"/>
      <c r="BI229" s="569"/>
      <c r="BJ229" s="569"/>
      <c r="BK229" s="569"/>
      <c r="BL229" s="569"/>
      <c r="BM229" s="569"/>
      <c r="BN229" s="569"/>
      <c r="BO229" s="569"/>
      <c r="BP229" s="569"/>
      <c r="BQ229" s="569"/>
      <c r="BR229" s="569"/>
      <c r="BS229" s="569"/>
      <c r="BT229" s="569"/>
      <c r="BU229" s="569"/>
      <c r="BV229" s="569"/>
      <c r="BW229" s="569"/>
      <c r="BX229" s="569"/>
      <c r="BY229" s="569"/>
      <c r="BZ229" s="569"/>
      <c r="CA229" s="569"/>
      <c r="CB229" s="569"/>
      <c r="CC229" s="569"/>
      <c r="CD229" s="569"/>
      <c r="CE229" s="569"/>
      <c r="CF229" s="569"/>
      <c r="CG229" s="569"/>
      <c r="CH229" s="569"/>
      <c r="CI229" s="569"/>
      <c r="CJ229" s="569"/>
      <c r="CK229" s="569"/>
      <c r="CL229" s="569"/>
      <c r="CM229" s="569"/>
      <c r="CN229" s="569"/>
      <c r="CO229" s="569"/>
      <c r="CP229" s="569"/>
      <c r="CQ229" s="569"/>
      <c r="CR229" s="569"/>
      <c r="CS229" s="569"/>
      <c r="CT229" s="569"/>
      <c r="CU229" s="569"/>
      <c r="CV229" s="569"/>
      <c r="CW229" s="569"/>
      <c r="CX229" s="569"/>
      <c r="CY229" s="569"/>
      <c r="CZ229" s="569"/>
      <c r="DA229" s="569"/>
      <c r="DB229" s="569"/>
      <c r="DC229" s="569"/>
      <c r="DD229" s="569"/>
      <c r="DE229" s="569"/>
      <c r="DF229" s="569"/>
      <c r="DG229" s="569"/>
      <c r="DH229" s="569"/>
      <c r="DI229" s="569"/>
      <c r="DJ229" s="569"/>
      <c r="DK229" s="569"/>
      <c r="DL229" s="569"/>
      <c r="DM229" s="569"/>
      <c r="DN229" s="569"/>
      <c r="DO229" s="569"/>
      <c r="DP229" s="569"/>
      <c r="DQ229" s="569"/>
      <c r="DR229" s="569"/>
      <c r="DS229" s="569"/>
      <c r="DT229" s="569"/>
      <c r="DU229" s="569"/>
      <c r="DV229" s="569"/>
      <c r="DW229" s="569"/>
      <c r="DX229" s="569"/>
      <c r="DY229" s="569"/>
      <c r="DZ229" s="569"/>
      <c r="EA229" s="569"/>
      <c r="EB229" s="569"/>
      <c r="EC229" s="569"/>
      <c r="ED229" s="569"/>
      <c r="EE229" s="569"/>
      <c r="EF229" s="569"/>
      <c r="EG229" s="569"/>
      <c r="EH229" s="569"/>
      <c r="EI229" s="569"/>
      <c r="EJ229" s="569"/>
      <c r="EK229" s="569"/>
      <c r="EL229" s="569"/>
      <c r="EM229" s="569"/>
      <c r="EN229" s="569"/>
      <c r="EO229" s="569"/>
      <c r="EP229" s="569"/>
      <c r="EQ229" s="569"/>
      <c r="ER229" s="569"/>
      <c r="ES229" s="569"/>
      <c r="ET229" s="569"/>
      <c r="EU229" s="569"/>
      <c r="EV229" s="569"/>
      <c r="EW229" s="569"/>
      <c r="EX229" s="569"/>
      <c r="EY229" s="569"/>
      <c r="EZ229" s="569"/>
      <c r="FA229" s="569"/>
      <c r="FB229" s="569"/>
      <c r="FC229" s="569"/>
      <c r="FD229" s="569"/>
      <c r="FE229" s="569"/>
      <c r="FF229" s="569"/>
      <c r="FG229" s="569"/>
      <c r="FH229" s="569"/>
      <c r="FI229" s="569"/>
      <c r="FJ229" s="569"/>
      <c r="FK229" s="569"/>
      <c r="FL229" s="569"/>
      <c r="FM229" s="569"/>
      <c r="FN229" s="569"/>
      <c r="FO229" s="569"/>
      <c r="FP229" s="569"/>
      <c r="FQ229" s="569"/>
      <c r="FR229" s="569"/>
      <c r="FS229" s="569"/>
      <c r="FT229" s="569"/>
      <c r="FU229" s="569"/>
      <c r="FV229" s="569"/>
      <c r="FW229" s="569"/>
      <c r="FX229" s="569"/>
      <c r="FY229" s="569"/>
      <c r="FZ229" s="569"/>
      <c r="GA229" s="569"/>
      <c r="GB229" s="569"/>
      <c r="GC229" s="569"/>
      <c r="GD229" s="569"/>
      <c r="GE229" s="569"/>
      <c r="GF229" s="569"/>
      <c r="GG229" s="569"/>
      <c r="GH229" s="569"/>
      <c r="GI229" s="569"/>
      <c r="GJ229" s="569"/>
      <c r="GK229" s="569"/>
      <c r="GL229" s="569"/>
      <c r="GM229" s="569"/>
      <c r="GN229" s="569"/>
      <c r="GO229" s="569"/>
      <c r="GP229" s="569"/>
      <c r="GQ229" s="569"/>
      <c r="GR229" s="569"/>
      <c r="GS229" s="569"/>
      <c r="GT229" s="569"/>
      <c r="GU229" s="569"/>
      <c r="GV229" s="569"/>
      <c r="GW229" s="569"/>
      <c r="GX229" s="569"/>
      <c r="GY229" s="569"/>
      <c r="GZ229" s="569"/>
      <c r="HA229" s="569"/>
      <c r="HB229" s="569"/>
      <c r="HC229" s="569"/>
      <c r="HD229" s="569"/>
      <c r="HE229" s="569"/>
      <c r="HF229" s="569"/>
      <c r="HG229" s="569"/>
      <c r="HH229" s="569"/>
      <c r="HI229" s="569"/>
      <c r="HJ229" s="569"/>
      <c r="HK229" s="569"/>
      <c r="HL229" s="569"/>
      <c r="HM229" s="569"/>
      <c r="HN229" s="569"/>
      <c r="HO229" s="569"/>
      <c r="HP229" s="569"/>
      <c r="HQ229" s="569"/>
      <c r="HR229" s="569"/>
      <c r="HS229" s="569"/>
      <c r="HT229" s="569"/>
      <c r="HU229" s="569"/>
      <c r="HV229" s="569"/>
      <c r="HW229" s="569"/>
      <c r="HX229" s="569"/>
      <c r="HY229" s="569"/>
      <c r="HZ229" s="569"/>
      <c r="IA229" s="569"/>
      <c r="IB229" s="569"/>
      <c r="IC229" s="569"/>
      <c r="ID229" s="569"/>
      <c r="IE229" s="569"/>
      <c r="IF229" s="569"/>
      <c r="IG229" s="569"/>
      <c r="IH229" s="569"/>
      <c r="II229" s="569"/>
      <c r="IJ229" s="569"/>
      <c r="IK229" s="569"/>
      <c r="IL229" s="569"/>
      <c r="IM229" s="569"/>
      <c r="IN229" s="569"/>
      <c r="IO229" s="569"/>
      <c r="IP229" s="569"/>
      <c r="IQ229" s="569"/>
      <c r="IR229" s="569"/>
      <c r="IS229" s="569"/>
      <c r="IT229" s="569"/>
      <c r="IU229" s="569"/>
      <c r="IV229" s="569"/>
      <c r="IW229" s="569"/>
      <c r="IX229" s="569"/>
      <c r="IY229" s="569"/>
      <c r="IZ229" s="569"/>
      <c r="JA229" s="569"/>
      <c r="JB229" s="569"/>
      <c r="JC229" s="569"/>
      <c r="JD229" s="569"/>
      <c r="JE229" s="569"/>
      <c r="JF229" s="569"/>
      <c r="JG229" s="569"/>
      <c r="JH229" s="569"/>
      <c r="JI229" s="569"/>
      <c r="JJ229" s="569"/>
      <c r="JK229" s="569"/>
      <c r="JL229" s="569"/>
      <c r="JM229" s="569"/>
      <c r="JN229" s="569"/>
      <c r="JO229" s="569"/>
      <c r="JP229" s="569"/>
      <c r="JQ229" s="569"/>
      <c r="JR229" s="569"/>
      <c r="JS229" s="569"/>
      <c r="JT229" s="569"/>
      <c r="JU229" s="569"/>
      <c r="JV229" s="569"/>
      <c r="JW229" s="569"/>
      <c r="JX229" s="569"/>
      <c r="JY229" s="569"/>
      <c r="JZ229" s="569"/>
      <c r="KA229" s="569"/>
      <c r="KB229" s="569"/>
      <c r="KC229" s="569"/>
      <c r="KD229" s="569"/>
      <c r="KE229" s="569"/>
      <c r="KF229" s="569"/>
      <c r="KG229" s="569"/>
      <c r="KH229" s="569"/>
      <c r="KI229" s="569"/>
      <c r="KJ229" s="569"/>
      <c r="KK229" s="569"/>
      <c r="KL229" s="569"/>
      <c r="KM229" s="569"/>
      <c r="KN229" s="569"/>
      <c r="KO229" s="569"/>
      <c r="KP229" s="569"/>
      <c r="KQ229" s="569"/>
      <c r="KR229" s="569"/>
      <c r="KS229" s="569"/>
      <c r="KT229" s="569"/>
      <c r="KU229" s="569"/>
      <c r="KV229" s="569"/>
      <c r="KW229" s="569"/>
      <c r="KX229" s="569"/>
      <c r="KY229" s="569"/>
      <c r="KZ229" s="569"/>
      <c r="LA229" s="569"/>
      <c r="LB229" s="569"/>
      <c r="LC229" s="569"/>
      <c r="LD229" s="569"/>
      <c r="LE229" s="569"/>
      <c r="LF229" s="569"/>
      <c r="LG229" s="569"/>
      <c r="LH229" s="569"/>
      <c r="LI229" s="569"/>
      <c r="LJ229" s="569"/>
      <c r="LK229" s="569"/>
      <c r="LL229" s="569"/>
      <c r="LM229" s="569"/>
      <c r="LN229" s="569"/>
      <c r="LO229" s="569"/>
      <c r="LP229" s="569"/>
      <c r="LQ229" s="569"/>
      <c r="LR229" s="569"/>
      <c r="LS229" s="569"/>
      <c r="LT229" s="569"/>
      <c r="LU229" s="569"/>
      <c r="LV229" s="569"/>
      <c r="LW229" s="569"/>
      <c r="LX229" s="569"/>
      <c r="LY229" s="569"/>
      <c r="LZ229" s="569"/>
      <c r="MA229" s="569"/>
      <c r="MB229" s="569"/>
      <c r="MC229" s="569"/>
      <c r="MD229" s="569"/>
      <c r="ME229" s="569"/>
      <c r="MF229" s="569"/>
      <c r="MG229" s="569"/>
      <c r="MH229" s="569"/>
      <c r="MI229" s="569"/>
      <c r="MJ229" s="569"/>
      <c r="MK229" s="569"/>
      <c r="ML229" s="569"/>
      <c r="MM229" s="569"/>
      <c r="MN229" s="569"/>
      <c r="MO229" s="569"/>
      <c r="MP229" s="569"/>
      <c r="MQ229" s="569"/>
      <c r="MR229" s="569"/>
      <c r="MS229" s="569"/>
      <c r="MT229" s="569"/>
      <c r="MU229" s="569"/>
      <c r="MV229" s="569"/>
      <c r="MW229" s="569"/>
      <c r="MX229" s="569"/>
      <c r="MY229" s="569"/>
      <c r="MZ229" s="569"/>
      <c r="NA229" s="569"/>
      <c r="NB229" s="569"/>
      <c r="NC229" s="569"/>
      <c r="ND229" s="569"/>
      <c r="NE229" s="569"/>
      <c r="NF229" s="569"/>
      <c r="NG229" s="569"/>
      <c r="NH229" s="569"/>
      <c r="NI229" s="569"/>
      <c r="NJ229" s="569"/>
      <c r="NK229" s="569"/>
      <c r="NL229" s="569"/>
      <c r="NM229" s="569"/>
      <c r="NN229" s="569"/>
      <c r="NO229" s="569"/>
      <c r="NP229" s="569"/>
      <c r="NQ229" s="569"/>
      <c r="NR229" s="569"/>
      <c r="NS229" s="569"/>
      <c r="NT229" s="569"/>
      <c r="NU229" s="569"/>
      <c r="NV229" s="569"/>
      <c r="NW229" s="569"/>
      <c r="NX229" s="569"/>
      <c r="NY229" s="569"/>
      <c r="NZ229" s="569"/>
      <c r="OA229" s="569"/>
      <c r="OB229" s="569"/>
      <c r="OC229" s="569"/>
      <c r="OD229" s="569"/>
      <c r="OE229" s="569"/>
      <c r="OF229" s="569"/>
      <c r="OG229" s="569"/>
      <c r="OH229" s="569"/>
      <c r="OI229" s="569"/>
      <c r="OJ229" s="569"/>
      <c r="OK229" s="569"/>
      <c r="OL229" s="569"/>
      <c r="OM229" s="569"/>
      <c r="ON229" s="569"/>
      <c r="OO229" s="569"/>
      <c r="OP229" s="569"/>
      <c r="OQ229" s="569"/>
      <c r="OR229" s="569"/>
      <c r="OS229" s="569"/>
      <c r="OT229" s="569"/>
      <c r="OU229" s="569"/>
      <c r="OV229" s="569"/>
      <c r="OW229" s="569"/>
      <c r="OX229" s="569"/>
      <c r="OY229" s="569"/>
      <c r="OZ229" s="569"/>
      <c r="PA229" s="569"/>
      <c r="PB229" s="569"/>
      <c r="PC229" s="569"/>
      <c r="PD229" s="569"/>
      <c r="PE229" s="569"/>
      <c r="PF229" s="569"/>
      <c r="PG229" s="569"/>
      <c r="PH229" s="569"/>
      <c r="PI229" s="569"/>
      <c r="PJ229" s="569"/>
      <c r="PK229" s="569"/>
      <c r="PL229" s="569"/>
      <c r="PM229" s="569"/>
      <c r="PN229" s="569"/>
      <c r="PO229" s="569"/>
      <c r="PP229" s="569"/>
      <c r="PQ229" s="569"/>
      <c r="PR229" s="569"/>
      <c r="PS229" s="569"/>
      <c r="PT229" s="569"/>
      <c r="PU229" s="569"/>
      <c r="PV229" s="569"/>
      <c r="PW229" s="569"/>
      <c r="PX229" s="569"/>
      <c r="PY229" s="569"/>
      <c r="PZ229" s="569"/>
      <c r="QA229" s="569"/>
      <c r="QB229" s="569"/>
      <c r="QC229" s="569"/>
      <c r="QD229" s="569"/>
      <c r="QE229" s="569"/>
      <c r="QF229" s="569"/>
      <c r="QG229" s="569"/>
      <c r="QH229" s="569"/>
      <c r="QI229" s="569"/>
      <c r="QJ229" s="569"/>
      <c r="QK229" s="569"/>
      <c r="QL229" s="569"/>
    </row>
    <row r="230" spans="1:454" s="569" customFormat="1" ht="45">
      <c r="B230" s="267"/>
      <c r="C230" s="562"/>
      <c r="H230" s="563" t="str">
        <f>'matrik MISI 5'!N64</f>
        <v xml:space="preserve">Proporsi Rumah Tangga dengan Akses Berkelanjutan terhadap Sanitasi Dasar Perkotaan </v>
      </c>
      <c r="I230" s="563" t="str">
        <f>'matrik MISI 5'!O64</f>
        <v>%</v>
      </c>
      <c r="J230" s="563" t="str">
        <f>'matrik MISI 5'!P64</f>
        <v>tda</v>
      </c>
      <c r="K230" s="563" t="str">
        <f>'matrik MISI 5'!Q64</f>
        <v>tda</v>
      </c>
      <c r="L230" s="563">
        <f>'matrik MISI 5'!R64</f>
        <v>65</v>
      </c>
      <c r="M230" s="604"/>
      <c r="N230" s="563">
        <f>'matrik MISI 5'!S64</f>
        <v>67.5</v>
      </c>
      <c r="O230" s="564"/>
      <c r="P230" s="563">
        <f>'matrik MISI 5'!T64</f>
        <v>70</v>
      </c>
      <c r="Q230" s="564"/>
      <c r="R230" s="563">
        <f>'matrik MISI 5'!U64</f>
        <v>72.5</v>
      </c>
      <c r="S230" s="564"/>
      <c r="T230" s="563">
        <f>'matrik MISI 5'!V64</f>
        <v>75</v>
      </c>
      <c r="U230" s="564"/>
      <c r="V230" s="563">
        <f>'matrik MISI 5'!W64</f>
        <v>75</v>
      </c>
      <c r="W230" s="564"/>
      <c r="X230" s="563" t="str">
        <f>'matrik MISI 5'!X64</f>
        <v>Dinas Kesehatan</v>
      </c>
      <c r="Y230" s="565" t="str">
        <f>'matrik MISI 5'!Y64</f>
        <v>Jumlah Rumah Tangga dengan Akses Berkelanjutan terhadap Sanitasi Dasar Perkotaan / Jumlah rumah tangga yang diperiksa x 100</v>
      </c>
      <c r="Z230" s="565">
        <f>'matrik MISI 5'!Z64</f>
        <v>0</v>
      </c>
    </row>
    <row r="231" spans="1:454" s="569" customFormat="1" ht="45">
      <c r="B231" s="267"/>
      <c r="C231" s="562"/>
      <c r="D231" s="563"/>
      <c r="E231" s="563"/>
      <c r="F231" s="563"/>
      <c r="G231" s="563"/>
      <c r="H231" s="563" t="str">
        <f>'matrik MISI 5'!N65</f>
        <v>Proporsi Rumah Tangga dengan Akses Berkelanjutan terhadap Sanitasi Dasar Pedesaan</v>
      </c>
      <c r="I231" s="563" t="str">
        <f>'matrik MISI 5'!O65</f>
        <v>%</v>
      </c>
      <c r="J231" s="563" t="str">
        <f>'matrik MISI 5'!P65</f>
        <v>tda</v>
      </c>
      <c r="K231" s="563">
        <f>'matrik MISI 5'!Q65</f>
        <v>62.5</v>
      </c>
      <c r="L231" s="563">
        <f>'matrik MISI 5'!R65</f>
        <v>65</v>
      </c>
      <c r="M231" s="604"/>
      <c r="N231" s="563">
        <f>'matrik MISI 5'!S65</f>
        <v>67.5</v>
      </c>
      <c r="O231" s="564"/>
      <c r="P231" s="563">
        <f>'matrik MISI 5'!T65</f>
        <v>70</v>
      </c>
      <c r="Q231" s="564"/>
      <c r="R231" s="563">
        <f>'matrik MISI 5'!U65</f>
        <v>72.5</v>
      </c>
      <c r="S231" s="564"/>
      <c r="T231" s="563">
        <f>'matrik MISI 5'!V65</f>
        <v>75</v>
      </c>
      <c r="U231" s="564"/>
      <c r="V231" s="563">
        <f>'matrik MISI 5'!W65</f>
        <v>75</v>
      </c>
      <c r="W231" s="564"/>
      <c r="X231" s="563" t="str">
        <f>'matrik MISI 5'!X65</f>
        <v>Dinas Kesehatan</v>
      </c>
      <c r="Y231" s="565" t="str">
        <f>'matrik MISI 5'!Y65</f>
        <v>Jumlah Rumah Tangga dengan Akses Berkelanjutan terhadap Sanitasi Dasar Pedesaan / Jumlah rumah tangga yang diperiksa x 100</v>
      </c>
      <c r="Z231" s="565">
        <f>'matrik MISI 5'!Z65</f>
        <v>0</v>
      </c>
    </row>
    <row r="232" spans="1:454" ht="30">
      <c r="G232" s="563"/>
      <c r="H232" s="563" t="str">
        <f>'matrik MISI 5'!N66</f>
        <v>Cakupan Penduduk yang Memanfaatkan Jamban</v>
      </c>
      <c r="I232" s="563" t="str">
        <f>'matrik MISI 5'!O66</f>
        <v>%</v>
      </c>
      <c r="J232" s="563">
        <f>'matrik MISI 5'!P66</f>
        <v>63.2</v>
      </c>
      <c r="K232" s="563">
        <f>'matrik MISI 5'!Q66</f>
        <v>79.3</v>
      </c>
      <c r="L232" s="563">
        <f>'matrik MISI 5'!R66</f>
        <v>80</v>
      </c>
      <c r="M232" s="604"/>
      <c r="N232" s="563">
        <f>'matrik MISI 5'!S66</f>
        <v>80</v>
      </c>
      <c r="O232" s="564"/>
      <c r="P232" s="563">
        <f>'matrik MISI 5'!T66</f>
        <v>80</v>
      </c>
      <c r="Q232" s="564"/>
      <c r="R232" s="563">
        <f>'matrik MISI 5'!U66</f>
        <v>80</v>
      </c>
      <c r="S232" s="564"/>
      <c r="T232" s="563">
        <f>'matrik MISI 5'!V66</f>
        <v>80</v>
      </c>
      <c r="U232" s="564"/>
      <c r="V232" s="563">
        <f>'matrik MISI 5'!W66</f>
        <v>80</v>
      </c>
      <c r="W232" s="564"/>
      <c r="X232" s="563" t="str">
        <f>'matrik MISI 5'!X66</f>
        <v>Dinas Kesehatan</v>
      </c>
      <c r="Y232" s="565" t="str">
        <f>'matrik MISI 5'!Y66</f>
        <v>Jumlah Penduduk yang Memanfaatkan Jamban / Jumlah penduduk yang diperiksa x 100</v>
      </c>
      <c r="Z232" s="565" t="str">
        <f>'matrik MISI 5'!Z66</f>
        <v xml:space="preserve">penyebut distandarkan </v>
      </c>
    </row>
    <row r="233" spans="1:454" s="569" customFormat="1" ht="45">
      <c r="B233" s="267"/>
      <c r="C233" s="562"/>
      <c r="D233" s="563"/>
      <c r="E233" s="563"/>
      <c r="F233" s="563"/>
      <c r="G233" s="563"/>
      <c r="H233" s="563" t="str">
        <f>'matrik MISI 5'!N67</f>
        <v>Cakupan Rumah Tangga dengan Akses Terhadap Air Bersih yang Layak di Perkotaan</v>
      </c>
      <c r="I233" s="563" t="str">
        <f>'matrik MISI 5'!O67</f>
        <v>%</v>
      </c>
      <c r="J233" s="563" t="str">
        <f>'matrik MISI 5'!P67</f>
        <v>tda</v>
      </c>
      <c r="K233" s="563">
        <f>'matrik MISI 5'!Q67</f>
        <v>62.5</v>
      </c>
      <c r="L233" s="563">
        <f>'matrik MISI 5'!R67</f>
        <v>65</v>
      </c>
      <c r="M233" s="604"/>
      <c r="N233" s="563">
        <f>'matrik MISI 5'!S67</f>
        <v>67.5</v>
      </c>
      <c r="O233" s="564"/>
      <c r="P233" s="563">
        <f>'matrik MISI 5'!T67</f>
        <v>70</v>
      </c>
      <c r="Q233" s="564"/>
      <c r="R233" s="563">
        <f>'matrik MISI 5'!U67</f>
        <v>72.5</v>
      </c>
      <c r="S233" s="564"/>
      <c r="T233" s="563">
        <f>'matrik MISI 5'!V67</f>
        <v>75</v>
      </c>
      <c r="U233" s="564"/>
      <c r="V233" s="563">
        <f>'matrik MISI 5'!W67</f>
        <v>75</v>
      </c>
      <c r="W233" s="564"/>
      <c r="X233" s="563" t="str">
        <f>'matrik MISI 5'!X67</f>
        <v>Dinas Kesehatan</v>
      </c>
      <c r="Y233" s="565" t="str">
        <f>'matrik MISI 5'!Y67</f>
        <v>Jumlah Rumah Tangga dengan Akses Terhadap Air Bersih yang Layak di Perkotaan / Jumlah rumah tangga yang diperiksa x 100</v>
      </c>
      <c r="Z233" s="565">
        <f>'matrik MISI 5'!Z67</f>
        <v>0</v>
      </c>
    </row>
    <row r="234" spans="1:454" s="569" customFormat="1" ht="45">
      <c r="B234" s="267"/>
      <c r="C234" s="562"/>
      <c r="D234" s="563"/>
      <c r="E234" s="563"/>
      <c r="F234" s="563"/>
      <c r="G234" s="563"/>
      <c r="H234" s="563" t="str">
        <f>'matrik MISI 5'!N68</f>
        <v>Cakupan Rumah Tangga dengan Akses terhadap Air Bersih yang Layak di Pedesaan</v>
      </c>
      <c r="I234" s="563" t="str">
        <f>'matrik MISI 5'!O68</f>
        <v>%</v>
      </c>
      <c r="J234" s="563" t="str">
        <f>'matrik MISI 5'!P68</f>
        <v>tda</v>
      </c>
      <c r="K234" s="563">
        <f>'matrik MISI 5'!Q68</f>
        <v>50</v>
      </c>
      <c r="L234" s="563">
        <f>'matrik MISI 5'!R68</f>
        <v>50</v>
      </c>
      <c r="M234" s="604"/>
      <c r="N234" s="563">
        <f>'matrik MISI 5'!S68</f>
        <v>53</v>
      </c>
      <c r="O234" s="564"/>
      <c r="P234" s="563">
        <f>'matrik MISI 5'!T68</f>
        <v>55</v>
      </c>
      <c r="Q234" s="564"/>
      <c r="R234" s="563">
        <f>'matrik MISI 5'!U68</f>
        <v>58</v>
      </c>
      <c r="S234" s="564"/>
      <c r="T234" s="563">
        <f>'matrik MISI 5'!V68</f>
        <v>60</v>
      </c>
      <c r="U234" s="564"/>
      <c r="V234" s="563">
        <f>'matrik MISI 5'!W68</f>
        <v>60</v>
      </c>
      <c r="W234" s="564"/>
      <c r="X234" s="563" t="str">
        <f>'matrik MISI 5'!X68</f>
        <v>Dinas Kesehatan</v>
      </c>
      <c r="Y234" s="565" t="str">
        <f>'matrik MISI 5'!Y68</f>
        <v>Jumlah Rumah Tangga dengan Akses terhadap Air Bersih yang Layak di Pedesaan / Jumlah rumah tangga diperiksa x 100</v>
      </c>
      <c r="Z234" s="565">
        <f>'matrik MISI 5'!Z68</f>
        <v>0</v>
      </c>
    </row>
    <row r="235" spans="1:454" s="574" customFormat="1" ht="30">
      <c r="A235" s="569"/>
      <c r="B235" s="575"/>
      <c r="C235" s="576"/>
      <c r="D235" s="577">
        <f>'matrik MISI 5'!J69</f>
        <v>1.02</v>
      </c>
      <c r="E235" s="577" t="str">
        <f>'matrik MISI 5'!K69</f>
        <v>xx</v>
      </c>
      <c r="F235" s="577">
        <f>'matrik MISI 5'!L69</f>
        <v>16</v>
      </c>
      <c r="G235" s="577" t="str">
        <f>'matrik MISI 5'!M69</f>
        <v>Program Upaya Kesehatan Masyarakat</v>
      </c>
      <c r="H235" s="577"/>
      <c r="I235" s="577"/>
      <c r="J235" s="577"/>
      <c r="K235" s="577"/>
      <c r="L235" s="577"/>
      <c r="M235" s="578">
        <f>'jangan di hapus 1'!K297</f>
        <v>140427000</v>
      </c>
      <c r="N235" s="578"/>
      <c r="O235" s="578">
        <f>'jangan di hapus 1'!M297</f>
        <v>257000000</v>
      </c>
      <c r="P235" s="578"/>
      <c r="Q235" s="578">
        <f>'jangan di hapus 1'!O297</f>
        <v>315000000</v>
      </c>
      <c r="R235" s="578"/>
      <c r="S235" s="578">
        <f>'jangan di hapus 1'!Q297</f>
        <v>340000000</v>
      </c>
      <c r="T235" s="578"/>
      <c r="U235" s="578">
        <f>'jangan di hapus 1'!S297</f>
        <v>365000000</v>
      </c>
      <c r="V235" s="577"/>
      <c r="W235" s="578">
        <f>SUM(M235:U235)</f>
        <v>1417427000</v>
      </c>
      <c r="X235" s="577"/>
      <c r="Y235" s="577"/>
      <c r="Z235" s="577"/>
      <c r="AA235" s="569"/>
      <c r="AB235" s="569"/>
      <c r="AC235" s="569"/>
      <c r="AD235" s="569"/>
      <c r="AE235" s="569"/>
      <c r="AF235" s="569"/>
      <c r="AG235" s="569"/>
      <c r="AH235" s="569"/>
      <c r="AI235" s="569"/>
      <c r="AJ235" s="569"/>
      <c r="AK235" s="569"/>
      <c r="AL235" s="569"/>
      <c r="AM235" s="569"/>
      <c r="AN235" s="569"/>
      <c r="AO235" s="569"/>
      <c r="AP235" s="569"/>
      <c r="AQ235" s="569"/>
      <c r="AR235" s="569"/>
      <c r="AS235" s="569"/>
      <c r="AT235" s="569"/>
      <c r="AU235" s="569"/>
      <c r="AV235" s="569"/>
      <c r="AW235" s="569"/>
      <c r="AX235" s="569"/>
      <c r="AY235" s="569"/>
      <c r="AZ235" s="569"/>
      <c r="BA235" s="569"/>
      <c r="BB235" s="569"/>
      <c r="BC235" s="569"/>
      <c r="BD235" s="569"/>
      <c r="BE235" s="569"/>
      <c r="BF235" s="569"/>
      <c r="BG235" s="569"/>
      <c r="BH235" s="569"/>
      <c r="BI235" s="569"/>
      <c r="BJ235" s="569"/>
      <c r="BK235" s="569"/>
      <c r="BL235" s="569"/>
      <c r="BM235" s="569"/>
      <c r="BN235" s="569"/>
      <c r="BO235" s="569"/>
      <c r="BP235" s="569"/>
      <c r="BQ235" s="569"/>
      <c r="BR235" s="569"/>
      <c r="BS235" s="569"/>
      <c r="BT235" s="569"/>
      <c r="BU235" s="569"/>
      <c r="BV235" s="569"/>
      <c r="BW235" s="569"/>
      <c r="BX235" s="569"/>
      <c r="BY235" s="569"/>
      <c r="BZ235" s="569"/>
      <c r="CA235" s="569"/>
      <c r="CB235" s="569"/>
      <c r="CC235" s="569"/>
      <c r="CD235" s="569"/>
      <c r="CE235" s="569"/>
      <c r="CF235" s="569"/>
      <c r="CG235" s="569"/>
      <c r="CH235" s="569"/>
      <c r="CI235" s="569"/>
      <c r="CJ235" s="569"/>
      <c r="CK235" s="569"/>
      <c r="CL235" s="569"/>
      <c r="CM235" s="569"/>
      <c r="CN235" s="569"/>
      <c r="CO235" s="569"/>
      <c r="CP235" s="569"/>
      <c r="CQ235" s="569"/>
      <c r="CR235" s="569"/>
      <c r="CS235" s="569"/>
      <c r="CT235" s="569"/>
      <c r="CU235" s="569"/>
      <c r="CV235" s="569"/>
      <c r="CW235" s="569"/>
      <c r="CX235" s="569"/>
      <c r="CY235" s="569"/>
      <c r="CZ235" s="569"/>
      <c r="DA235" s="569"/>
      <c r="DB235" s="569"/>
      <c r="DC235" s="569"/>
      <c r="DD235" s="569"/>
      <c r="DE235" s="569"/>
      <c r="DF235" s="569"/>
      <c r="DG235" s="569"/>
      <c r="DH235" s="569"/>
      <c r="DI235" s="569"/>
      <c r="DJ235" s="569"/>
      <c r="DK235" s="569"/>
      <c r="DL235" s="569"/>
      <c r="DM235" s="569"/>
      <c r="DN235" s="569"/>
      <c r="DO235" s="569"/>
      <c r="DP235" s="569"/>
      <c r="DQ235" s="569"/>
      <c r="DR235" s="569"/>
      <c r="DS235" s="569"/>
      <c r="DT235" s="569"/>
      <c r="DU235" s="569"/>
      <c r="DV235" s="569"/>
      <c r="DW235" s="569"/>
      <c r="DX235" s="569"/>
      <c r="DY235" s="569"/>
      <c r="DZ235" s="569"/>
      <c r="EA235" s="569"/>
      <c r="EB235" s="569"/>
      <c r="EC235" s="569"/>
      <c r="ED235" s="569"/>
      <c r="EE235" s="569"/>
      <c r="EF235" s="569"/>
      <c r="EG235" s="569"/>
      <c r="EH235" s="569"/>
      <c r="EI235" s="569"/>
      <c r="EJ235" s="569"/>
      <c r="EK235" s="569"/>
      <c r="EL235" s="569"/>
      <c r="EM235" s="569"/>
      <c r="EN235" s="569"/>
      <c r="EO235" s="569"/>
      <c r="EP235" s="569"/>
      <c r="EQ235" s="569"/>
      <c r="ER235" s="569"/>
      <c r="ES235" s="569"/>
      <c r="ET235" s="569"/>
      <c r="EU235" s="569"/>
      <c r="EV235" s="569"/>
      <c r="EW235" s="569"/>
      <c r="EX235" s="569"/>
      <c r="EY235" s="569"/>
      <c r="EZ235" s="569"/>
      <c r="FA235" s="569"/>
      <c r="FB235" s="569"/>
      <c r="FC235" s="569"/>
      <c r="FD235" s="569"/>
      <c r="FE235" s="569"/>
      <c r="FF235" s="569"/>
      <c r="FG235" s="569"/>
      <c r="FH235" s="569"/>
      <c r="FI235" s="569"/>
      <c r="FJ235" s="569"/>
      <c r="FK235" s="569"/>
      <c r="FL235" s="569"/>
      <c r="FM235" s="569"/>
      <c r="FN235" s="569"/>
      <c r="FO235" s="569"/>
      <c r="FP235" s="569"/>
      <c r="FQ235" s="569"/>
      <c r="FR235" s="569"/>
      <c r="FS235" s="569"/>
      <c r="FT235" s="569"/>
      <c r="FU235" s="569"/>
      <c r="FV235" s="569"/>
      <c r="FW235" s="569"/>
      <c r="FX235" s="569"/>
      <c r="FY235" s="569"/>
      <c r="FZ235" s="569"/>
      <c r="GA235" s="569"/>
      <c r="GB235" s="569"/>
      <c r="GC235" s="569"/>
      <c r="GD235" s="569"/>
      <c r="GE235" s="569"/>
      <c r="GF235" s="569"/>
      <c r="GG235" s="569"/>
      <c r="GH235" s="569"/>
      <c r="GI235" s="569"/>
      <c r="GJ235" s="569"/>
      <c r="GK235" s="569"/>
      <c r="GL235" s="569"/>
      <c r="GM235" s="569"/>
      <c r="GN235" s="569"/>
      <c r="GO235" s="569"/>
      <c r="GP235" s="569"/>
      <c r="GQ235" s="569"/>
      <c r="GR235" s="569"/>
      <c r="GS235" s="569"/>
      <c r="GT235" s="569"/>
      <c r="GU235" s="569"/>
      <c r="GV235" s="569"/>
      <c r="GW235" s="569"/>
      <c r="GX235" s="569"/>
      <c r="GY235" s="569"/>
      <c r="GZ235" s="569"/>
      <c r="HA235" s="569"/>
      <c r="HB235" s="569"/>
      <c r="HC235" s="569"/>
      <c r="HD235" s="569"/>
      <c r="HE235" s="569"/>
      <c r="HF235" s="569"/>
      <c r="HG235" s="569"/>
      <c r="HH235" s="569"/>
      <c r="HI235" s="569"/>
      <c r="HJ235" s="569"/>
      <c r="HK235" s="569"/>
      <c r="HL235" s="569"/>
      <c r="HM235" s="569"/>
      <c r="HN235" s="569"/>
      <c r="HO235" s="569"/>
      <c r="HP235" s="569"/>
      <c r="HQ235" s="569"/>
      <c r="HR235" s="569"/>
      <c r="HS235" s="569"/>
      <c r="HT235" s="569"/>
      <c r="HU235" s="569"/>
      <c r="HV235" s="569"/>
      <c r="HW235" s="569"/>
      <c r="HX235" s="569"/>
      <c r="HY235" s="569"/>
      <c r="HZ235" s="569"/>
      <c r="IA235" s="569"/>
      <c r="IB235" s="569"/>
      <c r="IC235" s="569"/>
      <c r="ID235" s="569"/>
      <c r="IE235" s="569"/>
      <c r="IF235" s="569"/>
      <c r="IG235" s="569"/>
      <c r="IH235" s="569"/>
      <c r="II235" s="569"/>
      <c r="IJ235" s="569"/>
      <c r="IK235" s="569"/>
      <c r="IL235" s="569"/>
      <c r="IM235" s="569"/>
      <c r="IN235" s="569"/>
      <c r="IO235" s="569"/>
      <c r="IP235" s="569"/>
      <c r="IQ235" s="569"/>
      <c r="IR235" s="569"/>
      <c r="IS235" s="569"/>
      <c r="IT235" s="569"/>
      <c r="IU235" s="569"/>
      <c r="IV235" s="569"/>
      <c r="IW235" s="569"/>
      <c r="IX235" s="569"/>
      <c r="IY235" s="569"/>
      <c r="IZ235" s="569"/>
      <c r="JA235" s="569"/>
      <c r="JB235" s="569"/>
      <c r="JC235" s="569"/>
      <c r="JD235" s="569"/>
      <c r="JE235" s="569"/>
      <c r="JF235" s="569"/>
      <c r="JG235" s="569"/>
      <c r="JH235" s="569"/>
      <c r="JI235" s="569"/>
      <c r="JJ235" s="569"/>
      <c r="JK235" s="569"/>
      <c r="JL235" s="569"/>
      <c r="JM235" s="569"/>
      <c r="JN235" s="569"/>
      <c r="JO235" s="569"/>
      <c r="JP235" s="569"/>
      <c r="JQ235" s="569"/>
      <c r="JR235" s="569"/>
      <c r="JS235" s="569"/>
      <c r="JT235" s="569"/>
      <c r="JU235" s="569"/>
      <c r="JV235" s="569"/>
      <c r="JW235" s="569"/>
      <c r="JX235" s="569"/>
      <c r="JY235" s="569"/>
      <c r="JZ235" s="569"/>
      <c r="KA235" s="569"/>
      <c r="KB235" s="569"/>
      <c r="KC235" s="569"/>
      <c r="KD235" s="569"/>
      <c r="KE235" s="569"/>
      <c r="KF235" s="569"/>
      <c r="KG235" s="569"/>
      <c r="KH235" s="569"/>
      <c r="KI235" s="569"/>
      <c r="KJ235" s="569"/>
      <c r="KK235" s="569"/>
      <c r="KL235" s="569"/>
      <c r="KM235" s="569"/>
      <c r="KN235" s="569"/>
      <c r="KO235" s="569"/>
      <c r="KP235" s="569"/>
      <c r="KQ235" s="569"/>
      <c r="KR235" s="569"/>
      <c r="KS235" s="569"/>
      <c r="KT235" s="569"/>
      <c r="KU235" s="569"/>
      <c r="KV235" s="569"/>
      <c r="KW235" s="569"/>
      <c r="KX235" s="569"/>
      <c r="KY235" s="569"/>
      <c r="KZ235" s="569"/>
      <c r="LA235" s="569"/>
      <c r="LB235" s="569"/>
      <c r="LC235" s="569"/>
      <c r="LD235" s="569"/>
      <c r="LE235" s="569"/>
      <c r="LF235" s="569"/>
      <c r="LG235" s="569"/>
      <c r="LH235" s="569"/>
      <c r="LI235" s="569"/>
      <c r="LJ235" s="569"/>
      <c r="LK235" s="569"/>
      <c r="LL235" s="569"/>
      <c r="LM235" s="569"/>
      <c r="LN235" s="569"/>
      <c r="LO235" s="569"/>
      <c r="LP235" s="569"/>
      <c r="LQ235" s="569"/>
      <c r="LR235" s="569"/>
      <c r="LS235" s="569"/>
      <c r="LT235" s="569"/>
      <c r="LU235" s="569"/>
      <c r="LV235" s="569"/>
      <c r="LW235" s="569"/>
      <c r="LX235" s="569"/>
      <c r="LY235" s="569"/>
      <c r="LZ235" s="569"/>
      <c r="MA235" s="569"/>
      <c r="MB235" s="569"/>
      <c r="MC235" s="569"/>
      <c r="MD235" s="569"/>
      <c r="ME235" s="569"/>
      <c r="MF235" s="569"/>
      <c r="MG235" s="569"/>
      <c r="MH235" s="569"/>
      <c r="MI235" s="569"/>
      <c r="MJ235" s="569"/>
      <c r="MK235" s="569"/>
      <c r="ML235" s="569"/>
      <c r="MM235" s="569"/>
      <c r="MN235" s="569"/>
      <c r="MO235" s="569"/>
      <c r="MP235" s="569"/>
      <c r="MQ235" s="569"/>
      <c r="MR235" s="569"/>
      <c r="MS235" s="569"/>
      <c r="MT235" s="569"/>
      <c r="MU235" s="569"/>
      <c r="MV235" s="569"/>
      <c r="MW235" s="569"/>
      <c r="MX235" s="569"/>
      <c r="MY235" s="569"/>
      <c r="MZ235" s="569"/>
      <c r="NA235" s="569"/>
      <c r="NB235" s="569"/>
      <c r="NC235" s="569"/>
      <c r="ND235" s="569"/>
      <c r="NE235" s="569"/>
      <c r="NF235" s="569"/>
      <c r="NG235" s="569"/>
      <c r="NH235" s="569"/>
      <c r="NI235" s="569"/>
      <c r="NJ235" s="569"/>
      <c r="NK235" s="569"/>
      <c r="NL235" s="569"/>
      <c r="NM235" s="569"/>
      <c r="NN235" s="569"/>
      <c r="NO235" s="569"/>
      <c r="NP235" s="569"/>
      <c r="NQ235" s="569"/>
      <c r="NR235" s="569"/>
      <c r="NS235" s="569"/>
      <c r="NT235" s="569"/>
      <c r="NU235" s="569"/>
      <c r="NV235" s="569"/>
      <c r="NW235" s="569"/>
      <c r="NX235" s="569"/>
      <c r="NY235" s="569"/>
      <c r="NZ235" s="569"/>
      <c r="OA235" s="569"/>
      <c r="OB235" s="569"/>
      <c r="OC235" s="569"/>
      <c r="OD235" s="569"/>
      <c r="OE235" s="569"/>
      <c r="OF235" s="569"/>
      <c r="OG235" s="569"/>
      <c r="OH235" s="569"/>
      <c r="OI235" s="569"/>
      <c r="OJ235" s="569"/>
      <c r="OK235" s="569"/>
      <c r="OL235" s="569"/>
      <c r="OM235" s="569"/>
      <c r="ON235" s="569"/>
      <c r="OO235" s="569"/>
      <c r="OP235" s="569"/>
      <c r="OQ235" s="569"/>
      <c r="OR235" s="569"/>
      <c r="OS235" s="569"/>
      <c r="OT235" s="569"/>
      <c r="OU235" s="569"/>
      <c r="OV235" s="569"/>
      <c r="OW235" s="569"/>
      <c r="OX235" s="569"/>
      <c r="OY235" s="569"/>
      <c r="OZ235" s="569"/>
      <c r="PA235" s="569"/>
      <c r="PB235" s="569"/>
      <c r="PC235" s="569"/>
      <c r="PD235" s="569"/>
      <c r="PE235" s="569"/>
      <c r="PF235" s="569"/>
      <c r="PG235" s="569"/>
      <c r="PH235" s="569"/>
      <c r="PI235" s="569"/>
      <c r="PJ235" s="569"/>
      <c r="PK235" s="569"/>
      <c r="PL235" s="569"/>
      <c r="PM235" s="569"/>
      <c r="PN235" s="569"/>
      <c r="PO235" s="569"/>
      <c r="PP235" s="569"/>
      <c r="PQ235" s="569"/>
      <c r="PR235" s="569"/>
      <c r="PS235" s="569"/>
      <c r="PT235" s="569"/>
      <c r="PU235" s="569"/>
      <c r="PV235" s="569"/>
      <c r="PW235" s="569"/>
      <c r="PX235" s="569"/>
      <c r="PY235" s="569"/>
      <c r="PZ235" s="569"/>
      <c r="QA235" s="569"/>
      <c r="QB235" s="569"/>
      <c r="QC235" s="569"/>
      <c r="QD235" s="569"/>
      <c r="QE235" s="569"/>
      <c r="QF235" s="569"/>
      <c r="QG235" s="569"/>
      <c r="QH235" s="569"/>
      <c r="QI235" s="569"/>
      <c r="QJ235" s="569"/>
      <c r="QK235" s="569"/>
      <c r="QL235" s="569"/>
    </row>
    <row r="236" spans="1:454" ht="45">
      <c r="D236" s="568"/>
      <c r="E236" s="568"/>
      <c r="F236" s="568"/>
      <c r="G236" s="568"/>
      <c r="H236" s="563" t="str">
        <f>'matrik MISI 5'!N69</f>
        <v>Cakupan Penjaringan Kesehatan Siswa  Tingkat Dasar</v>
      </c>
      <c r="I236" s="563" t="str">
        <f>'matrik MISI 5'!O69</f>
        <v>%</v>
      </c>
      <c r="J236" s="563">
        <f>'matrik MISI 5'!P69</f>
        <v>99.36</v>
      </c>
      <c r="K236" s="563">
        <f>'matrik MISI 5'!Q69</f>
        <v>100</v>
      </c>
      <c r="L236" s="563">
        <f>'matrik MISI 5'!R69</f>
        <v>100</v>
      </c>
      <c r="M236" s="604"/>
      <c r="N236" s="563">
        <f>'matrik MISI 5'!S69</f>
        <v>100</v>
      </c>
      <c r="O236" s="564"/>
      <c r="P236" s="563">
        <f>'matrik MISI 5'!T69</f>
        <v>100</v>
      </c>
      <c r="Q236" s="564"/>
      <c r="R236" s="563">
        <f>'matrik MISI 5'!U69</f>
        <v>100</v>
      </c>
      <c r="S236" s="564"/>
      <c r="T236" s="563">
        <f>'matrik MISI 5'!V69</f>
        <v>100</v>
      </c>
      <c r="U236" s="564"/>
      <c r="V236" s="563">
        <f>'matrik MISI 5'!W69</f>
        <v>100</v>
      </c>
      <c r="W236" s="564"/>
      <c r="X236" s="563" t="str">
        <f>'matrik MISI 5'!X69</f>
        <v>Dinas Kesehatan</v>
      </c>
      <c r="Y236" s="565" t="str">
        <f>'matrik MISI 5'!Y69</f>
        <v>Jumlah murid  SD dan setingkat yang diperiksa kesehatannya melalui penjaringan kesehatan  oleh tenaga kesehatan atau tenaga terlatih (guru UKS/dokter kecil) / Jumlah murid SD dan setingkat x 100</v>
      </c>
      <c r="Z236" s="565">
        <f>'matrik MISI 5'!Z69</f>
        <v>0</v>
      </c>
    </row>
    <row r="237" spans="1:454" s="574" customFormat="1" ht="60">
      <c r="A237" s="569"/>
      <c r="B237" s="575"/>
      <c r="C237" s="576"/>
      <c r="D237" s="577">
        <f>'matrik MISI 5'!J70</f>
        <v>1.02</v>
      </c>
      <c r="E237" s="577" t="str">
        <f>'matrik MISI 5'!K70</f>
        <v>xx</v>
      </c>
      <c r="F237" s="577">
        <f>'matrik MISI 5'!L70</f>
        <v>19</v>
      </c>
      <c r="G237" s="577" t="str">
        <f>'matrik MISI 5'!M70</f>
        <v>Program Promosi Kesehatan dan Pemberdayaan masyarakat</v>
      </c>
      <c r="H237" s="577"/>
      <c r="I237" s="577"/>
      <c r="J237" s="577"/>
      <c r="K237" s="577"/>
      <c r="L237" s="577"/>
      <c r="M237" s="578">
        <f>'jangan di hapus 1'!K310</f>
        <v>87327000</v>
      </c>
      <c r="N237" s="578"/>
      <c r="O237" s="578">
        <f>'jangan di hapus 1'!M310</f>
        <v>90000000</v>
      </c>
      <c r="P237" s="578"/>
      <c r="Q237" s="578">
        <f>'jangan di hapus 1'!O310</f>
        <v>105000000</v>
      </c>
      <c r="R237" s="578"/>
      <c r="S237" s="578">
        <f>'jangan di hapus 1'!Q310</f>
        <v>115000000</v>
      </c>
      <c r="T237" s="578"/>
      <c r="U237" s="578">
        <f>'jangan di hapus 1'!S310</f>
        <v>115000000</v>
      </c>
      <c r="V237" s="577"/>
      <c r="W237" s="578">
        <f>SUM(M237:U237)</f>
        <v>512327000</v>
      </c>
      <c r="X237" s="577"/>
      <c r="Y237" s="577"/>
      <c r="Z237" s="577"/>
      <c r="AA237" s="569"/>
      <c r="AB237" s="569"/>
      <c r="AC237" s="569"/>
      <c r="AD237" s="569"/>
      <c r="AE237" s="569"/>
      <c r="AF237" s="569"/>
      <c r="AG237" s="569"/>
      <c r="AH237" s="569"/>
      <c r="AI237" s="569"/>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c r="BM237" s="569"/>
      <c r="BN237" s="569"/>
      <c r="BO237" s="569"/>
      <c r="BP237" s="569"/>
      <c r="BQ237" s="569"/>
      <c r="BR237" s="569"/>
      <c r="BS237" s="569"/>
      <c r="BT237" s="569"/>
      <c r="BU237" s="569"/>
      <c r="BV237" s="569"/>
      <c r="BW237" s="569"/>
      <c r="BX237" s="569"/>
      <c r="BY237" s="569"/>
      <c r="BZ237" s="569"/>
      <c r="CA237" s="569"/>
      <c r="CB237" s="569"/>
      <c r="CC237" s="569"/>
      <c r="CD237" s="569"/>
      <c r="CE237" s="569"/>
      <c r="CF237" s="569"/>
      <c r="CG237" s="569"/>
      <c r="CH237" s="569"/>
      <c r="CI237" s="569"/>
      <c r="CJ237" s="569"/>
      <c r="CK237" s="569"/>
      <c r="CL237" s="569"/>
      <c r="CM237" s="569"/>
      <c r="CN237" s="569"/>
      <c r="CO237" s="569"/>
      <c r="CP237" s="569"/>
      <c r="CQ237" s="569"/>
      <c r="CR237" s="569"/>
      <c r="CS237" s="569"/>
      <c r="CT237" s="569"/>
      <c r="CU237" s="569"/>
      <c r="CV237" s="569"/>
      <c r="CW237" s="569"/>
      <c r="CX237" s="569"/>
      <c r="CY237" s="569"/>
      <c r="CZ237" s="569"/>
      <c r="DA237" s="569"/>
      <c r="DB237" s="569"/>
      <c r="DC237" s="569"/>
      <c r="DD237" s="569"/>
      <c r="DE237" s="569"/>
      <c r="DF237" s="569"/>
      <c r="DG237" s="569"/>
      <c r="DH237" s="569"/>
      <c r="DI237" s="569"/>
      <c r="DJ237" s="569"/>
      <c r="DK237" s="569"/>
      <c r="DL237" s="569"/>
      <c r="DM237" s="569"/>
      <c r="DN237" s="569"/>
      <c r="DO237" s="569"/>
      <c r="DP237" s="569"/>
      <c r="DQ237" s="569"/>
      <c r="DR237" s="569"/>
      <c r="DS237" s="569"/>
      <c r="DT237" s="569"/>
      <c r="DU237" s="569"/>
      <c r="DV237" s="569"/>
      <c r="DW237" s="569"/>
      <c r="DX237" s="569"/>
      <c r="DY237" s="569"/>
      <c r="DZ237" s="569"/>
      <c r="EA237" s="569"/>
      <c r="EB237" s="569"/>
      <c r="EC237" s="569"/>
      <c r="ED237" s="569"/>
      <c r="EE237" s="569"/>
      <c r="EF237" s="569"/>
      <c r="EG237" s="569"/>
      <c r="EH237" s="569"/>
      <c r="EI237" s="569"/>
      <c r="EJ237" s="569"/>
      <c r="EK237" s="569"/>
      <c r="EL237" s="569"/>
      <c r="EM237" s="569"/>
      <c r="EN237" s="569"/>
      <c r="EO237" s="569"/>
      <c r="EP237" s="569"/>
      <c r="EQ237" s="569"/>
      <c r="ER237" s="569"/>
      <c r="ES237" s="569"/>
      <c r="ET237" s="569"/>
      <c r="EU237" s="569"/>
      <c r="EV237" s="569"/>
      <c r="EW237" s="569"/>
      <c r="EX237" s="569"/>
      <c r="EY237" s="569"/>
      <c r="EZ237" s="569"/>
      <c r="FA237" s="569"/>
      <c r="FB237" s="569"/>
      <c r="FC237" s="569"/>
      <c r="FD237" s="569"/>
      <c r="FE237" s="569"/>
      <c r="FF237" s="569"/>
      <c r="FG237" s="569"/>
      <c r="FH237" s="569"/>
      <c r="FI237" s="569"/>
      <c r="FJ237" s="569"/>
      <c r="FK237" s="569"/>
      <c r="FL237" s="569"/>
      <c r="FM237" s="569"/>
      <c r="FN237" s="569"/>
      <c r="FO237" s="569"/>
      <c r="FP237" s="569"/>
      <c r="FQ237" s="569"/>
      <c r="FR237" s="569"/>
      <c r="FS237" s="569"/>
      <c r="FT237" s="569"/>
      <c r="FU237" s="569"/>
      <c r="FV237" s="569"/>
      <c r="FW237" s="569"/>
      <c r="FX237" s="569"/>
      <c r="FY237" s="569"/>
      <c r="FZ237" s="569"/>
      <c r="GA237" s="569"/>
      <c r="GB237" s="569"/>
      <c r="GC237" s="569"/>
      <c r="GD237" s="569"/>
      <c r="GE237" s="569"/>
      <c r="GF237" s="569"/>
      <c r="GG237" s="569"/>
      <c r="GH237" s="569"/>
      <c r="GI237" s="569"/>
      <c r="GJ237" s="569"/>
      <c r="GK237" s="569"/>
      <c r="GL237" s="569"/>
      <c r="GM237" s="569"/>
      <c r="GN237" s="569"/>
      <c r="GO237" s="569"/>
      <c r="GP237" s="569"/>
      <c r="GQ237" s="569"/>
      <c r="GR237" s="569"/>
      <c r="GS237" s="569"/>
      <c r="GT237" s="569"/>
      <c r="GU237" s="569"/>
      <c r="GV237" s="569"/>
      <c r="GW237" s="569"/>
      <c r="GX237" s="569"/>
      <c r="GY237" s="569"/>
      <c r="GZ237" s="569"/>
      <c r="HA237" s="569"/>
      <c r="HB237" s="569"/>
      <c r="HC237" s="569"/>
      <c r="HD237" s="569"/>
      <c r="HE237" s="569"/>
      <c r="HF237" s="569"/>
      <c r="HG237" s="569"/>
      <c r="HH237" s="569"/>
      <c r="HI237" s="569"/>
      <c r="HJ237" s="569"/>
      <c r="HK237" s="569"/>
      <c r="HL237" s="569"/>
      <c r="HM237" s="569"/>
      <c r="HN237" s="569"/>
      <c r="HO237" s="569"/>
      <c r="HP237" s="569"/>
      <c r="HQ237" s="569"/>
      <c r="HR237" s="569"/>
      <c r="HS237" s="569"/>
      <c r="HT237" s="569"/>
      <c r="HU237" s="569"/>
      <c r="HV237" s="569"/>
      <c r="HW237" s="569"/>
      <c r="HX237" s="569"/>
      <c r="HY237" s="569"/>
      <c r="HZ237" s="569"/>
      <c r="IA237" s="569"/>
      <c r="IB237" s="569"/>
      <c r="IC237" s="569"/>
      <c r="ID237" s="569"/>
      <c r="IE237" s="569"/>
      <c r="IF237" s="569"/>
      <c r="IG237" s="569"/>
      <c r="IH237" s="569"/>
      <c r="II237" s="569"/>
      <c r="IJ237" s="569"/>
      <c r="IK237" s="569"/>
      <c r="IL237" s="569"/>
      <c r="IM237" s="569"/>
      <c r="IN237" s="569"/>
      <c r="IO237" s="569"/>
      <c r="IP237" s="569"/>
      <c r="IQ237" s="569"/>
      <c r="IR237" s="569"/>
      <c r="IS237" s="569"/>
      <c r="IT237" s="569"/>
      <c r="IU237" s="569"/>
      <c r="IV237" s="569"/>
      <c r="IW237" s="569"/>
      <c r="IX237" s="569"/>
      <c r="IY237" s="569"/>
      <c r="IZ237" s="569"/>
      <c r="JA237" s="569"/>
      <c r="JB237" s="569"/>
      <c r="JC237" s="569"/>
      <c r="JD237" s="569"/>
      <c r="JE237" s="569"/>
      <c r="JF237" s="569"/>
      <c r="JG237" s="569"/>
      <c r="JH237" s="569"/>
      <c r="JI237" s="569"/>
      <c r="JJ237" s="569"/>
      <c r="JK237" s="569"/>
      <c r="JL237" s="569"/>
      <c r="JM237" s="569"/>
      <c r="JN237" s="569"/>
      <c r="JO237" s="569"/>
      <c r="JP237" s="569"/>
      <c r="JQ237" s="569"/>
      <c r="JR237" s="569"/>
      <c r="JS237" s="569"/>
      <c r="JT237" s="569"/>
      <c r="JU237" s="569"/>
      <c r="JV237" s="569"/>
      <c r="JW237" s="569"/>
      <c r="JX237" s="569"/>
      <c r="JY237" s="569"/>
      <c r="JZ237" s="569"/>
      <c r="KA237" s="569"/>
      <c r="KB237" s="569"/>
      <c r="KC237" s="569"/>
      <c r="KD237" s="569"/>
      <c r="KE237" s="569"/>
      <c r="KF237" s="569"/>
      <c r="KG237" s="569"/>
      <c r="KH237" s="569"/>
      <c r="KI237" s="569"/>
      <c r="KJ237" s="569"/>
      <c r="KK237" s="569"/>
      <c r="KL237" s="569"/>
      <c r="KM237" s="569"/>
      <c r="KN237" s="569"/>
      <c r="KO237" s="569"/>
      <c r="KP237" s="569"/>
      <c r="KQ237" s="569"/>
      <c r="KR237" s="569"/>
      <c r="KS237" s="569"/>
      <c r="KT237" s="569"/>
      <c r="KU237" s="569"/>
      <c r="KV237" s="569"/>
      <c r="KW237" s="569"/>
      <c r="KX237" s="569"/>
      <c r="KY237" s="569"/>
      <c r="KZ237" s="569"/>
      <c r="LA237" s="569"/>
      <c r="LB237" s="569"/>
      <c r="LC237" s="569"/>
      <c r="LD237" s="569"/>
      <c r="LE237" s="569"/>
      <c r="LF237" s="569"/>
      <c r="LG237" s="569"/>
      <c r="LH237" s="569"/>
      <c r="LI237" s="569"/>
      <c r="LJ237" s="569"/>
      <c r="LK237" s="569"/>
      <c r="LL237" s="569"/>
      <c r="LM237" s="569"/>
      <c r="LN237" s="569"/>
      <c r="LO237" s="569"/>
      <c r="LP237" s="569"/>
      <c r="LQ237" s="569"/>
      <c r="LR237" s="569"/>
      <c r="LS237" s="569"/>
      <c r="LT237" s="569"/>
      <c r="LU237" s="569"/>
      <c r="LV237" s="569"/>
      <c r="LW237" s="569"/>
      <c r="LX237" s="569"/>
      <c r="LY237" s="569"/>
      <c r="LZ237" s="569"/>
      <c r="MA237" s="569"/>
      <c r="MB237" s="569"/>
      <c r="MC237" s="569"/>
      <c r="MD237" s="569"/>
      <c r="ME237" s="569"/>
      <c r="MF237" s="569"/>
      <c r="MG237" s="569"/>
      <c r="MH237" s="569"/>
      <c r="MI237" s="569"/>
      <c r="MJ237" s="569"/>
      <c r="MK237" s="569"/>
      <c r="ML237" s="569"/>
      <c r="MM237" s="569"/>
      <c r="MN237" s="569"/>
      <c r="MO237" s="569"/>
      <c r="MP237" s="569"/>
      <c r="MQ237" s="569"/>
      <c r="MR237" s="569"/>
      <c r="MS237" s="569"/>
      <c r="MT237" s="569"/>
      <c r="MU237" s="569"/>
      <c r="MV237" s="569"/>
      <c r="MW237" s="569"/>
      <c r="MX237" s="569"/>
      <c r="MY237" s="569"/>
      <c r="MZ237" s="569"/>
      <c r="NA237" s="569"/>
      <c r="NB237" s="569"/>
      <c r="NC237" s="569"/>
      <c r="ND237" s="569"/>
      <c r="NE237" s="569"/>
      <c r="NF237" s="569"/>
      <c r="NG237" s="569"/>
      <c r="NH237" s="569"/>
      <c r="NI237" s="569"/>
      <c r="NJ237" s="569"/>
      <c r="NK237" s="569"/>
      <c r="NL237" s="569"/>
      <c r="NM237" s="569"/>
      <c r="NN237" s="569"/>
      <c r="NO237" s="569"/>
      <c r="NP237" s="569"/>
      <c r="NQ237" s="569"/>
      <c r="NR237" s="569"/>
      <c r="NS237" s="569"/>
      <c r="NT237" s="569"/>
      <c r="NU237" s="569"/>
      <c r="NV237" s="569"/>
      <c r="NW237" s="569"/>
      <c r="NX237" s="569"/>
      <c r="NY237" s="569"/>
      <c r="NZ237" s="569"/>
      <c r="OA237" s="569"/>
      <c r="OB237" s="569"/>
      <c r="OC237" s="569"/>
      <c r="OD237" s="569"/>
      <c r="OE237" s="569"/>
      <c r="OF237" s="569"/>
      <c r="OG237" s="569"/>
      <c r="OH237" s="569"/>
      <c r="OI237" s="569"/>
      <c r="OJ237" s="569"/>
      <c r="OK237" s="569"/>
      <c r="OL237" s="569"/>
      <c r="OM237" s="569"/>
      <c r="ON237" s="569"/>
      <c r="OO237" s="569"/>
      <c r="OP237" s="569"/>
      <c r="OQ237" s="569"/>
      <c r="OR237" s="569"/>
      <c r="OS237" s="569"/>
      <c r="OT237" s="569"/>
      <c r="OU237" s="569"/>
      <c r="OV237" s="569"/>
      <c r="OW237" s="569"/>
      <c r="OX237" s="569"/>
      <c r="OY237" s="569"/>
      <c r="OZ237" s="569"/>
      <c r="PA237" s="569"/>
      <c r="PB237" s="569"/>
      <c r="PC237" s="569"/>
      <c r="PD237" s="569"/>
      <c r="PE237" s="569"/>
      <c r="PF237" s="569"/>
      <c r="PG237" s="569"/>
      <c r="PH237" s="569"/>
      <c r="PI237" s="569"/>
      <c r="PJ237" s="569"/>
      <c r="PK237" s="569"/>
      <c r="PL237" s="569"/>
      <c r="PM237" s="569"/>
      <c r="PN237" s="569"/>
      <c r="PO237" s="569"/>
      <c r="PP237" s="569"/>
      <c r="PQ237" s="569"/>
      <c r="PR237" s="569"/>
      <c r="PS237" s="569"/>
      <c r="PT237" s="569"/>
      <c r="PU237" s="569"/>
      <c r="PV237" s="569"/>
      <c r="PW237" s="569"/>
      <c r="PX237" s="569"/>
      <c r="PY237" s="569"/>
      <c r="PZ237" s="569"/>
      <c r="QA237" s="569"/>
      <c r="QB237" s="569"/>
      <c r="QC237" s="569"/>
      <c r="QD237" s="569"/>
      <c r="QE237" s="569"/>
      <c r="QF237" s="569"/>
      <c r="QG237" s="569"/>
      <c r="QH237" s="569"/>
      <c r="QI237" s="569"/>
      <c r="QJ237" s="569"/>
      <c r="QK237" s="569"/>
      <c r="QL237" s="569"/>
    </row>
    <row r="238" spans="1:454">
      <c r="D238" s="568"/>
      <c r="E238" s="568"/>
      <c r="F238" s="568"/>
      <c r="G238" s="568"/>
      <c r="H238" s="563" t="str">
        <f>'matrik MISI 5'!N70</f>
        <v>Cakupan Desa Siaga Aktif</v>
      </c>
      <c r="I238" s="563" t="str">
        <f>'matrik MISI 5'!O70</f>
        <v>%</v>
      </c>
      <c r="J238" s="563">
        <f>'matrik MISI 5'!P70</f>
        <v>100</v>
      </c>
      <c r="K238" s="563">
        <f>'matrik MISI 5'!Q70</f>
        <v>100</v>
      </c>
      <c r="L238" s="563">
        <f>'matrik MISI 5'!R70</f>
        <v>100</v>
      </c>
      <c r="M238" s="604"/>
      <c r="N238" s="563">
        <f>'matrik MISI 5'!S70</f>
        <v>100</v>
      </c>
      <c r="O238" s="564"/>
      <c r="P238" s="563">
        <f>'matrik MISI 5'!T70</f>
        <v>100</v>
      </c>
      <c r="Q238" s="564"/>
      <c r="R238" s="563">
        <f>'matrik MISI 5'!U70</f>
        <v>100</v>
      </c>
      <c r="S238" s="564"/>
      <c r="T238" s="563">
        <f>'matrik MISI 5'!V70</f>
        <v>100</v>
      </c>
      <c r="U238" s="564"/>
      <c r="V238" s="563">
        <f>'matrik MISI 5'!W70</f>
        <v>100</v>
      </c>
      <c r="W238" s="564"/>
      <c r="X238" s="563" t="str">
        <f>'matrik MISI 5'!X70</f>
        <v>Dinas Kesehatan</v>
      </c>
      <c r="Y238" s="565" t="str">
        <f>'matrik MISI 5'!Y70</f>
        <v>Jumlah desa siaga yang aktif / Jumlah desa x 100</v>
      </c>
      <c r="Z238" s="565">
        <f>'matrik MISI 5'!Z70</f>
        <v>0</v>
      </c>
    </row>
    <row r="239" spans="1:454" ht="45">
      <c r="G239" s="563"/>
      <c r="H239" s="563" t="str">
        <f>'matrik MISI 5'!N71</f>
        <v>Cakupan Posyandu Purnama dan Mandiri</v>
      </c>
      <c r="I239" s="563" t="str">
        <f>'matrik MISI 5'!O71</f>
        <v>%</v>
      </c>
      <c r="J239" s="563">
        <f>'matrik MISI 5'!P71</f>
        <v>42.6</v>
      </c>
      <c r="K239" s="563">
        <f>'matrik MISI 5'!Q71</f>
        <v>40</v>
      </c>
      <c r="L239" s="563">
        <f>'matrik MISI 5'!R71</f>
        <v>42</v>
      </c>
      <c r="M239" s="604"/>
      <c r="N239" s="563">
        <f>'matrik MISI 5'!S71</f>
        <v>44</v>
      </c>
      <c r="O239" s="564"/>
      <c r="P239" s="563">
        <f>'matrik MISI 5'!T71</f>
        <v>46</v>
      </c>
      <c r="Q239" s="564"/>
      <c r="R239" s="563">
        <f>'matrik MISI 5'!U71</f>
        <v>48</v>
      </c>
      <c r="S239" s="564"/>
      <c r="T239" s="563">
        <f>'matrik MISI 5'!V71</f>
        <v>50</v>
      </c>
      <c r="U239" s="564"/>
      <c r="V239" s="563">
        <f>'matrik MISI 5'!W71</f>
        <v>50</v>
      </c>
      <c r="W239" s="564"/>
      <c r="X239" s="563" t="str">
        <f>'matrik MISI 5'!X71</f>
        <v>Dinas Kesehatan</v>
      </c>
      <c r="Y239" s="565" t="str">
        <f>'matrik MISI 5'!Y71</f>
        <v>Jumlah posyandu (purnama+mandiri) di suatu wilayah pada kurun waktu tertentu / Jumlah seluruh posyandu yang ada di wilayah dan kurun waktu yang sama x 100</v>
      </c>
      <c r="Z239" s="565">
        <f>'matrik MISI 5'!Z71</f>
        <v>0</v>
      </c>
    </row>
    <row r="240" spans="1:454" s="569" customFormat="1" ht="45">
      <c r="B240" s="267"/>
      <c r="C240" s="562"/>
      <c r="D240" s="563"/>
      <c r="E240" s="563"/>
      <c r="F240" s="563"/>
      <c r="G240" s="563"/>
      <c r="H240" s="563" t="str">
        <f>'matrik MISI 5'!N72</f>
        <v>Cakupan Rumah Tangga Sehat</v>
      </c>
      <c r="I240" s="563" t="str">
        <f>'matrik MISI 5'!O72</f>
        <v>%</v>
      </c>
      <c r="J240" s="563">
        <f>'matrik MISI 5'!P72</f>
        <v>74.099999999999994</v>
      </c>
      <c r="K240" s="563">
        <f>'matrik MISI 5'!Q72</f>
        <v>74.099999999999994</v>
      </c>
      <c r="L240" s="563">
        <f>'matrik MISI 5'!R72</f>
        <v>80</v>
      </c>
      <c r="M240" s="604"/>
      <c r="N240" s="563">
        <f>'matrik MISI 5'!S72</f>
        <v>80</v>
      </c>
      <c r="O240" s="564"/>
      <c r="P240" s="563">
        <f>'matrik MISI 5'!T72</f>
        <v>80</v>
      </c>
      <c r="Q240" s="564"/>
      <c r="R240" s="563">
        <f>'matrik MISI 5'!U72</f>
        <v>80</v>
      </c>
      <c r="S240" s="564"/>
      <c r="T240" s="563">
        <f>'matrik MISI 5'!V72</f>
        <v>80</v>
      </c>
      <c r="U240" s="564"/>
      <c r="V240" s="563">
        <f>'matrik MISI 5'!W72</f>
        <v>80</v>
      </c>
      <c r="W240" s="564"/>
      <c r="X240" s="563" t="str">
        <f>'matrik MISI 5'!X72</f>
        <v>Dinas Kesehatan</v>
      </c>
      <c r="Y240" s="565" t="str">
        <f>'matrik MISI 5'!Y72</f>
        <v>Jumlah rumah tangga yang berperilaku hidup bersih dan sehat di suatu wilayah pada kurun waktu tertentu / jumah rumah tangga yang dipantau/ disurvey di wilayah dan pada kurun waktu yang sama x 100</v>
      </c>
      <c r="Z240" s="565">
        <f>'matrik MISI 5'!Z72</f>
        <v>0</v>
      </c>
    </row>
    <row r="241" spans="1:454" s="570" customFormat="1">
      <c r="A241" s="569"/>
      <c r="B241" s="571"/>
      <c r="C241" s="572"/>
      <c r="D241" s="573"/>
      <c r="E241" s="573"/>
      <c r="F241" s="573"/>
      <c r="G241" s="573"/>
      <c r="H241" s="573"/>
      <c r="I241" s="573"/>
      <c r="J241" s="573"/>
      <c r="K241" s="573"/>
      <c r="L241" s="573"/>
      <c r="M241" s="604"/>
      <c r="N241" s="573"/>
      <c r="O241" s="564"/>
      <c r="P241" s="573"/>
      <c r="Q241" s="564"/>
      <c r="R241" s="573"/>
      <c r="S241" s="564"/>
      <c r="T241" s="573"/>
      <c r="U241" s="564"/>
      <c r="V241" s="573"/>
      <c r="W241" s="564"/>
      <c r="X241" s="573"/>
      <c r="Y241" s="565"/>
      <c r="Z241" s="565"/>
      <c r="AA241" s="569"/>
      <c r="AB241" s="569"/>
      <c r="AC241" s="569"/>
      <c r="AD241" s="569"/>
      <c r="AE241" s="569"/>
      <c r="AF241" s="569"/>
      <c r="AG241" s="569"/>
      <c r="AH241" s="569"/>
      <c r="AI241" s="569"/>
      <c r="AJ241" s="569"/>
      <c r="AK241" s="569"/>
      <c r="AL241" s="569"/>
      <c r="AM241" s="569"/>
      <c r="AN241" s="569"/>
      <c r="AO241" s="569"/>
      <c r="AP241" s="569"/>
      <c r="AQ241" s="569"/>
      <c r="AR241" s="569"/>
      <c r="AS241" s="569"/>
      <c r="AT241" s="569"/>
      <c r="AU241" s="569"/>
      <c r="AV241" s="569"/>
      <c r="AW241" s="569"/>
      <c r="AX241" s="569"/>
      <c r="AY241" s="569"/>
      <c r="AZ241" s="569"/>
      <c r="BA241" s="569"/>
      <c r="BB241" s="569"/>
      <c r="BC241" s="569"/>
      <c r="BD241" s="569"/>
      <c r="BE241" s="569"/>
      <c r="BF241" s="569"/>
      <c r="BG241" s="569"/>
      <c r="BH241" s="569"/>
      <c r="BI241" s="569"/>
      <c r="BJ241" s="569"/>
      <c r="BK241" s="569"/>
      <c r="BL241" s="569"/>
      <c r="BM241" s="569"/>
      <c r="BN241" s="569"/>
      <c r="BO241" s="569"/>
      <c r="BP241" s="569"/>
      <c r="BQ241" s="569"/>
      <c r="BR241" s="569"/>
      <c r="BS241" s="569"/>
      <c r="BT241" s="569"/>
      <c r="BU241" s="569"/>
      <c r="BV241" s="569"/>
      <c r="BW241" s="569"/>
      <c r="BX241" s="569"/>
      <c r="BY241" s="569"/>
      <c r="BZ241" s="569"/>
      <c r="CA241" s="569"/>
      <c r="CB241" s="569"/>
      <c r="CC241" s="569"/>
      <c r="CD241" s="569"/>
      <c r="CE241" s="569"/>
      <c r="CF241" s="569"/>
      <c r="CG241" s="569"/>
      <c r="CH241" s="569"/>
      <c r="CI241" s="569"/>
      <c r="CJ241" s="569"/>
      <c r="CK241" s="569"/>
      <c r="CL241" s="569"/>
      <c r="CM241" s="569"/>
      <c r="CN241" s="569"/>
      <c r="CO241" s="569"/>
      <c r="CP241" s="569"/>
      <c r="CQ241" s="569"/>
      <c r="CR241" s="569"/>
      <c r="CS241" s="569"/>
      <c r="CT241" s="569"/>
      <c r="CU241" s="569"/>
      <c r="CV241" s="569"/>
      <c r="CW241" s="569"/>
      <c r="CX241" s="569"/>
      <c r="CY241" s="569"/>
      <c r="CZ241" s="569"/>
      <c r="DA241" s="569"/>
      <c r="DB241" s="569"/>
      <c r="DC241" s="569"/>
      <c r="DD241" s="569"/>
      <c r="DE241" s="569"/>
      <c r="DF241" s="569"/>
      <c r="DG241" s="569"/>
      <c r="DH241" s="569"/>
      <c r="DI241" s="569"/>
      <c r="DJ241" s="569"/>
      <c r="DK241" s="569"/>
      <c r="DL241" s="569"/>
      <c r="DM241" s="569"/>
      <c r="DN241" s="569"/>
      <c r="DO241" s="569"/>
      <c r="DP241" s="569"/>
      <c r="DQ241" s="569"/>
      <c r="DR241" s="569"/>
      <c r="DS241" s="569"/>
      <c r="DT241" s="569"/>
      <c r="DU241" s="569"/>
      <c r="DV241" s="569"/>
      <c r="DW241" s="569"/>
      <c r="DX241" s="569"/>
      <c r="DY241" s="569"/>
      <c r="DZ241" s="569"/>
      <c r="EA241" s="569"/>
      <c r="EB241" s="569"/>
      <c r="EC241" s="569"/>
      <c r="ED241" s="569"/>
      <c r="EE241" s="569"/>
      <c r="EF241" s="569"/>
      <c r="EG241" s="569"/>
      <c r="EH241" s="569"/>
      <c r="EI241" s="569"/>
      <c r="EJ241" s="569"/>
      <c r="EK241" s="569"/>
      <c r="EL241" s="569"/>
      <c r="EM241" s="569"/>
      <c r="EN241" s="569"/>
      <c r="EO241" s="569"/>
      <c r="EP241" s="569"/>
      <c r="EQ241" s="569"/>
      <c r="ER241" s="569"/>
      <c r="ES241" s="569"/>
      <c r="ET241" s="569"/>
      <c r="EU241" s="569"/>
      <c r="EV241" s="569"/>
      <c r="EW241" s="569"/>
      <c r="EX241" s="569"/>
      <c r="EY241" s="569"/>
      <c r="EZ241" s="569"/>
      <c r="FA241" s="569"/>
      <c r="FB241" s="569"/>
      <c r="FC241" s="569"/>
      <c r="FD241" s="569"/>
      <c r="FE241" s="569"/>
      <c r="FF241" s="569"/>
      <c r="FG241" s="569"/>
      <c r="FH241" s="569"/>
      <c r="FI241" s="569"/>
      <c r="FJ241" s="569"/>
      <c r="FK241" s="569"/>
      <c r="FL241" s="569"/>
      <c r="FM241" s="569"/>
      <c r="FN241" s="569"/>
      <c r="FO241" s="569"/>
      <c r="FP241" s="569"/>
      <c r="FQ241" s="569"/>
      <c r="FR241" s="569"/>
      <c r="FS241" s="569"/>
      <c r="FT241" s="569"/>
      <c r="FU241" s="569"/>
      <c r="FV241" s="569"/>
      <c r="FW241" s="569"/>
      <c r="FX241" s="569"/>
      <c r="FY241" s="569"/>
      <c r="FZ241" s="569"/>
      <c r="GA241" s="569"/>
      <c r="GB241" s="569"/>
      <c r="GC241" s="569"/>
      <c r="GD241" s="569"/>
      <c r="GE241" s="569"/>
      <c r="GF241" s="569"/>
      <c r="GG241" s="569"/>
      <c r="GH241" s="569"/>
      <c r="GI241" s="569"/>
      <c r="GJ241" s="569"/>
      <c r="GK241" s="569"/>
      <c r="GL241" s="569"/>
      <c r="GM241" s="569"/>
      <c r="GN241" s="569"/>
      <c r="GO241" s="569"/>
      <c r="GP241" s="569"/>
      <c r="GQ241" s="569"/>
      <c r="GR241" s="569"/>
      <c r="GS241" s="569"/>
      <c r="GT241" s="569"/>
      <c r="GU241" s="569"/>
      <c r="GV241" s="569"/>
      <c r="GW241" s="569"/>
      <c r="GX241" s="569"/>
      <c r="GY241" s="569"/>
      <c r="GZ241" s="569"/>
      <c r="HA241" s="569"/>
      <c r="HB241" s="569"/>
      <c r="HC241" s="569"/>
      <c r="HD241" s="569"/>
      <c r="HE241" s="569"/>
      <c r="HF241" s="569"/>
      <c r="HG241" s="569"/>
      <c r="HH241" s="569"/>
      <c r="HI241" s="569"/>
      <c r="HJ241" s="569"/>
      <c r="HK241" s="569"/>
      <c r="HL241" s="569"/>
      <c r="HM241" s="569"/>
      <c r="HN241" s="569"/>
      <c r="HO241" s="569"/>
      <c r="HP241" s="569"/>
      <c r="HQ241" s="569"/>
      <c r="HR241" s="569"/>
      <c r="HS241" s="569"/>
      <c r="HT241" s="569"/>
      <c r="HU241" s="569"/>
      <c r="HV241" s="569"/>
      <c r="HW241" s="569"/>
      <c r="HX241" s="569"/>
      <c r="HY241" s="569"/>
      <c r="HZ241" s="569"/>
      <c r="IA241" s="569"/>
      <c r="IB241" s="569"/>
      <c r="IC241" s="569"/>
      <c r="ID241" s="569"/>
      <c r="IE241" s="569"/>
      <c r="IF241" s="569"/>
      <c r="IG241" s="569"/>
      <c r="IH241" s="569"/>
      <c r="II241" s="569"/>
      <c r="IJ241" s="569"/>
      <c r="IK241" s="569"/>
      <c r="IL241" s="569"/>
      <c r="IM241" s="569"/>
      <c r="IN241" s="569"/>
      <c r="IO241" s="569"/>
      <c r="IP241" s="569"/>
      <c r="IQ241" s="569"/>
      <c r="IR241" s="569"/>
      <c r="IS241" s="569"/>
      <c r="IT241" s="569"/>
      <c r="IU241" s="569"/>
      <c r="IV241" s="569"/>
      <c r="IW241" s="569"/>
      <c r="IX241" s="569"/>
      <c r="IY241" s="569"/>
      <c r="IZ241" s="569"/>
      <c r="JA241" s="569"/>
      <c r="JB241" s="569"/>
      <c r="JC241" s="569"/>
      <c r="JD241" s="569"/>
      <c r="JE241" s="569"/>
      <c r="JF241" s="569"/>
      <c r="JG241" s="569"/>
      <c r="JH241" s="569"/>
      <c r="JI241" s="569"/>
      <c r="JJ241" s="569"/>
      <c r="JK241" s="569"/>
      <c r="JL241" s="569"/>
      <c r="JM241" s="569"/>
      <c r="JN241" s="569"/>
      <c r="JO241" s="569"/>
      <c r="JP241" s="569"/>
      <c r="JQ241" s="569"/>
      <c r="JR241" s="569"/>
      <c r="JS241" s="569"/>
      <c r="JT241" s="569"/>
      <c r="JU241" s="569"/>
      <c r="JV241" s="569"/>
      <c r="JW241" s="569"/>
      <c r="JX241" s="569"/>
      <c r="JY241" s="569"/>
      <c r="JZ241" s="569"/>
      <c r="KA241" s="569"/>
      <c r="KB241" s="569"/>
      <c r="KC241" s="569"/>
      <c r="KD241" s="569"/>
      <c r="KE241" s="569"/>
      <c r="KF241" s="569"/>
      <c r="KG241" s="569"/>
      <c r="KH241" s="569"/>
      <c r="KI241" s="569"/>
      <c r="KJ241" s="569"/>
      <c r="KK241" s="569"/>
      <c r="KL241" s="569"/>
      <c r="KM241" s="569"/>
      <c r="KN241" s="569"/>
      <c r="KO241" s="569"/>
      <c r="KP241" s="569"/>
      <c r="KQ241" s="569"/>
      <c r="KR241" s="569"/>
      <c r="KS241" s="569"/>
      <c r="KT241" s="569"/>
      <c r="KU241" s="569"/>
      <c r="KV241" s="569"/>
      <c r="KW241" s="569"/>
      <c r="KX241" s="569"/>
      <c r="KY241" s="569"/>
      <c r="KZ241" s="569"/>
      <c r="LA241" s="569"/>
      <c r="LB241" s="569"/>
      <c r="LC241" s="569"/>
      <c r="LD241" s="569"/>
      <c r="LE241" s="569"/>
      <c r="LF241" s="569"/>
      <c r="LG241" s="569"/>
      <c r="LH241" s="569"/>
      <c r="LI241" s="569"/>
      <c r="LJ241" s="569"/>
      <c r="LK241" s="569"/>
      <c r="LL241" s="569"/>
      <c r="LM241" s="569"/>
      <c r="LN241" s="569"/>
      <c r="LO241" s="569"/>
      <c r="LP241" s="569"/>
      <c r="LQ241" s="569"/>
      <c r="LR241" s="569"/>
      <c r="LS241" s="569"/>
      <c r="LT241" s="569"/>
      <c r="LU241" s="569"/>
      <c r="LV241" s="569"/>
      <c r="LW241" s="569"/>
      <c r="LX241" s="569"/>
      <c r="LY241" s="569"/>
      <c r="LZ241" s="569"/>
      <c r="MA241" s="569"/>
      <c r="MB241" s="569"/>
      <c r="MC241" s="569"/>
      <c r="MD241" s="569"/>
      <c r="ME241" s="569"/>
      <c r="MF241" s="569"/>
      <c r="MG241" s="569"/>
      <c r="MH241" s="569"/>
      <c r="MI241" s="569"/>
      <c r="MJ241" s="569"/>
      <c r="MK241" s="569"/>
      <c r="ML241" s="569"/>
      <c r="MM241" s="569"/>
      <c r="MN241" s="569"/>
      <c r="MO241" s="569"/>
      <c r="MP241" s="569"/>
      <c r="MQ241" s="569"/>
      <c r="MR241" s="569"/>
      <c r="MS241" s="569"/>
      <c r="MT241" s="569"/>
      <c r="MU241" s="569"/>
      <c r="MV241" s="569"/>
      <c r="MW241" s="569"/>
      <c r="MX241" s="569"/>
      <c r="MY241" s="569"/>
      <c r="MZ241" s="569"/>
      <c r="NA241" s="569"/>
      <c r="NB241" s="569"/>
      <c r="NC241" s="569"/>
      <c r="ND241" s="569"/>
      <c r="NE241" s="569"/>
      <c r="NF241" s="569"/>
      <c r="NG241" s="569"/>
      <c r="NH241" s="569"/>
      <c r="NI241" s="569"/>
      <c r="NJ241" s="569"/>
      <c r="NK241" s="569"/>
      <c r="NL241" s="569"/>
      <c r="NM241" s="569"/>
      <c r="NN241" s="569"/>
      <c r="NO241" s="569"/>
      <c r="NP241" s="569"/>
      <c r="NQ241" s="569"/>
      <c r="NR241" s="569"/>
      <c r="NS241" s="569"/>
      <c r="NT241" s="569"/>
      <c r="NU241" s="569"/>
      <c r="NV241" s="569"/>
      <c r="NW241" s="569"/>
      <c r="NX241" s="569"/>
      <c r="NY241" s="569"/>
      <c r="NZ241" s="569"/>
      <c r="OA241" s="569"/>
      <c r="OB241" s="569"/>
      <c r="OC241" s="569"/>
      <c r="OD241" s="569"/>
      <c r="OE241" s="569"/>
      <c r="OF241" s="569"/>
      <c r="OG241" s="569"/>
      <c r="OH241" s="569"/>
      <c r="OI241" s="569"/>
      <c r="OJ241" s="569"/>
      <c r="OK241" s="569"/>
      <c r="OL241" s="569"/>
      <c r="OM241" s="569"/>
      <c r="ON241" s="569"/>
      <c r="OO241" s="569"/>
      <c r="OP241" s="569"/>
      <c r="OQ241" s="569"/>
      <c r="OR241" s="569"/>
      <c r="OS241" s="569"/>
      <c r="OT241" s="569"/>
      <c r="OU241" s="569"/>
      <c r="OV241" s="569"/>
      <c r="OW241" s="569"/>
      <c r="OX241" s="569"/>
      <c r="OY241" s="569"/>
      <c r="OZ241" s="569"/>
      <c r="PA241" s="569"/>
      <c r="PB241" s="569"/>
      <c r="PC241" s="569"/>
      <c r="PD241" s="569"/>
      <c r="PE241" s="569"/>
      <c r="PF241" s="569"/>
      <c r="PG241" s="569"/>
      <c r="PH241" s="569"/>
      <c r="PI241" s="569"/>
      <c r="PJ241" s="569"/>
      <c r="PK241" s="569"/>
      <c r="PL241" s="569"/>
      <c r="PM241" s="569"/>
      <c r="PN241" s="569"/>
      <c r="PO241" s="569"/>
      <c r="PP241" s="569"/>
      <c r="PQ241" s="569"/>
      <c r="PR241" s="569"/>
      <c r="PS241" s="569"/>
      <c r="PT241" s="569"/>
      <c r="PU241" s="569"/>
      <c r="PV241" s="569"/>
      <c r="PW241" s="569"/>
      <c r="PX241" s="569"/>
      <c r="PY241" s="569"/>
      <c r="PZ241" s="569"/>
      <c r="QA241" s="569"/>
      <c r="QB241" s="569"/>
      <c r="QC241" s="569"/>
      <c r="QD241" s="569"/>
      <c r="QE241" s="569"/>
      <c r="QF241" s="569"/>
      <c r="QG241" s="569"/>
      <c r="QH241" s="569"/>
      <c r="QI241" s="569"/>
      <c r="QJ241" s="569"/>
      <c r="QK241" s="569"/>
      <c r="QL241" s="569"/>
    </row>
    <row r="242" spans="1:454" s="574" customFormat="1" ht="30">
      <c r="A242" s="569"/>
      <c r="B242" s="575">
        <v>3</v>
      </c>
      <c r="C242" s="576" t="str">
        <f>'matrik MISI 3'!B6</f>
        <v>PEKERJAAN UMUM</v>
      </c>
      <c r="D242" s="577">
        <f>'matrik MISI 3'!J7</f>
        <v>1.03</v>
      </c>
      <c r="E242" s="577" t="str">
        <f>'matrik MISI 3'!K7</f>
        <v>xx</v>
      </c>
      <c r="F242" s="577">
        <f>'matrik MISI 3'!L7</f>
        <v>15</v>
      </c>
      <c r="G242" s="577" t="str">
        <f>'matrik MISI 3'!M7</f>
        <v>Program Pembangunan Jalan dan Jembatan</v>
      </c>
      <c r="H242" s="577"/>
      <c r="I242" s="577"/>
      <c r="J242" s="577"/>
      <c r="K242" s="577"/>
      <c r="L242" s="577"/>
      <c r="M242" s="578">
        <f>'jangan dihapus 2'!K288</f>
        <v>39236019300</v>
      </c>
      <c r="N242" s="578">
        <f>'jangan dihapus 2'!L288</f>
        <v>0</v>
      </c>
      <c r="O242" s="578">
        <f>'jangan dihapus 2'!M288</f>
        <v>44618667000</v>
      </c>
      <c r="P242" s="578">
        <f>'jangan dihapus 2'!N288</f>
        <v>0</v>
      </c>
      <c r="Q242" s="578">
        <f>'jangan dihapus 2'!O288</f>
        <v>40111398105</v>
      </c>
      <c r="R242" s="578">
        <f>'jangan dihapus 2'!P288</f>
        <v>0</v>
      </c>
      <c r="S242" s="578">
        <f>'jangan dihapus 2'!Q288</f>
        <v>45633821088</v>
      </c>
      <c r="T242" s="578">
        <f>'jangan dihapus 2'!R288</f>
        <v>0</v>
      </c>
      <c r="U242" s="578">
        <f>'jangan dihapus 2'!S288</f>
        <v>52544000000</v>
      </c>
      <c r="V242" s="577"/>
      <c r="W242" s="578">
        <f>SUM(M242:U242)</f>
        <v>222143905493</v>
      </c>
      <c r="X242" s="577"/>
      <c r="Y242" s="577"/>
      <c r="Z242" s="577"/>
      <c r="AA242" s="569"/>
      <c r="AB242" s="569"/>
      <c r="AC242" s="569"/>
      <c r="AD242" s="569"/>
      <c r="AE242" s="569"/>
      <c r="AF242" s="569"/>
      <c r="AG242" s="569"/>
      <c r="AH242" s="569"/>
      <c r="AI242" s="569"/>
      <c r="AJ242" s="569"/>
      <c r="AK242" s="569"/>
      <c r="AL242" s="569"/>
      <c r="AM242" s="569"/>
      <c r="AN242" s="569"/>
      <c r="AO242" s="569"/>
      <c r="AP242" s="569"/>
      <c r="AQ242" s="569"/>
      <c r="AR242" s="569"/>
      <c r="AS242" s="569"/>
      <c r="AT242" s="569"/>
      <c r="AU242" s="569"/>
      <c r="AV242" s="569"/>
      <c r="AW242" s="569"/>
      <c r="AX242" s="569"/>
      <c r="AY242" s="569"/>
      <c r="AZ242" s="569"/>
      <c r="BA242" s="569"/>
      <c r="BB242" s="569"/>
      <c r="BC242" s="569"/>
      <c r="BD242" s="569"/>
      <c r="BE242" s="569"/>
      <c r="BF242" s="569"/>
      <c r="BG242" s="569"/>
      <c r="BH242" s="569"/>
      <c r="BI242" s="569"/>
      <c r="BJ242" s="569"/>
      <c r="BK242" s="569"/>
      <c r="BL242" s="569"/>
      <c r="BM242" s="569"/>
      <c r="BN242" s="569"/>
      <c r="BO242" s="569"/>
      <c r="BP242" s="569"/>
      <c r="BQ242" s="569"/>
      <c r="BR242" s="569"/>
      <c r="BS242" s="569"/>
      <c r="BT242" s="569"/>
      <c r="BU242" s="569"/>
      <c r="BV242" s="569"/>
      <c r="BW242" s="569"/>
      <c r="BX242" s="569"/>
      <c r="BY242" s="569"/>
      <c r="BZ242" s="569"/>
      <c r="CA242" s="569"/>
      <c r="CB242" s="569"/>
      <c r="CC242" s="569"/>
      <c r="CD242" s="569"/>
      <c r="CE242" s="569"/>
      <c r="CF242" s="569"/>
      <c r="CG242" s="569"/>
      <c r="CH242" s="569"/>
      <c r="CI242" s="569"/>
      <c r="CJ242" s="569"/>
      <c r="CK242" s="569"/>
      <c r="CL242" s="569"/>
      <c r="CM242" s="569"/>
      <c r="CN242" s="569"/>
      <c r="CO242" s="569"/>
      <c r="CP242" s="569"/>
      <c r="CQ242" s="569"/>
      <c r="CR242" s="569"/>
      <c r="CS242" s="569"/>
      <c r="CT242" s="569"/>
      <c r="CU242" s="569"/>
      <c r="CV242" s="569"/>
      <c r="CW242" s="569"/>
      <c r="CX242" s="569"/>
      <c r="CY242" s="569"/>
      <c r="CZ242" s="569"/>
      <c r="DA242" s="569"/>
      <c r="DB242" s="569"/>
      <c r="DC242" s="569"/>
      <c r="DD242" s="569"/>
      <c r="DE242" s="569"/>
      <c r="DF242" s="569"/>
      <c r="DG242" s="569"/>
      <c r="DH242" s="569"/>
      <c r="DI242" s="569"/>
      <c r="DJ242" s="569"/>
      <c r="DK242" s="569"/>
      <c r="DL242" s="569"/>
      <c r="DM242" s="569"/>
      <c r="DN242" s="569"/>
      <c r="DO242" s="569"/>
      <c r="DP242" s="569"/>
      <c r="DQ242" s="569"/>
      <c r="DR242" s="569"/>
      <c r="DS242" s="569"/>
      <c r="DT242" s="569"/>
      <c r="DU242" s="569"/>
      <c r="DV242" s="569"/>
      <c r="DW242" s="569"/>
      <c r="DX242" s="569"/>
      <c r="DY242" s="569"/>
      <c r="DZ242" s="569"/>
      <c r="EA242" s="569"/>
      <c r="EB242" s="569"/>
      <c r="EC242" s="569"/>
      <c r="ED242" s="569"/>
      <c r="EE242" s="569"/>
      <c r="EF242" s="569"/>
      <c r="EG242" s="569"/>
      <c r="EH242" s="569"/>
      <c r="EI242" s="569"/>
      <c r="EJ242" s="569"/>
      <c r="EK242" s="569"/>
      <c r="EL242" s="569"/>
      <c r="EM242" s="569"/>
      <c r="EN242" s="569"/>
      <c r="EO242" s="569"/>
      <c r="EP242" s="569"/>
      <c r="EQ242" s="569"/>
      <c r="ER242" s="569"/>
      <c r="ES242" s="569"/>
      <c r="ET242" s="569"/>
      <c r="EU242" s="569"/>
      <c r="EV242" s="569"/>
      <c r="EW242" s="569"/>
      <c r="EX242" s="569"/>
      <c r="EY242" s="569"/>
      <c r="EZ242" s="569"/>
      <c r="FA242" s="569"/>
      <c r="FB242" s="569"/>
      <c r="FC242" s="569"/>
      <c r="FD242" s="569"/>
      <c r="FE242" s="569"/>
      <c r="FF242" s="569"/>
      <c r="FG242" s="569"/>
      <c r="FH242" s="569"/>
      <c r="FI242" s="569"/>
      <c r="FJ242" s="569"/>
      <c r="FK242" s="569"/>
      <c r="FL242" s="569"/>
      <c r="FM242" s="569"/>
      <c r="FN242" s="569"/>
      <c r="FO242" s="569"/>
      <c r="FP242" s="569"/>
      <c r="FQ242" s="569"/>
      <c r="FR242" s="569"/>
      <c r="FS242" s="569"/>
      <c r="FT242" s="569"/>
      <c r="FU242" s="569"/>
      <c r="FV242" s="569"/>
      <c r="FW242" s="569"/>
      <c r="FX242" s="569"/>
      <c r="FY242" s="569"/>
      <c r="FZ242" s="569"/>
      <c r="GA242" s="569"/>
      <c r="GB242" s="569"/>
      <c r="GC242" s="569"/>
      <c r="GD242" s="569"/>
      <c r="GE242" s="569"/>
      <c r="GF242" s="569"/>
      <c r="GG242" s="569"/>
      <c r="GH242" s="569"/>
      <c r="GI242" s="569"/>
      <c r="GJ242" s="569"/>
      <c r="GK242" s="569"/>
      <c r="GL242" s="569"/>
      <c r="GM242" s="569"/>
      <c r="GN242" s="569"/>
      <c r="GO242" s="569"/>
      <c r="GP242" s="569"/>
      <c r="GQ242" s="569"/>
      <c r="GR242" s="569"/>
      <c r="GS242" s="569"/>
      <c r="GT242" s="569"/>
      <c r="GU242" s="569"/>
      <c r="GV242" s="569"/>
      <c r="GW242" s="569"/>
      <c r="GX242" s="569"/>
      <c r="GY242" s="569"/>
      <c r="GZ242" s="569"/>
      <c r="HA242" s="569"/>
      <c r="HB242" s="569"/>
      <c r="HC242" s="569"/>
      <c r="HD242" s="569"/>
      <c r="HE242" s="569"/>
      <c r="HF242" s="569"/>
      <c r="HG242" s="569"/>
      <c r="HH242" s="569"/>
      <c r="HI242" s="569"/>
      <c r="HJ242" s="569"/>
      <c r="HK242" s="569"/>
      <c r="HL242" s="569"/>
      <c r="HM242" s="569"/>
      <c r="HN242" s="569"/>
      <c r="HO242" s="569"/>
      <c r="HP242" s="569"/>
      <c r="HQ242" s="569"/>
      <c r="HR242" s="569"/>
      <c r="HS242" s="569"/>
      <c r="HT242" s="569"/>
      <c r="HU242" s="569"/>
      <c r="HV242" s="569"/>
      <c r="HW242" s="569"/>
      <c r="HX242" s="569"/>
      <c r="HY242" s="569"/>
      <c r="HZ242" s="569"/>
      <c r="IA242" s="569"/>
      <c r="IB242" s="569"/>
      <c r="IC242" s="569"/>
      <c r="ID242" s="569"/>
      <c r="IE242" s="569"/>
      <c r="IF242" s="569"/>
      <c r="IG242" s="569"/>
      <c r="IH242" s="569"/>
      <c r="II242" s="569"/>
      <c r="IJ242" s="569"/>
      <c r="IK242" s="569"/>
      <c r="IL242" s="569"/>
      <c r="IM242" s="569"/>
      <c r="IN242" s="569"/>
      <c r="IO242" s="569"/>
      <c r="IP242" s="569"/>
      <c r="IQ242" s="569"/>
      <c r="IR242" s="569"/>
      <c r="IS242" s="569"/>
      <c r="IT242" s="569"/>
      <c r="IU242" s="569"/>
      <c r="IV242" s="569"/>
      <c r="IW242" s="569"/>
      <c r="IX242" s="569"/>
      <c r="IY242" s="569"/>
      <c r="IZ242" s="569"/>
      <c r="JA242" s="569"/>
      <c r="JB242" s="569"/>
      <c r="JC242" s="569"/>
      <c r="JD242" s="569"/>
      <c r="JE242" s="569"/>
      <c r="JF242" s="569"/>
      <c r="JG242" s="569"/>
      <c r="JH242" s="569"/>
      <c r="JI242" s="569"/>
      <c r="JJ242" s="569"/>
      <c r="JK242" s="569"/>
      <c r="JL242" s="569"/>
      <c r="JM242" s="569"/>
      <c r="JN242" s="569"/>
      <c r="JO242" s="569"/>
      <c r="JP242" s="569"/>
      <c r="JQ242" s="569"/>
      <c r="JR242" s="569"/>
      <c r="JS242" s="569"/>
      <c r="JT242" s="569"/>
      <c r="JU242" s="569"/>
      <c r="JV242" s="569"/>
      <c r="JW242" s="569"/>
      <c r="JX242" s="569"/>
      <c r="JY242" s="569"/>
      <c r="JZ242" s="569"/>
      <c r="KA242" s="569"/>
      <c r="KB242" s="569"/>
      <c r="KC242" s="569"/>
      <c r="KD242" s="569"/>
      <c r="KE242" s="569"/>
      <c r="KF242" s="569"/>
      <c r="KG242" s="569"/>
      <c r="KH242" s="569"/>
      <c r="KI242" s="569"/>
      <c r="KJ242" s="569"/>
      <c r="KK242" s="569"/>
      <c r="KL242" s="569"/>
      <c r="KM242" s="569"/>
      <c r="KN242" s="569"/>
      <c r="KO242" s="569"/>
      <c r="KP242" s="569"/>
      <c r="KQ242" s="569"/>
      <c r="KR242" s="569"/>
      <c r="KS242" s="569"/>
      <c r="KT242" s="569"/>
      <c r="KU242" s="569"/>
      <c r="KV242" s="569"/>
      <c r="KW242" s="569"/>
      <c r="KX242" s="569"/>
      <c r="KY242" s="569"/>
      <c r="KZ242" s="569"/>
      <c r="LA242" s="569"/>
      <c r="LB242" s="569"/>
      <c r="LC242" s="569"/>
      <c r="LD242" s="569"/>
      <c r="LE242" s="569"/>
      <c r="LF242" s="569"/>
      <c r="LG242" s="569"/>
      <c r="LH242" s="569"/>
      <c r="LI242" s="569"/>
      <c r="LJ242" s="569"/>
      <c r="LK242" s="569"/>
      <c r="LL242" s="569"/>
      <c r="LM242" s="569"/>
      <c r="LN242" s="569"/>
      <c r="LO242" s="569"/>
      <c r="LP242" s="569"/>
      <c r="LQ242" s="569"/>
      <c r="LR242" s="569"/>
      <c r="LS242" s="569"/>
      <c r="LT242" s="569"/>
      <c r="LU242" s="569"/>
      <c r="LV242" s="569"/>
      <c r="LW242" s="569"/>
      <c r="LX242" s="569"/>
      <c r="LY242" s="569"/>
      <c r="LZ242" s="569"/>
      <c r="MA242" s="569"/>
      <c r="MB242" s="569"/>
      <c r="MC242" s="569"/>
      <c r="MD242" s="569"/>
      <c r="ME242" s="569"/>
      <c r="MF242" s="569"/>
      <c r="MG242" s="569"/>
      <c r="MH242" s="569"/>
      <c r="MI242" s="569"/>
      <c r="MJ242" s="569"/>
      <c r="MK242" s="569"/>
      <c r="ML242" s="569"/>
      <c r="MM242" s="569"/>
      <c r="MN242" s="569"/>
      <c r="MO242" s="569"/>
      <c r="MP242" s="569"/>
      <c r="MQ242" s="569"/>
      <c r="MR242" s="569"/>
      <c r="MS242" s="569"/>
      <c r="MT242" s="569"/>
      <c r="MU242" s="569"/>
      <c r="MV242" s="569"/>
      <c r="MW242" s="569"/>
      <c r="MX242" s="569"/>
      <c r="MY242" s="569"/>
      <c r="MZ242" s="569"/>
      <c r="NA242" s="569"/>
      <c r="NB242" s="569"/>
      <c r="NC242" s="569"/>
      <c r="ND242" s="569"/>
      <c r="NE242" s="569"/>
      <c r="NF242" s="569"/>
      <c r="NG242" s="569"/>
      <c r="NH242" s="569"/>
      <c r="NI242" s="569"/>
      <c r="NJ242" s="569"/>
      <c r="NK242" s="569"/>
      <c r="NL242" s="569"/>
      <c r="NM242" s="569"/>
      <c r="NN242" s="569"/>
      <c r="NO242" s="569"/>
      <c r="NP242" s="569"/>
      <c r="NQ242" s="569"/>
      <c r="NR242" s="569"/>
      <c r="NS242" s="569"/>
      <c r="NT242" s="569"/>
      <c r="NU242" s="569"/>
      <c r="NV242" s="569"/>
      <c r="NW242" s="569"/>
      <c r="NX242" s="569"/>
      <c r="NY242" s="569"/>
      <c r="NZ242" s="569"/>
      <c r="OA242" s="569"/>
      <c r="OB242" s="569"/>
      <c r="OC242" s="569"/>
      <c r="OD242" s="569"/>
      <c r="OE242" s="569"/>
      <c r="OF242" s="569"/>
      <c r="OG242" s="569"/>
      <c r="OH242" s="569"/>
      <c r="OI242" s="569"/>
      <c r="OJ242" s="569"/>
      <c r="OK242" s="569"/>
      <c r="OL242" s="569"/>
      <c r="OM242" s="569"/>
      <c r="ON242" s="569"/>
      <c r="OO242" s="569"/>
      <c r="OP242" s="569"/>
      <c r="OQ242" s="569"/>
      <c r="OR242" s="569"/>
      <c r="OS242" s="569"/>
      <c r="OT242" s="569"/>
      <c r="OU242" s="569"/>
      <c r="OV242" s="569"/>
      <c r="OW242" s="569"/>
      <c r="OX242" s="569"/>
      <c r="OY242" s="569"/>
      <c r="OZ242" s="569"/>
      <c r="PA242" s="569"/>
      <c r="PB242" s="569"/>
      <c r="PC242" s="569"/>
      <c r="PD242" s="569"/>
      <c r="PE242" s="569"/>
      <c r="PF242" s="569"/>
      <c r="PG242" s="569"/>
      <c r="PH242" s="569"/>
      <c r="PI242" s="569"/>
      <c r="PJ242" s="569"/>
      <c r="PK242" s="569"/>
      <c r="PL242" s="569"/>
      <c r="PM242" s="569"/>
      <c r="PN242" s="569"/>
      <c r="PO242" s="569"/>
      <c r="PP242" s="569"/>
      <c r="PQ242" s="569"/>
      <c r="PR242" s="569"/>
      <c r="PS242" s="569"/>
      <c r="PT242" s="569"/>
      <c r="PU242" s="569"/>
      <c r="PV242" s="569"/>
      <c r="PW242" s="569"/>
      <c r="PX242" s="569"/>
      <c r="PY242" s="569"/>
      <c r="PZ242" s="569"/>
      <c r="QA242" s="569"/>
      <c r="QB242" s="569"/>
      <c r="QC242" s="569"/>
      <c r="QD242" s="569"/>
      <c r="QE242" s="569"/>
      <c r="QF242" s="569"/>
      <c r="QG242" s="569"/>
      <c r="QH242" s="569"/>
      <c r="QI242" s="569"/>
      <c r="QJ242" s="569"/>
      <c r="QK242" s="569"/>
      <c r="QL242" s="569"/>
    </row>
    <row r="243" spans="1:454" s="569" customFormat="1" ht="45">
      <c r="H243" s="565" t="str">
        <f>'matrik MISI 3'!N7</f>
        <v xml:space="preserve">Persentase Jalan yang Menjamin Pengguna Jalan Berkendara dengan Selamat </v>
      </c>
      <c r="I243" s="565" t="str">
        <f>'matrik MISI 3'!O7</f>
        <v>%</v>
      </c>
      <c r="J243" s="565">
        <f>'matrik MISI 3'!P7</f>
        <v>74.7</v>
      </c>
      <c r="K243" s="565">
        <f>'matrik MISI 3'!Q7</f>
        <v>69.7</v>
      </c>
      <c r="L243" s="565">
        <f>'matrik MISI 3'!R7</f>
        <v>70</v>
      </c>
      <c r="M243" s="604"/>
      <c r="N243" s="565">
        <f>'matrik MISI 3'!S7</f>
        <v>73</v>
      </c>
      <c r="O243" s="564"/>
      <c r="P243" s="565">
        <f>'matrik MISI 3'!T7</f>
        <v>76</v>
      </c>
      <c r="Q243" s="564"/>
      <c r="R243" s="565">
        <f>'matrik MISI 3'!U7</f>
        <v>79</v>
      </c>
      <c r="S243" s="564"/>
      <c r="T243" s="565">
        <f>'matrik MISI 3'!V7</f>
        <v>82</v>
      </c>
      <c r="U243" s="564"/>
      <c r="V243" s="565">
        <f>'matrik MISI 3'!W7</f>
        <v>82</v>
      </c>
      <c r="W243" s="564"/>
      <c r="X243" s="565" t="str">
        <f>'matrik MISI 3'!X7</f>
        <v>DPU dan DISHUBKOMINFO</v>
      </c>
      <c r="Y243" s="565" t="str">
        <f>'matrik MISI 3'!Y7</f>
        <v>jumlah panjang jalan kabupaten dalam kondisi baik dan memenuhi standart rambu lalu lintas /panjang jalan kabupaten</v>
      </c>
      <c r="Z243" s="565">
        <f>'matrik MISI 3'!Z7</f>
        <v>0</v>
      </c>
    </row>
    <row r="244" spans="1:454" ht="45">
      <c r="C244" s="561"/>
      <c r="D244" s="565"/>
      <c r="E244" s="565"/>
      <c r="F244" s="565"/>
      <c r="G244" s="565"/>
      <c r="H244" s="565" t="str">
        <f>'matrik MISI 3'!N8</f>
        <v>Persentase Jalan yang Menjamin Kendaraan dapat Berjalan dengan Selamat dan Nyaman</v>
      </c>
      <c r="I244" s="565" t="str">
        <f>'matrik MISI 3'!O8</f>
        <v>%</v>
      </c>
      <c r="J244" s="565">
        <f>'matrik MISI 3'!P8</f>
        <v>74.7</v>
      </c>
      <c r="K244" s="565">
        <f>'matrik MISI 3'!Q8</f>
        <v>69.7</v>
      </c>
      <c r="L244" s="565">
        <f>'matrik MISI 3'!R8</f>
        <v>70</v>
      </c>
      <c r="M244" s="604"/>
      <c r="N244" s="565">
        <f>'matrik MISI 3'!S8</f>
        <v>73</v>
      </c>
      <c r="O244" s="564"/>
      <c r="P244" s="565">
        <f>'matrik MISI 3'!T8</f>
        <v>76</v>
      </c>
      <c r="Q244" s="564"/>
      <c r="R244" s="565">
        <f>'matrik MISI 3'!U8</f>
        <v>79</v>
      </c>
      <c r="S244" s="564"/>
      <c r="T244" s="565">
        <f>'matrik MISI 3'!V8</f>
        <v>82</v>
      </c>
      <c r="U244" s="564"/>
      <c r="V244" s="565">
        <f>'matrik MISI 3'!W8</f>
        <v>82</v>
      </c>
      <c r="W244" s="564"/>
      <c r="X244" s="565" t="str">
        <f>'matrik MISI 3'!X8</f>
        <v>DPU dan DISHUBKOMINFO</v>
      </c>
      <c r="Y244" s="565" t="str">
        <f>'matrik MISI 3'!Y8</f>
        <v>jumlah panjang jalan kabupaten dalam kondisi baik dan memenuhi standart rambu lalu lintas /panjang jalan kabupaten</v>
      </c>
      <c r="Z244" s="565">
        <f>'matrik MISI 3'!Z8</f>
        <v>0</v>
      </c>
    </row>
    <row r="245" spans="1:454" ht="60">
      <c r="C245" s="561"/>
      <c r="D245" s="565"/>
      <c r="E245" s="565"/>
      <c r="F245" s="565"/>
      <c r="G245" s="565"/>
      <c r="H245" s="565" t="str">
        <f>'matrik MISI 3'!N9</f>
        <v>Persentase Jalan yang Menjamin Perjalanan dapat dilakukan Sesuai dengan Kecepatan Rencana</v>
      </c>
      <c r="I245" s="565" t="str">
        <f>'matrik MISI 3'!O9</f>
        <v>%</v>
      </c>
      <c r="J245" s="565">
        <f>'matrik MISI 3'!P9</f>
        <v>74.7</v>
      </c>
      <c r="K245" s="565">
        <f>'matrik MISI 3'!Q9</f>
        <v>69.7</v>
      </c>
      <c r="L245" s="565">
        <f>'matrik MISI 3'!R9</f>
        <v>70</v>
      </c>
      <c r="M245" s="604"/>
      <c r="N245" s="565">
        <f>'matrik MISI 3'!S9</f>
        <v>73</v>
      </c>
      <c r="O245" s="564"/>
      <c r="P245" s="565">
        <f>'matrik MISI 3'!T9</f>
        <v>76</v>
      </c>
      <c r="Q245" s="564"/>
      <c r="R245" s="565">
        <f>'matrik MISI 3'!U9</f>
        <v>79</v>
      </c>
      <c r="S245" s="564"/>
      <c r="T245" s="565">
        <f>'matrik MISI 3'!V9</f>
        <v>82</v>
      </c>
      <c r="U245" s="564"/>
      <c r="V245" s="565">
        <f>'matrik MISI 3'!W9</f>
        <v>82</v>
      </c>
      <c r="W245" s="564"/>
      <c r="X245" s="565" t="str">
        <f>'matrik MISI 3'!X9</f>
        <v>DPU dan DISHUBKOMINFO</v>
      </c>
      <c r="Y245" s="565" t="str">
        <f>'matrik MISI 3'!Y9</f>
        <v>jumlah panjang jalan kabupaten dalam kondisi baik dan memenuhi standart rambu lalu lintas /panjang jalan kabupaten</v>
      </c>
      <c r="Z245" s="565">
        <f>'matrik MISI 3'!Z9</f>
        <v>0</v>
      </c>
    </row>
    <row r="246" spans="1:454" ht="45">
      <c r="C246" s="561"/>
      <c r="D246" s="565"/>
      <c r="E246" s="565"/>
      <c r="F246" s="565"/>
      <c r="G246" s="565"/>
      <c r="H246" s="565" t="str">
        <f>'matrik MISI 3'!N12</f>
        <v>Tersedianya lahan untuk persiapan pembangunan jalan lingkar Kota Parakan</v>
      </c>
      <c r="I246" s="565" t="str">
        <f>'matrik MISI 3'!O12</f>
        <v>Hektar (Ha)</v>
      </c>
      <c r="J246" s="565" t="str">
        <f>'matrik MISI 3'!P12</f>
        <v xml:space="preserve"> -</v>
      </c>
      <c r="K246" s="565" t="str">
        <f>'matrik MISI 3'!Q12</f>
        <v xml:space="preserve"> -</v>
      </c>
      <c r="L246" s="565" t="str">
        <f>'matrik MISI 3'!R12</f>
        <v xml:space="preserve"> -</v>
      </c>
      <c r="M246" s="604"/>
      <c r="N246" s="565">
        <f>'matrik MISI 3'!S12</f>
        <v>2</v>
      </c>
      <c r="O246" s="564"/>
      <c r="P246" s="565">
        <f>'matrik MISI 3'!T12</f>
        <v>6</v>
      </c>
      <c r="Q246" s="564"/>
      <c r="R246" s="565">
        <f>'matrik MISI 3'!U12</f>
        <v>11</v>
      </c>
      <c r="S246" s="564"/>
      <c r="T246" s="565">
        <f>'matrik MISI 3'!V12</f>
        <v>19</v>
      </c>
      <c r="U246" s="564"/>
      <c r="V246" s="565">
        <f>'matrik MISI 3'!W12</f>
        <v>19</v>
      </c>
      <c r="W246" s="564"/>
      <c r="X246" s="565" t="str">
        <f>'matrik MISI 3'!X12</f>
        <v>DPU/ Bagian Pemerintahan Umum</v>
      </c>
      <c r="Y246" s="565" t="str">
        <f>'matrik MISI 3'!Y12</f>
        <v>panjang x lebar jalan yang direncanakan (10Km x 19m)</v>
      </c>
      <c r="Z246" s="565">
        <f>'matrik MISI 3'!Z12</f>
        <v>0</v>
      </c>
    </row>
    <row r="247" spans="1:454" s="574" customFormat="1" ht="45">
      <c r="A247" s="569"/>
      <c r="B247" s="575"/>
      <c r="C247" s="576"/>
      <c r="D247" s="577">
        <f>'matrik MISI 3'!J10</f>
        <v>1.03</v>
      </c>
      <c r="E247" s="577" t="str">
        <f>'matrik MISI 3'!K10</f>
        <v>xx</v>
      </c>
      <c r="F247" s="577">
        <f>'matrik MISI 3'!L10</f>
        <v>18</v>
      </c>
      <c r="G247" s="577" t="str">
        <f>'matrik MISI 3'!M10</f>
        <v>Program rehabilitasi/ pemeliharaan Jalan dan Jembatan</v>
      </c>
      <c r="H247" s="577"/>
      <c r="I247" s="577"/>
      <c r="J247" s="577"/>
      <c r="K247" s="577"/>
      <c r="L247" s="577"/>
      <c r="M247" s="578">
        <f>'jangan dihapus 2'!K302</f>
        <v>2746202500</v>
      </c>
      <c r="N247" s="578">
        <f>'jangan dihapus 2'!L302</f>
        <v>0</v>
      </c>
      <c r="O247" s="578">
        <f>'jangan dihapus 2'!M302</f>
        <v>4457818954</v>
      </c>
      <c r="P247" s="578">
        <f>'jangan dihapus 2'!N302</f>
        <v>0</v>
      </c>
      <c r="Q247" s="578">
        <f>'jangan dihapus 2'!O302</f>
        <v>4525030000</v>
      </c>
      <c r="R247" s="578">
        <f>'jangan dihapus 2'!P302</f>
        <v>0</v>
      </c>
      <c r="S247" s="578">
        <f>'jangan dihapus 2'!Q302</f>
        <v>4583201000</v>
      </c>
      <c r="T247" s="578">
        <f>'jangan dihapus 2'!R302</f>
        <v>0</v>
      </c>
      <c r="U247" s="578">
        <f>'jangan dihapus 2'!S302</f>
        <v>4837291200</v>
      </c>
      <c r="V247" s="577"/>
      <c r="W247" s="578">
        <f>SUM(M247:U247)</f>
        <v>21149543654</v>
      </c>
      <c r="X247" s="577"/>
      <c r="Y247" s="577"/>
      <c r="Z247" s="577"/>
      <c r="AA247" s="569"/>
      <c r="AB247" s="569"/>
      <c r="AC247" s="605">
        <f>500000000+O247</f>
        <v>4957818954</v>
      </c>
      <c r="AD247" s="569"/>
      <c r="AE247" s="569"/>
      <c r="AF247" s="569"/>
      <c r="AG247" s="569"/>
      <c r="AH247" s="569"/>
      <c r="AI247" s="569"/>
      <c r="AJ247" s="569"/>
      <c r="AK247" s="569"/>
      <c r="AL247" s="569"/>
      <c r="AM247" s="569"/>
      <c r="AN247" s="569"/>
      <c r="AO247" s="569"/>
      <c r="AP247" s="569"/>
      <c r="AQ247" s="569"/>
      <c r="AR247" s="569"/>
      <c r="AS247" s="569"/>
      <c r="AT247" s="569"/>
      <c r="AU247" s="569"/>
      <c r="AV247" s="569"/>
      <c r="AW247" s="569"/>
      <c r="AX247" s="569"/>
      <c r="AY247" s="569"/>
      <c r="AZ247" s="569"/>
      <c r="BA247" s="569"/>
      <c r="BB247" s="569"/>
      <c r="BC247" s="569"/>
      <c r="BD247" s="569"/>
      <c r="BE247" s="569"/>
      <c r="BF247" s="569"/>
      <c r="BG247" s="569"/>
      <c r="BH247" s="569"/>
      <c r="BI247" s="569"/>
      <c r="BJ247" s="569"/>
      <c r="BK247" s="569"/>
      <c r="BL247" s="569"/>
      <c r="BM247" s="569"/>
      <c r="BN247" s="569"/>
      <c r="BO247" s="569"/>
      <c r="BP247" s="569"/>
      <c r="BQ247" s="569"/>
      <c r="BR247" s="569"/>
      <c r="BS247" s="569"/>
      <c r="BT247" s="569"/>
      <c r="BU247" s="569"/>
      <c r="BV247" s="569"/>
      <c r="BW247" s="569"/>
      <c r="BX247" s="569"/>
      <c r="BY247" s="569"/>
      <c r="BZ247" s="569"/>
      <c r="CA247" s="569"/>
      <c r="CB247" s="569"/>
      <c r="CC247" s="569"/>
      <c r="CD247" s="569"/>
      <c r="CE247" s="569"/>
      <c r="CF247" s="569"/>
      <c r="CG247" s="569"/>
      <c r="CH247" s="569"/>
      <c r="CI247" s="569"/>
      <c r="CJ247" s="569"/>
      <c r="CK247" s="569"/>
      <c r="CL247" s="569"/>
      <c r="CM247" s="569"/>
      <c r="CN247" s="569"/>
      <c r="CO247" s="569"/>
      <c r="CP247" s="569"/>
      <c r="CQ247" s="569"/>
      <c r="CR247" s="569"/>
      <c r="CS247" s="569"/>
      <c r="CT247" s="569"/>
      <c r="CU247" s="569"/>
      <c r="CV247" s="569"/>
      <c r="CW247" s="569"/>
      <c r="CX247" s="569"/>
      <c r="CY247" s="569"/>
      <c r="CZ247" s="569"/>
      <c r="DA247" s="569"/>
      <c r="DB247" s="569"/>
      <c r="DC247" s="569"/>
      <c r="DD247" s="569"/>
      <c r="DE247" s="569"/>
      <c r="DF247" s="569"/>
      <c r="DG247" s="569"/>
      <c r="DH247" s="569"/>
      <c r="DI247" s="569"/>
      <c r="DJ247" s="569"/>
      <c r="DK247" s="569"/>
      <c r="DL247" s="569"/>
      <c r="DM247" s="569"/>
      <c r="DN247" s="569"/>
      <c r="DO247" s="569"/>
      <c r="DP247" s="569"/>
      <c r="DQ247" s="569"/>
      <c r="DR247" s="569"/>
      <c r="DS247" s="569"/>
      <c r="DT247" s="569"/>
      <c r="DU247" s="569"/>
      <c r="DV247" s="569"/>
      <c r="DW247" s="569"/>
      <c r="DX247" s="569"/>
      <c r="DY247" s="569"/>
      <c r="DZ247" s="569"/>
      <c r="EA247" s="569"/>
      <c r="EB247" s="569"/>
      <c r="EC247" s="569"/>
      <c r="ED247" s="569"/>
      <c r="EE247" s="569"/>
      <c r="EF247" s="569"/>
      <c r="EG247" s="569"/>
      <c r="EH247" s="569"/>
      <c r="EI247" s="569"/>
      <c r="EJ247" s="569"/>
      <c r="EK247" s="569"/>
      <c r="EL247" s="569"/>
      <c r="EM247" s="569"/>
      <c r="EN247" s="569"/>
      <c r="EO247" s="569"/>
      <c r="EP247" s="569"/>
      <c r="EQ247" s="569"/>
      <c r="ER247" s="569"/>
      <c r="ES247" s="569"/>
      <c r="ET247" s="569"/>
      <c r="EU247" s="569"/>
      <c r="EV247" s="569"/>
      <c r="EW247" s="569"/>
      <c r="EX247" s="569"/>
      <c r="EY247" s="569"/>
      <c r="EZ247" s="569"/>
      <c r="FA247" s="569"/>
      <c r="FB247" s="569"/>
      <c r="FC247" s="569"/>
      <c r="FD247" s="569"/>
      <c r="FE247" s="569"/>
      <c r="FF247" s="569"/>
      <c r="FG247" s="569"/>
      <c r="FH247" s="569"/>
      <c r="FI247" s="569"/>
      <c r="FJ247" s="569"/>
      <c r="FK247" s="569"/>
      <c r="FL247" s="569"/>
      <c r="FM247" s="569"/>
      <c r="FN247" s="569"/>
      <c r="FO247" s="569"/>
      <c r="FP247" s="569"/>
      <c r="FQ247" s="569"/>
      <c r="FR247" s="569"/>
      <c r="FS247" s="569"/>
      <c r="FT247" s="569"/>
      <c r="FU247" s="569"/>
      <c r="FV247" s="569"/>
      <c r="FW247" s="569"/>
      <c r="FX247" s="569"/>
      <c r="FY247" s="569"/>
      <c r="FZ247" s="569"/>
      <c r="GA247" s="569"/>
      <c r="GB247" s="569"/>
      <c r="GC247" s="569"/>
      <c r="GD247" s="569"/>
      <c r="GE247" s="569"/>
      <c r="GF247" s="569"/>
      <c r="GG247" s="569"/>
      <c r="GH247" s="569"/>
      <c r="GI247" s="569"/>
      <c r="GJ247" s="569"/>
      <c r="GK247" s="569"/>
      <c r="GL247" s="569"/>
      <c r="GM247" s="569"/>
      <c r="GN247" s="569"/>
      <c r="GO247" s="569"/>
      <c r="GP247" s="569"/>
      <c r="GQ247" s="569"/>
      <c r="GR247" s="569"/>
      <c r="GS247" s="569"/>
      <c r="GT247" s="569"/>
      <c r="GU247" s="569"/>
      <c r="GV247" s="569"/>
      <c r="GW247" s="569"/>
      <c r="GX247" s="569"/>
      <c r="GY247" s="569"/>
      <c r="GZ247" s="569"/>
      <c r="HA247" s="569"/>
      <c r="HB247" s="569"/>
      <c r="HC247" s="569"/>
      <c r="HD247" s="569"/>
      <c r="HE247" s="569"/>
      <c r="HF247" s="569"/>
      <c r="HG247" s="569"/>
      <c r="HH247" s="569"/>
      <c r="HI247" s="569"/>
      <c r="HJ247" s="569"/>
      <c r="HK247" s="569"/>
      <c r="HL247" s="569"/>
      <c r="HM247" s="569"/>
      <c r="HN247" s="569"/>
      <c r="HO247" s="569"/>
      <c r="HP247" s="569"/>
      <c r="HQ247" s="569"/>
      <c r="HR247" s="569"/>
      <c r="HS247" s="569"/>
      <c r="HT247" s="569"/>
      <c r="HU247" s="569"/>
      <c r="HV247" s="569"/>
      <c r="HW247" s="569"/>
      <c r="HX247" s="569"/>
      <c r="HY247" s="569"/>
      <c r="HZ247" s="569"/>
      <c r="IA247" s="569"/>
      <c r="IB247" s="569"/>
      <c r="IC247" s="569"/>
      <c r="ID247" s="569"/>
      <c r="IE247" s="569"/>
      <c r="IF247" s="569"/>
      <c r="IG247" s="569"/>
      <c r="IH247" s="569"/>
      <c r="II247" s="569"/>
      <c r="IJ247" s="569"/>
      <c r="IK247" s="569"/>
      <c r="IL247" s="569"/>
      <c r="IM247" s="569"/>
      <c r="IN247" s="569"/>
      <c r="IO247" s="569"/>
      <c r="IP247" s="569"/>
      <c r="IQ247" s="569"/>
      <c r="IR247" s="569"/>
      <c r="IS247" s="569"/>
      <c r="IT247" s="569"/>
      <c r="IU247" s="569"/>
      <c r="IV247" s="569"/>
      <c r="IW247" s="569"/>
      <c r="IX247" s="569"/>
      <c r="IY247" s="569"/>
      <c r="IZ247" s="569"/>
      <c r="JA247" s="569"/>
      <c r="JB247" s="569"/>
      <c r="JC247" s="569"/>
      <c r="JD247" s="569"/>
      <c r="JE247" s="569"/>
      <c r="JF247" s="569"/>
      <c r="JG247" s="569"/>
      <c r="JH247" s="569"/>
      <c r="JI247" s="569"/>
      <c r="JJ247" s="569"/>
      <c r="JK247" s="569"/>
      <c r="JL247" s="569"/>
      <c r="JM247" s="569"/>
      <c r="JN247" s="569"/>
      <c r="JO247" s="569"/>
      <c r="JP247" s="569"/>
      <c r="JQ247" s="569"/>
      <c r="JR247" s="569"/>
      <c r="JS247" s="569"/>
      <c r="JT247" s="569"/>
      <c r="JU247" s="569"/>
      <c r="JV247" s="569"/>
      <c r="JW247" s="569"/>
      <c r="JX247" s="569"/>
      <c r="JY247" s="569"/>
      <c r="JZ247" s="569"/>
      <c r="KA247" s="569"/>
      <c r="KB247" s="569"/>
      <c r="KC247" s="569"/>
      <c r="KD247" s="569"/>
      <c r="KE247" s="569"/>
      <c r="KF247" s="569"/>
      <c r="KG247" s="569"/>
      <c r="KH247" s="569"/>
      <c r="KI247" s="569"/>
      <c r="KJ247" s="569"/>
      <c r="KK247" s="569"/>
      <c r="KL247" s="569"/>
      <c r="KM247" s="569"/>
      <c r="KN247" s="569"/>
      <c r="KO247" s="569"/>
      <c r="KP247" s="569"/>
      <c r="KQ247" s="569"/>
      <c r="KR247" s="569"/>
      <c r="KS247" s="569"/>
      <c r="KT247" s="569"/>
      <c r="KU247" s="569"/>
      <c r="KV247" s="569"/>
      <c r="KW247" s="569"/>
      <c r="KX247" s="569"/>
      <c r="KY247" s="569"/>
      <c r="KZ247" s="569"/>
      <c r="LA247" s="569"/>
      <c r="LB247" s="569"/>
      <c r="LC247" s="569"/>
      <c r="LD247" s="569"/>
      <c r="LE247" s="569"/>
      <c r="LF247" s="569"/>
      <c r="LG247" s="569"/>
      <c r="LH247" s="569"/>
      <c r="LI247" s="569"/>
      <c r="LJ247" s="569"/>
      <c r="LK247" s="569"/>
      <c r="LL247" s="569"/>
      <c r="LM247" s="569"/>
      <c r="LN247" s="569"/>
      <c r="LO247" s="569"/>
      <c r="LP247" s="569"/>
      <c r="LQ247" s="569"/>
      <c r="LR247" s="569"/>
      <c r="LS247" s="569"/>
      <c r="LT247" s="569"/>
      <c r="LU247" s="569"/>
      <c r="LV247" s="569"/>
      <c r="LW247" s="569"/>
      <c r="LX247" s="569"/>
      <c r="LY247" s="569"/>
      <c r="LZ247" s="569"/>
      <c r="MA247" s="569"/>
      <c r="MB247" s="569"/>
      <c r="MC247" s="569"/>
      <c r="MD247" s="569"/>
      <c r="ME247" s="569"/>
      <c r="MF247" s="569"/>
      <c r="MG247" s="569"/>
      <c r="MH247" s="569"/>
      <c r="MI247" s="569"/>
      <c r="MJ247" s="569"/>
      <c r="MK247" s="569"/>
      <c r="ML247" s="569"/>
      <c r="MM247" s="569"/>
      <c r="MN247" s="569"/>
      <c r="MO247" s="569"/>
      <c r="MP247" s="569"/>
      <c r="MQ247" s="569"/>
      <c r="MR247" s="569"/>
      <c r="MS247" s="569"/>
      <c r="MT247" s="569"/>
      <c r="MU247" s="569"/>
      <c r="MV247" s="569"/>
      <c r="MW247" s="569"/>
      <c r="MX247" s="569"/>
      <c r="MY247" s="569"/>
      <c r="MZ247" s="569"/>
      <c r="NA247" s="569"/>
      <c r="NB247" s="569"/>
      <c r="NC247" s="569"/>
      <c r="ND247" s="569"/>
      <c r="NE247" s="569"/>
      <c r="NF247" s="569"/>
      <c r="NG247" s="569"/>
      <c r="NH247" s="569"/>
      <c r="NI247" s="569"/>
      <c r="NJ247" s="569"/>
      <c r="NK247" s="569"/>
      <c r="NL247" s="569"/>
      <c r="NM247" s="569"/>
      <c r="NN247" s="569"/>
      <c r="NO247" s="569"/>
      <c r="NP247" s="569"/>
      <c r="NQ247" s="569"/>
      <c r="NR247" s="569"/>
      <c r="NS247" s="569"/>
      <c r="NT247" s="569"/>
      <c r="NU247" s="569"/>
      <c r="NV247" s="569"/>
      <c r="NW247" s="569"/>
      <c r="NX247" s="569"/>
      <c r="NY247" s="569"/>
      <c r="NZ247" s="569"/>
      <c r="OA247" s="569"/>
      <c r="OB247" s="569"/>
      <c r="OC247" s="569"/>
      <c r="OD247" s="569"/>
      <c r="OE247" s="569"/>
      <c r="OF247" s="569"/>
      <c r="OG247" s="569"/>
      <c r="OH247" s="569"/>
      <c r="OI247" s="569"/>
      <c r="OJ247" s="569"/>
      <c r="OK247" s="569"/>
      <c r="OL247" s="569"/>
      <c r="OM247" s="569"/>
      <c r="ON247" s="569"/>
      <c r="OO247" s="569"/>
      <c r="OP247" s="569"/>
      <c r="OQ247" s="569"/>
      <c r="OR247" s="569"/>
      <c r="OS247" s="569"/>
      <c r="OT247" s="569"/>
      <c r="OU247" s="569"/>
      <c r="OV247" s="569"/>
      <c r="OW247" s="569"/>
      <c r="OX247" s="569"/>
      <c r="OY247" s="569"/>
      <c r="OZ247" s="569"/>
      <c r="PA247" s="569"/>
      <c r="PB247" s="569"/>
      <c r="PC247" s="569"/>
      <c r="PD247" s="569"/>
      <c r="PE247" s="569"/>
      <c r="PF247" s="569"/>
      <c r="PG247" s="569"/>
      <c r="PH247" s="569"/>
      <c r="PI247" s="569"/>
      <c r="PJ247" s="569"/>
      <c r="PK247" s="569"/>
      <c r="PL247" s="569"/>
      <c r="PM247" s="569"/>
      <c r="PN247" s="569"/>
      <c r="PO247" s="569"/>
      <c r="PP247" s="569"/>
      <c r="PQ247" s="569"/>
      <c r="PR247" s="569"/>
      <c r="PS247" s="569"/>
      <c r="PT247" s="569"/>
      <c r="PU247" s="569"/>
      <c r="PV247" s="569"/>
      <c r="PW247" s="569"/>
      <c r="PX247" s="569"/>
      <c r="PY247" s="569"/>
      <c r="PZ247" s="569"/>
      <c r="QA247" s="569"/>
      <c r="QB247" s="569"/>
      <c r="QC247" s="569"/>
      <c r="QD247" s="569"/>
      <c r="QE247" s="569"/>
      <c r="QF247" s="569"/>
      <c r="QG247" s="569"/>
      <c r="QH247" s="569"/>
      <c r="QI247" s="569"/>
      <c r="QJ247" s="569"/>
      <c r="QK247" s="569"/>
      <c r="QL247" s="569"/>
    </row>
    <row r="248" spans="1:454" ht="30">
      <c r="C248" s="561"/>
      <c r="D248" s="568"/>
      <c r="E248" s="568"/>
      <c r="F248" s="568"/>
      <c r="G248" s="568"/>
      <c r="H248" s="565" t="str">
        <f>'matrik MISI 3'!N10</f>
        <v>Persentase Jalan yang Kondisi Baik</v>
      </c>
      <c r="I248" s="565" t="str">
        <f>'matrik MISI 3'!O10</f>
        <v>%</v>
      </c>
      <c r="J248" s="565">
        <f>'matrik MISI 3'!P10</f>
        <v>65</v>
      </c>
      <c r="K248" s="565">
        <f>'matrik MISI 3'!Q10</f>
        <v>68</v>
      </c>
      <c r="L248" s="565">
        <f>'matrik MISI 3'!R10</f>
        <v>70</v>
      </c>
      <c r="M248" s="604"/>
      <c r="N248" s="565">
        <f>'matrik MISI 3'!S10</f>
        <v>73</v>
      </c>
      <c r="O248" s="564"/>
      <c r="P248" s="565">
        <f>'matrik MISI 3'!T10</f>
        <v>76</v>
      </c>
      <c r="Q248" s="564"/>
      <c r="R248" s="565">
        <f>'matrik MISI 3'!U10</f>
        <v>79</v>
      </c>
      <c r="S248" s="564"/>
      <c r="T248" s="565">
        <f>'matrik MISI 3'!V10</f>
        <v>82</v>
      </c>
      <c r="U248" s="564"/>
      <c r="V248" s="565">
        <f>'matrik MISI 3'!W10</f>
        <v>82</v>
      </c>
      <c r="W248" s="564"/>
      <c r="X248" s="565" t="str">
        <f>'matrik MISI 3'!X10</f>
        <v>DPU</v>
      </c>
      <c r="Y248" s="565" t="str">
        <f>'matrik MISI 3'!Y10</f>
        <v>jumlah jalan kabupaten kondisi baik dan sedang/ jumlah jalan kabupaten yang ada x 100 %</v>
      </c>
      <c r="Z248" s="565">
        <f>'matrik MISI 3'!Z10</f>
        <v>0</v>
      </c>
      <c r="AC248" s="605">
        <f>500000000+Q247</f>
        <v>5025030000</v>
      </c>
    </row>
    <row r="249" spans="1:454" ht="30">
      <c r="C249" s="561"/>
      <c r="D249" s="565"/>
      <c r="E249" s="565"/>
      <c r="F249" s="565"/>
      <c r="G249" s="565"/>
      <c r="H249" s="565" t="str">
        <f>'matrik MISI 3'!N11</f>
        <v>Persentase Jembatan yang Kondisi Baik</v>
      </c>
      <c r="I249" s="565" t="str">
        <f>'matrik MISI 3'!O11</f>
        <v>%</v>
      </c>
      <c r="J249" s="565">
        <f>'matrik MISI 3'!P11</f>
        <v>70</v>
      </c>
      <c r="K249" s="565">
        <f>'matrik MISI 3'!Q11</f>
        <v>71</v>
      </c>
      <c r="L249" s="565">
        <f>'matrik MISI 3'!R11</f>
        <v>76</v>
      </c>
      <c r="M249" s="604"/>
      <c r="N249" s="565">
        <f>'matrik MISI 3'!S11</f>
        <v>81</v>
      </c>
      <c r="O249" s="564"/>
      <c r="P249" s="565">
        <f>'matrik MISI 3'!T11</f>
        <v>84</v>
      </c>
      <c r="Q249" s="564"/>
      <c r="R249" s="565">
        <f>'matrik MISI 3'!U11</f>
        <v>87</v>
      </c>
      <c r="S249" s="564"/>
      <c r="T249" s="565">
        <f>'matrik MISI 3'!V11</f>
        <v>90</v>
      </c>
      <c r="U249" s="564"/>
      <c r="V249" s="565">
        <f>'matrik MISI 3'!W11</f>
        <v>90</v>
      </c>
      <c r="W249" s="564"/>
      <c r="X249" s="565" t="str">
        <f>'matrik MISI 3'!X11</f>
        <v>DPU</v>
      </c>
      <c r="Y249" s="565" t="str">
        <f>'matrik MISI 3'!Y11</f>
        <v>jumlah jalan kondisi baik dan sedang/ jumlah jalan yang ada x 100 %</v>
      </c>
      <c r="Z249" s="565">
        <f>'matrik MISI 3'!Z11</f>
        <v>0</v>
      </c>
    </row>
    <row r="250" spans="1:454" s="574" customFormat="1" ht="44.25" customHeight="1">
      <c r="A250" s="569"/>
      <c r="B250" s="575"/>
      <c r="C250" s="576"/>
      <c r="D250" s="577" t="str">
        <f>'matrik MISI 3'!J13</f>
        <v>1.03</v>
      </c>
      <c r="E250" s="577" t="str">
        <f>'matrik MISI 3'!K13</f>
        <v>xx</v>
      </c>
      <c r="F250" s="577">
        <f>'matrik MISI 3'!L13</f>
        <v>23</v>
      </c>
      <c r="G250" s="577" t="str">
        <f>'matrik MISI 3'!M13</f>
        <v xml:space="preserve">Program peningkatan sarana dan prasarana kebinamargaan </v>
      </c>
      <c r="H250" s="577"/>
      <c r="I250" s="577"/>
      <c r="J250" s="577"/>
      <c r="K250" s="577"/>
      <c r="L250" s="577"/>
      <c r="M250" s="578">
        <f>'jangan dihapus 2'!K299</f>
        <v>1330500000</v>
      </c>
      <c r="N250" s="578">
        <f>'jangan dihapus 2'!L299</f>
        <v>0</v>
      </c>
      <c r="O250" s="578">
        <f>'jangan dihapus 2'!M299</f>
        <v>1409029000</v>
      </c>
      <c r="P250" s="578">
        <f>'jangan dihapus 2'!N299</f>
        <v>0</v>
      </c>
      <c r="Q250" s="578">
        <f>'jangan dihapus 2'!O299</f>
        <v>1979986800</v>
      </c>
      <c r="R250" s="578">
        <f>'jangan dihapus 2'!P299</f>
        <v>0</v>
      </c>
      <c r="S250" s="578">
        <f>'jangan dihapus 2'!Q299</f>
        <v>2575984160</v>
      </c>
      <c r="T250" s="578">
        <f>'jangan dihapus 2'!R299</f>
        <v>0</v>
      </c>
      <c r="U250" s="578">
        <f>'jangan dihapus 2'!S299</f>
        <v>2691180992</v>
      </c>
      <c r="V250" s="577"/>
      <c r="W250" s="578">
        <f>SUM(M250:U250)</f>
        <v>9986680952</v>
      </c>
      <c r="X250" s="577"/>
      <c r="Y250" s="577"/>
      <c r="Z250" s="577"/>
      <c r="AA250" s="569"/>
      <c r="AB250" s="569"/>
      <c r="AC250" s="569"/>
      <c r="AD250" s="569"/>
      <c r="AE250" s="569"/>
      <c r="AF250" s="569"/>
      <c r="AG250" s="569"/>
      <c r="AH250" s="569"/>
      <c r="AI250" s="569"/>
      <c r="AJ250" s="569"/>
      <c r="AK250" s="569"/>
      <c r="AL250" s="569"/>
      <c r="AM250" s="569"/>
      <c r="AN250" s="569"/>
      <c r="AO250" s="569"/>
      <c r="AP250" s="569"/>
      <c r="AQ250" s="569"/>
      <c r="AR250" s="569"/>
      <c r="AS250" s="569"/>
      <c r="AT250" s="569"/>
      <c r="AU250" s="569"/>
      <c r="AV250" s="569"/>
      <c r="AW250" s="569"/>
      <c r="AX250" s="569"/>
      <c r="AY250" s="569"/>
      <c r="AZ250" s="569"/>
      <c r="BA250" s="569"/>
      <c r="BB250" s="569"/>
      <c r="BC250" s="569"/>
      <c r="BD250" s="569"/>
      <c r="BE250" s="569"/>
      <c r="BF250" s="569"/>
      <c r="BG250" s="569"/>
      <c r="BH250" s="569"/>
      <c r="BI250" s="569"/>
      <c r="BJ250" s="569"/>
      <c r="BK250" s="569"/>
      <c r="BL250" s="569"/>
      <c r="BM250" s="569"/>
      <c r="BN250" s="569"/>
      <c r="BO250" s="569"/>
      <c r="BP250" s="569"/>
      <c r="BQ250" s="569"/>
      <c r="BR250" s="569"/>
      <c r="BS250" s="569"/>
      <c r="BT250" s="569"/>
      <c r="BU250" s="569"/>
      <c r="BV250" s="569"/>
      <c r="BW250" s="569"/>
      <c r="BX250" s="569"/>
      <c r="BY250" s="569"/>
      <c r="BZ250" s="569"/>
      <c r="CA250" s="569"/>
      <c r="CB250" s="569"/>
      <c r="CC250" s="569"/>
      <c r="CD250" s="569"/>
      <c r="CE250" s="569"/>
      <c r="CF250" s="569"/>
      <c r="CG250" s="569"/>
      <c r="CH250" s="569"/>
      <c r="CI250" s="569"/>
      <c r="CJ250" s="569"/>
      <c r="CK250" s="569"/>
      <c r="CL250" s="569"/>
      <c r="CM250" s="569"/>
      <c r="CN250" s="569"/>
      <c r="CO250" s="569"/>
      <c r="CP250" s="569"/>
      <c r="CQ250" s="569"/>
      <c r="CR250" s="569"/>
      <c r="CS250" s="569"/>
      <c r="CT250" s="569"/>
      <c r="CU250" s="569"/>
      <c r="CV250" s="569"/>
      <c r="CW250" s="569"/>
      <c r="CX250" s="569"/>
      <c r="CY250" s="569"/>
      <c r="CZ250" s="569"/>
      <c r="DA250" s="569"/>
      <c r="DB250" s="569"/>
      <c r="DC250" s="569"/>
      <c r="DD250" s="569"/>
      <c r="DE250" s="569"/>
      <c r="DF250" s="569"/>
      <c r="DG250" s="569"/>
      <c r="DH250" s="569"/>
      <c r="DI250" s="569"/>
      <c r="DJ250" s="569"/>
      <c r="DK250" s="569"/>
      <c r="DL250" s="569"/>
      <c r="DM250" s="569"/>
      <c r="DN250" s="569"/>
      <c r="DO250" s="569"/>
      <c r="DP250" s="569"/>
      <c r="DQ250" s="569"/>
      <c r="DR250" s="569"/>
      <c r="DS250" s="569"/>
      <c r="DT250" s="569"/>
      <c r="DU250" s="569"/>
      <c r="DV250" s="569"/>
      <c r="DW250" s="569"/>
      <c r="DX250" s="569"/>
      <c r="DY250" s="569"/>
      <c r="DZ250" s="569"/>
      <c r="EA250" s="569"/>
      <c r="EB250" s="569"/>
      <c r="EC250" s="569"/>
      <c r="ED250" s="569"/>
      <c r="EE250" s="569"/>
      <c r="EF250" s="569"/>
      <c r="EG250" s="569"/>
      <c r="EH250" s="569"/>
      <c r="EI250" s="569"/>
      <c r="EJ250" s="569"/>
      <c r="EK250" s="569"/>
      <c r="EL250" s="569"/>
      <c r="EM250" s="569"/>
      <c r="EN250" s="569"/>
      <c r="EO250" s="569"/>
      <c r="EP250" s="569"/>
      <c r="EQ250" s="569"/>
      <c r="ER250" s="569"/>
      <c r="ES250" s="569"/>
      <c r="ET250" s="569"/>
      <c r="EU250" s="569"/>
      <c r="EV250" s="569"/>
      <c r="EW250" s="569"/>
      <c r="EX250" s="569"/>
      <c r="EY250" s="569"/>
      <c r="EZ250" s="569"/>
      <c r="FA250" s="569"/>
      <c r="FB250" s="569"/>
      <c r="FC250" s="569"/>
      <c r="FD250" s="569"/>
      <c r="FE250" s="569"/>
      <c r="FF250" s="569"/>
      <c r="FG250" s="569"/>
      <c r="FH250" s="569"/>
      <c r="FI250" s="569"/>
      <c r="FJ250" s="569"/>
      <c r="FK250" s="569"/>
      <c r="FL250" s="569"/>
      <c r="FM250" s="569"/>
      <c r="FN250" s="569"/>
      <c r="FO250" s="569"/>
      <c r="FP250" s="569"/>
      <c r="FQ250" s="569"/>
      <c r="FR250" s="569"/>
      <c r="FS250" s="569"/>
      <c r="FT250" s="569"/>
      <c r="FU250" s="569"/>
      <c r="FV250" s="569"/>
      <c r="FW250" s="569"/>
      <c r="FX250" s="569"/>
      <c r="FY250" s="569"/>
      <c r="FZ250" s="569"/>
      <c r="GA250" s="569"/>
      <c r="GB250" s="569"/>
      <c r="GC250" s="569"/>
      <c r="GD250" s="569"/>
      <c r="GE250" s="569"/>
      <c r="GF250" s="569"/>
      <c r="GG250" s="569"/>
      <c r="GH250" s="569"/>
      <c r="GI250" s="569"/>
      <c r="GJ250" s="569"/>
      <c r="GK250" s="569"/>
      <c r="GL250" s="569"/>
      <c r="GM250" s="569"/>
      <c r="GN250" s="569"/>
      <c r="GO250" s="569"/>
      <c r="GP250" s="569"/>
      <c r="GQ250" s="569"/>
      <c r="GR250" s="569"/>
      <c r="GS250" s="569"/>
      <c r="GT250" s="569"/>
      <c r="GU250" s="569"/>
      <c r="GV250" s="569"/>
      <c r="GW250" s="569"/>
      <c r="GX250" s="569"/>
      <c r="GY250" s="569"/>
      <c r="GZ250" s="569"/>
      <c r="HA250" s="569"/>
      <c r="HB250" s="569"/>
      <c r="HC250" s="569"/>
      <c r="HD250" s="569"/>
      <c r="HE250" s="569"/>
      <c r="HF250" s="569"/>
      <c r="HG250" s="569"/>
      <c r="HH250" s="569"/>
      <c r="HI250" s="569"/>
      <c r="HJ250" s="569"/>
      <c r="HK250" s="569"/>
      <c r="HL250" s="569"/>
      <c r="HM250" s="569"/>
      <c r="HN250" s="569"/>
      <c r="HO250" s="569"/>
      <c r="HP250" s="569"/>
      <c r="HQ250" s="569"/>
      <c r="HR250" s="569"/>
      <c r="HS250" s="569"/>
      <c r="HT250" s="569"/>
      <c r="HU250" s="569"/>
      <c r="HV250" s="569"/>
      <c r="HW250" s="569"/>
      <c r="HX250" s="569"/>
      <c r="HY250" s="569"/>
      <c r="HZ250" s="569"/>
      <c r="IA250" s="569"/>
      <c r="IB250" s="569"/>
      <c r="IC250" s="569"/>
      <c r="ID250" s="569"/>
      <c r="IE250" s="569"/>
      <c r="IF250" s="569"/>
      <c r="IG250" s="569"/>
      <c r="IH250" s="569"/>
      <c r="II250" s="569"/>
      <c r="IJ250" s="569"/>
      <c r="IK250" s="569"/>
      <c r="IL250" s="569"/>
      <c r="IM250" s="569"/>
      <c r="IN250" s="569"/>
      <c r="IO250" s="569"/>
      <c r="IP250" s="569"/>
      <c r="IQ250" s="569"/>
      <c r="IR250" s="569"/>
      <c r="IS250" s="569"/>
      <c r="IT250" s="569"/>
      <c r="IU250" s="569"/>
      <c r="IV250" s="569"/>
      <c r="IW250" s="569"/>
      <c r="IX250" s="569"/>
      <c r="IY250" s="569"/>
      <c r="IZ250" s="569"/>
      <c r="JA250" s="569"/>
      <c r="JB250" s="569"/>
      <c r="JC250" s="569"/>
      <c r="JD250" s="569"/>
      <c r="JE250" s="569"/>
      <c r="JF250" s="569"/>
      <c r="JG250" s="569"/>
      <c r="JH250" s="569"/>
      <c r="JI250" s="569"/>
      <c r="JJ250" s="569"/>
      <c r="JK250" s="569"/>
      <c r="JL250" s="569"/>
      <c r="JM250" s="569"/>
      <c r="JN250" s="569"/>
      <c r="JO250" s="569"/>
      <c r="JP250" s="569"/>
      <c r="JQ250" s="569"/>
      <c r="JR250" s="569"/>
      <c r="JS250" s="569"/>
      <c r="JT250" s="569"/>
      <c r="JU250" s="569"/>
      <c r="JV250" s="569"/>
      <c r="JW250" s="569"/>
      <c r="JX250" s="569"/>
      <c r="JY250" s="569"/>
      <c r="JZ250" s="569"/>
      <c r="KA250" s="569"/>
      <c r="KB250" s="569"/>
      <c r="KC250" s="569"/>
      <c r="KD250" s="569"/>
      <c r="KE250" s="569"/>
      <c r="KF250" s="569"/>
      <c r="KG250" s="569"/>
      <c r="KH250" s="569"/>
      <c r="KI250" s="569"/>
      <c r="KJ250" s="569"/>
      <c r="KK250" s="569"/>
      <c r="KL250" s="569"/>
      <c r="KM250" s="569"/>
      <c r="KN250" s="569"/>
      <c r="KO250" s="569"/>
      <c r="KP250" s="569"/>
      <c r="KQ250" s="569"/>
      <c r="KR250" s="569"/>
      <c r="KS250" s="569"/>
      <c r="KT250" s="569"/>
      <c r="KU250" s="569"/>
      <c r="KV250" s="569"/>
      <c r="KW250" s="569"/>
      <c r="KX250" s="569"/>
      <c r="KY250" s="569"/>
      <c r="KZ250" s="569"/>
      <c r="LA250" s="569"/>
      <c r="LB250" s="569"/>
      <c r="LC250" s="569"/>
      <c r="LD250" s="569"/>
      <c r="LE250" s="569"/>
      <c r="LF250" s="569"/>
      <c r="LG250" s="569"/>
      <c r="LH250" s="569"/>
      <c r="LI250" s="569"/>
      <c r="LJ250" s="569"/>
      <c r="LK250" s="569"/>
      <c r="LL250" s="569"/>
      <c r="LM250" s="569"/>
      <c r="LN250" s="569"/>
      <c r="LO250" s="569"/>
      <c r="LP250" s="569"/>
      <c r="LQ250" s="569"/>
      <c r="LR250" s="569"/>
      <c r="LS250" s="569"/>
      <c r="LT250" s="569"/>
      <c r="LU250" s="569"/>
      <c r="LV250" s="569"/>
      <c r="LW250" s="569"/>
      <c r="LX250" s="569"/>
      <c r="LY250" s="569"/>
      <c r="LZ250" s="569"/>
      <c r="MA250" s="569"/>
      <c r="MB250" s="569"/>
      <c r="MC250" s="569"/>
      <c r="MD250" s="569"/>
      <c r="ME250" s="569"/>
      <c r="MF250" s="569"/>
      <c r="MG250" s="569"/>
      <c r="MH250" s="569"/>
      <c r="MI250" s="569"/>
      <c r="MJ250" s="569"/>
      <c r="MK250" s="569"/>
      <c r="ML250" s="569"/>
      <c r="MM250" s="569"/>
      <c r="MN250" s="569"/>
      <c r="MO250" s="569"/>
      <c r="MP250" s="569"/>
      <c r="MQ250" s="569"/>
      <c r="MR250" s="569"/>
      <c r="MS250" s="569"/>
      <c r="MT250" s="569"/>
      <c r="MU250" s="569"/>
      <c r="MV250" s="569"/>
      <c r="MW250" s="569"/>
      <c r="MX250" s="569"/>
      <c r="MY250" s="569"/>
      <c r="MZ250" s="569"/>
      <c r="NA250" s="569"/>
      <c r="NB250" s="569"/>
      <c r="NC250" s="569"/>
      <c r="ND250" s="569"/>
      <c r="NE250" s="569"/>
      <c r="NF250" s="569"/>
      <c r="NG250" s="569"/>
      <c r="NH250" s="569"/>
      <c r="NI250" s="569"/>
      <c r="NJ250" s="569"/>
      <c r="NK250" s="569"/>
      <c r="NL250" s="569"/>
      <c r="NM250" s="569"/>
      <c r="NN250" s="569"/>
      <c r="NO250" s="569"/>
      <c r="NP250" s="569"/>
      <c r="NQ250" s="569"/>
      <c r="NR250" s="569"/>
      <c r="NS250" s="569"/>
      <c r="NT250" s="569"/>
      <c r="NU250" s="569"/>
      <c r="NV250" s="569"/>
      <c r="NW250" s="569"/>
      <c r="NX250" s="569"/>
      <c r="NY250" s="569"/>
      <c r="NZ250" s="569"/>
      <c r="OA250" s="569"/>
      <c r="OB250" s="569"/>
      <c r="OC250" s="569"/>
      <c r="OD250" s="569"/>
      <c r="OE250" s="569"/>
      <c r="OF250" s="569"/>
      <c r="OG250" s="569"/>
      <c r="OH250" s="569"/>
      <c r="OI250" s="569"/>
      <c r="OJ250" s="569"/>
      <c r="OK250" s="569"/>
      <c r="OL250" s="569"/>
      <c r="OM250" s="569"/>
      <c r="ON250" s="569"/>
      <c r="OO250" s="569"/>
      <c r="OP250" s="569"/>
      <c r="OQ250" s="569"/>
      <c r="OR250" s="569"/>
      <c r="OS250" s="569"/>
      <c r="OT250" s="569"/>
      <c r="OU250" s="569"/>
      <c r="OV250" s="569"/>
      <c r="OW250" s="569"/>
      <c r="OX250" s="569"/>
      <c r="OY250" s="569"/>
      <c r="OZ250" s="569"/>
      <c r="PA250" s="569"/>
      <c r="PB250" s="569"/>
      <c r="PC250" s="569"/>
      <c r="PD250" s="569"/>
      <c r="PE250" s="569"/>
      <c r="PF250" s="569"/>
      <c r="PG250" s="569"/>
      <c r="PH250" s="569"/>
      <c r="PI250" s="569"/>
      <c r="PJ250" s="569"/>
      <c r="PK250" s="569"/>
      <c r="PL250" s="569"/>
      <c r="PM250" s="569"/>
      <c r="PN250" s="569"/>
      <c r="PO250" s="569"/>
      <c r="PP250" s="569"/>
      <c r="PQ250" s="569"/>
      <c r="PR250" s="569"/>
      <c r="PS250" s="569"/>
      <c r="PT250" s="569"/>
      <c r="PU250" s="569"/>
      <c r="PV250" s="569"/>
      <c r="PW250" s="569"/>
      <c r="PX250" s="569"/>
      <c r="PY250" s="569"/>
      <c r="PZ250" s="569"/>
      <c r="QA250" s="569"/>
      <c r="QB250" s="569"/>
      <c r="QC250" s="569"/>
      <c r="QD250" s="569"/>
      <c r="QE250" s="569"/>
      <c r="QF250" s="569"/>
      <c r="QG250" s="569"/>
      <c r="QH250" s="569"/>
      <c r="QI250" s="569"/>
      <c r="QJ250" s="569"/>
      <c r="QK250" s="569"/>
      <c r="QL250" s="569"/>
    </row>
    <row r="251" spans="1:454" ht="49.5" customHeight="1">
      <c r="C251" s="561"/>
      <c r="D251" s="568"/>
      <c r="E251" s="568"/>
      <c r="F251" s="568"/>
      <c r="G251" s="568"/>
      <c r="H251" s="565" t="str">
        <f>'matrik MISI 3'!N13</f>
        <v>Persentase Tersedianya Alat Berat dengan Kondisi Baik</v>
      </c>
      <c r="I251" s="565" t="str">
        <f>'matrik MISI 3'!O13</f>
        <v>%</v>
      </c>
      <c r="J251" s="565">
        <f>'matrik MISI 3'!P13</f>
        <v>67</v>
      </c>
      <c r="K251" s="565">
        <f>'matrik MISI 3'!Q13</f>
        <v>67</v>
      </c>
      <c r="L251" s="565">
        <f>'matrik MISI 3'!R13</f>
        <v>70</v>
      </c>
      <c r="M251" s="604"/>
      <c r="N251" s="565">
        <f>'matrik MISI 3'!S13</f>
        <v>76</v>
      </c>
      <c r="O251" s="564"/>
      <c r="P251" s="565">
        <f>'matrik MISI 3'!T13</f>
        <v>80</v>
      </c>
      <c r="Q251" s="564"/>
      <c r="R251" s="565">
        <f>'matrik MISI 3'!U13</f>
        <v>80</v>
      </c>
      <c r="S251" s="564"/>
      <c r="T251" s="565">
        <f>'matrik MISI 3'!V13</f>
        <v>85</v>
      </c>
      <c r="U251" s="564"/>
      <c r="V251" s="565">
        <f>'matrik MISI 3'!W13</f>
        <v>85</v>
      </c>
      <c r="W251" s="564"/>
      <c r="X251" s="565" t="str">
        <f>'matrik MISI 3'!X13</f>
        <v>DPU</v>
      </c>
      <c r="Y251" s="565" t="str">
        <f>'matrik MISI 3'!Y13</f>
        <v>Jumlah alat berat dalam kondisi baik dibagi jumlah alat berat yang ada x 100</v>
      </c>
      <c r="Z251" s="565">
        <f>'matrik MISI 3'!Z13</f>
        <v>0</v>
      </c>
    </row>
    <row r="252" spans="1:454" s="574" customFormat="1" ht="49.5" customHeight="1">
      <c r="A252" s="569"/>
      <c r="B252" s="575"/>
      <c r="C252" s="576"/>
      <c r="D252" s="577" t="str">
        <f>'matrik MISI 3'!J14</f>
        <v>1.03</v>
      </c>
      <c r="E252" s="577" t="str">
        <f>'matrik MISI 3'!K14</f>
        <v>xx</v>
      </c>
      <c r="F252" s="577">
        <f>'matrik MISI 3'!L14</f>
        <v>24</v>
      </c>
      <c r="G252" s="577" t="str">
        <f>'matrik MISI 3'!M14</f>
        <v xml:space="preserve">Program pengembangan dan pengelolaan jaringan irigasi, rawa dan jaringan pengairan lainnya </v>
      </c>
      <c r="H252" s="577"/>
      <c r="I252" s="577"/>
      <c r="J252" s="577"/>
      <c r="K252" s="577"/>
      <c r="L252" s="577"/>
      <c r="M252" s="578">
        <f>'jangan dihapus 2'!K312</f>
        <v>6989047900</v>
      </c>
      <c r="N252" s="578">
        <f>'jangan dihapus 2'!L312</f>
        <v>0</v>
      </c>
      <c r="O252" s="578">
        <f>'jangan dihapus 2'!M312</f>
        <v>10609452201</v>
      </c>
      <c r="P252" s="578">
        <f>'jangan dihapus 2'!N312</f>
        <v>0</v>
      </c>
      <c r="Q252" s="578">
        <f>'jangan dihapus 2'!O312</f>
        <v>12566011900</v>
      </c>
      <c r="R252" s="578">
        <f>'jangan dihapus 2'!P312</f>
        <v>0</v>
      </c>
      <c r="S252" s="578">
        <f>'jangan dihapus 2'!Q312</f>
        <v>15281976260</v>
      </c>
      <c r="T252" s="578">
        <f>'jangan dihapus 2'!R312</f>
        <v>0</v>
      </c>
      <c r="U252" s="578">
        <f>'jangan dihapus 2'!S312</f>
        <v>16785519701</v>
      </c>
      <c r="V252" s="577"/>
      <c r="W252" s="578">
        <f>SUM(M252:U252)</f>
        <v>62232007962</v>
      </c>
      <c r="X252" s="577"/>
      <c r="Y252" s="577"/>
      <c r="Z252" s="577"/>
      <c r="AA252" s="569"/>
      <c r="AB252" s="569"/>
      <c r="AC252" s="569"/>
      <c r="AD252" s="569"/>
      <c r="AE252" s="569"/>
      <c r="AF252" s="569"/>
      <c r="AG252" s="569"/>
      <c r="AH252" s="569"/>
      <c r="AI252" s="569"/>
      <c r="AJ252" s="569"/>
      <c r="AK252" s="569"/>
      <c r="AL252" s="569"/>
      <c r="AM252" s="569"/>
      <c r="AN252" s="569"/>
      <c r="AO252" s="569"/>
      <c r="AP252" s="569"/>
      <c r="AQ252" s="569"/>
      <c r="AR252" s="569"/>
      <c r="AS252" s="569"/>
      <c r="AT252" s="569"/>
      <c r="AU252" s="569"/>
      <c r="AV252" s="569"/>
      <c r="AW252" s="569"/>
      <c r="AX252" s="569"/>
      <c r="AY252" s="569"/>
      <c r="AZ252" s="569"/>
      <c r="BA252" s="569"/>
      <c r="BB252" s="569"/>
      <c r="BC252" s="569"/>
      <c r="BD252" s="569"/>
      <c r="BE252" s="569"/>
      <c r="BF252" s="569"/>
      <c r="BG252" s="569"/>
      <c r="BH252" s="569"/>
      <c r="BI252" s="569"/>
      <c r="BJ252" s="569"/>
      <c r="BK252" s="569"/>
      <c r="BL252" s="569"/>
      <c r="BM252" s="569"/>
      <c r="BN252" s="569"/>
      <c r="BO252" s="569"/>
      <c r="BP252" s="569"/>
      <c r="BQ252" s="569"/>
      <c r="BR252" s="569"/>
      <c r="BS252" s="569"/>
      <c r="BT252" s="569"/>
      <c r="BU252" s="569"/>
      <c r="BV252" s="569"/>
      <c r="BW252" s="569"/>
      <c r="BX252" s="569"/>
      <c r="BY252" s="569"/>
      <c r="BZ252" s="569"/>
      <c r="CA252" s="569"/>
      <c r="CB252" s="569"/>
      <c r="CC252" s="569"/>
      <c r="CD252" s="569"/>
      <c r="CE252" s="569"/>
      <c r="CF252" s="569"/>
      <c r="CG252" s="569"/>
      <c r="CH252" s="569"/>
      <c r="CI252" s="569"/>
      <c r="CJ252" s="569"/>
      <c r="CK252" s="569"/>
      <c r="CL252" s="569"/>
      <c r="CM252" s="569"/>
      <c r="CN252" s="569"/>
      <c r="CO252" s="569"/>
      <c r="CP252" s="569"/>
      <c r="CQ252" s="569"/>
      <c r="CR252" s="569"/>
      <c r="CS252" s="569"/>
      <c r="CT252" s="569"/>
      <c r="CU252" s="569"/>
      <c r="CV252" s="569"/>
      <c r="CW252" s="569"/>
      <c r="CX252" s="569"/>
      <c r="CY252" s="569"/>
      <c r="CZ252" s="569"/>
      <c r="DA252" s="569"/>
      <c r="DB252" s="569"/>
      <c r="DC252" s="569"/>
      <c r="DD252" s="569"/>
      <c r="DE252" s="569"/>
      <c r="DF252" s="569"/>
      <c r="DG252" s="569"/>
      <c r="DH252" s="569"/>
      <c r="DI252" s="569"/>
      <c r="DJ252" s="569"/>
      <c r="DK252" s="569"/>
      <c r="DL252" s="569"/>
      <c r="DM252" s="569"/>
      <c r="DN252" s="569"/>
      <c r="DO252" s="569"/>
      <c r="DP252" s="569"/>
      <c r="DQ252" s="569"/>
      <c r="DR252" s="569"/>
      <c r="DS252" s="569"/>
      <c r="DT252" s="569"/>
      <c r="DU252" s="569"/>
      <c r="DV252" s="569"/>
      <c r="DW252" s="569"/>
      <c r="DX252" s="569"/>
      <c r="DY252" s="569"/>
      <c r="DZ252" s="569"/>
      <c r="EA252" s="569"/>
      <c r="EB252" s="569"/>
      <c r="EC252" s="569"/>
      <c r="ED252" s="569"/>
      <c r="EE252" s="569"/>
      <c r="EF252" s="569"/>
      <c r="EG252" s="569"/>
      <c r="EH252" s="569"/>
      <c r="EI252" s="569"/>
      <c r="EJ252" s="569"/>
      <c r="EK252" s="569"/>
      <c r="EL252" s="569"/>
      <c r="EM252" s="569"/>
      <c r="EN252" s="569"/>
      <c r="EO252" s="569"/>
      <c r="EP252" s="569"/>
      <c r="EQ252" s="569"/>
      <c r="ER252" s="569"/>
      <c r="ES252" s="569"/>
      <c r="ET252" s="569"/>
      <c r="EU252" s="569"/>
      <c r="EV252" s="569"/>
      <c r="EW252" s="569"/>
      <c r="EX252" s="569"/>
      <c r="EY252" s="569"/>
      <c r="EZ252" s="569"/>
      <c r="FA252" s="569"/>
      <c r="FB252" s="569"/>
      <c r="FC252" s="569"/>
      <c r="FD252" s="569"/>
      <c r="FE252" s="569"/>
      <c r="FF252" s="569"/>
      <c r="FG252" s="569"/>
      <c r="FH252" s="569"/>
      <c r="FI252" s="569"/>
      <c r="FJ252" s="569"/>
      <c r="FK252" s="569"/>
      <c r="FL252" s="569"/>
      <c r="FM252" s="569"/>
      <c r="FN252" s="569"/>
      <c r="FO252" s="569"/>
      <c r="FP252" s="569"/>
      <c r="FQ252" s="569"/>
      <c r="FR252" s="569"/>
      <c r="FS252" s="569"/>
      <c r="FT252" s="569"/>
      <c r="FU252" s="569"/>
      <c r="FV252" s="569"/>
      <c r="FW252" s="569"/>
      <c r="FX252" s="569"/>
      <c r="FY252" s="569"/>
      <c r="FZ252" s="569"/>
      <c r="GA252" s="569"/>
      <c r="GB252" s="569"/>
      <c r="GC252" s="569"/>
      <c r="GD252" s="569"/>
      <c r="GE252" s="569"/>
      <c r="GF252" s="569"/>
      <c r="GG252" s="569"/>
      <c r="GH252" s="569"/>
      <c r="GI252" s="569"/>
      <c r="GJ252" s="569"/>
      <c r="GK252" s="569"/>
      <c r="GL252" s="569"/>
      <c r="GM252" s="569"/>
      <c r="GN252" s="569"/>
      <c r="GO252" s="569"/>
      <c r="GP252" s="569"/>
      <c r="GQ252" s="569"/>
      <c r="GR252" s="569"/>
      <c r="GS252" s="569"/>
      <c r="GT252" s="569"/>
      <c r="GU252" s="569"/>
      <c r="GV252" s="569"/>
      <c r="GW252" s="569"/>
      <c r="GX252" s="569"/>
      <c r="GY252" s="569"/>
      <c r="GZ252" s="569"/>
      <c r="HA252" s="569"/>
      <c r="HB252" s="569"/>
      <c r="HC252" s="569"/>
      <c r="HD252" s="569"/>
      <c r="HE252" s="569"/>
      <c r="HF252" s="569"/>
      <c r="HG252" s="569"/>
      <c r="HH252" s="569"/>
      <c r="HI252" s="569"/>
      <c r="HJ252" s="569"/>
      <c r="HK252" s="569"/>
      <c r="HL252" s="569"/>
      <c r="HM252" s="569"/>
      <c r="HN252" s="569"/>
      <c r="HO252" s="569"/>
      <c r="HP252" s="569"/>
      <c r="HQ252" s="569"/>
      <c r="HR252" s="569"/>
      <c r="HS252" s="569"/>
      <c r="HT252" s="569"/>
      <c r="HU252" s="569"/>
      <c r="HV252" s="569"/>
      <c r="HW252" s="569"/>
      <c r="HX252" s="569"/>
      <c r="HY252" s="569"/>
      <c r="HZ252" s="569"/>
      <c r="IA252" s="569"/>
      <c r="IB252" s="569"/>
      <c r="IC252" s="569"/>
      <c r="ID252" s="569"/>
      <c r="IE252" s="569"/>
      <c r="IF252" s="569"/>
      <c r="IG252" s="569"/>
      <c r="IH252" s="569"/>
      <c r="II252" s="569"/>
      <c r="IJ252" s="569"/>
      <c r="IK252" s="569"/>
      <c r="IL252" s="569"/>
      <c r="IM252" s="569"/>
      <c r="IN252" s="569"/>
      <c r="IO252" s="569"/>
      <c r="IP252" s="569"/>
      <c r="IQ252" s="569"/>
      <c r="IR252" s="569"/>
      <c r="IS252" s="569"/>
      <c r="IT252" s="569"/>
      <c r="IU252" s="569"/>
      <c r="IV252" s="569"/>
      <c r="IW252" s="569"/>
      <c r="IX252" s="569"/>
      <c r="IY252" s="569"/>
      <c r="IZ252" s="569"/>
      <c r="JA252" s="569"/>
      <c r="JB252" s="569"/>
      <c r="JC252" s="569"/>
      <c r="JD252" s="569"/>
      <c r="JE252" s="569"/>
      <c r="JF252" s="569"/>
      <c r="JG252" s="569"/>
      <c r="JH252" s="569"/>
      <c r="JI252" s="569"/>
      <c r="JJ252" s="569"/>
      <c r="JK252" s="569"/>
      <c r="JL252" s="569"/>
      <c r="JM252" s="569"/>
      <c r="JN252" s="569"/>
      <c r="JO252" s="569"/>
      <c r="JP252" s="569"/>
      <c r="JQ252" s="569"/>
      <c r="JR252" s="569"/>
      <c r="JS252" s="569"/>
      <c r="JT252" s="569"/>
      <c r="JU252" s="569"/>
      <c r="JV252" s="569"/>
      <c r="JW252" s="569"/>
      <c r="JX252" s="569"/>
      <c r="JY252" s="569"/>
      <c r="JZ252" s="569"/>
      <c r="KA252" s="569"/>
      <c r="KB252" s="569"/>
      <c r="KC252" s="569"/>
      <c r="KD252" s="569"/>
      <c r="KE252" s="569"/>
      <c r="KF252" s="569"/>
      <c r="KG252" s="569"/>
      <c r="KH252" s="569"/>
      <c r="KI252" s="569"/>
      <c r="KJ252" s="569"/>
      <c r="KK252" s="569"/>
      <c r="KL252" s="569"/>
      <c r="KM252" s="569"/>
      <c r="KN252" s="569"/>
      <c r="KO252" s="569"/>
      <c r="KP252" s="569"/>
      <c r="KQ252" s="569"/>
      <c r="KR252" s="569"/>
      <c r="KS252" s="569"/>
      <c r="KT252" s="569"/>
      <c r="KU252" s="569"/>
      <c r="KV252" s="569"/>
      <c r="KW252" s="569"/>
      <c r="KX252" s="569"/>
      <c r="KY252" s="569"/>
      <c r="KZ252" s="569"/>
      <c r="LA252" s="569"/>
      <c r="LB252" s="569"/>
      <c r="LC252" s="569"/>
      <c r="LD252" s="569"/>
      <c r="LE252" s="569"/>
      <c r="LF252" s="569"/>
      <c r="LG252" s="569"/>
      <c r="LH252" s="569"/>
      <c r="LI252" s="569"/>
      <c r="LJ252" s="569"/>
      <c r="LK252" s="569"/>
      <c r="LL252" s="569"/>
      <c r="LM252" s="569"/>
      <c r="LN252" s="569"/>
      <c r="LO252" s="569"/>
      <c r="LP252" s="569"/>
      <c r="LQ252" s="569"/>
      <c r="LR252" s="569"/>
      <c r="LS252" s="569"/>
      <c r="LT252" s="569"/>
      <c r="LU252" s="569"/>
      <c r="LV252" s="569"/>
      <c r="LW252" s="569"/>
      <c r="LX252" s="569"/>
      <c r="LY252" s="569"/>
      <c r="LZ252" s="569"/>
      <c r="MA252" s="569"/>
      <c r="MB252" s="569"/>
      <c r="MC252" s="569"/>
      <c r="MD252" s="569"/>
      <c r="ME252" s="569"/>
      <c r="MF252" s="569"/>
      <c r="MG252" s="569"/>
      <c r="MH252" s="569"/>
      <c r="MI252" s="569"/>
      <c r="MJ252" s="569"/>
      <c r="MK252" s="569"/>
      <c r="ML252" s="569"/>
      <c r="MM252" s="569"/>
      <c r="MN252" s="569"/>
      <c r="MO252" s="569"/>
      <c r="MP252" s="569"/>
      <c r="MQ252" s="569"/>
      <c r="MR252" s="569"/>
      <c r="MS252" s="569"/>
      <c r="MT252" s="569"/>
      <c r="MU252" s="569"/>
      <c r="MV252" s="569"/>
      <c r="MW252" s="569"/>
      <c r="MX252" s="569"/>
      <c r="MY252" s="569"/>
      <c r="MZ252" s="569"/>
      <c r="NA252" s="569"/>
      <c r="NB252" s="569"/>
      <c r="NC252" s="569"/>
      <c r="ND252" s="569"/>
      <c r="NE252" s="569"/>
      <c r="NF252" s="569"/>
      <c r="NG252" s="569"/>
      <c r="NH252" s="569"/>
      <c r="NI252" s="569"/>
      <c r="NJ252" s="569"/>
      <c r="NK252" s="569"/>
      <c r="NL252" s="569"/>
      <c r="NM252" s="569"/>
      <c r="NN252" s="569"/>
      <c r="NO252" s="569"/>
      <c r="NP252" s="569"/>
      <c r="NQ252" s="569"/>
      <c r="NR252" s="569"/>
      <c r="NS252" s="569"/>
      <c r="NT252" s="569"/>
      <c r="NU252" s="569"/>
      <c r="NV252" s="569"/>
      <c r="NW252" s="569"/>
      <c r="NX252" s="569"/>
      <c r="NY252" s="569"/>
      <c r="NZ252" s="569"/>
      <c r="OA252" s="569"/>
      <c r="OB252" s="569"/>
      <c r="OC252" s="569"/>
      <c r="OD252" s="569"/>
      <c r="OE252" s="569"/>
      <c r="OF252" s="569"/>
      <c r="OG252" s="569"/>
      <c r="OH252" s="569"/>
      <c r="OI252" s="569"/>
      <c r="OJ252" s="569"/>
      <c r="OK252" s="569"/>
      <c r="OL252" s="569"/>
      <c r="OM252" s="569"/>
      <c r="ON252" s="569"/>
      <c r="OO252" s="569"/>
      <c r="OP252" s="569"/>
      <c r="OQ252" s="569"/>
      <c r="OR252" s="569"/>
      <c r="OS252" s="569"/>
      <c r="OT252" s="569"/>
      <c r="OU252" s="569"/>
      <c r="OV252" s="569"/>
      <c r="OW252" s="569"/>
      <c r="OX252" s="569"/>
      <c r="OY252" s="569"/>
      <c r="OZ252" s="569"/>
      <c r="PA252" s="569"/>
      <c r="PB252" s="569"/>
      <c r="PC252" s="569"/>
      <c r="PD252" s="569"/>
      <c r="PE252" s="569"/>
      <c r="PF252" s="569"/>
      <c r="PG252" s="569"/>
      <c r="PH252" s="569"/>
      <c r="PI252" s="569"/>
      <c r="PJ252" s="569"/>
      <c r="PK252" s="569"/>
      <c r="PL252" s="569"/>
      <c r="PM252" s="569"/>
      <c r="PN252" s="569"/>
      <c r="PO252" s="569"/>
      <c r="PP252" s="569"/>
      <c r="PQ252" s="569"/>
      <c r="PR252" s="569"/>
      <c r="PS252" s="569"/>
      <c r="PT252" s="569"/>
      <c r="PU252" s="569"/>
      <c r="PV252" s="569"/>
      <c r="PW252" s="569"/>
      <c r="PX252" s="569"/>
      <c r="PY252" s="569"/>
      <c r="PZ252" s="569"/>
      <c r="QA252" s="569"/>
      <c r="QB252" s="569"/>
      <c r="QC252" s="569"/>
      <c r="QD252" s="569"/>
      <c r="QE252" s="569"/>
      <c r="QF252" s="569"/>
      <c r="QG252" s="569"/>
      <c r="QH252" s="569"/>
      <c r="QI252" s="569"/>
      <c r="QJ252" s="569"/>
      <c r="QK252" s="569"/>
      <c r="QL252" s="569"/>
    </row>
    <row r="253" spans="1:454" ht="30">
      <c r="C253" s="561"/>
      <c r="D253" s="568"/>
      <c r="E253" s="568"/>
      <c r="F253" s="568"/>
      <c r="G253" s="568"/>
      <c r="H253" s="565" t="str">
        <f>'matrik MISI 3'!N14</f>
        <v>Tersedianya air irigasi pada sistim irigasi yang sudah ada</v>
      </c>
      <c r="I253" s="565" t="str">
        <f>'matrik MISI 3'!O14</f>
        <v>%</v>
      </c>
      <c r="J253" s="565">
        <f>'matrik MISI 3'!P14</f>
        <v>68</v>
      </c>
      <c r="K253" s="565">
        <f>'matrik MISI 3'!Q14</f>
        <v>68</v>
      </c>
      <c r="L253" s="565">
        <f>'matrik MISI 3'!R14</f>
        <v>70</v>
      </c>
      <c r="M253" s="604"/>
      <c r="N253" s="565">
        <f>'matrik MISI 3'!S14</f>
        <v>72</v>
      </c>
      <c r="O253" s="564"/>
      <c r="P253" s="565">
        <f>'matrik MISI 3'!T14</f>
        <v>75</v>
      </c>
      <c r="Q253" s="564"/>
      <c r="R253" s="565">
        <f>'matrik MISI 3'!U14</f>
        <v>78</v>
      </c>
      <c r="S253" s="564"/>
      <c r="T253" s="565">
        <f>'matrik MISI 3'!V14</f>
        <v>80</v>
      </c>
      <c r="U253" s="564"/>
      <c r="V253" s="565">
        <f>'matrik MISI 3'!W14</f>
        <v>82</v>
      </c>
      <c r="W253" s="564"/>
      <c r="X253" s="565" t="str">
        <f>'matrik MISI 3'!X14</f>
        <v>DPU</v>
      </c>
      <c r="Y253" s="565" t="str">
        <f>'matrik MISI 3'!Y14</f>
        <v>jumlah jaringan irigasi yang kondisi baik dan sedang/ jumlah keseluruhan jaringan irigasi x 100 %</v>
      </c>
      <c r="Z253" s="565">
        <f>'matrik MISI 3'!Z14</f>
        <v>0</v>
      </c>
    </row>
    <row r="254" spans="1:454" ht="30">
      <c r="C254" s="561"/>
      <c r="D254" s="565"/>
      <c r="E254" s="565"/>
      <c r="F254" s="565"/>
      <c r="G254" s="565"/>
      <c r="H254" s="565" t="str">
        <f>'matrik MISI 3'!N15</f>
        <v>Persentase Pembangunan Jaringan Irigasi Partisipatif</v>
      </c>
      <c r="I254" s="565" t="str">
        <f>'matrik MISI 3'!O15</f>
        <v>%</v>
      </c>
      <c r="J254" s="565">
        <f>'matrik MISI 3'!P15</f>
        <v>3.4920634920634921</v>
      </c>
      <c r="K254" s="565">
        <f>'matrik MISI 3'!Q15</f>
        <v>4.6031746031746037</v>
      </c>
      <c r="L254" s="565">
        <f>'matrik MISI 3'!R15</f>
        <v>4.9206349206349209</v>
      </c>
      <c r="M254" s="604"/>
      <c r="N254" s="565">
        <f>'matrik MISI 3'!S15</f>
        <v>5.2380952380952381</v>
      </c>
      <c r="O254" s="564"/>
      <c r="P254" s="565">
        <f>'matrik MISI 3'!T15</f>
        <v>5.5555555555555554</v>
      </c>
      <c r="Q254" s="564"/>
      <c r="R254" s="565">
        <f>'matrik MISI 3'!U15</f>
        <v>5.8730158730158726</v>
      </c>
      <c r="S254" s="564"/>
      <c r="T254" s="565">
        <f>'matrik MISI 3'!V15</f>
        <v>6.1904761904761907</v>
      </c>
      <c r="U254" s="564"/>
      <c r="V254" s="565">
        <f>'matrik MISI 3'!W15</f>
        <v>6.1904761904761907</v>
      </c>
      <c r="W254" s="564"/>
      <c r="X254" s="565" t="str">
        <f>'matrik MISI 3'!X15</f>
        <v>DPU</v>
      </c>
      <c r="Y254" s="565" t="str">
        <f>'matrik MISI 3'!Y15</f>
        <v>Jumlah pembangunan Jaringan Irigasi Partisipatif pada skala DI / Jumlah DI yang ada x 100%</v>
      </c>
      <c r="Z254" s="565">
        <f>'matrik MISI 3'!Z15</f>
        <v>0</v>
      </c>
    </row>
    <row r="255" spans="1:454" s="574" customFormat="1" ht="45">
      <c r="A255" s="569"/>
      <c r="B255" s="575"/>
      <c r="C255" s="576"/>
      <c r="D255" s="577">
        <f>'matrik MISI 3'!J16</f>
        <v>1.03</v>
      </c>
      <c r="E255" s="577" t="str">
        <f>'matrik MISI 3'!K16</f>
        <v>xx</v>
      </c>
      <c r="F255" s="577">
        <f>'matrik MISI 3'!L16</f>
        <v>16</v>
      </c>
      <c r="G255" s="577" t="str">
        <f>'matrik MISI 3'!M16</f>
        <v>Program Pembangunan saluran drainase/gorong-gorong</v>
      </c>
      <c r="H255" s="577"/>
      <c r="I255" s="577"/>
      <c r="J255" s="577"/>
      <c r="K255" s="577"/>
      <c r="L255" s="577"/>
      <c r="M255" s="578">
        <f>'jangan dihapus 2'!K296</f>
        <v>700000000</v>
      </c>
      <c r="N255" s="578">
        <f>'jangan dihapus 2'!L296</f>
        <v>0</v>
      </c>
      <c r="O255" s="578">
        <f>'jangan dihapus 2'!M296</f>
        <v>1297662500</v>
      </c>
      <c r="P255" s="578">
        <f>'jangan dihapus 2'!N296</f>
        <v>0</v>
      </c>
      <c r="Q255" s="578">
        <f>'jangan dihapus 2'!O296</f>
        <v>3110000000</v>
      </c>
      <c r="R255" s="578">
        <f>'jangan dihapus 2'!P296</f>
        <v>0</v>
      </c>
      <c r="S255" s="578">
        <f>'jangan dihapus 2'!Q296</f>
        <v>2570000000</v>
      </c>
      <c r="T255" s="578">
        <f>'jangan dihapus 2'!R296</f>
        <v>0</v>
      </c>
      <c r="U255" s="578">
        <f>'jangan dihapus 2'!S296</f>
        <v>2642000000</v>
      </c>
      <c r="V255" s="577"/>
      <c r="W255" s="578">
        <f>SUM(M255:U255)</f>
        <v>10319662500</v>
      </c>
      <c r="X255" s="577"/>
      <c r="Y255" s="577"/>
      <c r="Z255" s="577"/>
      <c r="AA255" s="569"/>
      <c r="AB255" s="569"/>
      <c r="AC255" s="569"/>
      <c r="AD255" s="569"/>
      <c r="AE255" s="569"/>
      <c r="AF255" s="569"/>
      <c r="AG255" s="569"/>
      <c r="AH255" s="569"/>
      <c r="AI255" s="569"/>
      <c r="AJ255" s="569"/>
      <c r="AK255" s="569"/>
      <c r="AL255" s="569"/>
      <c r="AM255" s="569"/>
      <c r="AN255" s="569"/>
      <c r="AO255" s="569"/>
      <c r="AP255" s="569"/>
      <c r="AQ255" s="569"/>
      <c r="AR255" s="569"/>
      <c r="AS255" s="569"/>
      <c r="AT255" s="569"/>
      <c r="AU255" s="569"/>
      <c r="AV255" s="569"/>
      <c r="AW255" s="569"/>
      <c r="AX255" s="569"/>
      <c r="AY255" s="569"/>
      <c r="AZ255" s="569"/>
      <c r="BA255" s="569"/>
      <c r="BB255" s="569"/>
      <c r="BC255" s="569"/>
      <c r="BD255" s="569"/>
      <c r="BE255" s="569"/>
      <c r="BF255" s="569"/>
      <c r="BG255" s="569"/>
      <c r="BH255" s="569"/>
      <c r="BI255" s="569"/>
      <c r="BJ255" s="569"/>
      <c r="BK255" s="569"/>
      <c r="BL255" s="569"/>
      <c r="BM255" s="569"/>
      <c r="BN255" s="569"/>
      <c r="BO255" s="569"/>
      <c r="BP255" s="569"/>
      <c r="BQ255" s="569"/>
      <c r="BR255" s="569"/>
      <c r="BS255" s="569"/>
      <c r="BT255" s="569"/>
      <c r="BU255" s="569"/>
      <c r="BV255" s="569"/>
      <c r="BW255" s="569"/>
      <c r="BX255" s="569"/>
      <c r="BY255" s="569"/>
      <c r="BZ255" s="569"/>
      <c r="CA255" s="569"/>
      <c r="CB255" s="569"/>
      <c r="CC255" s="569"/>
      <c r="CD255" s="569"/>
      <c r="CE255" s="569"/>
      <c r="CF255" s="569"/>
      <c r="CG255" s="569"/>
      <c r="CH255" s="569"/>
      <c r="CI255" s="569"/>
      <c r="CJ255" s="569"/>
      <c r="CK255" s="569"/>
      <c r="CL255" s="569"/>
      <c r="CM255" s="569"/>
      <c r="CN255" s="569"/>
      <c r="CO255" s="569"/>
      <c r="CP255" s="569"/>
      <c r="CQ255" s="569"/>
      <c r="CR255" s="569"/>
      <c r="CS255" s="569"/>
      <c r="CT255" s="569"/>
      <c r="CU255" s="569"/>
      <c r="CV255" s="569"/>
      <c r="CW255" s="569"/>
      <c r="CX255" s="569"/>
      <c r="CY255" s="569"/>
      <c r="CZ255" s="569"/>
      <c r="DA255" s="569"/>
      <c r="DB255" s="569"/>
      <c r="DC255" s="569"/>
      <c r="DD255" s="569"/>
      <c r="DE255" s="569"/>
      <c r="DF255" s="569"/>
      <c r="DG255" s="569"/>
      <c r="DH255" s="569"/>
      <c r="DI255" s="569"/>
      <c r="DJ255" s="569"/>
      <c r="DK255" s="569"/>
      <c r="DL255" s="569"/>
      <c r="DM255" s="569"/>
      <c r="DN255" s="569"/>
      <c r="DO255" s="569"/>
      <c r="DP255" s="569"/>
      <c r="DQ255" s="569"/>
      <c r="DR255" s="569"/>
      <c r="DS255" s="569"/>
      <c r="DT255" s="569"/>
      <c r="DU255" s="569"/>
      <c r="DV255" s="569"/>
      <c r="DW255" s="569"/>
      <c r="DX255" s="569"/>
      <c r="DY255" s="569"/>
      <c r="DZ255" s="569"/>
      <c r="EA255" s="569"/>
      <c r="EB255" s="569"/>
      <c r="EC255" s="569"/>
      <c r="ED255" s="569"/>
      <c r="EE255" s="569"/>
      <c r="EF255" s="569"/>
      <c r="EG255" s="569"/>
      <c r="EH255" s="569"/>
      <c r="EI255" s="569"/>
      <c r="EJ255" s="569"/>
      <c r="EK255" s="569"/>
      <c r="EL255" s="569"/>
      <c r="EM255" s="569"/>
      <c r="EN255" s="569"/>
      <c r="EO255" s="569"/>
      <c r="EP255" s="569"/>
      <c r="EQ255" s="569"/>
      <c r="ER255" s="569"/>
      <c r="ES255" s="569"/>
      <c r="ET255" s="569"/>
      <c r="EU255" s="569"/>
      <c r="EV255" s="569"/>
      <c r="EW255" s="569"/>
      <c r="EX255" s="569"/>
      <c r="EY255" s="569"/>
      <c r="EZ255" s="569"/>
      <c r="FA255" s="569"/>
      <c r="FB255" s="569"/>
      <c r="FC255" s="569"/>
      <c r="FD255" s="569"/>
      <c r="FE255" s="569"/>
      <c r="FF255" s="569"/>
      <c r="FG255" s="569"/>
      <c r="FH255" s="569"/>
      <c r="FI255" s="569"/>
      <c r="FJ255" s="569"/>
      <c r="FK255" s="569"/>
      <c r="FL255" s="569"/>
      <c r="FM255" s="569"/>
      <c r="FN255" s="569"/>
      <c r="FO255" s="569"/>
      <c r="FP255" s="569"/>
      <c r="FQ255" s="569"/>
      <c r="FR255" s="569"/>
      <c r="FS255" s="569"/>
      <c r="FT255" s="569"/>
      <c r="FU255" s="569"/>
      <c r="FV255" s="569"/>
      <c r="FW255" s="569"/>
      <c r="FX255" s="569"/>
      <c r="FY255" s="569"/>
      <c r="FZ255" s="569"/>
      <c r="GA255" s="569"/>
      <c r="GB255" s="569"/>
      <c r="GC255" s="569"/>
      <c r="GD255" s="569"/>
      <c r="GE255" s="569"/>
      <c r="GF255" s="569"/>
      <c r="GG255" s="569"/>
      <c r="GH255" s="569"/>
      <c r="GI255" s="569"/>
      <c r="GJ255" s="569"/>
      <c r="GK255" s="569"/>
      <c r="GL255" s="569"/>
      <c r="GM255" s="569"/>
      <c r="GN255" s="569"/>
      <c r="GO255" s="569"/>
      <c r="GP255" s="569"/>
      <c r="GQ255" s="569"/>
      <c r="GR255" s="569"/>
      <c r="GS255" s="569"/>
      <c r="GT255" s="569"/>
      <c r="GU255" s="569"/>
      <c r="GV255" s="569"/>
      <c r="GW255" s="569"/>
      <c r="GX255" s="569"/>
      <c r="GY255" s="569"/>
      <c r="GZ255" s="569"/>
      <c r="HA255" s="569"/>
      <c r="HB255" s="569"/>
      <c r="HC255" s="569"/>
      <c r="HD255" s="569"/>
      <c r="HE255" s="569"/>
      <c r="HF255" s="569"/>
      <c r="HG255" s="569"/>
      <c r="HH255" s="569"/>
      <c r="HI255" s="569"/>
      <c r="HJ255" s="569"/>
      <c r="HK255" s="569"/>
      <c r="HL255" s="569"/>
      <c r="HM255" s="569"/>
      <c r="HN255" s="569"/>
      <c r="HO255" s="569"/>
      <c r="HP255" s="569"/>
      <c r="HQ255" s="569"/>
      <c r="HR255" s="569"/>
      <c r="HS255" s="569"/>
      <c r="HT255" s="569"/>
      <c r="HU255" s="569"/>
      <c r="HV255" s="569"/>
      <c r="HW255" s="569"/>
      <c r="HX255" s="569"/>
      <c r="HY255" s="569"/>
      <c r="HZ255" s="569"/>
      <c r="IA255" s="569"/>
      <c r="IB255" s="569"/>
      <c r="IC255" s="569"/>
      <c r="ID255" s="569"/>
      <c r="IE255" s="569"/>
      <c r="IF255" s="569"/>
      <c r="IG255" s="569"/>
      <c r="IH255" s="569"/>
      <c r="II255" s="569"/>
      <c r="IJ255" s="569"/>
      <c r="IK255" s="569"/>
      <c r="IL255" s="569"/>
      <c r="IM255" s="569"/>
      <c r="IN255" s="569"/>
      <c r="IO255" s="569"/>
      <c r="IP255" s="569"/>
      <c r="IQ255" s="569"/>
      <c r="IR255" s="569"/>
      <c r="IS255" s="569"/>
      <c r="IT255" s="569"/>
      <c r="IU255" s="569"/>
      <c r="IV255" s="569"/>
      <c r="IW255" s="569"/>
      <c r="IX255" s="569"/>
      <c r="IY255" s="569"/>
      <c r="IZ255" s="569"/>
      <c r="JA255" s="569"/>
      <c r="JB255" s="569"/>
      <c r="JC255" s="569"/>
      <c r="JD255" s="569"/>
      <c r="JE255" s="569"/>
      <c r="JF255" s="569"/>
      <c r="JG255" s="569"/>
      <c r="JH255" s="569"/>
      <c r="JI255" s="569"/>
      <c r="JJ255" s="569"/>
      <c r="JK255" s="569"/>
      <c r="JL255" s="569"/>
      <c r="JM255" s="569"/>
      <c r="JN255" s="569"/>
      <c r="JO255" s="569"/>
      <c r="JP255" s="569"/>
      <c r="JQ255" s="569"/>
      <c r="JR255" s="569"/>
      <c r="JS255" s="569"/>
      <c r="JT255" s="569"/>
      <c r="JU255" s="569"/>
      <c r="JV255" s="569"/>
      <c r="JW255" s="569"/>
      <c r="JX255" s="569"/>
      <c r="JY255" s="569"/>
      <c r="JZ255" s="569"/>
      <c r="KA255" s="569"/>
      <c r="KB255" s="569"/>
      <c r="KC255" s="569"/>
      <c r="KD255" s="569"/>
      <c r="KE255" s="569"/>
      <c r="KF255" s="569"/>
      <c r="KG255" s="569"/>
      <c r="KH255" s="569"/>
      <c r="KI255" s="569"/>
      <c r="KJ255" s="569"/>
      <c r="KK255" s="569"/>
      <c r="KL255" s="569"/>
      <c r="KM255" s="569"/>
      <c r="KN255" s="569"/>
      <c r="KO255" s="569"/>
      <c r="KP255" s="569"/>
      <c r="KQ255" s="569"/>
      <c r="KR255" s="569"/>
      <c r="KS255" s="569"/>
      <c r="KT255" s="569"/>
      <c r="KU255" s="569"/>
      <c r="KV255" s="569"/>
      <c r="KW255" s="569"/>
      <c r="KX255" s="569"/>
      <c r="KY255" s="569"/>
      <c r="KZ255" s="569"/>
      <c r="LA255" s="569"/>
      <c r="LB255" s="569"/>
      <c r="LC255" s="569"/>
      <c r="LD255" s="569"/>
      <c r="LE255" s="569"/>
      <c r="LF255" s="569"/>
      <c r="LG255" s="569"/>
      <c r="LH255" s="569"/>
      <c r="LI255" s="569"/>
      <c r="LJ255" s="569"/>
      <c r="LK255" s="569"/>
      <c r="LL255" s="569"/>
      <c r="LM255" s="569"/>
      <c r="LN255" s="569"/>
      <c r="LO255" s="569"/>
      <c r="LP255" s="569"/>
      <c r="LQ255" s="569"/>
      <c r="LR255" s="569"/>
      <c r="LS255" s="569"/>
      <c r="LT255" s="569"/>
      <c r="LU255" s="569"/>
      <c r="LV255" s="569"/>
      <c r="LW255" s="569"/>
      <c r="LX255" s="569"/>
      <c r="LY255" s="569"/>
      <c r="LZ255" s="569"/>
      <c r="MA255" s="569"/>
      <c r="MB255" s="569"/>
      <c r="MC255" s="569"/>
      <c r="MD255" s="569"/>
      <c r="ME255" s="569"/>
      <c r="MF255" s="569"/>
      <c r="MG255" s="569"/>
      <c r="MH255" s="569"/>
      <c r="MI255" s="569"/>
      <c r="MJ255" s="569"/>
      <c r="MK255" s="569"/>
      <c r="ML255" s="569"/>
      <c r="MM255" s="569"/>
      <c r="MN255" s="569"/>
      <c r="MO255" s="569"/>
      <c r="MP255" s="569"/>
      <c r="MQ255" s="569"/>
      <c r="MR255" s="569"/>
      <c r="MS255" s="569"/>
      <c r="MT255" s="569"/>
      <c r="MU255" s="569"/>
      <c r="MV255" s="569"/>
      <c r="MW255" s="569"/>
      <c r="MX255" s="569"/>
      <c r="MY255" s="569"/>
      <c r="MZ255" s="569"/>
      <c r="NA255" s="569"/>
      <c r="NB255" s="569"/>
      <c r="NC255" s="569"/>
      <c r="ND255" s="569"/>
      <c r="NE255" s="569"/>
      <c r="NF255" s="569"/>
      <c r="NG255" s="569"/>
      <c r="NH255" s="569"/>
      <c r="NI255" s="569"/>
      <c r="NJ255" s="569"/>
      <c r="NK255" s="569"/>
      <c r="NL255" s="569"/>
      <c r="NM255" s="569"/>
      <c r="NN255" s="569"/>
      <c r="NO255" s="569"/>
      <c r="NP255" s="569"/>
      <c r="NQ255" s="569"/>
      <c r="NR255" s="569"/>
      <c r="NS255" s="569"/>
      <c r="NT255" s="569"/>
      <c r="NU255" s="569"/>
      <c r="NV255" s="569"/>
      <c r="NW255" s="569"/>
      <c r="NX255" s="569"/>
      <c r="NY255" s="569"/>
      <c r="NZ255" s="569"/>
      <c r="OA255" s="569"/>
      <c r="OB255" s="569"/>
      <c r="OC255" s="569"/>
      <c r="OD255" s="569"/>
      <c r="OE255" s="569"/>
      <c r="OF255" s="569"/>
      <c r="OG255" s="569"/>
      <c r="OH255" s="569"/>
      <c r="OI255" s="569"/>
      <c r="OJ255" s="569"/>
      <c r="OK255" s="569"/>
      <c r="OL255" s="569"/>
      <c r="OM255" s="569"/>
      <c r="ON255" s="569"/>
      <c r="OO255" s="569"/>
      <c r="OP255" s="569"/>
      <c r="OQ255" s="569"/>
      <c r="OR255" s="569"/>
      <c r="OS255" s="569"/>
      <c r="OT255" s="569"/>
      <c r="OU255" s="569"/>
      <c r="OV255" s="569"/>
      <c r="OW255" s="569"/>
      <c r="OX255" s="569"/>
      <c r="OY255" s="569"/>
      <c r="OZ255" s="569"/>
      <c r="PA255" s="569"/>
      <c r="PB255" s="569"/>
      <c r="PC255" s="569"/>
      <c r="PD255" s="569"/>
      <c r="PE255" s="569"/>
      <c r="PF255" s="569"/>
      <c r="PG255" s="569"/>
      <c r="PH255" s="569"/>
      <c r="PI255" s="569"/>
      <c r="PJ255" s="569"/>
      <c r="PK255" s="569"/>
      <c r="PL255" s="569"/>
      <c r="PM255" s="569"/>
      <c r="PN255" s="569"/>
      <c r="PO255" s="569"/>
      <c r="PP255" s="569"/>
      <c r="PQ255" s="569"/>
      <c r="PR255" s="569"/>
      <c r="PS255" s="569"/>
      <c r="PT255" s="569"/>
      <c r="PU255" s="569"/>
      <c r="PV255" s="569"/>
      <c r="PW255" s="569"/>
      <c r="PX255" s="569"/>
      <c r="PY255" s="569"/>
      <c r="PZ255" s="569"/>
      <c r="QA255" s="569"/>
      <c r="QB255" s="569"/>
      <c r="QC255" s="569"/>
      <c r="QD255" s="569"/>
      <c r="QE255" s="569"/>
      <c r="QF255" s="569"/>
      <c r="QG255" s="569"/>
      <c r="QH255" s="569"/>
      <c r="QI255" s="569"/>
      <c r="QJ255" s="569"/>
      <c r="QK255" s="569"/>
      <c r="QL255" s="569"/>
    </row>
    <row r="256" spans="1:454" ht="45">
      <c r="C256" s="561"/>
      <c r="D256" s="568"/>
      <c r="E256" s="568"/>
      <c r="F256" s="568"/>
      <c r="G256" s="568"/>
      <c r="H256" s="565" t="str">
        <f>'matrik MISI 3'!N16</f>
        <v>Tersedianya sistem jaringan drainase skala kawasan/kota sehingga tidak terjadi genangan</v>
      </c>
      <c r="I256" s="565" t="str">
        <f>'matrik MISI 3'!O16</f>
        <v>%</v>
      </c>
      <c r="J256" s="565">
        <f>'matrik MISI 3'!P16</f>
        <v>30.54</v>
      </c>
      <c r="K256" s="565">
        <f>'matrik MISI 3'!Q16</f>
        <v>30.71</v>
      </c>
      <c r="L256" s="565">
        <f>'matrik MISI 3'!R16</f>
        <v>30.9</v>
      </c>
      <c r="M256" s="604"/>
      <c r="N256" s="565">
        <f>'matrik MISI 3'!S16</f>
        <v>40.1</v>
      </c>
      <c r="O256" s="564"/>
      <c r="P256" s="565">
        <f>'matrik MISI 3'!T16</f>
        <v>40.299999999999997</v>
      </c>
      <c r="Q256" s="564"/>
      <c r="R256" s="565">
        <f>'matrik MISI 3'!U16</f>
        <v>40.5</v>
      </c>
      <c r="S256" s="564"/>
      <c r="T256" s="565">
        <f>'matrik MISI 3'!V16</f>
        <v>40.700000000000003</v>
      </c>
      <c r="U256" s="564"/>
      <c r="V256" s="565">
        <f>'matrik MISI 3'!W16</f>
        <v>40.700000000000003</v>
      </c>
      <c r="W256" s="564"/>
      <c r="X256" s="565" t="str">
        <f>'matrik MISI 3'!X16</f>
        <v>DPU</v>
      </c>
      <c r="Y256" s="565" t="str">
        <f>'matrik MISI 3'!Y16</f>
        <v xml:space="preserve">Data Panjang Jaringan drainase pada skala kawasan/kota yang ada / data panjang jalan kabupaten skala kawasan/kota </v>
      </c>
      <c r="Z256" s="565">
        <f>'matrik MISI 3'!Z16</f>
        <v>0</v>
      </c>
    </row>
    <row r="257" spans="1:454" s="574" customFormat="1" ht="45">
      <c r="A257" s="569"/>
      <c r="B257" s="575"/>
      <c r="C257" s="576"/>
      <c r="D257" s="577" t="str">
        <f>'matrik MISI 3'!J17</f>
        <v>1.20</v>
      </c>
      <c r="E257" s="577" t="str">
        <f>'matrik MISI 3'!K17</f>
        <v>xx</v>
      </c>
      <c r="F257" s="577">
        <f>'matrik MISI 3'!L17</f>
        <v>0</v>
      </c>
      <c r="G257" s="577" t="str">
        <f>'matrik MISI 3'!M17</f>
        <v>Program Peningkatan Sarana dan Prasarana Aparatur</v>
      </c>
      <c r="H257" s="577"/>
      <c r="I257" s="577"/>
      <c r="J257" s="577"/>
      <c r="K257" s="577"/>
      <c r="L257" s="577"/>
      <c r="M257" s="578">
        <f>'jangan dihapus 2'!K328</f>
        <v>5126836400</v>
      </c>
      <c r="N257" s="578">
        <f>'jangan dihapus 2'!L328</f>
        <v>0</v>
      </c>
      <c r="O257" s="578">
        <f>'jangan dihapus 2'!M328</f>
        <v>5457723500</v>
      </c>
      <c r="P257" s="578">
        <f>'jangan dihapus 2'!N328</f>
        <v>0</v>
      </c>
      <c r="Q257" s="578">
        <f>'jangan dihapus 2'!O328</f>
        <v>3440855000</v>
      </c>
      <c r="R257" s="578">
        <f>'jangan dihapus 2'!P328</f>
        <v>0</v>
      </c>
      <c r="S257" s="578">
        <f>'jangan dihapus 2'!Q328</f>
        <v>5698526000</v>
      </c>
      <c r="T257" s="578">
        <f>'jangan dihapus 2'!R328</f>
        <v>0</v>
      </c>
      <c r="U257" s="578">
        <f>'jangan dihapus 2'!S328</f>
        <v>6177731200</v>
      </c>
      <c r="V257" s="577"/>
      <c r="W257" s="578">
        <f>SUM(M257:U257)</f>
        <v>25901672100</v>
      </c>
      <c r="X257" s="577"/>
      <c r="Y257" s="577"/>
      <c r="Z257" s="577"/>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L257" s="569"/>
      <c r="BM257" s="569"/>
      <c r="BN257" s="569"/>
      <c r="BO257" s="569"/>
      <c r="BP257" s="569"/>
      <c r="BQ257" s="569"/>
      <c r="BR257" s="569"/>
      <c r="BS257" s="569"/>
      <c r="BT257" s="569"/>
      <c r="BU257" s="569"/>
      <c r="BV257" s="569"/>
      <c r="BW257" s="569"/>
      <c r="BX257" s="569"/>
      <c r="BY257" s="569"/>
      <c r="BZ257" s="569"/>
      <c r="CA257" s="569"/>
      <c r="CB257" s="569"/>
      <c r="CC257" s="569"/>
      <c r="CD257" s="569"/>
      <c r="CE257" s="569"/>
      <c r="CF257" s="569"/>
      <c r="CG257" s="569"/>
      <c r="CH257" s="569"/>
      <c r="CI257" s="569"/>
      <c r="CJ257" s="569"/>
      <c r="CK257" s="569"/>
      <c r="CL257" s="569"/>
      <c r="CM257" s="569"/>
      <c r="CN257" s="569"/>
      <c r="CO257" s="569"/>
      <c r="CP257" s="569"/>
      <c r="CQ257" s="569"/>
      <c r="CR257" s="569"/>
      <c r="CS257" s="569"/>
      <c r="CT257" s="569"/>
      <c r="CU257" s="569"/>
      <c r="CV257" s="569"/>
      <c r="CW257" s="569"/>
      <c r="CX257" s="569"/>
      <c r="CY257" s="569"/>
      <c r="CZ257" s="569"/>
      <c r="DA257" s="569"/>
      <c r="DB257" s="569"/>
      <c r="DC257" s="569"/>
      <c r="DD257" s="569"/>
      <c r="DE257" s="569"/>
      <c r="DF257" s="569"/>
      <c r="DG257" s="569"/>
      <c r="DH257" s="569"/>
      <c r="DI257" s="569"/>
      <c r="DJ257" s="569"/>
      <c r="DK257" s="569"/>
      <c r="DL257" s="569"/>
      <c r="DM257" s="569"/>
      <c r="DN257" s="569"/>
      <c r="DO257" s="569"/>
      <c r="DP257" s="569"/>
      <c r="DQ257" s="569"/>
      <c r="DR257" s="569"/>
      <c r="DS257" s="569"/>
      <c r="DT257" s="569"/>
      <c r="DU257" s="569"/>
      <c r="DV257" s="569"/>
      <c r="DW257" s="569"/>
      <c r="DX257" s="569"/>
      <c r="DY257" s="569"/>
      <c r="DZ257" s="569"/>
      <c r="EA257" s="569"/>
      <c r="EB257" s="569"/>
      <c r="EC257" s="569"/>
      <c r="ED257" s="569"/>
      <c r="EE257" s="569"/>
      <c r="EF257" s="569"/>
      <c r="EG257" s="569"/>
      <c r="EH257" s="569"/>
      <c r="EI257" s="569"/>
      <c r="EJ257" s="569"/>
      <c r="EK257" s="569"/>
      <c r="EL257" s="569"/>
      <c r="EM257" s="569"/>
      <c r="EN257" s="569"/>
      <c r="EO257" s="569"/>
      <c r="EP257" s="569"/>
      <c r="EQ257" s="569"/>
      <c r="ER257" s="569"/>
      <c r="ES257" s="569"/>
      <c r="ET257" s="569"/>
      <c r="EU257" s="569"/>
      <c r="EV257" s="569"/>
      <c r="EW257" s="569"/>
      <c r="EX257" s="569"/>
      <c r="EY257" s="569"/>
      <c r="EZ257" s="569"/>
      <c r="FA257" s="569"/>
      <c r="FB257" s="569"/>
      <c r="FC257" s="569"/>
      <c r="FD257" s="569"/>
      <c r="FE257" s="569"/>
      <c r="FF257" s="569"/>
      <c r="FG257" s="569"/>
      <c r="FH257" s="569"/>
      <c r="FI257" s="569"/>
      <c r="FJ257" s="569"/>
      <c r="FK257" s="569"/>
      <c r="FL257" s="569"/>
      <c r="FM257" s="569"/>
      <c r="FN257" s="569"/>
      <c r="FO257" s="569"/>
      <c r="FP257" s="569"/>
      <c r="FQ257" s="569"/>
      <c r="FR257" s="569"/>
      <c r="FS257" s="569"/>
      <c r="FT257" s="569"/>
      <c r="FU257" s="569"/>
      <c r="FV257" s="569"/>
      <c r="FW257" s="569"/>
      <c r="FX257" s="569"/>
      <c r="FY257" s="569"/>
      <c r="FZ257" s="569"/>
      <c r="GA257" s="569"/>
      <c r="GB257" s="569"/>
      <c r="GC257" s="569"/>
      <c r="GD257" s="569"/>
      <c r="GE257" s="569"/>
      <c r="GF257" s="569"/>
      <c r="GG257" s="569"/>
      <c r="GH257" s="569"/>
      <c r="GI257" s="569"/>
      <c r="GJ257" s="569"/>
      <c r="GK257" s="569"/>
      <c r="GL257" s="569"/>
      <c r="GM257" s="569"/>
      <c r="GN257" s="569"/>
      <c r="GO257" s="569"/>
      <c r="GP257" s="569"/>
      <c r="GQ257" s="569"/>
      <c r="GR257" s="569"/>
      <c r="GS257" s="569"/>
      <c r="GT257" s="569"/>
      <c r="GU257" s="569"/>
      <c r="GV257" s="569"/>
      <c r="GW257" s="569"/>
      <c r="GX257" s="569"/>
      <c r="GY257" s="569"/>
      <c r="GZ257" s="569"/>
      <c r="HA257" s="569"/>
      <c r="HB257" s="569"/>
      <c r="HC257" s="569"/>
      <c r="HD257" s="569"/>
      <c r="HE257" s="569"/>
      <c r="HF257" s="569"/>
      <c r="HG257" s="569"/>
      <c r="HH257" s="569"/>
      <c r="HI257" s="569"/>
      <c r="HJ257" s="569"/>
      <c r="HK257" s="569"/>
      <c r="HL257" s="569"/>
      <c r="HM257" s="569"/>
      <c r="HN257" s="569"/>
      <c r="HO257" s="569"/>
      <c r="HP257" s="569"/>
      <c r="HQ257" s="569"/>
      <c r="HR257" s="569"/>
      <c r="HS257" s="569"/>
      <c r="HT257" s="569"/>
      <c r="HU257" s="569"/>
      <c r="HV257" s="569"/>
      <c r="HW257" s="569"/>
      <c r="HX257" s="569"/>
      <c r="HY257" s="569"/>
      <c r="HZ257" s="569"/>
      <c r="IA257" s="569"/>
      <c r="IB257" s="569"/>
      <c r="IC257" s="569"/>
      <c r="ID257" s="569"/>
      <c r="IE257" s="569"/>
      <c r="IF257" s="569"/>
      <c r="IG257" s="569"/>
      <c r="IH257" s="569"/>
      <c r="II257" s="569"/>
      <c r="IJ257" s="569"/>
      <c r="IK257" s="569"/>
      <c r="IL257" s="569"/>
      <c r="IM257" s="569"/>
      <c r="IN257" s="569"/>
      <c r="IO257" s="569"/>
      <c r="IP257" s="569"/>
      <c r="IQ257" s="569"/>
      <c r="IR257" s="569"/>
      <c r="IS257" s="569"/>
      <c r="IT257" s="569"/>
      <c r="IU257" s="569"/>
      <c r="IV257" s="569"/>
      <c r="IW257" s="569"/>
      <c r="IX257" s="569"/>
      <c r="IY257" s="569"/>
      <c r="IZ257" s="569"/>
      <c r="JA257" s="569"/>
      <c r="JB257" s="569"/>
      <c r="JC257" s="569"/>
      <c r="JD257" s="569"/>
      <c r="JE257" s="569"/>
      <c r="JF257" s="569"/>
      <c r="JG257" s="569"/>
      <c r="JH257" s="569"/>
      <c r="JI257" s="569"/>
      <c r="JJ257" s="569"/>
      <c r="JK257" s="569"/>
      <c r="JL257" s="569"/>
      <c r="JM257" s="569"/>
      <c r="JN257" s="569"/>
      <c r="JO257" s="569"/>
      <c r="JP257" s="569"/>
      <c r="JQ257" s="569"/>
      <c r="JR257" s="569"/>
      <c r="JS257" s="569"/>
      <c r="JT257" s="569"/>
      <c r="JU257" s="569"/>
      <c r="JV257" s="569"/>
      <c r="JW257" s="569"/>
      <c r="JX257" s="569"/>
      <c r="JY257" s="569"/>
      <c r="JZ257" s="569"/>
      <c r="KA257" s="569"/>
      <c r="KB257" s="569"/>
      <c r="KC257" s="569"/>
      <c r="KD257" s="569"/>
      <c r="KE257" s="569"/>
      <c r="KF257" s="569"/>
      <c r="KG257" s="569"/>
      <c r="KH257" s="569"/>
      <c r="KI257" s="569"/>
      <c r="KJ257" s="569"/>
      <c r="KK257" s="569"/>
      <c r="KL257" s="569"/>
      <c r="KM257" s="569"/>
      <c r="KN257" s="569"/>
      <c r="KO257" s="569"/>
      <c r="KP257" s="569"/>
      <c r="KQ257" s="569"/>
      <c r="KR257" s="569"/>
      <c r="KS257" s="569"/>
      <c r="KT257" s="569"/>
      <c r="KU257" s="569"/>
      <c r="KV257" s="569"/>
      <c r="KW257" s="569"/>
      <c r="KX257" s="569"/>
      <c r="KY257" s="569"/>
      <c r="KZ257" s="569"/>
      <c r="LA257" s="569"/>
      <c r="LB257" s="569"/>
      <c r="LC257" s="569"/>
      <c r="LD257" s="569"/>
      <c r="LE257" s="569"/>
      <c r="LF257" s="569"/>
      <c r="LG257" s="569"/>
      <c r="LH257" s="569"/>
      <c r="LI257" s="569"/>
      <c r="LJ257" s="569"/>
      <c r="LK257" s="569"/>
      <c r="LL257" s="569"/>
      <c r="LM257" s="569"/>
      <c r="LN257" s="569"/>
      <c r="LO257" s="569"/>
      <c r="LP257" s="569"/>
      <c r="LQ257" s="569"/>
      <c r="LR257" s="569"/>
      <c r="LS257" s="569"/>
      <c r="LT257" s="569"/>
      <c r="LU257" s="569"/>
      <c r="LV257" s="569"/>
      <c r="LW257" s="569"/>
      <c r="LX257" s="569"/>
      <c r="LY257" s="569"/>
      <c r="LZ257" s="569"/>
      <c r="MA257" s="569"/>
      <c r="MB257" s="569"/>
      <c r="MC257" s="569"/>
      <c r="MD257" s="569"/>
      <c r="ME257" s="569"/>
      <c r="MF257" s="569"/>
      <c r="MG257" s="569"/>
      <c r="MH257" s="569"/>
      <c r="MI257" s="569"/>
      <c r="MJ257" s="569"/>
      <c r="MK257" s="569"/>
      <c r="ML257" s="569"/>
      <c r="MM257" s="569"/>
      <c r="MN257" s="569"/>
      <c r="MO257" s="569"/>
      <c r="MP257" s="569"/>
      <c r="MQ257" s="569"/>
      <c r="MR257" s="569"/>
      <c r="MS257" s="569"/>
      <c r="MT257" s="569"/>
      <c r="MU257" s="569"/>
      <c r="MV257" s="569"/>
      <c r="MW257" s="569"/>
      <c r="MX257" s="569"/>
      <c r="MY257" s="569"/>
      <c r="MZ257" s="569"/>
      <c r="NA257" s="569"/>
      <c r="NB257" s="569"/>
      <c r="NC257" s="569"/>
      <c r="ND257" s="569"/>
      <c r="NE257" s="569"/>
      <c r="NF257" s="569"/>
      <c r="NG257" s="569"/>
      <c r="NH257" s="569"/>
      <c r="NI257" s="569"/>
      <c r="NJ257" s="569"/>
      <c r="NK257" s="569"/>
      <c r="NL257" s="569"/>
      <c r="NM257" s="569"/>
      <c r="NN257" s="569"/>
      <c r="NO257" s="569"/>
      <c r="NP257" s="569"/>
      <c r="NQ257" s="569"/>
      <c r="NR257" s="569"/>
      <c r="NS257" s="569"/>
      <c r="NT257" s="569"/>
      <c r="NU257" s="569"/>
      <c r="NV257" s="569"/>
      <c r="NW257" s="569"/>
      <c r="NX257" s="569"/>
      <c r="NY257" s="569"/>
      <c r="NZ257" s="569"/>
      <c r="OA257" s="569"/>
      <c r="OB257" s="569"/>
      <c r="OC257" s="569"/>
      <c r="OD257" s="569"/>
      <c r="OE257" s="569"/>
      <c r="OF257" s="569"/>
      <c r="OG257" s="569"/>
      <c r="OH257" s="569"/>
      <c r="OI257" s="569"/>
      <c r="OJ257" s="569"/>
      <c r="OK257" s="569"/>
      <c r="OL257" s="569"/>
      <c r="OM257" s="569"/>
      <c r="ON257" s="569"/>
      <c r="OO257" s="569"/>
      <c r="OP257" s="569"/>
      <c r="OQ257" s="569"/>
      <c r="OR257" s="569"/>
      <c r="OS257" s="569"/>
      <c r="OT257" s="569"/>
      <c r="OU257" s="569"/>
      <c r="OV257" s="569"/>
      <c r="OW257" s="569"/>
      <c r="OX257" s="569"/>
      <c r="OY257" s="569"/>
      <c r="OZ257" s="569"/>
      <c r="PA257" s="569"/>
      <c r="PB257" s="569"/>
      <c r="PC257" s="569"/>
      <c r="PD257" s="569"/>
      <c r="PE257" s="569"/>
      <c r="PF257" s="569"/>
      <c r="PG257" s="569"/>
      <c r="PH257" s="569"/>
      <c r="PI257" s="569"/>
      <c r="PJ257" s="569"/>
      <c r="PK257" s="569"/>
      <c r="PL257" s="569"/>
      <c r="PM257" s="569"/>
      <c r="PN257" s="569"/>
      <c r="PO257" s="569"/>
      <c r="PP257" s="569"/>
      <c r="PQ257" s="569"/>
      <c r="PR257" s="569"/>
      <c r="PS257" s="569"/>
      <c r="PT257" s="569"/>
      <c r="PU257" s="569"/>
      <c r="PV257" s="569"/>
      <c r="PW257" s="569"/>
      <c r="PX257" s="569"/>
      <c r="PY257" s="569"/>
      <c r="PZ257" s="569"/>
      <c r="QA257" s="569"/>
      <c r="QB257" s="569"/>
      <c r="QC257" s="569"/>
      <c r="QD257" s="569"/>
      <c r="QE257" s="569"/>
      <c r="QF257" s="569"/>
      <c r="QG257" s="569"/>
      <c r="QH257" s="569"/>
      <c r="QI257" s="569"/>
      <c r="QJ257" s="569"/>
      <c r="QK257" s="569"/>
      <c r="QL257" s="569"/>
    </row>
    <row r="258" spans="1:454" ht="30">
      <c r="C258" s="561"/>
      <c r="D258" s="568"/>
      <c r="E258" s="568"/>
      <c r="F258" s="568"/>
      <c r="G258" s="568"/>
      <c r="H258" s="565" t="str">
        <f>'matrik MISI 3'!N17</f>
        <v>Tersedianya bangunan gedung kantor kecamatan yang memadai</v>
      </c>
      <c r="I258" s="565" t="str">
        <f>'matrik MISI 3'!O17</f>
        <v>Unit</v>
      </c>
      <c r="J258" s="565">
        <f>'matrik MISI 3'!P17</f>
        <v>2</v>
      </c>
      <c r="K258" s="565" t="str">
        <f>'matrik MISI 3'!Q17</f>
        <v>-</v>
      </c>
      <c r="L258" s="565">
        <f>'matrik MISI 3'!R17</f>
        <v>1</v>
      </c>
      <c r="M258" s="604"/>
      <c r="N258" s="565" t="str">
        <f>'matrik MISI 3'!S17</f>
        <v>-</v>
      </c>
      <c r="O258" s="564"/>
      <c r="P258" s="565">
        <f>'matrik MISI 3'!T17</f>
        <v>1</v>
      </c>
      <c r="Q258" s="564"/>
      <c r="R258" s="565">
        <f>'matrik MISI 3'!U17</f>
        <v>1</v>
      </c>
      <c r="S258" s="564"/>
      <c r="T258" s="565">
        <f>'matrik MISI 3'!V17</f>
        <v>1</v>
      </c>
      <c r="U258" s="564"/>
      <c r="V258" s="565">
        <f>'matrik MISI 3'!W17</f>
        <v>4</v>
      </c>
      <c r="W258" s="564"/>
      <c r="X258" s="565" t="str">
        <f>'matrik MISI 3'!X17</f>
        <v>DPU/Pemerintahan Umum</v>
      </c>
      <c r="Y258" s="565" t="str">
        <f>'matrik MISI 3'!Y17</f>
        <v>jumlah unit kantor kecamatan yang akan dibangun</v>
      </c>
      <c r="Z258" s="565" t="str">
        <f>'matrik MISI 3'!Z17</f>
        <v>2014: kec.candiroto ; 2016 : kec.parakan ; 2017 : kec.Kaloran ; 2018 : kec.</v>
      </c>
    </row>
    <row r="259" spans="1:454" s="570" customFormat="1">
      <c r="A259" s="569"/>
      <c r="B259" s="571"/>
      <c r="C259" s="572"/>
      <c r="D259" s="573"/>
      <c r="E259" s="573"/>
      <c r="F259" s="573"/>
      <c r="G259" s="573"/>
      <c r="H259" s="573"/>
      <c r="I259" s="573"/>
      <c r="J259" s="573"/>
      <c r="K259" s="573"/>
      <c r="L259" s="573"/>
      <c r="M259" s="604"/>
      <c r="N259" s="573"/>
      <c r="O259" s="564"/>
      <c r="P259" s="573"/>
      <c r="Q259" s="564"/>
      <c r="R259" s="573"/>
      <c r="S259" s="564"/>
      <c r="T259" s="573"/>
      <c r="U259" s="564"/>
      <c r="V259" s="573"/>
      <c r="W259" s="564"/>
      <c r="X259" s="573"/>
      <c r="Y259" s="565"/>
      <c r="Z259" s="565"/>
      <c r="AA259" s="569"/>
      <c r="AB259" s="569"/>
      <c r="AC259" s="569"/>
      <c r="AD259" s="569"/>
      <c r="AE259" s="569"/>
      <c r="AF259" s="569"/>
      <c r="AG259" s="569"/>
      <c r="AH259" s="569"/>
      <c r="AI259" s="569"/>
      <c r="AJ259" s="569"/>
      <c r="AK259" s="569"/>
      <c r="AL259" s="569"/>
      <c r="AM259" s="569"/>
      <c r="AN259" s="569"/>
      <c r="AO259" s="569"/>
      <c r="AP259" s="569"/>
      <c r="AQ259" s="569"/>
      <c r="AR259" s="569"/>
      <c r="AS259" s="569"/>
      <c r="AT259" s="569"/>
      <c r="AU259" s="569"/>
      <c r="AV259" s="569"/>
      <c r="AW259" s="569"/>
      <c r="AX259" s="569"/>
      <c r="AY259" s="569"/>
      <c r="AZ259" s="569"/>
      <c r="BA259" s="569"/>
      <c r="BB259" s="569"/>
      <c r="BC259" s="569"/>
      <c r="BD259" s="569"/>
      <c r="BE259" s="569"/>
      <c r="BF259" s="569"/>
      <c r="BG259" s="569"/>
      <c r="BH259" s="569"/>
      <c r="BI259" s="569"/>
      <c r="BJ259" s="569"/>
      <c r="BK259" s="569"/>
      <c r="BL259" s="569"/>
      <c r="BM259" s="569"/>
      <c r="BN259" s="569"/>
      <c r="BO259" s="569"/>
      <c r="BP259" s="569"/>
      <c r="BQ259" s="569"/>
      <c r="BR259" s="569"/>
      <c r="BS259" s="569"/>
      <c r="BT259" s="569"/>
      <c r="BU259" s="569"/>
      <c r="BV259" s="569"/>
      <c r="BW259" s="569"/>
      <c r="BX259" s="569"/>
      <c r="BY259" s="569"/>
      <c r="BZ259" s="569"/>
      <c r="CA259" s="569"/>
      <c r="CB259" s="569"/>
      <c r="CC259" s="569"/>
      <c r="CD259" s="569"/>
      <c r="CE259" s="569"/>
      <c r="CF259" s="569"/>
      <c r="CG259" s="569"/>
      <c r="CH259" s="569"/>
      <c r="CI259" s="569"/>
      <c r="CJ259" s="569"/>
      <c r="CK259" s="569"/>
      <c r="CL259" s="569"/>
      <c r="CM259" s="569"/>
      <c r="CN259" s="569"/>
      <c r="CO259" s="569"/>
      <c r="CP259" s="569"/>
      <c r="CQ259" s="569"/>
      <c r="CR259" s="569"/>
      <c r="CS259" s="569"/>
      <c r="CT259" s="569"/>
      <c r="CU259" s="569"/>
      <c r="CV259" s="569"/>
      <c r="CW259" s="569"/>
      <c r="CX259" s="569"/>
      <c r="CY259" s="569"/>
      <c r="CZ259" s="569"/>
      <c r="DA259" s="569"/>
      <c r="DB259" s="569"/>
      <c r="DC259" s="569"/>
      <c r="DD259" s="569"/>
      <c r="DE259" s="569"/>
      <c r="DF259" s="569"/>
      <c r="DG259" s="569"/>
      <c r="DH259" s="569"/>
      <c r="DI259" s="569"/>
      <c r="DJ259" s="569"/>
      <c r="DK259" s="569"/>
      <c r="DL259" s="569"/>
      <c r="DM259" s="569"/>
      <c r="DN259" s="569"/>
      <c r="DO259" s="569"/>
      <c r="DP259" s="569"/>
      <c r="DQ259" s="569"/>
      <c r="DR259" s="569"/>
      <c r="DS259" s="569"/>
      <c r="DT259" s="569"/>
      <c r="DU259" s="569"/>
      <c r="DV259" s="569"/>
      <c r="DW259" s="569"/>
      <c r="DX259" s="569"/>
      <c r="DY259" s="569"/>
      <c r="DZ259" s="569"/>
      <c r="EA259" s="569"/>
      <c r="EB259" s="569"/>
      <c r="EC259" s="569"/>
      <c r="ED259" s="569"/>
      <c r="EE259" s="569"/>
      <c r="EF259" s="569"/>
      <c r="EG259" s="569"/>
      <c r="EH259" s="569"/>
      <c r="EI259" s="569"/>
      <c r="EJ259" s="569"/>
      <c r="EK259" s="569"/>
      <c r="EL259" s="569"/>
      <c r="EM259" s="569"/>
      <c r="EN259" s="569"/>
      <c r="EO259" s="569"/>
      <c r="EP259" s="569"/>
      <c r="EQ259" s="569"/>
      <c r="ER259" s="569"/>
      <c r="ES259" s="569"/>
      <c r="ET259" s="569"/>
      <c r="EU259" s="569"/>
      <c r="EV259" s="569"/>
      <c r="EW259" s="569"/>
      <c r="EX259" s="569"/>
      <c r="EY259" s="569"/>
      <c r="EZ259" s="569"/>
      <c r="FA259" s="569"/>
      <c r="FB259" s="569"/>
      <c r="FC259" s="569"/>
      <c r="FD259" s="569"/>
      <c r="FE259" s="569"/>
      <c r="FF259" s="569"/>
      <c r="FG259" s="569"/>
      <c r="FH259" s="569"/>
      <c r="FI259" s="569"/>
      <c r="FJ259" s="569"/>
      <c r="FK259" s="569"/>
      <c r="FL259" s="569"/>
      <c r="FM259" s="569"/>
      <c r="FN259" s="569"/>
      <c r="FO259" s="569"/>
      <c r="FP259" s="569"/>
      <c r="FQ259" s="569"/>
      <c r="FR259" s="569"/>
      <c r="FS259" s="569"/>
      <c r="FT259" s="569"/>
      <c r="FU259" s="569"/>
      <c r="FV259" s="569"/>
      <c r="FW259" s="569"/>
      <c r="FX259" s="569"/>
      <c r="FY259" s="569"/>
      <c r="FZ259" s="569"/>
      <c r="GA259" s="569"/>
      <c r="GB259" s="569"/>
      <c r="GC259" s="569"/>
      <c r="GD259" s="569"/>
      <c r="GE259" s="569"/>
      <c r="GF259" s="569"/>
      <c r="GG259" s="569"/>
      <c r="GH259" s="569"/>
      <c r="GI259" s="569"/>
      <c r="GJ259" s="569"/>
      <c r="GK259" s="569"/>
      <c r="GL259" s="569"/>
      <c r="GM259" s="569"/>
      <c r="GN259" s="569"/>
      <c r="GO259" s="569"/>
      <c r="GP259" s="569"/>
      <c r="GQ259" s="569"/>
      <c r="GR259" s="569"/>
      <c r="GS259" s="569"/>
      <c r="GT259" s="569"/>
      <c r="GU259" s="569"/>
      <c r="GV259" s="569"/>
      <c r="GW259" s="569"/>
      <c r="GX259" s="569"/>
      <c r="GY259" s="569"/>
      <c r="GZ259" s="569"/>
      <c r="HA259" s="569"/>
      <c r="HB259" s="569"/>
      <c r="HC259" s="569"/>
      <c r="HD259" s="569"/>
      <c r="HE259" s="569"/>
      <c r="HF259" s="569"/>
      <c r="HG259" s="569"/>
      <c r="HH259" s="569"/>
      <c r="HI259" s="569"/>
      <c r="HJ259" s="569"/>
      <c r="HK259" s="569"/>
      <c r="HL259" s="569"/>
      <c r="HM259" s="569"/>
      <c r="HN259" s="569"/>
      <c r="HO259" s="569"/>
      <c r="HP259" s="569"/>
      <c r="HQ259" s="569"/>
      <c r="HR259" s="569"/>
      <c r="HS259" s="569"/>
      <c r="HT259" s="569"/>
      <c r="HU259" s="569"/>
      <c r="HV259" s="569"/>
      <c r="HW259" s="569"/>
      <c r="HX259" s="569"/>
      <c r="HY259" s="569"/>
      <c r="HZ259" s="569"/>
      <c r="IA259" s="569"/>
      <c r="IB259" s="569"/>
      <c r="IC259" s="569"/>
      <c r="ID259" s="569"/>
      <c r="IE259" s="569"/>
      <c r="IF259" s="569"/>
      <c r="IG259" s="569"/>
      <c r="IH259" s="569"/>
      <c r="II259" s="569"/>
      <c r="IJ259" s="569"/>
      <c r="IK259" s="569"/>
      <c r="IL259" s="569"/>
      <c r="IM259" s="569"/>
      <c r="IN259" s="569"/>
      <c r="IO259" s="569"/>
      <c r="IP259" s="569"/>
      <c r="IQ259" s="569"/>
      <c r="IR259" s="569"/>
      <c r="IS259" s="569"/>
      <c r="IT259" s="569"/>
      <c r="IU259" s="569"/>
      <c r="IV259" s="569"/>
      <c r="IW259" s="569"/>
      <c r="IX259" s="569"/>
      <c r="IY259" s="569"/>
      <c r="IZ259" s="569"/>
      <c r="JA259" s="569"/>
      <c r="JB259" s="569"/>
      <c r="JC259" s="569"/>
      <c r="JD259" s="569"/>
      <c r="JE259" s="569"/>
      <c r="JF259" s="569"/>
      <c r="JG259" s="569"/>
      <c r="JH259" s="569"/>
      <c r="JI259" s="569"/>
      <c r="JJ259" s="569"/>
      <c r="JK259" s="569"/>
      <c r="JL259" s="569"/>
      <c r="JM259" s="569"/>
      <c r="JN259" s="569"/>
      <c r="JO259" s="569"/>
      <c r="JP259" s="569"/>
      <c r="JQ259" s="569"/>
      <c r="JR259" s="569"/>
      <c r="JS259" s="569"/>
      <c r="JT259" s="569"/>
      <c r="JU259" s="569"/>
      <c r="JV259" s="569"/>
      <c r="JW259" s="569"/>
      <c r="JX259" s="569"/>
      <c r="JY259" s="569"/>
      <c r="JZ259" s="569"/>
      <c r="KA259" s="569"/>
      <c r="KB259" s="569"/>
      <c r="KC259" s="569"/>
      <c r="KD259" s="569"/>
      <c r="KE259" s="569"/>
      <c r="KF259" s="569"/>
      <c r="KG259" s="569"/>
      <c r="KH259" s="569"/>
      <c r="KI259" s="569"/>
      <c r="KJ259" s="569"/>
      <c r="KK259" s="569"/>
      <c r="KL259" s="569"/>
      <c r="KM259" s="569"/>
      <c r="KN259" s="569"/>
      <c r="KO259" s="569"/>
      <c r="KP259" s="569"/>
      <c r="KQ259" s="569"/>
      <c r="KR259" s="569"/>
      <c r="KS259" s="569"/>
      <c r="KT259" s="569"/>
      <c r="KU259" s="569"/>
      <c r="KV259" s="569"/>
      <c r="KW259" s="569"/>
      <c r="KX259" s="569"/>
      <c r="KY259" s="569"/>
      <c r="KZ259" s="569"/>
      <c r="LA259" s="569"/>
      <c r="LB259" s="569"/>
      <c r="LC259" s="569"/>
      <c r="LD259" s="569"/>
      <c r="LE259" s="569"/>
      <c r="LF259" s="569"/>
      <c r="LG259" s="569"/>
      <c r="LH259" s="569"/>
      <c r="LI259" s="569"/>
      <c r="LJ259" s="569"/>
      <c r="LK259" s="569"/>
      <c r="LL259" s="569"/>
      <c r="LM259" s="569"/>
      <c r="LN259" s="569"/>
      <c r="LO259" s="569"/>
      <c r="LP259" s="569"/>
      <c r="LQ259" s="569"/>
      <c r="LR259" s="569"/>
      <c r="LS259" s="569"/>
      <c r="LT259" s="569"/>
      <c r="LU259" s="569"/>
      <c r="LV259" s="569"/>
      <c r="LW259" s="569"/>
      <c r="LX259" s="569"/>
      <c r="LY259" s="569"/>
      <c r="LZ259" s="569"/>
      <c r="MA259" s="569"/>
      <c r="MB259" s="569"/>
      <c r="MC259" s="569"/>
      <c r="MD259" s="569"/>
      <c r="ME259" s="569"/>
      <c r="MF259" s="569"/>
      <c r="MG259" s="569"/>
      <c r="MH259" s="569"/>
      <c r="MI259" s="569"/>
      <c r="MJ259" s="569"/>
      <c r="MK259" s="569"/>
      <c r="ML259" s="569"/>
      <c r="MM259" s="569"/>
      <c r="MN259" s="569"/>
      <c r="MO259" s="569"/>
      <c r="MP259" s="569"/>
      <c r="MQ259" s="569"/>
      <c r="MR259" s="569"/>
      <c r="MS259" s="569"/>
      <c r="MT259" s="569"/>
      <c r="MU259" s="569"/>
      <c r="MV259" s="569"/>
      <c r="MW259" s="569"/>
      <c r="MX259" s="569"/>
      <c r="MY259" s="569"/>
      <c r="MZ259" s="569"/>
      <c r="NA259" s="569"/>
      <c r="NB259" s="569"/>
      <c r="NC259" s="569"/>
      <c r="ND259" s="569"/>
      <c r="NE259" s="569"/>
      <c r="NF259" s="569"/>
      <c r="NG259" s="569"/>
      <c r="NH259" s="569"/>
      <c r="NI259" s="569"/>
      <c r="NJ259" s="569"/>
      <c r="NK259" s="569"/>
      <c r="NL259" s="569"/>
      <c r="NM259" s="569"/>
      <c r="NN259" s="569"/>
      <c r="NO259" s="569"/>
      <c r="NP259" s="569"/>
      <c r="NQ259" s="569"/>
      <c r="NR259" s="569"/>
      <c r="NS259" s="569"/>
      <c r="NT259" s="569"/>
      <c r="NU259" s="569"/>
      <c r="NV259" s="569"/>
      <c r="NW259" s="569"/>
      <c r="NX259" s="569"/>
      <c r="NY259" s="569"/>
      <c r="NZ259" s="569"/>
      <c r="OA259" s="569"/>
      <c r="OB259" s="569"/>
      <c r="OC259" s="569"/>
      <c r="OD259" s="569"/>
      <c r="OE259" s="569"/>
      <c r="OF259" s="569"/>
      <c r="OG259" s="569"/>
      <c r="OH259" s="569"/>
      <c r="OI259" s="569"/>
      <c r="OJ259" s="569"/>
      <c r="OK259" s="569"/>
      <c r="OL259" s="569"/>
      <c r="OM259" s="569"/>
      <c r="ON259" s="569"/>
      <c r="OO259" s="569"/>
      <c r="OP259" s="569"/>
      <c r="OQ259" s="569"/>
      <c r="OR259" s="569"/>
      <c r="OS259" s="569"/>
      <c r="OT259" s="569"/>
      <c r="OU259" s="569"/>
      <c r="OV259" s="569"/>
      <c r="OW259" s="569"/>
      <c r="OX259" s="569"/>
      <c r="OY259" s="569"/>
      <c r="OZ259" s="569"/>
      <c r="PA259" s="569"/>
      <c r="PB259" s="569"/>
      <c r="PC259" s="569"/>
      <c r="PD259" s="569"/>
      <c r="PE259" s="569"/>
      <c r="PF259" s="569"/>
      <c r="PG259" s="569"/>
      <c r="PH259" s="569"/>
      <c r="PI259" s="569"/>
      <c r="PJ259" s="569"/>
      <c r="PK259" s="569"/>
      <c r="PL259" s="569"/>
      <c r="PM259" s="569"/>
      <c r="PN259" s="569"/>
      <c r="PO259" s="569"/>
      <c r="PP259" s="569"/>
      <c r="PQ259" s="569"/>
      <c r="PR259" s="569"/>
      <c r="PS259" s="569"/>
      <c r="PT259" s="569"/>
      <c r="PU259" s="569"/>
      <c r="PV259" s="569"/>
      <c r="PW259" s="569"/>
      <c r="PX259" s="569"/>
      <c r="PY259" s="569"/>
      <c r="PZ259" s="569"/>
      <c r="QA259" s="569"/>
      <c r="QB259" s="569"/>
      <c r="QC259" s="569"/>
      <c r="QD259" s="569"/>
      <c r="QE259" s="569"/>
      <c r="QF259" s="569"/>
      <c r="QG259" s="569"/>
      <c r="QH259" s="569"/>
      <c r="QI259" s="569"/>
      <c r="QJ259" s="569"/>
      <c r="QK259" s="569"/>
      <c r="QL259" s="569"/>
    </row>
    <row r="260" spans="1:454" s="574" customFormat="1" ht="30">
      <c r="A260" s="569"/>
      <c r="B260" s="575">
        <v>4</v>
      </c>
      <c r="C260" s="576" t="str">
        <f>'matrik MISI 3'!B18</f>
        <v>PERUMAHAN RAKYAT</v>
      </c>
      <c r="D260" s="577">
        <f>'matrik MISI 3'!J18</f>
        <v>1.04</v>
      </c>
      <c r="E260" s="577" t="str">
        <f>'matrik MISI 3'!K18</f>
        <v>xx</v>
      </c>
      <c r="F260" s="577">
        <f>'matrik MISI 3'!L18</f>
        <v>16</v>
      </c>
      <c r="G260" s="577" t="str">
        <f>'matrik MISI 3'!M18</f>
        <v>Program Lingkungan Sehat Perumahan</v>
      </c>
      <c r="H260" s="577"/>
      <c r="I260" s="577"/>
      <c r="J260" s="577"/>
      <c r="K260" s="577"/>
      <c r="L260" s="577"/>
      <c r="M260" s="578">
        <f>'jangan dihapus 2'!K347+'jangan dihapus 2'!K351</f>
        <v>1244068700</v>
      </c>
      <c r="N260" s="578"/>
      <c r="O260" s="578">
        <f>'jangan dihapus 2'!M347+'jangan dihapus 2'!M351</f>
        <v>355912500</v>
      </c>
      <c r="P260" s="578"/>
      <c r="Q260" s="578">
        <f>'jangan dihapus 2'!O347+'jangan dihapus 2'!O351</f>
        <v>340000000</v>
      </c>
      <c r="R260" s="578"/>
      <c r="S260" s="578">
        <f>'jangan dihapus 2'!Q347+'jangan dihapus 2'!Q351</f>
        <v>340000000</v>
      </c>
      <c r="T260" s="578"/>
      <c r="U260" s="578">
        <f>'jangan dihapus 2'!S347+'jangan dihapus 2'!S351</f>
        <v>340000000</v>
      </c>
      <c r="V260" s="577"/>
      <c r="W260" s="578">
        <f>SUM(M260:U260)</f>
        <v>2619981200</v>
      </c>
      <c r="X260" s="577"/>
      <c r="Y260" s="577"/>
      <c r="Z260" s="577"/>
      <c r="AA260" s="569"/>
      <c r="AB260" s="569"/>
      <c r="AC260" s="569"/>
      <c r="AD260" s="569"/>
      <c r="AE260" s="569"/>
      <c r="AF260" s="569"/>
      <c r="AG260" s="569"/>
      <c r="AH260" s="569"/>
      <c r="AI260" s="569"/>
      <c r="AJ260" s="569"/>
      <c r="AK260" s="569"/>
      <c r="AL260" s="569"/>
      <c r="AM260" s="569"/>
      <c r="AN260" s="569"/>
      <c r="AO260" s="569"/>
      <c r="AP260" s="569"/>
      <c r="AQ260" s="569"/>
      <c r="AR260" s="569"/>
      <c r="AS260" s="569"/>
      <c r="AT260" s="569"/>
      <c r="AU260" s="569"/>
      <c r="AV260" s="569"/>
      <c r="AW260" s="569"/>
      <c r="AX260" s="569"/>
      <c r="AY260" s="569"/>
      <c r="AZ260" s="569"/>
      <c r="BA260" s="569"/>
      <c r="BB260" s="569"/>
      <c r="BC260" s="569"/>
      <c r="BD260" s="569"/>
      <c r="BE260" s="569"/>
      <c r="BF260" s="569"/>
      <c r="BG260" s="569"/>
      <c r="BH260" s="569"/>
      <c r="BI260" s="569"/>
      <c r="BJ260" s="569"/>
      <c r="BK260" s="569"/>
      <c r="BL260" s="569"/>
      <c r="BM260" s="569"/>
      <c r="BN260" s="569"/>
      <c r="BO260" s="569"/>
      <c r="BP260" s="569"/>
      <c r="BQ260" s="569"/>
      <c r="BR260" s="569"/>
      <c r="BS260" s="569"/>
      <c r="BT260" s="569"/>
      <c r="BU260" s="569"/>
      <c r="BV260" s="569"/>
      <c r="BW260" s="569"/>
      <c r="BX260" s="569"/>
      <c r="BY260" s="569"/>
      <c r="BZ260" s="569"/>
      <c r="CA260" s="569"/>
      <c r="CB260" s="569"/>
      <c r="CC260" s="569"/>
      <c r="CD260" s="569"/>
      <c r="CE260" s="569"/>
      <c r="CF260" s="569"/>
      <c r="CG260" s="569"/>
      <c r="CH260" s="569"/>
      <c r="CI260" s="569"/>
      <c r="CJ260" s="569"/>
      <c r="CK260" s="569"/>
      <c r="CL260" s="569"/>
      <c r="CM260" s="569"/>
      <c r="CN260" s="569"/>
      <c r="CO260" s="569"/>
      <c r="CP260" s="569"/>
      <c r="CQ260" s="569"/>
      <c r="CR260" s="569"/>
      <c r="CS260" s="569"/>
      <c r="CT260" s="569"/>
      <c r="CU260" s="569"/>
      <c r="CV260" s="569"/>
      <c r="CW260" s="569"/>
      <c r="CX260" s="569"/>
      <c r="CY260" s="569"/>
      <c r="CZ260" s="569"/>
      <c r="DA260" s="569"/>
      <c r="DB260" s="569"/>
      <c r="DC260" s="569"/>
      <c r="DD260" s="569"/>
      <c r="DE260" s="569"/>
      <c r="DF260" s="569"/>
      <c r="DG260" s="569"/>
      <c r="DH260" s="569"/>
      <c r="DI260" s="569"/>
      <c r="DJ260" s="569"/>
      <c r="DK260" s="569"/>
      <c r="DL260" s="569"/>
      <c r="DM260" s="569"/>
      <c r="DN260" s="569"/>
      <c r="DO260" s="569"/>
      <c r="DP260" s="569"/>
      <c r="DQ260" s="569"/>
      <c r="DR260" s="569"/>
      <c r="DS260" s="569"/>
      <c r="DT260" s="569"/>
      <c r="DU260" s="569"/>
      <c r="DV260" s="569"/>
      <c r="DW260" s="569"/>
      <c r="DX260" s="569"/>
      <c r="DY260" s="569"/>
      <c r="DZ260" s="569"/>
      <c r="EA260" s="569"/>
      <c r="EB260" s="569"/>
      <c r="EC260" s="569"/>
      <c r="ED260" s="569"/>
      <c r="EE260" s="569"/>
      <c r="EF260" s="569"/>
      <c r="EG260" s="569"/>
      <c r="EH260" s="569"/>
      <c r="EI260" s="569"/>
      <c r="EJ260" s="569"/>
      <c r="EK260" s="569"/>
      <c r="EL260" s="569"/>
      <c r="EM260" s="569"/>
      <c r="EN260" s="569"/>
      <c r="EO260" s="569"/>
      <c r="EP260" s="569"/>
      <c r="EQ260" s="569"/>
      <c r="ER260" s="569"/>
      <c r="ES260" s="569"/>
      <c r="ET260" s="569"/>
      <c r="EU260" s="569"/>
      <c r="EV260" s="569"/>
      <c r="EW260" s="569"/>
      <c r="EX260" s="569"/>
      <c r="EY260" s="569"/>
      <c r="EZ260" s="569"/>
      <c r="FA260" s="569"/>
      <c r="FB260" s="569"/>
      <c r="FC260" s="569"/>
      <c r="FD260" s="569"/>
      <c r="FE260" s="569"/>
      <c r="FF260" s="569"/>
      <c r="FG260" s="569"/>
      <c r="FH260" s="569"/>
      <c r="FI260" s="569"/>
      <c r="FJ260" s="569"/>
      <c r="FK260" s="569"/>
      <c r="FL260" s="569"/>
      <c r="FM260" s="569"/>
      <c r="FN260" s="569"/>
      <c r="FO260" s="569"/>
      <c r="FP260" s="569"/>
      <c r="FQ260" s="569"/>
      <c r="FR260" s="569"/>
      <c r="FS260" s="569"/>
      <c r="FT260" s="569"/>
      <c r="FU260" s="569"/>
      <c r="FV260" s="569"/>
      <c r="FW260" s="569"/>
      <c r="FX260" s="569"/>
      <c r="FY260" s="569"/>
      <c r="FZ260" s="569"/>
      <c r="GA260" s="569"/>
      <c r="GB260" s="569"/>
      <c r="GC260" s="569"/>
      <c r="GD260" s="569"/>
      <c r="GE260" s="569"/>
      <c r="GF260" s="569"/>
      <c r="GG260" s="569"/>
      <c r="GH260" s="569"/>
      <c r="GI260" s="569"/>
      <c r="GJ260" s="569"/>
      <c r="GK260" s="569"/>
      <c r="GL260" s="569"/>
      <c r="GM260" s="569"/>
      <c r="GN260" s="569"/>
      <c r="GO260" s="569"/>
      <c r="GP260" s="569"/>
      <c r="GQ260" s="569"/>
      <c r="GR260" s="569"/>
      <c r="GS260" s="569"/>
      <c r="GT260" s="569"/>
      <c r="GU260" s="569"/>
      <c r="GV260" s="569"/>
      <c r="GW260" s="569"/>
      <c r="GX260" s="569"/>
      <c r="GY260" s="569"/>
      <c r="GZ260" s="569"/>
      <c r="HA260" s="569"/>
      <c r="HB260" s="569"/>
      <c r="HC260" s="569"/>
      <c r="HD260" s="569"/>
      <c r="HE260" s="569"/>
      <c r="HF260" s="569"/>
      <c r="HG260" s="569"/>
      <c r="HH260" s="569"/>
      <c r="HI260" s="569"/>
      <c r="HJ260" s="569"/>
      <c r="HK260" s="569"/>
      <c r="HL260" s="569"/>
      <c r="HM260" s="569"/>
      <c r="HN260" s="569"/>
      <c r="HO260" s="569"/>
      <c r="HP260" s="569"/>
      <c r="HQ260" s="569"/>
      <c r="HR260" s="569"/>
      <c r="HS260" s="569"/>
      <c r="HT260" s="569"/>
      <c r="HU260" s="569"/>
      <c r="HV260" s="569"/>
      <c r="HW260" s="569"/>
      <c r="HX260" s="569"/>
      <c r="HY260" s="569"/>
      <c r="HZ260" s="569"/>
      <c r="IA260" s="569"/>
      <c r="IB260" s="569"/>
      <c r="IC260" s="569"/>
      <c r="ID260" s="569"/>
      <c r="IE260" s="569"/>
      <c r="IF260" s="569"/>
      <c r="IG260" s="569"/>
      <c r="IH260" s="569"/>
      <c r="II260" s="569"/>
      <c r="IJ260" s="569"/>
      <c r="IK260" s="569"/>
      <c r="IL260" s="569"/>
      <c r="IM260" s="569"/>
      <c r="IN260" s="569"/>
      <c r="IO260" s="569"/>
      <c r="IP260" s="569"/>
      <c r="IQ260" s="569"/>
      <c r="IR260" s="569"/>
      <c r="IS260" s="569"/>
      <c r="IT260" s="569"/>
      <c r="IU260" s="569"/>
      <c r="IV260" s="569"/>
      <c r="IW260" s="569"/>
      <c r="IX260" s="569"/>
      <c r="IY260" s="569"/>
      <c r="IZ260" s="569"/>
      <c r="JA260" s="569"/>
      <c r="JB260" s="569"/>
      <c r="JC260" s="569"/>
      <c r="JD260" s="569"/>
      <c r="JE260" s="569"/>
      <c r="JF260" s="569"/>
      <c r="JG260" s="569"/>
      <c r="JH260" s="569"/>
      <c r="JI260" s="569"/>
      <c r="JJ260" s="569"/>
      <c r="JK260" s="569"/>
      <c r="JL260" s="569"/>
      <c r="JM260" s="569"/>
      <c r="JN260" s="569"/>
      <c r="JO260" s="569"/>
      <c r="JP260" s="569"/>
      <c r="JQ260" s="569"/>
      <c r="JR260" s="569"/>
      <c r="JS260" s="569"/>
      <c r="JT260" s="569"/>
      <c r="JU260" s="569"/>
      <c r="JV260" s="569"/>
      <c r="JW260" s="569"/>
      <c r="JX260" s="569"/>
      <c r="JY260" s="569"/>
      <c r="JZ260" s="569"/>
      <c r="KA260" s="569"/>
      <c r="KB260" s="569"/>
      <c r="KC260" s="569"/>
      <c r="KD260" s="569"/>
      <c r="KE260" s="569"/>
      <c r="KF260" s="569"/>
      <c r="KG260" s="569"/>
      <c r="KH260" s="569"/>
      <c r="KI260" s="569"/>
      <c r="KJ260" s="569"/>
      <c r="KK260" s="569"/>
      <c r="KL260" s="569"/>
      <c r="KM260" s="569"/>
      <c r="KN260" s="569"/>
      <c r="KO260" s="569"/>
      <c r="KP260" s="569"/>
      <c r="KQ260" s="569"/>
      <c r="KR260" s="569"/>
      <c r="KS260" s="569"/>
      <c r="KT260" s="569"/>
      <c r="KU260" s="569"/>
      <c r="KV260" s="569"/>
      <c r="KW260" s="569"/>
      <c r="KX260" s="569"/>
      <c r="KY260" s="569"/>
      <c r="KZ260" s="569"/>
      <c r="LA260" s="569"/>
      <c r="LB260" s="569"/>
      <c r="LC260" s="569"/>
      <c r="LD260" s="569"/>
      <c r="LE260" s="569"/>
      <c r="LF260" s="569"/>
      <c r="LG260" s="569"/>
      <c r="LH260" s="569"/>
      <c r="LI260" s="569"/>
      <c r="LJ260" s="569"/>
      <c r="LK260" s="569"/>
      <c r="LL260" s="569"/>
      <c r="LM260" s="569"/>
      <c r="LN260" s="569"/>
      <c r="LO260" s="569"/>
      <c r="LP260" s="569"/>
      <c r="LQ260" s="569"/>
      <c r="LR260" s="569"/>
      <c r="LS260" s="569"/>
      <c r="LT260" s="569"/>
      <c r="LU260" s="569"/>
      <c r="LV260" s="569"/>
      <c r="LW260" s="569"/>
      <c r="LX260" s="569"/>
      <c r="LY260" s="569"/>
      <c r="LZ260" s="569"/>
      <c r="MA260" s="569"/>
      <c r="MB260" s="569"/>
      <c r="MC260" s="569"/>
      <c r="MD260" s="569"/>
      <c r="ME260" s="569"/>
      <c r="MF260" s="569"/>
      <c r="MG260" s="569"/>
      <c r="MH260" s="569"/>
      <c r="MI260" s="569"/>
      <c r="MJ260" s="569"/>
      <c r="MK260" s="569"/>
      <c r="ML260" s="569"/>
      <c r="MM260" s="569"/>
      <c r="MN260" s="569"/>
      <c r="MO260" s="569"/>
      <c r="MP260" s="569"/>
      <c r="MQ260" s="569"/>
      <c r="MR260" s="569"/>
      <c r="MS260" s="569"/>
      <c r="MT260" s="569"/>
      <c r="MU260" s="569"/>
      <c r="MV260" s="569"/>
      <c r="MW260" s="569"/>
      <c r="MX260" s="569"/>
      <c r="MY260" s="569"/>
      <c r="MZ260" s="569"/>
      <c r="NA260" s="569"/>
      <c r="NB260" s="569"/>
      <c r="NC260" s="569"/>
      <c r="ND260" s="569"/>
      <c r="NE260" s="569"/>
      <c r="NF260" s="569"/>
      <c r="NG260" s="569"/>
      <c r="NH260" s="569"/>
      <c r="NI260" s="569"/>
      <c r="NJ260" s="569"/>
      <c r="NK260" s="569"/>
      <c r="NL260" s="569"/>
      <c r="NM260" s="569"/>
      <c r="NN260" s="569"/>
      <c r="NO260" s="569"/>
      <c r="NP260" s="569"/>
      <c r="NQ260" s="569"/>
      <c r="NR260" s="569"/>
      <c r="NS260" s="569"/>
      <c r="NT260" s="569"/>
      <c r="NU260" s="569"/>
      <c r="NV260" s="569"/>
      <c r="NW260" s="569"/>
      <c r="NX260" s="569"/>
      <c r="NY260" s="569"/>
      <c r="NZ260" s="569"/>
      <c r="OA260" s="569"/>
      <c r="OB260" s="569"/>
      <c r="OC260" s="569"/>
      <c r="OD260" s="569"/>
      <c r="OE260" s="569"/>
      <c r="OF260" s="569"/>
      <c r="OG260" s="569"/>
      <c r="OH260" s="569"/>
      <c r="OI260" s="569"/>
      <c r="OJ260" s="569"/>
      <c r="OK260" s="569"/>
      <c r="OL260" s="569"/>
      <c r="OM260" s="569"/>
      <c r="ON260" s="569"/>
      <c r="OO260" s="569"/>
      <c r="OP260" s="569"/>
      <c r="OQ260" s="569"/>
      <c r="OR260" s="569"/>
      <c r="OS260" s="569"/>
      <c r="OT260" s="569"/>
      <c r="OU260" s="569"/>
      <c r="OV260" s="569"/>
      <c r="OW260" s="569"/>
      <c r="OX260" s="569"/>
      <c r="OY260" s="569"/>
      <c r="OZ260" s="569"/>
      <c r="PA260" s="569"/>
      <c r="PB260" s="569"/>
      <c r="PC260" s="569"/>
      <c r="PD260" s="569"/>
      <c r="PE260" s="569"/>
      <c r="PF260" s="569"/>
      <c r="PG260" s="569"/>
      <c r="PH260" s="569"/>
      <c r="PI260" s="569"/>
      <c r="PJ260" s="569"/>
      <c r="PK260" s="569"/>
      <c r="PL260" s="569"/>
      <c r="PM260" s="569"/>
      <c r="PN260" s="569"/>
      <c r="PO260" s="569"/>
      <c r="PP260" s="569"/>
      <c r="PQ260" s="569"/>
      <c r="PR260" s="569"/>
      <c r="PS260" s="569"/>
      <c r="PT260" s="569"/>
      <c r="PU260" s="569"/>
      <c r="PV260" s="569"/>
      <c r="PW260" s="569"/>
      <c r="PX260" s="569"/>
      <c r="PY260" s="569"/>
      <c r="PZ260" s="569"/>
      <c r="QA260" s="569"/>
      <c r="QB260" s="569"/>
      <c r="QC260" s="569"/>
      <c r="QD260" s="569"/>
      <c r="QE260" s="569"/>
      <c r="QF260" s="569"/>
      <c r="QG260" s="569"/>
      <c r="QH260" s="569"/>
      <c r="QI260" s="569"/>
      <c r="QJ260" s="569"/>
      <c r="QK260" s="569"/>
      <c r="QL260" s="569"/>
    </row>
    <row r="261" spans="1:454" ht="30">
      <c r="B261" s="568"/>
      <c r="C261" s="568"/>
      <c r="D261" s="568"/>
      <c r="E261" s="568"/>
      <c r="F261" s="568"/>
      <c r="G261" s="568"/>
      <c r="H261" s="565" t="str">
        <f>'matrik MISI 3'!N18</f>
        <v>Cakupan Ketersediaan Rumah Layak Huni</v>
      </c>
      <c r="I261" s="565" t="str">
        <f>'matrik MISI 3'!O18</f>
        <v>%</v>
      </c>
      <c r="J261" s="565" t="str">
        <f>'matrik MISI 3'!P18</f>
        <v>94.3</v>
      </c>
      <c r="K261" s="565" t="str">
        <f>'matrik MISI 3'!Q18</f>
        <v>94.6</v>
      </c>
      <c r="L261" s="565">
        <f>'matrik MISI 3'!R18</f>
        <v>94.92</v>
      </c>
      <c r="M261" s="604"/>
      <c r="N261" s="565">
        <f>'matrik MISI 3'!S18</f>
        <v>95.24</v>
      </c>
      <c r="O261" s="564"/>
      <c r="P261" s="565">
        <f>'matrik MISI 3'!T18</f>
        <v>95.559999999999988</v>
      </c>
      <c r="Q261" s="564"/>
      <c r="R261" s="565">
        <f>'matrik MISI 3'!U18</f>
        <v>95.879999999999981</v>
      </c>
      <c r="S261" s="564"/>
      <c r="T261" s="565">
        <f>'matrik MISI 3'!V18</f>
        <v>96.199999999999974</v>
      </c>
      <c r="U261" s="564"/>
      <c r="V261" s="565">
        <f>'matrik MISI 3'!W18</f>
        <v>96.199999999999974</v>
      </c>
      <c r="W261" s="564"/>
      <c r="X261" s="565" t="str">
        <f>'matrik MISI 3'!X18</f>
        <v>Dinas Sosial, DPU, Bapermades</v>
      </c>
      <c r="Y261" s="565" t="str">
        <f>'matrik MISI 3'!Y18</f>
        <v>jumlah Rumah layak huni  dibagi  jumlah rumah yang ada x 100 %</v>
      </c>
      <c r="Z261" s="565" t="str">
        <f>'matrik MISI 3'!Z18</f>
        <v>penambahan 650 rumah per tahun</v>
      </c>
    </row>
    <row r="262" spans="1:454" ht="45">
      <c r="C262" s="561"/>
      <c r="D262" s="565"/>
      <c r="E262" s="565"/>
      <c r="F262" s="565"/>
      <c r="G262" s="565"/>
      <c r="H262" s="565" t="str">
        <f>'matrik MISI 3'!N19</f>
        <v>berkurangnya Luasan Permukiman Kumuh di kawasan perkotaan</v>
      </c>
      <c r="I262" s="565" t="str">
        <f>'matrik MISI 3'!O19</f>
        <v>Hektar (Ha)</v>
      </c>
      <c r="J262" s="565">
        <f>'matrik MISI 3'!P19</f>
        <v>35.56</v>
      </c>
      <c r="K262" s="565">
        <f>'matrik MISI 3'!Q19</f>
        <v>35.56</v>
      </c>
      <c r="L262" s="565">
        <f>'matrik MISI 3'!R19</f>
        <v>32.36</v>
      </c>
      <c r="M262" s="604"/>
      <c r="N262" s="565">
        <f>'matrik MISI 3'!S19</f>
        <v>28.81</v>
      </c>
      <c r="O262" s="564"/>
      <c r="P262" s="565">
        <f>'matrik MISI 3'!T19</f>
        <v>25.42</v>
      </c>
      <c r="Q262" s="564"/>
      <c r="R262" s="565">
        <f>'matrik MISI 3'!U19</f>
        <v>22.3</v>
      </c>
      <c r="S262" s="564"/>
      <c r="T262" s="565">
        <f>'matrik MISI 3'!V19</f>
        <v>19.91</v>
      </c>
      <c r="U262" s="564"/>
      <c r="V262" s="565">
        <f>'matrik MISI 3'!W19</f>
        <v>19.91</v>
      </c>
      <c r="W262" s="564"/>
      <c r="X262" s="565" t="str">
        <f>'matrik MISI 3'!X19</f>
        <v>DPU</v>
      </c>
      <c r="Y262" s="565" t="str">
        <f>'matrik MISI 3'!Y19</f>
        <v>jumlah luasan kawasan kumuh perkotaan yang ada</v>
      </c>
      <c r="Z262" s="565">
        <f>'matrik MISI 3'!Z19</f>
        <v>0</v>
      </c>
    </row>
    <row r="263" spans="1:454" ht="30">
      <c r="C263" s="561"/>
      <c r="D263" s="565"/>
      <c r="E263" s="565"/>
      <c r="F263" s="565"/>
      <c r="G263" s="565"/>
      <c r="H263" s="565" t="str">
        <f>'matrik MISI 3'!N20</f>
        <v xml:space="preserve">Cakupan Layanan Air Minum yang layak </v>
      </c>
      <c r="I263" s="565" t="str">
        <f>'matrik MISI 3'!O20</f>
        <v>%</v>
      </c>
      <c r="J263" s="565">
        <f>'matrik MISI 3'!P20</f>
        <v>74.48</v>
      </c>
      <c r="K263" s="565">
        <f>'matrik MISI 3'!Q20</f>
        <v>82.48</v>
      </c>
      <c r="L263" s="565">
        <f>'matrik MISI 3'!R20</f>
        <v>84.5</v>
      </c>
      <c r="M263" s="604"/>
      <c r="N263" s="565">
        <f>'matrik MISI 3'!S20</f>
        <v>86.6</v>
      </c>
      <c r="O263" s="564"/>
      <c r="P263" s="565">
        <f>'matrik MISI 3'!T20</f>
        <v>88.1</v>
      </c>
      <c r="Q263" s="564"/>
      <c r="R263" s="565">
        <f>'matrik MISI 3'!U20</f>
        <v>90.2</v>
      </c>
      <c r="S263" s="564"/>
      <c r="T263" s="565">
        <f>'matrik MISI 3'!V20</f>
        <v>91.3</v>
      </c>
      <c r="U263" s="564"/>
      <c r="V263" s="565">
        <f>'matrik MISI 3'!W20</f>
        <v>91.3</v>
      </c>
      <c r="W263" s="564"/>
      <c r="X263" s="565" t="str">
        <f>'matrik MISI 3'!X20</f>
        <v>DPU</v>
      </c>
      <c r="Y263" s="565" t="str">
        <f>'matrik MISI 3'!Y20</f>
        <v>jumlah rumah tangga yang memiliki akses air minum layak / jumlah rumah tangga yang ada x 100%</v>
      </c>
      <c r="Z263" s="565">
        <f>'matrik MISI 3'!Z20</f>
        <v>0</v>
      </c>
    </row>
    <row r="264" spans="1:454" ht="30">
      <c r="C264" s="561"/>
      <c r="D264" s="565"/>
      <c r="E264" s="565"/>
      <c r="F264" s="565"/>
      <c r="G264" s="565"/>
      <c r="H264" s="565" t="str">
        <f>'matrik MISI 3'!N21</f>
        <v>Cakupan sanitasi pemukiman yang layak</v>
      </c>
      <c r="I264" s="565" t="str">
        <f>'matrik MISI 3'!O21</f>
        <v>%</v>
      </c>
      <c r="J264" s="565">
        <f>'matrik MISI 3'!P21</f>
        <v>70.709999999999994</v>
      </c>
      <c r="K264" s="565">
        <f>'matrik MISI 3'!Q21</f>
        <v>74.28</v>
      </c>
      <c r="L264" s="565">
        <f>'matrik MISI 3'!R21</f>
        <v>74.900000000000006</v>
      </c>
      <c r="M264" s="604"/>
      <c r="N264" s="565">
        <f>'matrik MISI 3'!S21</f>
        <v>75.510000000000005</v>
      </c>
      <c r="O264" s="564"/>
      <c r="P264" s="565">
        <f>'matrik MISI 3'!T21</f>
        <v>76.099999999999994</v>
      </c>
      <c r="Q264" s="564"/>
      <c r="R264" s="565">
        <f>'matrik MISI 3'!U21</f>
        <v>77.400000000000006</v>
      </c>
      <c r="S264" s="564"/>
      <c r="T264" s="565">
        <f>'matrik MISI 3'!V21</f>
        <v>78.900000000000006</v>
      </c>
      <c r="U264" s="564"/>
      <c r="V264" s="565">
        <f>'matrik MISI 3'!W21</f>
        <v>78.900000000000006</v>
      </c>
      <c r="W264" s="564"/>
      <c r="X264" s="565" t="str">
        <f>'matrik MISI 3'!X21</f>
        <v>DPU &amp; DINKES</v>
      </c>
      <c r="Y264" s="565" t="str">
        <f>'matrik MISI 3'!Y21</f>
        <v>jumlah rumah tangga yang memiliki sanitasi yang layak / jumlah rumah tangga yang ada x 100%</v>
      </c>
      <c r="Z264" s="565">
        <f>'matrik MISI 3'!Z21</f>
        <v>0</v>
      </c>
    </row>
    <row r="265" spans="1:454" ht="30">
      <c r="C265" s="561"/>
      <c r="D265" s="565"/>
      <c r="E265" s="565"/>
      <c r="F265" s="565"/>
      <c r="G265" s="565"/>
      <c r="H265" s="565" t="str">
        <f>'matrik MISI 3'!N22</f>
        <v>Cakupan Sistem Air limbah Skala Komunitas/ Kawasan/ Kota</v>
      </c>
      <c r="I265" s="565" t="str">
        <f>'matrik MISI 3'!O22</f>
        <v>%</v>
      </c>
      <c r="J265" s="565">
        <f>'matrik MISI 3'!P22</f>
        <v>3.8</v>
      </c>
      <c r="K265" s="565">
        <f>'matrik MISI 3'!Q22</f>
        <v>5.8</v>
      </c>
      <c r="L265" s="565">
        <f>'matrik MISI 3'!R22</f>
        <v>6</v>
      </c>
      <c r="M265" s="604"/>
      <c r="N265" s="565">
        <f>'matrik MISI 3'!S22</f>
        <v>7</v>
      </c>
      <c r="O265" s="564"/>
      <c r="P265" s="565">
        <f>'matrik MISI 3'!T22</f>
        <v>7.5</v>
      </c>
      <c r="Q265" s="564"/>
      <c r="R265" s="565">
        <f>'matrik MISI 3'!U22</f>
        <v>8</v>
      </c>
      <c r="S265" s="564"/>
      <c r="T265" s="565">
        <f>'matrik MISI 3'!V22</f>
        <v>8.1999999999999993</v>
      </c>
      <c r="U265" s="564"/>
      <c r="V265" s="565">
        <f>'matrik MISI 3'!W22</f>
        <v>8.1999999999999993</v>
      </c>
      <c r="W265" s="564"/>
      <c r="X265" s="565" t="str">
        <f>'matrik MISI 3'!X22</f>
        <v>DPU</v>
      </c>
      <c r="Y265" s="565" t="str">
        <f>'matrik MISI 3'!Y22</f>
        <v>jumlah rumah tangga yg terlayani air limbah skala kawasan kota / jumlah rumah tangga pada skala kawasan kota x 100 %</v>
      </c>
      <c r="Z265" s="565">
        <f>'matrik MISI 3'!Z22</f>
        <v>0</v>
      </c>
    </row>
    <row r="266" spans="1:454" ht="60">
      <c r="C266" s="561"/>
      <c r="D266" s="565"/>
      <c r="E266" s="565"/>
      <c r="F266" s="565"/>
      <c r="G266" s="565"/>
      <c r="H266" s="565" t="str">
        <f>'matrik MISI 3'!N23</f>
        <v>Cakupan Lingkungan yang Sehat dan Aman yang Didukung dengan Prasarana dan Sarana Umum</v>
      </c>
      <c r="I266" s="565" t="str">
        <f>'matrik MISI 3'!O23</f>
        <v>%</v>
      </c>
      <c r="J266" s="565" t="str">
        <f>'matrik MISI 3'!P23</f>
        <v>3,46</v>
      </c>
      <c r="K266" s="565" t="str">
        <f>'matrik MISI 3'!Q23</f>
        <v>16,26</v>
      </c>
      <c r="L266" s="565">
        <f>'matrik MISI 3'!R23</f>
        <v>28</v>
      </c>
      <c r="M266" s="604"/>
      <c r="N266" s="565">
        <f>'matrik MISI 3'!S23</f>
        <v>40</v>
      </c>
      <c r="O266" s="564"/>
      <c r="P266" s="565">
        <f>'matrik MISI 3'!T23</f>
        <v>52</v>
      </c>
      <c r="Q266" s="564"/>
      <c r="R266" s="565">
        <f>'matrik MISI 3'!U23</f>
        <v>64</v>
      </c>
      <c r="S266" s="564"/>
      <c r="T266" s="565">
        <f>'matrik MISI 3'!V23</f>
        <v>76</v>
      </c>
      <c r="U266" s="564"/>
      <c r="V266" s="565">
        <f>'matrik MISI 3'!W23</f>
        <v>76</v>
      </c>
      <c r="W266" s="564"/>
      <c r="X266" s="565" t="str">
        <f>'matrik MISI 3'!X23</f>
        <v>DPU</v>
      </c>
      <c r="Y266" s="565" t="str">
        <f>'matrik MISI 3'!Y23</f>
        <v>jumlah lingkungan (desa/ kelurahan) yg sehat dan aman yg didukung prasarana sarana utilitas/ jumlah lingkungan (kelurahan/ desa)</v>
      </c>
      <c r="Z266" s="565">
        <f>'matrik MISI 3'!Z23</f>
        <v>0</v>
      </c>
    </row>
    <row r="267" spans="1:454" s="574" customFormat="1" ht="60">
      <c r="A267" s="569"/>
      <c r="B267" s="575"/>
      <c r="C267" s="576"/>
      <c r="D267" s="577">
        <f>'matrik MISI 3'!J24</f>
        <v>1.04</v>
      </c>
      <c r="E267" s="577" t="str">
        <f>'matrik MISI 3'!K24</f>
        <v>xx</v>
      </c>
      <c r="F267" s="577">
        <f>'matrik MISI 3'!L24</f>
        <v>18</v>
      </c>
      <c r="G267" s="577" t="str">
        <f>'matrik MISI 3'!M24</f>
        <v>Program peningkatan kesiagaan dan pencegahan bahaya kebakaran</v>
      </c>
      <c r="H267" s="577"/>
      <c r="I267" s="577"/>
      <c r="J267" s="577"/>
      <c r="K267" s="577"/>
      <c r="L267" s="577"/>
      <c r="M267" s="578">
        <f>'jangan dihapus 2'!K356</f>
        <v>220000000</v>
      </c>
      <c r="N267" s="578"/>
      <c r="O267" s="578">
        <f>'jangan dihapus 2'!M356</f>
        <v>1235460000</v>
      </c>
      <c r="P267" s="578"/>
      <c r="Q267" s="578">
        <f>'jangan dihapus 2'!O356</f>
        <v>4665000000</v>
      </c>
      <c r="R267" s="578"/>
      <c r="S267" s="578">
        <f>'jangan dihapus 2'!Q356</f>
        <v>4850000000</v>
      </c>
      <c r="T267" s="578"/>
      <c r="U267" s="578">
        <f>'jangan dihapus 2'!S356</f>
        <v>5235000000</v>
      </c>
      <c r="V267" s="577"/>
      <c r="W267" s="578">
        <f>SUM(M267:U267)</f>
        <v>16205460000</v>
      </c>
      <c r="X267" s="577"/>
      <c r="Y267" s="577"/>
      <c r="Z267" s="577"/>
      <c r="AA267" s="569"/>
      <c r="AB267" s="569"/>
      <c r="AC267" s="569"/>
      <c r="AD267" s="569"/>
      <c r="AE267" s="569"/>
      <c r="AF267" s="569"/>
      <c r="AG267" s="569"/>
      <c r="AH267" s="569"/>
      <c r="AI267" s="569"/>
      <c r="AJ267" s="569"/>
      <c r="AK267" s="569"/>
      <c r="AL267" s="569"/>
      <c r="AM267" s="569"/>
      <c r="AN267" s="569"/>
      <c r="AO267" s="569"/>
      <c r="AP267" s="569"/>
      <c r="AQ267" s="569"/>
      <c r="AR267" s="569"/>
      <c r="AS267" s="569"/>
      <c r="AT267" s="569"/>
      <c r="AU267" s="569"/>
      <c r="AV267" s="569"/>
      <c r="AW267" s="569"/>
      <c r="AX267" s="569"/>
      <c r="AY267" s="569"/>
      <c r="AZ267" s="569"/>
      <c r="BA267" s="569"/>
      <c r="BB267" s="569"/>
      <c r="BC267" s="569"/>
      <c r="BD267" s="569"/>
      <c r="BE267" s="569"/>
      <c r="BF267" s="569"/>
      <c r="BG267" s="569"/>
      <c r="BH267" s="569"/>
      <c r="BI267" s="569"/>
      <c r="BJ267" s="569"/>
      <c r="BK267" s="569"/>
      <c r="BL267" s="569"/>
      <c r="BM267" s="569"/>
      <c r="BN267" s="569"/>
      <c r="BO267" s="569"/>
      <c r="BP267" s="569"/>
      <c r="BQ267" s="569"/>
      <c r="BR267" s="569"/>
      <c r="BS267" s="569"/>
      <c r="BT267" s="569"/>
      <c r="BU267" s="569"/>
      <c r="BV267" s="569"/>
      <c r="BW267" s="569"/>
      <c r="BX267" s="569"/>
      <c r="BY267" s="569"/>
      <c r="BZ267" s="569"/>
      <c r="CA267" s="569"/>
      <c r="CB267" s="569"/>
      <c r="CC267" s="569"/>
      <c r="CD267" s="569"/>
      <c r="CE267" s="569"/>
      <c r="CF267" s="569"/>
      <c r="CG267" s="569"/>
      <c r="CH267" s="569"/>
      <c r="CI267" s="569"/>
      <c r="CJ267" s="569"/>
      <c r="CK267" s="569"/>
      <c r="CL267" s="569"/>
      <c r="CM267" s="569"/>
      <c r="CN267" s="569"/>
      <c r="CO267" s="569"/>
      <c r="CP267" s="569"/>
      <c r="CQ267" s="569"/>
      <c r="CR267" s="569"/>
      <c r="CS267" s="569"/>
      <c r="CT267" s="569"/>
      <c r="CU267" s="569"/>
      <c r="CV267" s="569"/>
      <c r="CW267" s="569"/>
      <c r="CX267" s="569"/>
      <c r="CY267" s="569"/>
      <c r="CZ267" s="569"/>
      <c r="DA267" s="569"/>
      <c r="DB267" s="569"/>
      <c r="DC267" s="569"/>
      <c r="DD267" s="569"/>
      <c r="DE267" s="569"/>
      <c r="DF267" s="569"/>
      <c r="DG267" s="569"/>
      <c r="DH267" s="569"/>
      <c r="DI267" s="569"/>
      <c r="DJ267" s="569"/>
      <c r="DK267" s="569"/>
      <c r="DL267" s="569"/>
      <c r="DM267" s="569"/>
      <c r="DN267" s="569"/>
      <c r="DO267" s="569"/>
      <c r="DP267" s="569"/>
      <c r="DQ267" s="569"/>
      <c r="DR267" s="569"/>
      <c r="DS267" s="569"/>
      <c r="DT267" s="569"/>
      <c r="DU267" s="569"/>
      <c r="DV267" s="569"/>
      <c r="DW267" s="569"/>
      <c r="DX267" s="569"/>
      <c r="DY267" s="569"/>
      <c r="DZ267" s="569"/>
      <c r="EA267" s="569"/>
      <c r="EB267" s="569"/>
      <c r="EC267" s="569"/>
      <c r="ED267" s="569"/>
      <c r="EE267" s="569"/>
      <c r="EF267" s="569"/>
      <c r="EG267" s="569"/>
      <c r="EH267" s="569"/>
      <c r="EI267" s="569"/>
      <c r="EJ267" s="569"/>
      <c r="EK267" s="569"/>
      <c r="EL267" s="569"/>
      <c r="EM267" s="569"/>
      <c r="EN267" s="569"/>
      <c r="EO267" s="569"/>
      <c r="EP267" s="569"/>
      <c r="EQ267" s="569"/>
      <c r="ER267" s="569"/>
      <c r="ES267" s="569"/>
      <c r="ET267" s="569"/>
      <c r="EU267" s="569"/>
      <c r="EV267" s="569"/>
      <c r="EW267" s="569"/>
      <c r="EX267" s="569"/>
      <c r="EY267" s="569"/>
      <c r="EZ267" s="569"/>
      <c r="FA267" s="569"/>
      <c r="FB267" s="569"/>
      <c r="FC267" s="569"/>
      <c r="FD267" s="569"/>
      <c r="FE267" s="569"/>
      <c r="FF267" s="569"/>
      <c r="FG267" s="569"/>
      <c r="FH267" s="569"/>
      <c r="FI267" s="569"/>
      <c r="FJ267" s="569"/>
      <c r="FK267" s="569"/>
      <c r="FL267" s="569"/>
      <c r="FM267" s="569"/>
      <c r="FN267" s="569"/>
      <c r="FO267" s="569"/>
      <c r="FP267" s="569"/>
      <c r="FQ267" s="569"/>
      <c r="FR267" s="569"/>
      <c r="FS267" s="569"/>
      <c r="FT267" s="569"/>
      <c r="FU267" s="569"/>
      <c r="FV267" s="569"/>
      <c r="FW267" s="569"/>
      <c r="FX267" s="569"/>
      <c r="FY267" s="569"/>
      <c r="FZ267" s="569"/>
      <c r="GA267" s="569"/>
      <c r="GB267" s="569"/>
      <c r="GC267" s="569"/>
      <c r="GD267" s="569"/>
      <c r="GE267" s="569"/>
      <c r="GF267" s="569"/>
      <c r="GG267" s="569"/>
      <c r="GH267" s="569"/>
      <c r="GI267" s="569"/>
      <c r="GJ267" s="569"/>
      <c r="GK267" s="569"/>
      <c r="GL267" s="569"/>
      <c r="GM267" s="569"/>
      <c r="GN267" s="569"/>
      <c r="GO267" s="569"/>
      <c r="GP267" s="569"/>
      <c r="GQ267" s="569"/>
      <c r="GR267" s="569"/>
      <c r="GS267" s="569"/>
      <c r="GT267" s="569"/>
      <c r="GU267" s="569"/>
      <c r="GV267" s="569"/>
      <c r="GW267" s="569"/>
      <c r="GX267" s="569"/>
      <c r="GY267" s="569"/>
      <c r="GZ267" s="569"/>
      <c r="HA267" s="569"/>
      <c r="HB267" s="569"/>
      <c r="HC267" s="569"/>
      <c r="HD267" s="569"/>
      <c r="HE267" s="569"/>
      <c r="HF267" s="569"/>
      <c r="HG267" s="569"/>
      <c r="HH267" s="569"/>
      <c r="HI267" s="569"/>
      <c r="HJ267" s="569"/>
      <c r="HK267" s="569"/>
      <c r="HL267" s="569"/>
      <c r="HM267" s="569"/>
      <c r="HN267" s="569"/>
      <c r="HO267" s="569"/>
      <c r="HP267" s="569"/>
      <c r="HQ267" s="569"/>
      <c r="HR267" s="569"/>
      <c r="HS267" s="569"/>
      <c r="HT267" s="569"/>
      <c r="HU267" s="569"/>
      <c r="HV267" s="569"/>
      <c r="HW267" s="569"/>
      <c r="HX267" s="569"/>
      <c r="HY267" s="569"/>
      <c r="HZ267" s="569"/>
      <c r="IA267" s="569"/>
      <c r="IB267" s="569"/>
      <c r="IC267" s="569"/>
      <c r="ID267" s="569"/>
      <c r="IE267" s="569"/>
      <c r="IF267" s="569"/>
      <c r="IG267" s="569"/>
      <c r="IH267" s="569"/>
      <c r="II267" s="569"/>
      <c r="IJ267" s="569"/>
      <c r="IK267" s="569"/>
      <c r="IL267" s="569"/>
      <c r="IM267" s="569"/>
      <c r="IN267" s="569"/>
      <c r="IO267" s="569"/>
      <c r="IP267" s="569"/>
      <c r="IQ267" s="569"/>
      <c r="IR267" s="569"/>
      <c r="IS267" s="569"/>
      <c r="IT267" s="569"/>
      <c r="IU267" s="569"/>
      <c r="IV267" s="569"/>
      <c r="IW267" s="569"/>
      <c r="IX267" s="569"/>
      <c r="IY267" s="569"/>
      <c r="IZ267" s="569"/>
      <c r="JA267" s="569"/>
      <c r="JB267" s="569"/>
      <c r="JC267" s="569"/>
      <c r="JD267" s="569"/>
      <c r="JE267" s="569"/>
      <c r="JF267" s="569"/>
      <c r="JG267" s="569"/>
      <c r="JH267" s="569"/>
      <c r="JI267" s="569"/>
      <c r="JJ267" s="569"/>
      <c r="JK267" s="569"/>
      <c r="JL267" s="569"/>
      <c r="JM267" s="569"/>
      <c r="JN267" s="569"/>
      <c r="JO267" s="569"/>
      <c r="JP267" s="569"/>
      <c r="JQ267" s="569"/>
      <c r="JR267" s="569"/>
      <c r="JS267" s="569"/>
      <c r="JT267" s="569"/>
      <c r="JU267" s="569"/>
      <c r="JV267" s="569"/>
      <c r="JW267" s="569"/>
      <c r="JX267" s="569"/>
      <c r="JY267" s="569"/>
      <c r="JZ267" s="569"/>
      <c r="KA267" s="569"/>
      <c r="KB267" s="569"/>
      <c r="KC267" s="569"/>
      <c r="KD267" s="569"/>
      <c r="KE267" s="569"/>
      <c r="KF267" s="569"/>
      <c r="KG267" s="569"/>
      <c r="KH267" s="569"/>
      <c r="KI267" s="569"/>
      <c r="KJ267" s="569"/>
      <c r="KK267" s="569"/>
      <c r="KL267" s="569"/>
      <c r="KM267" s="569"/>
      <c r="KN267" s="569"/>
      <c r="KO267" s="569"/>
      <c r="KP267" s="569"/>
      <c r="KQ267" s="569"/>
      <c r="KR267" s="569"/>
      <c r="KS267" s="569"/>
      <c r="KT267" s="569"/>
      <c r="KU267" s="569"/>
      <c r="KV267" s="569"/>
      <c r="KW267" s="569"/>
      <c r="KX267" s="569"/>
      <c r="KY267" s="569"/>
      <c r="KZ267" s="569"/>
      <c r="LA267" s="569"/>
      <c r="LB267" s="569"/>
      <c r="LC267" s="569"/>
      <c r="LD267" s="569"/>
      <c r="LE267" s="569"/>
      <c r="LF267" s="569"/>
      <c r="LG267" s="569"/>
      <c r="LH267" s="569"/>
      <c r="LI267" s="569"/>
      <c r="LJ267" s="569"/>
      <c r="LK267" s="569"/>
      <c r="LL267" s="569"/>
      <c r="LM267" s="569"/>
      <c r="LN267" s="569"/>
      <c r="LO267" s="569"/>
      <c r="LP267" s="569"/>
      <c r="LQ267" s="569"/>
      <c r="LR267" s="569"/>
      <c r="LS267" s="569"/>
      <c r="LT267" s="569"/>
      <c r="LU267" s="569"/>
      <c r="LV267" s="569"/>
      <c r="LW267" s="569"/>
      <c r="LX267" s="569"/>
      <c r="LY267" s="569"/>
      <c r="LZ267" s="569"/>
      <c r="MA267" s="569"/>
      <c r="MB267" s="569"/>
      <c r="MC267" s="569"/>
      <c r="MD267" s="569"/>
      <c r="ME267" s="569"/>
      <c r="MF267" s="569"/>
      <c r="MG267" s="569"/>
      <c r="MH267" s="569"/>
      <c r="MI267" s="569"/>
      <c r="MJ267" s="569"/>
      <c r="MK267" s="569"/>
      <c r="ML267" s="569"/>
      <c r="MM267" s="569"/>
      <c r="MN267" s="569"/>
      <c r="MO267" s="569"/>
      <c r="MP267" s="569"/>
      <c r="MQ267" s="569"/>
      <c r="MR267" s="569"/>
      <c r="MS267" s="569"/>
      <c r="MT267" s="569"/>
      <c r="MU267" s="569"/>
      <c r="MV267" s="569"/>
      <c r="MW267" s="569"/>
      <c r="MX267" s="569"/>
      <c r="MY267" s="569"/>
      <c r="MZ267" s="569"/>
      <c r="NA267" s="569"/>
      <c r="NB267" s="569"/>
      <c r="NC267" s="569"/>
      <c r="ND267" s="569"/>
      <c r="NE267" s="569"/>
      <c r="NF267" s="569"/>
      <c r="NG267" s="569"/>
      <c r="NH267" s="569"/>
      <c r="NI267" s="569"/>
      <c r="NJ267" s="569"/>
      <c r="NK267" s="569"/>
      <c r="NL267" s="569"/>
      <c r="NM267" s="569"/>
      <c r="NN267" s="569"/>
      <c r="NO267" s="569"/>
      <c r="NP267" s="569"/>
      <c r="NQ267" s="569"/>
      <c r="NR267" s="569"/>
      <c r="NS267" s="569"/>
      <c r="NT267" s="569"/>
      <c r="NU267" s="569"/>
      <c r="NV267" s="569"/>
      <c r="NW267" s="569"/>
      <c r="NX267" s="569"/>
      <c r="NY267" s="569"/>
      <c r="NZ267" s="569"/>
      <c r="OA267" s="569"/>
      <c r="OB267" s="569"/>
      <c r="OC267" s="569"/>
      <c r="OD267" s="569"/>
      <c r="OE267" s="569"/>
      <c r="OF267" s="569"/>
      <c r="OG267" s="569"/>
      <c r="OH267" s="569"/>
      <c r="OI267" s="569"/>
      <c r="OJ267" s="569"/>
      <c r="OK267" s="569"/>
      <c r="OL267" s="569"/>
      <c r="OM267" s="569"/>
      <c r="ON267" s="569"/>
      <c r="OO267" s="569"/>
      <c r="OP267" s="569"/>
      <c r="OQ267" s="569"/>
      <c r="OR267" s="569"/>
      <c r="OS267" s="569"/>
      <c r="OT267" s="569"/>
      <c r="OU267" s="569"/>
      <c r="OV267" s="569"/>
      <c r="OW267" s="569"/>
      <c r="OX267" s="569"/>
      <c r="OY267" s="569"/>
      <c r="OZ267" s="569"/>
      <c r="PA267" s="569"/>
      <c r="PB267" s="569"/>
      <c r="PC267" s="569"/>
      <c r="PD267" s="569"/>
      <c r="PE267" s="569"/>
      <c r="PF267" s="569"/>
      <c r="PG267" s="569"/>
      <c r="PH267" s="569"/>
      <c r="PI267" s="569"/>
      <c r="PJ267" s="569"/>
      <c r="PK267" s="569"/>
      <c r="PL267" s="569"/>
      <c r="PM267" s="569"/>
      <c r="PN267" s="569"/>
      <c r="PO267" s="569"/>
      <c r="PP267" s="569"/>
      <c r="PQ267" s="569"/>
      <c r="PR267" s="569"/>
      <c r="PS267" s="569"/>
      <c r="PT267" s="569"/>
      <c r="PU267" s="569"/>
      <c r="PV267" s="569"/>
      <c r="PW267" s="569"/>
      <c r="PX267" s="569"/>
      <c r="PY267" s="569"/>
      <c r="PZ267" s="569"/>
      <c r="QA267" s="569"/>
      <c r="QB267" s="569"/>
      <c r="QC267" s="569"/>
      <c r="QD267" s="569"/>
      <c r="QE267" s="569"/>
      <c r="QF267" s="569"/>
      <c r="QG267" s="569"/>
      <c r="QH267" s="569"/>
      <c r="QI267" s="569"/>
      <c r="QJ267" s="569"/>
      <c r="QK267" s="569"/>
      <c r="QL267" s="569"/>
    </row>
    <row r="268" spans="1:454" ht="30">
      <c r="C268" s="561"/>
      <c r="D268" s="568"/>
      <c r="E268" s="568"/>
      <c r="F268" s="568"/>
      <c r="G268" s="568"/>
      <c r="H268" s="565" t="str">
        <f>'matrik MISI 3'!N24</f>
        <v>Cakupan pelayanan bencana kebakaran kabupaten</v>
      </c>
      <c r="I268" s="565" t="str">
        <f>'matrik MISI 3'!O24</f>
        <v>%</v>
      </c>
      <c r="J268" s="565">
        <f>'matrik MISI 3'!P24</f>
        <v>20</v>
      </c>
      <c r="K268" s="565">
        <f>'matrik MISI 3'!Q24</f>
        <v>20</v>
      </c>
      <c r="L268" s="565">
        <f>'matrik MISI 3'!R24</f>
        <v>20</v>
      </c>
      <c r="M268" s="568"/>
      <c r="N268" s="565">
        <f>'matrik MISI 3'!S24</f>
        <v>40</v>
      </c>
      <c r="O268" s="568"/>
      <c r="P268" s="565">
        <f>'matrik MISI 3'!T24</f>
        <v>60</v>
      </c>
      <c r="Q268" s="568"/>
      <c r="R268" s="565">
        <f>'matrik MISI 3'!U24</f>
        <v>80</v>
      </c>
      <c r="S268" s="568"/>
      <c r="T268" s="565">
        <f>'matrik MISI 3'!V24</f>
        <v>80</v>
      </c>
      <c r="U268" s="565"/>
      <c r="V268" s="565">
        <f>'matrik MISI 3'!W24</f>
        <v>80</v>
      </c>
      <c r="W268" s="565"/>
      <c r="X268" s="565" t="str">
        <f>'matrik MISI 3'!X24</f>
        <v>DPU</v>
      </c>
      <c r="Y268" s="565" t="str">
        <f>'matrik MISI 3'!Y24</f>
        <v>Jangkauan luas WMK/Luas wilayah kabupaten x 100%</v>
      </c>
      <c r="Z268" s="565"/>
    </row>
    <row r="269" spans="1:454" ht="30">
      <c r="C269" s="561"/>
      <c r="D269" s="565"/>
      <c r="E269" s="565"/>
      <c r="F269" s="565"/>
      <c r="G269" s="565"/>
      <c r="H269" s="565" t="str">
        <f>'matrik MISI 3'!N25</f>
        <v>Tingkat Waktu Tanggap (response time rate)</v>
      </c>
      <c r="I269" s="565" t="str">
        <f>'matrik MISI 3'!O25</f>
        <v>%</v>
      </c>
      <c r="J269" s="565">
        <f>'matrik MISI 3'!P25</f>
        <v>39</v>
      </c>
      <c r="K269" s="565">
        <f>'matrik MISI 3'!Q25</f>
        <v>68</v>
      </c>
      <c r="L269" s="565">
        <f>'matrik MISI 3'!R25</f>
        <v>70</v>
      </c>
      <c r="M269" s="568"/>
      <c r="N269" s="565">
        <f>'matrik MISI 3'!S25</f>
        <v>73</v>
      </c>
      <c r="O269" s="568"/>
      <c r="P269" s="565">
        <f>'matrik MISI 3'!T25</f>
        <v>80</v>
      </c>
      <c r="Q269" s="568"/>
      <c r="R269" s="565">
        <f>'matrik MISI 3'!U25</f>
        <v>80</v>
      </c>
      <c r="S269" s="568"/>
      <c r="T269" s="565">
        <f>'matrik MISI 3'!V25</f>
        <v>80</v>
      </c>
      <c r="U269" s="564"/>
      <c r="V269" s="565">
        <f>'matrik MISI 3'!W25</f>
        <v>80</v>
      </c>
      <c r="W269" s="564"/>
      <c r="X269" s="565" t="str">
        <f>'matrik MISI 3'!X25</f>
        <v>DPU</v>
      </c>
      <c r="Y269" s="565" t="str">
        <f>'matrik MISI 3'!Y25</f>
        <v>Jumlah Kasus Kebakaran di WMK yang terangani dalam waktu tingkat tanggap / Jumlah Kasus Kebakaran dalam Jangkauan WMK x 100%</v>
      </c>
      <c r="Z269" s="565"/>
    </row>
    <row r="270" spans="1:454" ht="45">
      <c r="C270" s="561"/>
      <c r="D270" s="565"/>
      <c r="E270" s="565"/>
      <c r="F270" s="565"/>
      <c r="G270" s="565"/>
      <c r="H270" s="565" t="str">
        <f>'matrik MISI 3'!N26</f>
        <v>Persentase Aparatur Pemadam Kebakaran yang Memenuhi Standar Kualifikasi</v>
      </c>
      <c r="I270" s="565" t="str">
        <f>'matrik MISI 3'!O26</f>
        <v>%</v>
      </c>
      <c r="J270" s="565">
        <f>'matrik MISI 3'!P26</f>
        <v>71</v>
      </c>
      <c r="K270" s="565">
        <f>'matrik MISI 3'!Q26</f>
        <v>83</v>
      </c>
      <c r="L270" s="565">
        <f>'matrik MISI 3'!R26</f>
        <v>85</v>
      </c>
      <c r="M270" s="568"/>
      <c r="N270" s="565">
        <f>'matrik MISI 3'!S26</f>
        <v>87</v>
      </c>
      <c r="O270" s="568"/>
      <c r="P270" s="565">
        <f>'matrik MISI 3'!T26</f>
        <v>90</v>
      </c>
      <c r="Q270" s="568"/>
      <c r="R270" s="565">
        <f>'matrik MISI 3'!U26</f>
        <v>93</v>
      </c>
      <c r="S270" s="568"/>
      <c r="T270" s="565">
        <f>'matrik MISI 3'!V26</f>
        <v>95</v>
      </c>
      <c r="U270" s="568"/>
      <c r="V270" s="565">
        <f>'matrik MISI 3'!W26</f>
        <v>95</v>
      </c>
      <c r="W270" s="564"/>
      <c r="X270" s="565" t="str">
        <f>'matrik MISI 3'!X26</f>
        <v>DPU</v>
      </c>
      <c r="Y270" s="565" t="str">
        <f>'matrik MISI 3'!Y26</f>
        <v>Jumlah aparatur pemadam kebakaran yang memenuhi standar kualifikasi/ jumlah aparatur pemadam kebakaran x 100</v>
      </c>
      <c r="Z270" s="565"/>
    </row>
    <row r="271" spans="1:454" ht="60">
      <c r="C271" s="561"/>
      <c r="D271" s="565"/>
      <c r="E271" s="565"/>
      <c r="F271" s="565"/>
      <c r="G271" s="565"/>
      <c r="H271" s="565" t="str">
        <f>'matrik MISI 3'!N27</f>
        <v>Rasio Mobil Pemadam Kebakaran di Atas 3.000 - 5.000 Liter pada Wilayah Manajemen Kebakaran (WMK)</v>
      </c>
      <c r="I271" s="565" t="str">
        <f>'matrik MISI 3'!O27</f>
        <v>%</v>
      </c>
      <c r="J271" s="565" t="str">
        <f>'matrik MISI 3'!P27</f>
        <v>70.6</v>
      </c>
      <c r="K271" s="565">
        <f>'matrik MISI 3'!Q27</f>
        <v>82</v>
      </c>
      <c r="L271" s="565">
        <f>'matrik MISI 3'!R27</f>
        <v>85</v>
      </c>
      <c r="M271" s="568"/>
      <c r="N271" s="565">
        <f>'matrik MISI 3'!S27</f>
        <v>87</v>
      </c>
      <c r="O271" s="568"/>
      <c r="P271" s="565">
        <f>'matrik MISI 3'!T27</f>
        <v>90</v>
      </c>
      <c r="Q271" s="568"/>
      <c r="R271" s="565">
        <f>'matrik MISI 3'!U27</f>
        <v>93</v>
      </c>
      <c r="S271" s="568"/>
      <c r="T271" s="565">
        <f>'matrik MISI 3'!V27</f>
        <v>95</v>
      </c>
      <c r="U271" s="568"/>
      <c r="V271" s="565">
        <f>'matrik MISI 3'!W27</f>
        <v>95</v>
      </c>
      <c r="W271" s="564"/>
      <c r="X271" s="565" t="str">
        <f>'matrik MISI 3'!X27</f>
        <v>DPU</v>
      </c>
      <c r="Y271" s="565" t="str">
        <f>'matrik MISI 3'!Y27</f>
        <v>Jumlah mobil pemadam kebakaran diatas 3000-5000 liter pada wilayah manajemen kebakaran/ mobil kebakaran pada wilayah manajemen kebakaran</v>
      </c>
      <c r="Z271" s="565"/>
    </row>
    <row r="272" spans="1:454" s="570" customFormat="1">
      <c r="A272" s="569"/>
      <c r="B272" s="571"/>
      <c r="C272" s="572"/>
      <c r="D272" s="573"/>
      <c r="E272" s="573"/>
      <c r="F272" s="573"/>
      <c r="G272" s="573"/>
      <c r="H272" s="573"/>
      <c r="I272" s="573"/>
      <c r="J272" s="573"/>
      <c r="K272" s="573"/>
      <c r="L272" s="573"/>
      <c r="M272" s="604"/>
      <c r="N272" s="573"/>
      <c r="O272" s="564"/>
      <c r="P272" s="573"/>
      <c r="Q272" s="564"/>
      <c r="R272" s="573"/>
      <c r="S272" s="564"/>
      <c r="T272" s="573"/>
      <c r="U272" s="564"/>
      <c r="V272" s="573"/>
      <c r="W272" s="564"/>
      <c r="X272" s="573"/>
      <c r="Y272" s="565"/>
      <c r="Z272" s="565"/>
      <c r="AA272" s="569"/>
      <c r="AB272" s="569"/>
      <c r="AC272" s="569"/>
      <c r="AD272" s="569"/>
      <c r="AE272" s="569"/>
      <c r="AF272" s="569"/>
      <c r="AG272" s="569"/>
      <c r="AH272" s="569"/>
      <c r="AI272" s="569"/>
      <c r="AJ272" s="569"/>
      <c r="AK272" s="569"/>
      <c r="AL272" s="569"/>
      <c r="AM272" s="569"/>
      <c r="AN272" s="569"/>
      <c r="AO272" s="569"/>
      <c r="AP272" s="569"/>
      <c r="AQ272" s="569"/>
      <c r="AR272" s="569"/>
      <c r="AS272" s="569"/>
      <c r="AT272" s="569"/>
      <c r="AU272" s="569"/>
      <c r="AV272" s="569"/>
      <c r="AW272" s="569"/>
      <c r="AX272" s="569"/>
      <c r="AY272" s="569"/>
      <c r="AZ272" s="569"/>
      <c r="BA272" s="569"/>
      <c r="BB272" s="569"/>
      <c r="BC272" s="569"/>
      <c r="BD272" s="569"/>
      <c r="BE272" s="569"/>
      <c r="BF272" s="569"/>
      <c r="BG272" s="569"/>
      <c r="BH272" s="569"/>
      <c r="BI272" s="569"/>
      <c r="BJ272" s="569"/>
      <c r="BK272" s="569"/>
      <c r="BL272" s="569"/>
      <c r="BM272" s="569"/>
      <c r="BN272" s="569"/>
      <c r="BO272" s="569"/>
      <c r="BP272" s="569"/>
      <c r="BQ272" s="569"/>
      <c r="BR272" s="569"/>
      <c r="BS272" s="569"/>
      <c r="BT272" s="569"/>
      <c r="BU272" s="569"/>
      <c r="BV272" s="569"/>
      <c r="BW272" s="569"/>
      <c r="BX272" s="569"/>
      <c r="BY272" s="569"/>
      <c r="BZ272" s="569"/>
      <c r="CA272" s="569"/>
      <c r="CB272" s="569"/>
      <c r="CC272" s="569"/>
      <c r="CD272" s="569"/>
      <c r="CE272" s="569"/>
      <c r="CF272" s="569"/>
      <c r="CG272" s="569"/>
      <c r="CH272" s="569"/>
      <c r="CI272" s="569"/>
      <c r="CJ272" s="569"/>
      <c r="CK272" s="569"/>
      <c r="CL272" s="569"/>
      <c r="CM272" s="569"/>
      <c r="CN272" s="569"/>
      <c r="CO272" s="569"/>
      <c r="CP272" s="569"/>
      <c r="CQ272" s="569"/>
      <c r="CR272" s="569"/>
      <c r="CS272" s="569"/>
      <c r="CT272" s="569"/>
      <c r="CU272" s="569"/>
      <c r="CV272" s="569"/>
      <c r="CW272" s="569"/>
      <c r="CX272" s="569"/>
      <c r="CY272" s="569"/>
      <c r="CZ272" s="569"/>
      <c r="DA272" s="569"/>
      <c r="DB272" s="569"/>
      <c r="DC272" s="569"/>
      <c r="DD272" s="569"/>
      <c r="DE272" s="569"/>
      <c r="DF272" s="569"/>
      <c r="DG272" s="569"/>
      <c r="DH272" s="569"/>
      <c r="DI272" s="569"/>
      <c r="DJ272" s="569"/>
      <c r="DK272" s="569"/>
      <c r="DL272" s="569"/>
      <c r="DM272" s="569"/>
      <c r="DN272" s="569"/>
      <c r="DO272" s="569"/>
      <c r="DP272" s="569"/>
      <c r="DQ272" s="569"/>
      <c r="DR272" s="569"/>
      <c r="DS272" s="569"/>
      <c r="DT272" s="569"/>
      <c r="DU272" s="569"/>
      <c r="DV272" s="569"/>
      <c r="DW272" s="569"/>
      <c r="DX272" s="569"/>
      <c r="DY272" s="569"/>
      <c r="DZ272" s="569"/>
      <c r="EA272" s="569"/>
      <c r="EB272" s="569"/>
      <c r="EC272" s="569"/>
      <c r="ED272" s="569"/>
      <c r="EE272" s="569"/>
      <c r="EF272" s="569"/>
      <c r="EG272" s="569"/>
      <c r="EH272" s="569"/>
      <c r="EI272" s="569"/>
      <c r="EJ272" s="569"/>
      <c r="EK272" s="569"/>
      <c r="EL272" s="569"/>
      <c r="EM272" s="569"/>
      <c r="EN272" s="569"/>
      <c r="EO272" s="569"/>
      <c r="EP272" s="569"/>
      <c r="EQ272" s="569"/>
      <c r="ER272" s="569"/>
      <c r="ES272" s="569"/>
      <c r="ET272" s="569"/>
      <c r="EU272" s="569"/>
      <c r="EV272" s="569"/>
      <c r="EW272" s="569"/>
      <c r="EX272" s="569"/>
      <c r="EY272" s="569"/>
      <c r="EZ272" s="569"/>
      <c r="FA272" s="569"/>
      <c r="FB272" s="569"/>
      <c r="FC272" s="569"/>
      <c r="FD272" s="569"/>
      <c r="FE272" s="569"/>
      <c r="FF272" s="569"/>
      <c r="FG272" s="569"/>
      <c r="FH272" s="569"/>
      <c r="FI272" s="569"/>
      <c r="FJ272" s="569"/>
      <c r="FK272" s="569"/>
      <c r="FL272" s="569"/>
      <c r="FM272" s="569"/>
      <c r="FN272" s="569"/>
      <c r="FO272" s="569"/>
      <c r="FP272" s="569"/>
      <c r="FQ272" s="569"/>
      <c r="FR272" s="569"/>
      <c r="FS272" s="569"/>
      <c r="FT272" s="569"/>
      <c r="FU272" s="569"/>
      <c r="FV272" s="569"/>
      <c r="FW272" s="569"/>
      <c r="FX272" s="569"/>
      <c r="FY272" s="569"/>
      <c r="FZ272" s="569"/>
      <c r="GA272" s="569"/>
      <c r="GB272" s="569"/>
      <c r="GC272" s="569"/>
      <c r="GD272" s="569"/>
      <c r="GE272" s="569"/>
      <c r="GF272" s="569"/>
      <c r="GG272" s="569"/>
      <c r="GH272" s="569"/>
      <c r="GI272" s="569"/>
      <c r="GJ272" s="569"/>
      <c r="GK272" s="569"/>
      <c r="GL272" s="569"/>
      <c r="GM272" s="569"/>
      <c r="GN272" s="569"/>
      <c r="GO272" s="569"/>
      <c r="GP272" s="569"/>
      <c r="GQ272" s="569"/>
      <c r="GR272" s="569"/>
      <c r="GS272" s="569"/>
      <c r="GT272" s="569"/>
      <c r="GU272" s="569"/>
      <c r="GV272" s="569"/>
      <c r="GW272" s="569"/>
      <c r="GX272" s="569"/>
      <c r="GY272" s="569"/>
      <c r="GZ272" s="569"/>
      <c r="HA272" s="569"/>
      <c r="HB272" s="569"/>
      <c r="HC272" s="569"/>
      <c r="HD272" s="569"/>
      <c r="HE272" s="569"/>
      <c r="HF272" s="569"/>
      <c r="HG272" s="569"/>
      <c r="HH272" s="569"/>
      <c r="HI272" s="569"/>
      <c r="HJ272" s="569"/>
      <c r="HK272" s="569"/>
      <c r="HL272" s="569"/>
      <c r="HM272" s="569"/>
      <c r="HN272" s="569"/>
      <c r="HO272" s="569"/>
      <c r="HP272" s="569"/>
      <c r="HQ272" s="569"/>
      <c r="HR272" s="569"/>
      <c r="HS272" s="569"/>
      <c r="HT272" s="569"/>
      <c r="HU272" s="569"/>
      <c r="HV272" s="569"/>
      <c r="HW272" s="569"/>
      <c r="HX272" s="569"/>
      <c r="HY272" s="569"/>
      <c r="HZ272" s="569"/>
      <c r="IA272" s="569"/>
      <c r="IB272" s="569"/>
      <c r="IC272" s="569"/>
      <c r="ID272" s="569"/>
      <c r="IE272" s="569"/>
      <c r="IF272" s="569"/>
      <c r="IG272" s="569"/>
      <c r="IH272" s="569"/>
      <c r="II272" s="569"/>
      <c r="IJ272" s="569"/>
      <c r="IK272" s="569"/>
      <c r="IL272" s="569"/>
      <c r="IM272" s="569"/>
      <c r="IN272" s="569"/>
      <c r="IO272" s="569"/>
      <c r="IP272" s="569"/>
      <c r="IQ272" s="569"/>
      <c r="IR272" s="569"/>
      <c r="IS272" s="569"/>
      <c r="IT272" s="569"/>
      <c r="IU272" s="569"/>
      <c r="IV272" s="569"/>
      <c r="IW272" s="569"/>
      <c r="IX272" s="569"/>
      <c r="IY272" s="569"/>
      <c r="IZ272" s="569"/>
      <c r="JA272" s="569"/>
      <c r="JB272" s="569"/>
      <c r="JC272" s="569"/>
      <c r="JD272" s="569"/>
      <c r="JE272" s="569"/>
      <c r="JF272" s="569"/>
      <c r="JG272" s="569"/>
      <c r="JH272" s="569"/>
      <c r="JI272" s="569"/>
      <c r="JJ272" s="569"/>
      <c r="JK272" s="569"/>
      <c r="JL272" s="569"/>
      <c r="JM272" s="569"/>
      <c r="JN272" s="569"/>
      <c r="JO272" s="569"/>
      <c r="JP272" s="569"/>
      <c r="JQ272" s="569"/>
      <c r="JR272" s="569"/>
      <c r="JS272" s="569"/>
      <c r="JT272" s="569"/>
      <c r="JU272" s="569"/>
      <c r="JV272" s="569"/>
      <c r="JW272" s="569"/>
      <c r="JX272" s="569"/>
      <c r="JY272" s="569"/>
      <c r="JZ272" s="569"/>
      <c r="KA272" s="569"/>
      <c r="KB272" s="569"/>
      <c r="KC272" s="569"/>
      <c r="KD272" s="569"/>
      <c r="KE272" s="569"/>
      <c r="KF272" s="569"/>
      <c r="KG272" s="569"/>
      <c r="KH272" s="569"/>
      <c r="KI272" s="569"/>
      <c r="KJ272" s="569"/>
      <c r="KK272" s="569"/>
      <c r="KL272" s="569"/>
      <c r="KM272" s="569"/>
      <c r="KN272" s="569"/>
      <c r="KO272" s="569"/>
      <c r="KP272" s="569"/>
      <c r="KQ272" s="569"/>
      <c r="KR272" s="569"/>
      <c r="KS272" s="569"/>
      <c r="KT272" s="569"/>
      <c r="KU272" s="569"/>
      <c r="KV272" s="569"/>
      <c r="KW272" s="569"/>
      <c r="KX272" s="569"/>
      <c r="KY272" s="569"/>
      <c r="KZ272" s="569"/>
      <c r="LA272" s="569"/>
      <c r="LB272" s="569"/>
      <c r="LC272" s="569"/>
      <c r="LD272" s="569"/>
      <c r="LE272" s="569"/>
      <c r="LF272" s="569"/>
      <c r="LG272" s="569"/>
      <c r="LH272" s="569"/>
      <c r="LI272" s="569"/>
      <c r="LJ272" s="569"/>
      <c r="LK272" s="569"/>
      <c r="LL272" s="569"/>
      <c r="LM272" s="569"/>
      <c r="LN272" s="569"/>
      <c r="LO272" s="569"/>
      <c r="LP272" s="569"/>
      <c r="LQ272" s="569"/>
      <c r="LR272" s="569"/>
      <c r="LS272" s="569"/>
      <c r="LT272" s="569"/>
      <c r="LU272" s="569"/>
      <c r="LV272" s="569"/>
      <c r="LW272" s="569"/>
      <c r="LX272" s="569"/>
      <c r="LY272" s="569"/>
      <c r="LZ272" s="569"/>
      <c r="MA272" s="569"/>
      <c r="MB272" s="569"/>
      <c r="MC272" s="569"/>
      <c r="MD272" s="569"/>
      <c r="ME272" s="569"/>
      <c r="MF272" s="569"/>
      <c r="MG272" s="569"/>
      <c r="MH272" s="569"/>
      <c r="MI272" s="569"/>
      <c r="MJ272" s="569"/>
      <c r="MK272" s="569"/>
      <c r="ML272" s="569"/>
      <c r="MM272" s="569"/>
      <c r="MN272" s="569"/>
      <c r="MO272" s="569"/>
      <c r="MP272" s="569"/>
      <c r="MQ272" s="569"/>
      <c r="MR272" s="569"/>
      <c r="MS272" s="569"/>
      <c r="MT272" s="569"/>
      <c r="MU272" s="569"/>
      <c r="MV272" s="569"/>
      <c r="MW272" s="569"/>
      <c r="MX272" s="569"/>
      <c r="MY272" s="569"/>
      <c r="MZ272" s="569"/>
      <c r="NA272" s="569"/>
      <c r="NB272" s="569"/>
      <c r="NC272" s="569"/>
      <c r="ND272" s="569"/>
      <c r="NE272" s="569"/>
      <c r="NF272" s="569"/>
      <c r="NG272" s="569"/>
      <c r="NH272" s="569"/>
      <c r="NI272" s="569"/>
      <c r="NJ272" s="569"/>
      <c r="NK272" s="569"/>
      <c r="NL272" s="569"/>
      <c r="NM272" s="569"/>
      <c r="NN272" s="569"/>
      <c r="NO272" s="569"/>
      <c r="NP272" s="569"/>
      <c r="NQ272" s="569"/>
      <c r="NR272" s="569"/>
      <c r="NS272" s="569"/>
      <c r="NT272" s="569"/>
      <c r="NU272" s="569"/>
      <c r="NV272" s="569"/>
      <c r="NW272" s="569"/>
      <c r="NX272" s="569"/>
      <c r="NY272" s="569"/>
      <c r="NZ272" s="569"/>
      <c r="OA272" s="569"/>
      <c r="OB272" s="569"/>
      <c r="OC272" s="569"/>
      <c r="OD272" s="569"/>
      <c r="OE272" s="569"/>
      <c r="OF272" s="569"/>
      <c r="OG272" s="569"/>
      <c r="OH272" s="569"/>
      <c r="OI272" s="569"/>
      <c r="OJ272" s="569"/>
      <c r="OK272" s="569"/>
      <c r="OL272" s="569"/>
      <c r="OM272" s="569"/>
      <c r="ON272" s="569"/>
      <c r="OO272" s="569"/>
      <c r="OP272" s="569"/>
      <c r="OQ272" s="569"/>
      <c r="OR272" s="569"/>
      <c r="OS272" s="569"/>
      <c r="OT272" s="569"/>
      <c r="OU272" s="569"/>
      <c r="OV272" s="569"/>
      <c r="OW272" s="569"/>
      <c r="OX272" s="569"/>
      <c r="OY272" s="569"/>
      <c r="OZ272" s="569"/>
      <c r="PA272" s="569"/>
      <c r="PB272" s="569"/>
      <c r="PC272" s="569"/>
      <c r="PD272" s="569"/>
      <c r="PE272" s="569"/>
      <c r="PF272" s="569"/>
      <c r="PG272" s="569"/>
      <c r="PH272" s="569"/>
      <c r="PI272" s="569"/>
      <c r="PJ272" s="569"/>
      <c r="PK272" s="569"/>
      <c r="PL272" s="569"/>
      <c r="PM272" s="569"/>
      <c r="PN272" s="569"/>
      <c r="PO272" s="569"/>
      <c r="PP272" s="569"/>
      <c r="PQ272" s="569"/>
      <c r="PR272" s="569"/>
      <c r="PS272" s="569"/>
      <c r="PT272" s="569"/>
      <c r="PU272" s="569"/>
      <c r="PV272" s="569"/>
      <c r="PW272" s="569"/>
      <c r="PX272" s="569"/>
      <c r="PY272" s="569"/>
      <c r="PZ272" s="569"/>
      <c r="QA272" s="569"/>
      <c r="QB272" s="569"/>
      <c r="QC272" s="569"/>
      <c r="QD272" s="569"/>
      <c r="QE272" s="569"/>
      <c r="QF272" s="569"/>
      <c r="QG272" s="569"/>
      <c r="QH272" s="569"/>
      <c r="QI272" s="569"/>
      <c r="QJ272" s="569"/>
      <c r="QK272" s="569"/>
      <c r="QL272" s="569"/>
    </row>
    <row r="273" spans="1:454" s="574" customFormat="1" ht="30">
      <c r="A273" s="569"/>
      <c r="B273" s="575">
        <v>5</v>
      </c>
      <c r="C273" s="576" t="str">
        <f>'matrik MISI 3'!B28</f>
        <v>PENATAAN RUANG</v>
      </c>
      <c r="D273" s="577" t="str">
        <f>'matrik MISI 3'!J29</f>
        <v>1.05</v>
      </c>
      <c r="E273" s="577" t="str">
        <f>'matrik MISI 3'!K29</f>
        <v>xx</v>
      </c>
      <c r="F273" s="577">
        <f>'matrik MISI 3'!L29</f>
        <v>15</v>
      </c>
      <c r="G273" s="577" t="str">
        <f>'matrik MISI 3'!M29</f>
        <v>Program Perencanaan Tata Ruang</v>
      </c>
      <c r="H273" s="577"/>
      <c r="I273" s="577"/>
      <c r="J273" s="577"/>
      <c r="K273" s="577"/>
      <c r="L273" s="577"/>
      <c r="M273" s="578">
        <f>'jangan dihapus 2'!K366</f>
        <v>75958000</v>
      </c>
      <c r="N273" s="578"/>
      <c r="O273" s="578">
        <f>'jangan dihapus 2'!M366</f>
        <v>100000000</v>
      </c>
      <c r="P273" s="578"/>
      <c r="Q273" s="578">
        <f>'jangan dihapus 2'!O366</f>
        <v>300000000</v>
      </c>
      <c r="R273" s="578"/>
      <c r="S273" s="578">
        <f>'jangan dihapus 2'!Q366</f>
        <v>200000000</v>
      </c>
      <c r="T273" s="578"/>
      <c r="U273" s="578">
        <f>'jangan dihapus 2'!S366</f>
        <v>100000000</v>
      </c>
      <c r="V273" s="577"/>
      <c r="W273" s="578">
        <f>SUM(M273:U273)</f>
        <v>775958000</v>
      </c>
      <c r="X273" s="577"/>
      <c r="Y273" s="577"/>
      <c r="Z273" s="577"/>
      <c r="AA273" s="569"/>
      <c r="AB273" s="569"/>
      <c r="AC273" s="569"/>
      <c r="AD273" s="569"/>
      <c r="AE273" s="569"/>
      <c r="AF273" s="569"/>
      <c r="AG273" s="569"/>
      <c r="AH273" s="569"/>
      <c r="AI273" s="569"/>
      <c r="AJ273" s="569"/>
      <c r="AK273" s="569"/>
      <c r="AL273" s="569"/>
      <c r="AM273" s="569"/>
      <c r="AN273" s="569"/>
      <c r="AO273" s="569"/>
      <c r="AP273" s="569"/>
      <c r="AQ273" s="569"/>
      <c r="AR273" s="569"/>
      <c r="AS273" s="569"/>
      <c r="AT273" s="569"/>
      <c r="AU273" s="569"/>
      <c r="AV273" s="569"/>
      <c r="AW273" s="569"/>
      <c r="AX273" s="569"/>
      <c r="AY273" s="569"/>
      <c r="AZ273" s="569"/>
      <c r="BA273" s="569"/>
      <c r="BB273" s="569"/>
      <c r="BC273" s="569"/>
      <c r="BD273" s="569"/>
      <c r="BE273" s="569"/>
      <c r="BF273" s="569"/>
      <c r="BG273" s="569"/>
      <c r="BH273" s="569"/>
      <c r="BI273" s="569"/>
      <c r="BJ273" s="569"/>
      <c r="BK273" s="569"/>
      <c r="BL273" s="569"/>
      <c r="BM273" s="569"/>
      <c r="BN273" s="569"/>
      <c r="BO273" s="569"/>
      <c r="BP273" s="569"/>
      <c r="BQ273" s="569"/>
      <c r="BR273" s="569"/>
      <c r="BS273" s="569"/>
      <c r="BT273" s="569"/>
      <c r="BU273" s="569"/>
      <c r="BV273" s="569"/>
      <c r="BW273" s="569"/>
      <c r="BX273" s="569"/>
      <c r="BY273" s="569"/>
      <c r="BZ273" s="569"/>
      <c r="CA273" s="569"/>
      <c r="CB273" s="569"/>
      <c r="CC273" s="569"/>
      <c r="CD273" s="569"/>
      <c r="CE273" s="569"/>
      <c r="CF273" s="569"/>
      <c r="CG273" s="569"/>
      <c r="CH273" s="569"/>
      <c r="CI273" s="569"/>
      <c r="CJ273" s="569"/>
      <c r="CK273" s="569"/>
      <c r="CL273" s="569"/>
      <c r="CM273" s="569"/>
      <c r="CN273" s="569"/>
      <c r="CO273" s="569"/>
      <c r="CP273" s="569"/>
      <c r="CQ273" s="569"/>
      <c r="CR273" s="569"/>
      <c r="CS273" s="569"/>
      <c r="CT273" s="569"/>
      <c r="CU273" s="569"/>
      <c r="CV273" s="569"/>
      <c r="CW273" s="569"/>
      <c r="CX273" s="569"/>
      <c r="CY273" s="569"/>
      <c r="CZ273" s="569"/>
      <c r="DA273" s="569"/>
      <c r="DB273" s="569"/>
      <c r="DC273" s="569"/>
      <c r="DD273" s="569"/>
      <c r="DE273" s="569"/>
      <c r="DF273" s="569"/>
      <c r="DG273" s="569"/>
      <c r="DH273" s="569"/>
      <c r="DI273" s="569"/>
      <c r="DJ273" s="569"/>
      <c r="DK273" s="569"/>
      <c r="DL273" s="569"/>
      <c r="DM273" s="569"/>
      <c r="DN273" s="569"/>
      <c r="DO273" s="569"/>
      <c r="DP273" s="569"/>
      <c r="DQ273" s="569"/>
      <c r="DR273" s="569"/>
      <c r="DS273" s="569"/>
      <c r="DT273" s="569"/>
      <c r="DU273" s="569"/>
      <c r="DV273" s="569"/>
      <c r="DW273" s="569"/>
      <c r="DX273" s="569"/>
      <c r="DY273" s="569"/>
      <c r="DZ273" s="569"/>
      <c r="EA273" s="569"/>
      <c r="EB273" s="569"/>
      <c r="EC273" s="569"/>
      <c r="ED273" s="569"/>
      <c r="EE273" s="569"/>
      <c r="EF273" s="569"/>
      <c r="EG273" s="569"/>
      <c r="EH273" s="569"/>
      <c r="EI273" s="569"/>
      <c r="EJ273" s="569"/>
      <c r="EK273" s="569"/>
      <c r="EL273" s="569"/>
      <c r="EM273" s="569"/>
      <c r="EN273" s="569"/>
      <c r="EO273" s="569"/>
      <c r="EP273" s="569"/>
      <c r="EQ273" s="569"/>
      <c r="ER273" s="569"/>
      <c r="ES273" s="569"/>
      <c r="ET273" s="569"/>
      <c r="EU273" s="569"/>
      <c r="EV273" s="569"/>
      <c r="EW273" s="569"/>
      <c r="EX273" s="569"/>
      <c r="EY273" s="569"/>
      <c r="EZ273" s="569"/>
      <c r="FA273" s="569"/>
      <c r="FB273" s="569"/>
      <c r="FC273" s="569"/>
      <c r="FD273" s="569"/>
      <c r="FE273" s="569"/>
      <c r="FF273" s="569"/>
      <c r="FG273" s="569"/>
      <c r="FH273" s="569"/>
      <c r="FI273" s="569"/>
      <c r="FJ273" s="569"/>
      <c r="FK273" s="569"/>
      <c r="FL273" s="569"/>
      <c r="FM273" s="569"/>
      <c r="FN273" s="569"/>
      <c r="FO273" s="569"/>
      <c r="FP273" s="569"/>
      <c r="FQ273" s="569"/>
      <c r="FR273" s="569"/>
      <c r="FS273" s="569"/>
      <c r="FT273" s="569"/>
      <c r="FU273" s="569"/>
      <c r="FV273" s="569"/>
      <c r="FW273" s="569"/>
      <c r="FX273" s="569"/>
      <c r="FY273" s="569"/>
      <c r="FZ273" s="569"/>
      <c r="GA273" s="569"/>
      <c r="GB273" s="569"/>
      <c r="GC273" s="569"/>
      <c r="GD273" s="569"/>
      <c r="GE273" s="569"/>
      <c r="GF273" s="569"/>
      <c r="GG273" s="569"/>
      <c r="GH273" s="569"/>
      <c r="GI273" s="569"/>
      <c r="GJ273" s="569"/>
      <c r="GK273" s="569"/>
      <c r="GL273" s="569"/>
      <c r="GM273" s="569"/>
      <c r="GN273" s="569"/>
      <c r="GO273" s="569"/>
      <c r="GP273" s="569"/>
      <c r="GQ273" s="569"/>
      <c r="GR273" s="569"/>
      <c r="GS273" s="569"/>
      <c r="GT273" s="569"/>
      <c r="GU273" s="569"/>
      <c r="GV273" s="569"/>
      <c r="GW273" s="569"/>
      <c r="GX273" s="569"/>
      <c r="GY273" s="569"/>
      <c r="GZ273" s="569"/>
      <c r="HA273" s="569"/>
      <c r="HB273" s="569"/>
      <c r="HC273" s="569"/>
      <c r="HD273" s="569"/>
      <c r="HE273" s="569"/>
      <c r="HF273" s="569"/>
      <c r="HG273" s="569"/>
      <c r="HH273" s="569"/>
      <c r="HI273" s="569"/>
      <c r="HJ273" s="569"/>
      <c r="HK273" s="569"/>
      <c r="HL273" s="569"/>
      <c r="HM273" s="569"/>
      <c r="HN273" s="569"/>
      <c r="HO273" s="569"/>
      <c r="HP273" s="569"/>
      <c r="HQ273" s="569"/>
      <c r="HR273" s="569"/>
      <c r="HS273" s="569"/>
      <c r="HT273" s="569"/>
      <c r="HU273" s="569"/>
      <c r="HV273" s="569"/>
      <c r="HW273" s="569"/>
      <c r="HX273" s="569"/>
      <c r="HY273" s="569"/>
      <c r="HZ273" s="569"/>
      <c r="IA273" s="569"/>
      <c r="IB273" s="569"/>
      <c r="IC273" s="569"/>
      <c r="ID273" s="569"/>
      <c r="IE273" s="569"/>
      <c r="IF273" s="569"/>
      <c r="IG273" s="569"/>
      <c r="IH273" s="569"/>
      <c r="II273" s="569"/>
      <c r="IJ273" s="569"/>
      <c r="IK273" s="569"/>
      <c r="IL273" s="569"/>
      <c r="IM273" s="569"/>
      <c r="IN273" s="569"/>
      <c r="IO273" s="569"/>
      <c r="IP273" s="569"/>
      <c r="IQ273" s="569"/>
      <c r="IR273" s="569"/>
      <c r="IS273" s="569"/>
      <c r="IT273" s="569"/>
      <c r="IU273" s="569"/>
      <c r="IV273" s="569"/>
      <c r="IW273" s="569"/>
      <c r="IX273" s="569"/>
      <c r="IY273" s="569"/>
      <c r="IZ273" s="569"/>
      <c r="JA273" s="569"/>
      <c r="JB273" s="569"/>
      <c r="JC273" s="569"/>
      <c r="JD273" s="569"/>
      <c r="JE273" s="569"/>
      <c r="JF273" s="569"/>
      <c r="JG273" s="569"/>
      <c r="JH273" s="569"/>
      <c r="JI273" s="569"/>
      <c r="JJ273" s="569"/>
      <c r="JK273" s="569"/>
      <c r="JL273" s="569"/>
      <c r="JM273" s="569"/>
      <c r="JN273" s="569"/>
      <c r="JO273" s="569"/>
      <c r="JP273" s="569"/>
      <c r="JQ273" s="569"/>
      <c r="JR273" s="569"/>
      <c r="JS273" s="569"/>
      <c r="JT273" s="569"/>
      <c r="JU273" s="569"/>
      <c r="JV273" s="569"/>
      <c r="JW273" s="569"/>
      <c r="JX273" s="569"/>
      <c r="JY273" s="569"/>
      <c r="JZ273" s="569"/>
      <c r="KA273" s="569"/>
      <c r="KB273" s="569"/>
      <c r="KC273" s="569"/>
      <c r="KD273" s="569"/>
      <c r="KE273" s="569"/>
      <c r="KF273" s="569"/>
      <c r="KG273" s="569"/>
      <c r="KH273" s="569"/>
      <c r="KI273" s="569"/>
      <c r="KJ273" s="569"/>
      <c r="KK273" s="569"/>
      <c r="KL273" s="569"/>
      <c r="KM273" s="569"/>
      <c r="KN273" s="569"/>
      <c r="KO273" s="569"/>
      <c r="KP273" s="569"/>
      <c r="KQ273" s="569"/>
      <c r="KR273" s="569"/>
      <c r="KS273" s="569"/>
      <c r="KT273" s="569"/>
      <c r="KU273" s="569"/>
      <c r="KV273" s="569"/>
      <c r="KW273" s="569"/>
      <c r="KX273" s="569"/>
      <c r="KY273" s="569"/>
      <c r="KZ273" s="569"/>
      <c r="LA273" s="569"/>
      <c r="LB273" s="569"/>
      <c r="LC273" s="569"/>
      <c r="LD273" s="569"/>
      <c r="LE273" s="569"/>
      <c r="LF273" s="569"/>
      <c r="LG273" s="569"/>
      <c r="LH273" s="569"/>
      <c r="LI273" s="569"/>
      <c r="LJ273" s="569"/>
      <c r="LK273" s="569"/>
      <c r="LL273" s="569"/>
      <c r="LM273" s="569"/>
      <c r="LN273" s="569"/>
      <c r="LO273" s="569"/>
      <c r="LP273" s="569"/>
      <c r="LQ273" s="569"/>
      <c r="LR273" s="569"/>
      <c r="LS273" s="569"/>
      <c r="LT273" s="569"/>
      <c r="LU273" s="569"/>
      <c r="LV273" s="569"/>
      <c r="LW273" s="569"/>
      <c r="LX273" s="569"/>
      <c r="LY273" s="569"/>
      <c r="LZ273" s="569"/>
      <c r="MA273" s="569"/>
      <c r="MB273" s="569"/>
      <c r="MC273" s="569"/>
      <c r="MD273" s="569"/>
      <c r="ME273" s="569"/>
      <c r="MF273" s="569"/>
      <c r="MG273" s="569"/>
      <c r="MH273" s="569"/>
      <c r="MI273" s="569"/>
      <c r="MJ273" s="569"/>
      <c r="MK273" s="569"/>
      <c r="ML273" s="569"/>
      <c r="MM273" s="569"/>
      <c r="MN273" s="569"/>
      <c r="MO273" s="569"/>
      <c r="MP273" s="569"/>
      <c r="MQ273" s="569"/>
      <c r="MR273" s="569"/>
      <c r="MS273" s="569"/>
      <c r="MT273" s="569"/>
      <c r="MU273" s="569"/>
      <c r="MV273" s="569"/>
      <c r="MW273" s="569"/>
      <c r="MX273" s="569"/>
      <c r="MY273" s="569"/>
      <c r="MZ273" s="569"/>
      <c r="NA273" s="569"/>
      <c r="NB273" s="569"/>
      <c r="NC273" s="569"/>
      <c r="ND273" s="569"/>
      <c r="NE273" s="569"/>
      <c r="NF273" s="569"/>
      <c r="NG273" s="569"/>
      <c r="NH273" s="569"/>
      <c r="NI273" s="569"/>
      <c r="NJ273" s="569"/>
      <c r="NK273" s="569"/>
      <c r="NL273" s="569"/>
      <c r="NM273" s="569"/>
      <c r="NN273" s="569"/>
      <c r="NO273" s="569"/>
      <c r="NP273" s="569"/>
      <c r="NQ273" s="569"/>
      <c r="NR273" s="569"/>
      <c r="NS273" s="569"/>
      <c r="NT273" s="569"/>
      <c r="NU273" s="569"/>
      <c r="NV273" s="569"/>
      <c r="NW273" s="569"/>
      <c r="NX273" s="569"/>
      <c r="NY273" s="569"/>
      <c r="NZ273" s="569"/>
      <c r="OA273" s="569"/>
      <c r="OB273" s="569"/>
      <c r="OC273" s="569"/>
      <c r="OD273" s="569"/>
      <c r="OE273" s="569"/>
      <c r="OF273" s="569"/>
      <c r="OG273" s="569"/>
      <c r="OH273" s="569"/>
      <c r="OI273" s="569"/>
      <c r="OJ273" s="569"/>
      <c r="OK273" s="569"/>
      <c r="OL273" s="569"/>
      <c r="OM273" s="569"/>
      <c r="ON273" s="569"/>
      <c r="OO273" s="569"/>
      <c r="OP273" s="569"/>
      <c r="OQ273" s="569"/>
      <c r="OR273" s="569"/>
      <c r="OS273" s="569"/>
      <c r="OT273" s="569"/>
      <c r="OU273" s="569"/>
      <c r="OV273" s="569"/>
      <c r="OW273" s="569"/>
      <c r="OX273" s="569"/>
      <c r="OY273" s="569"/>
      <c r="OZ273" s="569"/>
      <c r="PA273" s="569"/>
      <c r="PB273" s="569"/>
      <c r="PC273" s="569"/>
      <c r="PD273" s="569"/>
      <c r="PE273" s="569"/>
      <c r="PF273" s="569"/>
      <c r="PG273" s="569"/>
      <c r="PH273" s="569"/>
      <c r="PI273" s="569"/>
      <c r="PJ273" s="569"/>
      <c r="PK273" s="569"/>
      <c r="PL273" s="569"/>
      <c r="PM273" s="569"/>
      <c r="PN273" s="569"/>
      <c r="PO273" s="569"/>
      <c r="PP273" s="569"/>
      <c r="PQ273" s="569"/>
      <c r="PR273" s="569"/>
      <c r="PS273" s="569"/>
      <c r="PT273" s="569"/>
      <c r="PU273" s="569"/>
      <c r="PV273" s="569"/>
      <c r="PW273" s="569"/>
      <c r="PX273" s="569"/>
      <c r="PY273" s="569"/>
      <c r="PZ273" s="569"/>
      <c r="QA273" s="569"/>
      <c r="QB273" s="569"/>
      <c r="QC273" s="569"/>
      <c r="QD273" s="569"/>
      <c r="QE273" s="569"/>
      <c r="QF273" s="569"/>
      <c r="QG273" s="569"/>
      <c r="QH273" s="569"/>
      <c r="QI273" s="569"/>
      <c r="QJ273" s="569"/>
      <c r="QK273" s="569"/>
      <c r="QL273" s="569"/>
    </row>
    <row r="274" spans="1:454" ht="45">
      <c r="B274" s="568"/>
      <c r="C274" s="568"/>
      <c r="D274" s="568"/>
      <c r="E274" s="568"/>
      <c r="F274" s="568"/>
      <c r="G274" s="568"/>
      <c r="H274" s="565" t="str">
        <f>'matrik MISI 3'!N29</f>
        <v>tersedianya informasi mengenai rencana tata ruang (RTR) beserta rencana rincinya</v>
      </c>
      <c r="I274" s="565" t="str">
        <f>'matrik MISI 3'!O29</f>
        <v>PERDA</v>
      </c>
      <c r="J274" s="565">
        <f>'matrik MISI 3'!P29</f>
        <v>1</v>
      </c>
      <c r="K274" s="565">
        <f>'matrik MISI 3'!Q29</f>
        <v>1</v>
      </c>
      <c r="L274" s="565">
        <f>'matrik MISI 3'!R29</f>
        <v>2</v>
      </c>
      <c r="M274" s="604"/>
      <c r="N274" s="565">
        <f>'matrik MISI 3'!S29</f>
        <v>2</v>
      </c>
      <c r="O274" s="564"/>
      <c r="P274" s="565">
        <f>'matrik MISI 3'!T29</f>
        <v>3</v>
      </c>
      <c r="Q274" s="564"/>
      <c r="R274" s="565">
        <f>'matrik MISI 3'!U29</f>
        <v>3</v>
      </c>
      <c r="S274" s="564"/>
      <c r="T274" s="565">
        <f>'matrik MISI 3'!V29</f>
        <v>3</v>
      </c>
      <c r="U274" s="564"/>
      <c r="V274" s="565">
        <f>'matrik MISI 3'!W29</f>
        <v>3</v>
      </c>
      <c r="W274" s="564"/>
      <c r="X274" s="565" t="str">
        <f>'matrik MISI 3'!X29</f>
        <v>BAPPEDA / DPU</v>
      </c>
      <c r="Y274" s="565" t="str">
        <f>'matrik MISI 3'!Y29</f>
        <v>tersedianya PERDA Rencana Tata Ruang Wilayah (RTRW) dan Rencana Detail Tata Ruang (RDTR)</v>
      </c>
      <c r="Z274" s="565" t="str">
        <f>'matrik MISI 3'!Z29</f>
        <v xml:space="preserve"> - tahun 2012 sudah ada PERDA No 1 Th 2012 tentang RTRW.                - tahun 2014 ditargetkan 1 PERDA RDTR kawasan strategis</v>
      </c>
    </row>
    <row r="275" spans="1:454" ht="60">
      <c r="C275" s="561"/>
      <c r="D275" s="565"/>
      <c r="E275" s="565"/>
      <c r="F275" s="565"/>
      <c r="G275" s="565"/>
      <c r="H275" s="565" t="str">
        <f>'matrik MISI 3'!N30</f>
        <v>terlaksananya penjaringan aspirasi masyarakat dalam proses penyusunan RTRW beserta rencana rinci</v>
      </c>
      <c r="I275" s="565" t="str">
        <f>'matrik MISI 3'!O30</f>
        <v>%</v>
      </c>
      <c r="J275" s="565">
        <f>'matrik MISI 3'!P30</f>
        <v>100</v>
      </c>
      <c r="K275" s="565">
        <f>'matrik MISI 3'!Q30</f>
        <v>100</v>
      </c>
      <c r="L275" s="565">
        <f>'matrik MISI 3'!R30</f>
        <v>100</v>
      </c>
      <c r="M275" s="604"/>
      <c r="N275" s="565">
        <f>'matrik MISI 3'!S30</f>
        <v>100</v>
      </c>
      <c r="O275" s="564"/>
      <c r="P275" s="565">
        <f>'matrik MISI 3'!T30</f>
        <v>100</v>
      </c>
      <c r="Q275" s="564"/>
      <c r="R275" s="565">
        <f>'matrik MISI 3'!U30</f>
        <v>100</v>
      </c>
      <c r="S275" s="564"/>
      <c r="T275" s="565">
        <f>'matrik MISI 3'!V30</f>
        <v>100</v>
      </c>
      <c r="U275" s="564"/>
      <c r="V275" s="565">
        <f>'matrik MISI 3'!W30</f>
        <v>100</v>
      </c>
      <c r="W275" s="564"/>
      <c r="X275" s="565" t="str">
        <f>'matrik MISI 3'!X30</f>
        <v>BAPPEDA / DPU</v>
      </c>
      <c r="Y275" s="565" t="str">
        <f>'matrik MISI 3'!Y30</f>
        <v>jumlah penjaringan aspirasi/konsultasi piblik dalam penyusunan RTR / jumlah penjaringan aspirasi yang seharusnya dilakukan x 100</v>
      </c>
      <c r="Z275" s="565">
        <f>'matrik MISI 3'!Z30</f>
        <v>0</v>
      </c>
    </row>
    <row r="276" spans="1:454" ht="45">
      <c r="C276" s="561"/>
      <c r="D276" s="565"/>
      <c r="E276" s="565"/>
      <c r="F276" s="565"/>
      <c r="G276" s="565"/>
      <c r="H276" s="565" t="str">
        <f>'matrik MISI 3'!N31</f>
        <v>terlayaninya masyarakat dalam pengurusan ijin pemanfaatan ruang</v>
      </c>
      <c r="I276" s="565" t="str">
        <f>'matrik MISI 3'!O31</f>
        <v>%</v>
      </c>
      <c r="J276" s="565">
        <f>'matrik MISI 3'!P31</f>
        <v>100</v>
      </c>
      <c r="K276" s="565">
        <f>'matrik MISI 3'!Q31</f>
        <v>100</v>
      </c>
      <c r="L276" s="565">
        <f>'matrik MISI 3'!R31</f>
        <v>100</v>
      </c>
      <c r="M276" s="604"/>
      <c r="N276" s="565">
        <f>'matrik MISI 3'!S31</f>
        <v>100</v>
      </c>
      <c r="O276" s="564"/>
      <c r="P276" s="565">
        <f>'matrik MISI 3'!T31</f>
        <v>100</v>
      </c>
      <c r="Q276" s="564"/>
      <c r="R276" s="565">
        <f>'matrik MISI 3'!U31</f>
        <v>100</v>
      </c>
      <c r="S276" s="564"/>
      <c r="T276" s="565">
        <f>'matrik MISI 3'!V31</f>
        <v>100</v>
      </c>
      <c r="U276" s="564"/>
      <c r="V276" s="565">
        <f>'matrik MISI 3'!W31</f>
        <v>100</v>
      </c>
      <c r="W276" s="564"/>
      <c r="X276" s="565" t="str">
        <f>'matrik MISI 3'!X31</f>
        <v>KP3M</v>
      </c>
      <c r="Y276" s="565" t="str">
        <f>'matrik MISI 3'!Y31</f>
        <v>jumlah ijin yang di proses / jumlah ijin yang diajukan</v>
      </c>
      <c r="Z276" s="565">
        <f>'matrik MISI 3'!Z31</f>
        <v>0</v>
      </c>
    </row>
    <row r="277" spans="1:454" s="574" customFormat="1" ht="30">
      <c r="A277" s="569"/>
      <c r="B277" s="575"/>
      <c r="C277" s="576"/>
      <c r="D277" s="577">
        <f>'matrik MISI 3'!J32</f>
        <v>1.05</v>
      </c>
      <c r="E277" s="577" t="str">
        <f>'matrik MISI 3'!K32</f>
        <v>xx</v>
      </c>
      <c r="F277" s="577">
        <f>'matrik MISI 3'!L32</f>
        <v>17</v>
      </c>
      <c r="G277" s="577" t="str">
        <f>'matrik MISI 3'!M32</f>
        <v>Program Pengendalian Pemanfaatan Ruang</v>
      </c>
      <c r="H277" s="577"/>
      <c r="I277" s="577"/>
      <c r="J277" s="577"/>
      <c r="K277" s="577"/>
      <c r="L277" s="577"/>
      <c r="M277" s="578">
        <f>'jangan dihapus 2'!K368</f>
        <v>20000000</v>
      </c>
      <c r="N277" s="578"/>
      <c r="O277" s="578">
        <f>'jangan dihapus 2'!M368</f>
        <v>91140000</v>
      </c>
      <c r="P277" s="578"/>
      <c r="Q277" s="578">
        <f>'jangan dihapus 2'!O368</f>
        <v>30000000</v>
      </c>
      <c r="R277" s="578"/>
      <c r="S277" s="578">
        <f>'jangan dihapus 2'!Q368</f>
        <v>30000000</v>
      </c>
      <c r="T277" s="578"/>
      <c r="U277" s="578">
        <f>'jangan dihapus 2'!S368</f>
        <v>30000000</v>
      </c>
      <c r="V277" s="577"/>
      <c r="W277" s="578">
        <f>SUM(M277:U277)</f>
        <v>201140000</v>
      </c>
      <c r="X277" s="577"/>
      <c r="Y277" s="577"/>
      <c r="Z277" s="577"/>
      <c r="AA277" s="569"/>
      <c r="AB277" s="569"/>
      <c r="AC277" s="569"/>
      <c r="AD277" s="569"/>
      <c r="AE277" s="569"/>
      <c r="AF277" s="569"/>
      <c r="AG277" s="569"/>
      <c r="AH277" s="569"/>
      <c r="AI277" s="569"/>
      <c r="AJ277" s="569"/>
      <c r="AK277" s="569"/>
      <c r="AL277" s="569"/>
      <c r="AM277" s="569"/>
      <c r="AN277" s="569"/>
      <c r="AO277" s="569"/>
      <c r="AP277" s="569"/>
      <c r="AQ277" s="569"/>
      <c r="AR277" s="569"/>
      <c r="AS277" s="569"/>
      <c r="AT277" s="569"/>
      <c r="AU277" s="569"/>
      <c r="AV277" s="569"/>
      <c r="AW277" s="569"/>
      <c r="AX277" s="569"/>
      <c r="AY277" s="569"/>
      <c r="AZ277" s="569"/>
      <c r="BA277" s="569"/>
      <c r="BB277" s="569"/>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HL277" s="569"/>
      <c r="HM277" s="569"/>
      <c r="HN277" s="569"/>
      <c r="HO277" s="569"/>
      <c r="HP277" s="569"/>
      <c r="HQ277" s="569"/>
      <c r="HR277" s="569"/>
      <c r="HS277" s="569"/>
      <c r="HT277" s="569"/>
      <c r="HU277" s="569"/>
      <c r="HV277" s="569"/>
      <c r="HW277" s="569"/>
      <c r="HX277" s="569"/>
      <c r="HY277" s="569"/>
      <c r="HZ277" s="569"/>
      <c r="IA277" s="569"/>
      <c r="IB277" s="569"/>
      <c r="IC277" s="569"/>
      <c r="ID277" s="569"/>
      <c r="IE277" s="569"/>
      <c r="IF277" s="569"/>
      <c r="IG277" s="569"/>
      <c r="IH277" s="569"/>
      <c r="II277" s="569"/>
      <c r="IJ277" s="569"/>
      <c r="IK277" s="569"/>
      <c r="IL277" s="569"/>
      <c r="IM277" s="569"/>
      <c r="IN277" s="569"/>
      <c r="IO277" s="569"/>
      <c r="IP277" s="569"/>
      <c r="IQ277" s="569"/>
      <c r="IR277" s="569"/>
      <c r="IS277" s="569"/>
      <c r="IT277" s="569"/>
      <c r="IU277" s="569"/>
      <c r="IV277" s="569"/>
      <c r="IW277" s="569"/>
      <c r="IX277" s="569"/>
      <c r="IY277" s="569"/>
      <c r="IZ277" s="569"/>
      <c r="JA277" s="569"/>
      <c r="JB277" s="569"/>
      <c r="JC277" s="569"/>
      <c r="JD277" s="569"/>
      <c r="JE277" s="569"/>
      <c r="JF277" s="569"/>
      <c r="JG277" s="569"/>
      <c r="JH277" s="569"/>
      <c r="JI277" s="569"/>
      <c r="JJ277" s="569"/>
      <c r="JK277" s="569"/>
      <c r="JL277" s="569"/>
      <c r="JM277" s="569"/>
      <c r="JN277" s="569"/>
      <c r="JO277" s="569"/>
      <c r="JP277" s="569"/>
      <c r="JQ277" s="569"/>
      <c r="JR277" s="569"/>
      <c r="JS277" s="569"/>
      <c r="JT277" s="569"/>
      <c r="JU277" s="569"/>
      <c r="JV277" s="569"/>
      <c r="JW277" s="569"/>
      <c r="JX277" s="569"/>
      <c r="JY277" s="569"/>
      <c r="JZ277" s="569"/>
      <c r="KA277" s="569"/>
      <c r="KB277" s="569"/>
      <c r="KC277" s="569"/>
      <c r="KD277" s="569"/>
      <c r="KE277" s="569"/>
      <c r="KF277" s="569"/>
      <c r="KG277" s="569"/>
      <c r="KH277" s="569"/>
      <c r="KI277" s="569"/>
      <c r="KJ277" s="569"/>
      <c r="KK277" s="569"/>
      <c r="KL277" s="569"/>
      <c r="KM277" s="569"/>
      <c r="KN277" s="569"/>
      <c r="KO277" s="569"/>
      <c r="KP277" s="569"/>
      <c r="KQ277" s="569"/>
      <c r="KR277" s="569"/>
      <c r="KS277" s="569"/>
      <c r="KT277" s="569"/>
      <c r="KU277" s="569"/>
      <c r="KV277" s="569"/>
      <c r="KW277" s="569"/>
      <c r="KX277" s="569"/>
      <c r="KY277" s="569"/>
      <c r="KZ277" s="569"/>
      <c r="LA277" s="569"/>
      <c r="LB277" s="569"/>
      <c r="LC277" s="569"/>
      <c r="LD277" s="569"/>
      <c r="LE277" s="569"/>
      <c r="LF277" s="569"/>
      <c r="LG277" s="569"/>
      <c r="LH277" s="569"/>
      <c r="LI277" s="569"/>
      <c r="LJ277" s="569"/>
      <c r="LK277" s="569"/>
      <c r="LL277" s="569"/>
      <c r="LM277" s="569"/>
      <c r="LN277" s="569"/>
      <c r="LO277" s="569"/>
      <c r="LP277" s="569"/>
      <c r="LQ277" s="569"/>
      <c r="LR277" s="569"/>
      <c r="LS277" s="569"/>
      <c r="LT277" s="569"/>
      <c r="LU277" s="569"/>
      <c r="LV277" s="569"/>
      <c r="LW277" s="569"/>
      <c r="LX277" s="569"/>
      <c r="LY277" s="569"/>
      <c r="LZ277" s="569"/>
      <c r="MA277" s="569"/>
      <c r="MB277" s="569"/>
      <c r="MC277" s="569"/>
      <c r="MD277" s="569"/>
      <c r="ME277" s="569"/>
      <c r="MF277" s="569"/>
      <c r="MG277" s="569"/>
      <c r="MH277" s="569"/>
      <c r="MI277" s="569"/>
      <c r="MJ277" s="569"/>
      <c r="MK277" s="569"/>
      <c r="ML277" s="569"/>
      <c r="MM277" s="569"/>
      <c r="MN277" s="569"/>
      <c r="MO277" s="569"/>
      <c r="MP277" s="569"/>
      <c r="MQ277" s="569"/>
      <c r="MR277" s="569"/>
      <c r="MS277" s="569"/>
      <c r="MT277" s="569"/>
      <c r="MU277" s="569"/>
      <c r="MV277" s="569"/>
      <c r="MW277" s="569"/>
      <c r="MX277" s="569"/>
      <c r="MY277" s="569"/>
      <c r="MZ277" s="569"/>
      <c r="NA277" s="569"/>
      <c r="NB277" s="569"/>
      <c r="NC277" s="569"/>
      <c r="ND277" s="569"/>
      <c r="NE277" s="569"/>
      <c r="NF277" s="569"/>
      <c r="NG277" s="569"/>
      <c r="NH277" s="569"/>
      <c r="NI277" s="569"/>
      <c r="NJ277" s="569"/>
      <c r="NK277" s="569"/>
      <c r="NL277" s="569"/>
      <c r="NM277" s="569"/>
      <c r="NN277" s="569"/>
      <c r="NO277" s="569"/>
      <c r="NP277" s="569"/>
      <c r="NQ277" s="569"/>
      <c r="NR277" s="569"/>
      <c r="NS277" s="569"/>
      <c r="NT277" s="569"/>
      <c r="NU277" s="569"/>
      <c r="NV277" s="569"/>
      <c r="NW277" s="569"/>
      <c r="NX277" s="569"/>
      <c r="NY277" s="569"/>
      <c r="NZ277" s="569"/>
      <c r="OA277" s="569"/>
      <c r="OB277" s="569"/>
      <c r="OC277" s="569"/>
      <c r="OD277" s="569"/>
      <c r="OE277" s="569"/>
      <c r="OF277" s="569"/>
      <c r="OG277" s="569"/>
      <c r="OH277" s="569"/>
      <c r="OI277" s="569"/>
      <c r="OJ277" s="569"/>
      <c r="OK277" s="569"/>
      <c r="OL277" s="569"/>
      <c r="OM277" s="569"/>
      <c r="ON277" s="569"/>
      <c r="OO277" s="569"/>
      <c r="OP277" s="569"/>
      <c r="OQ277" s="569"/>
      <c r="OR277" s="569"/>
      <c r="OS277" s="569"/>
      <c r="OT277" s="569"/>
      <c r="OU277" s="569"/>
      <c r="OV277" s="569"/>
      <c r="OW277" s="569"/>
      <c r="OX277" s="569"/>
      <c r="OY277" s="569"/>
      <c r="OZ277" s="569"/>
      <c r="PA277" s="569"/>
      <c r="PB277" s="569"/>
      <c r="PC277" s="569"/>
      <c r="PD277" s="569"/>
      <c r="PE277" s="569"/>
      <c r="PF277" s="569"/>
      <c r="PG277" s="569"/>
      <c r="PH277" s="569"/>
      <c r="PI277" s="569"/>
      <c r="PJ277" s="569"/>
      <c r="PK277" s="569"/>
      <c r="PL277" s="569"/>
      <c r="PM277" s="569"/>
      <c r="PN277" s="569"/>
      <c r="PO277" s="569"/>
      <c r="PP277" s="569"/>
      <c r="PQ277" s="569"/>
      <c r="PR277" s="569"/>
      <c r="PS277" s="569"/>
      <c r="PT277" s="569"/>
      <c r="PU277" s="569"/>
      <c r="PV277" s="569"/>
      <c r="PW277" s="569"/>
      <c r="PX277" s="569"/>
      <c r="PY277" s="569"/>
      <c r="PZ277" s="569"/>
      <c r="QA277" s="569"/>
      <c r="QB277" s="569"/>
      <c r="QC277" s="569"/>
      <c r="QD277" s="569"/>
      <c r="QE277" s="569"/>
      <c r="QF277" s="569"/>
      <c r="QG277" s="569"/>
      <c r="QH277" s="569"/>
      <c r="QI277" s="569"/>
      <c r="QJ277" s="569"/>
      <c r="QK277" s="569"/>
      <c r="QL277" s="569"/>
    </row>
    <row r="278" spans="1:454" ht="30">
      <c r="C278" s="561"/>
      <c r="D278" s="568"/>
      <c r="E278" s="568"/>
      <c r="F278" s="568"/>
      <c r="G278" s="568"/>
      <c r="H278" s="565" t="str">
        <f>'matrik MISI 3'!N32</f>
        <v>Cakupan Pemanfaatan Ruang sesuai Peruntukannya</v>
      </c>
      <c r="I278" s="565" t="str">
        <f>'matrik MISI 3'!O32</f>
        <v>%</v>
      </c>
      <c r="J278" s="565">
        <f>'matrik MISI 3'!P32</f>
        <v>100</v>
      </c>
      <c r="K278" s="565">
        <f>'matrik MISI 3'!Q32</f>
        <v>87.5</v>
      </c>
      <c r="L278" s="565">
        <f>'matrik MISI 3'!R32</f>
        <v>100</v>
      </c>
      <c r="M278" s="604"/>
      <c r="N278" s="565">
        <f>'matrik MISI 3'!S32</f>
        <v>100</v>
      </c>
      <c r="O278" s="564"/>
      <c r="P278" s="565">
        <f>'matrik MISI 3'!T32</f>
        <v>100</v>
      </c>
      <c r="Q278" s="564"/>
      <c r="R278" s="565">
        <f>'matrik MISI 3'!U32</f>
        <v>100</v>
      </c>
      <c r="S278" s="564"/>
      <c r="T278" s="565">
        <f>'matrik MISI 3'!V32</f>
        <v>100</v>
      </c>
      <c r="U278" s="564"/>
      <c r="V278" s="565">
        <f>'matrik MISI 3'!W32</f>
        <v>100</v>
      </c>
      <c r="W278" s="564"/>
      <c r="X278" s="565" t="str">
        <f>'matrik MISI 3'!X32</f>
        <v>DPU/BAPPEDA/KP3M</v>
      </c>
      <c r="Y278" s="565" t="str">
        <f>'matrik MISI 3'!Y32</f>
        <v xml:space="preserve">jumlah izin yang disetujui/ jumlah pemohon izin yang masuk x 100 </v>
      </c>
      <c r="Z278" s="565">
        <f>'matrik MISI 3'!Z32</f>
        <v>0</v>
      </c>
    </row>
    <row r="279" spans="1:454" ht="60">
      <c r="C279" s="561"/>
      <c r="D279" s="565"/>
      <c r="E279" s="565"/>
      <c r="F279" s="565"/>
      <c r="G279" s="565"/>
      <c r="H279" s="565" t="str">
        <f>'matrik MISI 3'!N33</f>
        <v xml:space="preserve">Cakupan tindakan awal terhadap pengaduan Masyarakat tentang Pelanggaran di Bidang Penataan Ruang </v>
      </c>
      <c r="I279" s="565" t="str">
        <f>'matrik MISI 3'!O33</f>
        <v>%</v>
      </c>
      <c r="J279" s="565">
        <f>'matrik MISI 3'!P33</f>
        <v>85</v>
      </c>
      <c r="K279" s="565">
        <f>'matrik MISI 3'!Q33</f>
        <v>90</v>
      </c>
      <c r="L279" s="565">
        <f>'matrik MISI 3'!R33</f>
        <v>95</v>
      </c>
      <c r="M279" s="604"/>
      <c r="N279" s="565">
        <f>'matrik MISI 3'!S33</f>
        <v>100</v>
      </c>
      <c r="O279" s="564"/>
      <c r="P279" s="565">
        <f>'matrik MISI 3'!T33</f>
        <v>100</v>
      </c>
      <c r="Q279" s="564"/>
      <c r="R279" s="565">
        <f>'matrik MISI 3'!U33</f>
        <v>100</v>
      </c>
      <c r="S279" s="564"/>
      <c r="T279" s="565">
        <f>'matrik MISI 3'!V33</f>
        <v>100</v>
      </c>
      <c r="U279" s="564"/>
      <c r="V279" s="565">
        <f>'matrik MISI 3'!W33</f>
        <v>100</v>
      </c>
      <c r="W279" s="564"/>
      <c r="X279" s="565" t="str">
        <f>'matrik MISI 3'!X33</f>
        <v>DPU/BAPPEDA/KP3M/               SATPOL PP</v>
      </c>
      <c r="Y279" s="565" t="str">
        <f>'matrik MISI 3'!Y33</f>
        <v>Jumlah pengaduan yg ditindaklanjuti / jumlah pengaduan  x 100</v>
      </c>
      <c r="Z279" s="565">
        <f>'matrik MISI 3'!Z33</f>
        <v>0</v>
      </c>
    </row>
    <row r="280" spans="1:454" s="574" customFormat="1" ht="45">
      <c r="A280" s="569"/>
      <c r="B280" s="575"/>
      <c r="C280" s="576"/>
      <c r="D280" s="577" t="str">
        <f>'matrik MISI 3'!J34</f>
        <v>1.08</v>
      </c>
      <c r="E280" s="577" t="str">
        <f>'matrik MISI 3'!K34</f>
        <v>xx</v>
      </c>
      <c r="F280" s="577">
        <f>'matrik MISI 3'!L34</f>
        <v>24</v>
      </c>
      <c r="G280" s="577" t="str">
        <f>'matrik MISI 3'!M34</f>
        <v>Program Pengelolaan ruang terbuka hijau (RTH)</v>
      </c>
      <c r="H280" s="577"/>
      <c r="I280" s="577"/>
      <c r="J280" s="577"/>
      <c r="K280" s="577"/>
      <c r="L280" s="577"/>
      <c r="M280" s="578">
        <f>'jangan dihapus 2'!K490</f>
        <v>1250000000</v>
      </c>
      <c r="N280" s="578"/>
      <c r="O280" s="578">
        <f>'jangan dihapus 2'!M490</f>
        <v>313875000</v>
      </c>
      <c r="P280" s="578"/>
      <c r="Q280" s="578">
        <f>'jangan dihapus 2'!O490</f>
        <v>1600000000</v>
      </c>
      <c r="R280" s="578"/>
      <c r="S280" s="578">
        <f>'jangan dihapus 2'!Q490</f>
        <v>1700000000</v>
      </c>
      <c r="T280" s="578"/>
      <c r="U280" s="578">
        <f>'jangan dihapus 2'!S490</f>
        <v>2300000000</v>
      </c>
      <c r="V280" s="577"/>
      <c r="W280" s="578">
        <f>SUM(M280:U280)</f>
        <v>7163875000</v>
      </c>
      <c r="X280" s="577"/>
      <c r="Y280" s="577"/>
      <c r="Z280" s="577"/>
      <c r="AA280" s="569"/>
      <c r="AB280" s="569"/>
      <c r="AC280" s="569"/>
      <c r="AD280" s="569"/>
      <c r="AE280" s="569"/>
      <c r="AF280" s="569"/>
      <c r="AG280" s="569"/>
      <c r="AH280" s="569"/>
      <c r="AI280" s="569"/>
      <c r="AJ280" s="569"/>
      <c r="AK280" s="569"/>
      <c r="AL280" s="569"/>
      <c r="AM280" s="569"/>
      <c r="AN280" s="569"/>
      <c r="AO280" s="569"/>
      <c r="AP280" s="569"/>
      <c r="AQ280" s="569"/>
      <c r="AR280" s="569"/>
      <c r="AS280" s="569"/>
      <c r="AT280" s="569"/>
      <c r="AU280" s="569"/>
      <c r="AV280" s="569"/>
      <c r="AW280" s="569"/>
      <c r="AX280" s="569"/>
      <c r="AY280" s="569"/>
      <c r="AZ280" s="569"/>
      <c r="BA280" s="569"/>
      <c r="BB280" s="569"/>
      <c r="BC280" s="569"/>
      <c r="BD280" s="569"/>
      <c r="BE280" s="569"/>
      <c r="BF280" s="569"/>
      <c r="BG280" s="569"/>
      <c r="BH280" s="569"/>
      <c r="BI280" s="569"/>
      <c r="BJ280" s="569"/>
      <c r="BK280" s="569"/>
      <c r="BL280" s="569"/>
      <c r="BM280" s="569"/>
      <c r="BN280" s="569"/>
      <c r="BO280" s="569"/>
      <c r="BP280" s="569"/>
      <c r="BQ280" s="569"/>
      <c r="BR280" s="569"/>
      <c r="BS280" s="569"/>
      <c r="BT280" s="569"/>
      <c r="BU280" s="569"/>
      <c r="BV280" s="569"/>
      <c r="BW280" s="569"/>
      <c r="BX280" s="569"/>
      <c r="BY280" s="569"/>
      <c r="BZ280" s="569"/>
      <c r="CA280" s="569"/>
      <c r="CB280" s="569"/>
      <c r="CC280" s="569"/>
      <c r="CD280" s="569"/>
      <c r="CE280" s="569"/>
      <c r="CF280" s="569"/>
      <c r="CG280" s="569"/>
      <c r="CH280" s="569"/>
      <c r="CI280" s="569"/>
      <c r="CJ280" s="569"/>
      <c r="CK280" s="569"/>
      <c r="CL280" s="569"/>
      <c r="CM280" s="569"/>
      <c r="CN280" s="569"/>
      <c r="CO280" s="569"/>
      <c r="CP280" s="569"/>
      <c r="CQ280" s="569"/>
      <c r="CR280" s="569"/>
      <c r="CS280" s="569"/>
      <c r="CT280" s="569"/>
      <c r="CU280" s="569"/>
      <c r="CV280" s="569"/>
      <c r="CW280" s="569"/>
      <c r="CX280" s="569"/>
      <c r="CY280" s="569"/>
      <c r="CZ280" s="569"/>
      <c r="DA280" s="569"/>
      <c r="DB280" s="569"/>
      <c r="DC280" s="569"/>
      <c r="DD280" s="569"/>
      <c r="DE280" s="569"/>
      <c r="DF280" s="569"/>
      <c r="DG280" s="569"/>
      <c r="DH280" s="569"/>
      <c r="DI280" s="569"/>
      <c r="DJ280" s="569"/>
      <c r="DK280" s="569"/>
      <c r="DL280" s="569"/>
      <c r="DM280" s="569"/>
      <c r="DN280" s="569"/>
      <c r="DO280" s="569"/>
      <c r="DP280" s="569"/>
      <c r="DQ280" s="569"/>
      <c r="DR280" s="569"/>
      <c r="DS280" s="569"/>
      <c r="DT280" s="569"/>
      <c r="DU280" s="569"/>
      <c r="DV280" s="569"/>
      <c r="DW280" s="569"/>
      <c r="DX280" s="569"/>
      <c r="DY280" s="569"/>
      <c r="DZ280" s="569"/>
      <c r="EA280" s="569"/>
      <c r="EB280" s="569"/>
      <c r="EC280" s="569"/>
      <c r="ED280" s="569"/>
      <c r="EE280" s="569"/>
      <c r="EF280" s="569"/>
      <c r="EG280" s="569"/>
      <c r="EH280" s="569"/>
      <c r="EI280" s="569"/>
      <c r="EJ280" s="569"/>
      <c r="EK280" s="569"/>
      <c r="EL280" s="569"/>
      <c r="EM280" s="569"/>
      <c r="EN280" s="569"/>
      <c r="EO280" s="569"/>
      <c r="EP280" s="569"/>
      <c r="EQ280" s="569"/>
      <c r="ER280" s="569"/>
      <c r="ES280" s="569"/>
      <c r="ET280" s="569"/>
      <c r="EU280" s="569"/>
      <c r="EV280" s="569"/>
      <c r="EW280" s="569"/>
      <c r="EX280" s="569"/>
      <c r="EY280" s="569"/>
      <c r="EZ280" s="569"/>
      <c r="FA280" s="569"/>
      <c r="FB280" s="569"/>
      <c r="FC280" s="569"/>
      <c r="FD280" s="569"/>
      <c r="FE280" s="569"/>
      <c r="FF280" s="569"/>
      <c r="FG280" s="569"/>
      <c r="FH280" s="569"/>
      <c r="FI280" s="569"/>
      <c r="FJ280" s="569"/>
      <c r="FK280" s="569"/>
      <c r="FL280" s="569"/>
      <c r="FM280" s="569"/>
      <c r="FN280" s="569"/>
      <c r="FO280" s="569"/>
      <c r="FP280" s="569"/>
      <c r="FQ280" s="569"/>
      <c r="FR280" s="569"/>
      <c r="FS280" s="569"/>
      <c r="FT280" s="569"/>
      <c r="FU280" s="569"/>
      <c r="FV280" s="569"/>
      <c r="FW280" s="569"/>
      <c r="FX280" s="569"/>
      <c r="FY280" s="569"/>
      <c r="FZ280" s="569"/>
      <c r="GA280" s="569"/>
      <c r="GB280" s="569"/>
      <c r="GC280" s="569"/>
      <c r="GD280" s="569"/>
      <c r="GE280" s="569"/>
      <c r="GF280" s="569"/>
      <c r="GG280" s="569"/>
      <c r="GH280" s="569"/>
      <c r="GI280" s="569"/>
      <c r="GJ280" s="569"/>
      <c r="GK280" s="569"/>
      <c r="GL280" s="569"/>
      <c r="GM280" s="569"/>
      <c r="GN280" s="569"/>
      <c r="GO280" s="569"/>
      <c r="GP280" s="569"/>
      <c r="GQ280" s="569"/>
      <c r="GR280" s="569"/>
      <c r="GS280" s="569"/>
      <c r="GT280" s="569"/>
      <c r="GU280" s="569"/>
      <c r="GV280" s="569"/>
      <c r="GW280" s="569"/>
      <c r="GX280" s="569"/>
      <c r="GY280" s="569"/>
      <c r="GZ280" s="569"/>
      <c r="HA280" s="569"/>
      <c r="HB280" s="569"/>
      <c r="HC280" s="569"/>
      <c r="HD280" s="569"/>
      <c r="HE280" s="569"/>
      <c r="HF280" s="569"/>
      <c r="HG280" s="569"/>
      <c r="HH280" s="569"/>
      <c r="HI280" s="569"/>
      <c r="HJ280" s="569"/>
      <c r="HK280" s="569"/>
      <c r="HL280" s="569"/>
      <c r="HM280" s="569"/>
      <c r="HN280" s="569"/>
      <c r="HO280" s="569"/>
      <c r="HP280" s="569"/>
      <c r="HQ280" s="569"/>
      <c r="HR280" s="569"/>
      <c r="HS280" s="569"/>
      <c r="HT280" s="569"/>
      <c r="HU280" s="569"/>
      <c r="HV280" s="569"/>
      <c r="HW280" s="569"/>
      <c r="HX280" s="569"/>
      <c r="HY280" s="569"/>
      <c r="HZ280" s="569"/>
      <c r="IA280" s="569"/>
      <c r="IB280" s="569"/>
      <c r="IC280" s="569"/>
      <c r="ID280" s="569"/>
      <c r="IE280" s="569"/>
      <c r="IF280" s="569"/>
      <c r="IG280" s="569"/>
      <c r="IH280" s="569"/>
      <c r="II280" s="569"/>
      <c r="IJ280" s="569"/>
      <c r="IK280" s="569"/>
      <c r="IL280" s="569"/>
      <c r="IM280" s="569"/>
      <c r="IN280" s="569"/>
      <c r="IO280" s="569"/>
      <c r="IP280" s="569"/>
      <c r="IQ280" s="569"/>
      <c r="IR280" s="569"/>
      <c r="IS280" s="569"/>
      <c r="IT280" s="569"/>
      <c r="IU280" s="569"/>
      <c r="IV280" s="569"/>
      <c r="IW280" s="569"/>
      <c r="IX280" s="569"/>
      <c r="IY280" s="569"/>
      <c r="IZ280" s="569"/>
      <c r="JA280" s="569"/>
      <c r="JB280" s="569"/>
      <c r="JC280" s="569"/>
      <c r="JD280" s="569"/>
      <c r="JE280" s="569"/>
      <c r="JF280" s="569"/>
      <c r="JG280" s="569"/>
      <c r="JH280" s="569"/>
      <c r="JI280" s="569"/>
      <c r="JJ280" s="569"/>
      <c r="JK280" s="569"/>
      <c r="JL280" s="569"/>
      <c r="JM280" s="569"/>
      <c r="JN280" s="569"/>
      <c r="JO280" s="569"/>
      <c r="JP280" s="569"/>
      <c r="JQ280" s="569"/>
      <c r="JR280" s="569"/>
      <c r="JS280" s="569"/>
      <c r="JT280" s="569"/>
      <c r="JU280" s="569"/>
      <c r="JV280" s="569"/>
      <c r="JW280" s="569"/>
      <c r="JX280" s="569"/>
      <c r="JY280" s="569"/>
      <c r="JZ280" s="569"/>
      <c r="KA280" s="569"/>
      <c r="KB280" s="569"/>
      <c r="KC280" s="569"/>
      <c r="KD280" s="569"/>
      <c r="KE280" s="569"/>
      <c r="KF280" s="569"/>
      <c r="KG280" s="569"/>
      <c r="KH280" s="569"/>
      <c r="KI280" s="569"/>
      <c r="KJ280" s="569"/>
      <c r="KK280" s="569"/>
      <c r="KL280" s="569"/>
      <c r="KM280" s="569"/>
      <c r="KN280" s="569"/>
      <c r="KO280" s="569"/>
      <c r="KP280" s="569"/>
      <c r="KQ280" s="569"/>
      <c r="KR280" s="569"/>
      <c r="KS280" s="569"/>
      <c r="KT280" s="569"/>
      <c r="KU280" s="569"/>
      <c r="KV280" s="569"/>
      <c r="KW280" s="569"/>
      <c r="KX280" s="569"/>
      <c r="KY280" s="569"/>
      <c r="KZ280" s="569"/>
      <c r="LA280" s="569"/>
      <c r="LB280" s="569"/>
      <c r="LC280" s="569"/>
      <c r="LD280" s="569"/>
      <c r="LE280" s="569"/>
      <c r="LF280" s="569"/>
      <c r="LG280" s="569"/>
      <c r="LH280" s="569"/>
      <c r="LI280" s="569"/>
      <c r="LJ280" s="569"/>
      <c r="LK280" s="569"/>
      <c r="LL280" s="569"/>
      <c r="LM280" s="569"/>
      <c r="LN280" s="569"/>
      <c r="LO280" s="569"/>
      <c r="LP280" s="569"/>
      <c r="LQ280" s="569"/>
      <c r="LR280" s="569"/>
      <c r="LS280" s="569"/>
      <c r="LT280" s="569"/>
      <c r="LU280" s="569"/>
      <c r="LV280" s="569"/>
      <c r="LW280" s="569"/>
      <c r="LX280" s="569"/>
      <c r="LY280" s="569"/>
      <c r="LZ280" s="569"/>
      <c r="MA280" s="569"/>
      <c r="MB280" s="569"/>
      <c r="MC280" s="569"/>
      <c r="MD280" s="569"/>
      <c r="ME280" s="569"/>
      <c r="MF280" s="569"/>
      <c r="MG280" s="569"/>
      <c r="MH280" s="569"/>
      <c r="MI280" s="569"/>
      <c r="MJ280" s="569"/>
      <c r="MK280" s="569"/>
      <c r="ML280" s="569"/>
      <c r="MM280" s="569"/>
      <c r="MN280" s="569"/>
      <c r="MO280" s="569"/>
      <c r="MP280" s="569"/>
      <c r="MQ280" s="569"/>
      <c r="MR280" s="569"/>
      <c r="MS280" s="569"/>
      <c r="MT280" s="569"/>
      <c r="MU280" s="569"/>
      <c r="MV280" s="569"/>
      <c r="MW280" s="569"/>
      <c r="MX280" s="569"/>
      <c r="MY280" s="569"/>
      <c r="MZ280" s="569"/>
      <c r="NA280" s="569"/>
      <c r="NB280" s="569"/>
      <c r="NC280" s="569"/>
      <c r="ND280" s="569"/>
      <c r="NE280" s="569"/>
      <c r="NF280" s="569"/>
      <c r="NG280" s="569"/>
      <c r="NH280" s="569"/>
      <c r="NI280" s="569"/>
      <c r="NJ280" s="569"/>
      <c r="NK280" s="569"/>
      <c r="NL280" s="569"/>
      <c r="NM280" s="569"/>
      <c r="NN280" s="569"/>
      <c r="NO280" s="569"/>
      <c r="NP280" s="569"/>
      <c r="NQ280" s="569"/>
      <c r="NR280" s="569"/>
      <c r="NS280" s="569"/>
      <c r="NT280" s="569"/>
      <c r="NU280" s="569"/>
      <c r="NV280" s="569"/>
      <c r="NW280" s="569"/>
      <c r="NX280" s="569"/>
      <c r="NY280" s="569"/>
      <c r="NZ280" s="569"/>
      <c r="OA280" s="569"/>
      <c r="OB280" s="569"/>
      <c r="OC280" s="569"/>
      <c r="OD280" s="569"/>
      <c r="OE280" s="569"/>
      <c r="OF280" s="569"/>
      <c r="OG280" s="569"/>
      <c r="OH280" s="569"/>
      <c r="OI280" s="569"/>
      <c r="OJ280" s="569"/>
      <c r="OK280" s="569"/>
      <c r="OL280" s="569"/>
      <c r="OM280" s="569"/>
      <c r="ON280" s="569"/>
      <c r="OO280" s="569"/>
      <c r="OP280" s="569"/>
      <c r="OQ280" s="569"/>
      <c r="OR280" s="569"/>
      <c r="OS280" s="569"/>
      <c r="OT280" s="569"/>
      <c r="OU280" s="569"/>
      <c r="OV280" s="569"/>
      <c r="OW280" s="569"/>
      <c r="OX280" s="569"/>
      <c r="OY280" s="569"/>
      <c r="OZ280" s="569"/>
      <c r="PA280" s="569"/>
      <c r="PB280" s="569"/>
      <c r="PC280" s="569"/>
      <c r="PD280" s="569"/>
      <c r="PE280" s="569"/>
      <c r="PF280" s="569"/>
      <c r="PG280" s="569"/>
      <c r="PH280" s="569"/>
      <c r="PI280" s="569"/>
      <c r="PJ280" s="569"/>
      <c r="PK280" s="569"/>
      <c r="PL280" s="569"/>
      <c r="PM280" s="569"/>
      <c r="PN280" s="569"/>
      <c r="PO280" s="569"/>
      <c r="PP280" s="569"/>
      <c r="PQ280" s="569"/>
      <c r="PR280" s="569"/>
      <c r="PS280" s="569"/>
      <c r="PT280" s="569"/>
      <c r="PU280" s="569"/>
      <c r="PV280" s="569"/>
      <c r="PW280" s="569"/>
      <c r="PX280" s="569"/>
      <c r="PY280" s="569"/>
      <c r="PZ280" s="569"/>
      <c r="QA280" s="569"/>
      <c r="QB280" s="569"/>
      <c r="QC280" s="569"/>
      <c r="QD280" s="569"/>
      <c r="QE280" s="569"/>
      <c r="QF280" s="569"/>
      <c r="QG280" s="569"/>
      <c r="QH280" s="569"/>
      <c r="QI280" s="569"/>
      <c r="QJ280" s="569"/>
      <c r="QK280" s="569"/>
      <c r="QL280" s="569"/>
    </row>
    <row r="281" spans="1:454" ht="45">
      <c r="C281" s="561"/>
      <c r="D281" s="568"/>
      <c r="E281" s="568"/>
      <c r="F281" s="568"/>
      <c r="G281" s="568"/>
      <c r="H281" s="565" t="str">
        <f>'matrik MISI 3'!N34</f>
        <v>Tersedianya luasan ruang terbuka hijau publik pada skala kawasan/kota</v>
      </c>
      <c r="I281" s="565" t="str">
        <f>'matrik MISI 3'!O34</f>
        <v>%</v>
      </c>
      <c r="J281" s="565">
        <f>'matrik MISI 3'!P34</f>
        <v>29.15</v>
      </c>
      <c r="K281" s="565">
        <f>'matrik MISI 3'!Q34</f>
        <v>29.15</v>
      </c>
      <c r="L281" s="565">
        <f>'matrik MISI 3'!R34</f>
        <v>29.15</v>
      </c>
      <c r="M281" s="604"/>
      <c r="N281" s="565">
        <f>'matrik MISI 3'!S34</f>
        <v>30</v>
      </c>
      <c r="O281" s="564"/>
      <c r="P281" s="565">
        <f>'matrik MISI 3'!T34</f>
        <v>30.25</v>
      </c>
      <c r="Q281" s="564"/>
      <c r="R281" s="565">
        <f>'matrik MISI 3'!U34</f>
        <v>30.5</v>
      </c>
      <c r="S281" s="564"/>
      <c r="T281" s="565">
        <f>'matrik MISI 3'!V34</f>
        <v>31.25</v>
      </c>
      <c r="U281" s="564"/>
      <c r="V281" s="565">
        <f>'matrik MISI 3'!W34</f>
        <v>31.25</v>
      </c>
      <c r="W281" s="564"/>
      <c r="X281" s="565" t="str">
        <f>'matrik MISI 3'!X34</f>
        <v>BLH/DPU</v>
      </c>
      <c r="Y281" s="565" t="str">
        <f>'matrik MISI 3'!Y34</f>
        <v>jumlah luasan RTH publik / jumlah luasan perkotaan x 100</v>
      </c>
      <c r="Z281" s="565">
        <f>'matrik MISI 3'!Z34</f>
        <v>0</v>
      </c>
    </row>
    <row r="282" spans="1:454" s="574" customFormat="1" ht="60">
      <c r="A282" s="569"/>
      <c r="B282" s="575"/>
      <c r="C282" s="576"/>
      <c r="D282" s="577">
        <f>'matrik MISI 3'!J35</f>
        <v>1.03</v>
      </c>
      <c r="E282" s="577" t="str">
        <f>'matrik MISI 3'!K35</f>
        <v>xx</v>
      </c>
      <c r="F282" s="577">
        <f>'matrik MISI 3'!L35</f>
        <v>32</v>
      </c>
      <c r="G282" s="577" t="str">
        <f>'matrik MISI 3'!M35</f>
        <v>Program pembangunan dan rehabilitasi/pemeliharaan trotoar</v>
      </c>
      <c r="H282" s="577"/>
      <c r="I282" s="577"/>
      <c r="J282" s="577"/>
      <c r="K282" s="577"/>
      <c r="L282" s="577"/>
      <c r="M282" s="578">
        <f>'jangan dihapus 2'!K340+'jangan dihapus 2'!K341</f>
        <v>2795000000</v>
      </c>
      <c r="N282" s="578"/>
      <c r="O282" s="578">
        <f>'jangan dihapus 2'!M340+'jangan dihapus 2'!M341</f>
        <v>2548744000</v>
      </c>
      <c r="P282" s="578"/>
      <c r="Q282" s="578">
        <f>'jangan dihapus 2'!O340+'jangan dihapus 2'!O341</f>
        <v>1500000000</v>
      </c>
      <c r="R282" s="578"/>
      <c r="S282" s="578">
        <f>'jangan dihapus 2'!Q340+'jangan dihapus 2'!Q341</f>
        <v>1500000000</v>
      </c>
      <c r="T282" s="578"/>
      <c r="U282" s="578">
        <f>'jangan dihapus 2'!S340+'jangan dihapus 2'!S341</f>
        <v>1500000000</v>
      </c>
      <c r="V282" s="577"/>
      <c r="W282" s="578">
        <f>SUM(M282:U282)</f>
        <v>9843744000</v>
      </c>
      <c r="X282" s="577"/>
      <c r="Y282" s="577"/>
      <c r="Z282" s="577"/>
      <c r="AA282" s="569"/>
      <c r="AB282" s="569"/>
      <c r="AC282" s="569"/>
      <c r="AD282" s="569"/>
      <c r="AE282" s="569"/>
      <c r="AF282" s="569"/>
      <c r="AG282" s="569"/>
      <c r="AH282" s="569"/>
      <c r="AI282" s="569"/>
      <c r="AJ282" s="569"/>
      <c r="AK282" s="569"/>
      <c r="AL282" s="569"/>
      <c r="AM282" s="569"/>
      <c r="AN282" s="569"/>
      <c r="AO282" s="569"/>
      <c r="AP282" s="569"/>
      <c r="AQ282" s="569"/>
      <c r="AR282" s="569"/>
      <c r="AS282" s="569"/>
      <c r="AT282" s="569"/>
      <c r="AU282" s="569"/>
      <c r="AV282" s="569"/>
      <c r="AW282" s="569"/>
      <c r="AX282" s="569"/>
      <c r="AY282" s="569"/>
      <c r="AZ282" s="569"/>
      <c r="BA282" s="569"/>
      <c r="BB282" s="569"/>
      <c r="BC282" s="569"/>
      <c r="BD282" s="569"/>
      <c r="BE282" s="569"/>
      <c r="BF282" s="569"/>
      <c r="BG282" s="569"/>
      <c r="BH282" s="569"/>
      <c r="BI282" s="569"/>
      <c r="BJ282" s="569"/>
      <c r="BK282" s="569"/>
      <c r="BL282" s="569"/>
      <c r="BM282" s="569"/>
      <c r="BN282" s="569"/>
      <c r="BO282" s="569"/>
      <c r="BP282" s="569"/>
      <c r="BQ282" s="569"/>
      <c r="BR282" s="569"/>
      <c r="BS282" s="569"/>
      <c r="BT282" s="569"/>
      <c r="BU282" s="569"/>
      <c r="BV282" s="569"/>
      <c r="BW282" s="569"/>
      <c r="BX282" s="569"/>
      <c r="BY282" s="569"/>
      <c r="BZ282" s="569"/>
      <c r="CA282" s="569"/>
      <c r="CB282" s="569"/>
      <c r="CC282" s="569"/>
      <c r="CD282" s="569"/>
      <c r="CE282" s="569"/>
      <c r="CF282" s="569"/>
      <c r="CG282" s="569"/>
      <c r="CH282" s="569"/>
      <c r="CI282" s="569"/>
      <c r="CJ282" s="569"/>
      <c r="CK282" s="569"/>
      <c r="CL282" s="569"/>
      <c r="CM282" s="569"/>
      <c r="CN282" s="569"/>
      <c r="CO282" s="569"/>
      <c r="CP282" s="569"/>
      <c r="CQ282" s="569"/>
      <c r="CR282" s="569"/>
      <c r="CS282" s="569"/>
      <c r="CT282" s="569"/>
      <c r="CU282" s="569"/>
      <c r="CV282" s="569"/>
      <c r="CW282" s="569"/>
      <c r="CX282" s="569"/>
      <c r="CY282" s="569"/>
      <c r="CZ282" s="569"/>
      <c r="DA282" s="569"/>
      <c r="DB282" s="569"/>
      <c r="DC282" s="569"/>
      <c r="DD282" s="569"/>
      <c r="DE282" s="569"/>
      <c r="DF282" s="569"/>
      <c r="DG282" s="569"/>
      <c r="DH282" s="569"/>
      <c r="DI282" s="569"/>
      <c r="DJ282" s="569"/>
      <c r="DK282" s="569"/>
      <c r="DL282" s="569"/>
      <c r="DM282" s="569"/>
      <c r="DN282" s="569"/>
      <c r="DO282" s="569"/>
      <c r="DP282" s="569"/>
      <c r="DQ282" s="569"/>
      <c r="DR282" s="569"/>
      <c r="DS282" s="569"/>
      <c r="DT282" s="569"/>
      <c r="DU282" s="569"/>
      <c r="DV282" s="569"/>
      <c r="DW282" s="569"/>
      <c r="DX282" s="569"/>
      <c r="DY282" s="569"/>
      <c r="DZ282" s="569"/>
      <c r="EA282" s="569"/>
      <c r="EB282" s="569"/>
      <c r="EC282" s="569"/>
      <c r="ED282" s="569"/>
      <c r="EE282" s="569"/>
      <c r="EF282" s="569"/>
      <c r="EG282" s="569"/>
      <c r="EH282" s="569"/>
      <c r="EI282" s="569"/>
      <c r="EJ282" s="569"/>
      <c r="EK282" s="569"/>
      <c r="EL282" s="569"/>
      <c r="EM282" s="569"/>
      <c r="EN282" s="569"/>
      <c r="EO282" s="569"/>
      <c r="EP282" s="569"/>
      <c r="EQ282" s="569"/>
      <c r="ER282" s="569"/>
      <c r="ES282" s="569"/>
      <c r="ET282" s="569"/>
      <c r="EU282" s="569"/>
      <c r="EV282" s="569"/>
      <c r="EW282" s="569"/>
      <c r="EX282" s="569"/>
      <c r="EY282" s="569"/>
      <c r="EZ282" s="569"/>
      <c r="FA282" s="569"/>
      <c r="FB282" s="569"/>
      <c r="FC282" s="569"/>
      <c r="FD282" s="569"/>
      <c r="FE282" s="569"/>
      <c r="FF282" s="569"/>
      <c r="FG282" s="569"/>
      <c r="FH282" s="569"/>
      <c r="FI282" s="569"/>
      <c r="FJ282" s="569"/>
      <c r="FK282" s="569"/>
      <c r="FL282" s="569"/>
      <c r="FM282" s="569"/>
      <c r="FN282" s="569"/>
      <c r="FO282" s="569"/>
      <c r="FP282" s="569"/>
      <c r="FQ282" s="569"/>
      <c r="FR282" s="569"/>
      <c r="FS282" s="569"/>
      <c r="FT282" s="569"/>
      <c r="FU282" s="569"/>
      <c r="FV282" s="569"/>
      <c r="FW282" s="569"/>
      <c r="FX282" s="569"/>
      <c r="FY282" s="569"/>
      <c r="FZ282" s="569"/>
      <c r="GA282" s="569"/>
      <c r="GB282" s="569"/>
      <c r="GC282" s="569"/>
      <c r="GD282" s="569"/>
      <c r="GE282" s="569"/>
      <c r="GF282" s="569"/>
      <c r="GG282" s="569"/>
      <c r="GH282" s="569"/>
      <c r="GI282" s="569"/>
      <c r="GJ282" s="569"/>
      <c r="GK282" s="569"/>
      <c r="GL282" s="569"/>
      <c r="GM282" s="569"/>
      <c r="GN282" s="569"/>
      <c r="GO282" s="569"/>
      <c r="GP282" s="569"/>
      <c r="GQ282" s="569"/>
      <c r="GR282" s="569"/>
      <c r="GS282" s="569"/>
      <c r="GT282" s="569"/>
      <c r="GU282" s="569"/>
      <c r="GV282" s="569"/>
      <c r="GW282" s="569"/>
      <c r="GX282" s="569"/>
      <c r="GY282" s="569"/>
      <c r="GZ282" s="569"/>
      <c r="HA282" s="569"/>
      <c r="HB282" s="569"/>
      <c r="HC282" s="569"/>
      <c r="HD282" s="569"/>
      <c r="HE282" s="569"/>
      <c r="HF282" s="569"/>
      <c r="HG282" s="569"/>
      <c r="HH282" s="569"/>
      <c r="HI282" s="569"/>
      <c r="HJ282" s="569"/>
      <c r="HK282" s="569"/>
      <c r="HL282" s="569"/>
      <c r="HM282" s="569"/>
      <c r="HN282" s="569"/>
      <c r="HO282" s="569"/>
      <c r="HP282" s="569"/>
      <c r="HQ282" s="569"/>
      <c r="HR282" s="569"/>
      <c r="HS282" s="569"/>
      <c r="HT282" s="569"/>
      <c r="HU282" s="569"/>
      <c r="HV282" s="569"/>
      <c r="HW282" s="569"/>
      <c r="HX282" s="569"/>
      <c r="HY282" s="569"/>
      <c r="HZ282" s="569"/>
      <c r="IA282" s="569"/>
      <c r="IB282" s="569"/>
      <c r="IC282" s="569"/>
      <c r="ID282" s="569"/>
      <c r="IE282" s="569"/>
      <c r="IF282" s="569"/>
      <c r="IG282" s="569"/>
      <c r="IH282" s="569"/>
      <c r="II282" s="569"/>
      <c r="IJ282" s="569"/>
      <c r="IK282" s="569"/>
      <c r="IL282" s="569"/>
      <c r="IM282" s="569"/>
      <c r="IN282" s="569"/>
      <c r="IO282" s="569"/>
      <c r="IP282" s="569"/>
      <c r="IQ282" s="569"/>
      <c r="IR282" s="569"/>
      <c r="IS282" s="569"/>
      <c r="IT282" s="569"/>
      <c r="IU282" s="569"/>
      <c r="IV282" s="569"/>
      <c r="IW282" s="569"/>
      <c r="IX282" s="569"/>
      <c r="IY282" s="569"/>
      <c r="IZ282" s="569"/>
      <c r="JA282" s="569"/>
      <c r="JB282" s="569"/>
      <c r="JC282" s="569"/>
      <c r="JD282" s="569"/>
      <c r="JE282" s="569"/>
      <c r="JF282" s="569"/>
      <c r="JG282" s="569"/>
      <c r="JH282" s="569"/>
      <c r="JI282" s="569"/>
      <c r="JJ282" s="569"/>
      <c r="JK282" s="569"/>
      <c r="JL282" s="569"/>
      <c r="JM282" s="569"/>
      <c r="JN282" s="569"/>
      <c r="JO282" s="569"/>
      <c r="JP282" s="569"/>
      <c r="JQ282" s="569"/>
      <c r="JR282" s="569"/>
      <c r="JS282" s="569"/>
      <c r="JT282" s="569"/>
      <c r="JU282" s="569"/>
      <c r="JV282" s="569"/>
      <c r="JW282" s="569"/>
      <c r="JX282" s="569"/>
      <c r="JY282" s="569"/>
      <c r="JZ282" s="569"/>
      <c r="KA282" s="569"/>
      <c r="KB282" s="569"/>
      <c r="KC282" s="569"/>
      <c r="KD282" s="569"/>
      <c r="KE282" s="569"/>
      <c r="KF282" s="569"/>
      <c r="KG282" s="569"/>
      <c r="KH282" s="569"/>
      <c r="KI282" s="569"/>
      <c r="KJ282" s="569"/>
      <c r="KK282" s="569"/>
      <c r="KL282" s="569"/>
      <c r="KM282" s="569"/>
      <c r="KN282" s="569"/>
      <c r="KO282" s="569"/>
      <c r="KP282" s="569"/>
      <c r="KQ282" s="569"/>
      <c r="KR282" s="569"/>
      <c r="KS282" s="569"/>
      <c r="KT282" s="569"/>
      <c r="KU282" s="569"/>
      <c r="KV282" s="569"/>
      <c r="KW282" s="569"/>
      <c r="KX282" s="569"/>
      <c r="KY282" s="569"/>
      <c r="KZ282" s="569"/>
      <c r="LA282" s="569"/>
      <c r="LB282" s="569"/>
      <c r="LC282" s="569"/>
      <c r="LD282" s="569"/>
      <c r="LE282" s="569"/>
      <c r="LF282" s="569"/>
      <c r="LG282" s="569"/>
      <c r="LH282" s="569"/>
      <c r="LI282" s="569"/>
      <c r="LJ282" s="569"/>
      <c r="LK282" s="569"/>
      <c r="LL282" s="569"/>
      <c r="LM282" s="569"/>
      <c r="LN282" s="569"/>
      <c r="LO282" s="569"/>
      <c r="LP282" s="569"/>
      <c r="LQ282" s="569"/>
      <c r="LR282" s="569"/>
      <c r="LS282" s="569"/>
      <c r="LT282" s="569"/>
      <c r="LU282" s="569"/>
      <c r="LV282" s="569"/>
      <c r="LW282" s="569"/>
      <c r="LX282" s="569"/>
      <c r="LY282" s="569"/>
      <c r="LZ282" s="569"/>
      <c r="MA282" s="569"/>
      <c r="MB282" s="569"/>
      <c r="MC282" s="569"/>
      <c r="MD282" s="569"/>
      <c r="ME282" s="569"/>
      <c r="MF282" s="569"/>
      <c r="MG282" s="569"/>
      <c r="MH282" s="569"/>
      <c r="MI282" s="569"/>
      <c r="MJ282" s="569"/>
      <c r="MK282" s="569"/>
      <c r="ML282" s="569"/>
      <c r="MM282" s="569"/>
      <c r="MN282" s="569"/>
      <c r="MO282" s="569"/>
      <c r="MP282" s="569"/>
      <c r="MQ282" s="569"/>
      <c r="MR282" s="569"/>
      <c r="MS282" s="569"/>
      <c r="MT282" s="569"/>
      <c r="MU282" s="569"/>
      <c r="MV282" s="569"/>
      <c r="MW282" s="569"/>
      <c r="MX282" s="569"/>
      <c r="MY282" s="569"/>
      <c r="MZ282" s="569"/>
      <c r="NA282" s="569"/>
      <c r="NB282" s="569"/>
      <c r="NC282" s="569"/>
      <c r="ND282" s="569"/>
      <c r="NE282" s="569"/>
      <c r="NF282" s="569"/>
      <c r="NG282" s="569"/>
      <c r="NH282" s="569"/>
      <c r="NI282" s="569"/>
      <c r="NJ282" s="569"/>
      <c r="NK282" s="569"/>
      <c r="NL282" s="569"/>
      <c r="NM282" s="569"/>
      <c r="NN282" s="569"/>
      <c r="NO282" s="569"/>
      <c r="NP282" s="569"/>
      <c r="NQ282" s="569"/>
      <c r="NR282" s="569"/>
      <c r="NS282" s="569"/>
      <c r="NT282" s="569"/>
      <c r="NU282" s="569"/>
      <c r="NV282" s="569"/>
      <c r="NW282" s="569"/>
      <c r="NX282" s="569"/>
      <c r="NY282" s="569"/>
      <c r="NZ282" s="569"/>
      <c r="OA282" s="569"/>
      <c r="OB282" s="569"/>
      <c r="OC282" s="569"/>
      <c r="OD282" s="569"/>
      <c r="OE282" s="569"/>
      <c r="OF282" s="569"/>
      <c r="OG282" s="569"/>
      <c r="OH282" s="569"/>
      <c r="OI282" s="569"/>
      <c r="OJ282" s="569"/>
      <c r="OK282" s="569"/>
      <c r="OL282" s="569"/>
      <c r="OM282" s="569"/>
      <c r="ON282" s="569"/>
      <c r="OO282" s="569"/>
      <c r="OP282" s="569"/>
      <c r="OQ282" s="569"/>
      <c r="OR282" s="569"/>
      <c r="OS282" s="569"/>
      <c r="OT282" s="569"/>
      <c r="OU282" s="569"/>
      <c r="OV282" s="569"/>
      <c r="OW282" s="569"/>
      <c r="OX282" s="569"/>
      <c r="OY282" s="569"/>
      <c r="OZ282" s="569"/>
      <c r="PA282" s="569"/>
      <c r="PB282" s="569"/>
      <c r="PC282" s="569"/>
      <c r="PD282" s="569"/>
      <c r="PE282" s="569"/>
      <c r="PF282" s="569"/>
      <c r="PG282" s="569"/>
      <c r="PH282" s="569"/>
      <c r="PI282" s="569"/>
      <c r="PJ282" s="569"/>
      <c r="PK282" s="569"/>
      <c r="PL282" s="569"/>
      <c r="PM282" s="569"/>
      <c r="PN282" s="569"/>
      <c r="PO282" s="569"/>
      <c r="PP282" s="569"/>
      <c r="PQ282" s="569"/>
      <c r="PR282" s="569"/>
      <c r="PS282" s="569"/>
      <c r="PT282" s="569"/>
      <c r="PU282" s="569"/>
      <c r="PV282" s="569"/>
      <c r="PW282" s="569"/>
      <c r="PX282" s="569"/>
      <c r="PY282" s="569"/>
      <c r="PZ282" s="569"/>
      <c r="QA282" s="569"/>
      <c r="QB282" s="569"/>
      <c r="QC282" s="569"/>
      <c r="QD282" s="569"/>
      <c r="QE282" s="569"/>
      <c r="QF282" s="569"/>
      <c r="QG282" s="569"/>
      <c r="QH282" s="569"/>
      <c r="QI282" s="569"/>
      <c r="QJ282" s="569"/>
      <c r="QK282" s="569"/>
      <c r="QL282" s="569"/>
    </row>
    <row r="283" spans="1:454" ht="30">
      <c r="C283" s="561"/>
      <c r="D283" s="568"/>
      <c r="E283" s="568"/>
      <c r="F283" s="568"/>
      <c r="G283" s="568"/>
      <c r="H283" s="565" t="str">
        <f>'matrik MISI 3'!N35</f>
        <v>Cakupan Tersedianya Jalur Pedestrian</v>
      </c>
      <c r="I283" s="565" t="str">
        <f>'matrik MISI 3'!O35</f>
        <v>%</v>
      </c>
      <c r="J283" s="565">
        <f>'matrik MISI 3'!P35</f>
        <v>15.8</v>
      </c>
      <c r="K283" s="565">
        <f>'matrik MISI 3'!Q35</f>
        <v>16.100000000000001</v>
      </c>
      <c r="L283" s="565">
        <f>'matrik MISI 3'!R35</f>
        <v>16.399999999999999</v>
      </c>
      <c r="M283" s="604"/>
      <c r="N283" s="565">
        <f>'matrik MISI 3'!S35</f>
        <v>16.7</v>
      </c>
      <c r="O283" s="564"/>
      <c r="P283" s="565">
        <f>'matrik MISI 3'!T35</f>
        <v>17</v>
      </c>
      <c r="Q283" s="564"/>
      <c r="R283" s="565">
        <f>'matrik MISI 3'!U35</f>
        <v>17.3</v>
      </c>
      <c r="S283" s="564"/>
      <c r="T283" s="565">
        <f>'matrik MISI 3'!V35</f>
        <v>17.600000000000001</v>
      </c>
      <c r="U283" s="564"/>
      <c r="V283" s="565">
        <f>'matrik MISI 3'!W35</f>
        <v>17.600000000000001</v>
      </c>
      <c r="W283" s="564"/>
      <c r="X283" s="565" t="str">
        <f>'matrik MISI 3'!X35</f>
        <v>DPU</v>
      </c>
      <c r="Y283" s="565" t="str">
        <f>'matrik MISI 3'!Y35</f>
        <v>jumlah ruas pedestrian yang dibangun / jumlah jalur pedestrian yang seharusnya dibangun x 100%</v>
      </c>
      <c r="Z283" s="565">
        <f>'matrik MISI 3'!Z35</f>
        <v>0</v>
      </c>
    </row>
    <row r="284" spans="1:454" s="574" customFormat="1" ht="60">
      <c r="A284" s="569"/>
      <c r="B284" s="575"/>
      <c r="C284" s="576"/>
      <c r="D284" s="577" t="str">
        <f>'matrik MISI 3'!J36</f>
        <v>1.08</v>
      </c>
      <c r="E284" s="577" t="str">
        <f>'matrik MISI 3'!K36</f>
        <v>xx</v>
      </c>
      <c r="F284" s="577">
        <f>'matrik MISI 3'!L36</f>
        <v>16</v>
      </c>
      <c r="G284" s="577" t="str">
        <f>'matrik MISI 3'!M36</f>
        <v>Program Pengendalian Pencemaran dan Perusakan Lingkungan Hidup</v>
      </c>
      <c r="H284" s="577"/>
      <c r="I284" s="577"/>
      <c r="J284" s="577"/>
      <c r="K284" s="577"/>
      <c r="L284" s="577"/>
      <c r="M284" s="578">
        <f>'jangan dihapus 2'!K452</f>
        <v>2028918500</v>
      </c>
      <c r="N284" s="578"/>
      <c r="O284" s="578">
        <f>'jangan dihapus 2'!M452</f>
        <v>2665580500</v>
      </c>
      <c r="P284" s="578"/>
      <c r="Q284" s="578">
        <f>'jangan dihapus 2'!O452</f>
        <v>3130000000</v>
      </c>
      <c r="R284" s="578"/>
      <c r="S284" s="578">
        <f>'jangan dihapus 2'!Q452</f>
        <v>3230000000</v>
      </c>
      <c r="T284" s="578"/>
      <c r="U284" s="578">
        <f>'jangan dihapus 2'!S452</f>
        <v>3520000000</v>
      </c>
      <c r="V284" s="577"/>
      <c r="W284" s="578">
        <f>SUM(M284:U284)</f>
        <v>14574499000</v>
      </c>
      <c r="X284" s="577"/>
      <c r="Y284" s="577"/>
      <c r="Z284" s="577"/>
      <c r="AA284" s="569"/>
      <c r="AB284" s="569"/>
      <c r="AC284" s="569"/>
      <c r="AD284" s="569"/>
      <c r="AE284" s="569"/>
      <c r="AF284" s="569"/>
      <c r="AG284" s="569"/>
      <c r="AH284" s="569"/>
      <c r="AI284" s="569"/>
      <c r="AJ284" s="569"/>
      <c r="AK284" s="569"/>
      <c r="AL284" s="569"/>
      <c r="AM284" s="569"/>
      <c r="AN284" s="569"/>
      <c r="AO284" s="569"/>
      <c r="AP284" s="569"/>
      <c r="AQ284" s="569"/>
      <c r="AR284" s="569"/>
      <c r="AS284" s="569"/>
      <c r="AT284" s="569"/>
      <c r="AU284" s="569"/>
      <c r="AV284" s="569"/>
      <c r="AW284" s="569"/>
      <c r="AX284" s="569"/>
      <c r="AY284" s="569"/>
      <c r="AZ284" s="569"/>
      <c r="BA284" s="569"/>
      <c r="BB284" s="569"/>
      <c r="BC284" s="569"/>
      <c r="BD284" s="569"/>
      <c r="BE284" s="569"/>
      <c r="BF284" s="569"/>
      <c r="BG284" s="569"/>
      <c r="BH284" s="569"/>
      <c r="BI284" s="569"/>
      <c r="BJ284" s="569"/>
      <c r="BK284" s="569"/>
      <c r="BL284" s="569"/>
      <c r="BM284" s="569"/>
      <c r="BN284" s="569"/>
      <c r="BO284" s="569"/>
      <c r="BP284" s="569"/>
      <c r="BQ284" s="569"/>
      <c r="BR284" s="569"/>
      <c r="BS284" s="569"/>
      <c r="BT284" s="569"/>
      <c r="BU284" s="569"/>
      <c r="BV284" s="569"/>
      <c r="BW284" s="569"/>
      <c r="BX284" s="569"/>
      <c r="BY284" s="569"/>
      <c r="BZ284" s="569"/>
      <c r="CA284" s="569"/>
      <c r="CB284" s="569"/>
      <c r="CC284" s="569"/>
      <c r="CD284" s="569"/>
      <c r="CE284" s="569"/>
      <c r="CF284" s="569"/>
      <c r="CG284" s="569"/>
      <c r="CH284" s="569"/>
      <c r="CI284" s="569"/>
      <c r="CJ284" s="569"/>
      <c r="CK284" s="569"/>
      <c r="CL284" s="569"/>
      <c r="CM284" s="569"/>
      <c r="CN284" s="569"/>
      <c r="CO284" s="569"/>
      <c r="CP284" s="569"/>
      <c r="CQ284" s="569"/>
      <c r="CR284" s="569"/>
      <c r="CS284" s="569"/>
      <c r="CT284" s="569"/>
      <c r="CU284" s="569"/>
      <c r="CV284" s="569"/>
      <c r="CW284" s="569"/>
      <c r="CX284" s="569"/>
      <c r="CY284" s="569"/>
      <c r="CZ284" s="569"/>
      <c r="DA284" s="569"/>
      <c r="DB284" s="569"/>
      <c r="DC284" s="569"/>
      <c r="DD284" s="569"/>
      <c r="DE284" s="569"/>
      <c r="DF284" s="569"/>
      <c r="DG284" s="569"/>
      <c r="DH284" s="569"/>
      <c r="DI284" s="569"/>
      <c r="DJ284" s="569"/>
      <c r="DK284" s="569"/>
      <c r="DL284" s="569"/>
      <c r="DM284" s="569"/>
      <c r="DN284" s="569"/>
      <c r="DO284" s="569"/>
      <c r="DP284" s="569"/>
      <c r="DQ284" s="569"/>
      <c r="DR284" s="569"/>
      <c r="DS284" s="569"/>
      <c r="DT284" s="569"/>
      <c r="DU284" s="569"/>
      <c r="DV284" s="569"/>
      <c r="DW284" s="569"/>
      <c r="DX284" s="569"/>
      <c r="DY284" s="569"/>
      <c r="DZ284" s="569"/>
      <c r="EA284" s="569"/>
      <c r="EB284" s="569"/>
      <c r="EC284" s="569"/>
      <c r="ED284" s="569"/>
      <c r="EE284" s="569"/>
      <c r="EF284" s="569"/>
      <c r="EG284" s="569"/>
      <c r="EH284" s="569"/>
      <c r="EI284" s="569"/>
      <c r="EJ284" s="569"/>
      <c r="EK284" s="569"/>
      <c r="EL284" s="569"/>
      <c r="EM284" s="569"/>
      <c r="EN284" s="569"/>
      <c r="EO284" s="569"/>
      <c r="EP284" s="569"/>
      <c r="EQ284" s="569"/>
      <c r="ER284" s="569"/>
      <c r="ES284" s="569"/>
      <c r="ET284" s="569"/>
      <c r="EU284" s="569"/>
      <c r="EV284" s="569"/>
      <c r="EW284" s="569"/>
      <c r="EX284" s="569"/>
      <c r="EY284" s="569"/>
      <c r="EZ284" s="569"/>
      <c r="FA284" s="569"/>
      <c r="FB284" s="569"/>
      <c r="FC284" s="569"/>
      <c r="FD284" s="569"/>
      <c r="FE284" s="569"/>
      <c r="FF284" s="569"/>
      <c r="FG284" s="569"/>
      <c r="FH284" s="569"/>
      <c r="FI284" s="569"/>
      <c r="FJ284" s="569"/>
      <c r="FK284" s="569"/>
      <c r="FL284" s="569"/>
      <c r="FM284" s="569"/>
      <c r="FN284" s="569"/>
      <c r="FO284" s="569"/>
      <c r="FP284" s="569"/>
      <c r="FQ284" s="569"/>
      <c r="FR284" s="569"/>
      <c r="FS284" s="569"/>
      <c r="FT284" s="569"/>
      <c r="FU284" s="569"/>
      <c r="FV284" s="569"/>
      <c r="FW284" s="569"/>
      <c r="FX284" s="569"/>
      <c r="FY284" s="569"/>
      <c r="FZ284" s="569"/>
      <c r="GA284" s="569"/>
      <c r="GB284" s="569"/>
      <c r="GC284" s="569"/>
      <c r="GD284" s="569"/>
      <c r="GE284" s="569"/>
      <c r="GF284" s="569"/>
      <c r="GG284" s="569"/>
      <c r="GH284" s="569"/>
      <c r="GI284" s="569"/>
      <c r="GJ284" s="569"/>
      <c r="GK284" s="569"/>
      <c r="GL284" s="569"/>
      <c r="GM284" s="569"/>
      <c r="GN284" s="569"/>
      <c r="GO284" s="569"/>
      <c r="GP284" s="569"/>
      <c r="GQ284" s="569"/>
      <c r="GR284" s="569"/>
      <c r="GS284" s="569"/>
      <c r="GT284" s="569"/>
      <c r="GU284" s="569"/>
      <c r="GV284" s="569"/>
      <c r="GW284" s="569"/>
      <c r="GX284" s="569"/>
      <c r="GY284" s="569"/>
      <c r="GZ284" s="569"/>
      <c r="HA284" s="569"/>
      <c r="HB284" s="569"/>
      <c r="HC284" s="569"/>
      <c r="HD284" s="569"/>
      <c r="HE284" s="569"/>
      <c r="HF284" s="569"/>
      <c r="HG284" s="569"/>
      <c r="HH284" s="569"/>
      <c r="HI284" s="569"/>
      <c r="HJ284" s="569"/>
      <c r="HK284" s="569"/>
      <c r="HL284" s="569"/>
      <c r="HM284" s="569"/>
      <c r="HN284" s="569"/>
      <c r="HO284" s="569"/>
      <c r="HP284" s="569"/>
      <c r="HQ284" s="569"/>
      <c r="HR284" s="569"/>
      <c r="HS284" s="569"/>
      <c r="HT284" s="569"/>
      <c r="HU284" s="569"/>
      <c r="HV284" s="569"/>
      <c r="HW284" s="569"/>
      <c r="HX284" s="569"/>
      <c r="HY284" s="569"/>
      <c r="HZ284" s="569"/>
      <c r="IA284" s="569"/>
      <c r="IB284" s="569"/>
      <c r="IC284" s="569"/>
      <c r="ID284" s="569"/>
      <c r="IE284" s="569"/>
      <c r="IF284" s="569"/>
      <c r="IG284" s="569"/>
      <c r="IH284" s="569"/>
      <c r="II284" s="569"/>
      <c r="IJ284" s="569"/>
      <c r="IK284" s="569"/>
      <c r="IL284" s="569"/>
      <c r="IM284" s="569"/>
      <c r="IN284" s="569"/>
      <c r="IO284" s="569"/>
      <c r="IP284" s="569"/>
      <c r="IQ284" s="569"/>
      <c r="IR284" s="569"/>
      <c r="IS284" s="569"/>
      <c r="IT284" s="569"/>
      <c r="IU284" s="569"/>
      <c r="IV284" s="569"/>
      <c r="IW284" s="569"/>
      <c r="IX284" s="569"/>
      <c r="IY284" s="569"/>
      <c r="IZ284" s="569"/>
      <c r="JA284" s="569"/>
      <c r="JB284" s="569"/>
      <c r="JC284" s="569"/>
      <c r="JD284" s="569"/>
      <c r="JE284" s="569"/>
      <c r="JF284" s="569"/>
      <c r="JG284" s="569"/>
      <c r="JH284" s="569"/>
      <c r="JI284" s="569"/>
      <c r="JJ284" s="569"/>
      <c r="JK284" s="569"/>
      <c r="JL284" s="569"/>
      <c r="JM284" s="569"/>
      <c r="JN284" s="569"/>
      <c r="JO284" s="569"/>
      <c r="JP284" s="569"/>
      <c r="JQ284" s="569"/>
      <c r="JR284" s="569"/>
      <c r="JS284" s="569"/>
      <c r="JT284" s="569"/>
      <c r="JU284" s="569"/>
      <c r="JV284" s="569"/>
      <c r="JW284" s="569"/>
      <c r="JX284" s="569"/>
      <c r="JY284" s="569"/>
      <c r="JZ284" s="569"/>
      <c r="KA284" s="569"/>
      <c r="KB284" s="569"/>
      <c r="KC284" s="569"/>
      <c r="KD284" s="569"/>
      <c r="KE284" s="569"/>
      <c r="KF284" s="569"/>
      <c r="KG284" s="569"/>
      <c r="KH284" s="569"/>
      <c r="KI284" s="569"/>
      <c r="KJ284" s="569"/>
      <c r="KK284" s="569"/>
      <c r="KL284" s="569"/>
      <c r="KM284" s="569"/>
      <c r="KN284" s="569"/>
      <c r="KO284" s="569"/>
      <c r="KP284" s="569"/>
      <c r="KQ284" s="569"/>
      <c r="KR284" s="569"/>
      <c r="KS284" s="569"/>
      <c r="KT284" s="569"/>
      <c r="KU284" s="569"/>
      <c r="KV284" s="569"/>
      <c r="KW284" s="569"/>
      <c r="KX284" s="569"/>
      <c r="KY284" s="569"/>
      <c r="KZ284" s="569"/>
      <c r="LA284" s="569"/>
      <c r="LB284" s="569"/>
      <c r="LC284" s="569"/>
      <c r="LD284" s="569"/>
      <c r="LE284" s="569"/>
      <c r="LF284" s="569"/>
      <c r="LG284" s="569"/>
      <c r="LH284" s="569"/>
      <c r="LI284" s="569"/>
      <c r="LJ284" s="569"/>
      <c r="LK284" s="569"/>
      <c r="LL284" s="569"/>
      <c r="LM284" s="569"/>
      <c r="LN284" s="569"/>
      <c r="LO284" s="569"/>
      <c r="LP284" s="569"/>
      <c r="LQ284" s="569"/>
      <c r="LR284" s="569"/>
      <c r="LS284" s="569"/>
      <c r="LT284" s="569"/>
      <c r="LU284" s="569"/>
      <c r="LV284" s="569"/>
      <c r="LW284" s="569"/>
      <c r="LX284" s="569"/>
      <c r="LY284" s="569"/>
      <c r="LZ284" s="569"/>
      <c r="MA284" s="569"/>
      <c r="MB284" s="569"/>
      <c r="MC284" s="569"/>
      <c r="MD284" s="569"/>
      <c r="ME284" s="569"/>
      <c r="MF284" s="569"/>
      <c r="MG284" s="569"/>
      <c r="MH284" s="569"/>
      <c r="MI284" s="569"/>
      <c r="MJ284" s="569"/>
      <c r="MK284" s="569"/>
      <c r="ML284" s="569"/>
      <c r="MM284" s="569"/>
      <c r="MN284" s="569"/>
      <c r="MO284" s="569"/>
      <c r="MP284" s="569"/>
      <c r="MQ284" s="569"/>
      <c r="MR284" s="569"/>
      <c r="MS284" s="569"/>
      <c r="MT284" s="569"/>
      <c r="MU284" s="569"/>
      <c r="MV284" s="569"/>
      <c r="MW284" s="569"/>
      <c r="MX284" s="569"/>
      <c r="MY284" s="569"/>
      <c r="MZ284" s="569"/>
      <c r="NA284" s="569"/>
      <c r="NB284" s="569"/>
      <c r="NC284" s="569"/>
      <c r="ND284" s="569"/>
      <c r="NE284" s="569"/>
      <c r="NF284" s="569"/>
      <c r="NG284" s="569"/>
      <c r="NH284" s="569"/>
      <c r="NI284" s="569"/>
      <c r="NJ284" s="569"/>
      <c r="NK284" s="569"/>
      <c r="NL284" s="569"/>
      <c r="NM284" s="569"/>
      <c r="NN284" s="569"/>
      <c r="NO284" s="569"/>
      <c r="NP284" s="569"/>
      <c r="NQ284" s="569"/>
      <c r="NR284" s="569"/>
      <c r="NS284" s="569"/>
      <c r="NT284" s="569"/>
      <c r="NU284" s="569"/>
      <c r="NV284" s="569"/>
      <c r="NW284" s="569"/>
      <c r="NX284" s="569"/>
      <c r="NY284" s="569"/>
      <c r="NZ284" s="569"/>
      <c r="OA284" s="569"/>
      <c r="OB284" s="569"/>
      <c r="OC284" s="569"/>
      <c r="OD284" s="569"/>
      <c r="OE284" s="569"/>
      <c r="OF284" s="569"/>
      <c r="OG284" s="569"/>
      <c r="OH284" s="569"/>
      <c r="OI284" s="569"/>
      <c r="OJ284" s="569"/>
      <c r="OK284" s="569"/>
      <c r="OL284" s="569"/>
      <c r="OM284" s="569"/>
      <c r="ON284" s="569"/>
      <c r="OO284" s="569"/>
      <c r="OP284" s="569"/>
      <c r="OQ284" s="569"/>
      <c r="OR284" s="569"/>
      <c r="OS284" s="569"/>
      <c r="OT284" s="569"/>
      <c r="OU284" s="569"/>
      <c r="OV284" s="569"/>
      <c r="OW284" s="569"/>
      <c r="OX284" s="569"/>
      <c r="OY284" s="569"/>
      <c r="OZ284" s="569"/>
      <c r="PA284" s="569"/>
      <c r="PB284" s="569"/>
      <c r="PC284" s="569"/>
      <c r="PD284" s="569"/>
      <c r="PE284" s="569"/>
      <c r="PF284" s="569"/>
      <c r="PG284" s="569"/>
      <c r="PH284" s="569"/>
      <c r="PI284" s="569"/>
      <c r="PJ284" s="569"/>
      <c r="PK284" s="569"/>
      <c r="PL284" s="569"/>
      <c r="PM284" s="569"/>
      <c r="PN284" s="569"/>
      <c r="PO284" s="569"/>
      <c r="PP284" s="569"/>
      <c r="PQ284" s="569"/>
      <c r="PR284" s="569"/>
      <c r="PS284" s="569"/>
      <c r="PT284" s="569"/>
      <c r="PU284" s="569"/>
      <c r="PV284" s="569"/>
      <c r="PW284" s="569"/>
      <c r="PX284" s="569"/>
      <c r="PY284" s="569"/>
      <c r="PZ284" s="569"/>
      <c r="QA284" s="569"/>
      <c r="QB284" s="569"/>
      <c r="QC284" s="569"/>
      <c r="QD284" s="569"/>
      <c r="QE284" s="569"/>
      <c r="QF284" s="569"/>
      <c r="QG284" s="569"/>
      <c r="QH284" s="569"/>
      <c r="QI284" s="569"/>
      <c r="QJ284" s="569"/>
      <c r="QK284" s="569"/>
      <c r="QL284" s="569"/>
    </row>
    <row r="285" spans="1:454" ht="30">
      <c r="C285" s="561"/>
      <c r="D285" s="568"/>
      <c r="E285" s="568"/>
      <c r="F285" s="568"/>
      <c r="G285" s="568"/>
      <c r="H285" s="565" t="str">
        <f>'matrik MISI 3'!N36</f>
        <v>Cakupan Fasilitas Pengurangan Sampah di Perkotaan (TPST 3R)</v>
      </c>
      <c r="I285" s="565" t="str">
        <f>'matrik MISI 3'!O36</f>
        <v>%</v>
      </c>
      <c r="J285" s="565">
        <f>'matrik MISI 3'!P36</f>
        <v>2.21</v>
      </c>
      <c r="K285" s="565">
        <f>'matrik MISI 3'!Q36</f>
        <v>2.9</v>
      </c>
      <c r="L285" s="565">
        <f>'matrik MISI 3'!R36</f>
        <v>4.9000000000000004</v>
      </c>
      <c r="M285" s="604"/>
      <c r="N285" s="565">
        <f>'matrik MISI 3'!S36</f>
        <v>7.5</v>
      </c>
      <c r="O285" s="564"/>
      <c r="P285" s="565">
        <f>'matrik MISI 3'!T36</f>
        <v>9.8000000000000007</v>
      </c>
      <c r="Q285" s="564"/>
      <c r="R285" s="565">
        <f>'matrik MISI 3'!U36</f>
        <v>11.2</v>
      </c>
      <c r="S285" s="564"/>
      <c r="T285" s="565">
        <f>'matrik MISI 3'!V36</f>
        <v>14.5</v>
      </c>
      <c r="U285" s="564"/>
      <c r="V285" s="565">
        <f>'matrik MISI 3'!W36</f>
        <v>14.5</v>
      </c>
      <c r="W285" s="564"/>
      <c r="X285" s="565" t="str">
        <f>'matrik MISI 3'!X36</f>
        <v>DPU/BLH</v>
      </c>
      <c r="Y285" s="565" t="str">
        <f>'matrik MISI 3'!Y36</f>
        <v xml:space="preserve">volume sampah yang direduksi di TPST/ volume sampah yang seharusnya direduksi  x 100 </v>
      </c>
      <c r="Z285" s="565">
        <f>'matrik MISI 3'!Z36</f>
        <v>0</v>
      </c>
    </row>
    <row r="286" spans="1:454" s="570" customFormat="1">
      <c r="A286" s="569"/>
      <c r="B286" s="571"/>
      <c r="C286" s="572"/>
      <c r="D286" s="573"/>
      <c r="E286" s="573"/>
      <c r="F286" s="573"/>
      <c r="G286" s="571"/>
      <c r="H286" s="571"/>
      <c r="I286" s="571"/>
      <c r="J286" s="580"/>
      <c r="K286" s="580"/>
      <c r="L286" s="580"/>
      <c r="M286" s="606"/>
      <c r="N286" s="580"/>
      <c r="O286" s="581"/>
      <c r="P286" s="580"/>
      <c r="Q286" s="581"/>
      <c r="R286" s="580"/>
      <c r="S286" s="581"/>
      <c r="T286" s="580"/>
      <c r="U286" s="581"/>
      <c r="V286" s="580"/>
      <c r="W286" s="581"/>
      <c r="X286" s="571"/>
      <c r="Y286" s="582"/>
      <c r="Z286" s="582"/>
      <c r="AA286" s="569"/>
      <c r="AB286" s="569"/>
      <c r="AC286" s="569"/>
      <c r="AD286" s="569"/>
      <c r="AE286" s="569"/>
      <c r="AF286" s="569"/>
      <c r="AG286" s="569"/>
      <c r="AH286" s="569"/>
      <c r="AI286" s="569"/>
      <c r="AJ286" s="569"/>
      <c r="AK286" s="569"/>
      <c r="AL286" s="569"/>
      <c r="AM286" s="569"/>
      <c r="AN286" s="569"/>
      <c r="AO286" s="569"/>
      <c r="AP286" s="569"/>
      <c r="AQ286" s="569"/>
      <c r="AR286" s="569"/>
      <c r="AS286" s="569"/>
      <c r="AT286" s="569"/>
      <c r="AU286" s="569"/>
      <c r="AV286" s="569"/>
      <c r="AW286" s="569"/>
      <c r="AX286" s="569"/>
      <c r="AY286" s="569"/>
      <c r="AZ286" s="569"/>
      <c r="BA286" s="569"/>
      <c r="BB286" s="569"/>
      <c r="BC286" s="569"/>
      <c r="BD286" s="569"/>
      <c r="BE286" s="569"/>
      <c r="BF286" s="569"/>
      <c r="BG286" s="569"/>
      <c r="BH286" s="569"/>
      <c r="BI286" s="569"/>
      <c r="BJ286" s="569"/>
      <c r="BK286" s="569"/>
      <c r="BL286" s="569"/>
      <c r="BM286" s="569"/>
      <c r="BN286" s="569"/>
      <c r="BO286" s="569"/>
      <c r="BP286" s="569"/>
      <c r="BQ286" s="569"/>
      <c r="BR286" s="569"/>
      <c r="BS286" s="569"/>
      <c r="BT286" s="569"/>
      <c r="BU286" s="569"/>
      <c r="BV286" s="569"/>
      <c r="BW286" s="569"/>
      <c r="BX286" s="569"/>
      <c r="BY286" s="569"/>
      <c r="BZ286" s="569"/>
      <c r="CA286" s="569"/>
      <c r="CB286" s="569"/>
      <c r="CC286" s="569"/>
      <c r="CD286" s="569"/>
      <c r="CE286" s="569"/>
      <c r="CF286" s="569"/>
      <c r="CG286" s="569"/>
      <c r="CH286" s="569"/>
      <c r="CI286" s="569"/>
      <c r="CJ286" s="569"/>
      <c r="CK286" s="569"/>
      <c r="CL286" s="569"/>
      <c r="CM286" s="569"/>
      <c r="CN286" s="569"/>
      <c r="CO286" s="569"/>
      <c r="CP286" s="569"/>
      <c r="CQ286" s="569"/>
      <c r="CR286" s="569"/>
      <c r="CS286" s="569"/>
      <c r="CT286" s="569"/>
      <c r="CU286" s="569"/>
      <c r="CV286" s="569"/>
      <c r="CW286" s="569"/>
      <c r="CX286" s="569"/>
      <c r="CY286" s="569"/>
      <c r="CZ286" s="569"/>
      <c r="DA286" s="569"/>
      <c r="DB286" s="569"/>
      <c r="DC286" s="569"/>
      <c r="DD286" s="569"/>
      <c r="DE286" s="569"/>
      <c r="DF286" s="569"/>
      <c r="DG286" s="569"/>
      <c r="DH286" s="569"/>
      <c r="DI286" s="569"/>
      <c r="DJ286" s="569"/>
      <c r="DK286" s="569"/>
      <c r="DL286" s="569"/>
      <c r="DM286" s="569"/>
      <c r="DN286" s="569"/>
      <c r="DO286" s="569"/>
      <c r="DP286" s="569"/>
      <c r="DQ286" s="569"/>
      <c r="DR286" s="569"/>
      <c r="DS286" s="569"/>
      <c r="DT286" s="569"/>
      <c r="DU286" s="569"/>
      <c r="DV286" s="569"/>
      <c r="DW286" s="569"/>
      <c r="DX286" s="569"/>
      <c r="DY286" s="569"/>
      <c r="DZ286" s="569"/>
      <c r="EA286" s="569"/>
      <c r="EB286" s="569"/>
      <c r="EC286" s="569"/>
      <c r="ED286" s="569"/>
      <c r="EE286" s="569"/>
      <c r="EF286" s="569"/>
      <c r="EG286" s="569"/>
      <c r="EH286" s="569"/>
      <c r="EI286" s="569"/>
      <c r="EJ286" s="569"/>
      <c r="EK286" s="569"/>
      <c r="EL286" s="569"/>
      <c r="EM286" s="569"/>
      <c r="EN286" s="569"/>
      <c r="EO286" s="569"/>
      <c r="EP286" s="569"/>
      <c r="EQ286" s="569"/>
      <c r="ER286" s="569"/>
      <c r="ES286" s="569"/>
      <c r="ET286" s="569"/>
      <c r="EU286" s="569"/>
      <c r="EV286" s="569"/>
      <c r="EW286" s="569"/>
      <c r="EX286" s="569"/>
      <c r="EY286" s="569"/>
      <c r="EZ286" s="569"/>
      <c r="FA286" s="569"/>
      <c r="FB286" s="569"/>
      <c r="FC286" s="569"/>
      <c r="FD286" s="569"/>
      <c r="FE286" s="569"/>
      <c r="FF286" s="569"/>
      <c r="FG286" s="569"/>
      <c r="FH286" s="569"/>
      <c r="FI286" s="569"/>
      <c r="FJ286" s="569"/>
      <c r="FK286" s="569"/>
      <c r="FL286" s="569"/>
      <c r="FM286" s="569"/>
      <c r="FN286" s="569"/>
      <c r="FO286" s="569"/>
      <c r="FP286" s="569"/>
      <c r="FQ286" s="569"/>
      <c r="FR286" s="569"/>
      <c r="FS286" s="569"/>
      <c r="FT286" s="569"/>
      <c r="FU286" s="569"/>
      <c r="FV286" s="569"/>
      <c r="FW286" s="569"/>
      <c r="FX286" s="569"/>
      <c r="FY286" s="569"/>
      <c r="FZ286" s="569"/>
      <c r="GA286" s="569"/>
      <c r="GB286" s="569"/>
      <c r="GC286" s="569"/>
      <c r="GD286" s="569"/>
      <c r="GE286" s="569"/>
      <c r="GF286" s="569"/>
      <c r="GG286" s="569"/>
      <c r="GH286" s="569"/>
      <c r="GI286" s="569"/>
      <c r="GJ286" s="569"/>
      <c r="GK286" s="569"/>
      <c r="GL286" s="569"/>
      <c r="GM286" s="569"/>
      <c r="GN286" s="569"/>
      <c r="GO286" s="569"/>
      <c r="GP286" s="569"/>
      <c r="GQ286" s="569"/>
      <c r="GR286" s="569"/>
      <c r="GS286" s="569"/>
      <c r="GT286" s="569"/>
      <c r="GU286" s="569"/>
      <c r="GV286" s="569"/>
      <c r="GW286" s="569"/>
      <c r="GX286" s="569"/>
      <c r="GY286" s="569"/>
      <c r="GZ286" s="569"/>
      <c r="HA286" s="569"/>
      <c r="HB286" s="569"/>
      <c r="HC286" s="569"/>
      <c r="HD286" s="569"/>
      <c r="HE286" s="569"/>
      <c r="HF286" s="569"/>
      <c r="HG286" s="569"/>
      <c r="HH286" s="569"/>
      <c r="HI286" s="569"/>
      <c r="HJ286" s="569"/>
      <c r="HK286" s="569"/>
      <c r="HL286" s="569"/>
      <c r="HM286" s="569"/>
      <c r="HN286" s="569"/>
      <c r="HO286" s="569"/>
      <c r="HP286" s="569"/>
      <c r="HQ286" s="569"/>
      <c r="HR286" s="569"/>
      <c r="HS286" s="569"/>
      <c r="HT286" s="569"/>
      <c r="HU286" s="569"/>
      <c r="HV286" s="569"/>
      <c r="HW286" s="569"/>
      <c r="HX286" s="569"/>
      <c r="HY286" s="569"/>
      <c r="HZ286" s="569"/>
      <c r="IA286" s="569"/>
      <c r="IB286" s="569"/>
      <c r="IC286" s="569"/>
      <c r="ID286" s="569"/>
      <c r="IE286" s="569"/>
      <c r="IF286" s="569"/>
      <c r="IG286" s="569"/>
      <c r="IH286" s="569"/>
      <c r="II286" s="569"/>
      <c r="IJ286" s="569"/>
      <c r="IK286" s="569"/>
      <c r="IL286" s="569"/>
      <c r="IM286" s="569"/>
      <c r="IN286" s="569"/>
      <c r="IO286" s="569"/>
      <c r="IP286" s="569"/>
      <c r="IQ286" s="569"/>
      <c r="IR286" s="569"/>
      <c r="IS286" s="569"/>
      <c r="IT286" s="569"/>
      <c r="IU286" s="569"/>
      <c r="IV286" s="569"/>
      <c r="IW286" s="569"/>
      <c r="IX286" s="569"/>
      <c r="IY286" s="569"/>
      <c r="IZ286" s="569"/>
      <c r="JA286" s="569"/>
      <c r="JB286" s="569"/>
      <c r="JC286" s="569"/>
      <c r="JD286" s="569"/>
      <c r="JE286" s="569"/>
      <c r="JF286" s="569"/>
      <c r="JG286" s="569"/>
      <c r="JH286" s="569"/>
      <c r="JI286" s="569"/>
      <c r="JJ286" s="569"/>
      <c r="JK286" s="569"/>
      <c r="JL286" s="569"/>
      <c r="JM286" s="569"/>
      <c r="JN286" s="569"/>
      <c r="JO286" s="569"/>
      <c r="JP286" s="569"/>
      <c r="JQ286" s="569"/>
      <c r="JR286" s="569"/>
      <c r="JS286" s="569"/>
      <c r="JT286" s="569"/>
      <c r="JU286" s="569"/>
      <c r="JV286" s="569"/>
      <c r="JW286" s="569"/>
      <c r="JX286" s="569"/>
      <c r="JY286" s="569"/>
      <c r="JZ286" s="569"/>
      <c r="KA286" s="569"/>
      <c r="KB286" s="569"/>
      <c r="KC286" s="569"/>
      <c r="KD286" s="569"/>
      <c r="KE286" s="569"/>
      <c r="KF286" s="569"/>
      <c r="KG286" s="569"/>
      <c r="KH286" s="569"/>
      <c r="KI286" s="569"/>
      <c r="KJ286" s="569"/>
      <c r="KK286" s="569"/>
      <c r="KL286" s="569"/>
      <c r="KM286" s="569"/>
      <c r="KN286" s="569"/>
      <c r="KO286" s="569"/>
      <c r="KP286" s="569"/>
      <c r="KQ286" s="569"/>
      <c r="KR286" s="569"/>
      <c r="KS286" s="569"/>
      <c r="KT286" s="569"/>
      <c r="KU286" s="569"/>
      <c r="KV286" s="569"/>
      <c r="KW286" s="569"/>
      <c r="KX286" s="569"/>
      <c r="KY286" s="569"/>
      <c r="KZ286" s="569"/>
      <c r="LA286" s="569"/>
      <c r="LB286" s="569"/>
      <c r="LC286" s="569"/>
      <c r="LD286" s="569"/>
      <c r="LE286" s="569"/>
      <c r="LF286" s="569"/>
      <c r="LG286" s="569"/>
      <c r="LH286" s="569"/>
      <c r="LI286" s="569"/>
      <c r="LJ286" s="569"/>
      <c r="LK286" s="569"/>
      <c r="LL286" s="569"/>
      <c r="LM286" s="569"/>
      <c r="LN286" s="569"/>
      <c r="LO286" s="569"/>
      <c r="LP286" s="569"/>
      <c r="LQ286" s="569"/>
      <c r="LR286" s="569"/>
      <c r="LS286" s="569"/>
      <c r="LT286" s="569"/>
      <c r="LU286" s="569"/>
      <c r="LV286" s="569"/>
      <c r="LW286" s="569"/>
      <c r="LX286" s="569"/>
      <c r="LY286" s="569"/>
      <c r="LZ286" s="569"/>
      <c r="MA286" s="569"/>
      <c r="MB286" s="569"/>
      <c r="MC286" s="569"/>
      <c r="MD286" s="569"/>
      <c r="ME286" s="569"/>
      <c r="MF286" s="569"/>
      <c r="MG286" s="569"/>
      <c r="MH286" s="569"/>
      <c r="MI286" s="569"/>
      <c r="MJ286" s="569"/>
      <c r="MK286" s="569"/>
      <c r="ML286" s="569"/>
      <c r="MM286" s="569"/>
      <c r="MN286" s="569"/>
      <c r="MO286" s="569"/>
      <c r="MP286" s="569"/>
      <c r="MQ286" s="569"/>
      <c r="MR286" s="569"/>
      <c r="MS286" s="569"/>
      <c r="MT286" s="569"/>
      <c r="MU286" s="569"/>
      <c r="MV286" s="569"/>
      <c r="MW286" s="569"/>
      <c r="MX286" s="569"/>
      <c r="MY286" s="569"/>
      <c r="MZ286" s="569"/>
      <c r="NA286" s="569"/>
      <c r="NB286" s="569"/>
      <c r="NC286" s="569"/>
      <c r="ND286" s="569"/>
      <c r="NE286" s="569"/>
      <c r="NF286" s="569"/>
      <c r="NG286" s="569"/>
      <c r="NH286" s="569"/>
      <c r="NI286" s="569"/>
      <c r="NJ286" s="569"/>
      <c r="NK286" s="569"/>
      <c r="NL286" s="569"/>
      <c r="NM286" s="569"/>
      <c r="NN286" s="569"/>
      <c r="NO286" s="569"/>
      <c r="NP286" s="569"/>
      <c r="NQ286" s="569"/>
      <c r="NR286" s="569"/>
      <c r="NS286" s="569"/>
      <c r="NT286" s="569"/>
      <c r="NU286" s="569"/>
      <c r="NV286" s="569"/>
      <c r="NW286" s="569"/>
      <c r="NX286" s="569"/>
      <c r="NY286" s="569"/>
      <c r="NZ286" s="569"/>
      <c r="OA286" s="569"/>
      <c r="OB286" s="569"/>
      <c r="OC286" s="569"/>
      <c r="OD286" s="569"/>
      <c r="OE286" s="569"/>
      <c r="OF286" s="569"/>
      <c r="OG286" s="569"/>
      <c r="OH286" s="569"/>
      <c r="OI286" s="569"/>
      <c r="OJ286" s="569"/>
      <c r="OK286" s="569"/>
      <c r="OL286" s="569"/>
      <c r="OM286" s="569"/>
      <c r="ON286" s="569"/>
      <c r="OO286" s="569"/>
      <c r="OP286" s="569"/>
      <c r="OQ286" s="569"/>
      <c r="OR286" s="569"/>
      <c r="OS286" s="569"/>
      <c r="OT286" s="569"/>
      <c r="OU286" s="569"/>
      <c r="OV286" s="569"/>
      <c r="OW286" s="569"/>
      <c r="OX286" s="569"/>
      <c r="OY286" s="569"/>
      <c r="OZ286" s="569"/>
      <c r="PA286" s="569"/>
      <c r="PB286" s="569"/>
      <c r="PC286" s="569"/>
      <c r="PD286" s="569"/>
      <c r="PE286" s="569"/>
      <c r="PF286" s="569"/>
      <c r="PG286" s="569"/>
      <c r="PH286" s="569"/>
      <c r="PI286" s="569"/>
      <c r="PJ286" s="569"/>
      <c r="PK286" s="569"/>
      <c r="PL286" s="569"/>
      <c r="PM286" s="569"/>
      <c r="PN286" s="569"/>
      <c r="PO286" s="569"/>
      <c r="PP286" s="569"/>
      <c r="PQ286" s="569"/>
      <c r="PR286" s="569"/>
      <c r="PS286" s="569"/>
      <c r="PT286" s="569"/>
      <c r="PU286" s="569"/>
      <c r="PV286" s="569"/>
      <c r="PW286" s="569"/>
      <c r="PX286" s="569"/>
      <c r="PY286" s="569"/>
      <c r="PZ286" s="569"/>
      <c r="QA286" s="569"/>
      <c r="QB286" s="569"/>
      <c r="QC286" s="569"/>
      <c r="QD286" s="569"/>
      <c r="QE286" s="569"/>
      <c r="QF286" s="569"/>
      <c r="QG286" s="569"/>
      <c r="QH286" s="569"/>
      <c r="QI286" s="569"/>
      <c r="QJ286" s="569"/>
      <c r="QK286" s="569"/>
      <c r="QL286" s="569"/>
    </row>
    <row r="287" spans="1:454" s="574" customFormat="1" ht="30">
      <c r="A287" s="569"/>
      <c r="B287" s="575">
        <v>6</v>
      </c>
      <c r="C287" s="576" t="str">
        <f>'matrik MISI 6'!B6</f>
        <v>PERENCANAAN PEMBANGUNAN</v>
      </c>
      <c r="D287" s="577">
        <f>'matrik MISI 6'!J7</f>
        <v>1.06</v>
      </c>
      <c r="E287" s="577" t="str">
        <f>'matrik MISI 6'!K7</f>
        <v>xx</v>
      </c>
      <c r="F287" s="577">
        <f>'matrik MISI 6'!L7</f>
        <v>15</v>
      </c>
      <c r="G287" s="577" t="str">
        <f>'matrik MISI 6'!M7</f>
        <v>Program Perencanaan Pembangunan Daerah</v>
      </c>
      <c r="H287" s="575"/>
      <c r="I287" s="575"/>
      <c r="J287" s="596"/>
      <c r="K287" s="596"/>
      <c r="L287" s="596"/>
      <c r="M287" s="600">
        <f>'jangan di hapus 1'!K529-M273</f>
        <v>8802896000</v>
      </c>
      <c r="N287" s="600"/>
      <c r="O287" s="600">
        <f>'jangan di hapus 1'!M529-O273</f>
        <v>5350000000</v>
      </c>
      <c r="P287" s="600"/>
      <c r="Q287" s="600">
        <f>'jangan di hapus 1'!O529-Q273</f>
        <v>5570000000</v>
      </c>
      <c r="R287" s="600"/>
      <c r="S287" s="600">
        <f>'jangan di hapus 1'!Q529-S273</f>
        <v>5800000000</v>
      </c>
      <c r="T287" s="600"/>
      <c r="U287" s="600">
        <f>'jangan di hapus 1'!S529-U273</f>
        <v>6400000000</v>
      </c>
      <c r="V287" s="596"/>
      <c r="W287" s="598">
        <f>SUM(M287:U287)</f>
        <v>31922896000</v>
      </c>
      <c r="X287" s="575"/>
      <c r="Y287" s="596"/>
      <c r="Z287" s="596"/>
      <c r="AA287" s="569"/>
      <c r="AB287" s="569"/>
      <c r="AC287" s="569"/>
      <c r="AD287" s="569"/>
      <c r="AE287" s="569"/>
      <c r="AF287" s="569"/>
      <c r="AG287" s="569"/>
      <c r="AH287" s="569"/>
      <c r="AI287" s="569"/>
      <c r="AJ287" s="569"/>
      <c r="AK287" s="569"/>
      <c r="AL287" s="569"/>
      <c r="AM287" s="569"/>
      <c r="AN287" s="569"/>
      <c r="AO287" s="569"/>
      <c r="AP287" s="569"/>
      <c r="AQ287" s="569"/>
      <c r="AR287" s="569"/>
      <c r="AS287" s="569"/>
      <c r="AT287" s="569"/>
      <c r="AU287" s="569"/>
      <c r="AV287" s="569"/>
      <c r="AW287" s="569"/>
      <c r="AX287" s="569"/>
      <c r="AY287" s="569"/>
      <c r="AZ287" s="569"/>
      <c r="BA287" s="569"/>
      <c r="BB287" s="569"/>
      <c r="BC287" s="569"/>
      <c r="BD287" s="569"/>
      <c r="BE287" s="569"/>
      <c r="BF287" s="569"/>
      <c r="BG287" s="569"/>
      <c r="BH287" s="569"/>
      <c r="BI287" s="569"/>
      <c r="BJ287" s="569"/>
      <c r="BK287" s="569"/>
      <c r="BL287" s="569"/>
      <c r="BM287" s="569"/>
      <c r="BN287" s="569"/>
      <c r="BO287" s="569"/>
      <c r="BP287" s="569"/>
      <c r="BQ287" s="569"/>
      <c r="BR287" s="569"/>
      <c r="BS287" s="569"/>
      <c r="BT287" s="569"/>
      <c r="BU287" s="569"/>
      <c r="BV287" s="569"/>
      <c r="BW287" s="569"/>
      <c r="BX287" s="569"/>
      <c r="BY287" s="569"/>
      <c r="BZ287" s="569"/>
      <c r="CA287" s="569"/>
      <c r="CB287" s="569"/>
      <c r="CC287" s="569"/>
      <c r="CD287" s="569"/>
      <c r="CE287" s="569"/>
      <c r="CF287" s="569"/>
      <c r="CG287" s="569"/>
      <c r="CH287" s="569"/>
      <c r="CI287" s="569"/>
      <c r="CJ287" s="569"/>
      <c r="CK287" s="569"/>
      <c r="CL287" s="569"/>
      <c r="CM287" s="569"/>
      <c r="CN287" s="569"/>
      <c r="CO287" s="569"/>
      <c r="CP287" s="569"/>
      <c r="CQ287" s="569"/>
      <c r="CR287" s="569"/>
      <c r="CS287" s="569"/>
      <c r="CT287" s="569"/>
      <c r="CU287" s="569"/>
      <c r="CV287" s="569"/>
      <c r="CW287" s="569"/>
      <c r="CX287" s="569"/>
      <c r="CY287" s="569"/>
      <c r="CZ287" s="569"/>
      <c r="DA287" s="569"/>
      <c r="DB287" s="569"/>
      <c r="DC287" s="569"/>
      <c r="DD287" s="569"/>
      <c r="DE287" s="569"/>
      <c r="DF287" s="569"/>
      <c r="DG287" s="569"/>
      <c r="DH287" s="569"/>
      <c r="DI287" s="569"/>
      <c r="DJ287" s="569"/>
      <c r="DK287" s="569"/>
      <c r="DL287" s="569"/>
      <c r="DM287" s="569"/>
      <c r="DN287" s="569"/>
      <c r="DO287" s="569"/>
      <c r="DP287" s="569"/>
      <c r="DQ287" s="569"/>
      <c r="DR287" s="569"/>
      <c r="DS287" s="569"/>
      <c r="DT287" s="569"/>
      <c r="DU287" s="569"/>
      <c r="DV287" s="569"/>
      <c r="DW287" s="569"/>
      <c r="DX287" s="569"/>
      <c r="DY287" s="569"/>
      <c r="DZ287" s="569"/>
      <c r="EA287" s="569"/>
      <c r="EB287" s="569"/>
      <c r="EC287" s="569"/>
      <c r="ED287" s="569"/>
      <c r="EE287" s="569"/>
      <c r="EF287" s="569"/>
      <c r="EG287" s="569"/>
      <c r="EH287" s="569"/>
      <c r="EI287" s="569"/>
      <c r="EJ287" s="569"/>
      <c r="EK287" s="569"/>
      <c r="EL287" s="569"/>
      <c r="EM287" s="569"/>
      <c r="EN287" s="569"/>
      <c r="EO287" s="569"/>
      <c r="EP287" s="569"/>
      <c r="EQ287" s="569"/>
      <c r="ER287" s="569"/>
      <c r="ES287" s="569"/>
      <c r="ET287" s="569"/>
      <c r="EU287" s="569"/>
      <c r="EV287" s="569"/>
      <c r="EW287" s="569"/>
      <c r="EX287" s="569"/>
      <c r="EY287" s="569"/>
      <c r="EZ287" s="569"/>
      <c r="FA287" s="569"/>
      <c r="FB287" s="569"/>
      <c r="FC287" s="569"/>
      <c r="FD287" s="569"/>
      <c r="FE287" s="569"/>
      <c r="FF287" s="569"/>
      <c r="FG287" s="569"/>
      <c r="FH287" s="569"/>
      <c r="FI287" s="569"/>
      <c r="FJ287" s="569"/>
      <c r="FK287" s="569"/>
      <c r="FL287" s="569"/>
      <c r="FM287" s="569"/>
      <c r="FN287" s="569"/>
      <c r="FO287" s="569"/>
      <c r="FP287" s="569"/>
      <c r="FQ287" s="569"/>
      <c r="FR287" s="569"/>
      <c r="FS287" s="569"/>
      <c r="FT287" s="569"/>
      <c r="FU287" s="569"/>
      <c r="FV287" s="569"/>
      <c r="FW287" s="569"/>
      <c r="FX287" s="569"/>
      <c r="FY287" s="569"/>
      <c r="FZ287" s="569"/>
      <c r="GA287" s="569"/>
      <c r="GB287" s="569"/>
      <c r="GC287" s="569"/>
      <c r="GD287" s="569"/>
      <c r="GE287" s="569"/>
      <c r="GF287" s="569"/>
      <c r="GG287" s="569"/>
      <c r="GH287" s="569"/>
      <c r="GI287" s="569"/>
      <c r="GJ287" s="569"/>
      <c r="GK287" s="569"/>
      <c r="GL287" s="569"/>
      <c r="GM287" s="569"/>
      <c r="GN287" s="569"/>
      <c r="GO287" s="569"/>
      <c r="GP287" s="569"/>
      <c r="GQ287" s="569"/>
      <c r="GR287" s="569"/>
      <c r="GS287" s="569"/>
      <c r="GT287" s="569"/>
      <c r="GU287" s="569"/>
      <c r="GV287" s="569"/>
      <c r="GW287" s="569"/>
      <c r="GX287" s="569"/>
      <c r="GY287" s="569"/>
      <c r="GZ287" s="569"/>
      <c r="HA287" s="569"/>
      <c r="HB287" s="569"/>
      <c r="HC287" s="569"/>
      <c r="HD287" s="569"/>
      <c r="HE287" s="569"/>
      <c r="HF287" s="569"/>
      <c r="HG287" s="569"/>
      <c r="HH287" s="569"/>
      <c r="HI287" s="569"/>
      <c r="HJ287" s="569"/>
      <c r="HK287" s="569"/>
      <c r="HL287" s="569"/>
      <c r="HM287" s="569"/>
      <c r="HN287" s="569"/>
      <c r="HO287" s="569"/>
      <c r="HP287" s="569"/>
      <c r="HQ287" s="569"/>
      <c r="HR287" s="569"/>
      <c r="HS287" s="569"/>
      <c r="HT287" s="569"/>
      <c r="HU287" s="569"/>
      <c r="HV287" s="569"/>
      <c r="HW287" s="569"/>
      <c r="HX287" s="569"/>
      <c r="HY287" s="569"/>
      <c r="HZ287" s="569"/>
      <c r="IA287" s="569"/>
      <c r="IB287" s="569"/>
      <c r="IC287" s="569"/>
      <c r="ID287" s="569"/>
      <c r="IE287" s="569"/>
      <c r="IF287" s="569"/>
      <c r="IG287" s="569"/>
      <c r="IH287" s="569"/>
      <c r="II287" s="569"/>
      <c r="IJ287" s="569"/>
      <c r="IK287" s="569"/>
      <c r="IL287" s="569"/>
      <c r="IM287" s="569"/>
      <c r="IN287" s="569"/>
      <c r="IO287" s="569"/>
      <c r="IP287" s="569"/>
      <c r="IQ287" s="569"/>
      <c r="IR287" s="569"/>
      <c r="IS287" s="569"/>
      <c r="IT287" s="569"/>
      <c r="IU287" s="569"/>
      <c r="IV287" s="569"/>
      <c r="IW287" s="569"/>
      <c r="IX287" s="569"/>
      <c r="IY287" s="569"/>
      <c r="IZ287" s="569"/>
      <c r="JA287" s="569"/>
      <c r="JB287" s="569"/>
      <c r="JC287" s="569"/>
      <c r="JD287" s="569"/>
      <c r="JE287" s="569"/>
      <c r="JF287" s="569"/>
      <c r="JG287" s="569"/>
      <c r="JH287" s="569"/>
      <c r="JI287" s="569"/>
      <c r="JJ287" s="569"/>
      <c r="JK287" s="569"/>
      <c r="JL287" s="569"/>
      <c r="JM287" s="569"/>
      <c r="JN287" s="569"/>
      <c r="JO287" s="569"/>
      <c r="JP287" s="569"/>
      <c r="JQ287" s="569"/>
      <c r="JR287" s="569"/>
      <c r="JS287" s="569"/>
      <c r="JT287" s="569"/>
      <c r="JU287" s="569"/>
      <c r="JV287" s="569"/>
      <c r="JW287" s="569"/>
      <c r="JX287" s="569"/>
      <c r="JY287" s="569"/>
      <c r="JZ287" s="569"/>
      <c r="KA287" s="569"/>
      <c r="KB287" s="569"/>
      <c r="KC287" s="569"/>
      <c r="KD287" s="569"/>
      <c r="KE287" s="569"/>
      <c r="KF287" s="569"/>
      <c r="KG287" s="569"/>
      <c r="KH287" s="569"/>
      <c r="KI287" s="569"/>
      <c r="KJ287" s="569"/>
      <c r="KK287" s="569"/>
      <c r="KL287" s="569"/>
      <c r="KM287" s="569"/>
      <c r="KN287" s="569"/>
      <c r="KO287" s="569"/>
      <c r="KP287" s="569"/>
      <c r="KQ287" s="569"/>
      <c r="KR287" s="569"/>
      <c r="KS287" s="569"/>
      <c r="KT287" s="569"/>
      <c r="KU287" s="569"/>
      <c r="KV287" s="569"/>
      <c r="KW287" s="569"/>
      <c r="KX287" s="569"/>
      <c r="KY287" s="569"/>
      <c r="KZ287" s="569"/>
      <c r="LA287" s="569"/>
      <c r="LB287" s="569"/>
      <c r="LC287" s="569"/>
      <c r="LD287" s="569"/>
      <c r="LE287" s="569"/>
      <c r="LF287" s="569"/>
      <c r="LG287" s="569"/>
      <c r="LH287" s="569"/>
      <c r="LI287" s="569"/>
      <c r="LJ287" s="569"/>
      <c r="LK287" s="569"/>
      <c r="LL287" s="569"/>
      <c r="LM287" s="569"/>
      <c r="LN287" s="569"/>
      <c r="LO287" s="569"/>
      <c r="LP287" s="569"/>
      <c r="LQ287" s="569"/>
      <c r="LR287" s="569"/>
      <c r="LS287" s="569"/>
      <c r="LT287" s="569"/>
      <c r="LU287" s="569"/>
      <c r="LV287" s="569"/>
      <c r="LW287" s="569"/>
      <c r="LX287" s="569"/>
      <c r="LY287" s="569"/>
      <c r="LZ287" s="569"/>
      <c r="MA287" s="569"/>
      <c r="MB287" s="569"/>
      <c r="MC287" s="569"/>
      <c r="MD287" s="569"/>
      <c r="ME287" s="569"/>
      <c r="MF287" s="569"/>
      <c r="MG287" s="569"/>
      <c r="MH287" s="569"/>
      <c r="MI287" s="569"/>
      <c r="MJ287" s="569"/>
      <c r="MK287" s="569"/>
      <c r="ML287" s="569"/>
      <c r="MM287" s="569"/>
      <c r="MN287" s="569"/>
      <c r="MO287" s="569"/>
      <c r="MP287" s="569"/>
      <c r="MQ287" s="569"/>
      <c r="MR287" s="569"/>
      <c r="MS287" s="569"/>
      <c r="MT287" s="569"/>
      <c r="MU287" s="569"/>
      <c r="MV287" s="569"/>
      <c r="MW287" s="569"/>
      <c r="MX287" s="569"/>
      <c r="MY287" s="569"/>
      <c r="MZ287" s="569"/>
      <c r="NA287" s="569"/>
      <c r="NB287" s="569"/>
      <c r="NC287" s="569"/>
      <c r="ND287" s="569"/>
      <c r="NE287" s="569"/>
      <c r="NF287" s="569"/>
      <c r="NG287" s="569"/>
      <c r="NH287" s="569"/>
      <c r="NI287" s="569"/>
      <c r="NJ287" s="569"/>
      <c r="NK287" s="569"/>
      <c r="NL287" s="569"/>
      <c r="NM287" s="569"/>
      <c r="NN287" s="569"/>
      <c r="NO287" s="569"/>
      <c r="NP287" s="569"/>
      <c r="NQ287" s="569"/>
      <c r="NR287" s="569"/>
      <c r="NS287" s="569"/>
      <c r="NT287" s="569"/>
      <c r="NU287" s="569"/>
      <c r="NV287" s="569"/>
      <c r="NW287" s="569"/>
      <c r="NX287" s="569"/>
      <c r="NY287" s="569"/>
      <c r="NZ287" s="569"/>
      <c r="OA287" s="569"/>
      <c r="OB287" s="569"/>
      <c r="OC287" s="569"/>
      <c r="OD287" s="569"/>
      <c r="OE287" s="569"/>
      <c r="OF287" s="569"/>
      <c r="OG287" s="569"/>
      <c r="OH287" s="569"/>
      <c r="OI287" s="569"/>
      <c r="OJ287" s="569"/>
      <c r="OK287" s="569"/>
      <c r="OL287" s="569"/>
      <c r="OM287" s="569"/>
      <c r="ON287" s="569"/>
      <c r="OO287" s="569"/>
      <c r="OP287" s="569"/>
      <c r="OQ287" s="569"/>
      <c r="OR287" s="569"/>
      <c r="OS287" s="569"/>
      <c r="OT287" s="569"/>
      <c r="OU287" s="569"/>
      <c r="OV287" s="569"/>
      <c r="OW287" s="569"/>
      <c r="OX287" s="569"/>
      <c r="OY287" s="569"/>
      <c r="OZ287" s="569"/>
      <c r="PA287" s="569"/>
      <c r="PB287" s="569"/>
      <c r="PC287" s="569"/>
      <c r="PD287" s="569"/>
      <c r="PE287" s="569"/>
      <c r="PF287" s="569"/>
      <c r="PG287" s="569"/>
      <c r="PH287" s="569"/>
      <c r="PI287" s="569"/>
      <c r="PJ287" s="569"/>
      <c r="PK287" s="569"/>
      <c r="PL287" s="569"/>
      <c r="PM287" s="569"/>
      <c r="PN287" s="569"/>
      <c r="PO287" s="569"/>
      <c r="PP287" s="569"/>
      <c r="PQ287" s="569"/>
      <c r="PR287" s="569"/>
      <c r="PS287" s="569"/>
      <c r="PT287" s="569"/>
      <c r="PU287" s="569"/>
      <c r="PV287" s="569"/>
      <c r="PW287" s="569"/>
      <c r="PX287" s="569"/>
      <c r="PY287" s="569"/>
      <c r="PZ287" s="569"/>
      <c r="QA287" s="569"/>
      <c r="QB287" s="569"/>
      <c r="QC287" s="569"/>
      <c r="QD287" s="569"/>
      <c r="QE287" s="569"/>
      <c r="QF287" s="569"/>
      <c r="QG287" s="569"/>
      <c r="QH287" s="569"/>
      <c r="QI287" s="569"/>
      <c r="QJ287" s="569"/>
      <c r="QK287" s="569"/>
      <c r="QL287" s="569"/>
    </row>
    <row r="288" spans="1:454" ht="30">
      <c r="B288" s="568"/>
      <c r="C288" s="568"/>
      <c r="D288" s="568"/>
      <c r="E288" s="568"/>
      <c r="F288" s="568"/>
      <c r="G288" s="568"/>
      <c r="H288" s="563" t="str">
        <f>'matrik MISI 6'!N7</f>
        <v xml:space="preserve">Besaran Penelitian dan Pengembangan </v>
      </c>
      <c r="I288" s="563" t="str">
        <f>'matrik MISI 6'!O7</f>
        <v>dokumen</v>
      </c>
      <c r="J288" s="563">
        <f>'matrik MISI 6'!P7</f>
        <v>0</v>
      </c>
      <c r="K288" s="563">
        <f>'matrik MISI 6'!Q7</f>
        <v>0</v>
      </c>
      <c r="L288" s="563">
        <f>'matrik MISI 6'!R7</f>
        <v>0</v>
      </c>
      <c r="M288" s="604"/>
      <c r="N288" s="563">
        <f>'matrik MISI 6'!S7</f>
        <v>1</v>
      </c>
      <c r="O288" s="564"/>
      <c r="P288" s="563">
        <f>'matrik MISI 6'!T7</f>
        <v>1</v>
      </c>
      <c r="Q288" s="564"/>
      <c r="R288" s="563">
        <f>'matrik MISI 6'!U7</f>
        <v>1</v>
      </c>
      <c r="S288" s="564"/>
      <c r="T288" s="563">
        <f>'matrik MISI 6'!V7</f>
        <v>1</v>
      </c>
      <c r="U288" s="564"/>
      <c r="V288" s="563">
        <f>'matrik MISI 6'!W7</f>
        <v>4</v>
      </c>
      <c r="W288" s="564"/>
      <c r="X288" s="563" t="str">
        <f>'matrik MISI 6'!X7</f>
        <v xml:space="preserve">Bappeda </v>
      </c>
      <c r="Y288" s="565" t="str">
        <f>'matrik MISI 6'!Y7</f>
        <v xml:space="preserve">Jumlah kegiatan penelitian dan pengembangan yang dilaksanakan </v>
      </c>
      <c r="Z288" s="565" t="str">
        <f>'matrik MISI 6'!Z7</f>
        <v xml:space="preserve">Jumlah penelitian dan pengembangan yang dilaksanakan yang menggunakan metodologi penelitian </v>
      </c>
    </row>
    <row r="289" spans="1:454" ht="45">
      <c r="G289" s="563"/>
      <c r="H289" s="563" t="str">
        <f>'matrik MISI 6'!N8</f>
        <v>Persentase Dokumen Perencanaan Pembangunan Daerah yang tepat waktu</v>
      </c>
      <c r="I289" s="563" t="str">
        <f>'matrik MISI 6'!O8</f>
        <v>%</v>
      </c>
      <c r="J289" s="563">
        <f>'matrik MISI 6'!P8</f>
        <v>100</v>
      </c>
      <c r="K289" s="563">
        <f>'matrik MISI 6'!Q8</f>
        <v>100</v>
      </c>
      <c r="L289" s="563">
        <f>'matrik MISI 6'!R8</f>
        <v>100</v>
      </c>
      <c r="M289" s="604"/>
      <c r="N289" s="563">
        <f>'matrik MISI 6'!S8</f>
        <v>100</v>
      </c>
      <c r="O289" s="564"/>
      <c r="P289" s="563">
        <f>'matrik MISI 6'!T8</f>
        <v>100</v>
      </c>
      <c r="Q289" s="564"/>
      <c r="R289" s="563">
        <f>'matrik MISI 6'!U8</f>
        <v>100</v>
      </c>
      <c r="S289" s="564"/>
      <c r="T289" s="563">
        <f>'matrik MISI 6'!V8</f>
        <v>100</v>
      </c>
      <c r="U289" s="564"/>
      <c r="V289" s="563">
        <f>'matrik MISI 6'!W8</f>
        <v>100</v>
      </c>
      <c r="W289" s="564"/>
      <c r="X289" s="563" t="str">
        <f>'matrik MISI 6'!X8</f>
        <v xml:space="preserve">Bappeda </v>
      </c>
      <c r="Y289" s="565" t="str">
        <f>'matrik MISI 6'!Y8</f>
        <v xml:space="preserve">Jumlah Dokumen Perencanaan Pembangunan Daerah yang di susun tepat waktu  dibagi Jumlah Dokumen Perencanaan Pembangunan Daerah </v>
      </c>
      <c r="Z289" s="565">
        <f>'matrik MISI 6'!Z8</f>
        <v>0</v>
      </c>
    </row>
    <row r="290" spans="1:454" ht="45">
      <c r="G290" s="563"/>
      <c r="H290" s="563" t="str">
        <f>'matrik MISI 6'!N10</f>
        <v>Rasio Keterwakilan Perempuan dalam Proses Perencanaan Pembangunan Daerah</v>
      </c>
      <c r="I290" s="563" t="str">
        <f>'matrik MISI 6'!O10</f>
        <v>Rasio</v>
      </c>
      <c r="J290" s="563">
        <f>'matrik MISI 6'!P10</f>
        <v>0.16666666666666666</v>
      </c>
      <c r="K290" s="563">
        <f>'matrik MISI 6'!Q10</f>
        <v>0.16666666666666666</v>
      </c>
      <c r="L290" s="563" t="str">
        <f>'matrik MISI 6'!R10</f>
        <v>0,18</v>
      </c>
      <c r="M290" s="604"/>
      <c r="N290" s="563" t="str">
        <f>'matrik MISI 6'!S10</f>
        <v>0,18</v>
      </c>
      <c r="O290" s="564"/>
      <c r="P290" s="563" t="str">
        <f>'matrik MISI 6'!T10</f>
        <v>0,19</v>
      </c>
      <c r="Q290" s="564"/>
      <c r="R290" s="563" t="str">
        <f>'matrik MISI 6'!U10</f>
        <v>0,19</v>
      </c>
      <c r="S290" s="564"/>
      <c r="T290" s="563" t="str">
        <f>'matrik MISI 6'!V10</f>
        <v>0,2</v>
      </c>
      <c r="U290" s="564"/>
      <c r="V290" s="563" t="str">
        <f>'matrik MISI 6'!W10</f>
        <v>0,2</v>
      </c>
      <c r="W290" s="564"/>
      <c r="X290" s="563" t="str">
        <f>'matrik MISI 6'!X10</f>
        <v>Bappeda</v>
      </c>
      <c r="Y290" s="565" t="str">
        <f>'matrik MISI 6'!Y10</f>
        <v>Jumlah peserta perempuan yang di undang  pada proses perencanaan pembangunan daerah dibagi jumlah peserta</v>
      </c>
      <c r="Z290" s="565" t="str">
        <f>'matrik MISI 6'!Z10</f>
        <v>Musrenbang Desa/Kelurahan, Musrenbang Kecamatan dan Musrenbang Kabupaten</v>
      </c>
    </row>
    <row r="291" spans="1:454" ht="45">
      <c r="G291" s="563"/>
      <c r="H291" s="563" t="str">
        <f>'matrik MISI 6'!N11</f>
        <v>Persentase Keterwakilan Anak dalam Proses Perencanaan Pembangunan Daerah</v>
      </c>
      <c r="I291" s="563" t="str">
        <f>'matrik MISI 6'!O11</f>
        <v>%</v>
      </c>
      <c r="J291" s="563">
        <f>'matrik MISI 6'!P11</f>
        <v>1.6666666666666666E-2</v>
      </c>
      <c r="K291" s="563">
        <f>'matrik MISI 6'!Q11</f>
        <v>1.6666666666666666E-2</v>
      </c>
      <c r="L291" s="563" t="str">
        <f>'matrik MISI 6'!R11</f>
        <v>0,0175</v>
      </c>
      <c r="M291" s="604"/>
      <c r="N291" s="563" t="str">
        <f>'matrik MISI 6'!S11</f>
        <v>0,0175</v>
      </c>
      <c r="O291" s="564"/>
      <c r="P291" s="563" t="str">
        <f>'matrik MISI 6'!T11</f>
        <v>0,018</v>
      </c>
      <c r="Q291" s="564"/>
      <c r="R291" s="563" t="str">
        <f>'matrik MISI 6'!U11</f>
        <v>0,018</v>
      </c>
      <c r="S291" s="564"/>
      <c r="T291" s="563" t="str">
        <f>'matrik MISI 6'!V11</f>
        <v>0,0185</v>
      </c>
      <c r="U291" s="564"/>
      <c r="V291" s="563" t="str">
        <f>'matrik MISI 6'!W11</f>
        <v>0,0185</v>
      </c>
      <c r="W291" s="564"/>
      <c r="X291" s="563" t="str">
        <f>'matrik MISI 6'!X11</f>
        <v>Bappeda</v>
      </c>
      <c r="Y291" s="565" t="str">
        <f>'matrik MISI 6'!Y11</f>
        <v>Jumlah peserta anak yang di undang  pada Musrenbang dibagi jumlah peserta</v>
      </c>
      <c r="Z291" s="565" t="str">
        <f>'matrik MISI 6'!Z11</f>
        <v>perwakilan anak bisa diwakili dari Forum Anak</v>
      </c>
    </row>
    <row r="292" spans="1:454" ht="30">
      <c r="G292" s="563"/>
      <c r="H292" s="563" t="str">
        <f>'matrik MISI 6'!N12</f>
        <v xml:space="preserve">Besaran Dokumen Perencanaan Pembangunan Tematik </v>
      </c>
      <c r="I292" s="563" t="str">
        <f>'matrik MISI 6'!O12</f>
        <v>Dokumen</v>
      </c>
      <c r="J292" s="563">
        <f>'matrik MISI 6'!P12</f>
        <v>0</v>
      </c>
      <c r="K292" s="563">
        <f>'matrik MISI 6'!Q12</f>
        <v>0</v>
      </c>
      <c r="L292" s="563">
        <f>'matrik MISI 6'!R12</f>
        <v>0</v>
      </c>
      <c r="M292" s="604"/>
      <c r="N292" s="563">
        <f>'matrik MISI 6'!S12</f>
        <v>5</v>
      </c>
      <c r="O292" s="564"/>
      <c r="P292" s="563">
        <f>'matrik MISI 6'!T12</f>
        <v>2</v>
      </c>
      <c r="Q292" s="564"/>
      <c r="R292" s="563">
        <f>'matrik MISI 6'!U12</f>
        <v>5</v>
      </c>
      <c r="S292" s="564"/>
      <c r="T292" s="563">
        <f>'matrik MISI 6'!V12</f>
        <v>2</v>
      </c>
      <c r="U292" s="564"/>
      <c r="V292" s="563">
        <f>'matrik MISI 6'!W12</f>
        <v>14</v>
      </c>
      <c r="W292" s="564"/>
      <c r="X292" s="563" t="str">
        <f>'matrik MISI 6'!X12</f>
        <v>Bappeda</v>
      </c>
      <c r="Y292" s="565" t="str">
        <f>'matrik MISI 6'!Y12</f>
        <v>Jumlah Perencanaan Pembangunan Tematik</v>
      </c>
      <c r="Z292" s="565" t="str">
        <f>'matrik MISI 6'!Z12</f>
        <v>meliputi Masterplan, Feasibility Study, Rencana Induk, Rencana Aksi Daerah, Road Map, Perencanaan Kawasan, dan topik tertentu/khusus</v>
      </c>
    </row>
    <row r="293" spans="1:454" ht="45">
      <c r="G293" s="563"/>
      <c r="H293" s="563" t="str">
        <f>'matrik MISI 6'!N13</f>
        <v xml:space="preserve">Persentase Tingkat Capaian Target RPJMD Hasil Pelaksanaan RKPD </v>
      </c>
      <c r="I293" s="563" t="str">
        <f>'matrik MISI 6'!O13</f>
        <v>%</v>
      </c>
      <c r="J293" s="563" t="str">
        <f>'matrik MISI 6'!P13</f>
        <v>n.a</v>
      </c>
      <c r="K293" s="563" t="str">
        <f>'matrik MISI 6'!Q13</f>
        <v>n.a</v>
      </c>
      <c r="L293" s="563">
        <f>'matrik MISI 6'!R13</f>
        <v>100</v>
      </c>
      <c r="M293" s="604"/>
      <c r="N293" s="563">
        <f>'matrik MISI 6'!S13</f>
        <v>100</v>
      </c>
      <c r="O293" s="564"/>
      <c r="P293" s="563">
        <f>'matrik MISI 6'!T13</f>
        <v>100</v>
      </c>
      <c r="Q293" s="564"/>
      <c r="R293" s="563">
        <f>'matrik MISI 6'!U13</f>
        <v>100</v>
      </c>
      <c r="S293" s="564"/>
      <c r="T293" s="563">
        <f>'matrik MISI 6'!V13</f>
        <v>100</v>
      </c>
      <c r="U293" s="564"/>
      <c r="V293" s="563">
        <f>'matrik MISI 6'!W13</f>
        <v>100</v>
      </c>
      <c r="W293" s="564"/>
      <c r="X293" s="563" t="str">
        <f>'matrik MISI 6'!X13</f>
        <v>Bappeda</v>
      </c>
      <c r="Y293" s="565" t="str">
        <f>'matrik MISI 6'!Y13</f>
        <v>Capaian target RPJMD pada RKPD dibagi Target RPJMD pada RKPD dikali 100 %</v>
      </c>
      <c r="Z293" s="565">
        <f>'matrik MISI 6'!Z13</f>
        <v>0</v>
      </c>
    </row>
    <row r="294" spans="1:454" ht="45">
      <c r="G294" s="563"/>
      <c r="H294" s="563" t="str">
        <f>'matrik MISI 6'!N14</f>
        <v>Persentase Tingkat Capaian Kinerja dan Realisasi Anggaran RPJMD</v>
      </c>
      <c r="I294" s="563" t="str">
        <f>'matrik MISI 6'!O14</f>
        <v>%</v>
      </c>
      <c r="J294" s="563" t="str">
        <f>'matrik MISI 6'!P14</f>
        <v>n.a</v>
      </c>
      <c r="K294" s="563" t="str">
        <f>'matrik MISI 6'!Q14</f>
        <v>n.a</v>
      </c>
      <c r="L294" s="563">
        <f>'matrik MISI 6'!R14</f>
        <v>100</v>
      </c>
      <c r="M294" s="604"/>
      <c r="N294" s="563">
        <f>'matrik MISI 6'!S14</f>
        <v>100</v>
      </c>
      <c r="O294" s="564"/>
      <c r="P294" s="563">
        <f>'matrik MISI 6'!T14</f>
        <v>100</v>
      </c>
      <c r="Q294" s="564"/>
      <c r="R294" s="563">
        <f>'matrik MISI 6'!U14</f>
        <v>100</v>
      </c>
      <c r="S294" s="564"/>
      <c r="T294" s="563">
        <f>'matrik MISI 6'!V14</f>
        <v>100</v>
      </c>
      <c r="U294" s="564"/>
      <c r="V294" s="563">
        <f>'matrik MISI 6'!W14</f>
        <v>100</v>
      </c>
      <c r="W294" s="564"/>
      <c r="X294" s="563" t="str">
        <f>'matrik MISI 6'!X14</f>
        <v>Bappeda</v>
      </c>
      <c r="Y294" s="565" t="str">
        <f>'matrik MISI 6'!Y14</f>
        <v>Realisasi kinerja dan anggaran RPJMD dibagi Target RPJMD x 100 %</v>
      </c>
      <c r="Z294" s="565" t="str">
        <f>'matrik MISI 6'!Z14</f>
        <v>Realisasi kinerja dan anggaran RPJMD diperoleh dari realisasi capaian kinerja RPJMD sampai dengan RKPD tahun sebelumnya + realisasi capaian kinerja dan anggaran RKPD yang dievaluasi</v>
      </c>
    </row>
    <row r="295" spans="1:454" ht="45">
      <c r="G295" s="563"/>
      <c r="H295" s="563" t="str">
        <f>'matrik MISI 6'!N15</f>
        <v>Persentase Tingkat Capaian Kinerja dan Realisasi Anggaran Renstra SKPD</v>
      </c>
      <c r="I295" s="563" t="str">
        <f>'matrik MISI 6'!O15</f>
        <v>%</v>
      </c>
      <c r="J295" s="563">
        <f>'matrik MISI 6'!P15</f>
        <v>0</v>
      </c>
      <c r="K295" s="563">
        <f>'matrik MISI 6'!Q15</f>
        <v>0</v>
      </c>
      <c r="L295" s="563">
        <f>'matrik MISI 6'!R15</f>
        <v>100</v>
      </c>
      <c r="M295" s="604"/>
      <c r="N295" s="563">
        <f>'matrik MISI 6'!S15</f>
        <v>100</v>
      </c>
      <c r="O295" s="564"/>
      <c r="P295" s="563">
        <f>'matrik MISI 6'!T15</f>
        <v>100</v>
      </c>
      <c r="Q295" s="564"/>
      <c r="R295" s="563">
        <f>'matrik MISI 6'!U15</f>
        <v>100</v>
      </c>
      <c r="S295" s="564"/>
      <c r="T295" s="563">
        <f>'matrik MISI 6'!V15</f>
        <v>100</v>
      </c>
      <c r="U295" s="564"/>
      <c r="V295" s="563">
        <f>'matrik MISI 6'!W15</f>
        <v>100</v>
      </c>
      <c r="W295" s="564"/>
      <c r="X295" s="563" t="str">
        <f>'matrik MISI 6'!X15</f>
        <v>Bappeda</v>
      </c>
      <c r="Y295" s="565" t="str">
        <f>'matrik MISI 6'!Y15</f>
        <v>Realisasi kinerja  dan anggaran renstra SKPD dibagi target  kinerja dan anggaran renstra SKPD x 100</v>
      </c>
      <c r="Z295" s="565" t="str">
        <f>'matrik MISI 6'!Z15</f>
        <v>Data diperoleh melalui aplikasi pengendalian dan evaluasi pelaksanaan rencana pembangunan daerah dan rumus di IKD di buat menjadi 2 macam .</v>
      </c>
    </row>
    <row r="296" spans="1:454" ht="30">
      <c r="G296" s="563"/>
      <c r="H296" s="563" t="str">
        <f>'matrik MISI 6'!N16</f>
        <v>Persentase program SKPD di Luar RPJMD</v>
      </c>
      <c r="I296" s="563" t="str">
        <f>'matrik MISI 6'!O16</f>
        <v>%</v>
      </c>
      <c r="J296" s="563">
        <f>'matrik MISI 6'!P16</f>
        <v>0</v>
      </c>
      <c r="K296" s="563">
        <f>'matrik MISI 6'!Q16</f>
        <v>0</v>
      </c>
      <c r="L296" s="563">
        <f>'matrik MISI 6'!R16</f>
        <v>0</v>
      </c>
      <c r="M296" s="604"/>
      <c r="N296" s="563">
        <f>'matrik MISI 6'!S16</f>
        <v>0</v>
      </c>
      <c r="O296" s="564"/>
      <c r="P296" s="563">
        <f>'matrik MISI 6'!T16</f>
        <v>0</v>
      </c>
      <c r="Q296" s="564"/>
      <c r="R296" s="563">
        <f>'matrik MISI 6'!U16</f>
        <v>0</v>
      </c>
      <c r="S296" s="564"/>
      <c r="T296" s="563">
        <f>'matrik MISI 6'!V16</f>
        <v>0</v>
      </c>
      <c r="U296" s="564"/>
      <c r="V296" s="563">
        <f>'matrik MISI 6'!W16</f>
        <v>0</v>
      </c>
      <c r="W296" s="564"/>
      <c r="X296" s="563" t="str">
        <f>'matrik MISI 6'!X16</f>
        <v>Bappeda</v>
      </c>
      <c r="Y296" s="565" t="str">
        <f>'matrik MISI 6'!Y16</f>
        <v>Jumlah Program SKPD yang muncul di luar RPJMD dibagi jumlah program SKPD dalam RPJMD</v>
      </c>
      <c r="Z296" s="565" t="str">
        <f>'matrik MISI 6'!Z16</f>
        <v>Data diperoleh melalui aplikasi pengendalian dan evaluasi pelaksanaan rencana pembangunan daerah</v>
      </c>
    </row>
    <row r="297" spans="1:454" ht="30">
      <c r="G297" s="563"/>
      <c r="H297" s="563" t="str">
        <f>'matrik MISI 6'!N17</f>
        <v>Persentase  Kegiatan SKPD di Luar Renstra SKPD</v>
      </c>
      <c r="I297" s="563" t="str">
        <f>'matrik MISI 6'!O17</f>
        <v>%</v>
      </c>
      <c r="J297" s="563">
        <f>'matrik MISI 6'!P17</f>
        <v>0</v>
      </c>
      <c r="K297" s="563">
        <f>'matrik MISI 6'!Q17</f>
        <v>0</v>
      </c>
      <c r="L297" s="563">
        <f>'matrik MISI 6'!R17</f>
        <v>0</v>
      </c>
      <c r="M297" s="604"/>
      <c r="N297" s="563">
        <f>'matrik MISI 6'!S17</f>
        <v>0</v>
      </c>
      <c r="O297" s="564"/>
      <c r="P297" s="563">
        <f>'matrik MISI 6'!T17</f>
        <v>0</v>
      </c>
      <c r="Q297" s="564"/>
      <c r="R297" s="563">
        <f>'matrik MISI 6'!U17</f>
        <v>0</v>
      </c>
      <c r="S297" s="564"/>
      <c r="T297" s="563">
        <f>'matrik MISI 6'!V17</f>
        <v>0</v>
      </c>
      <c r="U297" s="564"/>
      <c r="V297" s="563">
        <f>'matrik MISI 6'!W17</f>
        <v>0</v>
      </c>
      <c r="W297" s="564"/>
      <c r="X297" s="563" t="str">
        <f>'matrik MISI 6'!X17</f>
        <v>Bappeda</v>
      </c>
      <c r="Y297" s="565" t="str">
        <f>'matrik MISI 6'!Y17</f>
        <v>Jumlah Kegiatan SKPD yang muncul di luar Renstra SKPD  dibagi jumlah kegiatan yang tercantum dalam renstra</v>
      </c>
      <c r="Z297" s="565" t="str">
        <f>'matrik MISI 6'!Z17</f>
        <v>Data diperoleh melalui aplikasi pengendalian dan evaluasi pelaksanaan rencana pembangunan daerah</v>
      </c>
    </row>
    <row r="298" spans="1:454" s="570" customFormat="1">
      <c r="A298" s="569"/>
      <c r="D298" s="573"/>
      <c r="E298" s="573"/>
      <c r="F298" s="573"/>
      <c r="G298" s="571"/>
      <c r="H298" s="571"/>
      <c r="I298" s="571"/>
      <c r="J298" s="580"/>
      <c r="K298" s="580"/>
      <c r="L298" s="580"/>
      <c r="M298" s="606"/>
      <c r="N298" s="580"/>
      <c r="O298" s="581"/>
      <c r="P298" s="580"/>
      <c r="Q298" s="581"/>
      <c r="R298" s="580"/>
      <c r="S298" s="581"/>
      <c r="T298" s="580"/>
      <c r="U298" s="581"/>
      <c r="V298" s="580"/>
      <c r="W298" s="581"/>
      <c r="X298" s="571"/>
      <c r="Y298" s="582"/>
      <c r="Z298" s="582"/>
      <c r="AA298" s="569"/>
      <c r="AB298" s="569"/>
      <c r="AC298" s="569"/>
      <c r="AD298" s="569"/>
      <c r="AE298" s="569"/>
      <c r="AF298" s="569"/>
      <c r="AG298" s="569"/>
      <c r="AH298" s="569"/>
      <c r="AI298" s="569"/>
      <c r="AJ298" s="569"/>
      <c r="AK298" s="569"/>
      <c r="AL298" s="569"/>
      <c r="AM298" s="569"/>
      <c r="AN298" s="569"/>
      <c r="AO298" s="569"/>
      <c r="AP298" s="569"/>
      <c r="AQ298" s="569"/>
      <c r="AR298" s="569"/>
      <c r="AS298" s="569"/>
      <c r="AT298" s="569"/>
      <c r="AU298" s="569"/>
      <c r="AV298" s="569"/>
      <c r="AW298" s="569"/>
      <c r="AX298" s="569"/>
      <c r="AY298" s="569"/>
      <c r="AZ298" s="569"/>
      <c r="BA298" s="569"/>
      <c r="BB298" s="569"/>
      <c r="BC298" s="569"/>
      <c r="BD298" s="569"/>
      <c r="BE298" s="569"/>
      <c r="BF298" s="569"/>
      <c r="BG298" s="569"/>
      <c r="BH298" s="569"/>
      <c r="BI298" s="569"/>
      <c r="BJ298" s="569"/>
      <c r="BK298" s="569"/>
      <c r="BL298" s="569"/>
      <c r="BM298" s="569"/>
      <c r="BN298" s="569"/>
      <c r="BO298" s="569"/>
      <c r="BP298" s="569"/>
      <c r="BQ298" s="569"/>
      <c r="BR298" s="569"/>
      <c r="BS298" s="569"/>
      <c r="BT298" s="569"/>
      <c r="BU298" s="569"/>
      <c r="BV298" s="569"/>
      <c r="BW298" s="569"/>
      <c r="BX298" s="569"/>
      <c r="BY298" s="569"/>
      <c r="BZ298" s="569"/>
      <c r="CA298" s="569"/>
      <c r="CB298" s="569"/>
      <c r="CC298" s="569"/>
      <c r="CD298" s="569"/>
      <c r="CE298" s="569"/>
      <c r="CF298" s="569"/>
      <c r="CG298" s="569"/>
      <c r="CH298" s="569"/>
      <c r="CI298" s="569"/>
      <c r="CJ298" s="569"/>
      <c r="CK298" s="569"/>
      <c r="CL298" s="569"/>
      <c r="CM298" s="569"/>
      <c r="CN298" s="569"/>
      <c r="CO298" s="569"/>
      <c r="CP298" s="569"/>
      <c r="CQ298" s="569"/>
      <c r="CR298" s="569"/>
      <c r="CS298" s="569"/>
      <c r="CT298" s="569"/>
      <c r="CU298" s="569"/>
      <c r="CV298" s="569"/>
      <c r="CW298" s="569"/>
      <c r="CX298" s="569"/>
      <c r="CY298" s="569"/>
      <c r="CZ298" s="569"/>
      <c r="DA298" s="569"/>
      <c r="DB298" s="569"/>
      <c r="DC298" s="569"/>
      <c r="DD298" s="569"/>
      <c r="DE298" s="569"/>
      <c r="DF298" s="569"/>
      <c r="DG298" s="569"/>
      <c r="DH298" s="569"/>
      <c r="DI298" s="569"/>
      <c r="DJ298" s="569"/>
      <c r="DK298" s="569"/>
      <c r="DL298" s="569"/>
      <c r="DM298" s="569"/>
      <c r="DN298" s="569"/>
      <c r="DO298" s="569"/>
      <c r="DP298" s="569"/>
      <c r="DQ298" s="569"/>
      <c r="DR298" s="569"/>
      <c r="DS298" s="569"/>
      <c r="DT298" s="569"/>
      <c r="DU298" s="569"/>
      <c r="DV298" s="569"/>
      <c r="DW298" s="569"/>
      <c r="DX298" s="569"/>
      <c r="DY298" s="569"/>
      <c r="DZ298" s="569"/>
      <c r="EA298" s="569"/>
      <c r="EB298" s="569"/>
      <c r="EC298" s="569"/>
      <c r="ED298" s="569"/>
      <c r="EE298" s="569"/>
      <c r="EF298" s="569"/>
      <c r="EG298" s="569"/>
      <c r="EH298" s="569"/>
      <c r="EI298" s="569"/>
      <c r="EJ298" s="569"/>
      <c r="EK298" s="569"/>
      <c r="EL298" s="569"/>
      <c r="EM298" s="569"/>
      <c r="EN298" s="569"/>
      <c r="EO298" s="569"/>
      <c r="EP298" s="569"/>
      <c r="EQ298" s="569"/>
      <c r="ER298" s="569"/>
      <c r="ES298" s="569"/>
      <c r="ET298" s="569"/>
      <c r="EU298" s="569"/>
      <c r="EV298" s="569"/>
      <c r="EW298" s="569"/>
      <c r="EX298" s="569"/>
      <c r="EY298" s="569"/>
      <c r="EZ298" s="569"/>
      <c r="FA298" s="569"/>
      <c r="FB298" s="569"/>
      <c r="FC298" s="569"/>
      <c r="FD298" s="569"/>
      <c r="FE298" s="569"/>
      <c r="FF298" s="569"/>
      <c r="FG298" s="569"/>
      <c r="FH298" s="569"/>
      <c r="FI298" s="569"/>
      <c r="FJ298" s="569"/>
      <c r="FK298" s="569"/>
      <c r="FL298" s="569"/>
      <c r="FM298" s="569"/>
      <c r="FN298" s="569"/>
      <c r="FO298" s="569"/>
      <c r="FP298" s="569"/>
      <c r="FQ298" s="569"/>
      <c r="FR298" s="569"/>
      <c r="FS298" s="569"/>
      <c r="FT298" s="569"/>
      <c r="FU298" s="569"/>
      <c r="FV298" s="569"/>
      <c r="FW298" s="569"/>
      <c r="FX298" s="569"/>
      <c r="FY298" s="569"/>
      <c r="FZ298" s="569"/>
      <c r="GA298" s="569"/>
      <c r="GB298" s="569"/>
      <c r="GC298" s="569"/>
      <c r="GD298" s="569"/>
      <c r="GE298" s="569"/>
      <c r="GF298" s="569"/>
      <c r="GG298" s="569"/>
      <c r="GH298" s="569"/>
      <c r="GI298" s="569"/>
      <c r="GJ298" s="569"/>
      <c r="GK298" s="569"/>
      <c r="GL298" s="569"/>
      <c r="GM298" s="569"/>
      <c r="GN298" s="569"/>
      <c r="GO298" s="569"/>
      <c r="GP298" s="569"/>
      <c r="GQ298" s="569"/>
      <c r="GR298" s="569"/>
      <c r="GS298" s="569"/>
      <c r="GT298" s="569"/>
      <c r="GU298" s="569"/>
      <c r="GV298" s="569"/>
      <c r="GW298" s="569"/>
      <c r="GX298" s="569"/>
      <c r="GY298" s="569"/>
      <c r="GZ298" s="569"/>
      <c r="HA298" s="569"/>
      <c r="HB298" s="569"/>
      <c r="HC298" s="569"/>
      <c r="HD298" s="569"/>
      <c r="HE298" s="569"/>
      <c r="HF298" s="569"/>
      <c r="HG298" s="569"/>
      <c r="HH298" s="569"/>
      <c r="HI298" s="569"/>
      <c r="HJ298" s="569"/>
      <c r="HK298" s="569"/>
      <c r="HL298" s="569"/>
      <c r="HM298" s="569"/>
      <c r="HN298" s="569"/>
      <c r="HO298" s="569"/>
      <c r="HP298" s="569"/>
      <c r="HQ298" s="569"/>
      <c r="HR298" s="569"/>
      <c r="HS298" s="569"/>
      <c r="HT298" s="569"/>
      <c r="HU298" s="569"/>
      <c r="HV298" s="569"/>
      <c r="HW298" s="569"/>
      <c r="HX298" s="569"/>
      <c r="HY298" s="569"/>
      <c r="HZ298" s="569"/>
      <c r="IA298" s="569"/>
      <c r="IB298" s="569"/>
      <c r="IC298" s="569"/>
      <c r="ID298" s="569"/>
      <c r="IE298" s="569"/>
      <c r="IF298" s="569"/>
      <c r="IG298" s="569"/>
      <c r="IH298" s="569"/>
      <c r="II298" s="569"/>
      <c r="IJ298" s="569"/>
      <c r="IK298" s="569"/>
      <c r="IL298" s="569"/>
      <c r="IM298" s="569"/>
      <c r="IN298" s="569"/>
      <c r="IO298" s="569"/>
      <c r="IP298" s="569"/>
      <c r="IQ298" s="569"/>
      <c r="IR298" s="569"/>
      <c r="IS298" s="569"/>
      <c r="IT298" s="569"/>
      <c r="IU298" s="569"/>
      <c r="IV298" s="569"/>
      <c r="IW298" s="569"/>
      <c r="IX298" s="569"/>
      <c r="IY298" s="569"/>
      <c r="IZ298" s="569"/>
      <c r="JA298" s="569"/>
      <c r="JB298" s="569"/>
      <c r="JC298" s="569"/>
      <c r="JD298" s="569"/>
      <c r="JE298" s="569"/>
      <c r="JF298" s="569"/>
      <c r="JG298" s="569"/>
      <c r="JH298" s="569"/>
      <c r="JI298" s="569"/>
      <c r="JJ298" s="569"/>
      <c r="JK298" s="569"/>
      <c r="JL298" s="569"/>
      <c r="JM298" s="569"/>
      <c r="JN298" s="569"/>
      <c r="JO298" s="569"/>
      <c r="JP298" s="569"/>
      <c r="JQ298" s="569"/>
      <c r="JR298" s="569"/>
      <c r="JS298" s="569"/>
      <c r="JT298" s="569"/>
      <c r="JU298" s="569"/>
      <c r="JV298" s="569"/>
      <c r="JW298" s="569"/>
      <c r="JX298" s="569"/>
      <c r="JY298" s="569"/>
      <c r="JZ298" s="569"/>
      <c r="KA298" s="569"/>
      <c r="KB298" s="569"/>
      <c r="KC298" s="569"/>
      <c r="KD298" s="569"/>
      <c r="KE298" s="569"/>
      <c r="KF298" s="569"/>
      <c r="KG298" s="569"/>
      <c r="KH298" s="569"/>
      <c r="KI298" s="569"/>
      <c r="KJ298" s="569"/>
      <c r="KK298" s="569"/>
      <c r="KL298" s="569"/>
      <c r="KM298" s="569"/>
      <c r="KN298" s="569"/>
      <c r="KO298" s="569"/>
      <c r="KP298" s="569"/>
      <c r="KQ298" s="569"/>
      <c r="KR298" s="569"/>
      <c r="KS298" s="569"/>
      <c r="KT298" s="569"/>
      <c r="KU298" s="569"/>
      <c r="KV298" s="569"/>
      <c r="KW298" s="569"/>
      <c r="KX298" s="569"/>
      <c r="KY298" s="569"/>
      <c r="KZ298" s="569"/>
      <c r="LA298" s="569"/>
      <c r="LB298" s="569"/>
      <c r="LC298" s="569"/>
      <c r="LD298" s="569"/>
      <c r="LE298" s="569"/>
      <c r="LF298" s="569"/>
      <c r="LG298" s="569"/>
      <c r="LH298" s="569"/>
      <c r="LI298" s="569"/>
      <c r="LJ298" s="569"/>
      <c r="LK298" s="569"/>
      <c r="LL298" s="569"/>
      <c r="LM298" s="569"/>
      <c r="LN298" s="569"/>
      <c r="LO298" s="569"/>
      <c r="LP298" s="569"/>
      <c r="LQ298" s="569"/>
      <c r="LR298" s="569"/>
      <c r="LS298" s="569"/>
      <c r="LT298" s="569"/>
      <c r="LU298" s="569"/>
      <c r="LV298" s="569"/>
      <c r="LW298" s="569"/>
      <c r="LX298" s="569"/>
      <c r="LY298" s="569"/>
      <c r="LZ298" s="569"/>
      <c r="MA298" s="569"/>
      <c r="MB298" s="569"/>
      <c r="MC298" s="569"/>
      <c r="MD298" s="569"/>
      <c r="ME298" s="569"/>
      <c r="MF298" s="569"/>
      <c r="MG298" s="569"/>
      <c r="MH298" s="569"/>
      <c r="MI298" s="569"/>
      <c r="MJ298" s="569"/>
      <c r="MK298" s="569"/>
      <c r="ML298" s="569"/>
      <c r="MM298" s="569"/>
      <c r="MN298" s="569"/>
      <c r="MO298" s="569"/>
      <c r="MP298" s="569"/>
      <c r="MQ298" s="569"/>
      <c r="MR298" s="569"/>
      <c r="MS298" s="569"/>
      <c r="MT298" s="569"/>
      <c r="MU298" s="569"/>
      <c r="MV298" s="569"/>
      <c r="MW298" s="569"/>
      <c r="MX298" s="569"/>
      <c r="MY298" s="569"/>
      <c r="MZ298" s="569"/>
      <c r="NA298" s="569"/>
      <c r="NB298" s="569"/>
      <c r="NC298" s="569"/>
      <c r="ND298" s="569"/>
      <c r="NE298" s="569"/>
      <c r="NF298" s="569"/>
      <c r="NG298" s="569"/>
      <c r="NH298" s="569"/>
      <c r="NI298" s="569"/>
      <c r="NJ298" s="569"/>
      <c r="NK298" s="569"/>
      <c r="NL298" s="569"/>
      <c r="NM298" s="569"/>
      <c r="NN298" s="569"/>
      <c r="NO298" s="569"/>
      <c r="NP298" s="569"/>
      <c r="NQ298" s="569"/>
      <c r="NR298" s="569"/>
      <c r="NS298" s="569"/>
      <c r="NT298" s="569"/>
      <c r="NU298" s="569"/>
      <c r="NV298" s="569"/>
      <c r="NW298" s="569"/>
      <c r="NX298" s="569"/>
      <c r="NY298" s="569"/>
      <c r="NZ298" s="569"/>
      <c r="OA298" s="569"/>
      <c r="OB298" s="569"/>
      <c r="OC298" s="569"/>
      <c r="OD298" s="569"/>
      <c r="OE298" s="569"/>
      <c r="OF298" s="569"/>
      <c r="OG298" s="569"/>
      <c r="OH298" s="569"/>
      <c r="OI298" s="569"/>
      <c r="OJ298" s="569"/>
      <c r="OK298" s="569"/>
      <c r="OL298" s="569"/>
      <c r="OM298" s="569"/>
      <c r="ON298" s="569"/>
      <c r="OO298" s="569"/>
      <c r="OP298" s="569"/>
      <c r="OQ298" s="569"/>
      <c r="OR298" s="569"/>
      <c r="OS298" s="569"/>
      <c r="OT298" s="569"/>
      <c r="OU298" s="569"/>
      <c r="OV298" s="569"/>
      <c r="OW298" s="569"/>
      <c r="OX298" s="569"/>
      <c r="OY298" s="569"/>
      <c r="OZ298" s="569"/>
      <c r="PA298" s="569"/>
      <c r="PB298" s="569"/>
      <c r="PC298" s="569"/>
      <c r="PD298" s="569"/>
      <c r="PE298" s="569"/>
      <c r="PF298" s="569"/>
      <c r="PG298" s="569"/>
      <c r="PH298" s="569"/>
      <c r="PI298" s="569"/>
      <c r="PJ298" s="569"/>
      <c r="PK298" s="569"/>
      <c r="PL298" s="569"/>
      <c r="PM298" s="569"/>
      <c r="PN298" s="569"/>
      <c r="PO298" s="569"/>
      <c r="PP298" s="569"/>
      <c r="PQ298" s="569"/>
      <c r="PR298" s="569"/>
      <c r="PS298" s="569"/>
      <c r="PT298" s="569"/>
      <c r="PU298" s="569"/>
      <c r="PV298" s="569"/>
      <c r="PW298" s="569"/>
      <c r="PX298" s="569"/>
      <c r="PY298" s="569"/>
      <c r="PZ298" s="569"/>
      <c r="QA298" s="569"/>
      <c r="QB298" s="569"/>
      <c r="QC298" s="569"/>
      <c r="QD298" s="569"/>
      <c r="QE298" s="569"/>
      <c r="QF298" s="569"/>
      <c r="QG298" s="569"/>
      <c r="QH298" s="569"/>
      <c r="QI298" s="569"/>
      <c r="QJ298" s="569"/>
      <c r="QK298" s="569"/>
      <c r="QL298" s="569"/>
    </row>
    <row r="299" spans="1:454" s="574" customFormat="1" ht="30">
      <c r="A299" s="569"/>
      <c r="B299" s="575">
        <v>7</v>
      </c>
      <c r="C299" s="576" t="str">
        <f>'matrik MISI 3'!B47</f>
        <v>PERHUBUNGAN</v>
      </c>
      <c r="D299" s="577" t="str">
        <f>'matrik MISI 3'!J52</f>
        <v>1.07</v>
      </c>
      <c r="E299" s="577" t="str">
        <f>'matrik MISI 3'!K52</f>
        <v>xx</v>
      </c>
      <c r="F299" s="577">
        <f>'matrik MISI 3'!L52</f>
        <v>17</v>
      </c>
      <c r="G299" s="577" t="str">
        <f>'matrik MISI 3'!M52</f>
        <v>Program peningkatan pelayanan angkutan</v>
      </c>
      <c r="H299" s="577"/>
      <c r="I299" s="577"/>
      <c r="J299" s="577"/>
      <c r="K299" s="577"/>
      <c r="L299" s="577"/>
      <c r="M299" s="578">
        <f>'jangan dihapus 2'!K397</f>
        <v>438440000</v>
      </c>
      <c r="N299" s="578"/>
      <c r="O299" s="578">
        <f>'jangan dihapus 2'!M397</f>
        <v>1064379000</v>
      </c>
      <c r="P299" s="578"/>
      <c r="Q299" s="578">
        <f>'jangan dihapus 2'!O397</f>
        <v>2284000001</v>
      </c>
      <c r="R299" s="578"/>
      <c r="S299" s="578">
        <f>'jangan dihapus 2'!Q397</f>
        <v>1012500001</v>
      </c>
      <c r="T299" s="578"/>
      <c r="U299" s="578">
        <f>'jangan dihapus 2'!S397</f>
        <v>976600000</v>
      </c>
      <c r="V299" s="577"/>
      <c r="W299" s="578">
        <f>SUM(M299:U299)</f>
        <v>5775919002</v>
      </c>
      <c r="X299" s="577"/>
      <c r="Y299" s="577"/>
      <c r="Z299" s="577"/>
      <c r="AA299" s="569"/>
      <c r="AB299" s="569"/>
      <c r="AC299" s="569"/>
      <c r="AD299" s="569"/>
      <c r="AE299" s="569"/>
      <c r="AF299" s="569"/>
      <c r="AG299" s="569"/>
      <c r="AH299" s="569"/>
      <c r="AI299" s="569"/>
      <c r="AJ299" s="569"/>
      <c r="AK299" s="569"/>
      <c r="AL299" s="569"/>
      <c r="AM299" s="569"/>
      <c r="AN299" s="569"/>
      <c r="AO299" s="569"/>
      <c r="AP299" s="569"/>
      <c r="AQ299" s="569"/>
      <c r="AR299" s="569"/>
      <c r="AS299" s="569"/>
      <c r="AT299" s="569"/>
      <c r="AU299" s="569"/>
      <c r="AV299" s="569"/>
      <c r="AW299" s="569"/>
      <c r="AX299" s="569"/>
      <c r="AY299" s="569"/>
      <c r="AZ299" s="569"/>
      <c r="BA299" s="569"/>
      <c r="BB299" s="569"/>
      <c r="BC299" s="569"/>
      <c r="BD299" s="569"/>
      <c r="BE299" s="569"/>
      <c r="BF299" s="569"/>
      <c r="BG299" s="569"/>
      <c r="BH299" s="569"/>
      <c r="BI299" s="569"/>
      <c r="BJ299" s="569"/>
      <c r="BK299" s="569"/>
      <c r="BL299" s="569"/>
      <c r="BM299" s="569"/>
      <c r="BN299" s="569"/>
      <c r="BO299" s="569"/>
      <c r="BP299" s="569"/>
      <c r="BQ299" s="569"/>
      <c r="BR299" s="569"/>
      <c r="BS299" s="569"/>
      <c r="BT299" s="569"/>
      <c r="BU299" s="569"/>
      <c r="BV299" s="569"/>
      <c r="BW299" s="569"/>
      <c r="BX299" s="569"/>
      <c r="BY299" s="569"/>
      <c r="BZ299" s="569"/>
      <c r="CA299" s="569"/>
      <c r="CB299" s="569"/>
      <c r="CC299" s="569"/>
      <c r="CD299" s="569"/>
      <c r="CE299" s="569"/>
      <c r="CF299" s="569"/>
      <c r="CG299" s="569"/>
      <c r="CH299" s="569"/>
      <c r="CI299" s="569"/>
      <c r="CJ299" s="569"/>
      <c r="CK299" s="569"/>
      <c r="CL299" s="569"/>
      <c r="CM299" s="569"/>
      <c r="CN299" s="569"/>
      <c r="CO299" s="569"/>
      <c r="CP299" s="569"/>
      <c r="CQ299" s="569"/>
      <c r="CR299" s="569"/>
      <c r="CS299" s="569"/>
      <c r="CT299" s="569"/>
      <c r="CU299" s="569"/>
      <c r="CV299" s="569"/>
      <c r="CW299" s="569"/>
      <c r="CX299" s="569"/>
      <c r="CY299" s="569"/>
      <c r="CZ299" s="569"/>
      <c r="DA299" s="569"/>
      <c r="DB299" s="569"/>
      <c r="DC299" s="569"/>
      <c r="DD299" s="569"/>
      <c r="DE299" s="569"/>
      <c r="DF299" s="569"/>
      <c r="DG299" s="569"/>
      <c r="DH299" s="569"/>
      <c r="DI299" s="569"/>
      <c r="DJ299" s="569"/>
      <c r="DK299" s="569"/>
      <c r="DL299" s="569"/>
      <c r="DM299" s="569"/>
      <c r="DN299" s="569"/>
      <c r="DO299" s="569"/>
      <c r="DP299" s="569"/>
      <c r="DQ299" s="569"/>
      <c r="DR299" s="569"/>
      <c r="DS299" s="569"/>
      <c r="DT299" s="569"/>
      <c r="DU299" s="569"/>
      <c r="DV299" s="569"/>
      <c r="DW299" s="569"/>
      <c r="DX299" s="569"/>
      <c r="DY299" s="569"/>
      <c r="DZ299" s="569"/>
      <c r="EA299" s="569"/>
      <c r="EB299" s="569"/>
      <c r="EC299" s="569"/>
      <c r="ED299" s="569"/>
      <c r="EE299" s="569"/>
      <c r="EF299" s="569"/>
      <c r="EG299" s="569"/>
      <c r="EH299" s="569"/>
      <c r="EI299" s="569"/>
      <c r="EJ299" s="569"/>
      <c r="EK299" s="569"/>
      <c r="EL299" s="569"/>
      <c r="EM299" s="569"/>
      <c r="EN299" s="569"/>
      <c r="EO299" s="569"/>
      <c r="EP299" s="569"/>
      <c r="EQ299" s="569"/>
      <c r="ER299" s="569"/>
      <c r="ES299" s="569"/>
      <c r="ET299" s="569"/>
      <c r="EU299" s="569"/>
      <c r="EV299" s="569"/>
      <c r="EW299" s="569"/>
      <c r="EX299" s="569"/>
      <c r="EY299" s="569"/>
      <c r="EZ299" s="569"/>
      <c r="FA299" s="569"/>
      <c r="FB299" s="569"/>
      <c r="FC299" s="569"/>
      <c r="FD299" s="569"/>
      <c r="FE299" s="569"/>
      <c r="FF299" s="569"/>
      <c r="FG299" s="569"/>
      <c r="FH299" s="569"/>
      <c r="FI299" s="569"/>
      <c r="FJ299" s="569"/>
      <c r="FK299" s="569"/>
      <c r="FL299" s="569"/>
      <c r="FM299" s="569"/>
      <c r="FN299" s="569"/>
      <c r="FO299" s="569"/>
      <c r="FP299" s="569"/>
      <c r="FQ299" s="569"/>
      <c r="FR299" s="569"/>
      <c r="FS299" s="569"/>
      <c r="FT299" s="569"/>
      <c r="FU299" s="569"/>
      <c r="FV299" s="569"/>
      <c r="FW299" s="569"/>
      <c r="FX299" s="569"/>
      <c r="FY299" s="569"/>
      <c r="FZ299" s="569"/>
      <c r="GA299" s="569"/>
      <c r="GB299" s="569"/>
      <c r="GC299" s="569"/>
      <c r="GD299" s="569"/>
      <c r="GE299" s="569"/>
      <c r="GF299" s="569"/>
      <c r="GG299" s="569"/>
      <c r="GH299" s="569"/>
      <c r="GI299" s="569"/>
      <c r="GJ299" s="569"/>
      <c r="GK299" s="569"/>
      <c r="GL299" s="569"/>
      <c r="GM299" s="569"/>
      <c r="GN299" s="569"/>
      <c r="GO299" s="569"/>
      <c r="GP299" s="569"/>
      <c r="GQ299" s="569"/>
      <c r="GR299" s="569"/>
      <c r="GS299" s="569"/>
      <c r="GT299" s="569"/>
      <c r="GU299" s="569"/>
      <c r="GV299" s="569"/>
      <c r="GW299" s="569"/>
      <c r="GX299" s="569"/>
      <c r="GY299" s="569"/>
      <c r="GZ299" s="569"/>
      <c r="HA299" s="569"/>
      <c r="HB299" s="569"/>
      <c r="HC299" s="569"/>
      <c r="HD299" s="569"/>
      <c r="HE299" s="569"/>
      <c r="HF299" s="569"/>
      <c r="HG299" s="569"/>
      <c r="HH299" s="569"/>
      <c r="HI299" s="569"/>
      <c r="HJ299" s="569"/>
      <c r="HK299" s="569"/>
      <c r="HL299" s="569"/>
      <c r="HM299" s="569"/>
      <c r="HN299" s="569"/>
      <c r="HO299" s="569"/>
      <c r="HP299" s="569"/>
      <c r="HQ299" s="569"/>
      <c r="HR299" s="569"/>
      <c r="HS299" s="569"/>
      <c r="HT299" s="569"/>
      <c r="HU299" s="569"/>
      <c r="HV299" s="569"/>
      <c r="HW299" s="569"/>
      <c r="HX299" s="569"/>
      <c r="HY299" s="569"/>
      <c r="HZ299" s="569"/>
      <c r="IA299" s="569"/>
      <c r="IB299" s="569"/>
      <c r="IC299" s="569"/>
      <c r="ID299" s="569"/>
      <c r="IE299" s="569"/>
      <c r="IF299" s="569"/>
      <c r="IG299" s="569"/>
      <c r="IH299" s="569"/>
      <c r="II299" s="569"/>
      <c r="IJ299" s="569"/>
      <c r="IK299" s="569"/>
      <c r="IL299" s="569"/>
      <c r="IM299" s="569"/>
      <c r="IN299" s="569"/>
      <c r="IO299" s="569"/>
      <c r="IP299" s="569"/>
      <c r="IQ299" s="569"/>
      <c r="IR299" s="569"/>
      <c r="IS299" s="569"/>
      <c r="IT299" s="569"/>
      <c r="IU299" s="569"/>
      <c r="IV299" s="569"/>
      <c r="IW299" s="569"/>
      <c r="IX299" s="569"/>
      <c r="IY299" s="569"/>
      <c r="IZ299" s="569"/>
      <c r="JA299" s="569"/>
      <c r="JB299" s="569"/>
      <c r="JC299" s="569"/>
      <c r="JD299" s="569"/>
      <c r="JE299" s="569"/>
      <c r="JF299" s="569"/>
      <c r="JG299" s="569"/>
      <c r="JH299" s="569"/>
      <c r="JI299" s="569"/>
      <c r="JJ299" s="569"/>
      <c r="JK299" s="569"/>
      <c r="JL299" s="569"/>
      <c r="JM299" s="569"/>
      <c r="JN299" s="569"/>
      <c r="JO299" s="569"/>
      <c r="JP299" s="569"/>
      <c r="JQ299" s="569"/>
      <c r="JR299" s="569"/>
      <c r="JS299" s="569"/>
      <c r="JT299" s="569"/>
      <c r="JU299" s="569"/>
      <c r="JV299" s="569"/>
      <c r="JW299" s="569"/>
      <c r="JX299" s="569"/>
      <c r="JY299" s="569"/>
      <c r="JZ299" s="569"/>
      <c r="KA299" s="569"/>
      <c r="KB299" s="569"/>
      <c r="KC299" s="569"/>
      <c r="KD299" s="569"/>
      <c r="KE299" s="569"/>
      <c r="KF299" s="569"/>
      <c r="KG299" s="569"/>
      <c r="KH299" s="569"/>
      <c r="KI299" s="569"/>
      <c r="KJ299" s="569"/>
      <c r="KK299" s="569"/>
      <c r="KL299" s="569"/>
      <c r="KM299" s="569"/>
      <c r="KN299" s="569"/>
      <c r="KO299" s="569"/>
      <c r="KP299" s="569"/>
      <c r="KQ299" s="569"/>
      <c r="KR299" s="569"/>
      <c r="KS299" s="569"/>
      <c r="KT299" s="569"/>
      <c r="KU299" s="569"/>
      <c r="KV299" s="569"/>
      <c r="KW299" s="569"/>
      <c r="KX299" s="569"/>
      <c r="KY299" s="569"/>
      <c r="KZ299" s="569"/>
      <c r="LA299" s="569"/>
      <c r="LB299" s="569"/>
      <c r="LC299" s="569"/>
      <c r="LD299" s="569"/>
      <c r="LE299" s="569"/>
      <c r="LF299" s="569"/>
      <c r="LG299" s="569"/>
      <c r="LH299" s="569"/>
      <c r="LI299" s="569"/>
      <c r="LJ299" s="569"/>
      <c r="LK299" s="569"/>
      <c r="LL299" s="569"/>
      <c r="LM299" s="569"/>
      <c r="LN299" s="569"/>
      <c r="LO299" s="569"/>
      <c r="LP299" s="569"/>
      <c r="LQ299" s="569"/>
      <c r="LR299" s="569"/>
      <c r="LS299" s="569"/>
      <c r="LT299" s="569"/>
      <c r="LU299" s="569"/>
      <c r="LV299" s="569"/>
      <c r="LW299" s="569"/>
      <c r="LX299" s="569"/>
      <c r="LY299" s="569"/>
      <c r="LZ299" s="569"/>
      <c r="MA299" s="569"/>
      <c r="MB299" s="569"/>
      <c r="MC299" s="569"/>
      <c r="MD299" s="569"/>
      <c r="ME299" s="569"/>
      <c r="MF299" s="569"/>
      <c r="MG299" s="569"/>
      <c r="MH299" s="569"/>
      <c r="MI299" s="569"/>
      <c r="MJ299" s="569"/>
      <c r="MK299" s="569"/>
      <c r="ML299" s="569"/>
      <c r="MM299" s="569"/>
      <c r="MN299" s="569"/>
      <c r="MO299" s="569"/>
      <c r="MP299" s="569"/>
      <c r="MQ299" s="569"/>
      <c r="MR299" s="569"/>
      <c r="MS299" s="569"/>
      <c r="MT299" s="569"/>
      <c r="MU299" s="569"/>
      <c r="MV299" s="569"/>
      <c r="MW299" s="569"/>
      <c r="MX299" s="569"/>
      <c r="MY299" s="569"/>
      <c r="MZ299" s="569"/>
      <c r="NA299" s="569"/>
      <c r="NB299" s="569"/>
      <c r="NC299" s="569"/>
      <c r="ND299" s="569"/>
      <c r="NE299" s="569"/>
      <c r="NF299" s="569"/>
      <c r="NG299" s="569"/>
      <c r="NH299" s="569"/>
      <c r="NI299" s="569"/>
      <c r="NJ299" s="569"/>
      <c r="NK299" s="569"/>
      <c r="NL299" s="569"/>
      <c r="NM299" s="569"/>
      <c r="NN299" s="569"/>
      <c r="NO299" s="569"/>
      <c r="NP299" s="569"/>
      <c r="NQ299" s="569"/>
      <c r="NR299" s="569"/>
      <c r="NS299" s="569"/>
      <c r="NT299" s="569"/>
      <c r="NU299" s="569"/>
      <c r="NV299" s="569"/>
      <c r="NW299" s="569"/>
      <c r="NX299" s="569"/>
      <c r="NY299" s="569"/>
      <c r="NZ299" s="569"/>
      <c r="OA299" s="569"/>
      <c r="OB299" s="569"/>
      <c r="OC299" s="569"/>
      <c r="OD299" s="569"/>
      <c r="OE299" s="569"/>
      <c r="OF299" s="569"/>
      <c r="OG299" s="569"/>
      <c r="OH299" s="569"/>
      <c r="OI299" s="569"/>
      <c r="OJ299" s="569"/>
      <c r="OK299" s="569"/>
      <c r="OL299" s="569"/>
      <c r="OM299" s="569"/>
      <c r="ON299" s="569"/>
      <c r="OO299" s="569"/>
      <c r="OP299" s="569"/>
      <c r="OQ299" s="569"/>
      <c r="OR299" s="569"/>
      <c r="OS299" s="569"/>
      <c r="OT299" s="569"/>
      <c r="OU299" s="569"/>
      <c r="OV299" s="569"/>
      <c r="OW299" s="569"/>
      <c r="OX299" s="569"/>
      <c r="OY299" s="569"/>
      <c r="OZ299" s="569"/>
      <c r="PA299" s="569"/>
      <c r="PB299" s="569"/>
      <c r="PC299" s="569"/>
      <c r="PD299" s="569"/>
      <c r="PE299" s="569"/>
      <c r="PF299" s="569"/>
      <c r="PG299" s="569"/>
      <c r="PH299" s="569"/>
      <c r="PI299" s="569"/>
      <c r="PJ299" s="569"/>
      <c r="PK299" s="569"/>
      <c r="PL299" s="569"/>
      <c r="PM299" s="569"/>
      <c r="PN299" s="569"/>
      <c r="PO299" s="569"/>
      <c r="PP299" s="569"/>
      <c r="PQ299" s="569"/>
      <c r="PR299" s="569"/>
      <c r="PS299" s="569"/>
      <c r="PT299" s="569"/>
      <c r="PU299" s="569"/>
      <c r="PV299" s="569"/>
      <c r="PW299" s="569"/>
      <c r="PX299" s="569"/>
      <c r="PY299" s="569"/>
      <c r="PZ299" s="569"/>
      <c r="QA299" s="569"/>
      <c r="QB299" s="569"/>
      <c r="QC299" s="569"/>
      <c r="QD299" s="569"/>
      <c r="QE299" s="569"/>
      <c r="QF299" s="569"/>
      <c r="QG299" s="569"/>
      <c r="QH299" s="569"/>
      <c r="QI299" s="569"/>
      <c r="QJ299" s="569"/>
      <c r="QK299" s="569"/>
      <c r="QL299" s="569"/>
    </row>
    <row r="300" spans="1:454" ht="30">
      <c r="B300" s="568"/>
      <c r="C300" s="568"/>
      <c r="D300" s="568"/>
      <c r="E300" s="568"/>
      <c r="F300" s="568"/>
      <c r="G300" s="568"/>
      <c r="H300" s="565" t="str">
        <f>'matrik MISI 3'!N47</f>
        <v>Persentase Kendaraan yang Diuji</v>
      </c>
      <c r="I300" s="565" t="str">
        <f>'matrik MISI 3'!O47</f>
        <v>%</v>
      </c>
      <c r="J300" s="565">
        <f>'matrik MISI 3'!P47</f>
        <v>81.400000000000006</v>
      </c>
      <c r="K300" s="565">
        <f>'matrik MISI 3'!Q47</f>
        <v>90.2</v>
      </c>
      <c r="L300" s="565">
        <f>'matrik MISI 3'!R47</f>
        <v>91.4</v>
      </c>
      <c r="M300" s="604"/>
      <c r="N300" s="565">
        <f>'matrik MISI 3'!S47</f>
        <v>92.3</v>
      </c>
      <c r="O300" s="564"/>
      <c r="P300" s="565">
        <f>'matrik MISI 3'!T47</f>
        <v>93.7</v>
      </c>
      <c r="Q300" s="564"/>
      <c r="R300" s="565">
        <f>'matrik MISI 3'!U47</f>
        <v>94.3</v>
      </c>
      <c r="S300" s="564"/>
      <c r="T300" s="565">
        <f>'matrik MISI 3'!V47</f>
        <v>95</v>
      </c>
      <c r="U300" s="564"/>
      <c r="V300" s="565">
        <f>'matrik MISI 3'!W47</f>
        <v>95</v>
      </c>
      <c r="W300" s="564"/>
      <c r="X300" s="565" t="str">
        <f>'matrik MISI 3'!X47</f>
        <v>DISHUBKOMINFO</v>
      </c>
      <c r="Y300" s="565" t="str">
        <f>'matrik MISI 3'!Y47</f>
        <v>jumlah frequensi pengujian dibagi (jumlah kendaraan yang di uji x 2 )x 100</v>
      </c>
      <c r="Z300" s="565" t="str">
        <f>'matrik MISI 3'!Z47</f>
        <v>Seharusnya setiap unit kendaraan angkutan umum diuji setiap 6 bulan sekali.</v>
      </c>
    </row>
    <row r="301" spans="1:454" ht="45">
      <c r="C301" s="561"/>
      <c r="D301" s="568"/>
      <c r="E301" s="568"/>
      <c r="F301" s="568"/>
      <c r="G301" s="568"/>
      <c r="H301" s="565" t="str">
        <f>'matrik MISI 3'!N52</f>
        <v>Persentase Angkutan Umum yang Melayani Wilayah yang Tersedia Jaringan Jalan</v>
      </c>
      <c r="I301" s="565" t="str">
        <f>'matrik MISI 3'!O52</f>
        <v>%</v>
      </c>
      <c r="J301" s="565">
        <f>'matrik MISI 3'!P52</f>
        <v>70</v>
      </c>
      <c r="K301" s="565">
        <f>'matrik MISI 3'!Q52</f>
        <v>70</v>
      </c>
      <c r="L301" s="565">
        <f>'matrik MISI 3'!R52</f>
        <v>80</v>
      </c>
      <c r="M301" s="604"/>
      <c r="N301" s="565">
        <f>'matrik MISI 3'!S52</f>
        <v>80</v>
      </c>
      <c r="O301" s="564"/>
      <c r="P301" s="565">
        <f>'matrik MISI 3'!T52</f>
        <v>80</v>
      </c>
      <c r="Q301" s="564"/>
      <c r="R301" s="565">
        <f>'matrik MISI 3'!U52</f>
        <v>80</v>
      </c>
      <c r="S301" s="564"/>
      <c r="T301" s="565">
        <f>'matrik MISI 3'!V52</f>
        <v>90</v>
      </c>
      <c r="U301" s="564"/>
      <c r="V301" s="565">
        <f>'matrik MISI 3'!W52</f>
        <v>90</v>
      </c>
      <c r="W301" s="564"/>
      <c r="X301" s="565" t="str">
        <f>'matrik MISI 3'!X52</f>
        <v>DISHUBKOMINFO</v>
      </c>
      <c r="Y301" s="565" t="str">
        <f>'matrik MISI 3'!Y52</f>
        <v>jumlah trayek angkutan umum dibagi jumlah jaringan jalan kabupaten yang tersedia x 100</v>
      </c>
      <c r="Z301" s="565">
        <f>'matrik MISI 3'!Z52</f>
        <v>0</v>
      </c>
    </row>
    <row r="302" spans="1:454" ht="30">
      <c r="C302" s="561"/>
      <c r="D302" s="565"/>
      <c r="E302" s="565"/>
      <c r="F302" s="565"/>
      <c r="G302" s="565"/>
      <c r="H302" s="565" t="str">
        <f>'matrik MISI 3'!N53</f>
        <v xml:space="preserve">Persentase Tersedianya Fasilitas Kelengkapan Jalan </v>
      </c>
      <c r="I302" s="565" t="str">
        <f>'matrik MISI 3'!O53</f>
        <v>%</v>
      </c>
      <c r="J302" s="565">
        <f>'matrik MISI 3'!P53</f>
        <v>50</v>
      </c>
      <c r="K302" s="565">
        <f>'matrik MISI 3'!Q53</f>
        <v>60</v>
      </c>
      <c r="L302" s="565">
        <f>'matrik MISI 3'!R53</f>
        <v>61</v>
      </c>
      <c r="M302" s="604"/>
      <c r="N302" s="565">
        <f>'matrik MISI 3'!S53</f>
        <v>63</v>
      </c>
      <c r="O302" s="564"/>
      <c r="P302" s="565">
        <f>'matrik MISI 3'!T53</f>
        <v>65</v>
      </c>
      <c r="Q302" s="564"/>
      <c r="R302" s="565">
        <f>'matrik MISI 3'!U53</f>
        <v>67</v>
      </c>
      <c r="S302" s="564"/>
      <c r="T302" s="565">
        <f>'matrik MISI 3'!V53</f>
        <v>69</v>
      </c>
      <c r="U302" s="564"/>
      <c r="V302" s="565">
        <f>'matrik MISI 3'!W53</f>
        <v>69</v>
      </c>
      <c r="W302" s="564"/>
      <c r="X302" s="565" t="str">
        <f>'matrik MISI 3'!X53</f>
        <v>DISHUBKOMINFO</v>
      </c>
      <c r="Y302" s="565" t="str">
        <f>'matrik MISI 3'!Y53</f>
        <v>jumlah fasilitas kelengkapan jalan yang ada/ jumlah fasilitas kelengkapan jalan yang seharusnya ada</v>
      </c>
      <c r="Z302" s="565">
        <f>'matrik MISI 3'!Z53</f>
        <v>0</v>
      </c>
    </row>
    <row r="303" spans="1:454" ht="45">
      <c r="C303" s="561"/>
      <c r="D303" s="565"/>
      <c r="E303" s="565"/>
      <c r="F303" s="565"/>
      <c r="G303" s="565"/>
      <c r="H303" s="565" t="str">
        <f>'matrik MISI 3'!N54</f>
        <v>Cakupan  perusahan  Angkutan Umum yang Mempunyai Izin Usaha dan Trayek</v>
      </c>
      <c r="I303" s="565" t="str">
        <f>'matrik MISI 3'!O54</f>
        <v>%</v>
      </c>
      <c r="J303" s="565">
        <f>'matrik MISI 3'!P54</f>
        <v>100</v>
      </c>
      <c r="K303" s="565">
        <f>'matrik MISI 3'!Q54</f>
        <v>100</v>
      </c>
      <c r="L303" s="565">
        <f>'matrik MISI 3'!R54</f>
        <v>100</v>
      </c>
      <c r="M303" s="604"/>
      <c r="N303" s="565">
        <f>'matrik MISI 3'!S54</f>
        <v>100</v>
      </c>
      <c r="O303" s="564"/>
      <c r="P303" s="565">
        <f>'matrik MISI 3'!T54</f>
        <v>100</v>
      </c>
      <c r="Q303" s="564"/>
      <c r="R303" s="565">
        <f>'matrik MISI 3'!U54</f>
        <v>100</v>
      </c>
      <c r="S303" s="564"/>
      <c r="T303" s="565">
        <f>'matrik MISI 3'!V54</f>
        <v>100</v>
      </c>
      <c r="U303" s="564"/>
      <c r="V303" s="565">
        <f>'matrik MISI 3'!W54</f>
        <v>100</v>
      </c>
      <c r="W303" s="564"/>
      <c r="X303" s="565" t="str">
        <f>'matrik MISI 3'!X54</f>
        <v>DISHUBKOMINFO</v>
      </c>
      <c r="Y303" s="565" t="str">
        <f>'matrik MISI 3'!Y54</f>
        <v>jumlah perusahan angkutan umum yang memiliki  ijin usaha dan trayek di bagi jumlah perusahan angkutan umum  yang ada</v>
      </c>
      <c r="Z303" s="565">
        <f>'matrik MISI 3'!Z54</f>
        <v>0</v>
      </c>
    </row>
    <row r="304" spans="1:454" s="574" customFormat="1" ht="60">
      <c r="A304" s="569"/>
      <c r="B304" s="575"/>
      <c r="C304" s="576"/>
      <c r="D304" s="577" t="str">
        <f>'matrik MISI 3'!J48</f>
        <v>1.07</v>
      </c>
      <c r="E304" s="577" t="str">
        <f>'matrik MISI 3'!K48</f>
        <v>xx</v>
      </c>
      <c r="F304" s="577">
        <f>'matrik MISI 3'!L48</f>
        <v>16</v>
      </c>
      <c r="G304" s="577" t="str">
        <f>'matrik MISI 3'!M48</f>
        <v>Program Rehabilitasi dan Pemeliharaan Prasarana dan Fasilitas LLAJ</v>
      </c>
      <c r="H304" s="577"/>
      <c r="I304" s="577"/>
      <c r="J304" s="577"/>
      <c r="K304" s="577"/>
      <c r="L304" s="577"/>
      <c r="M304" s="578">
        <f>'jangan dihapus 2'!K373</f>
        <v>219820000</v>
      </c>
      <c r="N304" s="578"/>
      <c r="O304" s="578">
        <f>'jangan dihapus 2'!M373</f>
        <v>707981000</v>
      </c>
      <c r="P304" s="578"/>
      <c r="Q304" s="578">
        <f>'jangan dihapus 2'!O373</f>
        <v>8315000000</v>
      </c>
      <c r="R304" s="578"/>
      <c r="S304" s="578">
        <f>'jangan dihapus 2'!Q373</f>
        <v>1405000000</v>
      </c>
      <c r="T304" s="578"/>
      <c r="U304" s="578">
        <f>'jangan dihapus 2'!S373</f>
        <v>1205000000</v>
      </c>
      <c r="V304" s="577"/>
      <c r="W304" s="578">
        <f>SUM(M304:U304)</f>
        <v>11852801000</v>
      </c>
      <c r="X304" s="577"/>
      <c r="Y304" s="577"/>
      <c r="Z304" s="577"/>
      <c r="AA304" s="569"/>
      <c r="AB304" s="569"/>
      <c r="AC304" s="569"/>
      <c r="AD304" s="569"/>
      <c r="AE304" s="569"/>
      <c r="AF304" s="569"/>
      <c r="AG304" s="569"/>
      <c r="AH304" s="569"/>
      <c r="AI304" s="569"/>
      <c r="AJ304" s="569"/>
      <c r="AK304" s="569"/>
      <c r="AL304" s="569"/>
      <c r="AM304" s="569"/>
      <c r="AN304" s="569"/>
      <c r="AO304" s="569"/>
      <c r="AP304" s="569"/>
      <c r="AQ304" s="569"/>
      <c r="AR304" s="569"/>
      <c r="AS304" s="569"/>
      <c r="AT304" s="569"/>
      <c r="AU304" s="569"/>
      <c r="AV304" s="569"/>
      <c r="AW304" s="569"/>
      <c r="AX304" s="569"/>
      <c r="AY304" s="569"/>
      <c r="AZ304" s="569"/>
      <c r="BA304" s="569"/>
      <c r="BB304" s="569"/>
      <c r="BC304" s="569"/>
      <c r="BD304" s="569"/>
      <c r="BE304" s="569"/>
      <c r="BF304" s="569"/>
      <c r="BG304" s="569"/>
      <c r="BH304" s="569"/>
      <c r="BI304" s="569"/>
      <c r="BJ304" s="569"/>
      <c r="BK304" s="569"/>
      <c r="BL304" s="569"/>
      <c r="BM304" s="569"/>
      <c r="BN304" s="569"/>
      <c r="BO304" s="569"/>
      <c r="BP304" s="569"/>
      <c r="BQ304" s="569"/>
      <c r="BR304" s="569"/>
      <c r="BS304" s="569"/>
      <c r="BT304" s="569"/>
      <c r="BU304" s="569"/>
      <c r="BV304" s="569"/>
      <c r="BW304" s="569"/>
      <c r="BX304" s="569"/>
      <c r="BY304" s="569"/>
      <c r="BZ304" s="569"/>
      <c r="CA304" s="569"/>
      <c r="CB304" s="569"/>
      <c r="CC304" s="569"/>
      <c r="CD304" s="569"/>
      <c r="CE304" s="569"/>
      <c r="CF304" s="569"/>
      <c r="CG304" s="569"/>
      <c r="CH304" s="569"/>
      <c r="CI304" s="569"/>
      <c r="CJ304" s="569"/>
      <c r="CK304" s="569"/>
      <c r="CL304" s="569"/>
      <c r="CM304" s="569"/>
      <c r="CN304" s="569"/>
      <c r="CO304" s="569"/>
      <c r="CP304" s="569"/>
      <c r="CQ304" s="569"/>
      <c r="CR304" s="569"/>
      <c r="CS304" s="569"/>
      <c r="CT304" s="569"/>
      <c r="CU304" s="569"/>
      <c r="CV304" s="569"/>
      <c r="CW304" s="569"/>
      <c r="CX304" s="569"/>
      <c r="CY304" s="569"/>
      <c r="CZ304" s="569"/>
      <c r="DA304" s="569"/>
      <c r="DB304" s="569"/>
      <c r="DC304" s="569"/>
      <c r="DD304" s="569"/>
      <c r="DE304" s="569"/>
      <c r="DF304" s="569"/>
      <c r="DG304" s="569"/>
      <c r="DH304" s="569"/>
      <c r="DI304" s="569"/>
      <c r="DJ304" s="569"/>
      <c r="DK304" s="569"/>
      <c r="DL304" s="569"/>
      <c r="DM304" s="569"/>
      <c r="DN304" s="569"/>
      <c r="DO304" s="569"/>
      <c r="DP304" s="569"/>
      <c r="DQ304" s="569"/>
      <c r="DR304" s="569"/>
      <c r="DS304" s="569"/>
      <c r="DT304" s="569"/>
      <c r="DU304" s="569"/>
      <c r="DV304" s="569"/>
      <c r="DW304" s="569"/>
      <c r="DX304" s="569"/>
      <c r="DY304" s="569"/>
      <c r="DZ304" s="569"/>
      <c r="EA304" s="569"/>
      <c r="EB304" s="569"/>
      <c r="EC304" s="569"/>
      <c r="ED304" s="569"/>
      <c r="EE304" s="569"/>
      <c r="EF304" s="569"/>
      <c r="EG304" s="569"/>
      <c r="EH304" s="569"/>
      <c r="EI304" s="569"/>
      <c r="EJ304" s="569"/>
      <c r="EK304" s="569"/>
      <c r="EL304" s="569"/>
      <c r="EM304" s="569"/>
      <c r="EN304" s="569"/>
      <c r="EO304" s="569"/>
      <c r="EP304" s="569"/>
      <c r="EQ304" s="569"/>
      <c r="ER304" s="569"/>
      <c r="ES304" s="569"/>
      <c r="ET304" s="569"/>
      <c r="EU304" s="569"/>
      <c r="EV304" s="569"/>
      <c r="EW304" s="569"/>
      <c r="EX304" s="569"/>
      <c r="EY304" s="569"/>
      <c r="EZ304" s="569"/>
      <c r="FA304" s="569"/>
      <c r="FB304" s="569"/>
      <c r="FC304" s="569"/>
      <c r="FD304" s="569"/>
      <c r="FE304" s="569"/>
      <c r="FF304" s="569"/>
      <c r="FG304" s="569"/>
      <c r="FH304" s="569"/>
      <c r="FI304" s="569"/>
      <c r="FJ304" s="569"/>
      <c r="FK304" s="569"/>
      <c r="FL304" s="569"/>
      <c r="FM304" s="569"/>
      <c r="FN304" s="569"/>
      <c r="FO304" s="569"/>
      <c r="FP304" s="569"/>
      <c r="FQ304" s="569"/>
      <c r="FR304" s="569"/>
      <c r="FS304" s="569"/>
      <c r="FT304" s="569"/>
      <c r="FU304" s="569"/>
      <c r="FV304" s="569"/>
      <c r="FW304" s="569"/>
      <c r="FX304" s="569"/>
      <c r="FY304" s="569"/>
      <c r="FZ304" s="569"/>
      <c r="GA304" s="569"/>
      <c r="GB304" s="569"/>
      <c r="GC304" s="569"/>
      <c r="GD304" s="569"/>
      <c r="GE304" s="569"/>
      <c r="GF304" s="569"/>
      <c r="GG304" s="569"/>
      <c r="GH304" s="569"/>
      <c r="GI304" s="569"/>
      <c r="GJ304" s="569"/>
      <c r="GK304" s="569"/>
      <c r="GL304" s="569"/>
      <c r="GM304" s="569"/>
      <c r="GN304" s="569"/>
      <c r="GO304" s="569"/>
      <c r="GP304" s="569"/>
      <c r="GQ304" s="569"/>
      <c r="GR304" s="569"/>
      <c r="GS304" s="569"/>
      <c r="GT304" s="569"/>
      <c r="GU304" s="569"/>
      <c r="GV304" s="569"/>
      <c r="GW304" s="569"/>
      <c r="GX304" s="569"/>
      <c r="GY304" s="569"/>
      <c r="GZ304" s="569"/>
      <c r="HA304" s="569"/>
      <c r="HB304" s="569"/>
      <c r="HC304" s="569"/>
      <c r="HD304" s="569"/>
      <c r="HE304" s="569"/>
      <c r="HF304" s="569"/>
      <c r="HG304" s="569"/>
      <c r="HH304" s="569"/>
      <c r="HI304" s="569"/>
      <c r="HJ304" s="569"/>
      <c r="HK304" s="569"/>
      <c r="HL304" s="569"/>
      <c r="HM304" s="569"/>
      <c r="HN304" s="569"/>
      <c r="HO304" s="569"/>
      <c r="HP304" s="569"/>
      <c r="HQ304" s="569"/>
      <c r="HR304" s="569"/>
      <c r="HS304" s="569"/>
      <c r="HT304" s="569"/>
      <c r="HU304" s="569"/>
      <c r="HV304" s="569"/>
      <c r="HW304" s="569"/>
      <c r="HX304" s="569"/>
      <c r="HY304" s="569"/>
      <c r="HZ304" s="569"/>
      <c r="IA304" s="569"/>
      <c r="IB304" s="569"/>
      <c r="IC304" s="569"/>
      <c r="ID304" s="569"/>
      <c r="IE304" s="569"/>
      <c r="IF304" s="569"/>
      <c r="IG304" s="569"/>
      <c r="IH304" s="569"/>
      <c r="II304" s="569"/>
      <c r="IJ304" s="569"/>
      <c r="IK304" s="569"/>
      <c r="IL304" s="569"/>
      <c r="IM304" s="569"/>
      <c r="IN304" s="569"/>
      <c r="IO304" s="569"/>
      <c r="IP304" s="569"/>
      <c r="IQ304" s="569"/>
      <c r="IR304" s="569"/>
      <c r="IS304" s="569"/>
      <c r="IT304" s="569"/>
      <c r="IU304" s="569"/>
      <c r="IV304" s="569"/>
      <c r="IW304" s="569"/>
      <c r="IX304" s="569"/>
      <c r="IY304" s="569"/>
      <c r="IZ304" s="569"/>
      <c r="JA304" s="569"/>
      <c r="JB304" s="569"/>
      <c r="JC304" s="569"/>
      <c r="JD304" s="569"/>
      <c r="JE304" s="569"/>
      <c r="JF304" s="569"/>
      <c r="JG304" s="569"/>
      <c r="JH304" s="569"/>
      <c r="JI304" s="569"/>
      <c r="JJ304" s="569"/>
      <c r="JK304" s="569"/>
      <c r="JL304" s="569"/>
      <c r="JM304" s="569"/>
      <c r="JN304" s="569"/>
      <c r="JO304" s="569"/>
      <c r="JP304" s="569"/>
      <c r="JQ304" s="569"/>
      <c r="JR304" s="569"/>
      <c r="JS304" s="569"/>
      <c r="JT304" s="569"/>
      <c r="JU304" s="569"/>
      <c r="JV304" s="569"/>
      <c r="JW304" s="569"/>
      <c r="JX304" s="569"/>
      <c r="JY304" s="569"/>
      <c r="JZ304" s="569"/>
      <c r="KA304" s="569"/>
      <c r="KB304" s="569"/>
      <c r="KC304" s="569"/>
      <c r="KD304" s="569"/>
      <c r="KE304" s="569"/>
      <c r="KF304" s="569"/>
      <c r="KG304" s="569"/>
      <c r="KH304" s="569"/>
      <c r="KI304" s="569"/>
      <c r="KJ304" s="569"/>
      <c r="KK304" s="569"/>
      <c r="KL304" s="569"/>
      <c r="KM304" s="569"/>
      <c r="KN304" s="569"/>
      <c r="KO304" s="569"/>
      <c r="KP304" s="569"/>
      <c r="KQ304" s="569"/>
      <c r="KR304" s="569"/>
      <c r="KS304" s="569"/>
      <c r="KT304" s="569"/>
      <c r="KU304" s="569"/>
      <c r="KV304" s="569"/>
      <c r="KW304" s="569"/>
      <c r="KX304" s="569"/>
      <c r="KY304" s="569"/>
      <c r="KZ304" s="569"/>
      <c r="LA304" s="569"/>
      <c r="LB304" s="569"/>
      <c r="LC304" s="569"/>
      <c r="LD304" s="569"/>
      <c r="LE304" s="569"/>
      <c r="LF304" s="569"/>
      <c r="LG304" s="569"/>
      <c r="LH304" s="569"/>
      <c r="LI304" s="569"/>
      <c r="LJ304" s="569"/>
      <c r="LK304" s="569"/>
      <c r="LL304" s="569"/>
      <c r="LM304" s="569"/>
      <c r="LN304" s="569"/>
      <c r="LO304" s="569"/>
      <c r="LP304" s="569"/>
      <c r="LQ304" s="569"/>
      <c r="LR304" s="569"/>
      <c r="LS304" s="569"/>
      <c r="LT304" s="569"/>
      <c r="LU304" s="569"/>
      <c r="LV304" s="569"/>
      <c r="LW304" s="569"/>
      <c r="LX304" s="569"/>
      <c r="LY304" s="569"/>
      <c r="LZ304" s="569"/>
      <c r="MA304" s="569"/>
      <c r="MB304" s="569"/>
      <c r="MC304" s="569"/>
      <c r="MD304" s="569"/>
      <c r="ME304" s="569"/>
      <c r="MF304" s="569"/>
      <c r="MG304" s="569"/>
      <c r="MH304" s="569"/>
      <c r="MI304" s="569"/>
      <c r="MJ304" s="569"/>
      <c r="MK304" s="569"/>
      <c r="ML304" s="569"/>
      <c r="MM304" s="569"/>
      <c r="MN304" s="569"/>
      <c r="MO304" s="569"/>
      <c r="MP304" s="569"/>
      <c r="MQ304" s="569"/>
      <c r="MR304" s="569"/>
      <c r="MS304" s="569"/>
      <c r="MT304" s="569"/>
      <c r="MU304" s="569"/>
      <c r="MV304" s="569"/>
      <c r="MW304" s="569"/>
      <c r="MX304" s="569"/>
      <c r="MY304" s="569"/>
      <c r="MZ304" s="569"/>
      <c r="NA304" s="569"/>
      <c r="NB304" s="569"/>
      <c r="NC304" s="569"/>
      <c r="ND304" s="569"/>
      <c r="NE304" s="569"/>
      <c r="NF304" s="569"/>
      <c r="NG304" s="569"/>
      <c r="NH304" s="569"/>
      <c r="NI304" s="569"/>
      <c r="NJ304" s="569"/>
      <c r="NK304" s="569"/>
      <c r="NL304" s="569"/>
      <c r="NM304" s="569"/>
      <c r="NN304" s="569"/>
      <c r="NO304" s="569"/>
      <c r="NP304" s="569"/>
      <c r="NQ304" s="569"/>
      <c r="NR304" s="569"/>
      <c r="NS304" s="569"/>
      <c r="NT304" s="569"/>
      <c r="NU304" s="569"/>
      <c r="NV304" s="569"/>
      <c r="NW304" s="569"/>
      <c r="NX304" s="569"/>
      <c r="NY304" s="569"/>
      <c r="NZ304" s="569"/>
      <c r="OA304" s="569"/>
      <c r="OB304" s="569"/>
      <c r="OC304" s="569"/>
      <c r="OD304" s="569"/>
      <c r="OE304" s="569"/>
      <c r="OF304" s="569"/>
      <c r="OG304" s="569"/>
      <c r="OH304" s="569"/>
      <c r="OI304" s="569"/>
      <c r="OJ304" s="569"/>
      <c r="OK304" s="569"/>
      <c r="OL304" s="569"/>
      <c r="OM304" s="569"/>
      <c r="ON304" s="569"/>
      <c r="OO304" s="569"/>
      <c r="OP304" s="569"/>
      <c r="OQ304" s="569"/>
      <c r="OR304" s="569"/>
      <c r="OS304" s="569"/>
      <c r="OT304" s="569"/>
      <c r="OU304" s="569"/>
      <c r="OV304" s="569"/>
      <c r="OW304" s="569"/>
      <c r="OX304" s="569"/>
      <c r="OY304" s="569"/>
      <c r="OZ304" s="569"/>
      <c r="PA304" s="569"/>
      <c r="PB304" s="569"/>
      <c r="PC304" s="569"/>
      <c r="PD304" s="569"/>
      <c r="PE304" s="569"/>
      <c r="PF304" s="569"/>
      <c r="PG304" s="569"/>
      <c r="PH304" s="569"/>
      <c r="PI304" s="569"/>
      <c r="PJ304" s="569"/>
      <c r="PK304" s="569"/>
      <c r="PL304" s="569"/>
      <c r="PM304" s="569"/>
      <c r="PN304" s="569"/>
      <c r="PO304" s="569"/>
      <c r="PP304" s="569"/>
      <c r="PQ304" s="569"/>
      <c r="PR304" s="569"/>
      <c r="PS304" s="569"/>
      <c r="PT304" s="569"/>
      <c r="PU304" s="569"/>
      <c r="PV304" s="569"/>
      <c r="PW304" s="569"/>
      <c r="PX304" s="569"/>
      <c r="PY304" s="569"/>
      <c r="PZ304" s="569"/>
      <c r="QA304" s="569"/>
      <c r="QB304" s="569"/>
      <c r="QC304" s="569"/>
      <c r="QD304" s="569"/>
      <c r="QE304" s="569"/>
      <c r="QF304" s="569"/>
      <c r="QG304" s="569"/>
      <c r="QH304" s="569"/>
      <c r="QI304" s="569"/>
      <c r="QJ304" s="569"/>
      <c r="QK304" s="569"/>
      <c r="QL304" s="569"/>
    </row>
    <row r="305" spans="1:454" ht="30">
      <c r="C305" s="561"/>
      <c r="D305" s="568"/>
      <c r="E305" s="568"/>
      <c r="F305" s="568"/>
      <c r="G305" s="568"/>
      <c r="H305" s="565" t="str">
        <f>'matrik MISI 3'!N48</f>
        <v>Persentase keselamatan angkutan umum</v>
      </c>
      <c r="I305" s="565" t="str">
        <f>'matrik MISI 3'!O48</f>
        <v>%</v>
      </c>
      <c r="J305" s="565">
        <f>'matrik MISI 3'!P48</f>
        <v>81.400000000000006</v>
      </c>
      <c r="K305" s="565">
        <f>'matrik MISI 3'!Q48</f>
        <v>90.2</v>
      </c>
      <c r="L305" s="565">
        <f>'matrik MISI 3'!R48</f>
        <v>91.4</v>
      </c>
      <c r="M305" s="604"/>
      <c r="N305" s="565">
        <f>'matrik MISI 3'!S48</f>
        <v>92.3</v>
      </c>
      <c r="O305" s="564"/>
      <c r="P305" s="565">
        <f>'matrik MISI 3'!T48</f>
        <v>93.7</v>
      </c>
      <c r="Q305" s="564"/>
      <c r="R305" s="565">
        <f>'matrik MISI 3'!U48</f>
        <v>94.3</v>
      </c>
      <c r="S305" s="564"/>
      <c r="T305" s="565">
        <f>'matrik MISI 3'!V48</f>
        <v>95</v>
      </c>
      <c r="U305" s="564"/>
      <c r="V305" s="565">
        <f>'matrik MISI 3'!W48</f>
        <v>95</v>
      </c>
      <c r="W305" s="564"/>
      <c r="X305" s="565" t="str">
        <f>'matrik MISI 3'!X48</f>
        <v>DISHUBKOMINFO</v>
      </c>
      <c r="Y305" s="565" t="str">
        <f>'matrik MISI 3'!Y48</f>
        <v>Jumlah Angkutan Umum yang Memenuhi Standar Keselamatan : jumlah angkutan umum) X 100%</v>
      </c>
      <c r="Z305" s="565">
        <f>'matrik MISI 3'!Z48</f>
        <v>0</v>
      </c>
    </row>
    <row r="306" spans="1:454" s="574" customFormat="1" ht="45">
      <c r="A306" s="569"/>
      <c r="B306" s="575"/>
      <c r="C306" s="576"/>
      <c r="D306" s="577" t="str">
        <f>'matrik MISI 3'!J49</f>
        <v>1.07</v>
      </c>
      <c r="E306" s="577" t="str">
        <f>'matrik MISI 3'!K49</f>
        <v>xx</v>
      </c>
      <c r="F306" s="577">
        <f>'matrik MISI 3'!L49</f>
        <v>18</v>
      </c>
      <c r="G306" s="577" t="str">
        <f>'matrik MISI 3'!M49</f>
        <v>Program Pembangunan  Sarana dan Prasarana Perhubungan</v>
      </c>
      <c r="H306" s="577"/>
      <c r="I306" s="577"/>
      <c r="J306" s="577"/>
      <c r="K306" s="577"/>
      <c r="L306" s="577"/>
      <c r="M306" s="578">
        <f>'jangan dihapus 2'!K393</f>
        <v>558176500</v>
      </c>
      <c r="N306" s="578">
        <f>'jangan dihapus 2'!L393</f>
        <v>0</v>
      </c>
      <c r="O306" s="578">
        <f>'jangan dihapus 2'!M393</f>
        <v>610000000</v>
      </c>
      <c r="P306" s="578">
        <f>'jangan dihapus 2'!N393</f>
        <v>0</v>
      </c>
      <c r="Q306" s="578">
        <f>'jangan dihapus 2'!O393</f>
        <v>765000000</v>
      </c>
      <c r="R306" s="578">
        <f>'jangan dihapus 2'!P393</f>
        <v>0</v>
      </c>
      <c r="S306" s="578">
        <f>'jangan dihapus 2'!Q393</f>
        <v>875000000</v>
      </c>
      <c r="T306" s="578">
        <f>'jangan dihapus 2'!R393</f>
        <v>0</v>
      </c>
      <c r="U306" s="578">
        <f>'jangan dihapus 2'!S393</f>
        <v>985000000</v>
      </c>
      <c r="V306" s="577"/>
      <c r="W306" s="578">
        <f>SUM(M306:U306)</f>
        <v>3793176500</v>
      </c>
      <c r="X306" s="577"/>
      <c r="Y306" s="577"/>
      <c r="Z306" s="577"/>
      <c r="AA306" s="569"/>
      <c r="AB306" s="569"/>
      <c r="AC306" s="569"/>
      <c r="AD306" s="569"/>
      <c r="AE306" s="569"/>
      <c r="AF306" s="569"/>
      <c r="AG306" s="569"/>
      <c r="AH306" s="569"/>
      <c r="AI306" s="569"/>
      <c r="AJ306" s="569"/>
      <c r="AK306" s="569"/>
      <c r="AL306" s="569"/>
      <c r="AM306" s="569"/>
      <c r="AN306" s="569"/>
      <c r="AO306" s="569"/>
      <c r="AP306" s="569"/>
      <c r="AQ306" s="569"/>
      <c r="AR306" s="569"/>
      <c r="AS306" s="569"/>
      <c r="AT306" s="569"/>
      <c r="AU306" s="569"/>
      <c r="AV306" s="569"/>
      <c r="AW306" s="569"/>
      <c r="AX306" s="569"/>
      <c r="AY306" s="569"/>
      <c r="AZ306" s="569"/>
      <c r="BA306" s="569"/>
      <c r="BB306" s="569"/>
      <c r="BC306" s="569"/>
      <c r="BD306" s="569"/>
      <c r="BE306" s="569"/>
      <c r="BF306" s="569"/>
      <c r="BG306" s="569"/>
      <c r="BH306" s="569"/>
      <c r="BI306" s="569"/>
      <c r="BJ306" s="569"/>
      <c r="BK306" s="569"/>
      <c r="BL306" s="569"/>
      <c r="BM306" s="569"/>
      <c r="BN306" s="569"/>
      <c r="BO306" s="569"/>
      <c r="BP306" s="569"/>
      <c r="BQ306" s="569"/>
      <c r="BR306" s="569"/>
      <c r="BS306" s="569"/>
      <c r="BT306" s="569"/>
      <c r="BU306" s="569"/>
      <c r="BV306" s="569"/>
      <c r="BW306" s="569"/>
      <c r="BX306" s="569"/>
      <c r="BY306" s="569"/>
      <c r="BZ306" s="569"/>
      <c r="CA306" s="569"/>
      <c r="CB306" s="569"/>
      <c r="CC306" s="569"/>
      <c r="CD306" s="569"/>
      <c r="CE306" s="569"/>
      <c r="CF306" s="569"/>
      <c r="CG306" s="569"/>
      <c r="CH306" s="569"/>
      <c r="CI306" s="569"/>
      <c r="CJ306" s="569"/>
      <c r="CK306" s="569"/>
      <c r="CL306" s="569"/>
      <c r="CM306" s="569"/>
      <c r="CN306" s="569"/>
      <c r="CO306" s="569"/>
      <c r="CP306" s="569"/>
      <c r="CQ306" s="569"/>
      <c r="CR306" s="569"/>
      <c r="CS306" s="569"/>
      <c r="CT306" s="569"/>
      <c r="CU306" s="569"/>
      <c r="CV306" s="569"/>
      <c r="CW306" s="569"/>
      <c r="CX306" s="569"/>
      <c r="CY306" s="569"/>
      <c r="CZ306" s="569"/>
      <c r="DA306" s="569"/>
      <c r="DB306" s="569"/>
      <c r="DC306" s="569"/>
      <c r="DD306" s="569"/>
      <c r="DE306" s="569"/>
      <c r="DF306" s="569"/>
      <c r="DG306" s="569"/>
      <c r="DH306" s="569"/>
      <c r="DI306" s="569"/>
      <c r="DJ306" s="569"/>
      <c r="DK306" s="569"/>
      <c r="DL306" s="569"/>
      <c r="DM306" s="569"/>
      <c r="DN306" s="569"/>
      <c r="DO306" s="569"/>
      <c r="DP306" s="569"/>
      <c r="DQ306" s="569"/>
      <c r="DR306" s="569"/>
      <c r="DS306" s="569"/>
      <c r="DT306" s="569"/>
      <c r="DU306" s="569"/>
      <c r="DV306" s="569"/>
      <c r="DW306" s="569"/>
      <c r="DX306" s="569"/>
      <c r="DY306" s="569"/>
      <c r="DZ306" s="569"/>
      <c r="EA306" s="569"/>
      <c r="EB306" s="569"/>
      <c r="EC306" s="569"/>
      <c r="ED306" s="569"/>
      <c r="EE306" s="569"/>
      <c r="EF306" s="569"/>
      <c r="EG306" s="569"/>
      <c r="EH306" s="569"/>
      <c r="EI306" s="569"/>
      <c r="EJ306" s="569"/>
      <c r="EK306" s="569"/>
      <c r="EL306" s="569"/>
      <c r="EM306" s="569"/>
      <c r="EN306" s="569"/>
      <c r="EO306" s="569"/>
      <c r="EP306" s="569"/>
      <c r="EQ306" s="569"/>
      <c r="ER306" s="569"/>
      <c r="ES306" s="569"/>
      <c r="ET306" s="569"/>
      <c r="EU306" s="569"/>
      <c r="EV306" s="569"/>
      <c r="EW306" s="569"/>
      <c r="EX306" s="569"/>
      <c r="EY306" s="569"/>
      <c r="EZ306" s="569"/>
      <c r="FA306" s="569"/>
      <c r="FB306" s="569"/>
      <c r="FC306" s="569"/>
      <c r="FD306" s="569"/>
      <c r="FE306" s="569"/>
      <c r="FF306" s="569"/>
      <c r="FG306" s="569"/>
      <c r="FH306" s="569"/>
      <c r="FI306" s="569"/>
      <c r="FJ306" s="569"/>
      <c r="FK306" s="569"/>
      <c r="FL306" s="569"/>
      <c r="FM306" s="569"/>
      <c r="FN306" s="569"/>
      <c r="FO306" s="569"/>
      <c r="FP306" s="569"/>
      <c r="FQ306" s="569"/>
      <c r="FR306" s="569"/>
      <c r="FS306" s="569"/>
      <c r="FT306" s="569"/>
      <c r="FU306" s="569"/>
      <c r="FV306" s="569"/>
      <c r="FW306" s="569"/>
      <c r="FX306" s="569"/>
      <c r="FY306" s="569"/>
      <c r="FZ306" s="569"/>
      <c r="GA306" s="569"/>
      <c r="GB306" s="569"/>
      <c r="GC306" s="569"/>
      <c r="GD306" s="569"/>
      <c r="GE306" s="569"/>
      <c r="GF306" s="569"/>
      <c r="GG306" s="569"/>
      <c r="GH306" s="569"/>
      <c r="GI306" s="569"/>
      <c r="GJ306" s="569"/>
      <c r="GK306" s="569"/>
      <c r="GL306" s="569"/>
      <c r="GM306" s="569"/>
      <c r="GN306" s="569"/>
      <c r="GO306" s="569"/>
      <c r="GP306" s="569"/>
      <c r="GQ306" s="569"/>
      <c r="GR306" s="569"/>
      <c r="GS306" s="569"/>
      <c r="GT306" s="569"/>
      <c r="GU306" s="569"/>
      <c r="GV306" s="569"/>
      <c r="GW306" s="569"/>
      <c r="GX306" s="569"/>
      <c r="GY306" s="569"/>
      <c r="GZ306" s="569"/>
      <c r="HA306" s="569"/>
      <c r="HB306" s="569"/>
      <c r="HC306" s="569"/>
      <c r="HD306" s="569"/>
      <c r="HE306" s="569"/>
      <c r="HF306" s="569"/>
      <c r="HG306" s="569"/>
      <c r="HH306" s="569"/>
      <c r="HI306" s="569"/>
      <c r="HJ306" s="569"/>
      <c r="HK306" s="569"/>
      <c r="HL306" s="569"/>
      <c r="HM306" s="569"/>
      <c r="HN306" s="569"/>
      <c r="HO306" s="569"/>
      <c r="HP306" s="569"/>
      <c r="HQ306" s="569"/>
      <c r="HR306" s="569"/>
      <c r="HS306" s="569"/>
      <c r="HT306" s="569"/>
      <c r="HU306" s="569"/>
      <c r="HV306" s="569"/>
      <c r="HW306" s="569"/>
      <c r="HX306" s="569"/>
      <c r="HY306" s="569"/>
      <c r="HZ306" s="569"/>
      <c r="IA306" s="569"/>
      <c r="IB306" s="569"/>
      <c r="IC306" s="569"/>
      <c r="ID306" s="569"/>
      <c r="IE306" s="569"/>
      <c r="IF306" s="569"/>
      <c r="IG306" s="569"/>
      <c r="IH306" s="569"/>
      <c r="II306" s="569"/>
      <c r="IJ306" s="569"/>
      <c r="IK306" s="569"/>
      <c r="IL306" s="569"/>
      <c r="IM306" s="569"/>
      <c r="IN306" s="569"/>
      <c r="IO306" s="569"/>
      <c r="IP306" s="569"/>
      <c r="IQ306" s="569"/>
      <c r="IR306" s="569"/>
      <c r="IS306" s="569"/>
      <c r="IT306" s="569"/>
      <c r="IU306" s="569"/>
      <c r="IV306" s="569"/>
      <c r="IW306" s="569"/>
      <c r="IX306" s="569"/>
      <c r="IY306" s="569"/>
      <c r="IZ306" s="569"/>
      <c r="JA306" s="569"/>
      <c r="JB306" s="569"/>
      <c r="JC306" s="569"/>
      <c r="JD306" s="569"/>
      <c r="JE306" s="569"/>
      <c r="JF306" s="569"/>
      <c r="JG306" s="569"/>
      <c r="JH306" s="569"/>
      <c r="JI306" s="569"/>
      <c r="JJ306" s="569"/>
      <c r="JK306" s="569"/>
      <c r="JL306" s="569"/>
      <c r="JM306" s="569"/>
      <c r="JN306" s="569"/>
      <c r="JO306" s="569"/>
      <c r="JP306" s="569"/>
      <c r="JQ306" s="569"/>
      <c r="JR306" s="569"/>
      <c r="JS306" s="569"/>
      <c r="JT306" s="569"/>
      <c r="JU306" s="569"/>
      <c r="JV306" s="569"/>
      <c r="JW306" s="569"/>
      <c r="JX306" s="569"/>
      <c r="JY306" s="569"/>
      <c r="JZ306" s="569"/>
      <c r="KA306" s="569"/>
      <c r="KB306" s="569"/>
      <c r="KC306" s="569"/>
      <c r="KD306" s="569"/>
      <c r="KE306" s="569"/>
      <c r="KF306" s="569"/>
      <c r="KG306" s="569"/>
      <c r="KH306" s="569"/>
      <c r="KI306" s="569"/>
      <c r="KJ306" s="569"/>
      <c r="KK306" s="569"/>
      <c r="KL306" s="569"/>
      <c r="KM306" s="569"/>
      <c r="KN306" s="569"/>
      <c r="KO306" s="569"/>
      <c r="KP306" s="569"/>
      <c r="KQ306" s="569"/>
      <c r="KR306" s="569"/>
      <c r="KS306" s="569"/>
      <c r="KT306" s="569"/>
      <c r="KU306" s="569"/>
      <c r="KV306" s="569"/>
      <c r="KW306" s="569"/>
      <c r="KX306" s="569"/>
      <c r="KY306" s="569"/>
      <c r="KZ306" s="569"/>
      <c r="LA306" s="569"/>
      <c r="LB306" s="569"/>
      <c r="LC306" s="569"/>
      <c r="LD306" s="569"/>
      <c r="LE306" s="569"/>
      <c r="LF306" s="569"/>
      <c r="LG306" s="569"/>
      <c r="LH306" s="569"/>
      <c r="LI306" s="569"/>
      <c r="LJ306" s="569"/>
      <c r="LK306" s="569"/>
      <c r="LL306" s="569"/>
      <c r="LM306" s="569"/>
      <c r="LN306" s="569"/>
      <c r="LO306" s="569"/>
      <c r="LP306" s="569"/>
      <c r="LQ306" s="569"/>
      <c r="LR306" s="569"/>
      <c r="LS306" s="569"/>
      <c r="LT306" s="569"/>
      <c r="LU306" s="569"/>
      <c r="LV306" s="569"/>
      <c r="LW306" s="569"/>
      <c r="LX306" s="569"/>
      <c r="LY306" s="569"/>
      <c r="LZ306" s="569"/>
      <c r="MA306" s="569"/>
      <c r="MB306" s="569"/>
      <c r="MC306" s="569"/>
      <c r="MD306" s="569"/>
      <c r="ME306" s="569"/>
      <c r="MF306" s="569"/>
      <c r="MG306" s="569"/>
      <c r="MH306" s="569"/>
      <c r="MI306" s="569"/>
      <c r="MJ306" s="569"/>
      <c r="MK306" s="569"/>
      <c r="ML306" s="569"/>
      <c r="MM306" s="569"/>
      <c r="MN306" s="569"/>
      <c r="MO306" s="569"/>
      <c r="MP306" s="569"/>
      <c r="MQ306" s="569"/>
      <c r="MR306" s="569"/>
      <c r="MS306" s="569"/>
      <c r="MT306" s="569"/>
      <c r="MU306" s="569"/>
      <c r="MV306" s="569"/>
      <c r="MW306" s="569"/>
      <c r="MX306" s="569"/>
      <c r="MY306" s="569"/>
      <c r="MZ306" s="569"/>
      <c r="NA306" s="569"/>
      <c r="NB306" s="569"/>
      <c r="NC306" s="569"/>
      <c r="ND306" s="569"/>
      <c r="NE306" s="569"/>
      <c r="NF306" s="569"/>
      <c r="NG306" s="569"/>
      <c r="NH306" s="569"/>
      <c r="NI306" s="569"/>
      <c r="NJ306" s="569"/>
      <c r="NK306" s="569"/>
      <c r="NL306" s="569"/>
      <c r="NM306" s="569"/>
      <c r="NN306" s="569"/>
      <c r="NO306" s="569"/>
      <c r="NP306" s="569"/>
      <c r="NQ306" s="569"/>
      <c r="NR306" s="569"/>
      <c r="NS306" s="569"/>
      <c r="NT306" s="569"/>
      <c r="NU306" s="569"/>
      <c r="NV306" s="569"/>
      <c r="NW306" s="569"/>
      <c r="NX306" s="569"/>
      <c r="NY306" s="569"/>
      <c r="NZ306" s="569"/>
      <c r="OA306" s="569"/>
      <c r="OB306" s="569"/>
      <c r="OC306" s="569"/>
      <c r="OD306" s="569"/>
      <c r="OE306" s="569"/>
      <c r="OF306" s="569"/>
      <c r="OG306" s="569"/>
      <c r="OH306" s="569"/>
      <c r="OI306" s="569"/>
      <c r="OJ306" s="569"/>
      <c r="OK306" s="569"/>
      <c r="OL306" s="569"/>
      <c r="OM306" s="569"/>
      <c r="ON306" s="569"/>
      <c r="OO306" s="569"/>
      <c r="OP306" s="569"/>
      <c r="OQ306" s="569"/>
      <c r="OR306" s="569"/>
      <c r="OS306" s="569"/>
      <c r="OT306" s="569"/>
      <c r="OU306" s="569"/>
      <c r="OV306" s="569"/>
      <c r="OW306" s="569"/>
      <c r="OX306" s="569"/>
      <c r="OY306" s="569"/>
      <c r="OZ306" s="569"/>
      <c r="PA306" s="569"/>
      <c r="PB306" s="569"/>
      <c r="PC306" s="569"/>
      <c r="PD306" s="569"/>
      <c r="PE306" s="569"/>
      <c r="PF306" s="569"/>
      <c r="PG306" s="569"/>
      <c r="PH306" s="569"/>
      <c r="PI306" s="569"/>
      <c r="PJ306" s="569"/>
      <c r="PK306" s="569"/>
      <c r="PL306" s="569"/>
      <c r="PM306" s="569"/>
      <c r="PN306" s="569"/>
      <c r="PO306" s="569"/>
      <c r="PP306" s="569"/>
      <c r="PQ306" s="569"/>
      <c r="PR306" s="569"/>
      <c r="PS306" s="569"/>
      <c r="PT306" s="569"/>
      <c r="PU306" s="569"/>
      <c r="PV306" s="569"/>
      <c r="PW306" s="569"/>
      <c r="PX306" s="569"/>
      <c r="PY306" s="569"/>
      <c r="PZ306" s="569"/>
      <c r="QA306" s="569"/>
      <c r="QB306" s="569"/>
      <c r="QC306" s="569"/>
      <c r="QD306" s="569"/>
      <c r="QE306" s="569"/>
      <c r="QF306" s="569"/>
      <c r="QG306" s="569"/>
      <c r="QH306" s="569"/>
      <c r="QI306" s="569"/>
      <c r="QJ306" s="569"/>
      <c r="QK306" s="569"/>
      <c r="QL306" s="569"/>
    </row>
    <row r="307" spans="1:454" ht="30">
      <c r="C307" s="561"/>
      <c r="D307" s="568"/>
      <c r="E307" s="568"/>
      <c r="F307" s="568"/>
      <c r="G307" s="568"/>
      <c r="H307" s="565" t="str">
        <f>'matrik MISI 3'!N49</f>
        <v>Tersedianya Fasilitas  Terminal (tipe b)</v>
      </c>
      <c r="I307" s="565" t="str">
        <f>'matrik MISI 3'!O49</f>
        <v>Unit</v>
      </c>
      <c r="J307" s="565">
        <f>'matrik MISI 3'!P49</f>
        <v>1</v>
      </c>
      <c r="K307" s="565">
        <f>'matrik MISI 3'!Q49</f>
        <v>1</v>
      </c>
      <c r="L307" s="565">
        <f>'matrik MISI 3'!R49</f>
        <v>1</v>
      </c>
      <c r="M307" s="604"/>
      <c r="N307" s="565">
        <f>'matrik MISI 3'!S49</f>
        <v>1</v>
      </c>
      <c r="O307" s="564"/>
      <c r="P307" s="565">
        <f>'matrik MISI 3'!T49</f>
        <v>1</v>
      </c>
      <c r="Q307" s="564"/>
      <c r="R307" s="565">
        <f>'matrik MISI 3'!U49</f>
        <v>1</v>
      </c>
      <c r="S307" s="564"/>
      <c r="T307" s="565">
        <f>'matrik MISI 3'!V49</f>
        <v>1</v>
      </c>
      <c r="U307" s="564"/>
      <c r="V307" s="565">
        <f>'matrik MISI 3'!W49</f>
        <v>1</v>
      </c>
      <c r="W307" s="564"/>
      <c r="X307" s="565" t="str">
        <f>'matrik MISI 3'!X49</f>
        <v>DISHUBKOMINFO</v>
      </c>
      <c r="Y307" s="565" t="str">
        <f>'matrik MISI 3'!Y49</f>
        <v>unit</v>
      </c>
      <c r="Z307" s="565">
        <f>'matrik MISI 3'!Z49</f>
        <v>0</v>
      </c>
    </row>
    <row r="308" spans="1:454">
      <c r="C308" s="561"/>
      <c r="D308" s="565"/>
      <c r="E308" s="565"/>
      <c r="F308" s="565"/>
      <c r="G308" s="565"/>
      <c r="H308" s="565" t="str">
        <f>'matrik MISI 3'!N50</f>
        <v>Tersedianya sub terminal (tipe c)</v>
      </c>
      <c r="I308" s="565" t="str">
        <f>'matrik MISI 3'!O50</f>
        <v>Unit</v>
      </c>
      <c r="J308" s="565">
        <f>'matrik MISI 3'!P50</f>
        <v>12</v>
      </c>
      <c r="K308" s="565">
        <f>'matrik MISI 3'!Q50</f>
        <v>12</v>
      </c>
      <c r="L308" s="565">
        <f>'matrik MISI 3'!R50</f>
        <v>12</v>
      </c>
      <c r="M308" s="604"/>
      <c r="N308" s="565">
        <f>'matrik MISI 3'!S50</f>
        <v>12</v>
      </c>
      <c r="O308" s="564"/>
      <c r="P308" s="565">
        <f>'matrik MISI 3'!T50</f>
        <v>12</v>
      </c>
      <c r="Q308" s="564"/>
      <c r="R308" s="565">
        <f>'matrik MISI 3'!U50</f>
        <v>12</v>
      </c>
      <c r="S308" s="564"/>
      <c r="T308" s="565">
        <f>'matrik MISI 3'!V50</f>
        <v>12</v>
      </c>
      <c r="U308" s="564"/>
      <c r="V308" s="565">
        <f>'matrik MISI 3'!W50</f>
        <v>12</v>
      </c>
      <c r="W308" s="564"/>
      <c r="X308" s="565" t="str">
        <f>'matrik MISI 3'!X50</f>
        <v>DISHUBKOMINFO</v>
      </c>
      <c r="Y308" s="565" t="str">
        <f>'matrik MISI 3'!Y50</f>
        <v>unit</v>
      </c>
      <c r="Z308" s="565">
        <f>'matrik MISI 3'!Z50</f>
        <v>0</v>
      </c>
    </row>
    <row r="309" spans="1:454" ht="30">
      <c r="C309" s="561"/>
      <c r="D309" s="565"/>
      <c r="E309" s="565"/>
      <c r="F309" s="565"/>
      <c r="G309" s="565"/>
      <c r="H309" s="565" t="str">
        <f>'matrik MISI 3'!N51</f>
        <v xml:space="preserve">Tersedianya Fasilitas Kelengkapan Jalan </v>
      </c>
      <c r="I309" s="565" t="str">
        <f>'matrik MISI 3'!O51</f>
        <v>%</v>
      </c>
      <c r="J309" s="565">
        <f>'matrik MISI 3'!P51</f>
        <v>50</v>
      </c>
      <c r="K309" s="565">
        <f>'matrik MISI 3'!Q51</f>
        <v>60</v>
      </c>
      <c r="L309" s="565">
        <f>'matrik MISI 3'!R51</f>
        <v>61</v>
      </c>
      <c r="M309" s="604"/>
      <c r="N309" s="565">
        <f>'matrik MISI 3'!S51</f>
        <v>63</v>
      </c>
      <c r="O309" s="564"/>
      <c r="P309" s="565">
        <f>'matrik MISI 3'!T51</f>
        <v>65</v>
      </c>
      <c r="Q309" s="564"/>
      <c r="R309" s="565">
        <f>'matrik MISI 3'!U51</f>
        <v>67</v>
      </c>
      <c r="S309" s="564"/>
      <c r="T309" s="565">
        <f>'matrik MISI 3'!V51</f>
        <v>69</v>
      </c>
      <c r="U309" s="564"/>
      <c r="V309" s="565">
        <f>'matrik MISI 3'!W51</f>
        <v>69</v>
      </c>
      <c r="W309" s="564"/>
      <c r="X309" s="565" t="str">
        <f>'matrik MISI 3'!X51</f>
        <v>DISHUBKOMINFO</v>
      </c>
      <c r="Y309" s="565" t="str">
        <f>'matrik MISI 3'!Y51</f>
        <v>jumlah rambu keselamatan jalan dibagi jumlah rambu yang seharusnya terpasang x 100</v>
      </c>
      <c r="Z309" s="565">
        <f>'matrik MISI 3'!Z51</f>
        <v>0</v>
      </c>
    </row>
    <row r="310" spans="1:454" s="570" customFormat="1">
      <c r="A310" s="569"/>
      <c r="B310" s="571"/>
      <c r="C310" s="572"/>
      <c r="D310" s="573"/>
      <c r="E310" s="573"/>
      <c r="F310" s="573"/>
      <c r="G310" s="573"/>
      <c r="H310" s="573"/>
      <c r="I310" s="573"/>
      <c r="J310" s="573"/>
      <c r="K310" s="573"/>
      <c r="L310" s="573"/>
      <c r="M310" s="604"/>
      <c r="N310" s="573"/>
      <c r="O310" s="564"/>
      <c r="P310" s="573"/>
      <c r="Q310" s="564"/>
      <c r="R310" s="573"/>
      <c r="S310" s="564"/>
      <c r="T310" s="573"/>
      <c r="U310" s="564"/>
      <c r="V310" s="573"/>
      <c r="W310" s="564"/>
      <c r="X310" s="573"/>
      <c r="Y310" s="565"/>
      <c r="Z310" s="565"/>
      <c r="AA310" s="569"/>
      <c r="AB310" s="569"/>
      <c r="AC310" s="569"/>
      <c r="AD310" s="569"/>
      <c r="AE310" s="569"/>
      <c r="AF310" s="569"/>
      <c r="AG310" s="569"/>
      <c r="AH310" s="569"/>
      <c r="AI310" s="569"/>
      <c r="AJ310" s="569"/>
      <c r="AK310" s="569"/>
      <c r="AL310" s="569"/>
      <c r="AM310" s="569"/>
      <c r="AN310" s="569"/>
      <c r="AO310" s="569"/>
      <c r="AP310" s="569"/>
      <c r="AQ310" s="569"/>
      <c r="AR310" s="569"/>
      <c r="AS310" s="569"/>
      <c r="AT310" s="569"/>
      <c r="AU310" s="569"/>
      <c r="AV310" s="569"/>
      <c r="AW310" s="569"/>
      <c r="AX310" s="569"/>
      <c r="AY310" s="569"/>
      <c r="AZ310" s="569"/>
      <c r="BA310" s="569"/>
      <c r="BB310" s="569"/>
      <c r="BC310" s="569"/>
      <c r="BD310" s="569"/>
      <c r="BE310" s="569"/>
      <c r="BF310" s="569"/>
      <c r="BG310" s="569"/>
      <c r="BH310" s="569"/>
      <c r="BI310" s="569"/>
      <c r="BJ310" s="569"/>
      <c r="BK310" s="569"/>
      <c r="BL310" s="569"/>
      <c r="BM310" s="569"/>
      <c r="BN310" s="569"/>
      <c r="BO310" s="569"/>
      <c r="BP310" s="569"/>
      <c r="BQ310" s="569"/>
      <c r="BR310" s="569"/>
      <c r="BS310" s="569"/>
      <c r="BT310" s="569"/>
      <c r="BU310" s="569"/>
      <c r="BV310" s="569"/>
      <c r="BW310" s="569"/>
      <c r="BX310" s="569"/>
      <c r="BY310" s="569"/>
      <c r="BZ310" s="569"/>
      <c r="CA310" s="569"/>
      <c r="CB310" s="569"/>
      <c r="CC310" s="569"/>
      <c r="CD310" s="569"/>
      <c r="CE310" s="569"/>
      <c r="CF310" s="569"/>
      <c r="CG310" s="569"/>
      <c r="CH310" s="569"/>
      <c r="CI310" s="569"/>
      <c r="CJ310" s="569"/>
      <c r="CK310" s="569"/>
      <c r="CL310" s="569"/>
      <c r="CM310" s="569"/>
      <c r="CN310" s="569"/>
      <c r="CO310" s="569"/>
      <c r="CP310" s="569"/>
      <c r="CQ310" s="569"/>
      <c r="CR310" s="569"/>
      <c r="CS310" s="569"/>
      <c r="CT310" s="569"/>
      <c r="CU310" s="569"/>
      <c r="CV310" s="569"/>
      <c r="CW310" s="569"/>
      <c r="CX310" s="569"/>
      <c r="CY310" s="569"/>
      <c r="CZ310" s="569"/>
      <c r="DA310" s="569"/>
      <c r="DB310" s="569"/>
      <c r="DC310" s="569"/>
      <c r="DD310" s="569"/>
      <c r="DE310" s="569"/>
      <c r="DF310" s="569"/>
      <c r="DG310" s="569"/>
      <c r="DH310" s="569"/>
      <c r="DI310" s="569"/>
      <c r="DJ310" s="569"/>
      <c r="DK310" s="569"/>
      <c r="DL310" s="569"/>
      <c r="DM310" s="569"/>
      <c r="DN310" s="569"/>
      <c r="DO310" s="569"/>
      <c r="DP310" s="569"/>
      <c r="DQ310" s="569"/>
      <c r="DR310" s="569"/>
      <c r="DS310" s="569"/>
      <c r="DT310" s="569"/>
      <c r="DU310" s="569"/>
      <c r="DV310" s="569"/>
      <c r="DW310" s="569"/>
      <c r="DX310" s="569"/>
      <c r="DY310" s="569"/>
      <c r="DZ310" s="569"/>
      <c r="EA310" s="569"/>
      <c r="EB310" s="569"/>
      <c r="EC310" s="569"/>
      <c r="ED310" s="569"/>
      <c r="EE310" s="569"/>
      <c r="EF310" s="569"/>
      <c r="EG310" s="569"/>
      <c r="EH310" s="569"/>
      <c r="EI310" s="569"/>
      <c r="EJ310" s="569"/>
      <c r="EK310" s="569"/>
      <c r="EL310" s="569"/>
      <c r="EM310" s="569"/>
      <c r="EN310" s="569"/>
      <c r="EO310" s="569"/>
      <c r="EP310" s="569"/>
      <c r="EQ310" s="569"/>
      <c r="ER310" s="569"/>
      <c r="ES310" s="569"/>
      <c r="ET310" s="569"/>
      <c r="EU310" s="569"/>
      <c r="EV310" s="569"/>
      <c r="EW310" s="569"/>
      <c r="EX310" s="569"/>
      <c r="EY310" s="569"/>
      <c r="EZ310" s="569"/>
      <c r="FA310" s="569"/>
      <c r="FB310" s="569"/>
      <c r="FC310" s="569"/>
      <c r="FD310" s="569"/>
      <c r="FE310" s="569"/>
      <c r="FF310" s="569"/>
      <c r="FG310" s="569"/>
      <c r="FH310" s="569"/>
      <c r="FI310" s="569"/>
      <c r="FJ310" s="569"/>
      <c r="FK310" s="569"/>
      <c r="FL310" s="569"/>
      <c r="FM310" s="569"/>
      <c r="FN310" s="569"/>
      <c r="FO310" s="569"/>
      <c r="FP310" s="569"/>
      <c r="FQ310" s="569"/>
      <c r="FR310" s="569"/>
      <c r="FS310" s="569"/>
      <c r="FT310" s="569"/>
      <c r="FU310" s="569"/>
      <c r="FV310" s="569"/>
      <c r="FW310" s="569"/>
      <c r="FX310" s="569"/>
      <c r="FY310" s="569"/>
      <c r="FZ310" s="569"/>
      <c r="GA310" s="569"/>
      <c r="GB310" s="569"/>
      <c r="GC310" s="569"/>
      <c r="GD310" s="569"/>
      <c r="GE310" s="569"/>
      <c r="GF310" s="569"/>
      <c r="GG310" s="569"/>
      <c r="GH310" s="569"/>
      <c r="GI310" s="569"/>
      <c r="GJ310" s="569"/>
      <c r="GK310" s="569"/>
      <c r="GL310" s="569"/>
      <c r="GM310" s="569"/>
      <c r="GN310" s="569"/>
      <c r="GO310" s="569"/>
      <c r="GP310" s="569"/>
      <c r="GQ310" s="569"/>
      <c r="GR310" s="569"/>
      <c r="GS310" s="569"/>
      <c r="GT310" s="569"/>
      <c r="GU310" s="569"/>
      <c r="GV310" s="569"/>
      <c r="GW310" s="569"/>
      <c r="GX310" s="569"/>
      <c r="GY310" s="569"/>
      <c r="GZ310" s="569"/>
      <c r="HA310" s="569"/>
      <c r="HB310" s="569"/>
      <c r="HC310" s="569"/>
      <c r="HD310" s="569"/>
      <c r="HE310" s="569"/>
      <c r="HF310" s="569"/>
      <c r="HG310" s="569"/>
      <c r="HH310" s="569"/>
      <c r="HI310" s="569"/>
      <c r="HJ310" s="569"/>
      <c r="HK310" s="569"/>
      <c r="HL310" s="569"/>
      <c r="HM310" s="569"/>
      <c r="HN310" s="569"/>
      <c r="HO310" s="569"/>
      <c r="HP310" s="569"/>
      <c r="HQ310" s="569"/>
      <c r="HR310" s="569"/>
      <c r="HS310" s="569"/>
      <c r="HT310" s="569"/>
      <c r="HU310" s="569"/>
      <c r="HV310" s="569"/>
      <c r="HW310" s="569"/>
      <c r="HX310" s="569"/>
      <c r="HY310" s="569"/>
      <c r="HZ310" s="569"/>
      <c r="IA310" s="569"/>
      <c r="IB310" s="569"/>
      <c r="IC310" s="569"/>
      <c r="ID310" s="569"/>
      <c r="IE310" s="569"/>
      <c r="IF310" s="569"/>
      <c r="IG310" s="569"/>
      <c r="IH310" s="569"/>
      <c r="II310" s="569"/>
      <c r="IJ310" s="569"/>
      <c r="IK310" s="569"/>
      <c r="IL310" s="569"/>
      <c r="IM310" s="569"/>
      <c r="IN310" s="569"/>
      <c r="IO310" s="569"/>
      <c r="IP310" s="569"/>
      <c r="IQ310" s="569"/>
      <c r="IR310" s="569"/>
      <c r="IS310" s="569"/>
      <c r="IT310" s="569"/>
      <c r="IU310" s="569"/>
      <c r="IV310" s="569"/>
      <c r="IW310" s="569"/>
      <c r="IX310" s="569"/>
      <c r="IY310" s="569"/>
      <c r="IZ310" s="569"/>
      <c r="JA310" s="569"/>
      <c r="JB310" s="569"/>
      <c r="JC310" s="569"/>
      <c r="JD310" s="569"/>
      <c r="JE310" s="569"/>
      <c r="JF310" s="569"/>
      <c r="JG310" s="569"/>
      <c r="JH310" s="569"/>
      <c r="JI310" s="569"/>
      <c r="JJ310" s="569"/>
      <c r="JK310" s="569"/>
      <c r="JL310" s="569"/>
      <c r="JM310" s="569"/>
      <c r="JN310" s="569"/>
      <c r="JO310" s="569"/>
      <c r="JP310" s="569"/>
      <c r="JQ310" s="569"/>
      <c r="JR310" s="569"/>
      <c r="JS310" s="569"/>
      <c r="JT310" s="569"/>
      <c r="JU310" s="569"/>
      <c r="JV310" s="569"/>
      <c r="JW310" s="569"/>
      <c r="JX310" s="569"/>
      <c r="JY310" s="569"/>
      <c r="JZ310" s="569"/>
      <c r="KA310" s="569"/>
      <c r="KB310" s="569"/>
      <c r="KC310" s="569"/>
      <c r="KD310" s="569"/>
      <c r="KE310" s="569"/>
      <c r="KF310" s="569"/>
      <c r="KG310" s="569"/>
      <c r="KH310" s="569"/>
      <c r="KI310" s="569"/>
      <c r="KJ310" s="569"/>
      <c r="KK310" s="569"/>
      <c r="KL310" s="569"/>
      <c r="KM310" s="569"/>
      <c r="KN310" s="569"/>
      <c r="KO310" s="569"/>
      <c r="KP310" s="569"/>
      <c r="KQ310" s="569"/>
      <c r="KR310" s="569"/>
      <c r="KS310" s="569"/>
      <c r="KT310" s="569"/>
      <c r="KU310" s="569"/>
      <c r="KV310" s="569"/>
      <c r="KW310" s="569"/>
      <c r="KX310" s="569"/>
      <c r="KY310" s="569"/>
      <c r="KZ310" s="569"/>
      <c r="LA310" s="569"/>
      <c r="LB310" s="569"/>
      <c r="LC310" s="569"/>
      <c r="LD310" s="569"/>
      <c r="LE310" s="569"/>
      <c r="LF310" s="569"/>
      <c r="LG310" s="569"/>
      <c r="LH310" s="569"/>
      <c r="LI310" s="569"/>
      <c r="LJ310" s="569"/>
      <c r="LK310" s="569"/>
      <c r="LL310" s="569"/>
      <c r="LM310" s="569"/>
      <c r="LN310" s="569"/>
      <c r="LO310" s="569"/>
      <c r="LP310" s="569"/>
      <c r="LQ310" s="569"/>
      <c r="LR310" s="569"/>
      <c r="LS310" s="569"/>
      <c r="LT310" s="569"/>
      <c r="LU310" s="569"/>
      <c r="LV310" s="569"/>
      <c r="LW310" s="569"/>
      <c r="LX310" s="569"/>
      <c r="LY310" s="569"/>
      <c r="LZ310" s="569"/>
      <c r="MA310" s="569"/>
      <c r="MB310" s="569"/>
      <c r="MC310" s="569"/>
      <c r="MD310" s="569"/>
      <c r="ME310" s="569"/>
      <c r="MF310" s="569"/>
      <c r="MG310" s="569"/>
      <c r="MH310" s="569"/>
      <c r="MI310" s="569"/>
      <c r="MJ310" s="569"/>
      <c r="MK310" s="569"/>
      <c r="ML310" s="569"/>
      <c r="MM310" s="569"/>
      <c r="MN310" s="569"/>
      <c r="MO310" s="569"/>
      <c r="MP310" s="569"/>
      <c r="MQ310" s="569"/>
      <c r="MR310" s="569"/>
      <c r="MS310" s="569"/>
      <c r="MT310" s="569"/>
      <c r="MU310" s="569"/>
      <c r="MV310" s="569"/>
      <c r="MW310" s="569"/>
      <c r="MX310" s="569"/>
      <c r="MY310" s="569"/>
      <c r="MZ310" s="569"/>
      <c r="NA310" s="569"/>
      <c r="NB310" s="569"/>
      <c r="NC310" s="569"/>
      <c r="ND310" s="569"/>
      <c r="NE310" s="569"/>
      <c r="NF310" s="569"/>
      <c r="NG310" s="569"/>
      <c r="NH310" s="569"/>
      <c r="NI310" s="569"/>
      <c r="NJ310" s="569"/>
      <c r="NK310" s="569"/>
      <c r="NL310" s="569"/>
      <c r="NM310" s="569"/>
      <c r="NN310" s="569"/>
      <c r="NO310" s="569"/>
      <c r="NP310" s="569"/>
      <c r="NQ310" s="569"/>
      <c r="NR310" s="569"/>
      <c r="NS310" s="569"/>
      <c r="NT310" s="569"/>
      <c r="NU310" s="569"/>
      <c r="NV310" s="569"/>
      <c r="NW310" s="569"/>
      <c r="NX310" s="569"/>
      <c r="NY310" s="569"/>
      <c r="NZ310" s="569"/>
      <c r="OA310" s="569"/>
      <c r="OB310" s="569"/>
      <c r="OC310" s="569"/>
      <c r="OD310" s="569"/>
      <c r="OE310" s="569"/>
      <c r="OF310" s="569"/>
      <c r="OG310" s="569"/>
      <c r="OH310" s="569"/>
      <c r="OI310" s="569"/>
      <c r="OJ310" s="569"/>
      <c r="OK310" s="569"/>
      <c r="OL310" s="569"/>
      <c r="OM310" s="569"/>
      <c r="ON310" s="569"/>
      <c r="OO310" s="569"/>
      <c r="OP310" s="569"/>
      <c r="OQ310" s="569"/>
      <c r="OR310" s="569"/>
      <c r="OS310" s="569"/>
      <c r="OT310" s="569"/>
      <c r="OU310" s="569"/>
      <c r="OV310" s="569"/>
      <c r="OW310" s="569"/>
      <c r="OX310" s="569"/>
      <c r="OY310" s="569"/>
      <c r="OZ310" s="569"/>
      <c r="PA310" s="569"/>
      <c r="PB310" s="569"/>
      <c r="PC310" s="569"/>
      <c r="PD310" s="569"/>
      <c r="PE310" s="569"/>
      <c r="PF310" s="569"/>
      <c r="PG310" s="569"/>
      <c r="PH310" s="569"/>
      <c r="PI310" s="569"/>
      <c r="PJ310" s="569"/>
      <c r="PK310" s="569"/>
      <c r="PL310" s="569"/>
      <c r="PM310" s="569"/>
      <c r="PN310" s="569"/>
      <c r="PO310" s="569"/>
      <c r="PP310" s="569"/>
      <c r="PQ310" s="569"/>
      <c r="PR310" s="569"/>
      <c r="PS310" s="569"/>
      <c r="PT310" s="569"/>
      <c r="PU310" s="569"/>
      <c r="PV310" s="569"/>
      <c r="PW310" s="569"/>
      <c r="PX310" s="569"/>
      <c r="PY310" s="569"/>
      <c r="PZ310" s="569"/>
      <c r="QA310" s="569"/>
      <c r="QB310" s="569"/>
      <c r="QC310" s="569"/>
      <c r="QD310" s="569"/>
      <c r="QE310" s="569"/>
      <c r="QF310" s="569"/>
      <c r="QG310" s="569"/>
      <c r="QH310" s="569"/>
      <c r="QI310" s="569"/>
      <c r="QJ310" s="569"/>
      <c r="QK310" s="569"/>
      <c r="QL310" s="569"/>
    </row>
    <row r="311" spans="1:454" s="574" customFormat="1" ht="51" customHeight="1">
      <c r="A311" s="569"/>
      <c r="B311" s="575">
        <v>8</v>
      </c>
      <c r="C311" s="576" t="str">
        <f>'matrik MISI 3'!B36</f>
        <v>LINGKUNGAN HIDUP</v>
      </c>
      <c r="D311" s="577" t="str">
        <f>'matrik MISI 3'!J37</f>
        <v>1.08</v>
      </c>
      <c r="E311" s="577" t="str">
        <f>'matrik MISI 3'!K37</f>
        <v>xx</v>
      </c>
      <c r="F311" s="577">
        <f>'matrik MISI 3'!L37</f>
        <v>15</v>
      </c>
      <c r="G311" s="577" t="str">
        <f>'matrik MISI 3'!M37</f>
        <v>Program Pengembangan Kinerja Pengelolaan Persampahan</v>
      </c>
      <c r="H311" s="577"/>
      <c r="I311" s="577"/>
      <c r="J311" s="577"/>
      <c r="K311" s="577"/>
      <c r="L311" s="577"/>
      <c r="M311" s="578">
        <f>'jangan dihapus 2'!K435</f>
        <v>3648500000</v>
      </c>
      <c r="N311" s="578"/>
      <c r="O311" s="578">
        <f>'jangan dihapus 2'!M435</f>
        <v>2750057500</v>
      </c>
      <c r="P311" s="578"/>
      <c r="Q311" s="578">
        <f>'jangan dihapus 2'!O435</f>
        <v>8650000000</v>
      </c>
      <c r="R311" s="578"/>
      <c r="S311" s="578">
        <f>'jangan dihapus 2'!Q435</f>
        <v>6070000000</v>
      </c>
      <c r="T311" s="578"/>
      <c r="U311" s="578">
        <f>'jangan dihapus 2'!S435</f>
        <v>13120000000</v>
      </c>
      <c r="V311" s="577"/>
      <c r="W311" s="578">
        <f>SUM(M311:U311)</f>
        <v>34238557500</v>
      </c>
      <c r="X311" s="577"/>
      <c r="Y311" s="577"/>
      <c r="Z311" s="577"/>
      <c r="AA311" s="569"/>
      <c r="AB311" s="569"/>
      <c r="AC311" s="569"/>
      <c r="AD311" s="569"/>
      <c r="AE311" s="569"/>
      <c r="AF311" s="569"/>
      <c r="AG311" s="569"/>
      <c r="AH311" s="569"/>
      <c r="AI311" s="569"/>
      <c r="AJ311" s="569"/>
      <c r="AK311" s="569"/>
      <c r="AL311" s="569"/>
      <c r="AM311" s="569"/>
      <c r="AN311" s="569"/>
      <c r="AO311" s="569"/>
      <c r="AP311" s="569"/>
      <c r="AQ311" s="569"/>
      <c r="AR311" s="569"/>
      <c r="AS311" s="569"/>
      <c r="AT311" s="569"/>
      <c r="AU311" s="569"/>
      <c r="AV311" s="569"/>
      <c r="AW311" s="569"/>
      <c r="AX311" s="569"/>
      <c r="AY311" s="569"/>
      <c r="AZ311" s="569"/>
      <c r="BA311" s="569"/>
      <c r="BB311" s="569"/>
      <c r="BC311" s="569"/>
      <c r="BD311" s="569"/>
      <c r="BE311" s="569"/>
      <c r="BF311" s="569"/>
      <c r="BG311" s="569"/>
      <c r="BH311" s="569"/>
      <c r="BI311" s="569"/>
      <c r="BJ311" s="569"/>
      <c r="BK311" s="569"/>
      <c r="BL311" s="569"/>
      <c r="BM311" s="569"/>
      <c r="BN311" s="569"/>
      <c r="BO311" s="569"/>
      <c r="BP311" s="569"/>
      <c r="BQ311" s="569"/>
      <c r="BR311" s="569"/>
      <c r="BS311" s="569"/>
      <c r="BT311" s="569"/>
      <c r="BU311" s="569"/>
      <c r="BV311" s="569"/>
      <c r="BW311" s="569"/>
      <c r="BX311" s="569"/>
      <c r="BY311" s="569"/>
      <c r="BZ311" s="569"/>
      <c r="CA311" s="569"/>
      <c r="CB311" s="569"/>
      <c r="CC311" s="569"/>
      <c r="CD311" s="569"/>
      <c r="CE311" s="569"/>
      <c r="CF311" s="569"/>
      <c r="CG311" s="569"/>
      <c r="CH311" s="569"/>
      <c r="CI311" s="569"/>
      <c r="CJ311" s="569"/>
      <c r="CK311" s="569"/>
      <c r="CL311" s="569"/>
      <c r="CM311" s="569"/>
      <c r="CN311" s="569"/>
      <c r="CO311" s="569"/>
      <c r="CP311" s="569"/>
      <c r="CQ311" s="569"/>
      <c r="CR311" s="569"/>
      <c r="CS311" s="569"/>
      <c r="CT311" s="569"/>
      <c r="CU311" s="569"/>
      <c r="CV311" s="569"/>
      <c r="CW311" s="569"/>
      <c r="CX311" s="569"/>
      <c r="CY311" s="569"/>
      <c r="CZ311" s="569"/>
      <c r="DA311" s="569"/>
      <c r="DB311" s="569"/>
      <c r="DC311" s="569"/>
      <c r="DD311" s="569"/>
      <c r="DE311" s="569"/>
      <c r="DF311" s="569"/>
      <c r="DG311" s="569"/>
      <c r="DH311" s="569"/>
      <c r="DI311" s="569"/>
      <c r="DJ311" s="569"/>
      <c r="DK311" s="569"/>
      <c r="DL311" s="569"/>
      <c r="DM311" s="569"/>
      <c r="DN311" s="569"/>
      <c r="DO311" s="569"/>
      <c r="DP311" s="569"/>
      <c r="DQ311" s="569"/>
      <c r="DR311" s="569"/>
      <c r="DS311" s="569"/>
      <c r="DT311" s="569"/>
      <c r="DU311" s="569"/>
      <c r="DV311" s="569"/>
      <c r="DW311" s="569"/>
      <c r="DX311" s="569"/>
      <c r="DY311" s="569"/>
      <c r="DZ311" s="569"/>
      <c r="EA311" s="569"/>
      <c r="EB311" s="569"/>
      <c r="EC311" s="569"/>
      <c r="ED311" s="569"/>
      <c r="EE311" s="569"/>
      <c r="EF311" s="569"/>
      <c r="EG311" s="569"/>
      <c r="EH311" s="569"/>
      <c r="EI311" s="569"/>
      <c r="EJ311" s="569"/>
      <c r="EK311" s="569"/>
      <c r="EL311" s="569"/>
      <c r="EM311" s="569"/>
      <c r="EN311" s="569"/>
      <c r="EO311" s="569"/>
      <c r="EP311" s="569"/>
      <c r="EQ311" s="569"/>
      <c r="ER311" s="569"/>
      <c r="ES311" s="569"/>
      <c r="ET311" s="569"/>
      <c r="EU311" s="569"/>
      <c r="EV311" s="569"/>
      <c r="EW311" s="569"/>
      <c r="EX311" s="569"/>
      <c r="EY311" s="569"/>
      <c r="EZ311" s="569"/>
      <c r="FA311" s="569"/>
      <c r="FB311" s="569"/>
      <c r="FC311" s="569"/>
      <c r="FD311" s="569"/>
      <c r="FE311" s="569"/>
      <c r="FF311" s="569"/>
      <c r="FG311" s="569"/>
      <c r="FH311" s="569"/>
      <c r="FI311" s="569"/>
      <c r="FJ311" s="569"/>
      <c r="FK311" s="569"/>
      <c r="FL311" s="569"/>
      <c r="FM311" s="569"/>
      <c r="FN311" s="569"/>
      <c r="FO311" s="569"/>
      <c r="FP311" s="569"/>
      <c r="FQ311" s="569"/>
      <c r="FR311" s="569"/>
      <c r="FS311" s="569"/>
      <c r="FT311" s="569"/>
      <c r="FU311" s="569"/>
      <c r="FV311" s="569"/>
      <c r="FW311" s="569"/>
      <c r="FX311" s="569"/>
      <c r="FY311" s="569"/>
      <c r="FZ311" s="569"/>
      <c r="GA311" s="569"/>
      <c r="GB311" s="569"/>
      <c r="GC311" s="569"/>
      <c r="GD311" s="569"/>
      <c r="GE311" s="569"/>
      <c r="GF311" s="569"/>
      <c r="GG311" s="569"/>
      <c r="GH311" s="569"/>
      <c r="GI311" s="569"/>
      <c r="GJ311" s="569"/>
      <c r="GK311" s="569"/>
      <c r="GL311" s="569"/>
      <c r="GM311" s="569"/>
      <c r="GN311" s="569"/>
      <c r="GO311" s="569"/>
      <c r="GP311" s="569"/>
      <c r="GQ311" s="569"/>
      <c r="GR311" s="569"/>
      <c r="GS311" s="569"/>
      <c r="GT311" s="569"/>
      <c r="GU311" s="569"/>
      <c r="GV311" s="569"/>
      <c r="GW311" s="569"/>
      <c r="GX311" s="569"/>
      <c r="GY311" s="569"/>
      <c r="GZ311" s="569"/>
      <c r="HA311" s="569"/>
      <c r="HB311" s="569"/>
      <c r="HC311" s="569"/>
      <c r="HD311" s="569"/>
      <c r="HE311" s="569"/>
      <c r="HF311" s="569"/>
      <c r="HG311" s="569"/>
      <c r="HH311" s="569"/>
      <c r="HI311" s="569"/>
      <c r="HJ311" s="569"/>
      <c r="HK311" s="569"/>
      <c r="HL311" s="569"/>
      <c r="HM311" s="569"/>
      <c r="HN311" s="569"/>
      <c r="HO311" s="569"/>
      <c r="HP311" s="569"/>
      <c r="HQ311" s="569"/>
      <c r="HR311" s="569"/>
      <c r="HS311" s="569"/>
      <c r="HT311" s="569"/>
      <c r="HU311" s="569"/>
      <c r="HV311" s="569"/>
      <c r="HW311" s="569"/>
      <c r="HX311" s="569"/>
      <c r="HY311" s="569"/>
      <c r="HZ311" s="569"/>
      <c r="IA311" s="569"/>
      <c r="IB311" s="569"/>
      <c r="IC311" s="569"/>
      <c r="ID311" s="569"/>
      <c r="IE311" s="569"/>
      <c r="IF311" s="569"/>
      <c r="IG311" s="569"/>
      <c r="IH311" s="569"/>
      <c r="II311" s="569"/>
      <c r="IJ311" s="569"/>
      <c r="IK311" s="569"/>
      <c r="IL311" s="569"/>
      <c r="IM311" s="569"/>
      <c r="IN311" s="569"/>
      <c r="IO311" s="569"/>
      <c r="IP311" s="569"/>
      <c r="IQ311" s="569"/>
      <c r="IR311" s="569"/>
      <c r="IS311" s="569"/>
      <c r="IT311" s="569"/>
      <c r="IU311" s="569"/>
      <c r="IV311" s="569"/>
      <c r="IW311" s="569"/>
      <c r="IX311" s="569"/>
      <c r="IY311" s="569"/>
      <c r="IZ311" s="569"/>
      <c r="JA311" s="569"/>
      <c r="JB311" s="569"/>
      <c r="JC311" s="569"/>
      <c r="JD311" s="569"/>
      <c r="JE311" s="569"/>
      <c r="JF311" s="569"/>
      <c r="JG311" s="569"/>
      <c r="JH311" s="569"/>
      <c r="JI311" s="569"/>
      <c r="JJ311" s="569"/>
      <c r="JK311" s="569"/>
      <c r="JL311" s="569"/>
      <c r="JM311" s="569"/>
      <c r="JN311" s="569"/>
      <c r="JO311" s="569"/>
      <c r="JP311" s="569"/>
      <c r="JQ311" s="569"/>
      <c r="JR311" s="569"/>
      <c r="JS311" s="569"/>
      <c r="JT311" s="569"/>
      <c r="JU311" s="569"/>
      <c r="JV311" s="569"/>
      <c r="JW311" s="569"/>
      <c r="JX311" s="569"/>
      <c r="JY311" s="569"/>
      <c r="JZ311" s="569"/>
      <c r="KA311" s="569"/>
      <c r="KB311" s="569"/>
      <c r="KC311" s="569"/>
      <c r="KD311" s="569"/>
      <c r="KE311" s="569"/>
      <c r="KF311" s="569"/>
      <c r="KG311" s="569"/>
      <c r="KH311" s="569"/>
      <c r="KI311" s="569"/>
      <c r="KJ311" s="569"/>
      <c r="KK311" s="569"/>
      <c r="KL311" s="569"/>
      <c r="KM311" s="569"/>
      <c r="KN311" s="569"/>
      <c r="KO311" s="569"/>
      <c r="KP311" s="569"/>
      <c r="KQ311" s="569"/>
      <c r="KR311" s="569"/>
      <c r="KS311" s="569"/>
      <c r="KT311" s="569"/>
      <c r="KU311" s="569"/>
      <c r="KV311" s="569"/>
      <c r="KW311" s="569"/>
      <c r="KX311" s="569"/>
      <c r="KY311" s="569"/>
      <c r="KZ311" s="569"/>
      <c r="LA311" s="569"/>
      <c r="LB311" s="569"/>
      <c r="LC311" s="569"/>
      <c r="LD311" s="569"/>
      <c r="LE311" s="569"/>
      <c r="LF311" s="569"/>
      <c r="LG311" s="569"/>
      <c r="LH311" s="569"/>
      <c r="LI311" s="569"/>
      <c r="LJ311" s="569"/>
      <c r="LK311" s="569"/>
      <c r="LL311" s="569"/>
      <c r="LM311" s="569"/>
      <c r="LN311" s="569"/>
      <c r="LO311" s="569"/>
      <c r="LP311" s="569"/>
      <c r="LQ311" s="569"/>
      <c r="LR311" s="569"/>
      <c r="LS311" s="569"/>
      <c r="LT311" s="569"/>
      <c r="LU311" s="569"/>
      <c r="LV311" s="569"/>
      <c r="LW311" s="569"/>
      <c r="LX311" s="569"/>
      <c r="LY311" s="569"/>
      <c r="LZ311" s="569"/>
      <c r="MA311" s="569"/>
      <c r="MB311" s="569"/>
      <c r="MC311" s="569"/>
      <c r="MD311" s="569"/>
      <c r="ME311" s="569"/>
      <c r="MF311" s="569"/>
      <c r="MG311" s="569"/>
      <c r="MH311" s="569"/>
      <c r="MI311" s="569"/>
      <c r="MJ311" s="569"/>
      <c r="MK311" s="569"/>
      <c r="ML311" s="569"/>
      <c r="MM311" s="569"/>
      <c r="MN311" s="569"/>
      <c r="MO311" s="569"/>
      <c r="MP311" s="569"/>
      <c r="MQ311" s="569"/>
      <c r="MR311" s="569"/>
      <c r="MS311" s="569"/>
      <c r="MT311" s="569"/>
      <c r="MU311" s="569"/>
      <c r="MV311" s="569"/>
      <c r="MW311" s="569"/>
      <c r="MX311" s="569"/>
      <c r="MY311" s="569"/>
      <c r="MZ311" s="569"/>
      <c r="NA311" s="569"/>
      <c r="NB311" s="569"/>
      <c r="NC311" s="569"/>
      <c r="ND311" s="569"/>
      <c r="NE311" s="569"/>
      <c r="NF311" s="569"/>
      <c r="NG311" s="569"/>
      <c r="NH311" s="569"/>
      <c r="NI311" s="569"/>
      <c r="NJ311" s="569"/>
      <c r="NK311" s="569"/>
      <c r="NL311" s="569"/>
      <c r="NM311" s="569"/>
      <c r="NN311" s="569"/>
      <c r="NO311" s="569"/>
      <c r="NP311" s="569"/>
      <c r="NQ311" s="569"/>
      <c r="NR311" s="569"/>
      <c r="NS311" s="569"/>
      <c r="NT311" s="569"/>
      <c r="NU311" s="569"/>
      <c r="NV311" s="569"/>
      <c r="NW311" s="569"/>
      <c r="NX311" s="569"/>
      <c r="NY311" s="569"/>
      <c r="NZ311" s="569"/>
      <c r="OA311" s="569"/>
      <c r="OB311" s="569"/>
      <c r="OC311" s="569"/>
      <c r="OD311" s="569"/>
      <c r="OE311" s="569"/>
      <c r="OF311" s="569"/>
      <c r="OG311" s="569"/>
      <c r="OH311" s="569"/>
      <c r="OI311" s="569"/>
      <c r="OJ311" s="569"/>
      <c r="OK311" s="569"/>
      <c r="OL311" s="569"/>
      <c r="OM311" s="569"/>
      <c r="ON311" s="569"/>
      <c r="OO311" s="569"/>
      <c r="OP311" s="569"/>
      <c r="OQ311" s="569"/>
      <c r="OR311" s="569"/>
      <c r="OS311" s="569"/>
      <c r="OT311" s="569"/>
      <c r="OU311" s="569"/>
      <c r="OV311" s="569"/>
      <c r="OW311" s="569"/>
      <c r="OX311" s="569"/>
      <c r="OY311" s="569"/>
      <c r="OZ311" s="569"/>
      <c r="PA311" s="569"/>
      <c r="PB311" s="569"/>
      <c r="PC311" s="569"/>
      <c r="PD311" s="569"/>
      <c r="PE311" s="569"/>
      <c r="PF311" s="569"/>
      <c r="PG311" s="569"/>
      <c r="PH311" s="569"/>
      <c r="PI311" s="569"/>
      <c r="PJ311" s="569"/>
      <c r="PK311" s="569"/>
      <c r="PL311" s="569"/>
      <c r="PM311" s="569"/>
      <c r="PN311" s="569"/>
      <c r="PO311" s="569"/>
      <c r="PP311" s="569"/>
      <c r="PQ311" s="569"/>
      <c r="PR311" s="569"/>
      <c r="PS311" s="569"/>
      <c r="PT311" s="569"/>
      <c r="PU311" s="569"/>
      <c r="PV311" s="569"/>
      <c r="PW311" s="569"/>
      <c r="PX311" s="569"/>
      <c r="PY311" s="569"/>
      <c r="PZ311" s="569"/>
      <c r="QA311" s="569"/>
      <c r="QB311" s="569"/>
      <c r="QC311" s="569"/>
      <c r="QD311" s="569"/>
      <c r="QE311" s="569"/>
      <c r="QF311" s="569"/>
      <c r="QG311" s="569"/>
      <c r="QH311" s="569"/>
      <c r="QI311" s="569"/>
      <c r="QJ311" s="569"/>
      <c r="QK311" s="569"/>
      <c r="QL311" s="569"/>
    </row>
    <row r="312" spans="1:454" ht="45">
      <c r="B312" s="267"/>
      <c r="C312" s="561"/>
      <c r="D312" s="565"/>
      <c r="E312" s="565"/>
      <c r="F312" s="565"/>
      <c r="G312" s="565"/>
      <c r="H312" s="565" t="str">
        <f>'matrik MISI 3'!N37</f>
        <v>Proporsi Sampah Terangkut terhadap Produksi Sampah se-Kab. Temanggung</v>
      </c>
      <c r="I312" s="565" t="str">
        <f>'matrik MISI 3'!O37</f>
        <v>%</v>
      </c>
      <c r="J312" s="565">
        <f>'matrik MISI 3'!P37</f>
        <v>10.38</v>
      </c>
      <c r="K312" s="565">
        <f>'matrik MISI 3'!Q37</f>
        <v>10.35</v>
      </c>
      <c r="L312" s="565" t="str">
        <f>'matrik MISI 3'!R37</f>
        <v>12,50</v>
      </c>
      <c r="M312" s="604"/>
      <c r="N312" s="565">
        <f>'matrik MISI 3'!S37</f>
        <v>13</v>
      </c>
      <c r="O312" s="564"/>
      <c r="P312" s="565" t="str">
        <f>'matrik MISI 3'!T37</f>
        <v>13,50</v>
      </c>
      <c r="Q312" s="564"/>
      <c r="R312" s="565">
        <f>'matrik MISI 3'!U37</f>
        <v>14</v>
      </c>
      <c r="S312" s="564"/>
      <c r="T312" s="565" t="str">
        <f>'matrik MISI 3'!V37</f>
        <v>14,50</v>
      </c>
      <c r="U312" s="564"/>
      <c r="V312" s="565">
        <f>'matrik MISI 3'!W37</f>
        <v>15</v>
      </c>
      <c r="W312" s="564"/>
      <c r="X312" s="565" t="str">
        <f>'matrik MISI 3'!X37</f>
        <v>DPU</v>
      </c>
      <c r="Y312" s="565" t="str">
        <f>'matrik MISI 3'!Y37</f>
        <v>jumlah sampah terangkut / jumlah volume sampah se-kabupaten temanggung x 100 %</v>
      </c>
      <c r="Z312" s="565">
        <f>'matrik MISI 3'!Z37</f>
        <v>0</v>
      </c>
    </row>
    <row r="313" spans="1:454" ht="60">
      <c r="C313" s="561"/>
      <c r="D313" s="565"/>
      <c r="E313" s="565"/>
      <c r="F313" s="565"/>
      <c r="G313" s="565"/>
      <c r="H313" s="565" t="str">
        <f>'matrik MISI 3'!N38</f>
        <v>Proporsi Sampah Terangkut terhadap Produksi Sampah Ibukota Kabupaten          (Kecamatan Temanggung)</v>
      </c>
      <c r="I313" s="565" t="str">
        <f>'matrik MISI 3'!O38</f>
        <v>%</v>
      </c>
      <c r="J313" s="565">
        <f>'matrik MISI 3'!P38</f>
        <v>76</v>
      </c>
      <c r="K313" s="565">
        <f>'matrik MISI 3'!Q38</f>
        <v>80</v>
      </c>
      <c r="L313" s="565">
        <f>'matrik MISI 3'!R38</f>
        <v>80</v>
      </c>
      <c r="M313" s="604"/>
      <c r="N313" s="565">
        <f>'matrik MISI 3'!S38</f>
        <v>83</v>
      </c>
      <c r="O313" s="564"/>
      <c r="P313" s="565">
        <f>'matrik MISI 3'!T38</f>
        <v>85</v>
      </c>
      <c r="Q313" s="564"/>
      <c r="R313" s="565">
        <f>'matrik MISI 3'!U38</f>
        <v>86</v>
      </c>
      <c r="S313" s="564"/>
      <c r="T313" s="565">
        <f>'matrik MISI 3'!V38</f>
        <v>87</v>
      </c>
      <c r="U313" s="564"/>
      <c r="V313" s="565">
        <f>'matrik MISI 3'!W38</f>
        <v>87</v>
      </c>
      <c r="W313" s="564"/>
      <c r="X313" s="565" t="str">
        <f>'matrik MISI 3'!X38</f>
        <v>DPU</v>
      </c>
      <c r="Y313" s="565" t="str">
        <f>'matrik MISI 3'!Y38</f>
        <v>jumlah Kelurahan/ desa terlayani/ jumlah Kelurahan/ Desa yang ada x 100 %</v>
      </c>
      <c r="Z313" s="565">
        <f>'matrik MISI 3'!Z38</f>
        <v>0</v>
      </c>
    </row>
    <row r="314" spans="1:454" ht="60">
      <c r="C314" s="561"/>
      <c r="D314" s="565"/>
      <c r="E314" s="565"/>
      <c r="F314" s="565"/>
      <c r="G314" s="565"/>
      <c r="H314" s="565" t="str">
        <f>'matrik MISI 3'!N39</f>
        <v>Proporsi Sampah Terangkut /tertangani terhadap Produksi Sampah perkotaan (Ibukota kecamatan se-Kab. Temanggung)</v>
      </c>
      <c r="I314" s="565" t="str">
        <f>'matrik MISI 3'!O39</f>
        <v>%</v>
      </c>
      <c r="J314" s="565">
        <f>'matrik MISI 3'!P39</f>
        <v>45</v>
      </c>
      <c r="K314" s="565">
        <f>'matrik MISI 3'!Q39</f>
        <v>50</v>
      </c>
      <c r="L314" s="565">
        <f>'matrik MISI 3'!R39</f>
        <v>55</v>
      </c>
      <c r="M314" s="604"/>
      <c r="N314" s="565">
        <f>'matrik MISI 3'!S39</f>
        <v>55</v>
      </c>
      <c r="O314" s="564"/>
      <c r="P314" s="565">
        <f>'matrik MISI 3'!T39</f>
        <v>60</v>
      </c>
      <c r="Q314" s="564"/>
      <c r="R314" s="565">
        <f>'matrik MISI 3'!U39</f>
        <v>60</v>
      </c>
      <c r="S314" s="564"/>
      <c r="T314" s="565">
        <f>'matrik MISI 3'!V39</f>
        <v>65</v>
      </c>
      <c r="U314" s="564"/>
      <c r="V314" s="565">
        <f>'matrik MISI 3'!W39</f>
        <v>65</v>
      </c>
      <c r="W314" s="564"/>
      <c r="X314" s="565" t="str">
        <f>'matrik MISI 3'!X39</f>
        <v>DPU</v>
      </c>
      <c r="Y314" s="565" t="str">
        <f>'matrik MISI 3'!Y39</f>
        <v>jumlah ikk yang dilayani / jumlah kk yg ada x 100 %</v>
      </c>
      <c r="Z314" s="565" t="str">
        <f>'matrik MISI 3'!Z39</f>
        <v>pada tahun 2013 yang sudah dilayani adalah IKK Candiroto, Ngadirejo, Parakan, Bulu, Kedu, Temanggung, Tlogomulyo, Kranggan, Kandangan, Pringsurat</v>
      </c>
    </row>
    <row r="315" spans="1:454" ht="30">
      <c r="C315" s="561"/>
      <c r="D315" s="565"/>
      <c r="E315" s="565"/>
      <c r="F315" s="565"/>
      <c r="G315" s="565"/>
      <c r="H315" s="565" t="str">
        <f>'matrik MISI 3'!N40</f>
        <v>Terwujudnya TPA Temanggung wilayah Utara</v>
      </c>
      <c r="I315" s="565" t="str">
        <f>'matrik MISI 3'!O40</f>
        <v>unit</v>
      </c>
      <c r="J315" s="565" t="str">
        <f>'matrik MISI 3'!P40</f>
        <v>-</v>
      </c>
      <c r="K315" s="565" t="str">
        <f>'matrik MISI 3'!Q40</f>
        <v>-</v>
      </c>
      <c r="L315" s="565" t="str">
        <f>'matrik MISI 3'!R40</f>
        <v>-</v>
      </c>
      <c r="M315" s="604"/>
      <c r="N315" s="565">
        <f>'matrik MISI 3'!S40</f>
        <v>0</v>
      </c>
      <c r="O315" s="564"/>
      <c r="P315" s="565">
        <f>'matrik MISI 3'!T40</f>
        <v>0</v>
      </c>
      <c r="Q315" s="564"/>
      <c r="R315" s="565">
        <f>'matrik MISI 3'!U40</f>
        <v>1</v>
      </c>
      <c r="S315" s="564"/>
      <c r="T315" s="565">
        <f>'matrik MISI 3'!V40</f>
        <v>1</v>
      </c>
      <c r="U315" s="564"/>
      <c r="V315" s="565">
        <f>'matrik MISI 3'!W40</f>
        <v>1</v>
      </c>
      <c r="W315" s="564"/>
      <c r="X315" s="565" t="str">
        <f>'matrik MISI 3'!X40</f>
        <v>DPU, Pemerintahan Umum, BLH</v>
      </c>
      <c r="Y315" s="565">
        <f>'matrik MISI 3'!Y40</f>
        <v>0</v>
      </c>
      <c r="Z315" s="565" t="str">
        <f>'matrik MISI 3'!Z40</f>
        <v>satuan unit</v>
      </c>
    </row>
    <row r="316" spans="1:454" s="574" customFormat="1" ht="60">
      <c r="A316" s="569"/>
      <c r="B316" s="575"/>
      <c r="C316" s="576"/>
      <c r="D316" s="577" t="str">
        <f>'matrik MISI 3'!J41</f>
        <v>1.08</v>
      </c>
      <c r="E316" s="577" t="str">
        <f>'matrik MISI 3'!K41</f>
        <v>xx</v>
      </c>
      <c r="F316" s="577">
        <f>'matrik MISI 3'!L41</f>
        <v>15</v>
      </c>
      <c r="G316" s="577" t="str">
        <f>'matrik MISI 3'!M41</f>
        <v>Program Pengendalian Pencemaran dan Perusakan Lingkungan Hidup</v>
      </c>
      <c r="H316" s="577"/>
      <c r="I316" s="577"/>
      <c r="J316" s="577"/>
      <c r="K316" s="577"/>
      <c r="L316" s="577"/>
      <c r="M316" s="578">
        <f>'jangan dihapus 2'!K452+'jangan dihapus 2'!K468+'jangan dihapus 2'!K480+'jangan dihapus 2'!K483+'jangan dihapus 2'!K488</f>
        <v>2889738500</v>
      </c>
      <c r="N316" s="578"/>
      <c r="O316" s="578">
        <f>'jangan dihapus 2'!M452+'jangan dihapus 2'!M468+'jangan dihapus 2'!M480+'jangan dihapus 2'!M483+'jangan dihapus 2'!M488</f>
        <v>4400833500</v>
      </c>
      <c r="P316" s="578"/>
      <c r="Q316" s="578">
        <f>'jangan dihapus 2'!O452+'jangan dihapus 2'!O468+'jangan dihapus 2'!O480+'jangan dihapus 2'!O483+'jangan dihapus 2'!O488</f>
        <v>5100000000</v>
      </c>
      <c r="R316" s="578"/>
      <c r="S316" s="578">
        <f>'jangan dihapus 2'!Q452+'jangan dihapus 2'!Q468+'jangan dihapus 2'!Q480+'jangan dihapus 2'!Q483+'jangan dihapus 2'!Q488</f>
        <v>5315000000</v>
      </c>
      <c r="T316" s="578"/>
      <c r="U316" s="578">
        <f>'jangan dihapus 2'!S452+'jangan dihapus 2'!S468+'jangan dihapus 2'!S480+'jangan dihapus 2'!S483+'jangan dihapus 2'!S488</f>
        <v>5845000000</v>
      </c>
      <c r="V316" s="577"/>
      <c r="W316" s="578">
        <f>SUM(M316:U316)</f>
        <v>23550572000</v>
      </c>
      <c r="X316" s="577"/>
      <c r="Y316" s="577"/>
      <c r="Z316" s="577"/>
      <c r="AA316" s="569"/>
      <c r="AB316" s="569"/>
      <c r="AC316" s="569"/>
      <c r="AD316" s="569"/>
      <c r="AE316" s="569"/>
      <c r="AF316" s="569"/>
      <c r="AG316" s="569"/>
      <c r="AH316" s="569"/>
      <c r="AI316" s="569"/>
      <c r="AJ316" s="569"/>
      <c r="AK316" s="569"/>
      <c r="AL316" s="569"/>
      <c r="AM316" s="569"/>
      <c r="AN316" s="569"/>
      <c r="AO316" s="569"/>
      <c r="AP316" s="569"/>
      <c r="AQ316" s="569"/>
      <c r="AR316" s="569"/>
      <c r="AS316" s="569"/>
      <c r="AT316" s="569"/>
      <c r="AU316" s="569"/>
      <c r="AV316" s="569"/>
      <c r="AW316" s="569"/>
      <c r="AX316" s="569"/>
      <c r="AY316" s="569"/>
      <c r="AZ316" s="569"/>
      <c r="BA316" s="569"/>
      <c r="BB316" s="569"/>
      <c r="BC316" s="569"/>
      <c r="BD316" s="569"/>
      <c r="BE316" s="569"/>
      <c r="BF316" s="569"/>
      <c r="BG316" s="569"/>
      <c r="BH316" s="569"/>
      <c r="BI316" s="569"/>
      <c r="BJ316" s="569"/>
      <c r="BK316" s="569"/>
      <c r="BL316" s="569"/>
      <c r="BM316" s="569"/>
      <c r="BN316" s="569"/>
      <c r="BO316" s="569"/>
      <c r="BP316" s="569"/>
      <c r="BQ316" s="569"/>
      <c r="BR316" s="569"/>
      <c r="BS316" s="569"/>
      <c r="BT316" s="569"/>
      <c r="BU316" s="569"/>
      <c r="BV316" s="569"/>
      <c r="BW316" s="569"/>
      <c r="BX316" s="569"/>
      <c r="BY316" s="569"/>
      <c r="BZ316" s="569"/>
      <c r="CA316" s="569"/>
      <c r="CB316" s="569"/>
      <c r="CC316" s="569"/>
      <c r="CD316" s="569"/>
      <c r="CE316" s="569"/>
      <c r="CF316" s="569"/>
      <c r="CG316" s="569"/>
      <c r="CH316" s="569"/>
      <c r="CI316" s="569"/>
      <c r="CJ316" s="569"/>
      <c r="CK316" s="569"/>
      <c r="CL316" s="569"/>
      <c r="CM316" s="569"/>
      <c r="CN316" s="569"/>
      <c r="CO316" s="569"/>
      <c r="CP316" s="569"/>
      <c r="CQ316" s="569"/>
      <c r="CR316" s="569"/>
      <c r="CS316" s="569"/>
      <c r="CT316" s="569"/>
      <c r="CU316" s="569"/>
      <c r="CV316" s="569"/>
      <c r="CW316" s="569"/>
      <c r="CX316" s="569"/>
      <c r="CY316" s="569"/>
      <c r="CZ316" s="569"/>
      <c r="DA316" s="569"/>
      <c r="DB316" s="569"/>
      <c r="DC316" s="569"/>
      <c r="DD316" s="569"/>
      <c r="DE316" s="569"/>
      <c r="DF316" s="569"/>
      <c r="DG316" s="569"/>
      <c r="DH316" s="569"/>
      <c r="DI316" s="569"/>
      <c r="DJ316" s="569"/>
      <c r="DK316" s="569"/>
      <c r="DL316" s="569"/>
      <c r="DM316" s="569"/>
      <c r="DN316" s="569"/>
      <c r="DO316" s="569"/>
      <c r="DP316" s="569"/>
      <c r="DQ316" s="569"/>
      <c r="DR316" s="569"/>
      <c r="DS316" s="569"/>
      <c r="DT316" s="569"/>
      <c r="DU316" s="569"/>
      <c r="DV316" s="569"/>
      <c r="DW316" s="569"/>
      <c r="DX316" s="569"/>
      <c r="DY316" s="569"/>
      <c r="DZ316" s="569"/>
      <c r="EA316" s="569"/>
      <c r="EB316" s="569"/>
      <c r="EC316" s="569"/>
      <c r="ED316" s="569"/>
      <c r="EE316" s="569"/>
      <c r="EF316" s="569"/>
      <c r="EG316" s="569"/>
      <c r="EH316" s="569"/>
      <c r="EI316" s="569"/>
      <c r="EJ316" s="569"/>
      <c r="EK316" s="569"/>
      <c r="EL316" s="569"/>
      <c r="EM316" s="569"/>
      <c r="EN316" s="569"/>
      <c r="EO316" s="569"/>
      <c r="EP316" s="569"/>
      <c r="EQ316" s="569"/>
      <c r="ER316" s="569"/>
      <c r="ES316" s="569"/>
      <c r="ET316" s="569"/>
      <c r="EU316" s="569"/>
      <c r="EV316" s="569"/>
      <c r="EW316" s="569"/>
      <c r="EX316" s="569"/>
      <c r="EY316" s="569"/>
      <c r="EZ316" s="569"/>
      <c r="FA316" s="569"/>
      <c r="FB316" s="569"/>
      <c r="FC316" s="569"/>
      <c r="FD316" s="569"/>
      <c r="FE316" s="569"/>
      <c r="FF316" s="569"/>
      <c r="FG316" s="569"/>
      <c r="FH316" s="569"/>
      <c r="FI316" s="569"/>
      <c r="FJ316" s="569"/>
      <c r="FK316" s="569"/>
      <c r="FL316" s="569"/>
      <c r="FM316" s="569"/>
      <c r="FN316" s="569"/>
      <c r="FO316" s="569"/>
      <c r="FP316" s="569"/>
      <c r="FQ316" s="569"/>
      <c r="FR316" s="569"/>
      <c r="FS316" s="569"/>
      <c r="FT316" s="569"/>
      <c r="FU316" s="569"/>
      <c r="FV316" s="569"/>
      <c r="FW316" s="569"/>
      <c r="FX316" s="569"/>
      <c r="FY316" s="569"/>
      <c r="FZ316" s="569"/>
      <c r="GA316" s="569"/>
      <c r="GB316" s="569"/>
      <c r="GC316" s="569"/>
      <c r="GD316" s="569"/>
      <c r="GE316" s="569"/>
      <c r="GF316" s="569"/>
      <c r="GG316" s="569"/>
      <c r="GH316" s="569"/>
      <c r="GI316" s="569"/>
      <c r="GJ316" s="569"/>
      <c r="GK316" s="569"/>
      <c r="GL316" s="569"/>
      <c r="GM316" s="569"/>
      <c r="GN316" s="569"/>
      <c r="GO316" s="569"/>
      <c r="GP316" s="569"/>
      <c r="GQ316" s="569"/>
      <c r="GR316" s="569"/>
      <c r="GS316" s="569"/>
      <c r="GT316" s="569"/>
      <c r="GU316" s="569"/>
      <c r="GV316" s="569"/>
      <c r="GW316" s="569"/>
      <c r="GX316" s="569"/>
      <c r="GY316" s="569"/>
      <c r="GZ316" s="569"/>
      <c r="HA316" s="569"/>
      <c r="HB316" s="569"/>
      <c r="HC316" s="569"/>
      <c r="HD316" s="569"/>
      <c r="HE316" s="569"/>
      <c r="HF316" s="569"/>
      <c r="HG316" s="569"/>
      <c r="HH316" s="569"/>
      <c r="HI316" s="569"/>
      <c r="HJ316" s="569"/>
      <c r="HK316" s="569"/>
      <c r="HL316" s="569"/>
      <c r="HM316" s="569"/>
      <c r="HN316" s="569"/>
      <c r="HO316" s="569"/>
      <c r="HP316" s="569"/>
      <c r="HQ316" s="569"/>
      <c r="HR316" s="569"/>
      <c r="HS316" s="569"/>
      <c r="HT316" s="569"/>
      <c r="HU316" s="569"/>
      <c r="HV316" s="569"/>
      <c r="HW316" s="569"/>
      <c r="HX316" s="569"/>
      <c r="HY316" s="569"/>
      <c r="HZ316" s="569"/>
      <c r="IA316" s="569"/>
      <c r="IB316" s="569"/>
      <c r="IC316" s="569"/>
      <c r="ID316" s="569"/>
      <c r="IE316" s="569"/>
      <c r="IF316" s="569"/>
      <c r="IG316" s="569"/>
      <c r="IH316" s="569"/>
      <c r="II316" s="569"/>
      <c r="IJ316" s="569"/>
      <c r="IK316" s="569"/>
      <c r="IL316" s="569"/>
      <c r="IM316" s="569"/>
      <c r="IN316" s="569"/>
      <c r="IO316" s="569"/>
      <c r="IP316" s="569"/>
      <c r="IQ316" s="569"/>
      <c r="IR316" s="569"/>
      <c r="IS316" s="569"/>
      <c r="IT316" s="569"/>
      <c r="IU316" s="569"/>
      <c r="IV316" s="569"/>
      <c r="IW316" s="569"/>
      <c r="IX316" s="569"/>
      <c r="IY316" s="569"/>
      <c r="IZ316" s="569"/>
      <c r="JA316" s="569"/>
      <c r="JB316" s="569"/>
      <c r="JC316" s="569"/>
      <c r="JD316" s="569"/>
      <c r="JE316" s="569"/>
      <c r="JF316" s="569"/>
      <c r="JG316" s="569"/>
      <c r="JH316" s="569"/>
      <c r="JI316" s="569"/>
      <c r="JJ316" s="569"/>
      <c r="JK316" s="569"/>
      <c r="JL316" s="569"/>
      <c r="JM316" s="569"/>
      <c r="JN316" s="569"/>
      <c r="JO316" s="569"/>
      <c r="JP316" s="569"/>
      <c r="JQ316" s="569"/>
      <c r="JR316" s="569"/>
      <c r="JS316" s="569"/>
      <c r="JT316" s="569"/>
      <c r="JU316" s="569"/>
      <c r="JV316" s="569"/>
      <c r="JW316" s="569"/>
      <c r="JX316" s="569"/>
      <c r="JY316" s="569"/>
      <c r="JZ316" s="569"/>
      <c r="KA316" s="569"/>
      <c r="KB316" s="569"/>
      <c r="KC316" s="569"/>
      <c r="KD316" s="569"/>
      <c r="KE316" s="569"/>
      <c r="KF316" s="569"/>
      <c r="KG316" s="569"/>
      <c r="KH316" s="569"/>
      <c r="KI316" s="569"/>
      <c r="KJ316" s="569"/>
      <c r="KK316" s="569"/>
      <c r="KL316" s="569"/>
      <c r="KM316" s="569"/>
      <c r="KN316" s="569"/>
      <c r="KO316" s="569"/>
      <c r="KP316" s="569"/>
      <c r="KQ316" s="569"/>
      <c r="KR316" s="569"/>
      <c r="KS316" s="569"/>
      <c r="KT316" s="569"/>
      <c r="KU316" s="569"/>
      <c r="KV316" s="569"/>
      <c r="KW316" s="569"/>
      <c r="KX316" s="569"/>
      <c r="KY316" s="569"/>
      <c r="KZ316" s="569"/>
      <c r="LA316" s="569"/>
      <c r="LB316" s="569"/>
      <c r="LC316" s="569"/>
      <c r="LD316" s="569"/>
      <c r="LE316" s="569"/>
      <c r="LF316" s="569"/>
      <c r="LG316" s="569"/>
      <c r="LH316" s="569"/>
      <c r="LI316" s="569"/>
      <c r="LJ316" s="569"/>
      <c r="LK316" s="569"/>
      <c r="LL316" s="569"/>
      <c r="LM316" s="569"/>
      <c r="LN316" s="569"/>
      <c r="LO316" s="569"/>
      <c r="LP316" s="569"/>
      <c r="LQ316" s="569"/>
      <c r="LR316" s="569"/>
      <c r="LS316" s="569"/>
      <c r="LT316" s="569"/>
      <c r="LU316" s="569"/>
      <c r="LV316" s="569"/>
      <c r="LW316" s="569"/>
      <c r="LX316" s="569"/>
      <c r="LY316" s="569"/>
      <c r="LZ316" s="569"/>
      <c r="MA316" s="569"/>
      <c r="MB316" s="569"/>
      <c r="MC316" s="569"/>
      <c r="MD316" s="569"/>
      <c r="ME316" s="569"/>
      <c r="MF316" s="569"/>
      <c r="MG316" s="569"/>
      <c r="MH316" s="569"/>
      <c r="MI316" s="569"/>
      <c r="MJ316" s="569"/>
      <c r="MK316" s="569"/>
      <c r="ML316" s="569"/>
      <c r="MM316" s="569"/>
      <c r="MN316" s="569"/>
      <c r="MO316" s="569"/>
      <c r="MP316" s="569"/>
      <c r="MQ316" s="569"/>
      <c r="MR316" s="569"/>
      <c r="MS316" s="569"/>
      <c r="MT316" s="569"/>
      <c r="MU316" s="569"/>
      <c r="MV316" s="569"/>
      <c r="MW316" s="569"/>
      <c r="MX316" s="569"/>
      <c r="MY316" s="569"/>
      <c r="MZ316" s="569"/>
      <c r="NA316" s="569"/>
      <c r="NB316" s="569"/>
      <c r="NC316" s="569"/>
      <c r="ND316" s="569"/>
      <c r="NE316" s="569"/>
      <c r="NF316" s="569"/>
      <c r="NG316" s="569"/>
      <c r="NH316" s="569"/>
      <c r="NI316" s="569"/>
      <c r="NJ316" s="569"/>
      <c r="NK316" s="569"/>
      <c r="NL316" s="569"/>
      <c r="NM316" s="569"/>
      <c r="NN316" s="569"/>
      <c r="NO316" s="569"/>
      <c r="NP316" s="569"/>
      <c r="NQ316" s="569"/>
      <c r="NR316" s="569"/>
      <c r="NS316" s="569"/>
      <c r="NT316" s="569"/>
      <c r="NU316" s="569"/>
      <c r="NV316" s="569"/>
      <c r="NW316" s="569"/>
      <c r="NX316" s="569"/>
      <c r="NY316" s="569"/>
      <c r="NZ316" s="569"/>
      <c r="OA316" s="569"/>
      <c r="OB316" s="569"/>
      <c r="OC316" s="569"/>
      <c r="OD316" s="569"/>
      <c r="OE316" s="569"/>
      <c r="OF316" s="569"/>
      <c r="OG316" s="569"/>
      <c r="OH316" s="569"/>
      <c r="OI316" s="569"/>
      <c r="OJ316" s="569"/>
      <c r="OK316" s="569"/>
      <c r="OL316" s="569"/>
      <c r="OM316" s="569"/>
      <c r="ON316" s="569"/>
      <c r="OO316" s="569"/>
      <c r="OP316" s="569"/>
      <c r="OQ316" s="569"/>
      <c r="OR316" s="569"/>
      <c r="OS316" s="569"/>
      <c r="OT316" s="569"/>
      <c r="OU316" s="569"/>
      <c r="OV316" s="569"/>
      <c r="OW316" s="569"/>
      <c r="OX316" s="569"/>
      <c r="OY316" s="569"/>
      <c r="OZ316" s="569"/>
      <c r="PA316" s="569"/>
      <c r="PB316" s="569"/>
      <c r="PC316" s="569"/>
      <c r="PD316" s="569"/>
      <c r="PE316" s="569"/>
      <c r="PF316" s="569"/>
      <c r="PG316" s="569"/>
      <c r="PH316" s="569"/>
      <c r="PI316" s="569"/>
      <c r="PJ316" s="569"/>
      <c r="PK316" s="569"/>
      <c r="PL316" s="569"/>
      <c r="PM316" s="569"/>
      <c r="PN316" s="569"/>
      <c r="PO316" s="569"/>
      <c r="PP316" s="569"/>
      <c r="PQ316" s="569"/>
      <c r="PR316" s="569"/>
      <c r="PS316" s="569"/>
      <c r="PT316" s="569"/>
      <c r="PU316" s="569"/>
      <c r="PV316" s="569"/>
      <c r="PW316" s="569"/>
      <c r="PX316" s="569"/>
      <c r="PY316" s="569"/>
      <c r="PZ316" s="569"/>
      <c r="QA316" s="569"/>
      <c r="QB316" s="569"/>
      <c r="QC316" s="569"/>
      <c r="QD316" s="569"/>
      <c r="QE316" s="569"/>
      <c r="QF316" s="569"/>
      <c r="QG316" s="569"/>
      <c r="QH316" s="569"/>
      <c r="QI316" s="569"/>
      <c r="QJ316" s="569"/>
      <c r="QK316" s="569"/>
      <c r="QL316" s="569"/>
    </row>
    <row r="317" spans="1:454" ht="75">
      <c r="C317" s="561"/>
      <c r="D317" s="568"/>
      <c r="E317" s="568"/>
      <c r="F317" s="568"/>
      <c r="G317" s="568"/>
      <c r="H317" s="565" t="str">
        <f>'matrik MISI 3'!N41</f>
        <v>Persentase Usaha dan atau Kegiatan yang Mentaati Persyaratan Administrasi dan Teknis Pencegahan Pencemaran Air</v>
      </c>
      <c r="I317" s="565" t="str">
        <f>'matrik MISI 3'!O41</f>
        <v>%</v>
      </c>
      <c r="J317" s="565">
        <f>'matrik MISI 3'!P41</f>
        <v>100</v>
      </c>
      <c r="K317" s="565">
        <f>'matrik MISI 3'!Q41</f>
        <v>100</v>
      </c>
      <c r="L317" s="565">
        <f>'matrik MISI 3'!R41</f>
        <v>100</v>
      </c>
      <c r="M317" s="604"/>
      <c r="N317" s="565">
        <f>'matrik MISI 3'!S41</f>
        <v>100</v>
      </c>
      <c r="O317" s="564"/>
      <c r="P317" s="565">
        <f>'matrik MISI 3'!T41</f>
        <v>100</v>
      </c>
      <c r="Q317" s="564"/>
      <c r="R317" s="565">
        <f>'matrik MISI 3'!U41</f>
        <v>100</v>
      </c>
      <c r="S317" s="564"/>
      <c r="T317" s="565">
        <f>'matrik MISI 3'!V41</f>
        <v>100</v>
      </c>
      <c r="U317" s="564"/>
      <c r="V317" s="565">
        <f>'matrik MISI 3'!W41</f>
        <v>100</v>
      </c>
      <c r="W317" s="564"/>
      <c r="X317" s="565" t="str">
        <f>'matrik MISI 3'!X41</f>
        <v>BLH</v>
      </c>
      <c r="Y317" s="565" t="str">
        <f>'matrik MISI 3'!Y41</f>
        <v>(Jumlah usaha dan/atau kegiatan yang mentaati   persyaratan administrasi dan teknis pencegahan pencemaran air : jumlah usaha dan/atau kegiatan yang potensial mencemari air ) x 100</v>
      </c>
      <c r="Z317" s="565">
        <f>'matrik MISI 3'!Z41</f>
        <v>0</v>
      </c>
    </row>
    <row r="318" spans="1:454" ht="90">
      <c r="C318" s="561"/>
      <c r="D318" s="565"/>
      <c r="E318" s="565"/>
      <c r="F318" s="565"/>
      <c r="G318" s="565"/>
      <c r="H318" s="565" t="str">
        <f>'matrik MISI 3'!N42</f>
        <v>Persentase Usaha dan atau Kegiatan sumber yang Tidak Bergerak yang Memenuhi Persyaratan Administrasi dan Teknis Pencegahan Pencemaran Udara</v>
      </c>
      <c r="I318" s="565" t="str">
        <f>'matrik MISI 3'!O42</f>
        <v>%</v>
      </c>
      <c r="J318" s="565" t="str">
        <f>'matrik MISI 3'!P42</f>
        <v>87,50</v>
      </c>
      <c r="K318" s="565">
        <f>'matrik MISI 3'!Q42</f>
        <v>100</v>
      </c>
      <c r="L318" s="565">
        <f>'matrik MISI 3'!R42</f>
        <v>100</v>
      </c>
      <c r="M318" s="604"/>
      <c r="N318" s="565">
        <f>'matrik MISI 3'!S42</f>
        <v>100</v>
      </c>
      <c r="O318" s="564"/>
      <c r="P318" s="565">
        <f>'matrik MISI 3'!T42</f>
        <v>100</v>
      </c>
      <c r="Q318" s="564"/>
      <c r="R318" s="565">
        <f>'matrik MISI 3'!U42</f>
        <v>100</v>
      </c>
      <c r="S318" s="564"/>
      <c r="T318" s="565">
        <f>'matrik MISI 3'!V42</f>
        <v>100</v>
      </c>
      <c r="U318" s="564"/>
      <c r="V318" s="565">
        <f>'matrik MISI 3'!W42</f>
        <v>100</v>
      </c>
      <c r="W318" s="564"/>
      <c r="X318" s="565" t="str">
        <f>'matrik MISI 3'!X42</f>
        <v>BLH</v>
      </c>
      <c r="Y318" s="565"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18" s="565">
        <f>'matrik MISI 3'!Z42</f>
        <v>0</v>
      </c>
    </row>
    <row r="319" spans="1:454" ht="75">
      <c r="C319" s="561"/>
      <c r="D319" s="565"/>
      <c r="E319" s="565"/>
      <c r="F319" s="565"/>
      <c r="G319" s="565"/>
      <c r="H319" s="565" t="str">
        <f>'matrik MISI 3'!N43</f>
        <v>Persentase Luas Lahan yang ditetapkan dan diinformasikan status kerusakan lahan atau tanah untuk Produksi Biomassa Kerusakannya</v>
      </c>
      <c r="I319" s="565" t="str">
        <f>'matrik MISI 3'!O43</f>
        <v>%</v>
      </c>
      <c r="J319" s="565" t="str">
        <f>'matrik MISI 3'!P43</f>
        <v>-</v>
      </c>
      <c r="K319" s="565" t="str">
        <f>'matrik MISI 3'!Q43</f>
        <v>-</v>
      </c>
      <c r="L319" s="565">
        <f>'matrik MISI 3'!R43</f>
        <v>20</v>
      </c>
      <c r="M319" s="604"/>
      <c r="N319" s="565">
        <f>'matrik MISI 3'!S43</f>
        <v>40</v>
      </c>
      <c r="O319" s="564"/>
      <c r="P319" s="565">
        <f>'matrik MISI 3'!T43</f>
        <v>60</v>
      </c>
      <c r="Q319" s="564"/>
      <c r="R319" s="565">
        <f>'matrik MISI 3'!U43</f>
        <v>80</v>
      </c>
      <c r="S319" s="564"/>
      <c r="T319" s="565">
        <f>'matrik MISI 3'!V43</f>
        <v>100</v>
      </c>
      <c r="U319" s="564"/>
      <c r="V319" s="565">
        <f>'matrik MISI 3'!W43</f>
        <v>100</v>
      </c>
      <c r="W319" s="564"/>
      <c r="X319" s="565" t="str">
        <f>'matrik MISI 3'!X43</f>
        <v>BLH</v>
      </c>
      <c r="Y319" s="565" t="str">
        <f>'matrik MISI 3'!Y43</f>
        <v>(luas lahan yang ditetapkan dan diinformasikan status kerusakan lahan/ tanah untuk produksi biomassa dibagi luas lahan yang diperuntukan untuk produksi biomassa)x 100</v>
      </c>
      <c r="Z319" s="565">
        <f>'matrik MISI 3'!Z43</f>
        <v>0</v>
      </c>
    </row>
    <row r="320" spans="1:454" ht="75">
      <c r="C320" s="561"/>
      <c r="D320" s="565"/>
      <c r="E320" s="565"/>
      <c r="F320" s="565"/>
      <c r="G320" s="565"/>
      <c r="H320" s="565" t="str">
        <f>'matrik MISI 3'!N44</f>
        <v>Persentase Pengaduan Masyarakat Akibat Adanya Dugaan Pencemaran dan atau Perusakan Lingkungan Hidup yang Ditindaklanjuti</v>
      </c>
      <c r="I320" s="565" t="str">
        <f>'matrik MISI 3'!O44</f>
        <v>%</v>
      </c>
      <c r="J320" s="565">
        <f>'matrik MISI 3'!P44</f>
        <v>100</v>
      </c>
      <c r="K320" s="565">
        <f>'matrik MISI 3'!Q44</f>
        <v>100</v>
      </c>
      <c r="L320" s="565">
        <f>'matrik MISI 3'!R44</f>
        <v>100</v>
      </c>
      <c r="M320" s="604"/>
      <c r="N320" s="565">
        <f>'matrik MISI 3'!S44</f>
        <v>100</v>
      </c>
      <c r="O320" s="564"/>
      <c r="P320" s="565">
        <f>'matrik MISI 3'!T44</f>
        <v>100</v>
      </c>
      <c r="Q320" s="564"/>
      <c r="R320" s="565">
        <f>'matrik MISI 3'!U44</f>
        <v>100</v>
      </c>
      <c r="S320" s="564"/>
      <c r="T320" s="565">
        <f>'matrik MISI 3'!V44</f>
        <v>100</v>
      </c>
      <c r="U320" s="564"/>
      <c r="V320" s="565">
        <f>'matrik MISI 3'!W44</f>
        <v>100</v>
      </c>
      <c r="W320" s="564"/>
      <c r="X320" s="565" t="str">
        <f>'matrik MISI 3'!X44</f>
        <v>BLH</v>
      </c>
      <c r="Y320" s="565" t="str">
        <f>'matrik MISI 3'!Y44</f>
        <v>(Jumlah Pengaduan yang ditindak lanjuti : Jumlah pengaduan yang masuk) x 100</v>
      </c>
      <c r="Z320" s="565" t="str">
        <f>'matrik MISI 3'!Z44</f>
        <v>Yang dimaksud dengan pengaduan adalah  pengaduan secara tertulis  kepada Bupati atau kepala instansi yang membidangi lingkungan hidup.</v>
      </c>
    </row>
    <row r="321" spans="1:454" ht="45">
      <c r="C321" s="561"/>
      <c r="D321" s="565"/>
      <c r="E321" s="565"/>
      <c r="F321" s="565"/>
      <c r="G321" s="565"/>
      <c r="H321" s="565" t="str">
        <f>'matrik MISI 3'!N45</f>
        <v>Persentase Perusahaan yang Memiliki Dokumen UKL, UPL, dan AMDAL</v>
      </c>
      <c r="I321" s="565" t="str">
        <f>'matrik MISI 3'!O45</f>
        <v>%</v>
      </c>
      <c r="J321" s="565">
        <f>'matrik MISI 3'!P45</f>
        <v>100</v>
      </c>
      <c r="K321" s="565">
        <f>'matrik MISI 3'!Q45</f>
        <v>100</v>
      </c>
      <c r="L321" s="565">
        <f>'matrik MISI 3'!R45</f>
        <v>100</v>
      </c>
      <c r="M321" s="604"/>
      <c r="N321" s="565">
        <f>'matrik MISI 3'!S45</f>
        <v>100</v>
      </c>
      <c r="O321" s="564"/>
      <c r="P321" s="565">
        <f>'matrik MISI 3'!T45</f>
        <v>100</v>
      </c>
      <c r="Q321" s="564"/>
      <c r="R321" s="565">
        <f>'matrik MISI 3'!U45</f>
        <v>100</v>
      </c>
      <c r="S321" s="564"/>
      <c r="T321" s="565">
        <f>'matrik MISI 3'!V45</f>
        <v>100</v>
      </c>
      <c r="U321" s="564"/>
      <c r="V321" s="565">
        <f>'matrik MISI 3'!W45</f>
        <v>100</v>
      </c>
      <c r="W321" s="564"/>
      <c r="X321" s="565" t="str">
        <f>'matrik MISI 3'!X45</f>
        <v>BLH</v>
      </c>
      <c r="Y321" s="565" t="str">
        <f>'matrik MISI 3'!Y45</f>
        <v>(Jumlah perusahaan yang memiliki dokumen UKL-UPL dan/atau AMDAL dibagi jumlah perusahaan yang wajib memiliki UKL-UPL dan/atau AMDAL) x 100</v>
      </c>
      <c r="Z321" s="565">
        <f>'matrik MISI 3'!Z45</f>
        <v>0</v>
      </c>
    </row>
    <row r="322" spans="1:454" s="570" customFormat="1">
      <c r="A322" s="569"/>
      <c r="B322" s="571"/>
      <c r="C322" s="572"/>
      <c r="D322" s="573"/>
      <c r="E322" s="573"/>
      <c r="F322" s="573"/>
      <c r="G322" s="571"/>
      <c r="H322" s="571"/>
      <c r="I322" s="571"/>
      <c r="J322" s="580"/>
      <c r="K322" s="580"/>
      <c r="L322" s="580"/>
      <c r="M322" s="606"/>
      <c r="N322" s="580"/>
      <c r="O322" s="581"/>
      <c r="P322" s="580"/>
      <c r="Q322" s="581"/>
      <c r="R322" s="580"/>
      <c r="S322" s="581"/>
      <c r="T322" s="580"/>
      <c r="U322" s="581"/>
      <c r="V322" s="580"/>
      <c r="W322" s="581"/>
      <c r="X322" s="571"/>
      <c r="Y322" s="582"/>
      <c r="Z322" s="582"/>
      <c r="AA322" s="569"/>
      <c r="AB322" s="569"/>
      <c r="AC322" s="569"/>
      <c r="AD322" s="569"/>
      <c r="AE322" s="569"/>
      <c r="AF322" s="569"/>
      <c r="AG322" s="569"/>
      <c r="AH322" s="569"/>
      <c r="AI322" s="569"/>
      <c r="AJ322" s="569"/>
      <c r="AK322" s="569"/>
      <c r="AL322" s="569"/>
      <c r="AM322" s="569"/>
      <c r="AN322" s="569"/>
      <c r="AO322" s="569"/>
      <c r="AP322" s="569"/>
      <c r="AQ322" s="569"/>
      <c r="AR322" s="569"/>
      <c r="AS322" s="569"/>
      <c r="AT322" s="569"/>
      <c r="AU322" s="569"/>
      <c r="AV322" s="569"/>
      <c r="AW322" s="569"/>
      <c r="AX322" s="569"/>
      <c r="AY322" s="569"/>
      <c r="AZ322" s="569"/>
      <c r="BA322" s="569"/>
      <c r="BB322" s="569"/>
      <c r="BC322" s="569"/>
      <c r="BD322" s="569"/>
      <c r="BE322" s="569"/>
      <c r="BF322" s="569"/>
      <c r="BG322" s="569"/>
      <c r="BH322" s="569"/>
      <c r="BI322" s="569"/>
      <c r="BJ322" s="569"/>
      <c r="BK322" s="569"/>
      <c r="BL322" s="569"/>
      <c r="BM322" s="569"/>
      <c r="BN322" s="569"/>
      <c r="BO322" s="569"/>
      <c r="BP322" s="569"/>
      <c r="BQ322" s="569"/>
      <c r="BR322" s="569"/>
      <c r="BS322" s="569"/>
      <c r="BT322" s="569"/>
      <c r="BU322" s="569"/>
      <c r="BV322" s="569"/>
      <c r="BW322" s="569"/>
      <c r="BX322" s="569"/>
      <c r="BY322" s="569"/>
      <c r="BZ322" s="569"/>
      <c r="CA322" s="569"/>
      <c r="CB322" s="569"/>
      <c r="CC322" s="569"/>
      <c r="CD322" s="569"/>
      <c r="CE322" s="569"/>
      <c r="CF322" s="569"/>
      <c r="CG322" s="569"/>
      <c r="CH322" s="569"/>
      <c r="CI322" s="569"/>
      <c r="CJ322" s="569"/>
      <c r="CK322" s="569"/>
      <c r="CL322" s="569"/>
      <c r="CM322" s="569"/>
      <c r="CN322" s="569"/>
      <c r="CO322" s="569"/>
      <c r="CP322" s="569"/>
      <c r="CQ322" s="569"/>
      <c r="CR322" s="569"/>
      <c r="CS322" s="569"/>
      <c r="CT322" s="569"/>
      <c r="CU322" s="569"/>
      <c r="CV322" s="569"/>
      <c r="CW322" s="569"/>
      <c r="CX322" s="569"/>
      <c r="CY322" s="569"/>
      <c r="CZ322" s="569"/>
      <c r="DA322" s="569"/>
      <c r="DB322" s="569"/>
      <c r="DC322" s="569"/>
      <c r="DD322" s="569"/>
      <c r="DE322" s="569"/>
      <c r="DF322" s="569"/>
      <c r="DG322" s="569"/>
      <c r="DH322" s="569"/>
      <c r="DI322" s="569"/>
      <c r="DJ322" s="569"/>
      <c r="DK322" s="569"/>
      <c r="DL322" s="569"/>
      <c r="DM322" s="569"/>
      <c r="DN322" s="569"/>
      <c r="DO322" s="569"/>
      <c r="DP322" s="569"/>
      <c r="DQ322" s="569"/>
      <c r="DR322" s="569"/>
      <c r="DS322" s="569"/>
      <c r="DT322" s="569"/>
      <c r="DU322" s="569"/>
      <c r="DV322" s="569"/>
      <c r="DW322" s="569"/>
      <c r="DX322" s="569"/>
      <c r="DY322" s="569"/>
      <c r="DZ322" s="569"/>
      <c r="EA322" s="569"/>
      <c r="EB322" s="569"/>
      <c r="EC322" s="569"/>
      <c r="ED322" s="569"/>
      <c r="EE322" s="569"/>
      <c r="EF322" s="569"/>
      <c r="EG322" s="569"/>
      <c r="EH322" s="569"/>
      <c r="EI322" s="569"/>
      <c r="EJ322" s="569"/>
      <c r="EK322" s="569"/>
      <c r="EL322" s="569"/>
      <c r="EM322" s="569"/>
      <c r="EN322" s="569"/>
      <c r="EO322" s="569"/>
      <c r="EP322" s="569"/>
      <c r="EQ322" s="569"/>
      <c r="ER322" s="569"/>
      <c r="ES322" s="569"/>
      <c r="ET322" s="569"/>
      <c r="EU322" s="569"/>
      <c r="EV322" s="569"/>
      <c r="EW322" s="569"/>
      <c r="EX322" s="569"/>
      <c r="EY322" s="569"/>
      <c r="EZ322" s="569"/>
      <c r="FA322" s="569"/>
      <c r="FB322" s="569"/>
      <c r="FC322" s="569"/>
      <c r="FD322" s="569"/>
      <c r="FE322" s="569"/>
      <c r="FF322" s="569"/>
      <c r="FG322" s="569"/>
      <c r="FH322" s="569"/>
      <c r="FI322" s="569"/>
      <c r="FJ322" s="569"/>
      <c r="FK322" s="569"/>
      <c r="FL322" s="569"/>
      <c r="FM322" s="569"/>
      <c r="FN322" s="569"/>
      <c r="FO322" s="569"/>
      <c r="FP322" s="569"/>
      <c r="FQ322" s="569"/>
      <c r="FR322" s="569"/>
      <c r="FS322" s="569"/>
      <c r="FT322" s="569"/>
      <c r="FU322" s="569"/>
      <c r="FV322" s="569"/>
      <c r="FW322" s="569"/>
      <c r="FX322" s="569"/>
      <c r="FY322" s="569"/>
      <c r="FZ322" s="569"/>
      <c r="GA322" s="569"/>
      <c r="GB322" s="569"/>
      <c r="GC322" s="569"/>
      <c r="GD322" s="569"/>
      <c r="GE322" s="569"/>
      <c r="GF322" s="569"/>
      <c r="GG322" s="569"/>
      <c r="GH322" s="569"/>
      <c r="GI322" s="569"/>
      <c r="GJ322" s="569"/>
      <c r="GK322" s="569"/>
      <c r="GL322" s="569"/>
      <c r="GM322" s="569"/>
      <c r="GN322" s="569"/>
      <c r="GO322" s="569"/>
      <c r="GP322" s="569"/>
      <c r="GQ322" s="569"/>
      <c r="GR322" s="569"/>
      <c r="GS322" s="569"/>
      <c r="GT322" s="569"/>
      <c r="GU322" s="569"/>
      <c r="GV322" s="569"/>
      <c r="GW322" s="569"/>
      <c r="GX322" s="569"/>
      <c r="GY322" s="569"/>
      <c r="GZ322" s="569"/>
      <c r="HA322" s="569"/>
      <c r="HB322" s="569"/>
      <c r="HC322" s="569"/>
      <c r="HD322" s="569"/>
      <c r="HE322" s="569"/>
      <c r="HF322" s="569"/>
      <c r="HG322" s="569"/>
      <c r="HH322" s="569"/>
      <c r="HI322" s="569"/>
      <c r="HJ322" s="569"/>
      <c r="HK322" s="569"/>
      <c r="HL322" s="569"/>
      <c r="HM322" s="569"/>
      <c r="HN322" s="569"/>
      <c r="HO322" s="569"/>
      <c r="HP322" s="569"/>
      <c r="HQ322" s="569"/>
      <c r="HR322" s="569"/>
      <c r="HS322" s="569"/>
      <c r="HT322" s="569"/>
      <c r="HU322" s="569"/>
      <c r="HV322" s="569"/>
      <c r="HW322" s="569"/>
      <c r="HX322" s="569"/>
      <c r="HY322" s="569"/>
      <c r="HZ322" s="569"/>
      <c r="IA322" s="569"/>
      <c r="IB322" s="569"/>
      <c r="IC322" s="569"/>
      <c r="ID322" s="569"/>
      <c r="IE322" s="569"/>
      <c r="IF322" s="569"/>
      <c r="IG322" s="569"/>
      <c r="IH322" s="569"/>
      <c r="II322" s="569"/>
      <c r="IJ322" s="569"/>
      <c r="IK322" s="569"/>
      <c r="IL322" s="569"/>
      <c r="IM322" s="569"/>
      <c r="IN322" s="569"/>
      <c r="IO322" s="569"/>
      <c r="IP322" s="569"/>
      <c r="IQ322" s="569"/>
      <c r="IR322" s="569"/>
      <c r="IS322" s="569"/>
      <c r="IT322" s="569"/>
      <c r="IU322" s="569"/>
      <c r="IV322" s="569"/>
      <c r="IW322" s="569"/>
      <c r="IX322" s="569"/>
      <c r="IY322" s="569"/>
      <c r="IZ322" s="569"/>
      <c r="JA322" s="569"/>
      <c r="JB322" s="569"/>
      <c r="JC322" s="569"/>
      <c r="JD322" s="569"/>
      <c r="JE322" s="569"/>
      <c r="JF322" s="569"/>
      <c r="JG322" s="569"/>
      <c r="JH322" s="569"/>
      <c r="JI322" s="569"/>
      <c r="JJ322" s="569"/>
      <c r="JK322" s="569"/>
      <c r="JL322" s="569"/>
      <c r="JM322" s="569"/>
      <c r="JN322" s="569"/>
      <c r="JO322" s="569"/>
      <c r="JP322" s="569"/>
      <c r="JQ322" s="569"/>
      <c r="JR322" s="569"/>
      <c r="JS322" s="569"/>
      <c r="JT322" s="569"/>
      <c r="JU322" s="569"/>
      <c r="JV322" s="569"/>
      <c r="JW322" s="569"/>
      <c r="JX322" s="569"/>
      <c r="JY322" s="569"/>
      <c r="JZ322" s="569"/>
      <c r="KA322" s="569"/>
      <c r="KB322" s="569"/>
      <c r="KC322" s="569"/>
      <c r="KD322" s="569"/>
      <c r="KE322" s="569"/>
      <c r="KF322" s="569"/>
      <c r="KG322" s="569"/>
      <c r="KH322" s="569"/>
      <c r="KI322" s="569"/>
      <c r="KJ322" s="569"/>
      <c r="KK322" s="569"/>
      <c r="KL322" s="569"/>
      <c r="KM322" s="569"/>
      <c r="KN322" s="569"/>
      <c r="KO322" s="569"/>
      <c r="KP322" s="569"/>
      <c r="KQ322" s="569"/>
      <c r="KR322" s="569"/>
      <c r="KS322" s="569"/>
      <c r="KT322" s="569"/>
      <c r="KU322" s="569"/>
      <c r="KV322" s="569"/>
      <c r="KW322" s="569"/>
      <c r="KX322" s="569"/>
      <c r="KY322" s="569"/>
      <c r="KZ322" s="569"/>
      <c r="LA322" s="569"/>
      <c r="LB322" s="569"/>
      <c r="LC322" s="569"/>
      <c r="LD322" s="569"/>
      <c r="LE322" s="569"/>
      <c r="LF322" s="569"/>
      <c r="LG322" s="569"/>
      <c r="LH322" s="569"/>
      <c r="LI322" s="569"/>
      <c r="LJ322" s="569"/>
      <c r="LK322" s="569"/>
      <c r="LL322" s="569"/>
      <c r="LM322" s="569"/>
      <c r="LN322" s="569"/>
      <c r="LO322" s="569"/>
      <c r="LP322" s="569"/>
      <c r="LQ322" s="569"/>
      <c r="LR322" s="569"/>
      <c r="LS322" s="569"/>
      <c r="LT322" s="569"/>
      <c r="LU322" s="569"/>
      <c r="LV322" s="569"/>
      <c r="LW322" s="569"/>
      <c r="LX322" s="569"/>
      <c r="LY322" s="569"/>
      <c r="LZ322" s="569"/>
      <c r="MA322" s="569"/>
      <c r="MB322" s="569"/>
      <c r="MC322" s="569"/>
      <c r="MD322" s="569"/>
      <c r="ME322" s="569"/>
      <c r="MF322" s="569"/>
      <c r="MG322" s="569"/>
      <c r="MH322" s="569"/>
      <c r="MI322" s="569"/>
      <c r="MJ322" s="569"/>
      <c r="MK322" s="569"/>
      <c r="ML322" s="569"/>
      <c r="MM322" s="569"/>
      <c r="MN322" s="569"/>
      <c r="MO322" s="569"/>
      <c r="MP322" s="569"/>
      <c r="MQ322" s="569"/>
      <c r="MR322" s="569"/>
      <c r="MS322" s="569"/>
      <c r="MT322" s="569"/>
      <c r="MU322" s="569"/>
      <c r="MV322" s="569"/>
      <c r="MW322" s="569"/>
      <c r="MX322" s="569"/>
      <c r="MY322" s="569"/>
      <c r="MZ322" s="569"/>
      <c r="NA322" s="569"/>
      <c r="NB322" s="569"/>
      <c r="NC322" s="569"/>
      <c r="ND322" s="569"/>
      <c r="NE322" s="569"/>
      <c r="NF322" s="569"/>
      <c r="NG322" s="569"/>
      <c r="NH322" s="569"/>
      <c r="NI322" s="569"/>
      <c r="NJ322" s="569"/>
      <c r="NK322" s="569"/>
      <c r="NL322" s="569"/>
      <c r="NM322" s="569"/>
      <c r="NN322" s="569"/>
      <c r="NO322" s="569"/>
      <c r="NP322" s="569"/>
      <c r="NQ322" s="569"/>
      <c r="NR322" s="569"/>
      <c r="NS322" s="569"/>
      <c r="NT322" s="569"/>
      <c r="NU322" s="569"/>
      <c r="NV322" s="569"/>
      <c r="NW322" s="569"/>
      <c r="NX322" s="569"/>
      <c r="NY322" s="569"/>
      <c r="NZ322" s="569"/>
      <c r="OA322" s="569"/>
      <c r="OB322" s="569"/>
      <c r="OC322" s="569"/>
      <c r="OD322" s="569"/>
      <c r="OE322" s="569"/>
      <c r="OF322" s="569"/>
      <c r="OG322" s="569"/>
      <c r="OH322" s="569"/>
      <c r="OI322" s="569"/>
      <c r="OJ322" s="569"/>
      <c r="OK322" s="569"/>
      <c r="OL322" s="569"/>
      <c r="OM322" s="569"/>
      <c r="ON322" s="569"/>
      <c r="OO322" s="569"/>
      <c r="OP322" s="569"/>
      <c r="OQ322" s="569"/>
      <c r="OR322" s="569"/>
      <c r="OS322" s="569"/>
      <c r="OT322" s="569"/>
      <c r="OU322" s="569"/>
      <c r="OV322" s="569"/>
      <c r="OW322" s="569"/>
      <c r="OX322" s="569"/>
      <c r="OY322" s="569"/>
      <c r="OZ322" s="569"/>
      <c r="PA322" s="569"/>
      <c r="PB322" s="569"/>
      <c r="PC322" s="569"/>
      <c r="PD322" s="569"/>
      <c r="PE322" s="569"/>
      <c r="PF322" s="569"/>
      <c r="PG322" s="569"/>
      <c r="PH322" s="569"/>
      <c r="PI322" s="569"/>
      <c r="PJ322" s="569"/>
      <c r="PK322" s="569"/>
      <c r="PL322" s="569"/>
      <c r="PM322" s="569"/>
      <c r="PN322" s="569"/>
      <c r="PO322" s="569"/>
      <c r="PP322" s="569"/>
      <c r="PQ322" s="569"/>
      <c r="PR322" s="569"/>
      <c r="PS322" s="569"/>
      <c r="PT322" s="569"/>
      <c r="PU322" s="569"/>
      <c r="PV322" s="569"/>
      <c r="PW322" s="569"/>
      <c r="PX322" s="569"/>
      <c r="PY322" s="569"/>
      <c r="PZ322" s="569"/>
      <c r="QA322" s="569"/>
      <c r="QB322" s="569"/>
      <c r="QC322" s="569"/>
      <c r="QD322" s="569"/>
      <c r="QE322" s="569"/>
      <c r="QF322" s="569"/>
      <c r="QG322" s="569"/>
      <c r="QH322" s="569"/>
      <c r="QI322" s="569"/>
      <c r="QJ322" s="569"/>
      <c r="QK322" s="569"/>
      <c r="QL322" s="569"/>
    </row>
    <row r="323" spans="1:454" s="574" customFormat="1" ht="60">
      <c r="A323" s="569"/>
      <c r="B323" s="575">
        <v>9</v>
      </c>
      <c r="C323" s="576" t="str">
        <f>'matrik MISI 6'!B18</f>
        <v>PERTANAHAN</v>
      </c>
      <c r="D323" s="577">
        <f>'matrik MISI 6'!J19</f>
        <v>1.0900000000000001</v>
      </c>
      <c r="E323" s="577" t="str">
        <f>'matrik MISI 6'!K19</f>
        <v>xx</v>
      </c>
      <c r="F323" s="577">
        <f>'matrik MISI 6'!L19</f>
        <v>16</v>
      </c>
      <c r="G323" s="577" t="str">
        <f>'matrik MISI 6'!M19</f>
        <v>Program Penataan Penguasaan, Pemilikan, Penggunaan, dan Pemanfaatan Tanah</v>
      </c>
      <c r="H323" s="575"/>
      <c r="I323" s="575"/>
      <c r="J323" s="596"/>
      <c r="K323" s="596"/>
      <c r="L323" s="596"/>
      <c r="M323" s="600">
        <f>'jangan di hapus 1'!K656</f>
        <v>2290000000</v>
      </c>
      <c r="N323" s="597"/>
      <c r="O323" s="597">
        <f>'jangan di hapus 1'!M656</f>
        <v>3267500000</v>
      </c>
      <c r="P323" s="597"/>
      <c r="Q323" s="597">
        <f>'jangan di hapus 1'!O656</f>
        <v>3270000000</v>
      </c>
      <c r="R323" s="597"/>
      <c r="S323" s="597">
        <f>'jangan di hapus 1'!Q656</f>
        <v>4272500000</v>
      </c>
      <c r="T323" s="597"/>
      <c r="U323" s="597">
        <f>'jangan di hapus 1'!S656</f>
        <v>4275000000</v>
      </c>
      <c r="V323" s="596"/>
      <c r="W323" s="598">
        <f>SUM(M323:U323)</f>
        <v>17375000000</v>
      </c>
      <c r="X323" s="575"/>
      <c r="Y323" s="596"/>
      <c r="Z323" s="596"/>
      <c r="AA323" s="569"/>
      <c r="AB323" s="569"/>
      <c r="AC323" s="569"/>
      <c r="AD323" s="569"/>
      <c r="AE323" s="569"/>
      <c r="AF323" s="569"/>
      <c r="AG323" s="569"/>
      <c r="AH323" s="569"/>
      <c r="AI323" s="569"/>
      <c r="AJ323" s="569"/>
      <c r="AK323" s="569"/>
      <c r="AL323" s="569"/>
      <c r="AM323" s="569"/>
      <c r="AN323" s="569"/>
      <c r="AO323" s="569"/>
      <c r="AP323" s="569"/>
      <c r="AQ323" s="569"/>
      <c r="AR323" s="569"/>
      <c r="AS323" s="569"/>
      <c r="AT323" s="569"/>
      <c r="AU323" s="569"/>
      <c r="AV323" s="569"/>
      <c r="AW323" s="569"/>
      <c r="AX323" s="569"/>
      <c r="AY323" s="569"/>
      <c r="AZ323" s="569"/>
      <c r="BA323" s="569"/>
      <c r="BB323" s="569"/>
      <c r="BC323" s="569"/>
      <c r="BD323" s="569"/>
      <c r="BE323" s="569"/>
      <c r="BF323" s="569"/>
      <c r="BG323" s="569"/>
      <c r="BH323" s="569"/>
      <c r="BI323" s="569"/>
      <c r="BJ323" s="569"/>
      <c r="BK323" s="569"/>
      <c r="BL323" s="569"/>
      <c r="BM323" s="569"/>
      <c r="BN323" s="569"/>
      <c r="BO323" s="569"/>
      <c r="BP323" s="569"/>
      <c r="BQ323" s="569"/>
      <c r="BR323" s="569"/>
      <c r="BS323" s="569"/>
      <c r="BT323" s="569"/>
      <c r="BU323" s="569"/>
      <c r="BV323" s="569"/>
      <c r="BW323" s="569"/>
      <c r="BX323" s="569"/>
      <c r="BY323" s="569"/>
      <c r="BZ323" s="569"/>
      <c r="CA323" s="569"/>
      <c r="CB323" s="569"/>
      <c r="CC323" s="569"/>
      <c r="CD323" s="569"/>
      <c r="CE323" s="569"/>
      <c r="CF323" s="569"/>
      <c r="CG323" s="569"/>
      <c r="CH323" s="569"/>
      <c r="CI323" s="569"/>
      <c r="CJ323" s="569"/>
      <c r="CK323" s="569"/>
      <c r="CL323" s="569"/>
      <c r="CM323" s="569"/>
      <c r="CN323" s="569"/>
      <c r="CO323" s="569"/>
      <c r="CP323" s="569"/>
      <c r="CQ323" s="569"/>
      <c r="CR323" s="569"/>
      <c r="CS323" s="569"/>
      <c r="CT323" s="569"/>
      <c r="CU323" s="569"/>
      <c r="CV323" s="569"/>
      <c r="CW323" s="569"/>
      <c r="CX323" s="569"/>
      <c r="CY323" s="569"/>
      <c r="CZ323" s="569"/>
      <c r="DA323" s="569"/>
      <c r="DB323" s="569"/>
      <c r="DC323" s="569"/>
      <c r="DD323" s="569"/>
      <c r="DE323" s="569"/>
      <c r="DF323" s="569"/>
      <c r="DG323" s="569"/>
      <c r="DH323" s="569"/>
      <c r="DI323" s="569"/>
      <c r="DJ323" s="569"/>
      <c r="DK323" s="569"/>
      <c r="DL323" s="569"/>
      <c r="DM323" s="569"/>
      <c r="DN323" s="569"/>
      <c r="DO323" s="569"/>
      <c r="DP323" s="569"/>
      <c r="DQ323" s="569"/>
      <c r="DR323" s="569"/>
      <c r="DS323" s="569"/>
      <c r="DT323" s="569"/>
      <c r="DU323" s="569"/>
      <c r="DV323" s="569"/>
      <c r="DW323" s="569"/>
      <c r="DX323" s="569"/>
      <c r="DY323" s="569"/>
      <c r="DZ323" s="569"/>
      <c r="EA323" s="569"/>
      <c r="EB323" s="569"/>
      <c r="EC323" s="569"/>
      <c r="ED323" s="569"/>
      <c r="EE323" s="569"/>
      <c r="EF323" s="569"/>
      <c r="EG323" s="569"/>
      <c r="EH323" s="569"/>
      <c r="EI323" s="569"/>
      <c r="EJ323" s="569"/>
      <c r="EK323" s="569"/>
      <c r="EL323" s="569"/>
      <c r="EM323" s="569"/>
      <c r="EN323" s="569"/>
      <c r="EO323" s="569"/>
      <c r="EP323" s="569"/>
      <c r="EQ323" s="569"/>
      <c r="ER323" s="569"/>
      <c r="ES323" s="569"/>
      <c r="ET323" s="569"/>
      <c r="EU323" s="569"/>
      <c r="EV323" s="569"/>
      <c r="EW323" s="569"/>
      <c r="EX323" s="569"/>
      <c r="EY323" s="569"/>
      <c r="EZ323" s="569"/>
      <c r="FA323" s="569"/>
      <c r="FB323" s="569"/>
      <c r="FC323" s="569"/>
      <c r="FD323" s="569"/>
      <c r="FE323" s="569"/>
      <c r="FF323" s="569"/>
      <c r="FG323" s="569"/>
      <c r="FH323" s="569"/>
      <c r="FI323" s="569"/>
      <c r="FJ323" s="569"/>
      <c r="FK323" s="569"/>
      <c r="FL323" s="569"/>
      <c r="FM323" s="569"/>
      <c r="FN323" s="569"/>
      <c r="FO323" s="569"/>
      <c r="FP323" s="569"/>
      <c r="FQ323" s="569"/>
      <c r="FR323" s="569"/>
      <c r="FS323" s="569"/>
      <c r="FT323" s="569"/>
      <c r="FU323" s="569"/>
      <c r="FV323" s="569"/>
      <c r="FW323" s="569"/>
      <c r="FX323" s="569"/>
      <c r="FY323" s="569"/>
      <c r="FZ323" s="569"/>
      <c r="GA323" s="569"/>
      <c r="GB323" s="569"/>
      <c r="GC323" s="569"/>
      <c r="GD323" s="569"/>
      <c r="GE323" s="569"/>
      <c r="GF323" s="569"/>
      <c r="GG323" s="569"/>
      <c r="GH323" s="569"/>
      <c r="GI323" s="569"/>
      <c r="GJ323" s="569"/>
      <c r="GK323" s="569"/>
      <c r="GL323" s="569"/>
      <c r="GM323" s="569"/>
      <c r="GN323" s="569"/>
      <c r="GO323" s="569"/>
      <c r="GP323" s="569"/>
      <c r="GQ323" s="569"/>
      <c r="GR323" s="569"/>
      <c r="GS323" s="569"/>
      <c r="GT323" s="569"/>
      <c r="GU323" s="569"/>
      <c r="GV323" s="569"/>
      <c r="GW323" s="569"/>
      <c r="GX323" s="569"/>
      <c r="GY323" s="569"/>
      <c r="GZ323" s="569"/>
      <c r="HA323" s="569"/>
      <c r="HB323" s="569"/>
      <c r="HC323" s="569"/>
      <c r="HD323" s="569"/>
      <c r="HE323" s="569"/>
      <c r="HF323" s="569"/>
      <c r="HG323" s="569"/>
      <c r="HH323" s="569"/>
      <c r="HI323" s="569"/>
      <c r="HJ323" s="569"/>
      <c r="HK323" s="569"/>
      <c r="HL323" s="569"/>
      <c r="HM323" s="569"/>
      <c r="HN323" s="569"/>
      <c r="HO323" s="569"/>
      <c r="HP323" s="569"/>
      <c r="HQ323" s="569"/>
      <c r="HR323" s="569"/>
      <c r="HS323" s="569"/>
      <c r="HT323" s="569"/>
      <c r="HU323" s="569"/>
      <c r="HV323" s="569"/>
      <c r="HW323" s="569"/>
      <c r="HX323" s="569"/>
      <c r="HY323" s="569"/>
      <c r="HZ323" s="569"/>
      <c r="IA323" s="569"/>
      <c r="IB323" s="569"/>
      <c r="IC323" s="569"/>
      <c r="ID323" s="569"/>
      <c r="IE323" s="569"/>
      <c r="IF323" s="569"/>
      <c r="IG323" s="569"/>
      <c r="IH323" s="569"/>
      <c r="II323" s="569"/>
      <c r="IJ323" s="569"/>
      <c r="IK323" s="569"/>
      <c r="IL323" s="569"/>
      <c r="IM323" s="569"/>
      <c r="IN323" s="569"/>
      <c r="IO323" s="569"/>
      <c r="IP323" s="569"/>
      <c r="IQ323" s="569"/>
      <c r="IR323" s="569"/>
      <c r="IS323" s="569"/>
      <c r="IT323" s="569"/>
      <c r="IU323" s="569"/>
      <c r="IV323" s="569"/>
      <c r="IW323" s="569"/>
      <c r="IX323" s="569"/>
      <c r="IY323" s="569"/>
      <c r="IZ323" s="569"/>
      <c r="JA323" s="569"/>
      <c r="JB323" s="569"/>
      <c r="JC323" s="569"/>
      <c r="JD323" s="569"/>
      <c r="JE323" s="569"/>
      <c r="JF323" s="569"/>
      <c r="JG323" s="569"/>
      <c r="JH323" s="569"/>
      <c r="JI323" s="569"/>
      <c r="JJ323" s="569"/>
      <c r="JK323" s="569"/>
      <c r="JL323" s="569"/>
      <c r="JM323" s="569"/>
      <c r="JN323" s="569"/>
      <c r="JO323" s="569"/>
      <c r="JP323" s="569"/>
      <c r="JQ323" s="569"/>
      <c r="JR323" s="569"/>
      <c r="JS323" s="569"/>
      <c r="JT323" s="569"/>
      <c r="JU323" s="569"/>
      <c r="JV323" s="569"/>
      <c r="JW323" s="569"/>
      <c r="JX323" s="569"/>
      <c r="JY323" s="569"/>
      <c r="JZ323" s="569"/>
      <c r="KA323" s="569"/>
      <c r="KB323" s="569"/>
      <c r="KC323" s="569"/>
      <c r="KD323" s="569"/>
      <c r="KE323" s="569"/>
      <c r="KF323" s="569"/>
      <c r="KG323" s="569"/>
      <c r="KH323" s="569"/>
      <c r="KI323" s="569"/>
      <c r="KJ323" s="569"/>
      <c r="KK323" s="569"/>
      <c r="KL323" s="569"/>
      <c r="KM323" s="569"/>
      <c r="KN323" s="569"/>
      <c r="KO323" s="569"/>
      <c r="KP323" s="569"/>
      <c r="KQ323" s="569"/>
      <c r="KR323" s="569"/>
      <c r="KS323" s="569"/>
      <c r="KT323" s="569"/>
      <c r="KU323" s="569"/>
      <c r="KV323" s="569"/>
      <c r="KW323" s="569"/>
      <c r="KX323" s="569"/>
      <c r="KY323" s="569"/>
      <c r="KZ323" s="569"/>
      <c r="LA323" s="569"/>
      <c r="LB323" s="569"/>
      <c r="LC323" s="569"/>
      <c r="LD323" s="569"/>
      <c r="LE323" s="569"/>
      <c r="LF323" s="569"/>
      <c r="LG323" s="569"/>
      <c r="LH323" s="569"/>
      <c r="LI323" s="569"/>
      <c r="LJ323" s="569"/>
      <c r="LK323" s="569"/>
      <c r="LL323" s="569"/>
      <c r="LM323" s="569"/>
      <c r="LN323" s="569"/>
      <c r="LO323" s="569"/>
      <c r="LP323" s="569"/>
      <c r="LQ323" s="569"/>
      <c r="LR323" s="569"/>
      <c r="LS323" s="569"/>
      <c r="LT323" s="569"/>
      <c r="LU323" s="569"/>
      <c r="LV323" s="569"/>
      <c r="LW323" s="569"/>
      <c r="LX323" s="569"/>
      <c r="LY323" s="569"/>
      <c r="LZ323" s="569"/>
      <c r="MA323" s="569"/>
      <c r="MB323" s="569"/>
      <c r="MC323" s="569"/>
      <c r="MD323" s="569"/>
      <c r="ME323" s="569"/>
      <c r="MF323" s="569"/>
      <c r="MG323" s="569"/>
      <c r="MH323" s="569"/>
      <c r="MI323" s="569"/>
      <c r="MJ323" s="569"/>
      <c r="MK323" s="569"/>
      <c r="ML323" s="569"/>
      <c r="MM323" s="569"/>
      <c r="MN323" s="569"/>
      <c r="MO323" s="569"/>
      <c r="MP323" s="569"/>
      <c r="MQ323" s="569"/>
      <c r="MR323" s="569"/>
      <c r="MS323" s="569"/>
      <c r="MT323" s="569"/>
      <c r="MU323" s="569"/>
      <c r="MV323" s="569"/>
      <c r="MW323" s="569"/>
      <c r="MX323" s="569"/>
      <c r="MY323" s="569"/>
      <c r="MZ323" s="569"/>
      <c r="NA323" s="569"/>
      <c r="NB323" s="569"/>
      <c r="NC323" s="569"/>
      <c r="ND323" s="569"/>
      <c r="NE323" s="569"/>
      <c r="NF323" s="569"/>
      <c r="NG323" s="569"/>
      <c r="NH323" s="569"/>
      <c r="NI323" s="569"/>
      <c r="NJ323" s="569"/>
      <c r="NK323" s="569"/>
      <c r="NL323" s="569"/>
      <c r="NM323" s="569"/>
      <c r="NN323" s="569"/>
      <c r="NO323" s="569"/>
      <c r="NP323" s="569"/>
      <c r="NQ323" s="569"/>
      <c r="NR323" s="569"/>
      <c r="NS323" s="569"/>
      <c r="NT323" s="569"/>
      <c r="NU323" s="569"/>
      <c r="NV323" s="569"/>
      <c r="NW323" s="569"/>
      <c r="NX323" s="569"/>
      <c r="NY323" s="569"/>
      <c r="NZ323" s="569"/>
      <c r="OA323" s="569"/>
      <c r="OB323" s="569"/>
      <c r="OC323" s="569"/>
      <c r="OD323" s="569"/>
      <c r="OE323" s="569"/>
      <c r="OF323" s="569"/>
      <c r="OG323" s="569"/>
      <c r="OH323" s="569"/>
      <c r="OI323" s="569"/>
      <c r="OJ323" s="569"/>
      <c r="OK323" s="569"/>
      <c r="OL323" s="569"/>
      <c r="OM323" s="569"/>
      <c r="ON323" s="569"/>
      <c r="OO323" s="569"/>
      <c r="OP323" s="569"/>
      <c r="OQ323" s="569"/>
      <c r="OR323" s="569"/>
      <c r="OS323" s="569"/>
      <c r="OT323" s="569"/>
      <c r="OU323" s="569"/>
      <c r="OV323" s="569"/>
      <c r="OW323" s="569"/>
      <c r="OX323" s="569"/>
      <c r="OY323" s="569"/>
      <c r="OZ323" s="569"/>
      <c r="PA323" s="569"/>
      <c r="PB323" s="569"/>
      <c r="PC323" s="569"/>
      <c r="PD323" s="569"/>
      <c r="PE323" s="569"/>
      <c r="PF323" s="569"/>
      <c r="PG323" s="569"/>
      <c r="PH323" s="569"/>
      <c r="PI323" s="569"/>
      <c r="PJ323" s="569"/>
      <c r="PK323" s="569"/>
      <c r="PL323" s="569"/>
      <c r="PM323" s="569"/>
      <c r="PN323" s="569"/>
      <c r="PO323" s="569"/>
      <c r="PP323" s="569"/>
      <c r="PQ323" s="569"/>
      <c r="PR323" s="569"/>
      <c r="PS323" s="569"/>
      <c r="PT323" s="569"/>
      <c r="PU323" s="569"/>
      <c r="PV323" s="569"/>
      <c r="PW323" s="569"/>
      <c r="PX323" s="569"/>
      <c r="PY323" s="569"/>
      <c r="PZ323" s="569"/>
      <c r="QA323" s="569"/>
      <c r="QB323" s="569"/>
      <c r="QC323" s="569"/>
      <c r="QD323" s="569"/>
      <c r="QE323" s="569"/>
      <c r="QF323" s="569"/>
      <c r="QG323" s="569"/>
      <c r="QH323" s="569"/>
      <c r="QI323" s="569"/>
      <c r="QJ323" s="569"/>
      <c r="QK323" s="569"/>
      <c r="QL323" s="569"/>
    </row>
    <row r="324" spans="1:454" ht="30">
      <c r="B324" s="568"/>
      <c r="C324" s="568"/>
      <c r="D324" s="568"/>
      <c r="E324" s="568"/>
      <c r="F324" s="568"/>
      <c r="G324" s="568"/>
      <c r="H324" s="563" t="str">
        <f>'matrik MISI 6'!N19</f>
        <v>Persentase Aset Tanah Pemerintah yang Bersertifikat</v>
      </c>
      <c r="I324" s="563" t="str">
        <f>'matrik MISI 6'!O19</f>
        <v>%</v>
      </c>
      <c r="J324" s="563" t="str">
        <f>'matrik MISI 6'!P19</f>
        <v>75,6</v>
      </c>
      <c r="K324" s="563" t="str">
        <f>'matrik MISI 6'!Q19</f>
        <v>80,7</v>
      </c>
      <c r="L324" s="563" t="str">
        <f>'matrik MISI 6'!R19</f>
        <v>84,5</v>
      </c>
      <c r="M324" s="604"/>
      <c r="N324" s="563" t="str">
        <f>'matrik MISI 6'!S19</f>
        <v>88,4</v>
      </c>
      <c r="O324" s="564"/>
      <c r="P324" s="563" t="str">
        <f>'matrik MISI 6'!T19</f>
        <v>92,3</v>
      </c>
      <c r="Q324" s="564"/>
      <c r="R324" s="563" t="str">
        <f>'matrik MISI 6'!U19</f>
        <v>96,13</v>
      </c>
      <c r="S324" s="564"/>
      <c r="T324" s="563">
        <f>'matrik MISI 6'!V19</f>
        <v>100</v>
      </c>
      <c r="U324" s="564"/>
      <c r="V324" s="563">
        <f>'matrik MISI 6'!W19</f>
        <v>100</v>
      </c>
      <c r="W324" s="564"/>
      <c r="X324" s="563" t="str">
        <f>'matrik MISI 6'!X19</f>
        <v>Bagian Pemerintahan Umum Setda</v>
      </c>
      <c r="Y324" s="565" t="str">
        <f>'matrik MISI 6'!Y19</f>
        <v>Jumlah tanah pemerintah daerah yang bersertifikat dibagi jumlah tanah pemerintah daerah x 100</v>
      </c>
      <c r="Z324" s="565" t="str">
        <f>'matrik MISI 6'!Z19</f>
        <v>Sertifikasi tanah pemerintah daerah yang didanai dengan dana APBD</v>
      </c>
    </row>
    <row r="325" spans="1:454" s="574" customFormat="1" ht="45">
      <c r="A325" s="569"/>
      <c r="D325" s="577">
        <f>'matrik MISI 6'!J20</f>
        <v>1.0900000000000001</v>
      </c>
      <c r="E325" s="577" t="str">
        <f>'matrik MISI 6'!K20</f>
        <v>xx</v>
      </c>
      <c r="F325" s="577">
        <f>'matrik MISI 6'!L20</f>
        <v>17</v>
      </c>
      <c r="G325" s="577" t="str">
        <f>'matrik MISI 6'!M20</f>
        <v>Program Penyelesaian Konflik-Konflik Pertanahan</v>
      </c>
      <c r="H325" s="577"/>
      <c r="I325" s="577"/>
      <c r="J325" s="577"/>
      <c r="K325" s="577"/>
      <c r="L325" s="577"/>
      <c r="M325" s="578">
        <f>'jangan di hapus 1'!K661</f>
        <v>20000000</v>
      </c>
      <c r="N325" s="602"/>
      <c r="O325" s="602">
        <f>'jangan di hapus 1'!M661</f>
        <v>25000000</v>
      </c>
      <c r="P325" s="602"/>
      <c r="Q325" s="602">
        <f>'jangan di hapus 1'!O661</f>
        <v>30000000</v>
      </c>
      <c r="R325" s="602"/>
      <c r="S325" s="602">
        <f>'jangan di hapus 1'!Q661</f>
        <v>35000000</v>
      </c>
      <c r="T325" s="602"/>
      <c r="U325" s="602">
        <f>'jangan di hapus 1'!S661</f>
        <v>40000000</v>
      </c>
      <c r="V325" s="577"/>
      <c r="W325" s="598">
        <f>SUM(M325:U325)</f>
        <v>150000000</v>
      </c>
      <c r="X325" s="577"/>
      <c r="Y325" s="577"/>
      <c r="Z325" s="577"/>
      <c r="AA325" s="569"/>
      <c r="AB325" s="569"/>
      <c r="AC325" s="569"/>
      <c r="AD325" s="569"/>
      <c r="AE325" s="569"/>
      <c r="AF325" s="569"/>
      <c r="AG325" s="569"/>
      <c r="AH325" s="569"/>
      <c r="AI325" s="569"/>
      <c r="AJ325" s="569"/>
      <c r="AK325" s="569"/>
      <c r="AL325" s="569"/>
      <c r="AM325" s="569"/>
      <c r="AN325" s="569"/>
      <c r="AO325" s="569"/>
      <c r="AP325" s="569"/>
      <c r="AQ325" s="569"/>
      <c r="AR325" s="569"/>
      <c r="AS325" s="569"/>
      <c r="AT325" s="569"/>
      <c r="AU325" s="569"/>
      <c r="AV325" s="569"/>
      <c r="AW325" s="569"/>
      <c r="AX325" s="569"/>
      <c r="AY325" s="569"/>
      <c r="AZ325" s="569"/>
      <c r="BA325" s="569"/>
      <c r="BB325" s="569"/>
      <c r="BC325" s="569"/>
      <c r="BD325" s="569"/>
      <c r="BE325" s="569"/>
      <c r="BF325" s="569"/>
      <c r="BG325" s="569"/>
      <c r="BH325" s="569"/>
      <c r="BI325" s="569"/>
      <c r="BJ325" s="569"/>
      <c r="BK325" s="569"/>
      <c r="BL325" s="569"/>
      <c r="BM325" s="569"/>
      <c r="BN325" s="569"/>
      <c r="BO325" s="569"/>
      <c r="BP325" s="569"/>
      <c r="BQ325" s="569"/>
      <c r="BR325" s="569"/>
      <c r="BS325" s="569"/>
      <c r="BT325" s="569"/>
      <c r="BU325" s="569"/>
      <c r="BV325" s="569"/>
      <c r="BW325" s="569"/>
      <c r="BX325" s="569"/>
      <c r="BY325" s="569"/>
      <c r="BZ325" s="569"/>
      <c r="CA325" s="569"/>
      <c r="CB325" s="569"/>
      <c r="CC325" s="569"/>
      <c r="CD325" s="569"/>
      <c r="CE325" s="569"/>
      <c r="CF325" s="569"/>
      <c r="CG325" s="569"/>
      <c r="CH325" s="569"/>
      <c r="CI325" s="569"/>
      <c r="CJ325" s="569"/>
      <c r="CK325" s="569"/>
      <c r="CL325" s="569"/>
      <c r="CM325" s="569"/>
      <c r="CN325" s="569"/>
      <c r="CO325" s="569"/>
      <c r="CP325" s="569"/>
      <c r="CQ325" s="569"/>
      <c r="CR325" s="569"/>
      <c r="CS325" s="569"/>
      <c r="CT325" s="569"/>
      <c r="CU325" s="569"/>
      <c r="CV325" s="569"/>
      <c r="CW325" s="569"/>
      <c r="CX325" s="569"/>
      <c r="CY325" s="569"/>
      <c r="CZ325" s="569"/>
      <c r="DA325" s="569"/>
      <c r="DB325" s="569"/>
      <c r="DC325" s="569"/>
      <c r="DD325" s="569"/>
      <c r="DE325" s="569"/>
      <c r="DF325" s="569"/>
      <c r="DG325" s="569"/>
      <c r="DH325" s="569"/>
      <c r="DI325" s="569"/>
      <c r="DJ325" s="569"/>
      <c r="DK325" s="569"/>
      <c r="DL325" s="569"/>
      <c r="DM325" s="569"/>
      <c r="DN325" s="569"/>
      <c r="DO325" s="569"/>
      <c r="DP325" s="569"/>
      <c r="DQ325" s="569"/>
      <c r="DR325" s="569"/>
      <c r="DS325" s="569"/>
      <c r="DT325" s="569"/>
      <c r="DU325" s="569"/>
      <c r="DV325" s="569"/>
      <c r="DW325" s="569"/>
      <c r="DX325" s="569"/>
      <c r="DY325" s="569"/>
      <c r="DZ325" s="569"/>
      <c r="EA325" s="569"/>
      <c r="EB325" s="569"/>
      <c r="EC325" s="569"/>
      <c r="ED325" s="569"/>
      <c r="EE325" s="569"/>
      <c r="EF325" s="569"/>
      <c r="EG325" s="569"/>
      <c r="EH325" s="569"/>
      <c r="EI325" s="569"/>
      <c r="EJ325" s="569"/>
      <c r="EK325" s="569"/>
      <c r="EL325" s="569"/>
      <c r="EM325" s="569"/>
      <c r="EN325" s="569"/>
      <c r="EO325" s="569"/>
      <c r="EP325" s="569"/>
      <c r="EQ325" s="569"/>
      <c r="ER325" s="569"/>
      <c r="ES325" s="569"/>
      <c r="ET325" s="569"/>
      <c r="EU325" s="569"/>
      <c r="EV325" s="569"/>
      <c r="EW325" s="569"/>
      <c r="EX325" s="569"/>
      <c r="EY325" s="569"/>
      <c r="EZ325" s="569"/>
      <c r="FA325" s="569"/>
      <c r="FB325" s="569"/>
      <c r="FC325" s="569"/>
      <c r="FD325" s="569"/>
      <c r="FE325" s="569"/>
      <c r="FF325" s="569"/>
      <c r="FG325" s="569"/>
      <c r="FH325" s="569"/>
      <c r="FI325" s="569"/>
      <c r="FJ325" s="569"/>
      <c r="FK325" s="569"/>
      <c r="FL325" s="569"/>
      <c r="FM325" s="569"/>
      <c r="FN325" s="569"/>
      <c r="FO325" s="569"/>
      <c r="FP325" s="569"/>
      <c r="FQ325" s="569"/>
      <c r="FR325" s="569"/>
      <c r="FS325" s="569"/>
      <c r="FT325" s="569"/>
      <c r="FU325" s="569"/>
      <c r="FV325" s="569"/>
      <c r="FW325" s="569"/>
      <c r="FX325" s="569"/>
      <c r="FY325" s="569"/>
      <c r="FZ325" s="569"/>
      <c r="GA325" s="569"/>
      <c r="GB325" s="569"/>
      <c r="GC325" s="569"/>
      <c r="GD325" s="569"/>
      <c r="GE325" s="569"/>
      <c r="GF325" s="569"/>
      <c r="GG325" s="569"/>
      <c r="GH325" s="569"/>
      <c r="GI325" s="569"/>
      <c r="GJ325" s="569"/>
      <c r="GK325" s="569"/>
      <c r="GL325" s="569"/>
      <c r="GM325" s="569"/>
      <c r="GN325" s="569"/>
      <c r="GO325" s="569"/>
      <c r="GP325" s="569"/>
      <c r="GQ325" s="569"/>
      <c r="GR325" s="569"/>
      <c r="GS325" s="569"/>
      <c r="GT325" s="569"/>
      <c r="GU325" s="569"/>
      <c r="GV325" s="569"/>
      <c r="GW325" s="569"/>
      <c r="GX325" s="569"/>
      <c r="GY325" s="569"/>
      <c r="GZ325" s="569"/>
      <c r="HA325" s="569"/>
      <c r="HB325" s="569"/>
      <c r="HC325" s="569"/>
      <c r="HD325" s="569"/>
      <c r="HE325" s="569"/>
      <c r="HF325" s="569"/>
      <c r="HG325" s="569"/>
      <c r="HH325" s="569"/>
      <c r="HI325" s="569"/>
      <c r="HJ325" s="569"/>
      <c r="HK325" s="569"/>
      <c r="HL325" s="569"/>
      <c r="HM325" s="569"/>
      <c r="HN325" s="569"/>
      <c r="HO325" s="569"/>
      <c r="HP325" s="569"/>
      <c r="HQ325" s="569"/>
      <c r="HR325" s="569"/>
      <c r="HS325" s="569"/>
      <c r="HT325" s="569"/>
      <c r="HU325" s="569"/>
      <c r="HV325" s="569"/>
      <c r="HW325" s="569"/>
      <c r="HX325" s="569"/>
      <c r="HY325" s="569"/>
      <c r="HZ325" s="569"/>
      <c r="IA325" s="569"/>
      <c r="IB325" s="569"/>
      <c r="IC325" s="569"/>
      <c r="ID325" s="569"/>
      <c r="IE325" s="569"/>
      <c r="IF325" s="569"/>
      <c r="IG325" s="569"/>
      <c r="IH325" s="569"/>
      <c r="II325" s="569"/>
      <c r="IJ325" s="569"/>
      <c r="IK325" s="569"/>
      <c r="IL325" s="569"/>
      <c r="IM325" s="569"/>
      <c r="IN325" s="569"/>
      <c r="IO325" s="569"/>
      <c r="IP325" s="569"/>
      <c r="IQ325" s="569"/>
      <c r="IR325" s="569"/>
      <c r="IS325" s="569"/>
      <c r="IT325" s="569"/>
      <c r="IU325" s="569"/>
      <c r="IV325" s="569"/>
      <c r="IW325" s="569"/>
      <c r="IX325" s="569"/>
      <c r="IY325" s="569"/>
      <c r="IZ325" s="569"/>
      <c r="JA325" s="569"/>
      <c r="JB325" s="569"/>
      <c r="JC325" s="569"/>
      <c r="JD325" s="569"/>
      <c r="JE325" s="569"/>
      <c r="JF325" s="569"/>
      <c r="JG325" s="569"/>
      <c r="JH325" s="569"/>
      <c r="JI325" s="569"/>
      <c r="JJ325" s="569"/>
      <c r="JK325" s="569"/>
      <c r="JL325" s="569"/>
      <c r="JM325" s="569"/>
      <c r="JN325" s="569"/>
      <c r="JO325" s="569"/>
      <c r="JP325" s="569"/>
      <c r="JQ325" s="569"/>
      <c r="JR325" s="569"/>
      <c r="JS325" s="569"/>
      <c r="JT325" s="569"/>
      <c r="JU325" s="569"/>
      <c r="JV325" s="569"/>
      <c r="JW325" s="569"/>
      <c r="JX325" s="569"/>
      <c r="JY325" s="569"/>
      <c r="JZ325" s="569"/>
      <c r="KA325" s="569"/>
      <c r="KB325" s="569"/>
      <c r="KC325" s="569"/>
      <c r="KD325" s="569"/>
      <c r="KE325" s="569"/>
      <c r="KF325" s="569"/>
      <c r="KG325" s="569"/>
      <c r="KH325" s="569"/>
      <c r="KI325" s="569"/>
      <c r="KJ325" s="569"/>
      <c r="KK325" s="569"/>
      <c r="KL325" s="569"/>
      <c r="KM325" s="569"/>
      <c r="KN325" s="569"/>
      <c r="KO325" s="569"/>
      <c r="KP325" s="569"/>
      <c r="KQ325" s="569"/>
      <c r="KR325" s="569"/>
      <c r="KS325" s="569"/>
      <c r="KT325" s="569"/>
      <c r="KU325" s="569"/>
      <c r="KV325" s="569"/>
      <c r="KW325" s="569"/>
      <c r="KX325" s="569"/>
      <c r="KY325" s="569"/>
      <c r="KZ325" s="569"/>
      <c r="LA325" s="569"/>
      <c r="LB325" s="569"/>
      <c r="LC325" s="569"/>
      <c r="LD325" s="569"/>
      <c r="LE325" s="569"/>
      <c r="LF325" s="569"/>
      <c r="LG325" s="569"/>
      <c r="LH325" s="569"/>
      <c r="LI325" s="569"/>
      <c r="LJ325" s="569"/>
      <c r="LK325" s="569"/>
      <c r="LL325" s="569"/>
      <c r="LM325" s="569"/>
      <c r="LN325" s="569"/>
      <c r="LO325" s="569"/>
      <c r="LP325" s="569"/>
      <c r="LQ325" s="569"/>
      <c r="LR325" s="569"/>
      <c r="LS325" s="569"/>
      <c r="LT325" s="569"/>
      <c r="LU325" s="569"/>
      <c r="LV325" s="569"/>
      <c r="LW325" s="569"/>
      <c r="LX325" s="569"/>
      <c r="LY325" s="569"/>
      <c r="LZ325" s="569"/>
      <c r="MA325" s="569"/>
      <c r="MB325" s="569"/>
      <c r="MC325" s="569"/>
      <c r="MD325" s="569"/>
      <c r="ME325" s="569"/>
      <c r="MF325" s="569"/>
      <c r="MG325" s="569"/>
      <c r="MH325" s="569"/>
      <c r="MI325" s="569"/>
      <c r="MJ325" s="569"/>
      <c r="MK325" s="569"/>
      <c r="ML325" s="569"/>
      <c r="MM325" s="569"/>
      <c r="MN325" s="569"/>
      <c r="MO325" s="569"/>
      <c r="MP325" s="569"/>
      <c r="MQ325" s="569"/>
      <c r="MR325" s="569"/>
      <c r="MS325" s="569"/>
      <c r="MT325" s="569"/>
      <c r="MU325" s="569"/>
      <c r="MV325" s="569"/>
      <c r="MW325" s="569"/>
      <c r="MX325" s="569"/>
      <c r="MY325" s="569"/>
      <c r="MZ325" s="569"/>
      <c r="NA325" s="569"/>
      <c r="NB325" s="569"/>
      <c r="NC325" s="569"/>
      <c r="ND325" s="569"/>
      <c r="NE325" s="569"/>
      <c r="NF325" s="569"/>
      <c r="NG325" s="569"/>
      <c r="NH325" s="569"/>
      <c r="NI325" s="569"/>
      <c r="NJ325" s="569"/>
      <c r="NK325" s="569"/>
      <c r="NL325" s="569"/>
      <c r="NM325" s="569"/>
      <c r="NN325" s="569"/>
      <c r="NO325" s="569"/>
      <c r="NP325" s="569"/>
      <c r="NQ325" s="569"/>
      <c r="NR325" s="569"/>
      <c r="NS325" s="569"/>
      <c r="NT325" s="569"/>
      <c r="NU325" s="569"/>
      <c r="NV325" s="569"/>
      <c r="NW325" s="569"/>
      <c r="NX325" s="569"/>
      <c r="NY325" s="569"/>
      <c r="NZ325" s="569"/>
      <c r="OA325" s="569"/>
      <c r="OB325" s="569"/>
      <c r="OC325" s="569"/>
      <c r="OD325" s="569"/>
      <c r="OE325" s="569"/>
      <c r="OF325" s="569"/>
      <c r="OG325" s="569"/>
      <c r="OH325" s="569"/>
      <c r="OI325" s="569"/>
      <c r="OJ325" s="569"/>
      <c r="OK325" s="569"/>
      <c r="OL325" s="569"/>
      <c r="OM325" s="569"/>
      <c r="ON325" s="569"/>
      <c r="OO325" s="569"/>
      <c r="OP325" s="569"/>
      <c r="OQ325" s="569"/>
      <c r="OR325" s="569"/>
      <c r="OS325" s="569"/>
      <c r="OT325" s="569"/>
      <c r="OU325" s="569"/>
      <c r="OV325" s="569"/>
      <c r="OW325" s="569"/>
      <c r="OX325" s="569"/>
      <c r="OY325" s="569"/>
      <c r="OZ325" s="569"/>
      <c r="PA325" s="569"/>
      <c r="PB325" s="569"/>
      <c r="PC325" s="569"/>
      <c r="PD325" s="569"/>
      <c r="PE325" s="569"/>
      <c r="PF325" s="569"/>
      <c r="PG325" s="569"/>
      <c r="PH325" s="569"/>
      <c r="PI325" s="569"/>
      <c r="PJ325" s="569"/>
      <c r="PK325" s="569"/>
      <c r="PL325" s="569"/>
      <c r="PM325" s="569"/>
      <c r="PN325" s="569"/>
      <c r="PO325" s="569"/>
      <c r="PP325" s="569"/>
      <c r="PQ325" s="569"/>
      <c r="PR325" s="569"/>
      <c r="PS325" s="569"/>
      <c r="PT325" s="569"/>
      <c r="PU325" s="569"/>
      <c r="PV325" s="569"/>
      <c r="PW325" s="569"/>
      <c r="PX325" s="569"/>
      <c r="PY325" s="569"/>
      <c r="PZ325" s="569"/>
      <c r="QA325" s="569"/>
      <c r="QB325" s="569"/>
      <c r="QC325" s="569"/>
      <c r="QD325" s="569"/>
      <c r="QE325" s="569"/>
      <c r="QF325" s="569"/>
      <c r="QG325" s="569"/>
      <c r="QH325" s="569"/>
      <c r="QI325" s="569"/>
      <c r="QJ325" s="569"/>
      <c r="QK325" s="569"/>
      <c r="QL325" s="569"/>
    </row>
    <row r="326" spans="1:454" ht="60">
      <c r="B326" s="568"/>
      <c r="C326" s="568"/>
      <c r="D326" s="568"/>
      <c r="E326" s="568"/>
      <c r="F326" s="568"/>
      <c r="G326" s="568"/>
      <c r="H326" s="563" t="str">
        <f>'matrik MISI 6'!N20</f>
        <v>Persentase Penggantian Tanah Pemerintah Desa yang Digunakan untuk Kepentingan Pemerintah Kabupaten</v>
      </c>
      <c r="I326" s="563" t="str">
        <f>'matrik MISI 6'!O20</f>
        <v>%</v>
      </c>
      <c r="J326" s="563">
        <f>'matrik MISI 6'!P20</f>
        <v>5</v>
      </c>
      <c r="K326" s="563">
        <f>'matrik MISI 6'!Q20</f>
        <v>7.5</v>
      </c>
      <c r="L326" s="563">
        <f>'matrik MISI 6'!R20</f>
        <v>7.5</v>
      </c>
      <c r="M326" s="604"/>
      <c r="N326" s="563">
        <f>'matrik MISI 6'!S20</f>
        <v>12.5</v>
      </c>
      <c r="O326" s="564"/>
      <c r="P326" s="563">
        <f>'matrik MISI 6'!T20</f>
        <v>15</v>
      </c>
      <c r="Q326" s="564"/>
      <c r="R326" s="563">
        <f>'matrik MISI 6'!U20</f>
        <v>17.5</v>
      </c>
      <c r="S326" s="564"/>
      <c r="T326" s="563">
        <f>'matrik MISI 6'!V20</f>
        <v>20</v>
      </c>
      <c r="U326" s="564"/>
      <c r="V326" s="563">
        <f>'matrik MISI 6'!W20</f>
        <v>20</v>
      </c>
      <c r="W326" s="564"/>
      <c r="X326" s="563" t="str">
        <f>'matrik MISI 6'!X20</f>
        <v>Bagian Pemerintahan Umum Setda</v>
      </c>
      <c r="Y326" s="565"/>
      <c r="Z326" s="565"/>
    </row>
    <row r="327" spans="1:454" s="570" customFormat="1">
      <c r="A327" s="569"/>
      <c r="B327" s="571"/>
      <c r="C327" s="572"/>
      <c r="D327" s="573"/>
      <c r="E327" s="573"/>
      <c r="F327" s="573"/>
      <c r="G327" s="571"/>
      <c r="H327" s="571"/>
      <c r="I327" s="571"/>
      <c r="J327" s="580"/>
      <c r="K327" s="580"/>
      <c r="L327" s="580"/>
      <c r="M327" s="606"/>
      <c r="N327" s="580"/>
      <c r="O327" s="581"/>
      <c r="P327" s="580"/>
      <c r="Q327" s="581"/>
      <c r="R327" s="580"/>
      <c r="S327" s="581"/>
      <c r="T327" s="580"/>
      <c r="U327" s="581"/>
      <c r="V327" s="580"/>
      <c r="W327" s="581"/>
      <c r="X327" s="571"/>
      <c r="Y327" s="582"/>
      <c r="Z327" s="582"/>
      <c r="AA327" s="569"/>
      <c r="AB327" s="569"/>
      <c r="AC327" s="569"/>
      <c r="AD327" s="569"/>
      <c r="AE327" s="569"/>
      <c r="AF327" s="569"/>
      <c r="AG327" s="569"/>
      <c r="AH327" s="569"/>
      <c r="AI327" s="569"/>
      <c r="AJ327" s="569"/>
      <c r="AK327" s="569"/>
      <c r="AL327" s="569"/>
      <c r="AM327" s="569"/>
      <c r="AN327" s="569"/>
      <c r="AO327" s="569"/>
      <c r="AP327" s="569"/>
      <c r="AQ327" s="569"/>
      <c r="AR327" s="569"/>
      <c r="AS327" s="569"/>
      <c r="AT327" s="569"/>
      <c r="AU327" s="569"/>
      <c r="AV327" s="569"/>
      <c r="AW327" s="569"/>
      <c r="AX327" s="569"/>
      <c r="AY327" s="569"/>
      <c r="AZ327" s="569"/>
      <c r="BA327" s="569"/>
      <c r="BB327" s="569"/>
      <c r="BC327" s="569"/>
      <c r="BD327" s="569"/>
      <c r="BE327" s="569"/>
      <c r="BF327" s="569"/>
      <c r="BG327" s="569"/>
      <c r="BH327" s="569"/>
      <c r="BI327" s="569"/>
      <c r="BJ327" s="569"/>
      <c r="BK327" s="569"/>
      <c r="BL327" s="569"/>
      <c r="BM327" s="569"/>
      <c r="BN327" s="569"/>
      <c r="BO327" s="569"/>
      <c r="BP327" s="569"/>
      <c r="BQ327" s="569"/>
      <c r="BR327" s="569"/>
      <c r="BS327" s="569"/>
      <c r="BT327" s="569"/>
      <c r="BU327" s="569"/>
      <c r="BV327" s="569"/>
      <c r="BW327" s="569"/>
      <c r="BX327" s="569"/>
      <c r="BY327" s="569"/>
      <c r="BZ327" s="569"/>
      <c r="CA327" s="569"/>
      <c r="CB327" s="569"/>
      <c r="CC327" s="569"/>
      <c r="CD327" s="569"/>
      <c r="CE327" s="569"/>
      <c r="CF327" s="569"/>
      <c r="CG327" s="569"/>
      <c r="CH327" s="569"/>
      <c r="CI327" s="569"/>
      <c r="CJ327" s="569"/>
      <c r="CK327" s="569"/>
      <c r="CL327" s="569"/>
      <c r="CM327" s="569"/>
      <c r="CN327" s="569"/>
      <c r="CO327" s="569"/>
      <c r="CP327" s="569"/>
      <c r="CQ327" s="569"/>
      <c r="CR327" s="569"/>
      <c r="CS327" s="569"/>
      <c r="CT327" s="569"/>
      <c r="CU327" s="569"/>
      <c r="CV327" s="569"/>
      <c r="CW327" s="569"/>
      <c r="CX327" s="569"/>
      <c r="CY327" s="569"/>
      <c r="CZ327" s="569"/>
      <c r="DA327" s="569"/>
      <c r="DB327" s="569"/>
      <c r="DC327" s="569"/>
      <c r="DD327" s="569"/>
      <c r="DE327" s="569"/>
      <c r="DF327" s="569"/>
      <c r="DG327" s="569"/>
      <c r="DH327" s="569"/>
      <c r="DI327" s="569"/>
      <c r="DJ327" s="569"/>
      <c r="DK327" s="569"/>
      <c r="DL327" s="569"/>
      <c r="DM327" s="569"/>
      <c r="DN327" s="569"/>
      <c r="DO327" s="569"/>
      <c r="DP327" s="569"/>
      <c r="DQ327" s="569"/>
      <c r="DR327" s="569"/>
      <c r="DS327" s="569"/>
      <c r="DT327" s="569"/>
      <c r="DU327" s="569"/>
      <c r="DV327" s="569"/>
      <c r="DW327" s="569"/>
      <c r="DX327" s="569"/>
      <c r="DY327" s="569"/>
      <c r="DZ327" s="569"/>
      <c r="EA327" s="569"/>
      <c r="EB327" s="569"/>
      <c r="EC327" s="569"/>
      <c r="ED327" s="569"/>
      <c r="EE327" s="569"/>
      <c r="EF327" s="569"/>
      <c r="EG327" s="569"/>
      <c r="EH327" s="569"/>
      <c r="EI327" s="569"/>
      <c r="EJ327" s="569"/>
      <c r="EK327" s="569"/>
      <c r="EL327" s="569"/>
      <c r="EM327" s="569"/>
      <c r="EN327" s="569"/>
      <c r="EO327" s="569"/>
      <c r="EP327" s="569"/>
      <c r="EQ327" s="569"/>
      <c r="ER327" s="569"/>
      <c r="ES327" s="569"/>
      <c r="ET327" s="569"/>
      <c r="EU327" s="569"/>
      <c r="EV327" s="569"/>
      <c r="EW327" s="569"/>
      <c r="EX327" s="569"/>
      <c r="EY327" s="569"/>
      <c r="EZ327" s="569"/>
      <c r="FA327" s="569"/>
      <c r="FB327" s="569"/>
      <c r="FC327" s="569"/>
      <c r="FD327" s="569"/>
      <c r="FE327" s="569"/>
      <c r="FF327" s="569"/>
      <c r="FG327" s="569"/>
      <c r="FH327" s="569"/>
      <c r="FI327" s="569"/>
      <c r="FJ327" s="569"/>
      <c r="FK327" s="569"/>
      <c r="FL327" s="569"/>
      <c r="FM327" s="569"/>
      <c r="FN327" s="569"/>
      <c r="FO327" s="569"/>
      <c r="FP327" s="569"/>
      <c r="FQ327" s="569"/>
      <c r="FR327" s="569"/>
      <c r="FS327" s="569"/>
      <c r="FT327" s="569"/>
      <c r="FU327" s="569"/>
      <c r="FV327" s="569"/>
      <c r="FW327" s="569"/>
      <c r="FX327" s="569"/>
      <c r="FY327" s="569"/>
      <c r="FZ327" s="569"/>
      <c r="GA327" s="569"/>
      <c r="GB327" s="569"/>
      <c r="GC327" s="569"/>
      <c r="GD327" s="569"/>
      <c r="GE327" s="569"/>
      <c r="GF327" s="569"/>
      <c r="GG327" s="569"/>
      <c r="GH327" s="569"/>
      <c r="GI327" s="569"/>
      <c r="GJ327" s="569"/>
      <c r="GK327" s="569"/>
      <c r="GL327" s="569"/>
      <c r="GM327" s="569"/>
      <c r="GN327" s="569"/>
      <c r="GO327" s="569"/>
      <c r="GP327" s="569"/>
      <c r="GQ327" s="569"/>
      <c r="GR327" s="569"/>
      <c r="GS327" s="569"/>
      <c r="GT327" s="569"/>
      <c r="GU327" s="569"/>
      <c r="GV327" s="569"/>
      <c r="GW327" s="569"/>
      <c r="GX327" s="569"/>
      <c r="GY327" s="569"/>
      <c r="GZ327" s="569"/>
      <c r="HA327" s="569"/>
      <c r="HB327" s="569"/>
      <c r="HC327" s="569"/>
      <c r="HD327" s="569"/>
      <c r="HE327" s="569"/>
      <c r="HF327" s="569"/>
      <c r="HG327" s="569"/>
      <c r="HH327" s="569"/>
      <c r="HI327" s="569"/>
      <c r="HJ327" s="569"/>
      <c r="HK327" s="569"/>
      <c r="HL327" s="569"/>
      <c r="HM327" s="569"/>
      <c r="HN327" s="569"/>
      <c r="HO327" s="569"/>
      <c r="HP327" s="569"/>
      <c r="HQ327" s="569"/>
      <c r="HR327" s="569"/>
      <c r="HS327" s="569"/>
      <c r="HT327" s="569"/>
      <c r="HU327" s="569"/>
      <c r="HV327" s="569"/>
      <c r="HW327" s="569"/>
      <c r="HX327" s="569"/>
      <c r="HY327" s="569"/>
      <c r="HZ327" s="569"/>
      <c r="IA327" s="569"/>
      <c r="IB327" s="569"/>
      <c r="IC327" s="569"/>
      <c r="ID327" s="569"/>
      <c r="IE327" s="569"/>
      <c r="IF327" s="569"/>
      <c r="IG327" s="569"/>
      <c r="IH327" s="569"/>
      <c r="II327" s="569"/>
      <c r="IJ327" s="569"/>
      <c r="IK327" s="569"/>
      <c r="IL327" s="569"/>
      <c r="IM327" s="569"/>
      <c r="IN327" s="569"/>
      <c r="IO327" s="569"/>
      <c r="IP327" s="569"/>
      <c r="IQ327" s="569"/>
      <c r="IR327" s="569"/>
      <c r="IS327" s="569"/>
      <c r="IT327" s="569"/>
      <c r="IU327" s="569"/>
      <c r="IV327" s="569"/>
      <c r="IW327" s="569"/>
      <c r="IX327" s="569"/>
      <c r="IY327" s="569"/>
      <c r="IZ327" s="569"/>
      <c r="JA327" s="569"/>
      <c r="JB327" s="569"/>
      <c r="JC327" s="569"/>
      <c r="JD327" s="569"/>
      <c r="JE327" s="569"/>
      <c r="JF327" s="569"/>
      <c r="JG327" s="569"/>
      <c r="JH327" s="569"/>
      <c r="JI327" s="569"/>
      <c r="JJ327" s="569"/>
      <c r="JK327" s="569"/>
      <c r="JL327" s="569"/>
      <c r="JM327" s="569"/>
      <c r="JN327" s="569"/>
      <c r="JO327" s="569"/>
      <c r="JP327" s="569"/>
      <c r="JQ327" s="569"/>
      <c r="JR327" s="569"/>
      <c r="JS327" s="569"/>
      <c r="JT327" s="569"/>
      <c r="JU327" s="569"/>
      <c r="JV327" s="569"/>
      <c r="JW327" s="569"/>
      <c r="JX327" s="569"/>
      <c r="JY327" s="569"/>
      <c r="JZ327" s="569"/>
      <c r="KA327" s="569"/>
      <c r="KB327" s="569"/>
      <c r="KC327" s="569"/>
      <c r="KD327" s="569"/>
      <c r="KE327" s="569"/>
      <c r="KF327" s="569"/>
      <c r="KG327" s="569"/>
      <c r="KH327" s="569"/>
      <c r="KI327" s="569"/>
      <c r="KJ327" s="569"/>
      <c r="KK327" s="569"/>
      <c r="KL327" s="569"/>
      <c r="KM327" s="569"/>
      <c r="KN327" s="569"/>
      <c r="KO327" s="569"/>
      <c r="KP327" s="569"/>
      <c r="KQ327" s="569"/>
      <c r="KR327" s="569"/>
      <c r="KS327" s="569"/>
      <c r="KT327" s="569"/>
      <c r="KU327" s="569"/>
      <c r="KV327" s="569"/>
      <c r="KW327" s="569"/>
      <c r="KX327" s="569"/>
      <c r="KY327" s="569"/>
      <c r="KZ327" s="569"/>
      <c r="LA327" s="569"/>
      <c r="LB327" s="569"/>
      <c r="LC327" s="569"/>
      <c r="LD327" s="569"/>
      <c r="LE327" s="569"/>
      <c r="LF327" s="569"/>
      <c r="LG327" s="569"/>
      <c r="LH327" s="569"/>
      <c r="LI327" s="569"/>
      <c r="LJ327" s="569"/>
      <c r="LK327" s="569"/>
      <c r="LL327" s="569"/>
      <c r="LM327" s="569"/>
      <c r="LN327" s="569"/>
      <c r="LO327" s="569"/>
      <c r="LP327" s="569"/>
      <c r="LQ327" s="569"/>
      <c r="LR327" s="569"/>
      <c r="LS327" s="569"/>
      <c r="LT327" s="569"/>
      <c r="LU327" s="569"/>
      <c r="LV327" s="569"/>
      <c r="LW327" s="569"/>
      <c r="LX327" s="569"/>
      <c r="LY327" s="569"/>
      <c r="LZ327" s="569"/>
      <c r="MA327" s="569"/>
      <c r="MB327" s="569"/>
      <c r="MC327" s="569"/>
      <c r="MD327" s="569"/>
      <c r="ME327" s="569"/>
      <c r="MF327" s="569"/>
      <c r="MG327" s="569"/>
      <c r="MH327" s="569"/>
      <c r="MI327" s="569"/>
      <c r="MJ327" s="569"/>
      <c r="MK327" s="569"/>
      <c r="ML327" s="569"/>
      <c r="MM327" s="569"/>
      <c r="MN327" s="569"/>
      <c r="MO327" s="569"/>
      <c r="MP327" s="569"/>
      <c r="MQ327" s="569"/>
      <c r="MR327" s="569"/>
      <c r="MS327" s="569"/>
      <c r="MT327" s="569"/>
      <c r="MU327" s="569"/>
      <c r="MV327" s="569"/>
      <c r="MW327" s="569"/>
      <c r="MX327" s="569"/>
      <c r="MY327" s="569"/>
      <c r="MZ327" s="569"/>
      <c r="NA327" s="569"/>
      <c r="NB327" s="569"/>
      <c r="NC327" s="569"/>
      <c r="ND327" s="569"/>
      <c r="NE327" s="569"/>
      <c r="NF327" s="569"/>
      <c r="NG327" s="569"/>
      <c r="NH327" s="569"/>
      <c r="NI327" s="569"/>
      <c r="NJ327" s="569"/>
      <c r="NK327" s="569"/>
      <c r="NL327" s="569"/>
      <c r="NM327" s="569"/>
      <c r="NN327" s="569"/>
      <c r="NO327" s="569"/>
      <c r="NP327" s="569"/>
      <c r="NQ327" s="569"/>
      <c r="NR327" s="569"/>
      <c r="NS327" s="569"/>
      <c r="NT327" s="569"/>
      <c r="NU327" s="569"/>
      <c r="NV327" s="569"/>
      <c r="NW327" s="569"/>
      <c r="NX327" s="569"/>
      <c r="NY327" s="569"/>
      <c r="NZ327" s="569"/>
      <c r="OA327" s="569"/>
      <c r="OB327" s="569"/>
      <c r="OC327" s="569"/>
      <c r="OD327" s="569"/>
      <c r="OE327" s="569"/>
      <c r="OF327" s="569"/>
      <c r="OG327" s="569"/>
      <c r="OH327" s="569"/>
      <c r="OI327" s="569"/>
      <c r="OJ327" s="569"/>
      <c r="OK327" s="569"/>
      <c r="OL327" s="569"/>
      <c r="OM327" s="569"/>
      <c r="ON327" s="569"/>
      <c r="OO327" s="569"/>
      <c r="OP327" s="569"/>
      <c r="OQ327" s="569"/>
      <c r="OR327" s="569"/>
      <c r="OS327" s="569"/>
      <c r="OT327" s="569"/>
      <c r="OU327" s="569"/>
      <c r="OV327" s="569"/>
      <c r="OW327" s="569"/>
      <c r="OX327" s="569"/>
      <c r="OY327" s="569"/>
      <c r="OZ327" s="569"/>
      <c r="PA327" s="569"/>
      <c r="PB327" s="569"/>
      <c r="PC327" s="569"/>
      <c r="PD327" s="569"/>
      <c r="PE327" s="569"/>
      <c r="PF327" s="569"/>
      <c r="PG327" s="569"/>
      <c r="PH327" s="569"/>
      <c r="PI327" s="569"/>
      <c r="PJ327" s="569"/>
      <c r="PK327" s="569"/>
      <c r="PL327" s="569"/>
      <c r="PM327" s="569"/>
      <c r="PN327" s="569"/>
      <c r="PO327" s="569"/>
      <c r="PP327" s="569"/>
      <c r="PQ327" s="569"/>
      <c r="PR327" s="569"/>
      <c r="PS327" s="569"/>
      <c r="PT327" s="569"/>
      <c r="PU327" s="569"/>
      <c r="PV327" s="569"/>
      <c r="PW327" s="569"/>
      <c r="PX327" s="569"/>
      <c r="PY327" s="569"/>
      <c r="PZ327" s="569"/>
      <c r="QA327" s="569"/>
      <c r="QB327" s="569"/>
      <c r="QC327" s="569"/>
      <c r="QD327" s="569"/>
      <c r="QE327" s="569"/>
      <c r="QF327" s="569"/>
      <c r="QG327" s="569"/>
      <c r="QH327" s="569"/>
      <c r="QI327" s="569"/>
      <c r="QJ327" s="569"/>
      <c r="QK327" s="569"/>
      <c r="QL327" s="569"/>
    </row>
    <row r="328" spans="1:454" s="574" customFormat="1" ht="45">
      <c r="A328" s="569"/>
      <c r="B328" s="575">
        <v>10</v>
      </c>
      <c r="C328" s="576" t="str">
        <f>'matrik MISI 6'!B78</f>
        <v>KEPENDUDUKAN DAN CATATAN SIPIL</v>
      </c>
      <c r="D328" s="577" t="str">
        <f>'matrik MISI 6'!J79</f>
        <v>1.10</v>
      </c>
      <c r="E328" s="577" t="str">
        <f>'matrik MISI 6'!K79</f>
        <v>xx</v>
      </c>
      <c r="F328" s="577">
        <f>'matrik MISI 6'!L79</f>
        <v>15</v>
      </c>
      <c r="G328" s="577" t="str">
        <f>'matrik MISI 6'!M79</f>
        <v>Program Penataan Administrasi Kependudukan</v>
      </c>
      <c r="H328" s="575"/>
      <c r="I328" s="575"/>
      <c r="J328" s="596"/>
      <c r="K328" s="596"/>
      <c r="L328" s="596"/>
      <c r="M328" s="600">
        <f>'jangan di hapus 1'!K665</f>
        <v>1306713000</v>
      </c>
      <c r="N328" s="600"/>
      <c r="O328" s="600">
        <f>'jangan di hapus 1'!M665</f>
        <v>2726827000</v>
      </c>
      <c r="P328" s="600"/>
      <c r="Q328" s="600">
        <f>'jangan di hapus 1'!O665</f>
        <v>1847481000</v>
      </c>
      <c r="R328" s="600"/>
      <c r="S328" s="600">
        <f>'jangan di hapus 1'!Q665</f>
        <v>2110481000</v>
      </c>
      <c r="T328" s="600"/>
      <c r="U328" s="600">
        <f>'jangan di hapus 1'!S665</f>
        <v>2131981000</v>
      </c>
      <c r="V328" s="596"/>
      <c r="W328" s="578">
        <f>SUM(M328:U328)</f>
        <v>10123483000</v>
      </c>
      <c r="X328" s="575"/>
      <c r="Y328" s="596"/>
      <c r="Z328" s="596"/>
      <c r="AA328" s="569"/>
      <c r="AB328" s="569"/>
      <c r="AC328" s="569"/>
      <c r="AD328" s="569"/>
      <c r="AE328" s="569"/>
      <c r="AF328" s="569"/>
      <c r="AG328" s="569"/>
      <c r="AH328" s="569"/>
      <c r="AI328" s="569"/>
      <c r="AJ328" s="569"/>
      <c r="AK328" s="569"/>
      <c r="AL328" s="569"/>
      <c r="AM328" s="569"/>
      <c r="AN328" s="569"/>
      <c r="AO328" s="569"/>
      <c r="AP328" s="569"/>
      <c r="AQ328" s="569"/>
      <c r="AR328" s="569"/>
      <c r="AS328" s="569"/>
      <c r="AT328" s="569"/>
      <c r="AU328" s="569"/>
      <c r="AV328" s="569"/>
      <c r="AW328" s="569"/>
      <c r="AX328" s="569"/>
      <c r="AY328" s="569"/>
      <c r="AZ328" s="569"/>
      <c r="BA328" s="569"/>
      <c r="BB328" s="569"/>
      <c r="BC328" s="569"/>
      <c r="BD328" s="569"/>
      <c r="BE328" s="569"/>
      <c r="BF328" s="569"/>
      <c r="BG328" s="569"/>
      <c r="BH328" s="569"/>
      <c r="BI328" s="569"/>
      <c r="BJ328" s="569"/>
      <c r="BK328" s="569"/>
      <c r="BL328" s="569"/>
      <c r="BM328" s="569"/>
      <c r="BN328" s="569"/>
      <c r="BO328" s="569"/>
      <c r="BP328" s="569"/>
      <c r="BQ328" s="569"/>
      <c r="BR328" s="569"/>
      <c r="BS328" s="569"/>
      <c r="BT328" s="569"/>
      <c r="BU328" s="569"/>
      <c r="BV328" s="569"/>
      <c r="BW328" s="569"/>
      <c r="BX328" s="569"/>
      <c r="BY328" s="569"/>
      <c r="BZ328" s="569"/>
      <c r="CA328" s="569"/>
      <c r="CB328" s="569"/>
      <c r="CC328" s="569"/>
      <c r="CD328" s="569"/>
      <c r="CE328" s="569"/>
      <c r="CF328" s="569"/>
      <c r="CG328" s="569"/>
      <c r="CH328" s="569"/>
      <c r="CI328" s="569"/>
      <c r="CJ328" s="569"/>
      <c r="CK328" s="569"/>
      <c r="CL328" s="569"/>
      <c r="CM328" s="569"/>
      <c r="CN328" s="569"/>
      <c r="CO328" s="569"/>
      <c r="CP328" s="569"/>
      <c r="CQ328" s="569"/>
      <c r="CR328" s="569"/>
      <c r="CS328" s="569"/>
      <c r="CT328" s="569"/>
      <c r="CU328" s="569"/>
      <c r="CV328" s="569"/>
      <c r="CW328" s="569"/>
      <c r="CX328" s="569"/>
      <c r="CY328" s="569"/>
      <c r="CZ328" s="569"/>
      <c r="DA328" s="569"/>
      <c r="DB328" s="569"/>
      <c r="DC328" s="569"/>
      <c r="DD328" s="569"/>
      <c r="DE328" s="569"/>
      <c r="DF328" s="569"/>
      <c r="DG328" s="569"/>
      <c r="DH328" s="569"/>
      <c r="DI328" s="569"/>
      <c r="DJ328" s="569"/>
      <c r="DK328" s="569"/>
      <c r="DL328" s="569"/>
      <c r="DM328" s="569"/>
      <c r="DN328" s="569"/>
      <c r="DO328" s="569"/>
      <c r="DP328" s="569"/>
      <c r="DQ328" s="569"/>
      <c r="DR328" s="569"/>
      <c r="DS328" s="569"/>
      <c r="DT328" s="569"/>
      <c r="DU328" s="569"/>
      <c r="DV328" s="569"/>
      <c r="DW328" s="569"/>
      <c r="DX328" s="569"/>
      <c r="DY328" s="569"/>
      <c r="DZ328" s="569"/>
      <c r="EA328" s="569"/>
      <c r="EB328" s="569"/>
      <c r="EC328" s="569"/>
      <c r="ED328" s="569"/>
      <c r="EE328" s="569"/>
      <c r="EF328" s="569"/>
      <c r="EG328" s="569"/>
      <c r="EH328" s="569"/>
      <c r="EI328" s="569"/>
      <c r="EJ328" s="569"/>
      <c r="EK328" s="569"/>
      <c r="EL328" s="569"/>
      <c r="EM328" s="569"/>
      <c r="EN328" s="569"/>
      <c r="EO328" s="569"/>
      <c r="EP328" s="569"/>
      <c r="EQ328" s="569"/>
      <c r="ER328" s="569"/>
      <c r="ES328" s="569"/>
      <c r="ET328" s="569"/>
      <c r="EU328" s="569"/>
      <c r="EV328" s="569"/>
      <c r="EW328" s="569"/>
      <c r="EX328" s="569"/>
      <c r="EY328" s="569"/>
      <c r="EZ328" s="569"/>
      <c r="FA328" s="569"/>
      <c r="FB328" s="569"/>
      <c r="FC328" s="569"/>
      <c r="FD328" s="569"/>
      <c r="FE328" s="569"/>
      <c r="FF328" s="569"/>
      <c r="FG328" s="569"/>
      <c r="FH328" s="569"/>
      <c r="FI328" s="569"/>
      <c r="FJ328" s="569"/>
      <c r="FK328" s="569"/>
      <c r="FL328" s="569"/>
      <c r="FM328" s="569"/>
      <c r="FN328" s="569"/>
      <c r="FO328" s="569"/>
      <c r="FP328" s="569"/>
      <c r="FQ328" s="569"/>
      <c r="FR328" s="569"/>
      <c r="FS328" s="569"/>
      <c r="FT328" s="569"/>
      <c r="FU328" s="569"/>
      <c r="FV328" s="569"/>
      <c r="FW328" s="569"/>
      <c r="FX328" s="569"/>
      <c r="FY328" s="569"/>
      <c r="FZ328" s="569"/>
      <c r="GA328" s="569"/>
      <c r="GB328" s="569"/>
      <c r="GC328" s="569"/>
      <c r="GD328" s="569"/>
      <c r="GE328" s="569"/>
      <c r="GF328" s="569"/>
      <c r="GG328" s="569"/>
      <c r="GH328" s="569"/>
      <c r="GI328" s="569"/>
      <c r="GJ328" s="569"/>
      <c r="GK328" s="569"/>
      <c r="GL328" s="569"/>
      <c r="GM328" s="569"/>
      <c r="GN328" s="569"/>
      <c r="GO328" s="569"/>
      <c r="GP328" s="569"/>
      <c r="GQ328" s="569"/>
      <c r="GR328" s="569"/>
      <c r="GS328" s="569"/>
      <c r="GT328" s="569"/>
      <c r="GU328" s="569"/>
      <c r="GV328" s="569"/>
      <c r="GW328" s="569"/>
      <c r="GX328" s="569"/>
      <c r="GY328" s="569"/>
      <c r="GZ328" s="569"/>
      <c r="HA328" s="569"/>
      <c r="HB328" s="569"/>
      <c r="HC328" s="569"/>
      <c r="HD328" s="569"/>
      <c r="HE328" s="569"/>
      <c r="HF328" s="569"/>
      <c r="HG328" s="569"/>
      <c r="HH328" s="569"/>
      <c r="HI328" s="569"/>
      <c r="HJ328" s="569"/>
      <c r="HK328" s="569"/>
      <c r="HL328" s="569"/>
      <c r="HM328" s="569"/>
      <c r="HN328" s="569"/>
      <c r="HO328" s="569"/>
      <c r="HP328" s="569"/>
      <c r="HQ328" s="569"/>
      <c r="HR328" s="569"/>
      <c r="HS328" s="569"/>
      <c r="HT328" s="569"/>
      <c r="HU328" s="569"/>
      <c r="HV328" s="569"/>
      <c r="HW328" s="569"/>
      <c r="HX328" s="569"/>
      <c r="HY328" s="569"/>
      <c r="HZ328" s="569"/>
      <c r="IA328" s="569"/>
      <c r="IB328" s="569"/>
      <c r="IC328" s="569"/>
      <c r="ID328" s="569"/>
      <c r="IE328" s="569"/>
      <c r="IF328" s="569"/>
      <c r="IG328" s="569"/>
      <c r="IH328" s="569"/>
      <c r="II328" s="569"/>
      <c r="IJ328" s="569"/>
      <c r="IK328" s="569"/>
      <c r="IL328" s="569"/>
      <c r="IM328" s="569"/>
      <c r="IN328" s="569"/>
      <c r="IO328" s="569"/>
      <c r="IP328" s="569"/>
      <c r="IQ328" s="569"/>
      <c r="IR328" s="569"/>
      <c r="IS328" s="569"/>
      <c r="IT328" s="569"/>
      <c r="IU328" s="569"/>
      <c r="IV328" s="569"/>
      <c r="IW328" s="569"/>
      <c r="IX328" s="569"/>
      <c r="IY328" s="569"/>
      <c r="IZ328" s="569"/>
      <c r="JA328" s="569"/>
      <c r="JB328" s="569"/>
      <c r="JC328" s="569"/>
      <c r="JD328" s="569"/>
      <c r="JE328" s="569"/>
      <c r="JF328" s="569"/>
      <c r="JG328" s="569"/>
      <c r="JH328" s="569"/>
      <c r="JI328" s="569"/>
      <c r="JJ328" s="569"/>
      <c r="JK328" s="569"/>
      <c r="JL328" s="569"/>
      <c r="JM328" s="569"/>
      <c r="JN328" s="569"/>
      <c r="JO328" s="569"/>
      <c r="JP328" s="569"/>
      <c r="JQ328" s="569"/>
      <c r="JR328" s="569"/>
      <c r="JS328" s="569"/>
      <c r="JT328" s="569"/>
      <c r="JU328" s="569"/>
      <c r="JV328" s="569"/>
      <c r="JW328" s="569"/>
      <c r="JX328" s="569"/>
      <c r="JY328" s="569"/>
      <c r="JZ328" s="569"/>
      <c r="KA328" s="569"/>
      <c r="KB328" s="569"/>
      <c r="KC328" s="569"/>
      <c r="KD328" s="569"/>
      <c r="KE328" s="569"/>
      <c r="KF328" s="569"/>
      <c r="KG328" s="569"/>
      <c r="KH328" s="569"/>
      <c r="KI328" s="569"/>
      <c r="KJ328" s="569"/>
      <c r="KK328" s="569"/>
      <c r="KL328" s="569"/>
      <c r="KM328" s="569"/>
      <c r="KN328" s="569"/>
      <c r="KO328" s="569"/>
      <c r="KP328" s="569"/>
      <c r="KQ328" s="569"/>
      <c r="KR328" s="569"/>
      <c r="KS328" s="569"/>
      <c r="KT328" s="569"/>
      <c r="KU328" s="569"/>
      <c r="KV328" s="569"/>
      <c r="KW328" s="569"/>
      <c r="KX328" s="569"/>
      <c r="KY328" s="569"/>
      <c r="KZ328" s="569"/>
      <c r="LA328" s="569"/>
      <c r="LB328" s="569"/>
      <c r="LC328" s="569"/>
      <c r="LD328" s="569"/>
      <c r="LE328" s="569"/>
      <c r="LF328" s="569"/>
      <c r="LG328" s="569"/>
      <c r="LH328" s="569"/>
      <c r="LI328" s="569"/>
      <c r="LJ328" s="569"/>
      <c r="LK328" s="569"/>
      <c r="LL328" s="569"/>
      <c r="LM328" s="569"/>
      <c r="LN328" s="569"/>
      <c r="LO328" s="569"/>
      <c r="LP328" s="569"/>
      <c r="LQ328" s="569"/>
      <c r="LR328" s="569"/>
      <c r="LS328" s="569"/>
      <c r="LT328" s="569"/>
      <c r="LU328" s="569"/>
      <c r="LV328" s="569"/>
      <c r="LW328" s="569"/>
      <c r="LX328" s="569"/>
      <c r="LY328" s="569"/>
      <c r="LZ328" s="569"/>
      <c r="MA328" s="569"/>
      <c r="MB328" s="569"/>
      <c r="MC328" s="569"/>
      <c r="MD328" s="569"/>
      <c r="ME328" s="569"/>
      <c r="MF328" s="569"/>
      <c r="MG328" s="569"/>
      <c r="MH328" s="569"/>
      <c r="MI328" s="569"/>
      <c r="MJ328" s="569"/>
      <c r="MK328" s="569"/>
      <c r="ML328" s="569"/>
      <c r="MM328" s="569"/>
      <c r="MN328" s="569"/>
      <c r="MO328" s="569"/>
      <c r="MP328" s="569"/>
      <c r="MQ328" s="569"/>
      <c r="MR328" s="569"/>
      <c r="MS328" s="569"/>
      <c r="MT328" s="569"/>
      <c r="MU328" s="569"/>
      <c r="MV328" s="569"/>
      <c r="MW328" s="569"/>
      <c r="MX328" s="569"/>
      <c r="MY328" s="569"/>
      <c r="MZ328" s="569"/>
      <c r="NA328" s="569"/>
      <c r="NB328" s="569"/>
      <c r="NC328" s="569"/>
      <c r="ND328" s="569"/>
      <c r="NE328" s="569"/>
      <c r="NF328" s="569"/>
      <c r="NG328" s="569"/>
      <c r="NH328" s="569"/>
      <c r="NI328" s="569"/>
      <c r="NJ328" s="569"/>
      <c r="NK328" s="569"/>
      <c r="NL328" s="569"/>
      <c r="NM328" s="569"/>
      <c r="NN328" s="569"/>
      <c r="NO328" s="569"/>
      <c r="NP328" s="569"/>
      <c r="NQ328" s="569"/>
      <c r="NR328" s="569"/>
      <c r="NS328" s="569"/>
      <c r="NT328" s="569"/>
      <c r="NU328" s="569"/>
      <c r="NV328" s="569"/>
      <c r="NW328" s="569"/>
      <c r="NX328" s="569"/>
      <c r="NY328" s="569"/>
      <c r="NZ328" s="569"/>
      <c r="OA328" s="569"/>
      <c r="OB328" s="569"/>
      <c r="OC328" s="569"/>
      <c r="OD328" s="569"/>
      <c r="OE328" s="569"/>
      <c r="OF328" s="569"/>
      <c r="OG328" s="569"/>
      <c r="OH328" s="569"/>
      <c r="OI328" s="569"/>
      <c r="OJ328" s="569"/>
      <c r="OK328" s="569"/>
      <c r="OL328" s="569"/>
      <c r="OM328" s="569"/>
      <c r="ON328" s="569"/>
      <c r="OO328" s="569"/>
      <c r="OP328" s="569"/>
      <c r="OQ328" s="569"/>
      <c r="OR328" s="569"/>
      <c r="OS328" s="569"/>
      <c r="OT328" s="569"/>
      <c r="OU328" s="569"/>
      <c r="OV328" s="569"/>
      <c r="OW328" s="569"/>
      <c r="OX328" s="569"/>
      <c r="OY328" s="569"/>
      <c r="OZ328" s="569"/>
      <c r="PA328" s="569"/>
      <c r="PB328" s="569"/>
      <c r="PC328" s="569"/>
      <c r="PD328" s="569"/>
      <c r="PE328" s="569"/>
      <c r="PF328" s="569"/>
      <c r="PG328" s="569"/>
      <c r="PH328" s="569"/>
      <c r="PI328" s="569"/>
      <c r="PJ328" s="569"/>
      <c r="PK328" s="569"/>
      <c r="PL328" s="569"/>
      <c r="PM328" s="569"/>
      <c r="PN328" s="569"/>
      <c r="PO328" s="569"/>
      <c r="PP328" s="569"/>
      <c r="PQ328" s="569"/>
      <c r="PR328" s="569"/>
      <c r="PS328" s="569"/>
      <c r="PT328" s="569"/>
      <c r="PU328" s="569"/>
      <c r="PV328" s="569"/>
      <c r="PW328" s="569"/>
      <c r="PX328" s="569"/>
      <c r="PY328" s="569"/>
      <c r="PZ328" s="569"/>
      <c r="QA328" s="569"/>
      <c r="QB328" s="569"/>
      <c r="QC328" s="569"/>
      <c r="QD328" s="569"/>
      <c r="QE328" s="569"/>
      <c r="QF328" s="569"/>
      <c r="QG328" s="569"/>
      <c r="QH328" s="569"/>
      <c r="QI328" s="569"/>
      <c r="QJ328" s="569"/>
      <c r="QK328" s="569"/>
      <c r="QL328" s="569"/>
    </row>
    <row r="329" spans="1:454" ht="30">
      <c r="B329" s="568"/>
      <c r="C329" s="568"/>
      <c r="D329" s="568"/>
      <c r="E329" s="568"/>
      <c r="F329" s="568"/>
      <c r="G329" s="568"/>
      <c r="H329" s="563" t="str">
        <f>'matrik MISI 6'!N79</f>
        <v>Cakupan penerbitan Kartu Keluarga (KK)</v>
      </c>
      <c r="I329" s="563" t="str">
        <f>'matrik MISI 6'!O79</f>
        <v>%</v>
      </c>
      <c r="J329" s="563">
        <f>'matrik MISI 6'!P79</f>
        <v>21.61</v>
      </c>
      <c r="K329" s="563">
        <f>'matrik MISI 6'!Q79</f>
        <v>39.54</v>
      </c>
      <c r="L329" s="563">
        <f>'matrik MISI 6'!R79</f>
        <v>53.18</v>
      </c>
      <c r="M329" s="604"/>
      <c r="N329" s="563">
        <f>'matrik MISI 6'!S79</f>
        <v>65.08</v>
      </c>
      <c r="O329" s="564"/>
      <c r="P329" s="563">
        <f>'matrik MISI 6'!T79</f>
        <v>76.989999999999995</v>
      </c>
      <c r="Q329" s="564"/>
      <c r="R329" s="563">
        <f>'matrik MISI 6'!U79</f>
        <v>88.89</v>
      </c>
      <c r="S329" s="564"/>
      <c r="T329" s="563">
        <f>'matrik MISI 6'!V79</f>
        <v>100</v>
      </c>
      <c r="U329" s="564"/>
      <c r="V329" s="563">
        <f>'matrik MISI 6'!W79</f>
        <v>100</v>
      </c>
      <c r="W329" s="564"/>
      <c r="X329" s="563" t="str">
        <f>'matrik MISI 6'!X79</f>
        <v>Dinas Kependudukan dan Pencatatan Sipil</v>
      </c>
      <c r="Y329" s="565" t="str">
        <f>'matrik MISI 6'!Y79</f>
        <v>jumlah KK yg diterbitkan pada tahun (x) dibagi (:) jumlah kepala keluarga dalam satu wilayah pada tahun (x)  kali (X) 100%.</v>
      </c>
      <c r="Z329" s="565">
        <f>'matrik MISI 6'!Z79</f>
        <v>0</v>
      </c>
    </row>
    <row r="330" spans="1:454" ht="30">
      <c r="G330" s="563"/>
      <c r="H330" s="563" t="str">
        <f>'matrik MISI 6'!N80</f>
        <v>Cakupan Penerbitan Kartu Tanda Penduduk (KTP)</v>
      </c>
      <c r="I330" s="563" t="str">
        <f>'matrik MISI 6'!O80</f>
        <v>%</v>
      </c>
      <c r="J330" s="563">
        <f>'matrik MISI 6'!P80</f>
        <v>86.56</v>
      </c>
      <c r="K330" s="563">
        <f>'matrik MISI 6'!Q80</f>
        <v>2.39</v>
      </c>
      <c r="L330" s="563">
        <f>'matrik MISI 6'!R80</f>
        <v>18.149999999999999</v>
      </c>
      <c r="M330" s="604"/>
      <c r="N330" s="563">
        <f>'matrik MISI 6'!S80</f>
        <v>22.84</v>
      </c>
      <c r="O330" s="564"/>
      <c r="P330" s="563">
        <f>'matrik MISI 6'!T80</f>
        <v>27.65</v>
      </c>
      <c r="Q330" s="564"/>
      <c r="R330" s="563">
        <f>'matrik MISI 6'!U80</f>
        <v>32.58</v>
      </c>
      <c r="S330" s="564"/>
      <c r="T330" s="563">
        <f>'matrik MISI 6'!V80</f>
        <v>37.629999999999995</v>
      </c>
      <c r="U330" s="564"/>
      <c r="V330" s="563">
        <f>'matrik MISI 6'!W80</f>
        <v>37.630000000000003</v>
      </c>
      <c r="W330" s="564"/>
      <c r="X330" s="563" t="str">
        <f>'matrik MISI 6'!X80</f>
        <v>Dinas Kependudukan dan Pencatatan Sipil</v>
      </c>
      <c r="Y330" s="565" t="str">
        <f>'matrik MISI 6'!Y80</f>
        <v>jumlah KTP elektronik yg diterbitkan / jumlah wajib KTP Elektronik x 100</v>
      </c>
      <c r="Z330" s="565" t="str">
        <f>'matrik MISI 6'!Z80</f>
        <v>termasuk penduduk yang baru berusia wajib KTP dan mutasi pindah masuk</v>
      </c>
    </row>
    <row r="331" spans="1:454" ht="30">
      <c r="G331" s="563"/>
      <c r="H331" s="563" t="str">
        <f>'matrik MISI 6'!N81</f>
        <v>Cakupan Penerbitan Kutipan Akta Kelahiran</v>
      </c>
      <c r="I331" s="563" t="str">
        <f>'matrik MISI 6'!O81</f>
        <v>%</v>
      </c>
      <c r="J331" s="563">
        <f>'matrik MISI 6'!P81</f>
        <v>40.43</v>
      </c>
      <c r="K331" s="563">
        <f>'matrik MISI 6'!Q81</f>
        <v>42.65</v>
      </c>
      <c r="L331" s="563">
        <f>'matrik MISI 6'!R81</f>
        <v>47.94</v>
      </c>
      <c r="M331" s="604"/>
      <c r="N331" s="563">
        <f>'matrik MISI 6'!S81</f>
        <v>51.56</v>
      </c>
      <c r="O331" s="564"/>
      <c r="P331" s="563">
        <f>'matrik MISI 6'!T81</f>
        <v>56.13</v>
      </c>
      <c r="Q331" s="564"/>
      <c r="R331" s="563">
        <f>'matrik MISI 6'!U81</f>
        <v>59.79</v>
      </c>
      <c r="S331" s="564"/>
      <c r="T331" s="563">
        <f>'matrik MISI 6'!V81</f>
        <v>63.46</v>
      </c>
      <c r="U331" s="564"/>
      <c r="V331" s="563">
        <f>'matrik MISI 6'!W81</f>
        <v>67.010000000000005</v>
      </c>
      <c r="W331" s="564"/>
      <c r="X331" s="563" t="str">
        <f>'matrik MISI 6'!X81</f>
        <v>Dinas Kependudukan dan Pencatatan Sipil</v>
      </c>
      <c r="Y331" s="565" t="str">
        <f>'matrik MISI 6'!Y81</f>
        <v>Jumlah kutipan akta kelahiran yg diterbitkan sampai dgn tahun (x) dibagi (:) jumlah kelahiran  yg terjadi sampai dengan tahun (x) kali (X) 100%</v>
      </c>
      <c r="Z331" s="565">
        <f>'matrik MISI 6'!Z81</f>
        <v>0</v>
      </c>
    </row>
    <row r="332" spans="1:454" ht="30">
      <c r="G332" s="563"/>
      <c r="H332" s="563" t="str">
        <f>'matrik MISI 6'!N82</f>
        <v>Cakupan kepemilikan Kutipan Akta Kematian</v>
      </c>
      <c r="I332" s="563" t="str">
        <f>'matrik MISI 6'!O82</f>
        <v>%</v>
      </c>
      <c r="J332" s="563">
        <f>'matrik MISI 6'!P82</f>
        <v>1.83</v>
      </c>
      <c r="K332" s="563">
        <f>'matrik MISI 6'!Q82</f>
        <v>1.4</v>
      </c>
      <c r="L332" s="563">
        <f>'matrik MISI 6'!R82</f>
        <v>100</v>
      </c>
      <c r="M332" s="604"/>
      <c r="N332" s="563">
        <f>'matrik MISI 6'!S82</f>
        <v>100</v>
      </c>
      <c r="O332" s="564"/>
      <c r="P332" s="563">
        <f>'matrik MISI 6'!T82</f>
        <v>100</v>
      </c>
      <c r="Q332" s="564"/>
      <c r="R332" s="563">
        <f>'matrik MISI 6'!U82</f>
        <v>100</v>
      </c>
      <c r="S332" s="564"/>
      <c r="T332" s="563">
        <f>'matrik MISI 6'!V82</f>
        <v>100</v>
      </c>
      <c r="U332" s="564"/>
      <c r="V332" s="563">
        <f>'matrik MISI 6'!W82</f>
        <v>100</v>
      </c>
      <c r="W332" s="564"/>
      <c r="X332" s="563" t="str">
        <f>'matrik MISI 6'!X82</f>
        <v>Dinas Kependudukan dan Pencatatan Sipil</v>
      </c>
      <c r="Y332" s="565" t="str">
        <f>'matrik MISI 6'!Y82</f>
        <v>Jumlah kutipan akta kematian yang telah diterbitkan / jumlah kematian  x 100%</v>
      </c>
      <c r="Z332" s="565">
        <f>'matrik MISI 6'!Z82</f>
        <v>0</v>
      </c>
    </row>
    <row r="333" spans="1:454" ht="30">
      <c r="G333" s="563"/>
      <c r="H333" s="563" t="str">
        <f>'matrik MISI 6'!N83</f>
        <v>Persentase Penanganan Pengaduan Masyarakat</v>
      </c>
      <c r="I333" s="563" t="str">
        <f>'matrik MISI 6'!O83</f>
        <v>%</v>
      </c>
      <c r="J333" s="563">
        <f>'matrik MISI 6'!P83</f>
        <v>100</v>
      </c>
      <c r="K333" s="563">
        <f>'matrik MISI 6'!Q83</f>
        <v>100</v>
      </c>
      <c r="L333" s="563">
        <f>'matrik MISI 6'!R83</f>
        <v>100</v>
      </c>
      <c r="M333" s="604"/>
      <c r="N333" s="563">
        <f>'matrik MISI 6'!S83</f>
        <v>100</v>
      </c>
      <c r="O333" s="564"/>
      <c r="P333" s="563">
        <f>'matrik MISI 6'!T83</f>
        <v>100</v>
      </c>
      <c r="Q333" s="564"/>
      <c r="R333" s="563">
        <f>'matrik MISI 6'!U83</f>
        <v>100</v>
      </c>
      <c r="S333" s="564"/>
      <c r="T333" s="563">
        <f>'matrik MISI 6'!V83</f>
        <v>100</v>
      </c>
      <c r="U333" s="564"/>
      <c r="V333" s="563">
        <f>'matrik MISI 6'!W83</f>
        <v>100</v>
      </c>
      <c r="W333" s="564"/>
      <c r="X333" s="563" t="str">
        <f>'matrik MISI 6'!X83</f>
        <v>Dinas Kependudukan dan Pencatatan Sipil</v>
      </c>
      <c r="Y333" s="565" t="str">
        <f>'matrik MISI 6'!Y83</f>
        <v>Jumlah pengaduan masyarakat yang tertangani  pada tahun (x) dibagi (:) jumlah pengaduan masyarakat yang ada pada  thn (x) kali (X) 100%.</v>
      </c>
      <c r="Z333" s="565">
        <f>'matrik MISI 6'!Z83</f>
        <v>0</v>
      </c>
    </row>
    <row r="334" spans="1:454" s="570" customFormat="1">
      <c r="A334" s="569"/>
      <c r="B334" s="571"/>
      <c r="C334" s="572"/>
      <c r="D334" s="573"/>
      <c r="E334" s="573"/>
      <c r="F334" s="573"/>
      <c r="G334" s="571"/>
      <c r="H334" s="571"/>
      <c r="I334" s="571"/>
      <c r="J334" s="580"/>
      <c r="K334" s="580"/>
      <c r="L334" s="580"/>
      <c r="M334" s="606"/>
      <c r="N334" s="580"/>
      <c r="O334" s="581"/>
      <c r="P334" s="580"/>
      <c r="Q334" s="581"/>
      <c r="R334" s="580"/>
      <c r="S334" s="581"/>
      <c r="T334" s="580"/>
      <c r="U334" s="581"/>
      <c r="V334" s="580"/>
      <c r="W334" s="581"/>
      <c r="X334" s="571"/>
      <c r="Y334" s="582"/>
      <c r="Z334" s="582"/>
      <c r="AA334" s="569"/>
      <c r="AB334" s="569"/>
      <c r="AC334" s="569"/>
      <c r="AD334" s="569"/>
      <c r="AE334" s="569"/>
      <c r="AF334" s="569"/>
      <c r="AG334" s="569"/>
      <c r="AH334" s="569"/>
      <c r="AI334" s="569"/>
      <c r="AJ334" s="569"/>
      <c r="AK334" s="569"/>
      <c r="AL334" s="569"/>
      <c r="AM334" s="569"/>
      <c r="AN334" s="569"/>
      <c r="AO334" s="569"/>
      <c r="AP334" s="569"/>
      <c r="AQ334" s="569"/>
      <c r="AR334" s="569"/>
      <c r="AS334" s="569"/>
      <c r="AT334" s="569"/>
      <c r="AU334" s="569"/>
      <c r="AV334" s="569"/>
      <c r="AW334" s="569"/>
      <c r="AX334" s="569"/>
      <c r="AY334" s="569"/>
      <c r="AZ334" s="569"/>
      <c r="BA334" s="569"/>
      <c r="BB334" s="569"/>
      <c r="BC334" s="569"/>
      <c r="BD334" s="569"/>
      <c r="BE334" s="569"/>
      <c r="BF334" s="569"/>
      <c r="BG334" s="569"/>
      <c r="BH334" s="569"/>
      <c r="BI334" s="569"/>
      <c r="BJ334" s="569"/>
      <c r="BK334" s="569"/>
      <c r="BL334" s="569"/>
      <c r="BM334" s="569"/>
      <c r="BN334" s="569"/>
      <c r="BO334" s="569"/>
      <c r="BP334" s="569"/>
      <c r="BQ334" s="569"/>
      <c r="BR334" s="569"/>
      <c r="BS334" s="569"/>
      <c r="BT334" s="569"/>
      <c r="BU334" s="569"/>
      <c r="BV334" s="569"/>
      <c r="BW334" s="569"/>
      <c r="BX334" s="569"/>
      <c r="BY334" s="569"/>
      <c r="BZ334" s="569"/>
      <c r="CA334" s="569"/>
      <c r="CB334" s="569"/>
      <c r="CC334" s="569"/>
      <c r="CD334" s="569"/>
      <c r="CE334" s="569"/>
      <c r="CF334" s="569"/>
      <c r="CG334" s="569"/>
      <c r="CH334" s="569"/>
      <c r="CI334" s="569"/>
      <c r="CJ334" s="569"/>
      <c r="CK334" s="569"/>
      <c r="CL334" s="569"/>
      <c r="CM334" s="569"/>
      <c r="CN334" s="569"/>
      <c r="CO334" s="569"/>
      <c r="CP334" s="569"/>
      <c r="CQ334" s="569"/>
      <c r="CR334" s="569"/>
      <c r="CS334" s="569"/>
      <c r="CT334" s="569"/>
      <c r="CU334" s="569"/>
      <c r="CV334" s="569"/>
      <c r="CW334" s="569"/>
      <c r="CX334" s="569"/>
      <c r="CY334" s="569"/>
      <c r="CZ334" s="569"/>
      <c r="DA334" s="569"/>
      <c r="DB334" s="569"/>
      <c r="DC334" s="569"/>
      <c r="DD334" s="569"/>
      <c r="DE334" s="569"/>
      <c r="DF334" s="569"/>
      <c r="DG334" s="569"/>
      <c r="DH334" s="569"/>
      <c r="DI334" s="569"/>
      <c r="DJ334" s="569"/>
      <c r="DK334" s="569"/>
      <c r="DL334" s="569"/>
      <c r="DM334" s="569"/>
      <c r="DN334" s="569"/>
      <c r="DO334" s="569"/>
      <c r="DP334" s="569"/>
      <c r="DQ334" s="569"/>
      <c r="DR334" s="569"/>
      <c r="DS334" s="569"/>
      <c r="DT334" s="569"/>
      <c r="DU334" s="569"/>
      <c r="DV334" s="569"/>
      <c r="DW334" s="569"/>
      <c r="DX334" s="569"/>
      <c r="DY334" s="569"/>
      <c r="DZ334" s="569"/>
      <c r="EA334" s="569"/>
      <c r="EB334" s="569"/>
      <c r="EC334" s="569"/>
      <c r="ED334" s="569"/>
      <c r="EE334" s="569"/>
      <c r="EF334" s="569"/>
      <c r="EG334" s="569"/>
      <c r="EH334" s="569"/>
      <c r="EI334" s="569"/>
      <c r="EJ334" s="569"/>
      <c r="EK334" s="569"/>
      <c r="EL334" s="569"/>
      <c r="EM334" s="569"/>
      <c r="EN334" s="569"/>
      <c r="EO334" s="569"/>
      <c r="EP334" s="569"/>
      <c r="EQ334" s="569"/>
      <c r="ER334" s="569"/>
      <c r="ES334" s="569"/>
      <c r="ET334" s="569"/>
      <c r="EU334" s="569"/>
      <c r="EV334" s="569"/>
      <c r="EW334" s="569"/>
      <c r="EX334" s="569"/>
      <c r="EY334" s="569"/>
      <c r="EZ334" s="569"/>
      <c r="FA334" s="569"/>
      <c r="FB334" s="569"/>
      <c r="FC334" s="569"/>
      <c r="FD334" s="569"/>
      <c r="FE334" s="569"/>
      <c r="FF334" s="569"/>
      <c r="FG334" s="569"/>
      <c r="FH334" s="569"/>
      <c r="FI334" s="569"/>
      <c r="FJ334" s="569"/>
      <c r="FK334" s="569"/>
      <c r="FL334" s="569"/>
      <c r="FM334" s="569"/>
      <c r="FN334" s="569"/>
      <c r="FO334" s="569"/>
      <c r="FP334" s="569"/>
      <c r="FQ334" s="569"/>
      <c r="FR334" s="569"/>
      <c r="FS334" s="569"/>
      <c r="FT334" s="569"/>
      <c r="FU334" s="569"/>
      <c r="FV334" s="569"/>
      <c r="FW334" s="569"/>
      <c r="FX334" s="569"/>
      <c r="FY334" s="569"/>
      <c r="FZ334" s="569"/>
      <c r="GA334" s="569"/>
      <c r="GB334" s="569"/>
      <c r="GC334" s="569"/>
      <c r="GD334" s="569"/>
      <c r="GE334" s="569"/>
      <c r="GF334" s="569"/>
      <c r="GG334" s="569"/>
      <c r="GH334" s="569"/>
      <c r="GI334" s="569"/>
      <c r="GJ334" s="569"/>
      <c r="GK334" s="569"/>
      <c r="GL334" s="569"/>
      <c r="GM334" s="569"/>
      <c r="GN334" s="569"/>
      <c r="GO334" s="569"/>
      <c r="GP334" s="569"/>
      <c r="GQ334" s="569"/>
      <c r="GR334" s="569"/>
      <c r="GS334" s="569"/>
      <c r="GT334" s="569"/>
      <c r="GU334" s="569"/>
      <c r="GV334" s="569"/>
      <c r="GW334" s="569"/>
      <c r="GX334" s="569"/>
      <c r="GY334" s="569"/>
      <c r="GZ334" s="569"/>
      <c r="HA334" s="569"/>
      <c r="HB334" s="569"/>
      <c r="HC334" s="569"/>
      <c r="HD334" s="569"/>
      <c r="HE334" s="569"/>
      <c r="HF334" s="569"/>
      <c r="HG334" s="569"/>
      <c r="HH334" s="569"/>
      <c r="HI334" s="569"/>
      <c r="HJ334" s="569"/>
      <c r="HK334" s="569"/>
      <c r="HL334" s="569"/>
      <c r="HM334" s="569"/>
      <c r="HN334" s="569"/>
      <c r="HO334" s="569"/>
      <c r="HP334" s="569"/>
      <c r="HQ334" s="569"/>
      <c r="HR334" s="569"/>
      <c r="HS334" s="569"/>
      <c r="HT334" s="569"/>
      <c r="HU334" s="569"/>
      <c r="HV334" s="569"/>
      <c r="HW334" s="569"/>
      <c r="HX334" s="569"/>
      <c r="HY334" s="569"/>
      <c r="HZ334" s="569"/>
      <c r="IA334" s="569"/>
      <c r="IB334" s="569"/>
      <c r="IC334" s="569"/>
      <c r="ID334" s="569"/>
      <c r="IE334" s="569"/>
      <c r="IF334" s="569"/>
      <c r="IG334" s="569"/>
      <c r="IH334" s="569"/>
      <c r="II334" s="569"/>
      <c r="IJ334" s="569"/>
      <c r="IK334" s="569"/>
      <c r="IL334" s="569"/>
      <c r="IM334" s="569"/>
      <c r="IN334" s="569"/>
      <c r="IO334" s="569"/>
      <c r="IP334" s="569"/>
      <c r="IQ334" s="569"/>
      <c r="IR334" s="569"/>
      <c r="IS334" s="569"/>
      <c r="IT334" s="569"/>
      <c r="IU334" s="569"/>
      <c r="IV334" s="569"/>
      <c r="IW334" s="569"/>
      <c r="IX334" s="569"/>
      <c r="IY334" s="569"/>
      <c r="IZ334" s="569"/>
      <c r="JA334" s="569"/>
      <c r="JB334" s="569"/>
      <c r="JC334" s="569"/>
      <c r="JD334" s="569"/>
      <c r="JE334" s="569"/>
      <c r="JF334" s="569"/>
      <c r="JG334" s="569"/>
      <c r="JH334" s="569"/>
      <c r="JI334" s="569"/>
      <c r="JJ334" s="569"/>
      <c r="JK334" s="569"/>
      <c r="JL334" s="569"/>
      <c r="JM334" s="569"/>
      <c r="JN334" s="569"/>
      <c r="JO334" s="569"/>
      <c r="JP334" s="569"/>
      <c r="JQ334" s="569"/>
      <c r="JR334" s="569"/>
      <c r="JS334" s="569"/>
      <c r="JT334" s="569"/>
      <c r="JU334" s="569"/>
      <c r="JV334" s="569"/>
      <c r="JW334" s="569"/>
      <c r="JX334" s="569"/>
      <c r="JY334" s="569"/>
      <c r="JZ334" s="569"/>
      <c r="KA334" s="569"/>
      <c r="KB334" s="569"/>
      <c r="KC334" s="569"/>
      <c r="KD334" s="569"/>
      <c r="KE334" s="569"/>
      <c r="KF334" s="569"/>
      <c r="KG334" s="569"/>
      <c r="KH334" s="569"/>
      <c r="KI334" s="569"/>
      <c r="KJ334" s="569"/>
      <c r="KK334" s="569"/>
      <c r="KL334" s="569"/>
      <c r="KM334" s="569"/>
      <c r="KN334" s="569"/>
      <c r="KO334" s="569"/>
      <c r="KP334" s="569"/>
      <c r="KQ334" s="569"/>
      <c r="KR334" s="569"/>
      <c r="KS334" s="569"/>
      <c r="KT334" s="569"/>
      <c r="KU334" s="569"/>
      <c r="KV334" s="569"/>
      <c r="KW334" s="569"/>
      <c r="KX334" s="569"/>
      <c r="KY334" s="569"/>
      <c r="KZ334" s="569"/>
      <c r="LA334" s="569"/>
      <c r="LB334" s="569"/>
      <c r="LC334" s="569"/>
      <c r="LD334" s="569"/>
      <c r="LE334" s="569"/>
      <c r="LF334" s="569"/>
      <c r="LG334" s="569"/>
      <c r="LH334" s="569"/>
      <c r="LI334" s="569"/>
      <c r="LJ334" s="569"/>
      <c r="LK334" s="569"/>
      <c r="LL334" s="569"/>
      <c r="LM334" s="569"/>
      <c r="LN334" s="569"/>
      <c r="LO334" s="569"/>
      <c r="LP334" s="569"/>
      <c r="LQ334" s="569"/>
      <c r="LR334" s="569"/>
      <c r="LS334" s="569"/>
      <c r="LT334" s="569"/>
      <c r="LU334" s="569"/>
      <c r="LV334" s="569"/>
      <c r="LW334" s="569"/>
      <c r="LX334" s="569"/>
      <c r="LY334" s="569"/>
      <c r="LZ334" s="569"/>
      <c r="MA334" s="569"/>
      <c r="MB334" s="569"/>
      <c r="MC334" s="569"/>
      <c r="MD334" s="569"/>
      <c r="ME334" s="569"/>
      <c r="MF334" s="569"/>
      <c r="MG334" s="569"/>
      <c r="MH334" s="569"/>
      <c r="MI334" s="569"/>
      <c r="MJ334" s="569"/>
      <c r="MK334" s="569"/>
      <c r="ML334" s="569"/>
      <c r="MM334" s="569"/>
      <c r="MN334" s="569"/>
      <c r="MO334" s="569"/>
      <c r="MP334" s="569"/>
      <c r="MQ334" s="569"/>
      <c r="MR334" s="569"/>
      <c r="MS334" s="569"/>
      <c r="MT334" s="569"/>
      <c r="MU334" s="569"/>
      <c r="MV334" s="569"/>
      <c r="MW334" s="569"/>
      <c r="MX334" s="569"/>
      <c r="MY334" s="569"/>
      <c r="MZ334" s="569"/>
      <c r="NA334" s="569"/>
      <c r="NB334" s="569"/>
      <c r="NC334" s="569"/>
      <c r="ND334" s="569"/>
      <c r="NE334" s="569"/>
      <c r="NF334" s="569"/>
      <c r="NG334" s="569"/>
      <c r="NH334" s="569"/>
      <c r="NI334" s="569"/>
      <c r="NJ334" s="569"/>
      <c r="NK334" s="569"/>
      <c r="NL334" s="569"/>
      <c r="NM334" s="569"/>
      <c r="NN334" s="569"/>
      <c r="NO334" s="569"/>
      <c r="NP334" s="569"/>
      <c r="NQ334" s="569"/>
      <c r="NR334" s="569"/>
      <c r="NS334" s="569"/>
      <c r="NT334" s="569"/>
      <c r="NU334" s="569"/>
      <c r="NV334" s="569"/>
      <c r="NW334" s="569"/>
      <c r="NX334" s="569"/>
      <c r="NY334" s="569"/>
      <c r="NZ334" s="569"/>
      <c r="OA334" s="569"/>
      <c r="OB334" s="569"/>
      <c r="OC334" s="569"/>
      <c r="OD334" s="569"/>
      <c r="OE334" s="569"/>
      <c r="OF334" s="569"/>
      <c r="OG334" s="569"/>
      <c r="OH334" s="569"/>
      <c r="OI334" s="569"/>
      <c r="OJ334" s="569"/>
      <c r="OK334" s="569"/>
      <c r="OL334" s="569"/>
      <c r="OM334" s="569"/>
      <c r="ON334" s="569"/>
      <c r="OO334" s="569"/>
      <c r="OP334" s="569"/>
      <c r="OQ334" s="569"/>
      <c r="OR334" s="569"/>
      <c r="OS334" s="569"/>
      <c r="OT334" s="569"/>
      <c r="OU334" s="569"/>
      <c r="OV334" s="569"/>
      <c r="OW334" s="569"/>
      <c r="OX334" s="569"/>
      <c r="OY334" s="569"/>
      <c r="OZ334" s="569"/>
      <c r="PA334" s="569"/>
      <c r="PB334" s="569"/>
      <c r="PC334" s="569"/>
      <c r="PD334" s="569"/>
      <c r="PE334" s="569"/>
      <c r="PF334" s="569"/>
      <c r="PG334" s="569"/>
      <c r="PH334" s="569"/>
      <c r="PI334" s="569"/>
      <c r="PJ334" s="569"/>
      <c r="PK334" s="569"/>
      <c r="PL334" s="569"/>
      <c r="PM334" s="569"/>
      <c r="PN334" s="569"/>
      <c r="PO334" s="569"/>
      <c r="PP334" s="569"/>
      <c r="PQ334" s="569"/>
      <c r="PR334" s="569"/>
      <c r="PS334" s="569"/>
      <c r="PT334" s="569"/>
      <c r="PU334" s="569"/>
      <c r="PV334" s="569"/>
      <c r="PW334" s="569"/>
      <c r="PX334" s="569"/>
      <c r="PY334" s="569"/>
      <c r="PZ334" s="569"/>
      <c r="QA334" s="569"/>
      <c r="QB334" s="569"/>
      <c r="QC334" s="569"/>
      <c r="QD334" s="569"/>
      <c r="QE334" s="569"/>
      <c r="QF334" s="569"/>
      <c r="QG334" s="569"/>
      <c r="QH334" s="569"/>
      <c r="QI334" s="569"/>
      <c r="QJ334" s="569"/>
      <c r="QK334" s="569"/>
      <c r="QL334" s="569"/>
    </row>
    <row r="335" spans="1:454" s="574" customFormat="1" ht="60">
      <c r="A335" s="569"/>
      <c r="B335" s="575">
        <v>11</v>
      </c>
      <c r="C335" s="576" t="str">
        <f>'matrik MISI 2'!B54</f>
        <v>PEMBERDAYAAN PEREMPUAN DAN PERLINDUNGAN ANAK</v>
      </c>
      <c r="D335" s="577">
        <f>'matrik MISI 2'!J55</f>
        <v>1.1100000000000001</v>
      </c>
      <c r="E335" s="577" t="str">
        <f>'matrik MISI 2'!K55</f>
        <v>xx</v>
      </c>
      <c r="F335" s="577">
        <f>'matrik MISI 2'!L55</f>
        <v>15</v>
      </c>
      <c r="G335" s="577" t="str">
        <f>'matrik MISI 2'!M55</f>
        <v>Program Keserasian Kebijakan Peningkatan Kualitas Anak dan Perempuan</v>
      </c>
      <c r="H335" s="575"/>
      <c r="I335" s="575"/>
      <c r="J335" s="596"/>
      <c r="K335" s="596"/>
      <c r="L335" s="596"/>
      <c r="M335" s="600">
        <f>'jangan di hapus 1'!K675</f>
        <v>76562900</v>
      </c>
      <c r="N335" s="597"/>
      <c r="O335" s="597">
        <f>'jangan di hapus 1'!M675</f>
        <v>105000000</v>
      </c>
      <c r="P335" s="597"/>
      <c r="Q335" s="597">
        <f>'jangan di hapus 1'!O675</f>
        <v>115500000</v>
      </c>
      <c r="R335" s="597"/>
      <c r="S335" s="597">
        <f>'jangan di hapus 1'!Q675</f>
        <v>127050000</v>
      </c>
      <c r="T335" s="597"/>
      <c r="U335" s="597">
        <f>'jangan di hapus 1'!S675</f>
        <v>139755000</v>
      </c>
      <c r="V335" s="596"/>
      <c r="W335" s="578">
        <f>SUM(M335:U335)</f>
        <v>563867900</v>
      </c>
      <c r="X335" s="575"/>
      <c r="Y335" s="596"/>
      <c r="Z335" s="596"/>
      <c r="AA335" s="569"/>
      <c r="AB335" s="569"/>
      <c r="AC335" s="569"/>
      <c r="AD335" s="569"/>
      <c r="AE335" s="569"/>
      <c r="AF335" s="569"/>
      <c r="AG335" s="569"/>
      <c r="AH335" s="569"/>
      <c r="AI335" s="569"/>
      <c r="AJ335" s="569"/>
      <c r="AK335" s="569"/>
      <c r="AL335" s="569"/>
      <c r="AM335" s="569"/>
      <c r="AN335" s="569"/>
      <c r="AO335" s="569"/>
      <c r="AP335" s="569"/>
      <c r="AQ335" s="569"/>
      <c r="AR335" s="569"/>
      <c r="AS335" s="569"/>
      <c r="AT335" s="569"/>
      <c r="AU335" s="569"/>
      <c r="AV335" s="569"/>
      <c r="AW335" s="569"/>
      <c r="AX335" s="569"/>
      <c r="AY335" s="569"/>
      <c r="AZ335" s="569"/>
      <c r="BA335" s="569"/>
      <c r="BB335" s="569"/>
      <c r="BC335" s="569"/>
      <c r="BD335" s="569"/>
      <c r="BE335" s="569"/>
      <c r="BF335" s="569"/>
      <c r="BG335" s="569"/>
      <c r="BH335" s="569"/>
      <c r="BI335" s="569"/>
      <c r="BJ335" s="569"/>
      <c r="BK335" s="569"/>
      <c r="BL335" s="569"/>
      <c r="BM335" s="569"/>
      <c r="BN335" s="569"/>
      <c r="BO335" s="569"/>
      <c r="BP335" s="569"/>
      <c r="BQ335" s="569"/>
      <c r="BR335" s="569"/>
      <c r="BS335" s="569"/>
      <c r="BT335" s="569"/>
      <c r="BU335" s="569"/>
      <c r="BV335" s="569"/>
      <c r="BW335" s="569"/>
      <c r="BX335" s="569"/>
      <c r="BY335" s="569"/>
      <c r="BZ335" s="569"/>
      <c r="CA335" s="569"/>
      <c r="CB335" s="569"/>
      <c r="CC335" s="569"/>
      <c r="CD335" s="569"/>
      <c r="CE335" s="569"/>
      <c r="CF335" s="569"/>
      <c r="CG335" s="569"/>
      <c r="CH335" s="569"/>
      <c r="CI335" s="569"/>
      <c r="CJ335" s="569"/>
      <c r="CK335" s="569"/>
      <c r="CL335" s="569"/>
      <c r="CM335" s="569"/>
      <c r="CN335" s="569"/>
      <c r="CO335" s="569"/>
      <c r="CP335" s="569"/>
      <c r="CQ335" s="569"/>
      <c r="CR335" s="569"/>
      <c r="CS335" s="569"/>
      <c r="CT335" s="569"/>
      <c r="CU335" s="569"/>
      <c r="CV335" s="569"/>
      <c r="CW335" s="569"/>
      <c r="CX335" s="569"/>
      <c r="CY335" s="569"/>
      <c r="CZ335" s="569"/>
      <c r="DA335" s="569"/>
      <c r="DB335" s="569"/>
      <c r="DC335" s="569"/>
      <c r="DD335" s="569"/>
      <c r="DE335" s="569"/>
      <c r="DF335" s="569"/>
      <c r="DG335" s="569"/>
      <c r="DH335" s="569"/>
      <c r="DI335" s="569"/>
      <c r="DJ335" s="569"/>
      <c r="DK335" s="569"/>
      <c r="DL335" s="569"/>
      <c r="DM335" s="569"/>
      <c r="DN335" s="569"/>
      <c r="DO335" s="569"/>
      <c r="DP335" s="569"/>
      <c r="DQ335" s="569"/>
      <c r="DR335" s="569"/>
      <c r="DS335" s="569"/>
      <c r="DT335" s="569"/>
      <c r="DU335" s="569"/>
      <c r="DV335" s="569"/>
      <c r="DW335" s="569"/>
      <c r="DX335" s="569"/>
      <c r="DY335" s="569"/>
      <c r="DZ335" s="569"/>
      <c r="EA335" s="569"/>
      <c r="EB335" s="569"/>
      <c r="EC335" s="569"/>
      <c r="ED335" s="569"/>
      <c r="EE335" s="569"/>
      <c r="EF335" s="569"/>
      <c r="EG335" s="569"/>
      <c r="EH335" s="569"/>
      <c r="EI335" s="569"/>
      <c r="EJ335" s="569"/>
      <c r="EK335" s="569"/>
      <c r="EL335" s="569"/>
      <c r="EM335" s="569"/>
      <c r="EN335" s="569"/>
      <c r="EO335" s="569"/>
      <c r="EP335" s="569"/>
      <c r="EQ335" s="569"/>
      <c r="ER335" s="569"/>
      <c r="ES335" s="569"/>
      <c r="ET335" s="569"/>
      <c r="EU335" s="569"/>
      <c r="EV335" s="569"/>
      <c r="EW335" s="569"/>
      <c r="EX335" s="569"/>
      <c r="EY335" s="569"/>
      <c r="EZ335" s="569"/>
      <c r="FA335" s="569"/>
      <c r="FB335" s="569"/>
      <c r="FC335" s="569"/>
      <c r="FD335" s="569"/>
      <c r="FE335" s="569"/>
      <c r="FF335" s="569"/>
      <c r="FG335" s="569"/>
      <c r="FH335" s="569"/>
      <c r="FI335" s="569"/>
      <c r="FJ335" s="569"/>
      <c r="FK335" s="569"/>
      <c r="FL335" s="569"/>
      <c r="FM335" s="569"/>
      <c r="FN335" s="569"/>
      <c r="FO335" s="569"/>
      <c r="FP335" s="569"/>
      <c r="FQ335" s="569"/>
      <c r="FR335" s="569"/>
      <c r="FS335" s="569"/>
      <c r="FT335" s="569"/>
      <c r="FU335" s="569"/>
      <c r="FV335" s="569"/>
      <c r="FW335" s="569"/>
      <c r="FX335" s="569"/>
      <c r="FY335" s="569"/>
      <c r="FZ335" s="569"/>
      <c r="GA335" s="569"/>
      <c r="GB335" s="569"/>
      <c r="GC335" s="569"/>
      <c r="GD335" s="569"/>
      <c r="GE335" s="569"/>
      <c r="GF335" s="569"/>
      <c r="GG335" s="569"/>
      <c r="GH335" s="569"/>
      <c r="GI335" s="569"/>
      <c r="GJ335" s="569"/>
      <c r="GK335" s="569"/>
      <c r="GL335" s="569"/>
      <c r="GM335" s="569"/>
      <c r="GN335" s="569"/>
      <c r="GO335" s="569"/>
      <c r="GP335" s="569"/>
      <c r="GQ335" s="569"/>
      <c r="GR335" s="569"/>
      <c r="GS335" s="569"/>
      <c r="GT335" s="569"/>
      <c r="GU335" s="569"/>
      <c r="GV335" s="569"/>
      <c r="GW335" s="569"/>
      <c r="GX335" s="569"/>
      <c r="GY335" s="569"/>
      <c r="GZ335" s="569"/>
      <c r="HA335" s="569"/>
      <c r="HB335" s="569"/>
      <c r="HC335" s="569"/>
      <c r="HD335" s="569"/>
      <c r="HE335" s="569"/>
      <c r="HF335" s="569"/>
      <c r="HG335" s="569"/>
      <c r="HH335" s="569"/>
      <c r="HI335" s="569"/>
      <c r="HJ335" s="569"/>
      <c r="HK335" s="569"/>
      <c r="HL335" s="569"/>
      <c r="HM335" s="569"/>
      <c r="HN335" s="569"/>
      <c r="HO335" s="569"/>
      <c r="HP335" s="569"/>
      <c r="HQ335" s="569"/>
      <c r="HR335" s="569"/>
      <c r="HS335" s="569"/>
      <c r="HT335" s="569"/>
      <c r="HU335" s="569"/>
      <c r="HV335" s="569"/>
      <c r="HW335" s="569"/>
      <c r="HX335" s="569"/>
      <c r="HY335" s="569"/>
      <c r="HZ335" s="569"/>
      <c r="IA335" s="569"/>
      <c r="IB335" s="569"/>
      <c r="IC335" s="569"/>
      <c r="ID335" s="569"/>
      <c r="IE335" s="569"/>
      <c r="IF335" s="569"/>
      <c r="IG335" s="569"/>
      <c r="IH335" s="569"/>
      <c r="II335" s="569"/>
      <c r="IJ335" s="569"/>
      <c r="IK335" s="569"/>
      <c r="IL335" s="569"/>
      <c r="IM335" s="569"/>
      <c r="IN335" s="569"/>
      <c r="IO335" s="569"/>
      <c r="IP335" s="569"/>
      <c r="IQ335" s="569"/>
      <c r="IR335" s="569"/>
      <c r="IS335" s="569"/>
      <c r="IT335" s="569"/>
      <c r="IU335" s="569"/>
      <c r="IV335" s="569"/>
      <c r="IW335" s="569"/>
      <c r="IX335" s="569"/>
      <c r="IY335" s="569"/>
      <c r="IZ335" s="569"/>
      <c r="JA335" s="569"/>
      <c r="JB335" s="569"/>
      <c r="JC335" s="569"/>
      <c r="JD335" s="569"/>
      <c r="JE335" s="569"/>
      <c r="JF335" s="569"/>
      <c r="JG335" s="569"/>
      <c r="JH335" s="569"/>
      <c r="JI335" s="569"/>
      <c r="JJ335" s="569"/>
      <c r="JK335" s="569"/>
      <c r="JL335" s="569"/>
      <c r="JM335" s="569"/>
      <c r="JN335" s="569"/>
      <c r="JO335" s="569"/>
      <c r="JP335" s="569"/>
      <c r="JQ335" s="569"/>
      <c r="JR335" s="569"/>
      <c r="JS335" s="569"/>
      <c r="JT335" s="569"/>
      <c r="JU335" s="569"/>
      <c r="JV335" s="569"/>
      <c r="JW335" s="569"/>
      <c r="JX335" s="569"/>
      <c r="JY335" s="569"/>
      <c r="JZ335" s="569"/>
      <c r="KA335" s="569"/>
      <c r="KB335" s="569"/>
      <c r="KC335" s="569"/>
      <c r="KD335" s="569"/>
      <c r="KE335" s="569"/>
      <c r="KF335" s="569"/>
      <c r="KG335" s="569"/>
      <c r="KH335" s="569"/>
      <c r="KI335" s="569"/>
      <c r="KJ335" s="569"/>
      <c r="KK335" s="569"/>
      <c r="KL335" s="569"/>
      <c r="KM335" s="569"/>
      <c r="KN335" s="569"/>
      <c r="KO335" s="569"/>
      <c r="KP335" s="569"/>
      <c r="KQ335" s="569"/>
      <c r="KR335" s="569"/>
      <c r="KS335" s="569"/>
      <c r="KT335" s="569"/>
      <c r="KU335" s="569"/>
      <c r="KV335" s="569"/>
      <c r="KW335" s="569"/>
      <c r="KX335" s="569"/>
      <c r="KY335" s="569"/>
      <c r="KZ335" s="569"/>
      <c r="LA335" s="569"/>
      <c r="LB335" s="569"/>
      <c r="LC335" s="569"/>
      <c r="LD335" s="569"/>
      <c r="LE335" s="569"/>
      <c r="LF335" s="569"/>
      <c r="LG335" s="569"/>
      <c r="LH335" s="569"/>
      <c r="LI335" s="569"/>
      <c r="LJ335" s="569"/>
      <c r="LK335" s="569"/>
      <c r="LL335" s="569"/>
      <c r="LM335" s="569"/>
      <c r="LN335" s="569"/>
      <c r="LO335" s="569"/>
      <c r="LP335" s="569"/>
      <c r="LQ335" s="569"/>
      <c r="LR335" s="569"/>
      <c r="LS335" s="569"/>
      <c r="LT335" s="569"/>
      <c r="LU335" s="569"/>
      <c r="LV335" s="569"/>
      <c r="LW335" s="569"/>
      <c r="LX335" s="569"/>
      <c r="LY335" s="569"/>
      <c r="LZ335" s="569"/>
      <c r="MA335" s="569"/>
      <c r="MB335" s="569"/>
      <c r="MC335" s="569"/>
      <c r="MD335" s="569"/>
      <c r="ME335" s="569"/>
      <c r="MF335" s="569"/>
      <c r="MG335" s="569"/>
      <c r="MH335" s="569"/>
      <c r="MI335" s="569"/>
      <c r="MJ335" s="569"/>
      <c r="MK335" s="569"/>
      <c r="ML335" s="569"/>
      <c r="MM335" s="569"/>
      <c r="MN335" s="569"/>
      <c r="MO335" s="569"/>
      <c r="MP335" s="569"/>
      <c r="MQ335" s="569"/>
      <c r="MR335" s="569"/>
      <c r="MS335" s="569"/>
      <c r="MT335" s="569"/>
      <c r="MU335" s="569"/>
      <c r="MV335" s="569"/>
      <c r="MW335" s="569"/>
      <c r="MX335" s="569"/>
      <c r="MY335" s="569"/>
      <c r="MZ335" s="569"/>
      <c r="NA335" s="569"/>
      <c r="NB335" s="569"/>
      <c r="NC335" s="569"/>
      <c r="ND335" s="569"/>
      <c r="NE335" s="569"/>
      <c r="NF335" s="569"/>
      <c r="NG335" s="569"/>
      <c r="NH335" s="569"/>
      <c r="NI335" s="569"/>
      <c r="NJ335" s="569"/>
      <c r="NK335" s="569"/>
      <c r="NL335" s="569"/>
      <c r="NM335" s="569"/>
      <c r="NN335" s="569"/>
      <c r="NO335" s="569"/>
      <c r="NP335" s="569"/>
      <c r="NQ335" s="569"/>
      <c r="NR335" s="569"/>
      <c r="NS335" s="569"/>
      <c r="NT335" s="569"/>
      <c r="NU335" s="569"/>
      <c r="NV335" s="569"/>
      <c r="NW335" s="569"/>
      <c r="NX335" s="569"/>
      <c r="NY335" s="569"/>
      <c r="NZ335" s="569"/>
      <c r="OA335" s="569"/>
      <c r="OB335" s="569"/>
      <c r="OC335" s="569"/>
      <c r="OD335" s="569"/>
      <c r="OE335" s="569"/>
      <c r="OF335" s="569"/>
      <c r="OG335" s="569"/>
      <c r="OH335" s="569"/>
      <c r="OI335" s="569"/>
      <c r="OJ335" s="569"/>
      <c r="OK335" s="569"/>
      <c r="OL335" s="569"/>
      <c r="OM335" s="569"/>
      <c r="ON335" s="569"/>
      <c r="OO335" s="569"/>
      <c r="OP335" s="569"/>
      <c r="OQ335" s="569"/>
      <c r="OR335" s="569"/>
      <c r="OS335" s="569"/>
      <c r="OT335" s="569"/>
      <c r="OU335" s="569"/>
      <c r="OV335" s="569"/>
      <c r="OW335" s="569"/>
      <c r="OX335" s="569"/>
      <c r="OY335" s="569"/>
      <c r="OZ335" s="569"/>
      <c r="PA335" s="569"/>
      <c r="PB335" s="569"/>
      <c r="PC335" s="569"/>
      <c r="PD335" s="569"/>
      <c r="PE335" s="569"/>
      <c r="PF335" s="569"/>
      <c r="PG335" s="569"/>
      <c r="PH335" s="569"/>
      <c r="PI335" s="569"/>
      <c r="PJ335" s="569"/>
      <c r="PK335" s="569"/>
      <c r="PL335" s="569"/>
      <c r="PM335" s="569"/>
      <c r="PN335" s="569"/>
      <c r="PO335" s="569"/>
      <c r="PP335" s="569"/>
      <c r="PQ335" s="569"/>
      <c r="PR335" s="569"/>
      <c r="PS335" s="569"/>
      <c r="PT335" s="569"/>
      <c r="PU335" s="569"/>
      <c r="PV335" s="569"/>
      <c r="PW335" s="569"/>
      <c r="PX335" s="569"/>
      <c r="PY335" s="569"/>
      <c r="PZ335" s="569"/>
      <c r="QA335" s="569"/>
      <c r="QB335" s="569"/>
      <c r="QC335" s="569"/>
      <c r="QD335" s="569"/>
      <c r="QE335" s="569"/>
      <c r="QF335" s="569"/>
      <c r="QG335" s="569"/>
      <c r="QH335" s="569"/>
      <c r="QI335" s="569"/>
      <c r="QJ335" s="569"/>
      <c r="QK335" s="569"/>
      <c r="QL335" s="569"/>
    </row>
    <row r="336" spans="1:454" ht="90">
      <c r="B336" s="568"/>
      <c r="C336" s="568"/>
      <c r="D336" s="568"/>
      <c r="E336" s="568"/>
      <c r="F336" s="568"/>
      <c r="G336" s="568"/>
      <c r="H336" s="563" t="str">
        <f>'matrik MISI 2'!N55</f>
        <v>Cakupan Perempuan dan Anak Korban Kekerasan yang Mendapatkan Penanganan Pengaduan Oleh Petugas Terlatih di Dalam Unit Pelayanan Terpadu</v>
      </c>
      <c r="I336" s="563" t="str">
        <f>'matrik MISI 2'!O55</f>
        <v>%</v>
      </c>
      <c r="J336" s="563">
        <f>'matrik MISI 2'!P55</f>
        <v>88</v>
      </c>
      <c r="K336" s="563">
        <f>'matrik MISI 2'!Q55</f>
        <v>90</v>
      </c>
      <c r="L336" s="563">
        <f>'matrik MISI 2'!R55</f>
        <v>100</v>
      </c>
      <c r="M336" s="604"/>
      <c r="N336" s="563">
        <f>'matrik MISI 2'!S55</f>
        <v>100</v>
      </c>
      <c r="O336" s="564"/>
      <c r="P336" s="563">
        <f>'matrik MISI 2'!T55</f>
        <v>100</v>
      </c>
      <c r="Q336" s="564"/>
      <c r="R336" s="563">
        <f>'matrik MISI 2'!U55</f>
        <v>100</v>
      </c>
      <c r="S336" s="564"/>
      <c r="T336" s="563">
        <f>'matrik MISI 2'!V55</f>
        <v>100</v>
      </c>
      <c r="U336" s="564"/>
      <c r="V336" s="563">
        <f>'matrik MISI 2'!W55</f>
        <v>100</v>
      </c>
      <c r="W336" s="564"/>
      <c r="X336" s="563" t="str">
        <f>'matrik MISI 2'!X55</f>
        <v>BKBPP</v>
      </c>
      <c r="Y336" s="565" t="str">
        <f>'matrik MISI 2'!Y55</f>
        <v>Jumlah perempuan dan anak korban kekerasan yang mendapatkan penanganan pengaduan oleh petugas terlatih di dalam unit pelayanan terpadu dibagi jumlah perempuan dan anak korban kekerasan yang dilaporkan x 100</v>
      </c>
      <c r="Z336" s="565">
        <f>'matrik MISI 2'!Z55</f>
        <v>0</v>
      </c>
    </row>
    <row r="337" spans="1:454" ht="105">
      <c r="G337" s="563"/>
      <c r="H337" s="563" t="str">
        <f>'matrik MISI 2'!N56</f>
        <v>Cakupan Perempuan dan Anak Korban Kekerasan yang Mendapatkan Pelayanan Kesehatan oleh Tenaga Terlatih di Pukesmas Mampu Tata Laksana KTP/A dan PPT/PKT di Rumah Sakit</v>
      </c>
      <c r="I337" s="563" t="str">
        <f>'matrik MISI 2'!O56</f>
        <v>%</v>
      </c>
      <c r="J337" s="563">
        <f>'matrik MISI 2'!P56</f>
        <v>100</v>
      </c>
      <c r="K337" s="563">
        <f>'matrik MISI 2'!Q56</f>
        <v>100</v>
      </c>
      <c r="L337" s="563">
        <f>'matrik MISI 2'!R56</f>
        <v>100</v>
      </c>
      <c r="M337" s="604"/>
      <c r="N337" s="563">
        <f>'matrik MISI 2'!S56</f>
        <v>100</v>
      </c>
      <c r="O337" s="564"/>
      <c r="P337" s="563">
        <f>'matrik MISI 2'!T56</f>
        <v>100</v>
      </c>
      <c r="Q337" s="564"/>
      <c r="R337" s="563">
        <f>'matrik MISI 2'!U56</f>
        <v>100</v>
      </c>
      <c r="S337" s="564"/>
      <c r="T337" s="563">
        <f>'matrik MISI 2'!V56</f>
        <v>100</v>
      </c>
      <c r="U337" s="564"/>
      <c r="V337" s="563">
        <f>'matrik MISI 2'!W56</f>
        <v>100</v>
      </c>
      <c r="W337" s="564"/>
      <c r="X337" s="563" t="str">
        <f>'matrik MISI 2'!X56</f>
        <v>BKBPP</v>
      </c>
      <c r="Y337" s="565" t="str">
        <f>'matrik MISI 2'!Y56</f>
        <v>Jumlag perempuan dan anak korban kekerasan yang mendapatkan layanan kesehatan oleh tenaga kesehatan terlatih di puskesmas maupun RS dibagi jumlah perempuan dan anak korban kekerasan yang dilaporkan x 100</v>
      </c>
      <c r="Z337" s="565">
        <f>'matrik MISI 2'!Z56</f>
        <v>0</v>
      </c>
    </row>
    <row r="338" spans="1:454" ht="90">
      <c r="G338" s="563"/>
      <c r="H338" s="563" t="str">
        <f>'matrik MISI 2'!N57</f>
        <v>Cakupan Layanan Rehabilitasi Sosial yang diberikan Oleh Petugas Rehabilitasi Sosial Terlatih bagi Perempuan dan Anak Korban Kekerasan didalam Unit  Pelayanan Terpadu</v>
      </c>
      <c r="I338" s="563" t="str">
        <f>'matrik MISI 2'!O57</f>
        <v>%</v>
      </c>
      <c r="J338" s="563">
        <f>'matrik MISI 2'!P57</f>
        <v>75</v>
      </c>
      <c r="K338" s="563">
        <f>'matrik MISI 2'!Q57</f>
        <v>80</v>
      </c>
      <c r="L338" s="563">
        <f>'matrik MISI 2'!R57</f>
        <v>85</v>
      </c>
      <c r="M338" s="604"/>
      <c r="N338" s="563">
        <f>'matrik MISI 2'!S57</f>
        <v>85</v>
      </c>
      <c r="O338" s="564"/>
      <c r="P338" s="563">
        <f>'matrik MISI 2'!T57</f>
        <v>85</v>
      </c>
      <c r="Q338" s="564"/>
      <c r="R338" s="563">
        <f>'matrik MISI 2'!U57</f>
        <v>85</v>
      </c>
      <c r="S338" s="564"/>
      <c r="T338" s="563">
        <f>'matrik MISI 2'!V57</f>
        <v>90</v>
      </c>
      <c r="U338" s="564"/>
      <c r="V338" s="563">
        <f>'matrik MISI 2'!W57</f>
        <v>90</v>
      </c>
      <c r="W338" s="564"/>
      <c r="X338" s="563" t="str">
        <f>'matrik MISI 2'!X57</f>
        <v>BKBPP</v>
      </c>
      <c r="Y338" s="565" t="str">
        <f>'matrik MISI 2'!Y57</f>
        <v>Jumlah layanan rehabilitasi sosial yang diberikan oleh petugas rehabilitasi sosial terlatih bagi perempuan dan anak korban kekerasan di dalam unit pelayanan terpadu dibagi jumlah perempuan dan anak korban kekerasan yang dilaporkan x 100</v>
      </c>
      <c r="Z338" s="565">
        <f>'matrik MISI 2'!Z57</f>
        <v>0</v>
      </c>
    </row>
    <row r="339" spans="1:454" ht="90">
      <c r="G339" s="563"/>
      <c r="H339" s="563" t="str">
        <f>'matrik MISI 2'!N58</f>
        <v>Cakupan Layanan Bimbingan Rohani yang diberikan oleh Petugas Bimbingan Rohani Terlatih Bagi Perempuan dan Anak Korban Kekerasan di Dalam Unit Pelayanan Terpadu</v>
      </c>
      <c r="I339" s="563" t="str">
        <f>'matrik MISI 2'!O58</f>
        <v>%</v>
      </c>
      <c r="J339" s="563">
        <f>'matrik MISI 2'!P58</f>
        <v>60</v>
      </c>
      <c r="K339" s="563">
        <f>'matrik MISI 2'!Q58</f>
        <v>60</v>
      </c>
      <c r="L339" s="563">
        <f>'matrik MISI 2'!R58</f>
        <v>70</v>
      </c>
      <c r="M339" s="604"/>
      <c r="N339" s="563">
        <f>'matrik MISI 2'!S58</f>
        <v>70</v>
      </c>
      <c r="O339" s="564"/>
      <c r="P339" s="563">
        <f>'matrik MISI 2'!T58</f>
        <v>75</v>
      </c>
      <c r="Q339" s="564"/>
      <c r="R339" s="563">
        <f>'matrik MISI 2'!U58</f>
        <v>75</v>
      </c>
      <c r="S339" s="564"/>
      <c r="T339" s="563">
        <f>'matrik MISI 2'!V58</f>
        <v>80</v>
      </c>
      <c r="U339" s="564"/>
      <c r="V339" s="563">
        <f>'matrik MISI 2'!W58</f>
        <v>80</v>
      </c>
      <c r="W339" s="564"/>
      <c r="X339" s="563" t="str">
        <f>'matrik MISI 2'!X58</f>
        <v>BKBPP</v>
      </c>
      <c r="Y339" s="565" t="str">
        <f>'matrik MISI 2'!Y58</f>
        <v>Jumlah layanan bimbingan rohani yang diberikan oleh petugas bimbingan rohani terlatih bagi perempuan dan anak korban kekerasan di dalam unit pelayanan terpadu dibagi jumlah perempuan dan anak korban kekerasan yang dilaporkan x 100</v>
      </c>
      <c r="Z339" s="565">
        <f>'matrik MISI 2'!Z58</f>
        <v>0</v>
      </c>
    </row>
    <row r="340" spans="1:454" ht="60">
      <c r="G340" s="563"/>
      <c r="H340" s="563" t="str">
        <f>'matrik MISI 2'!N59</f>
        <v>Cakupan Penegakan Hukum dari Tingkat Penyidikan Sampai dengan Putusan Pengadilan atas Kasus-kasus Kekerasan</v>
      </c>
      <c r="I340" s="563" t="str">
        <f>'matrik MISI 2'!O59</f>
        <v>%</v>
      </c>
      <c r="J340" s="563">
        <f>'matrik MISI 2'!P59</f>
        <v>25</v>
      </c>
      <c r="K340" s="563">
        <f>'matrik MISI 2'!Q59</f>
        <v>25</v>
      </c>
      <c r="L340" s="563">
        <f>'matrik MISI 2'!R59</f>
        <v>25</v>
      </c>
      <c r="M340" s="604"/>
      <c r="N340" s="563">
        <f>'matrik MISI 2'!S59</f>
        <v>25</v>
      </c>
      <c r="O340" s="564"/>
      <c r="P340" s="563">
        <f>'matrik MISI 2'!T59</f>
        <v>25</v>
      </c>
      <c r="Q340" s="564"/>
      <c r="R340" s="563">
        <f>'matrik MISI 2'!U59</f>
        <v>25</v>
      </c>
      <c r="S340" s="564"/>
      <c r="T340" s="563">
        <f>'matrik MISI 2'!V59</f>
        <v>25</v>
      </c>
      <c r="U340" s="564"/>
      <c r="V340" s="563">
        <f>'matrik MISI 2'!W59</f>
        <v>25</v>
      </c>
      <c r="W340" s="564"/>
      <c r="X340" s="563" t="str">
        <f>'matrik MISI 2'!X59</f>
        <v>BKBPP</v>
      </c>
      <c r="Y340" s="565" t="str">
        <f>'matrik MISI 2'!Y59</f>
        <v>Jumlah Penegakan Hukum dari Tingkat Penyidikan Sampai dengan Putusan Pengadilan atas Kasus-kasus Kekerasan dibagi jumlah kasus kekerasan x 100</v>
      </c>
      <c r="Z340" s="565">
        <f>'matrik MISI 2'!Z59</f>
        <v>0</v>
      </c>
    </row>
    <row r="341" spans="1:454" ht="60">
      <c r="G341" s="563"/>
      <c r="H341" s="563" t="str">
        <f>'matrik MISI 2'!N60</f>
        <v>Cakupan Perempuan dan Anak Korban Kekerasan yang Mendapat Layanan Bantuan Hukum</v>
      </c>
      <c r="I341" s="563" t="str">
        <f>'matrik MISI 2'!O60</f>
        <v>%</v>
      </c>
      <c r="J341" s="563">
        <f>'matrik MISI 2'!P60</f>
        <v>90</v>
      </c>
      <c r="K341" s="563">
        <f>'matrik MISI 2'!Q60</f>
        <v>94</v>
      </c>
      <c r="L341" s="563">
        <f>'matrik MISI 2'!R60</f>
        <v>98</v>
      </c>
      <c r="M341" s="604"/>
      <c r="N341" s="563">
        <f>'matrik MISI 2'!S60</f>
        <v>98</v>
      </c>
      <c r="O341" s="564"/>
      <c r="P341" s="563">
        <f>'matrik MISI 2'!T60</f>
        <v>98</v>
      </c>
      <c r="Q341" s="564"/>
      <c r="R341" s="563">
        <f>'matrik MISI 2'!U60</f>
        <v>98</v>
      </c>
      <c r="S341" s="564"/>
      <c r="T341" s="563">
        <f>'matrik MISI 2'!V60</f>
        <v>98</v>
      </c>
      <c r="U341" s="564"/>
      <c r="V341" s="563">
        <f>'matrik MISI 2'!W60</f>
        <v>98</v>
      </c>
      <c r="W341" s="564"/>
      <c r="X341" s="563" t="str">
        <f>'matrik MISI 2'!X60</f>
        <v>BKBPP</v>
      </c>
      <c r="Y341" s="565" t="str">
        <f>'matrik MISI 2'!Y60</f>
        <v>Jumlah Perempuan dan Anak Korban Kekerasan yang Mendapat Layanan Bantuan Hukum dibagi jumlah perempuan dan anak korban kekerasan x 100</v>
      </c>
      <c r="Z341" s="565">
        <f>'matrik MISI 2'!Z60</f>
        <v>0</v>
      </c>
    </row>
    <row r="342" spans="1:454" ht="45">
      <c r="G342" s="563"/>
      <c r="H342" s="563" t="str">
        <f>'matrik MISI 2'!N61</f>
        <v xml:space="preserve">Cakupan Layanan Pemulangan bagi Perempuan dan Anak Korban Kekerasan </v>
      </c>
      <c r="I342" s="563" t="str">
        <f>'matrik MISI 2'!O61</f>
        <v>%</v>
      </c>
      <c r="J342" s="563">
        <f>'matrik MISI 2'!P61</f>
        <v>80</v>
      </c>
      <c r="K342" s="563">
        <f>'matrik MISI 2'!Q61</f>
        <v>80</v>
      </c>
      <c r="L342" s="563">
        <f>'matrik MISI 2'!R61</f>
        <v>84</v>
      </c>
      <c r="M342" s="604"/>
      <c r="N342" s="563">
        <f>'matrik MISI 2'!S61</f>
        <v>84</v>
      </c>
      <c r="O342" s="564"/>
      <c r="P342" s="563">
        <f>'matrik MISI 2'!T61</f>
        <v>86</v>
      </c>
      <c r="Q342" s="564"/>
      <c r="R342" s="563">
        <f>'matrik MISI 2'!U61</f>
        <v>86</v>
      </c>
      <c r="S342" s="564"/>
      <c r="T342" s="563">
        <f>'matrik MISI 2'!V61</f>
        <v>86</v>
      </c>
      <c r="U342" s="564"/>
      <c r="V342" s="563">
        <f>'matrik MISI 2'!W61</f>
        <v>86</v>
      </c>
      <c r="W342" s="564"/>
      <c r="X342" s="563" t="str">
        <f>'matrik MISI 2'!X61</f>
        <v>BKBPP</v>
      </c>
      <c r="Y342" s="565" t="str">
        <f>'matrik MISI 2'!Y61</f>
        <v>Jumlah Layanan Pemulangan bagi Perempuan dan Anak Korban Kekerasan dibagi jumlah perempuan dan anak korban kekerasan 1 100</v>
      </c>
      <c r="Z342" s="565">
        <f>'matrik MISI 2'!Z61</f>
        <v>0</v>
      </c>
    </row>
    <row r="343" spans="1:454" ht="45">
      <c r="G343" s="563"/>
      <c r="H343" s="563" t="str">
        <f>'matrik MISI 2'!N62</f>
        <v>Cakupan Layanan Reintegrasi Sosial bagi Perempuan dan Anak Korban Kekerasan</v>
      </c>
      <c r="I343" s="563" t="str">
        <f>'matrik MISI 2'!O62</f>
        <v>%</v>
      </c>
      <c r="J343" s="563">
        <f>'matrik MISI 2'!P62</f>
        <v>40</v>
      </c>
      <c r="K343" s="563">
        <f>'matrik MISI 2'!Q62</f>
        <v>40</v>
      </c>
      <c r="L343" s="563">
        <f>'matrik MISI 2'!R62</f>
        <v>50</v>
      </c>
      <c r="M343" s="604"/>
      <c r="N343" s="563">
        <f>'matrik MISI 2'!S62</f>
        <v>50</v>
      </c>
      <c r="O343" s="564"/>
      <c r="P343" s="563">
        <f>'matrik MISI 2'!T62</f>
        <v>50</v>
      </c>
      <c r="Q343" s="564"/>
      <c r="R343" s="563">
        <f>'matrik MISI 2'!U62</f>
        <v>50</v>
      </c>
      <c r="S343" s="564"/>
      <c r="T343" s="563">
        <f>'matrik MISI 2'!V62</f>
        <v>50</v>
      </c>
      <c r="U343" s="564"/>
      <c r="V343" s="563">
        <f>'matrik MISI 2'!W62</f>
        <v>50</v>
      </c>
      <c r="W343" s="564"/>
      <c r="X343" s="563" t="str">
        <f>'matrik MISI 2'!X62</f>
        <v>BKBPP</v>
      </c>
      <c r="Y343" s="565" t="str">
        <f>'matrik MISI 2'!Y62</f>
        <v>Jumlah Layanan Reintegrasi Sosial bagi Perempuan dan Anak Korban Kekerasan dibagi jumlah perempuan dan anak korban kekerasan x 100</v>
      </c>
      <c r="Z343" s="565">
        <f>'matrik MISI 2'!Z62</f>
        <v>0</v>
      </c>
    </row>
    <row r="344" spans="1:454" ht="30">
      <c r="G344" s="563"/>
      <c r="H344" s="563" t="str">
        <f>'matrik MISI 2'!N63</f>
        <v>Rasio Kekerasan dalam rumah tangga</v>
      </c>
      <c r="I344" s="563" t="str">
        <f>'matrik MISI 2'!O63</f>
        <v>Rasio</v>
      </c>
      <c r="J344" s="563" t="str">
        <f>'matrik MISI 2'!P63</f>
        <v>1 : 2182</v>
      </c>
      <c r="K344" s="563" t="str">
        <f>'matrik MISI 2'!Q63</f>
        <v>1 : 2401</v>
      </c>
      <c r="L344" s="563" t="str">
        <f>'matrik MISI 2'!R63</f>
        <v>1 : 2401</v>
      </c>
      <c r="M344" s="604"/>
      <c r="N344" s="563" t="str">
        <f>'matrik MISI 2'!S63</f>
        <v>1 : 2500</v>
      </c>
      <c r="O344" s="564"/>
      <c r="P344" s="563" t="str">
        <f>'matrik MISI 2'!T63</f>
        <v>1 : 2500</v>
      </c>
      <c r="Q344" s="564"/>
      <c r="R344" s="563" t="str">
        <f>'matrik MISI 2'!U63</f>
        <v>1 : 2600</v>
      </c>
      <c r="S344" s="564"/>
      <c r="T344" s="563" t="str">
        <f>'matrik MISI 2'!V63</f>
        <v>1 : 2600</v>
      </c>
      <c r="U344" s="564"/>
      <c r="V344" s="563" t="str">
        <f>'matrik MISI 2'!W63</f>
        <v>1 : 2600</v>
      </c>
      <c r="W344" s="564"/>
      <c r="X344" s="563" t="str">
        <f>'matrik MISI 2'!X63</f>
        <v>BKBPP</v>
      </c>
      <c r="Y344" s="565" t="str">
        <f>'matrik MISI 2'!Y63</f>
        <v>jumlah kasus Kekerasan Dalam Rumah Tangga yang dilaporkan dibagi jumlah Rumah Tangga x 100</v>
      </c>
      <c r="Z344" s="565">
        <f>'matrik MISI 2'!Z63</f>
        <v>0</v>
      </c>
    </row>
    <row r="345" spans="1:454" s="574" customFormat="1" ht="60">
      <c r="A345" s="569"/>
      <c r="B345" s="575"/>
      <c r="C345" s="576"/>
      <c r="D345" s="577">
        <f>'matrik MISI 2'!J64</f>
        <v>1.1100000000000001</v>
      </c>
      <c r="E345" s="577" t="str">
        <f>'matrik MISI 2'!K64</f>
        <v>xx</v>
      </c>
      <c r="F345" s="577">
        <f>'matrik MISI 2'!L64</f>
        <v>16</v>
      </c>
      <c r="G345" s="577" t="str">
        <f>'matrik MISI 2'!M64</f>
        <v>Program Penguatan Kelembagaan Pengarustamaan Gender dan Anak</v>
      </c>
      <c r="H345" s="577"/>
      <c r="I345" s="577"/>
      <c r="J345" s="577"/>
      <c r="K345" s="577"/>
      <c r="L345" s="577"/>
      <c r="M345" s="578">
        <f>'jangan di hapus 1'!K679</f>
        <v>98456850</v>
      </c>
      <c r="N345" s="578"/>
      <c r="O345" s="578">
        <f>'jangan di hapus 1'!M679</f>
        <v>210000000</v>
      </c>
      <c r="P345" s="578"/>
      <c r="Q345" s="578">
        <f>'jangan di hapus 1'!O679</f>
        <v>231000000</v>
      </c>
      <c r="R345" s="578"/>
      <c r="S345" s="578">
        <f>'jangan di hapus 1'!Q679</f>
        <v>254100000</v>
      </c>
      <c r="T345" s="578"/>
      <c r="U345" s="578">
        <f>'jangan di hapus 1'!S679</f>
        <v>279510000</v>
      </c>
      <c r="V345" s="577"/>
      <c r="W345" s="578">
        <f>SUM(M345:U345)</f>
        <v>1073066850</v>
      </c>
      <c r="X345" s="577"/>
      <c r="Y345" s="577"/>
      <c r="Z345" s="577"/>
      <c r="AA345" s="569"/>
      <c r="AB345" s="569"/>
      <c r="AC345" s="569"/>
      <c r="AD345" s="569"/>
      <c r="AE345" s="569"/>
      <c r="AF345" s="569"/>
      <c r="AG345" s="569"/>
      <c r="AH345" s="569"/>
      <c r="AI345" s="569"/>
      <c r="AJ345" s="569"/>
      <c r="AK345" s="569"/>
      <c r="AL345" s="569"/>
      <c r="AM345" s="569"/>
      <c r="AN345" s="569"/>
      <c r="AO345" s="569"/>
      <c r="AP345" s="569"/>
      <c r="AQ345" s="569"/>
      <c r="AR345" s="569"/>
      <c r="AS345" s="569"/>
      <c r="AT345" s="569"/>
      <c r="AU345" s="569"/>
      <c r="AV345" s="569"/>
      <c r="AW345" s="569"/>
      <c r="AX345" s="569"/>
      <c r="AY345" s="569"/>
      <c r="AZ345" s="569"/>
      <c r="BA345" s="569"/>
      <c r="BB345" s="569"/>
      <c r="BC345" s="569"/>
      <c r="BD345" s="569"/>
      <c r="BE345" s="569"/>
      <c r="BF345" s="569"/>
      <c r="BG345" s="569"/>
      <c r="BH345" s="569"/>
      <c r="BI345" s="569"/>
      <c r="BJ345" s="569"/>
      <c r="BK345" s="569"/>
      <c r="BL345" s="569"/>
      <c r="BM345" s="569"/>
      <c r="BN345" s="569"/>
      <c r="BO345" s="569"/>
      <c r="BP345" s="569"/>
      <c r="BQ345" s="569"/>
      <c r="BR345" s="569"/>
      <c r="BS345" s="569"/>
      <c r="BT345" s="569"/>
      <c r="BU345" s="569"/>
      <c r="BV345" s="569"/>
      <c r="BW345" s="569"/>
      <c r="BX345" s="569"/>
      <c r="BY345" s="569"/>
      <c r="BZ345" s="569"/>
      <c r="CA345" s="569"/>
      <c r="CB345" s="569"/>
      <c r="CC345" s="569"/>
      <c r="CD345" s="569"/>
      <c r="CE345" s="569"/>
      <c r="CF345" s="569"/>
      <c r="CG345" s="569"/>
      <c r="CH345" s="569"/>
      <c r="CI345" s="569"/>
      <c r="CJ345" s="569"/>
      <c r="CK345" s="569"/>
      <c r="CL345" s="569"/>
      <c r="CM345" s="569"/>
      <c r="CN345" s="569"/>
      <c r="CO345" s="569"/>
      <c r="CP345" s="569"/>
      <c r="CQ345" s="569"/>
      <c r="CR345" s="569"/>
      <c r="CS345" s="569"/>
      <c r="CT345" s="569"/>
      <c r="CU345" s="569"/>
      <c r="CV345" s="569"/>
      <c r="CW345" s="569"/>
      <c r="CX345" s="569"/>
      <c r="CY345" s="569"/>
      <c r="CZ345" s="569"/>
      <c r="DA345" s="569"/>
      <c r="DB345" s="569"/>
      <c r="DC345" s="569"/>
      <c r="DD345" s="569"/>
      <c r="DE345" s="569"/>
      <c r="DF345" s="569"/>
      <c r="DG345" s="569"/>
      <c r="DH345" s="569"/>
      <c r="DI345" s="569"/>
      <c r="DJ345" s="569"/>
      <c r="DK345" s="569"/>
      <c r="DL345" s="569"/>
      <c r="DM345" s="569"/>
      <c r="DN345" s="569"/>
      <c r="DO345" s="569"/>
      <c r="DP345" s="569"/>
      <c r="DQ345" s="569"/>
      <c r="DR345" s="569"/>
      <c r="DS345" s="569"/>
      <c r="DT345" s="569"/>
      <c r="DU345" s="569"/>
      <c r="DV345" s="569"/>
      <c r="DW345" s="569"/>
      <c r="DX345" s="569"/>
      <c r="DY345" s="569"/>
      <c r="DZ345" s="569"/>
      <c r="EA345" s="569"/>
      <c r="EB345" s="569"/>
      <c r="EC345" s="569"/>
      <c r="ED345" s="569"/>
      <c r="EE345" s="569"/>
      <c r="EF345" s="569"/>
      <c r="EG345" s="569"/>
      <c r="EH345" s="569"/>
      <c r="EI345" s="569"/>
      <c r="EJ345" s="569"/>
      <c r="EK345" s="569"/>
      <c r="EL345" s="569"/>
      <c r="EM345" s="569"/>
      <c r="EN345" s="569"/>
      <c r="EO345" s="569"/>
      <c r="EP345" s="569"/>
      <c r="EQ345" s="569"/>
      <c r="ER345" s="569"/>
      <c r="ES345" s="569"/>
      <c r="ET345" s="569"/>
      <c r="EU345" s="569"/>
      <c r="EV345" s="569"/>
      <c r="EW345" s="569"/>
      <c r="EX345" s="569"/>
      <c r="EY345" s="569"/>
      <c r="EZ345" s="569"/>
      <c r="FA345" s="569"/>
      <c r="FB345" s="569"/>
      <c r="FC345" s="569"/>
      <c r="FD345" s="569"/>
      <c r="FE345" s="569"/>
      <c r="FF345" s="569"/>
      <c r="FG345" s="569"/>
      <c r="FH345" s="569"/>
      <c r="FI345" s="569"/>
      <c r="FJ345" s="569"/>
      <c r="FK345" s="569"/>
      <c r="FL345" s="569"/>
      <c r="FM345" s="569"/>
      <c r="FN345" s="569"/>
      <c r="FO345" s="569"/>
      <c r="FP345" s="569"/>
      <c r="FQ345" s="569"/>
      <c r="FR345" s="569"/>
      <c r="FS345" s="569"/>
      <c r="FT345" s="569"/>
      <c r="FU345" s="569"/>
      <c r="FV345" s="569"/>
      <c r="FW345" s="569"/>
      <c r="FX345" s="569"/>
      <c r="FY345" s="569"/>
      <c r="FZ345" s="569"/>
      <c r="GA345" s="569"/>
      <c r="GB345" s="569"/>
      <c r="GC345" s="569"/>
      <c r="GD345" s="569"/>
      <c r="GE345" s="569"/>
      <c r="GF345" s="569"/>
      <c r="GG345" s="569"/>
      <c r="GH345" s="569"/>
      <c r="GI345" s="569"/>
      <c r="GJ345" s="569"/>
      <c r="GK345" s="569"/>
      <c r="GL345" s="569"/>
      <c r="GM345" s="569"/>
      <c r="GN345" s="569"/>
      <c r="GO345" s="569"/>
      <c r="GP345" s="569"/>
      <c r="GQ345" s="569"/>
      <c r="GR345" s="569"/>
      <c r="GS345" s="569"/>
      <c r="GT345" s="569"/>
      <c r="GU345" s="569"/>
      <c r="GV345" s="569"/>
      <c r="GW345" s="569"/>
      <c r="GX345" s="569"/>
      <c r="GY345" s="569"/>
      <c r="GZ345" s="569"/>
      <c r="HA345" s="569"/>
      <c r="HB345" s="569"/>
      <c r="HC345" s="569"/>
      <c r="HD345" s="569"/>
      <c r="HE345" s="569"/>
      <c r="HF345" s="569"/>
      <c r="HG345" s="569"/>
      <c r="HH345" s="569"/>
      <c r="HI345" s="569"/>
      <c r="HJ345" s="569"/>
      <c r="HK345" s="569"/>
      <c r="HL345" s="569"/>
      <c r="HM345" s="569"/>
      <c r="HN345" s="569"/>
      <c r="HO345" s="569"/>
      <c r="HP345" s="569"/>
      <c r="HQ345" s="569"/>
      <c r="HR345" s="569"/>
      <c r="HS345" s="569"/>
      <c r="HT345" s="569"/>
      <c r="HU345" s="569"/>
      <c r="HV345" s="569"/>
      <c r="HW345" s="569"/>
      <c r="HX345" s="569"/>
      <c r="HY345" s="569"/>
      <c r="HZ345" s="569"/>
      <c r="IA345" s="569"/>
      <c r="IB345" s="569"/>
      <c r="IC345" s="569"/>
      <c r="ID345" s="569"/>
      <c r="IE345" s="569"/>
      <c r="IF345" s="569"/>
      <c r="IG345" s="569"/>
      <c r="IH345" s="569"/>
      <c r="II345" s="569"/>
      <c r="IJ345" s="569"/>
      <c r="IK345" s="569"/>
      <c r="IL345" s="569"/>
      <c r="IM345" s="569"/>
      <c r="IN345" s="569"/>
      <c r="IO345" s="569"/>
      <c r="IP345" s="569"/>
      <c r="IQ345" s="569"/>
      <c r="IR345" s="569"/>
      <c r="IS345" s="569"/>
      <c r="IT345" s="569"/>
      <c r="IU345" s="569"/>
      <c r="IV345" s="569"/>
      <c r="IW345" s="569"/>
      <c r="IX345" s="569"/>
      <c r="IY345" s="569"/>
      <c r="IZ345" s="569"/>
      <c r="JA345" s="569"/>
      <c r="JB345" s="569"/>
      <c r="JC345" s="569"/>
      <c r="JD345" s="569"/>
      <c r="JE345" s="569"/>
      <c r="JF345" s="569"/>
      <c r="JG345" s="569"/>
      <c r="JH345" s="569"/>
      <c r="JI345" s="569"/>
      <c r="JJ345" s="569"/>
      <c r="JK345" s="569"/>
      <c r="JL345" s="569"/>
      <c r="JM345" s="569"/>
      <c r="JN345" s="569"/>
      <c r="JO345" s="569"/>
      <c r="JP345" s="569"/>
      <c r="JQ345" s="569"/>
      <c r="JR345" s="569"/>
      <c r="JS345" s="569"/>
      <c r="JT345" s="569"/>
      <c r="JU345" s="569"/>
      <c r="JV345" s="569"/>
      <c r="JW345" s="569"/>
      <c r="JX345" s="569"/>
      <c r="JY345" s="569"/>
      <c r="JZ345" s="569"/>
      <c r="KA345" s="569"/>
      <c r="KB345" s="569"/>
      <c r="KC345" s="569"/>
      <c r="KD345" s="569"/>
      <c r="KE345" s="569"/>
      <c r="KF345" s="569"/>
      <c r="KG345" s="569"/>
      <c r="KH345" s="569"/>
      <c r="KI345" s="569"/>
      <c r="KJ345" s="569"/>
      <c r="KK345" s="569"/>
      <c r="KL345" s="569"/>
      <c r="KM345" s="569"/>
      <c r="KN345" s="569"/>
      <c r="KO345" s="569"/>
      <c r="KP345" s="569"/>
      <c r="KQ345" s="569"/>
      <c r="KR345" s="569"/>
      <c r="KS345" s="569"/>
      <c r="KT345" s="569"/>
      <c r="KU345" s="569"/>
      <c r="KV345" s="569"/>
      <c r="KW345" s="569"/>
      <c r="KX345" s="569"/>
      <c r="KY345" s="569"/>
      <c r="KZ345" s="569"/>
      <c r="LA345" s="569"/>
      <c r="LB345" s="569"/>
      <c r="LC345" s="569"/>
      <c r="LD345" s="569"/>
      <c r="LE345" s="569"/>
      <c r="LF345" s="569"/>
      <c r="LG345" s="569"/>
      <c r="LH345" s="569"/>
      <c r="LI345" s="569"/>
      <c r="LJ345" s="569"/>
      <c r="LK345" s="569"/>
      <c r="LL345" s="569"/>
      <c r="LM345" s="569"/>
      <c r="LN345" s="569"/>
      <c r="LO345" s="569"/>
      <c r="LP345" s="569"/>
      <c r="LQ345" s="569"/>
      <c r="LR345" s="569"/>
      <c r="LS345" s="569"/>
      <c r="LT345" s="569"/>
      <c r="LU345" s="569"/>
      <c r="LV345" s="569"/>
      <c r="LW345" s="569"/>
      <c r="LX345" s="569"/>
      <c r="LY345" s="569"/>
      <c r="LZ345" s="569"/>
      <c r="MA345" s="569"/>
      <c r="MB345" s="569"/>
      <c r="MC345" s="569"/>
      <c r="MD345" s="569"/>
      <c r="ME345" s="569"/>
      <c r="MF345" s="569"/>
      <c r="MG345" s="569"/>
      <c r="MH345" s="569"/>
      <c r="MI345" s="569"/>
      <c r="MJ345" s="569"/>
      <c r="MK345" s="569"/>
      <c r="ML345" s="569"/>
      <c r="MM345" s="569"/>
      <c r="MN345" s="569"/>
      <c r="MO345" s="569"/>
      <c r="MP345" s="569"/>
      <c r="MQ345" s="569"/>
      <c r="MR345" s="569"/>
      <c r="MS345" s="569"/>
      <c r="MT345" s="569"/>
      <c r="MU345" s="569"/>
      <c r="MV345" s="569"/>
      <c r="MW345" s="569"/>
      <c r="MX345" s="569"/>
      <c r="MY345" s="569"/>
      <c r="MZ345" s="569"/>
      <c r="NA345" s="569"/>
      <c r="NB345" s="569"/>
      <c r="NC345" s="569"/>
      <c r="ND345" s="569"/>
      <c r="NE345" s="569"/>
      <c r="NF345" s="569"/>
      <c r="NG345" s="569"/>
      <c r="NH345" s="569"/>
      <c r="NI345" s="569"/>
      <c r="NJ345" s="569"/>
      <c r="NK345" s="569"/>
      <c r="NL345" s="569"/>
      <c r="NM345" s="569"/>
      <c r="NN345" s="569"/>
      <c r="NO345" s="569"/>
      <c r="NP345" s="569"/>
      <c r="NQ345" s="569"/>
      <c r="NR345" s="569"/>
      <c r="NS345" s="569"/>
      <c r="NT345" s="569"/>
      <c r="NU345" s="569"/>
      <c r="NV345" s="569"/>
      <c r="NW345" s="569"/>
      <c r="NX345" s="569"/>
      <c r="NY345" s="569"/>
      <c r="NZ345" s="569"/>
      <c r="OA345" s="569"/>
      <c r="OB345" s="569"/>
      <c r="OC345" s="569"/>
      <c r="OD345" s="569"/>
      <c r="OE345" s="569"/>
      <c r="OF345" s="569"/>
      <c r="OG345" s="569"/>
      <c r="OH345" s="569"/>
      <c r="OI345" s="569"/>
      <c r="OJ345" s="569"/>
      <c r="OK345" s="569"/>
      <c r="OL345" s="569"/>
      <c r="OM345" s="569"/>
      <c r="ON345" s="569"/>
      <c r="OO345" s="569"/>
      <c r="OP345" s="569"/>
      <c r="OQ345" s="569"/>
      <c r="OR345" s="569"/>
      <c r="OS345" s="569"/>
      <c r="OT345" s="569"/>
      <c r="OU345" s="569"/>
      <c r="OV345" s="569"/>
      <c r="OW345" s="569"/>
      <c r="OX345" s="569"/>
      <c r="OY345" s="569"/>
      <c r="OZ345" s="569"/>
      <c r="PA345" s="569"/>
      <c r="PB345" s="569"/>
      <c r="PC345" s="569"/>
      <c r="PD345" s="569"/>
      <c r="PE345" s="569"/>
      <c r="PF345" s="569"/>
      <c r="PG345" s="569"/>
      <c r="PH345" s="569"/>
      <c r="PI345" s="569"/>
      <c r="PJ345" s="569"/>
      <c r="PK345" s="569"/>
      <c r="PL345" s="569"/>
      <c r="PM345" s="569"/>
      <c r="PN345" s="569"/>
      <c r="PO345" s="569"/>
      <c r="PP345" s="569"/>
      <c r="PQ345" s="569"/>
      <c r="PR345" s="569"/>
      <c r="PS345" s="569"/>
      <c r="PT345" s="569"/>
      <c r="PU345" s="569"/>
      <c r="PV345" s="569"/>
      <c r="PW345" s="569"/>
      <c r="PX345" s="569"/>
      <c r="PY345" s="569"/>
      <c r="PZ345" s="569"/>
      <c r="QA345" s="569"/>
      <c r="QB345" s="569"/>
      <c r="QC345" s="569"/>
      <c r="QD345" s="569"/>
      <c r="QE345" s="569"/>
      <c r="QF345" s="569"/>
      <c r="QG345" s="569"/>
      <c r="QH345" s="569"/>
      <c r="QI345" s="569"/>
      <c r="QJ345" s="569"/>
      <c r="QK345" s="569"/>
      <c r="QL345" s="569"/>
    </row>
    <row r="346" spans="1:454" ht="45">
      <c r="D346" s="568"/>
      <c r="E346" s="568"/>
      <c r="F346" s="568"/>
      <c r="G346" s="568"/>
      <c r="H346" s="563" t="str">
        <f>'matrik MISI 2'!N64</f>
        <v>Meningkatnya Implementasi Anggaran Responsif Gender</v>
      </c>
      <c r="I346" s="563" t="str">
        <f>'matrik MISI 2'!O64</f>
        <v>%</v>
      </c>
      <c r="J346" s="563" t="str">
        <f>'matrik MISI 2'!P64</f>
        <v>4,2</v>
      </c>
      <c r="K346" s="563" t="str">
        <f>'matrik MISI 2'!Q64</f>
        <v>29,2</v>
      </c>
      <c r="L346" s="563">
        <f>'matrik MISI 2'!R64</f>
        <v>30</v>
      </c>
      <c r="M346" s="604"/>
      <c r="N346" s="563">
        <f>'matrik MISI 2'!S64</f>
        <v>40</v>
      </c>
      <c r="O346" s="564"/>
      <c r="P346" s="563">
        <f>'matrik MISI 2'!T64</f>
        <v>50</v>
      </c>
      <c r="Q346" s="564"/>
      <c r="R346" s="563">
        <f>'matrik MISI 2'!U64</f>
        <v>60</v>
      </c>
      <c r="S346" s="564"/>
      <c r="T346" s="563">
        <f>'matrik MISI 2'!V64</f>
        <v>70</v>
      </c>
      <c r="U346" s="564"/>
      <c r="V346" s="563">
        <f>'matrik MISI 2'!W64</f>
        <v>70</v>
      </c>
      <c r="W346" s="564"/>
      <c r="X346" s="563" t="str">
        <f>'matrik MISI 2'!X64</f>
        <v>BKBPP</v>
      </c>
      <c r="Y346" s="565" t="str">
        <f>'matrik MISI 2'!Y64</f>
        <v>Jumlah Daftar Pelaksanaan Anggaran (DPA) SKPD yang sudah dilampiri Anggaran Responsif Gender dibagi jumlah kegiatan SKPD yang diusulkan ber-ARG x 100</v>
      </c>
      <c r="Z346" s="565">
        <f>'matrik MISI 2'!Z64</f>
        <v>0</v>
      </c>
    </row>
    <row r="347" spans="1:454" ht="30">
      <c r="G347" s="563"/>
      <c r="H347" s="563" t="str">
        <f>'matrik MISI 2'!N66</f>
        <v>Cakupan Pencapaian Indikator Klaster Hak Sipil dan Kebebasan</v>
      </c>
      <c r="I347" s="563" t="str">
        <f>'matrik MISI 2'!O66</f>
        <v>%</v>
      </c>
      <c r="J347" s="563">
        <f>'matrik MISI 2'!P66</f>
        <v>60</v>
      </c>
      <c r="K347" s="563">
        <f>'matrik MISI 2'!Q66</f>
        <v>66</v>
      </c>
      <c r="L347" s="563">
        <f>'matrik MISI 2'!R66</f>
        <v>70</v>
      </c>
      <c r="M347" s="604"/>
      <c r="N347" s="563">
        <f>'matrik MISI 2'!S66</f>
        <v>75</v>
      </c>
      <c r="O347" s="564"/>
      <c r="P347" s="563">
        <f>'matrik MISI 2'!T66</f>
        <v>80</v>
      </c>
      <c r="Q347" s="564"/>
      <c r="R347" s="563">
        <f>'matrik MISI 2'!U66</f>
        <v>85</v>
      </c>
      <c r="S347" s="564"/>
      <c r="T347" s="563">
        <f>'matrik MISI 2'!V66</f>
        <v>90</v>
      </c>
      <c r="U347" s="564"/>
      <c r="V347" s="563">
        <f>'matrik MISI 2'!W66</f>
        <v>95</v>
      </c>
      <c r="W347" s="564"/>
      <c r="X347" s="563" t="str">
        <f>'matrik MISI 2'!X66</f>
        <v>BKBPP</v>
      </c>
      <c r="Y347" s="565" t="str">
        <f>'matrik MISI 2'!Y66</f>
        <v>Jumlah Indikator Klaster Hak Sipil dan Kebebasan yang tercapai dibagi jumlah indikator klaster hak sipil kali 100</v>
      </c>
      <c r="Z347" s="565">
        <f>'matrik MISI 2'!Z66</f>
        <v>0</v>
      </c>
    </row>
    <row r="348" spans="1:454" ht="45">
      <c r="G348" s="563"/>
      <c r="H348" s="563" t="str">
        <f>'matrik MISI 2'!N67</f>
        <v>Cakupan Pencapaian Indikator Klaster Lingkungan Keluarga dan Pengasuhan Alternatif</v>
      </c>
      <c r="I348" s="563" t="str">
        <f>'matrik MISI 2'!O67</f>
        <v>%</v>
      </c>
      <c r="J348" s="563">
        <f>'matrik MISI 2'!P67</f>
        <v>60</v>
      </c>
      <c r="K348" s="563">
        <f>'matrik MISI 2'!Q67</f>
        <v>60</v>
      </c>
      <c r="L348" s="563">
        <f>'matrik MISI 2'!R67</f>
        <v>70</v>
      </c>
      <c r="M348" s="604"/>
      <c r="N348" s="563">
        <f>'matrik MISI 2'!S67</f>
        <v>70</v>
      </c>
      <c r="O348" s="564"/>
      <c r="P348" s="563">
        <f>'matrik MISI 2'!T67</f>
        <v>75</v>
      </c>
      <c r="Q348" s="564"/>
      <c r="R348" s="563">
        <f>'matrik MISI 2'!U67</f>
        <v>75</v>
      </c>
      <c r="S348" s="564"/>
      <c r="T348" s="563">
        <f>'matrik MISI 2'!V67</f>
        <v>80</v>
      </c>
      <c r="U348" s="564"/>
      <c r="V348" s="563">
        <f>'matrik MISI 2'!W67</f>
        <v>80</v>
      </c>
      <c r="W348" s="564"/>
      <c r="X348" s="563" t="str">
        <f>'matrik MISI 2'!X67</f>
        <v>BKBPP</v>
      </c>
      <c r="Y348" s="565" t="str">
        <f>'matrik MISI 2'!Y67</f>
        <v>Jumlah Indikator Klaster Lingkungan Keluarga dan Pengasuhan Alternatif yang tercapai dibagi jumlah Indikator Klaster Lingkungan Keluarga dan Pengasuhan Alternatif x 100</v>
      </c>
      <c r="Z348" s="565">
        <f>'matrik MISI 2'!Z67</f>
        <v>0</v>
      </c>
    </row>
    <row r="349" spans="1:454" ht="30">
      <c r="G349" s="563"/>
      <c r="H349" s="563" t="str">
        <f>'matrik MISI 2'!N68</f>
        <v>Cakupan Pencapaian Indikator Klaster Kesehatan Dasar</v>
      </c>
      <c r="I349" s="563" t="str">
        <f>'matrik MISI 2'!O68</f>
        <v>%</v>
      </c>
      <c r="J349" s="563">
        <f>'matrik MISI 2'!P68</f>
        <v>60</v>
      </c>
      <c r="K349" s="563">
        <f>'matrik MISI 2'!Q68</f>
        <v>60</v>
      </c>
      <c r="L349" s="563">
        <f>'matrik MISI 2'!R68</f>
        <v>70</v>
      </c>
      <c r="M349" s="604"/>
      <c r="N349" s="563">
        <f>'matrik MISI 2'!S68</f>
        <v>70</v>
      </c>
      <c r="O349" s="564"/>
      <c r="P349" s="563">
        <f>'matrik MISI 2'!T68</f>
        <v>75</v>
      </c>
      <c r="Q349" s="564"/>
      <c r="R349" s="563">
        <f>'matrik MISI 2'!U68</f>
        <v>75</v>
      </c>
      <c r="S349" s="564"/>
      <c r="T349" s="563">
        <f>'matrik MISI 2'!V68</f>
        <v>80</v>
      </c>
      <c r="U349" s="564"/>
      <c r="V349" s="563">
        <f>'matrik MISI 2'!W68</f>
        <v>80</v>
      </c>
      <c r="W349" s="564"/>
      <c r="X349" s="563" t="str">
        <f>'matrik MISI 2'!X68</f>
        <v>BKBPP</v>
      </c>
      <c r="Y349" s="565" t="str">
        <f>'matrik MISI 2'!Y68</f>
        <v>Jumlah Indikator Klaster Kesehatan Dasar yang tercapai dibagi jumlah indikator klaster kesehatan dasar kali 100</v>
      </c>
      <c r="Z349" s="565">
        <f>'matrik MISI 2'!Z68</f>
        <v>0</v>
      </c>
    </row>
    <row r="350" spans="1:454" ht="60">
      <c r="G350" s="563"/>
      <c r="H350" s="563" t="str">
        <f>'matrik MISI 2'!N69</f>
        <v>Cakupan Pencapaian Indikator Klaster Pendidikan, Pemanfaatan Waktu Luang dan Kegiatan Budaya</v>
      </c>
      <c r="I350" s="563" t="str">
        <f>'matrik MISI 2'!O69</f>
        <v>%</v>
      </c>
      <c r="J350" s="563">
        <f>'matrik MISI 2'!P69</f>
        <v>70</v>
      </c>
      <c r="K350" s="563">
        <f>'matrik MISI 2'!Q69</f>
        <v>70</v>
      </c>
      <c r="L350" s="563">
        <f>'matrik MISI 2'!R69</f>
        <v>75</v>
      </c>
      <c r="M350" s="604"/>
      <c r="N350" s="563">
        <f>'matrik MISI 2'!S69</f>
        <v>75</v>
      </c>
      <c r="O350" s="564"/>
      <c r="P350" s="563">
        <f>'matrik MISI 2'!T69</f>
        <v>80</v>
      </c>
      <c r="Q350" s="564"/>
      <c r="R350" s="563">
        <f>'matrik MISI 2'!U69</f>
        <v>80</v>
      </c>
      <c r="S350" s="564"/>
      <c r="T350" s="563">
        <f>'matrik MISI 2'!V69</f>
        <v>85</v>
      </c>
      <c r="U350" s="564"/>
      <c r="V350" s="563">
        <f>'matrik MISI 2'!W69</f>
        <v>85</v>
      </c>
      <c r="W350" s="564"/>
      <c r="X350" s="563" t="str">
        <f>'matrik MISI 2'!X69</f>
        <v>BKBPP</v>
      </c>
      <c r="Y350" s="565" t="str">
        <f>'matrik MISI 2'!Y69</f>
        <v>Jumlah Indikator Klaster Pendidikan, Pemanfaatan Waktu Luang dan Kegiatan Budaya yang tercapai dibagi jumlah indikator Klaster Pendidikan, Pemanfaatan Waktu Luang dan Kegiatan Budaya kali 100</v>
      </c>
      <c r="Z350" s="565">
        <f>'matrik MISI 2'!Z69</f>
        <v>0</v>
      </c>
    </row>
    <row r="351" spans="1:454" ht="30">
      <c r="G351" s="563"/>
      <c r="H351" s="563" t="str">
        <f>'matrik MISI 2'!N70</f>
        <v>Cakupan Pencapaian Indikator Kluster Perlindungan Khusus</v>
      </c>
      <c r="I351" s="563" t="str">
        <f>'matrik MISI 2'!O70</f>
        <v>%</v>
      </c>
      <c r="J351" s="563">
        <f>'matrik MISI 2'!P70</f>
        <v>55</v>
      </c>
      <c r="K351" s="563">
        <f>'matrik MISI 2'!Q70</f>
        <v>55</v>
      </c>
      <c r="L351" s="563">
        <f>'matrik MISI 2'!R70</f>
        <v>60</v>
      </c>
      <c r="M351" s="604"/>
      <c r="N351" s="563">
        <f>'matrik MISI 2'!S70</f>
        <v>60</v>
      </c>
      <c r="O351" s="564"/>
      <c r="P351" s="563">
        <f>'matrik MISI 2'!T70</f>
        <v>65</v>
      </c>
      <c r="Q351" s="564"/>
      <c r="R351" s="563">
        <f>'matrik MISI 2'!U70</f>
        <v>65</v>
      </c>
      <c r="S351" s="564"/>
      <c r="T351" s="563">
        <f>'matrik MISI 2'!V70</f>
        <v>70</v>
      </c>
      <c r="U351" s="564"/>
      <c r="V351" s="563">
        <f>'matrik MISI 2'!W70</f>
        <v>70</v>
      </c>
      <c r="W351" s="564"/>
      <c r="X351" s="563" t="str">
        <f>'matrik MISI 2'!X70</f>
        <v>BKBPP</v>
      </c>
      <c r="Y351" s="565" t="str">
        <f>'matrik MISI 2'!Y70</f>
        <v>Jumlah Indikator Kluster Perlindungan Khusus yang tercapai dibagi jumlah indikator kluster perlindungan khusus kali 100</v>
      </c>
      <c r="Z351" s="565">
        <f>'matrik MISI 2'!Z70</f>
        <v>0</v>
      </c>
    </row>
    <row r="352" spans="1:454" s="570" customFormat="1">
      <c r="A352" s="569"/>
      <c r="B352" s="571"/>
      <c r="C352" s="572"/>
      <c r="D352" s="573"/>
      <c r="E352" s="573"/>
      <c r="F352" s="573"/>
      <c r="G352" s="571"/>
      <c r="H352" s="571"/>
      <c r="I352" s="571"/>
      <c r="J352" s="580"/>
      <c r="K352" s="580"/>
      <c r="L352" s="580"/>
      <c r="M352" s="606"/>
      <c r="N352" s="580"/>
      <c r="O352" s="581"/>
      <c r="P352" s="580"/>
      <c r="Q352" s="581"/>
      <c r="R352" s="580"/>
      <c r="S352" s="581"/>
      <c r="T352" s="580"/>
      <c r="U352" s="581"/>
      <c r="V352" s="580"/>
      <c r="W352" s="581"/>
      <c r="X352" s="571"/>
      <c r="Y352" s="582"/>
      <c r="Z352" s="582"/>
      <c r="AA352" s="569"/>
      <c r="AB352" s="569"/>
      <c r="AC352" s="569"/>
      <c r="AD352" s="569"/>
      <c r="AE352" s="569"/>
      <c r="AF352" s="569"/>
      <c r="AG352" s="569"/>
      <c r="AH352" s="569"/>
      <c r="AI352" s="569"/>
      <c r="AJ352" s="569"/>
      <c r="AK352" s="569"/>
      <c r="AL352" s="569"/>
      <c r="AM352" s="569"/>
      <c r="AN352" s="569"/>
      <c r="AO352" s="569"/>
      <c r="AP352" s="569"/>
      <c r="AQ352" s="569"/>
      <c r="AR352" s="569"/>
      <c r="AS352" s="569"/>
      <c r="AT352" s="569"/>
      <c r="AU352" s="569"/>
      <c r="AV352" s="569"/>
      <c r="AW352" s="569"/>
      <c r="AX352" s="569"/>
      <c r="AY352" s="569"/>
      <c r="AZ352" s="569"/>
      <c r="BA352" s="569"/>
      <c r="BB352" s="569"/>
      <c r="BC352" s="569"/>
      <c r="BD352" s="569"/>
      <c r="BE352" s="569"/>
      <c r="BF352" s="569"/>
      <c r="BG352" s="569"/>
      <c r="BH352" s="569"/>
      <c r="BI352" s="569"/>
      <c r="BJ352" s="569"/>
      <c r="BK352" s="569"/>
      <c r="BL352" s="569"/>
      <c r="BM352" s="569"/>
      <c r="BN352" s="569"/>
      <c r="BO352" s="569"/>
      <c r="BP352" s="569"/>
      <c r="BQ352" s="569"/>
      <c r="BR352" s="569"/>
      <c r="BS352" s="569"/>
      <c r="BT352" s="569"/>
      <c r="BU352" s="569"/>
      <c r="BV352" s="569"/>
      <c r="BW352" s="569"/>
      <c r="BX352" s="569"/>
      <c r="BY352" s="569"/>
      <c r="BZ352" s="569"/>
      <c r="CA352" s="569"/>
      <c r="CB352" s="569"/>
      <c r="CC352" s="569"/>
      <c r="CD352" s="569"/>
      <c r="CE352" s="569"/>
      <c r="CF352" s="569"/>
      <c r="CG352" s="569"/>
      <c r="CH352" s="569"/>
      <c r="CI352" s="569"/>
      <c r="CJ352" s="569"/>
      <c r="CK352" s="569"/>
      <c r="CL352" s="569"/>
      <c r="CM352" s="569"/>
      <c r="CN352" s="569"/>
      <c r="CO352" s="569"/>
      <c r="CP352" s="569"/>
      <c r="CQ352" s="569"/>
      <c r="CR352" s="569"/>
      <c r="CS352" s="569"/>
      <c r="CT352" s="569"/>
      <c r="CU352" s="569"/>
      <c r="CV352" s="569"/>
      <c r="CW352" s="569"/>
      <c r="CX352" s="569"/>
      <c r="CY352" s="569"/>
      <c r="CZ352" s="569"/>
      <c r="DA352" s="569"/>
      <c r="DB352" s="569"/>
      <c r="DC352" s="569"/>
      <c r="DD352" s="569"/>
      <c r="DE352" s="569"/>
      <c r="DF352" s="569"/>
      <c r="DG352" s="569"/>
      <c r="DH352" s="569"/>
      <c r="DI352" s="569"/>
      <c r="DJ352" s="569"/>
      <c r="DK352" s="569"/>
      <c r="DL352" s="569"/>
      <c r="DM352" s="569"/>
      <c r="DN352" s="569"/>
      <c r="DO352" s="569"/>
      <c r="DP352" s="569"/>
      <c r="DQ352" s="569"/>
      <c r="DR352" s="569"/>
      <c r="DS352" s="569"/>
      <c r="DT352" s="569"/>
      <c r="DU352" s="569"/>
      <c r="DV352" s="569"/>
      <c r="DW352" s="569"/>
      <c r="DX352" s="569"/>
      <c r="DY352" s="569"/>
      <c r="DZ352" s="569"/>
      <c r="EA352" s="569"/>
      <c r="EB352" s="569"/>
      <c r="EC352" s="569"/>
      <c r="ED352" s="569"/>
      <c r="EE352" s="569"/>
      <c r="EF352" s="569"/>
      <c r="EG352" s="569"/>
      <c r="EH352" s="569"/>
      <c r="EI352" s="569"/>
      <c r="EJ352" s="569"/>
      <c r="EK352" s="569"/>
      <c r="EL352" s="569"/>
      <c r="EM352" s="569"/>
      <c r="EN352" s="569"/>
      <c r="EO352" s="569"/>
      <c r="EP352" s="569"/>
      <c r="EQ352" s="569"/>
      <c r="ER352" s="569"/>
      <c r="ES352" s="569"/>
      <c r="ET352" s="569"/>
      <c r="EU352" s="569"/>
      <c r="EV352" s="569"/>
      <c r="EW352" s="569"/>
      <c r="EX352" s="569"/>
      <c r="EY352" s="569"/>
      <c r="EZ352" s="569"/>
      <c r="FA352" s="569"/>
      <c r="FB352" s="569"/>
      <c r="FC352" s="569"/>
      <c r="FD352" s="569"/>
      <c r="FE352" s="569"/>
      <c r="FF352" s="569"/>
      <c r="FG352" s="569"/>
      <c r="FH352" s="569"/>
      <c r="FI352" s="569"/>
      <c r="FJ352" s="569"/>
      <c r="FK352" s="569"/>
      <c r="FL352" s="569"/>
      <c r="FM352" s="569"/>
      <c r="FN352" s="569"/>
      <c r="FO352" s="569"/>
      <c r="FP352" s="569"/>
      <c r="FQ352" s="569"/>
      <c r="FR352" s="569"/>
      <c r="FS352" s="569"/>
      <c r="FT352" s="569"/>
      <c r="FU352" s="569"/>
      <c r="FV352" s="569"/>
      <c r="FW352" s="569"/>
      <c r="FX352" s="569"/>
      <c r="FY352" s="569"/>
      <c r="FZ352" s="569"/>
      <c r="GA352" s="569"/>
      <c r="GB352" s="569"/>
      <c r="GC352" s="569"/>
      <c r="GD352" s="569"/>
      <c r="GE352" s="569"/>
      <c r="GF352" s="569"/>
      <c r="GG352" s="569"/>
      <c r="GH352" s="569"/>
      <c r="GI352" s="569"/>
      <c r="GJ352" s="569"/>
      <c r="GK352" s="569"/>
      <c r="GL352" s="569"/>
      <c r="GM352" s="569"/>
      <c r="GN352" s="569"/>
      <c r="GO352" s="569"/>
      <c r="GP352" s="569"/>
      <c r="GQ352" s="569"/>
      <c r="GR352" s="569"/>
      <c r="GS352" s="569"/>
      <c r="GT352" s="569"/>
      <c r="GU352" s="569"/>
      <c r="GV352" s="569"/>
      <c r="GW352" s="569"/>
      <c r="GX352" s="569"/>
      <c r="GY352" s="569"/>
      <c r="GZ352" s="569"/>
      <c r="HA352" s="569"/>
      <c r="HB352" s="569"/>
      <c r="HC352" s="569"/>
      <c r="HD352" s="569"/>
      <c r="HE352" s="569"/>
      <c r="HF352" s="569"/>
      <c r="HG352" s="569"/>
      <c r="HH352" s="569"/>
      <c r="HI352" s="569"/>
      <c r="HJ352" s="569"/>
      <c r="HK352" s="569"/>
      <c r="HL352" s="569"/>
      <c r="HM352" s="569"/>
      <c r="HN352" s="569"/>
      <c r="HO352" s="569"/>
      <c r="HP352" s="569"/>
      <c r="HQ352" s="569"/>
      <c r="HR352" s="569"/>
      <c r="HS352" s="569"/>
      <c r="HT352" s="569"/>
      <c r="HU352" s="569"/>
      <c r="HV352" s="569"/>
      <c r="HW352" s="569"/>
      <c r="HX352" s="569"/>
      <c r="HY352" s="569"/>
      <c r="HZ352" s="569"/>
      <c r="IA352" s="569"/>
      <c r="IB352" s="569"/>
      <c r="IC352" s="569"/>
      <c r="ID352" s="569"/>
      <c r="IE352" s="569"/>
      <c r="IF352" s="569"/>
      <c r="IG352" s="569"/>
      <c r="IH352" s="569"/>
      <c r="II352" s="569"/>
      <c r="IJ352" s="569"/>
      <c r="IK352" s="569"/>
      <c r="IL352" s="569"/>
      <c r="IM352" s="569"/>
      <c r="IN352" s="569"/>
      <c r="IO352" s="569"/>
      <c r="IP352" s="569"/>
      <c r="IQ352" s="569"/>
      <c r="IR352" s="569"/>
      <c r="IS352" s="569"/>
      <c r="IT352" s="569"/>
      <c r="IU352" s="569"/>
      <c r="IV352" s="569"/>
      <c r="IW352" s="569"/>
      <c r="IX352" s="569"/>
      <c r="IY352" s="569"/>
      <c r="IZ352" s="569"/>
      <c r="JA352" s="569"/>
      <c r="JB352" s="569"/>
      <c r="JC352" s="569"/>
      <c r="JD352" s="569"/>
      <c r="JE352" s="569"/>
      <c r="JF352" s="569"/>
      <c r="JG352" s="569"/>
      <c r="JH352" s="569"/>
      <c r="JI352" s="569"/>
      <c r="JJ352" s="569"/>
      <c r="JK352" s="569"/>
      <c r="JL352" s="569"/>
      <c r="JM352" s="569"/>
      <c r="JN352" s="569"/>
      <c r="JO352" s="569"/>
      <c r="JP352" s="569"/>
      <c r="JQ352" s="569"/>
      <c r="JR352" s="569"/>
      <c r="JS352" s="569"/>
      <c r="JT352" s="569"/>
      <c r="JU352" s="569"/>
      <c r="JV352" s="569"/>
      <c r="JW352" s="569"/>
      <c r="JX352" s="569"/>
      <c r="JY352" s="569"/>
      <c r="JZ352" s="569"/>
      <c r="KA352" s="569"/>
      <c r="KB352" s="569"/>
      <c r="KC352" s="569"/>
      <c r="KD352" s="569"/>
      <c r="KE352" s="569"/>
      <c r="KF352" s="569"/>
      <c r="KG352" s="569"/>
      <c r="KH352" s="569"/>
      <c r="KI352" s="569"/>
      <c r="KJ352" s="569"/>
      <c r="KK352" s="569"/>
      <c r="KL352" s="569"/>
      <c r="KM352" s="569"/>
      <c r="KN352" s="569"/>
      <c r="KO352" s="569"/>
      <c r="KP352" s="569"/>
      <c r="KQ352" s="569"/>
      <c r="KR352" s="569"/>
      <c r="KS352" s="569"/>
      <c r="KT352" s="569"/>
      <c r="KU352" s="569"/>
      <c r="KV352" s="569"/>
      <c r="KW352" s="569"/>
      <c r="KX352" s="569"/>
      <c r="KY352" s="569"/>
      <c r="KZ352" s="569"/>
      <c r="LA352" s="569"/>
      <c r="LB352" s="569"/>
      <c r="LC352" s="569"/>
      <c r="LD352" s="569"/>
      <c r="LE352" s="569"/>
      <c r="LF352" s="569"/>
      <c r="LG352" s="569"/>
      <c r="LH352" s="569"/>
      <c r="LI352" s="569"/>
      <c r="LJ352" s="569"/>
      <c r="LK352" s="569"/>
      <c r="LL352" s="569"/>
      <c r="LM352" s="569"/>
      <c r="LN352" s="569"/>
      <c r="LO352" s="569"/>
      <c r="LP352" s="569"/>
      <c r="LQ352" s="569"/>
      <c r="LR352" s="569"/>
      <c r="LS352" s="569"/>
      <c r="LT352" s="569"/>
      <c r="LU352" s="569"/>
      <c r="LV352" s="569"/>
      <c r="LW352" s="569"/>
      <c r="LX352" s="569"/>
      <c r="LY352" s="569"/>
      <c r="LZ352" s="569"/>
      <c r="MA352" s="569"/>
      <c r="MB352" s="569"/>
      <c r="MC352" s="569"/>
      <c r="MD352" s="569"/>
      <c r="ME352" s="569"/>
      <c r="MF352" s="569"/>
      <c r="MG352" s="569"/>
      <c r="MH352" s="569"/>
      <c r="MI352" s="569"/>
      <c r="MJ352" s="569"/>
      <c r="MK352" s="569"/>
      <c r="ML352" s="569"/>
      <c r="MM352" s="569"/>
      <c r="MN352" s="569"/>
      <c r="MO352" s="569"/>
      <c r="MP352" s="569"/>
      <c r="MQ352" s="569"/>
      <c r="MR352" s="569"/>
      <c r="MS352" s="569"/>
      <c r="MT352" s="569"/>
      <c r="MU352" s="569"/>
      <c r="MV352" s="569"/>
      <c r="MW352" s="569"/>
      <c r="MX352" s="569"/>
      <c r="MY352" s="569"/>
      <c r="MZ352" s="569"/>
      <c r="NA352" s="569"/>
      <c r="NB352" s="569"/>
      <c r="NC352" s="569"/>
      <c r="ND352" s="569"/>
      <c r="NE352" s="569"/>
      <c r="NF352" s="569"/>
      <c r="NG352" s="569"/>
      <c r="NH352" s="569"/>
      <c r="NI352" s="569"/>
      <c r="NJ352" s="569"/>
      <c r="NK352" s="569"/>
      <c r="NL352" s="569"/>
      <c r="NM352" s="569"/>
      <c r="NN352" s="569"/>
      <c r="NO352" s="569"/>
      <c r="NP352" s="569"/>
      <c r="NQ352" s="569"/>
      <c r="NR352" s="569"/>
      <c r="NS352" s="569"/>
      <c r="NT352" s="569"/>
      <c r="NU352" s="569"/>
      <c r="NV352" s="569"/>
      <c r="NW352" s="569"/>
      <c r="NX352" s="569"/>
      <c r="NY352" s="569"/>
      <c r="NZ352" s="569"/>
      <c r="OA352" s="569"/>
      <c r="OB352" s="569"/>
      <c r="OC352" s="569"/>
      <c r="OD352" s="569"/>
      <c r="OE352" s="569"/>
      <c r="OF352" s="569"/>
      <c r="OG352" s="569"/>
      <c r="OH352" s="569"/>
      <c r="OI352" s="569"/>
      <c r="OJ352" s="569"/>
      <c r="OK352" s="569"/>
      <c r="OL352" s="569"/>
      <c r="OM352" s="569"/>
      <c r="ON352" s="569"/>
      <c r="OO352" s="569"/>
      <c r="OP352" s="569"/>
      <c r="OQ352" s="569"/>
      <c r="OR352" s="569"/>
      <c r="OS352" s="569"/>
      <c r="OT352" s="569"/>
      <c r="OU352" s="569"/>
      <c r="OV352" s="569"/>
      <c r="OW352" s="569"/>
      <c r="OX352" s="569"/>
      <c r="OY352" s="569"/>
      <c r="OZ352" s="569"/>
      <c r="PA352" s="569"/>
      <c r="PB352" s="569"/>
      <c r="PC352" s="569"/>
      <c r="PD352" s="569"/>
      <c r="PE352" s="569"/>
      <c r="PF352" s="569"/>
      <c r="PG352" s="569"/>
      <c r="PH352" s="569"/>
      <c r="PI352" s="569"/>
      <c r="PJ352" s="569"/>
      <c r="PK352" s="569"/>
      <c r="PL352" s="569"/>
      <c r="PM352" s="569"/>
      <c r="PN352" s="569"/>
      <c r="PO352" s="569"/>
      <c r="PP352" s="569"/>
      <c r="PQ352" s="569"/>
      <c r="PR352" s="569"/>
      <c r="PS352" s="569"/>
      <c r="PT352" s="569"/>
      <c r="PU352" s="569"/>
      <c r="PV352" s="569"/>
      <c r="PW352" s="569"/>
      <c r="PX352" s="569"/>
      <c r="PY352" s="569"/>
      <c r="PZ352" s="569"/>
      <c r="QA352" s="569"/>
      <c r="QB352" s="569"/>
      <c r="QC352" s="569"/>
      <c r="QD352" s="569"/>
      <c r="QE352" s="569"/>
      <c r="QF352" s="569"/>
      <c r="QG352" s="569"/>
      <c r="QH352" s="569"/>
      <c r="QI352" s="569"/>
      <c r="QJ352" s="569"/>
      <c r="QK352" s="569"/>
      <c r="QL352" s="569"/>
    </row>
    <row r="353" spans="1:454" s="574" customFormat="1" ht="30">
      <c r="A353" s="569"/>
      <c r="B353" s="575">
        <v>12</v>
      </c>
      <c r="C353" s="576" t="str">
        <f>'matrik MISI 5'!B73</f>
        <v>KELUARGA BERENCANA</v>
      </c>
      <c r="D353" s="577">
        <f>'matrik MISI 5'!J74</f>
        <v>1.1200000000000001</v>
      </c>
      <c r="E353" s="577" t="str">
        <f>'matrik MISI 5'!K74</f>
        <v>xx</v>
      </c>
      <c r="F353" s="577">
        <f>'matrik MISI 5'!L74</f>
        <v>28</v>
      </c>
      <c r="G353" s="577" t="str">
        <f>'matrik MISI 5'!M74</f>
        <v>Program Pembinaan Kesejahteraan Keluarga</v>
      </c>
      <c r="H353" s="575"/>
      <c r="I353" s="575"/>
      <c r="J353" s="596"/>
      <c r="K353" s="596"/>
      <c r="L353" s="596"/>
      <c r="M353" s="600">
        <f>'jangan di hapus 1'!K709</f>
        <v>64999000</v>
      </c>
      <c r="N353" s="600"/>
      <c r="O353" s="600">
        <f>'jangan di hapus 1'!M709</f>
        <v>95000000</v>
      </c>
      <c r="P353" s="600"/>
      <c r="Q353" s="600">
        <f>'jangan di hapus 1'!O709</f>
        <v>111500000</v>
      </c>
      <c r="R353" s="600"/>
      <c r="S353" s="600">
        <f>'jangan di hapus 1'!Q709</f>
        <v>131050000</v>
      </c>
      <c r="T353" s="600"/>
      <c r="U353" s="600">
        <f>'jangan di hapus 1'!S709</f>
        <v>154235000</v>
      </c>
      <c r="V353" s="596"/>
      <c r="W353" s="578">
        <f>SUM(M353:U353)</f>
        <v>556784000</v>
      </c>
      <c r="X353" s="575"/>
      <c r="Y353" s="596"/>
      <c r="Z353" s="596"/>
      <c r="AA353" s="569"/>
      <c r="AB353" s="569"/>
      <c r="AC353" s="569"/>
      <c r="AD353" s="569"/>
      <c r="AE353" s="569"/>
      <c r="AF353" s="569"/>
      <c r="AG353" s="569"/>
      <c r="AH353" s="569"/>
      <c r="AI353" s="569"/>
      <c r="AJ353" s="569"/>
      <c r="AK353" s="569"/>
      <c r="AL353" s="569"/>
      <c r="AM353" s="569"/>
      <c r="AN353" s="569"/>
      <c r="AO353" s="569"/>
      <c r="AP353" s="569"/>
      <c r="AQ353" s="569"/>
      <c r="AR353" s="569"/>
      <c r="AS353" s="569"/>
      <c r="AT353" s="569"/>
      <c r="AU353" s="569"/>
      <c r="AV353" s="569"/>
      <c r="AW353" s="569"/>
      <c r="AX353" s="569"/>
      <c r="AY353" s="569"/>
      <c r="AZ353" s="569"/>
      <c r="BA353" s="569"/>
      <c r="BB353" s="569"/>
      <c r="BC353" s="569"/>
      <c r="BD353" s="569"/>
      <c r="BE353" s="569"/>
      <c r="BF353" s="569"/>
      <c r="BG353" s="569"/>
      <c r="BH353" s="569"/>
      <c r="BI353" s="569"/>
      <c r="BJ353" s="569"/>
      <c r="BK353" s="569"/>
      <c r="BL353" s="569"/>
      <c r="BM353" s="569"/>
      <c r="BN353" s="569"/>
      <c r="BO353" s="569"/>
      <c r="BP353" s="569"/>
      <c r="BQ353" s="569"/>
      <c r="BR353" s="569"/>
      <c r="BS353" s="569"/>
      <c r="BT353" s="569"/>
      <c r="BU353" s="569"/>
      <c r="BV353" s="569"/>
      <c r="BW353" s="569"/>
      <c r="BX353" s="569"/>
      <c r="BY353" s="569"/>
      <c r="BZ353" s="569"/>
      <c r="CA353" s="569"/>
      <c r="CB353" s="569"/>
      <c r="CC353" s="569"/>
      <c r="CD353" s="569"/>
      <c r="CE353" s="569"/>
      <c r="CF353" s="569"/>
      <c r="CG353" s="569"/>
      <c r="CH353" s="569"/>
      <c r="CI353" s="569"/>
      <c r="CJ353" s="569"/>
      <c r="CK353" s="569"/>
      <c r="CL353" s="569"/>
      <c r="CM353" s="569"/>
      <c r="CN353" s="569"/>
      <c r="CO353" s="569"/>
      <c r="CP353" s="569"/>
      <c r="CQ353" s="569"/>
      <c r="CR353" s="569"/>
      <c r="CS353" s="569"/>
      <c r="CT353" s="569"/>
      <c r="CU353" s="569"/>
      <c r="CV353" s="569"/>
      <c r="CW353" s="569"/>
      <c r="CX353" s="569"/>
      <c r="CY353" s="569"/>
      <c r="CZ353" s="569"/>
      <c r="DA353" s="569"/>
      <c r="DB353" s="569"/>
      <c r="DC353" s="569"/>
      <c r="DD353" s="569"/>
      <c r="DE353" s="569"/>
      <c r="DF353" s="569"/>
      <c r="DG353" s="569"/>
      <c r="DH353" s="569"/>
      <c r="DI353" s="569"/>
      <c r="DJ353" s="569"/>
      <c r="DK353" s="569"/>
      <c r="DL353" s="569"/>
      <c r="DM353" s="569"/>
      <c r="DN353" s="569"/>
      <c r="DO353" s="569"/>
      <c r="DP353" s="569"/>
      <c r="DQ353" s="569"/>
      <c r="DR353" s="569"/>
      <c r="DS353" s="569"/>
      <c r="DT353" s="569"/>
      <c r="DU353" s="569"/>
      <c r="DV353" s="569"/>
      <c r="DW353" s="569"/>
      <c r="DX353" s="569"/>
      <c r="DY353" s="569"/>
      <c r="DZ353" s="569"/>
      <c r="EA353" s="569"/>
      <c r="EB353" s="569"/>
      <c r="EC353" s="569"/>
      <c r="ED353" s="569"/>
      <c r="EE353" s="569"/>
      <c r="EF353" s="569"/>
      <c r="EG353" s="569"/>
      <c r="EH353" s="569"/>
      <c r="EI353" s="569"/>
      <c r="EJ353" s="569"/>
      <c r="EK353" s="569"/>
      <c r="EL353" s="569"/>
      <c r="EM353" s="569"/>
      <c r="EN353" s="569"/>
      <c r="EO353" s="569"/>
      <c r="EP353" s="569"/>
      <c r="EQ353" s="569"/>
      <c r="ER353" s="569"/>
      <c r="ES353" s="569"/>
      <c r="ET353" s="569"/>
      <c r="EU353" s="569"/>
      <c r="EV353" s="569"/>
      <c r="EW353" s="569"/>
      <c r="EX353" s="569"/>
      <c r="EY353" s="569"/>
      <c r="EZ353" s="569"/>
      <c r="FA353" s="569"/>
      <c r="FB353" s="569"/>
      <c r="FC353" s="569"/>
      <c r="FD353" s="569"/>
      <c r="FE353" s="569"/>
      <c r="FF353" s="569"/>
      <c r="FG353" s="569"/>
      <c r="FH353" s="569"/>
      <c r="FI353" s="569"/>
      <c r="FJ353" s="569"/>
      <c r="FK353" s="569"/>
      <c r="FL353" s="569"/>
      <c r="FM353" s="569"/>
      <c r="FN353" s="569"/>
      <c r="FO353" s="569"/>
      <c r="FP353" s="569"/>
      <c r="FQ353" s="569"/>
      <c r="FR353" s="569"/>
      <c r="FS353" s="569"/>
      <c r="FT353" s="569"/>
      <c r="FU353" s="569"/>
      <c r="FV353" s="569"/>
      <c r="FW353" s="569"/>
      <c r="FX353" s="569"/>
      <c r="FY353" s="569"/>
      <c r="FZ353" s="569"/>
      <c r="GA353" s="569"/>
      <c r="GB353" s="569"/>
      <c r="GC353" s="569"/>
      <c r="GD353" s="569"/>
      <c r="GE353" s="569"/>
      <c r="GF353" s="569"/>
      <c r="GG353" s="569"/>
      <c r="GH353" s="569"/>
      <c r="GI353" s="569"/>
      <c r="GJ353" s="569"/>
      <c r="GK353" s="569"/>
      <c r="GL353" s="569"/>
      <c r="GM353" s="569"/>
      <c r="GN353" s="569"/>
      <c r="GO353" s="569"/>
      <c r="GP353" s="569"/>
      <c r="GQ353" s="569"/>
      <c r="GR353" s="569"/>
      <c r="GS353" s="569"/>
      <c r="GT353" s="569"/>
      <c r="GU353" s="569"/>
      <c r="GV353" s="569"/>
      <c r="GW353" s="569"/>
      <c r="GX353" s="569"/>
      <c r="GY353" s="569"/>
      <c r="GZ353" s="569"/>
      <c r="HA353" s="569"/>
      <c r="HB353" s="569"/>
      <c r="HC353" s="569"/>
      <c r="HD353" s="569"/>
      <c r="HE353" s="569"/>
      <c r="HF353" s="569"/>
      <c r="HG353" s="569"/>
      <c r="HH353" s="569"/>
      <c r="HI353" s="569"/>
      <c r="HJ353" s="569"/>
      <c r="HK353" s="569"/>
      <c r="HL353" s="569"/>
      <c r="HM353" s="569"/>
      <c r="HN353" s="569"/>
      <c r="HO353" s="569"/>
      <c r="HP353" s="569"/>
      <c r="HQ353" s="569"/>
      <c r="HR353" s="569"/>
      <c r="HS353" s="569"/>
      <c r="HT353" s="569"/>
      <c r="HU353" s="569"/>
      <c r="HV353" s="569"/>
      <c r="HW353" s="569"/>
      <c r="HX353" s="569"/>
      <c r="HY353" s="569"/>
      <c r="HZ353" s="569"/>
      <c r="IA353" s="569"/>
      <c r="IB353" s="569"/>
      <c r="IC353" s="569"/>
      <c r="ID353" s="569"/>
      <c r="IE353" s="569"/>
      <c r="IF353" s="569"/>
      <c r="IG353" s="569"/>
      <c r="IH353" s="569"/>
      <c r="II353" s="569"/>
      <c r="IJ353" s="569"/>
      <c r="IK353" s="569"/>
      <c r="IL353" s="569"/>
      <c r="IM353" s="569"/>
      <c r="IN353" s="569"/>
      <c r="IO353" s="569"/>
      <c r="IP353" s="569"/>
      <c r="IQ353" s="569"/>
      <c r="IR353" s="569"/>
      <c r="IS353" s="569"/>
      <c r="IT353" s="569"/>
      <c r="IU353" s="569"/>
      <c r="IV353" s="569"/>
      <c r="IW353" s="569"/>
      <c r="IX353" s="569"/>
      <c r="IY353" s="569"/>
      <c r="IZ353" s="569"/>
      <c r="JA353" s="569"/>
      <c r="JB353" s="569"/>
      <c r="JC353" s="569"/>
      <c r="JD353" s="569"/>
      <c r="JE353" s="569"/>
      <c r="JF353" s="569"/>
      <c r="JG353" s="569"/>
      <c r="JH353" s="569"/>
      <c r="JI353" s="569"/>
      <c r="JJ353" s="569"/>
      <c r="JK353" s="569"/>
      <c r="JL353" s="569"/>
      <c r="JM353" s="569"/>
      <c r="JN353" s="569"/>
      <c r="JO353" s="569"/>
      <c r="JP353" s="569"/>
      <c r="JQ353" s="569"/>
      <c r="JR353" s="569"/>
      <c r="JS353" s="569"/>
      <c r="JT353" s="569"/>
      <c r="JU353" s="569"/>
      <c r="JV353" s="569"/>
      <c r="JW353" s="569"/>
      <c r="JX353" s="569"/>
      <c r="JY353" s="569"/>
      <c r="JZ353" s="569"/>
      <c r="KA353" s="569"/>
      <c r="KB353" s="569"/>
      <c r="KC353" s="569"/>
      <c r="KD353" s="569"/>
      <c r="KE353" s="569"/>
      <c r="KF353" s="569"/>
      <c r="KG353" s="569"/>
      <c r="KH353" s="569"/>
      <c r="KI353" s="569"/>
      <c r="KJ353" s="569"/>
      <c r="KK353" s="569"/>
      <c r="KL353" s="569"/>
      <c r="KM353" s="569"/>
      <c r="KN353" s="569"/>
      <c r="KO353" s="569"/>
      <c r="KP353" s="569"/>
      <c r="KQ353" s="569"/>
      <c r="KR353" s="569"/>
      <c r="KS353" s="569"/>
      <c r="KT353" s="569"/>
      <c r="KU353" s="569"/>
      <c r="KV353" s="569"/>
      <c r="KW353" s="569"/>
      <c r="KX353" s="569"/>
      <c r="KY353" s="569"/>
      <c r="KZ353" s="569"/>
      <c r="LA353" s="569"/>
      <c r="LB353" s="569"/>
      <c r="LC353" s="569"/>
      <c r="LD353" s="569"/>
      <c r="LE353" s="569"/>
      <c r="LF353" s="569"/>
      <c r="LG353" s="569"/>
      <c r="LH353" s="569"/>
      <c r="LI353" s="569"/>
      <c r="LJ353" s="569"/>
      <c r="LK353" s="569"/>
      <c r="LL353" s="569"/>
      <c r="LM353" s="569"/>
      <c r="LN353" s="569"/>
      <c r="LO353" s="569"/>
      <c r="LP353" s="569"/>
      <c r="LQ353" s="569"/>
      <c r="LR353" s="569"/>
      <c r="LS353" s="569"/>
      <c r="LT353" s="569"/>
      <c r="LU353" s="569"/>
      <c r="LV353" s="569"/>
      <c r="LW353" s="569"/>
      <c r="LX353" s="569"/>
      <c r="LY353" s="569"/>
      <c r="LZ353" s="569"/>
      <c r="MA353" s="569"/>
      <c r="MB353" s="569"/>
      <c r="MC353" s="569"/>
      <c r="MD353" s="569"/>
      <c r="ME353" s="569"/>
      <c r="MF353" s="569"/>
      <c r="MG353" s="569"/>
      <c r="MH353" s="569"/>
      <c r="MI353" s="569"/>
      <c r="MJ353" s="569"/>
      <c r="MK353" s="569"/>
      <c r="ML353" s="569"/>
      <c r="MM353" s="569"/>
      <c r="MN353" s="569"/>
      <c r="MO353" s="569"/>
      <c r="MP353" s="569"/>
      <c r="MQ353" s="569"/>
      <c r="MR353" s="569"/>
      <c r="MS353" s="569"/>
      <c r="MT353" s="569"/>
      <c r="MU353" s="569"/>
      <c r="MV353" s="569"/>
      <c r="MW353" s="569"/>
      <c r="MX353" s="569"/>
      <c r="MY353" s="569"/>
      <c r="MZ353" s="569"/>
      <c r="NA353" s="569"/>
      <c r="NB353" s="569"/>
      <c r="NC353" s="569"/>
      <c r="ND353" s="569"/>
      <c r="NE353" s="569"/>
      <c r="NF353" s="569"/>
      <c r="NG353" s="569"/>
      <c r="NH353" s="569"/>
      <c r="NI353" s="569"/>
      <c r="NJ353" s="569"/>
      <c r="NK353" s="569"/>
      <c r="NL353" s="569"/>
      <c r="NM353" s="569"/>
      <c r="NN353" s="569"/>
      <c r="NO353" s="569"/>
      <c r="NP353" s="569"/>
      <c r="NQ353" s="569"/>
      <c r="NR353" s="569"/>
      <c r="NS353" s="569"/>
      <c r="NT353" s="569"/>
      <c r="NU353" s="569"/>
      <c r="NV353" s="569"/>
      <c r="NW353" s="569"/>
      <c r="NX353" s="569"/>
      <c r="NY353" s="569"/>
      <c r="NZ353" s="569"/>
      <c r="OA353" s="569"/>
      <c r="OB353" s="569"/>
      <c r="OC353" s="569"/>
      <c r="OD353" s="569"/>
      <c r="OE353" s="569"/>
      <c r="OF353" s="569"/>
      <c r="OG353" s="569"/>
      <c r="OH353" s="569"/>
      <c r="OI353" s="569"/>
      <c r="OJ353" s="569"/>
      <c r="OK353" s="569"/>
      <c r="OL353" s="569"/>
      <c r="OM353" s="569"/>
      <c r="ON353" s="569"/>
      <c r="OO353" s="569"/>
      <c r="OP353" s="569"/>
      <c r="OQ353" s="569"/>
      <c r="OR353" s="569"/>
      <c r="OS353" s="569"/>
      <c r="OT353" s="569"/>
      <c r="OU353" s="569"/>
      <c r="OV353" s="569"/>
      <c r="OW353" s="569"/>
      <c r="OX353" s="569"/>
      <c r="OY353" s="569"/>
      <c r="OZ353" s="569"/>
      <c r="PA353" s="569"/>
      <c r="PB353" s="569"/>
      <c r="PC353" s="569"/>
      <c r="PD353" s="569"/>
      <c r="PE353" s="569"/>
      <c r="PF353" s="569"/>
      <c r="PG353" s="569"/>
      <c r="PH353" s="569"/>
      <c r="PI353" s="569"/>
      <c r="PJ353" s="569"/>
      <c r="PK353" s="569"/>
      <c r="PL353" s="569"/>
      <c r="PM353" s="569"/>
      <c r="PN353" s="569"/>
      <c r="PO353" s="569"/>
      <c r="PP353" s="569"/>
      <c r="PQ353" s="569"/>
      <c r="PR353" s="569"/>
      <c r="PS353" s="569"/>
      <c r="PT353" s="569"/>
      <c r="PU353" s="569"/>
      <c r="PV353" s="569"/>
      <c r="PW353" s="569"/>
      <c r="PX353" s="569"/>
      <c r="PY353" s="569"/>
      <c r="PZ353" s="569"/>
      <c r="QA353" s="569"/>
      <c r="QB353" s="569"/>
      <c r="QC353" s="569"/>
      <c r="QD353" s="569"/>
      <c r="QE353" s="569"/>
      <c r="QF353" s="569"/>
      <c r="QG353" s="569"/>
      <c r="QH353" s="569"/>
      <c r="QI353" s="569"/>
      <c r="QJ353" s="569"/>
      <c r="QK353" s="569"/>
      <c r="QL353" s="569"/>
    </row>
    <row r="354" spans="1:454" ht="30">
      <c r="B354" s="568"/>
      <c r="C354" s="568"/>
      <c r="D354" s="568"/>
      <c r="E354" s="568"/>
      <c r="F354" s="568"/>
      <c r="G354" s="568"/>
      <c r="H354" s="563" t="str">
        <f>'matrik MISI 5'!N74</f>
        <v>Meningkatnya kualias kesejahteraan keluarga</v>
      </c>
      <c r="I354" s="563"/>
      <c r="J354" s="563"/>
      <c r="K354" s="563"/>
      <c r="L354" s="563"/>
      <c r="M354" s="604"/>
      <c r="N354" s="563"/>
      <c r="O354" s="564"/>
      <c r="P354" s="563"/>
      <c r="Q354" s="564"/>
      <c r="R354" s="563"/>
      <c r="S354" s="564"/>
      <c r="T354" s="563"/>
      <c r="U354" s="564"/>
      <c r="V354" s="563"/>
      <c r="W354" s="564"/>
      <c r="X354" s="563"/>
      <c r="Y354" s="565"/>
      <c r="Z354" s="565"/>
    </row>
    <row r="355" spans="1:454" ht="60">
      <c r="G355" s="563"/>
      <c r="H355" s="563" t="str">
        <f>'matrik MISI 5'!N75</f>
        <v>a. Keluarga Pra Sejahtera</v>
      </c>
      <c r="I355" s="563" t="str">
        <f>'matrik MISI 5'!O75</f>
        <v>%</v>
      </c>
      <c r="J355" s="563" t="str">
        <f>'matrik MISI 5'!P75</f>
        <v>22,86</v>
      </c>
      <c r="K355" s="563" t="str">
        <f>'matrik MISI 5'!Q75</f>
        <v>21,32</v>
      </c>
      <c r="L355" s="563" t="str">
        <f>'matrik MISI 5'!R75</f>
        <v>21,32</v>
      </c>
      <c r="M355" s="604"/>
      <c r="N355" s="563" t="str">
        <f>'matrik MISI 5'!S75</f>
        <v>20,58</v>
      </c>
      <c r="O355" s="564"/>
      <c r="P355" s="563" t="str">
        <f>'matrik MISI 5'!T75</f>
        <v>20,48</v>
      </c>
      <c r="Q355" s="564"/>
      <c r="R355" s="563" t="str">
        <f>'matrik MISI 5'!U75</f>
        <v>20,26</v>
      </c>
      <c r="S355" s="564"/>
      <c r="T355" s="563" t="str">
        <f>'matrik MISI 5'!V75</f>
        <v>20,22</v>
      </c>
      <c r="U355" s="564"/>
      <c r="V355" s="563" t="str">
        <f>'matrik MISI 5'!W75</f>
        <v>20,22</v>
      </c>
      <c r="W355" s="564"/>
      <c r="X355" s="563" t="str">
        <f>'matrik MISI 5'!X75</f>
        <v>BKBPP</v>
      </c>
      <c r="Y355" s="565" t="str">
        <f>'matrik MISI 5'!Y75</f>
        <v>Jumlah keluarga pra sejahtera dibagi jumlah seluruh keluarga kali 100</v>
      </c>
      <c r="Z355" s="565" t="str">
        <f>'matrik MISI 5'!Z75</f>
        <v>keluarga yang belum dapat memenuhi salah satu atau lebih dari 5 kebutuhan dasarnya (basic needs) Sebagai keluarga Sejahtera I, seperti kebutuhan akan pengajaran agama, pangan, papan, sandang dan kesehatan.</v>
      </c>
    </row>
    <row r="356" spans="1:454" ht="195">
      <c r="G356" s="563"/>
      <c r="H356" s="563" t="str">
        <f>'matrik MISI 5'!N76</f>
        <v>b. Keluarga Sejahtera I</v>
      </c>
      <c r="I356" s="563" t="str">
        <f>'matrik MISI 5'!O76</f>
        <v>%</v>
      </c>
      <c r="J356" s="563" t="str">
        <f>'matrik MISI 5'!P76</f>
        <v>11,3</v>
      </c>
      <c r="K356" s="563" t="str">
        <f>'matrik MISI 5'!Q76</f>
        <v>8,05</v>
      </c>
      <c r="L356" s="563" t="str">
        <f>'matrik MISI 5'!R76</f>
        <v>8,05</v>
      </c>
      <c r="M356" s="604"/>
      <c r="N356" s="563" t="str">
        <f>'matrik MISI 5'!S76</f>
        <v>7,87</v>
      </c>
      <c r="O356" s="564"/>
      <c r="P356" s="563" t="str">
        <f>'matrik MISI 5'!T76</f>
        <v>7,15</v>
      </c>
      <c r="Q356" s="564"/>
      <c r="R356" s="563" t="str">
        <f>'matrik MISI 5'!U76</f>
        <v>7,24</v>
      </c>
      <c r="S356" s="564"/>
      <c r="T356" s="563" t="str">
        <f>'matrik MISI 5'!V76</f>
        <v>7,23</v>
      </c>
      <c r="U356" s="564"/>
      <c r="V356" s="563" t="str">
        <f>'matrik MISI 5'!W76</f>
        <v>7,23</v>
      </c>
      <c r="W356" s="564"/>
      <c r="X356" s="563" t="str">
        <f>'matrik MISI 5'!X76</f>
        <v>BKBPP</v>
      </c>
      <c r="Y356" s="565" t="str">
        <f>'matrik MISI 5'!Y76</f>
        <v>Jumlah keluarga sejahtera I dibagi jumlah seluruh keluarga kali 100</v>
      </c>
      <c r="Z356" s="565"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57" spans="1:454" ht="180">
      <c r="G357" s="563"/>
      <c r="H357" s="563" t="str">
        <f>'matrik MISI 5'!N77</f>
        <v>c. Keluarga Sejahtera II</v>
      </c>
      <c r="I357" s="563" t="str">
        <f>'matrik MISI 5'!O77</f>
        <v>%</v>
      </c>
      <c r="J357" s="563" t="str">
        <f>'matrik MISI 5'!P77</f>
        <v>17,33</v>
      </c>
      <c r="K357" s="563" t="str">
        <f>'matrik MISI 5'!Q77</f>
        <v>21,81</v>
      </c>
      <c r="L357" s="563" t="str">
        <f>'matrik MISI 5'!R77</f>
        <v>21,81</v>
      </c>
      <c r="M357" s="604"/>
      <c r="N357" s="563" t="str">
        <f>'matrik MISI 5'!S77</f>
        <v>22,01</v>
      </c>
      <c r="O357" s="564"/>
      <c r="P357" s="563" t="str">
        <f>'matrik MISI 5'!T77</f>
        <v>23,16</v>
      </c>
      <c r="Q357" s="564"/>
      <c r="R357" s="563" t="str">
        <f>'matrik MISI 5'!U77</f>
        <v>23,17</v>
      </c>
      <c r="S357" s="564"/>
      <c r="T357" s="563" t="str">
        <f>'matrik MISI 5'!V77</f>
        <v>23,19</v>
      </c>
      <c r="U357" s="564"/>
      <c r="V357" s="563" t="str">
        <f>'matrik MISI 5'!W77</f>
        <v>23,19</v>
      </c>
      <c r="W357" s="564"/>
      <c r="X357" s="563" t="str">
        <f>'matrik MISI 5'!X77</f>
        <v>BKBPP</v>
      </c>
      <c r="Y357" s="565" t="str">
        <f>'matrik MISI 5'!Y77</f>
        <v>Jumlah keluarga sejahtera II dibagi jumlah seluruh keluarga kali 100</v>
      </c>
      <c r="Z357" s="565"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58" spans="1:454" ht="225">
      <c r="G358" s="563"/>
      <c r="H358" s="563" t="str">
        <f>'matrik MISI 5'!N78</f>
        <v>d. Keluarga Sejahtera III</v>
      </c>
      <c r="I358" s="563" t="str">
        <f>'matrik MISI 5'!O78</f>
        <v>%</v>
      </c>
      <c r="J358" s="563" t="str">
        <f>'matrik MISI 5'!P78</f>
        <v>45,38</v>
      </c>
      <c r="K358" s="563" t="str">
        <f>'matrik MISI 5'!Q78</f>
        <v>45,57</v>
      </c>
      <c r="L358" s="563" t="str">
        <f>'matrik MISI 5'!R78</f>
        <v>45,57</v>
      </c>
      <c r="M358" s="604"/>
      <c r="N358" s="563" t="str">
        <f>'matrik MISI 5'!S78</f>
        <v>44,93</v>
      </c>
      <c r="O358" s="564"/>
      <c r="P358" s="563" t="str">
        <f>'matrik MISI 5'!T78</f>
        <v>45,23</v>
      </c>
      <c r="Q358" s="564"/>
      <c r="R358" s="563" t="str">
        <f>'matrik MISI 5'!U78</f>
        <v>45,21</v>
      </c>
      <c r="S358" s="564"/>
      <c r="T358" s="563" t="str">
        <f>'matrik MISI 5'!V78</f>
        <v>45,22</v>
      </c>
      <c r="U358" s="564"/>
      <c r="V358" s="563" t="str">
        <f>'matrik MISI 5'!W78</f>
        <v>45,22</v>
      </c>
      <c r="W358" s="564"/>
      <c r="X358" s="563" t="str">
        <f>'matrik MISI 5'!X78</f>
        <v>BKBPP</v>
      </c>
      <c r="Y358" s="565" t="str">
        <f>'matrik MISI 5'!Y78</f>
        <v>Jumlah keluarga sejahtera III dibagi jumlah seluruh keluarga kali 100</v>
      </c>
      <c r="Z358" s="565"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59" spans="1:454" ht="120">
      <c r="G359" s="563"/>
      <c r="H359" s="563" t="str">
        <f>'matrik MISI 5'!N79</f>
        <v>e. Keluarga Sejahtera III plus</v>
      </c>
      <c r="I359" s="563" t="str">
        <f>'matrik MISI 5'!O79</f>
        <v>%</v>
      </c>
      <c r="J359" s="563" t="str">
        <f>'matrik MISI 5'!P79</f>
        <v>3,11</v>
      </c>
      <c r="K359" s="563" t="str">
        <f>'matrik MISI 5'!Q79</f>
        <v>3,23</v>
      </c>
      <c r="L359" s="563" t="str">
        <f>'matrik MISI 5'!R79</f>
        <v>3,23</v>
      </c>
      <c r="M359" s="604"/>
      <c r="N359" s="563" t="str">
        <f>'matrik MISI 5'!S79</f>
        <v>3,61</v>
      </c>
      <c r="O359" s="564"/>
      <c r="P359" s="563" t="str">
        <f>'matrik MISI 5'!T79</f>
        <v>3,98</v>
      </c>
      <c r="Q359" s="564"/>
      <c r="R359" s="563" t="str">
        <f>'matrik MISI 5'!U79</f>
        <v>4,12</v>
      </c>
      <c r="S359" s="564"/>
      <c r="T359" s="563" t="str">
        <f>'matrik MISI 5'!V79</f>
        <v>4,14</v>
      </c>
      <c r="U359" s="564"/>
      <c r="V359" s="563" t="str">
        <f>'matrik MISI 5'!W79</f>
        <v>4,14</v>
      </c>
      <c r="W359" s="564"/>
      <c r="X359" s="563" t="str">
        <f>'matrik MISI 5'!X79</f>
        <v>BKBPP</v>
      </c>
      <c r="Y359" s="565" t="str">
        <f>'matrik MISI 5'!Y79</f>
        <v>Jumlah keluarga sejahtera III Plus dibagi jumlah seluruh keluarga kali 100</v>
      </c>
      <c r="Z359" s="565"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0" spans="1:454" ht="45">
      <c r="G360" s="563"/>
      <c r="H360" s="563" t="str">
        <f>'matrik MISI 5'!N80</f>
        <v>Cakupan penyediaan informasi data mikro keluarga di setiap desa/kelurahan setiap tahun</v>
      </c>
      <c r="I360" s="563" t="str">
        <f>'matrik MISI 5'!O80</f>
        <v>%</v>
      </c>
      <c r="J360" s="563">
        <f>'matrik MISI 5'!P80</f>
        <v>100</v>
      </c>
      <c r="K360" s="563">
        <f>'matrik MISI 5'!Q80</f>
        <v>100</v>
      </c>
      <c r="L360" s="563">
        <f>'matrik MISI 5'!R80</f>
        <v>100</v>
      </c>
      <c r="M360" s="604"/>
      <c r="N360" s="563">
        <f>'matrik MISI 5'!S80</f>
        <v>100</v>
      </c>
      <c r="O360" s="564"/>
      <c r="P360" s="563">
        <f>'matrik MISI 5'!T80</f>
        <v>100</v>
      </c>
      <c r="Q360" s="564"/>
      <c r="R360" s="563">
        <f>'matrik MISI 5'!U80</f>
        <v>100</v>
      </c>
      <c r="S360" s="564"/>
      <c r="T360" s="563">
        <f>'matrik MISI 5'!V80</f>
        <v>100</v>
      </c>
      <c r="U360" s="564"/>
      <c r="V360" s="563">
        <f>'matrik MISI 5'!W80</f>
        <v>100</v>
      </c>
      <c r="W360" s="564"/>
      <c r="X360" s="563" t="str">
        <f>'matrik MISI 5'!X80</f>
        <v>BKBPP</v>
      </c>
      <c r="Y360" s="565" t="str">
        <f>'matrik MISI 5'!Y80</f>
        <v>Jumlah dokumen data mikro keluarga yang ada dibagi jumlah desa/kelurahan kali 100</v>
      </c>
      <c r="Z360" s="565">
        <f>'matrik MISI 5'!Z80</f>
        <v>0</v>
      </c>
    </row>
    <row r="361" spans="1:454" s="574" customFormat="1" ht="30">
      <c r="A361" s="569"/>
      <c r="B361" s="575"/>
      <c r="C361" s="576"/>
      <c r="D361" s="577">
        <f>'matrik MISI 5'!J82</f>
        <v>1.1200000000000001</v>
      </c>
      <c r="E361" s="577" t="str">
        <f>'matrik MISI 5'!K82</f>
        <v>xx</v>
      </c>
      <c r="F361" s="577">
        <f>'matrik MISI 5'!L82</f>
        <v>15</v>
      </c>
      <c r="G361" s="577" t="str">
        <f>'matrik MISI 5'!M82</f>
        <v xml:space="preserve">Program Keluarga Berencana                                               </v>
      </c>
      <c r="H361" s="577"/>
      <c r="I361" s="577"/>
      <c r="J361" s="577"/>
      <c r="K361" s="577"/>
      <c r="L361" s="577"/>
      <c r="M361" s="578">
        <f>'jangan di hapus 1'!K688</f>
        <v>1937642790</v>
      </c>
      <c r="N361" s="578"/>
      <c r="O361" s="578">
        <f>'jangan di hapus 1'!M688</f>
        <v>2272485580</v>
      </c>
      <c r="P361" s="578"/>
      <c r="Q361" s="578">
        <f>'jangan di hapus 1'!O688</f>
        <v>2404131122</v>
      </c>
      <c r="R361" s="578"/>
      <c r="S361" s="578">
        <f>'jangan di hapus 1'!Q688</f>
        <v>2553746414.1999998</v>
      </c>
      <c r="T361" s="578"/>
      <c r="U361" s="578">
        <f>'jangan di hapus 1'!S688</f>
        <v>2724328990.5799994</v>
      </c>
      <c r="V361" s="577"/>
      <c r="W361" s="578">
        <f>SUM(M361:U361)</f>
        <v>11892334896.780001</v>
      </c>
      <c r="X361" s="577"/>
      <c r="Y361" s="577"/>
      <c r="Z361" s="577"/>
      <c r="AA361" s="569"/>
      <c r="AB361" s="569"/>
      <c r="AC361" s="569"/>
      <c r="AD361" s="569"/>
      <c r="AE361" s="569"/>
      <c r="AF361" s="569"/>
      <c r="AG361" s="569"/>
      <c r="AH361" s="569"/>
      <c r="AI361" s="569"/>
      <c r="AJ361" s="569"/>
      <c r="AK361" s="569"/>
      <c r="AL361" s="569"/>
      <c r="AM361" s="569"/>
      <c r="AN361" s="569"/>
      <c r="AO361" s="569"/>
      <c r="AP361" s="569"/>
      <c r="AQ361" s="569"/>
      <c r="AR361" s="569"/>
      <c r="AS361" s="569"/>
      <c r="AT361" s="569"/>
      <c r="AU361" s="569"/>
      <c r="AV361" s="569"/>
      <c r="AW361" s="569"/>
      <c r="AX361" s="569"/>
      <c r="AY361" s="569"/>
      <c r="AZ361" s="569"/>
      <c r="BA361" s="569"/>
      <c r="BB361" s="569"/>
      <c r="BC361" s="569"/>
      <c r="BD361" s="569"/>
      <c r="BE361" s="569"/>
      <c r="BF361" s="569"/>
      <c r="BG361" s="569"/>
      <c r="BH361" s="569"/>
      <c r="BI361" s="569"/>
      <c r="BJ361" s="569"/>
      <c r="BK361" s="569"/>
      <c r="BL361" s="569"/>
      <c r="BM361" s="569"/>
      <c r="BN361" s="569"/>
      <c r="BO361" s="569"/>
      <c r="BP361" s="569"/>
      <c r="BQ361" s="569"/>
      <c r="BR361" s="569"/>
      <c r="BS361" s="569"/>
      <c r="BT361" s="569"/>
      <c r="BU361" s="569"/>
      <c r="BV361" s="569"/>
      <c r="BW361" s="569"/>
      <c r="BX361" s="569"/>
      <c r="BY361" s="569"/>
      <c r="BZ361" s="569"/>
      <c r="CA361" s="569"/>
      <c r="CB361" s="569"/>
      <c r="CC361" s="569"/>
      <c r="CD361" s="569"/>
      <c r="CE361" s="569"/>
      <c r="CF361" s="569"/>
      <c r="CG361" s="569"/>
      <c r="CH361" s="569"/>
      <c r="CI361" s="569"/>
      <c r="CJ361" s="569"/>
      <c r="CK361" s="569"/>
      <c r="CL361" s="569"/>
      <c r="CM361" s="569"/>
      <c r="CN361" s="569"/>
      <c r="CO361" s="569"/>
      <c r="CP361" s="569"/>
      <c r="CQ361" s="569"/>
      <c r="CR361" s="569"/>
      <c r="CS361" s="569"/>
      <c r="CT361" s="569"/>
      <c r="CU361" s="569"/>
      <c r="CV361" s="569"/>
      <c r="CW361" s="569"/>
      <c r="CX361" s="569"/>
      <c r="CY361" s="569"/>
      <c r="CZ361" s="569"/>
      <c r="DA361" s="569"/>
      <c r="DB361" s="569"/>
      <c r="DC361" s="569"/>
      <c r="DD361" s="569"/>
      <c r="DE361" s="569"/>
      <c r="DF361" s="569"/>
      <c r="DG361" s="569"/>
      <c r="DH361" s="569"/>
      <c r="DI361" s="569"/>
      <c r="DJ361" s="569"/>
      <c r="DK361" s="569"/>
      <c r="DL361" s="569"/>
      <c r="DM361" s="569"/>
      <c r="DN361" s="569"/>
      <c r="DO361" s="569"/>
      <c r="DP361" s="569"/>
      <c r="DQ361" s="569"/>
      <c r="DR361" s="569"/>
      <c r="DS361" s="569"/>
      <c r="DT361" s="569"/>
      <c r="DU361" s="569"/>
      <c r="DV361" s="569"/>
      <c r="DW361" s="569"/>
      <c r="DX361" s="569"/>
      <c r="DY361" s="569"/>
      <c r="DZ361" s="569"/>
      <c r="EA361" s="569"/>
      <c r="EB361" s="569"/>
      <c r="EC361" s="569"/>
      <c r="ED361" s="569"/>
      <c r="EE361" s="569"/>
      <c r="EF361" s="569"/>
      <c r="EG361" s="569"/>
      <c r="EH361" s="569"/>
      <c r="EI361" s="569"/>
      <c r="EJ361" s="569"/>
      <c r="EK361" s="569"/>
      <c r="EL361" s="569"/>
      <c r="EM361" s="569"/>
      <c r="EN361" s="569"/>
      <c r="EO361" s="569"/>
      <c r="EP361" s="569"/>
      <c r="EQ361" s="569"/>
      <c r="ER361" s="569"/>
      <c r="ES361" s="569"/>
      <c r="ET361" s="569"/>
      <c r="EU361" s="569"/>
      <c r="EV361" s="569"/>
      <c r="EW361" s="569"/>
      <c r="EX361" s="569"/>
      <c r="EY361" s="569"/>
      <c r="EZ361" s="569"/>
      <c r="FA361" s="569"/>
      <c r="FB361" s="569"/>
      <c r="FC361" s="569"/>
      <c r="FD361" s="569"/>
      <c r="FE361" s="569"/>
      <c r="FF361" s="569"/>
      <c r="FG361" s="569"/>
      <c r="FH361" s="569"/>
      <c r="FI361" s="569"/>
      <c r="FJ361" s="569"/>
      <c r="FK361" s="569"/>
      <c r="FL361" s="569"/>
      <c r="FM361" s="569"/>
      <c r="FN361" s="569"/>
      <c r="FO361" s="569"/>
      <c r="FP361" s="569"/>
      <c r="FQ361" s="569"/>
      <c r="FR361" s="569"/>
      <c r="FS361" s="569"/>
      <c r="FT361" s="569"/>
      <c r="FU361" s="569"/>
      <c r="FV361" s="569"/>
      <c r="FW361" s="569"/>
      <c r="FX361" s="569"/>
      <c r="FY361" s="569"/>
      <c r="FZ361" s="569"/>
      <c r="GA361" s="569"/>
      <c r="GB361" s="569"/>
      <c r="GC361" s="569"/>
      <c r="GD361" s="569"/>
      <c r="GE361" s="569"/>
      <c r="GF361" s="569"/>
      <c r="GG361" s="569"/>
      <c r="GH361" s="569"/>
      <c r="GI361" s="569"/>
      <c r="GJ361" s="569"/>
      <c r="GK361" s="569"/>
      <c r="GL361" s="569"/>
      <c r="GM361" s="569"/>
      <c r="GN361" s="569"/>
      <c r="GO361" s="569"/>
      <c r="GP361" s="569"/>
      <c r="GQ361" s="569"/>
      <c r="GR361" s="569"/>
      <c r="GS361" s="569"/>
      <c r="GT361" s="569"/>
      <c r="GU361" s="569"/>
      <c r="GV361" s="569"/>
      <c r="GW361" s="569"/>
      <c r="GX361" s="569"/>
      <c r="GY361" s="569"/>
      <c r="GZ361" s="569"/>
      <c r="HA361" s="569"/>
      <c r="HB361" s="569"/>
      <c r="HC361" s="569"/>
      <c r="HD361" s="569"/>
      <c r="HE361" s="569"/>
      <c r="HF361" s="569"/>
      <c r="HG361" s="569"/>
      <c r="HH361" s="569"/>
      <c r="HI361" s="569"/>
      <c r="HJ361" s="569"/>
      <c r="HK361" s="569"/>
      <c r="HL361" s="569"/>
      <c r="HM361" s="569"/>
      <c r="HN361" s="569"/>
      <c r="HO361" s="569"/>
      <c r="HP361" s="569"/>
      <c r="HQ361" s="569"/>
      <c r="HR361" s="569"/>
      <c r="HS361" s="569"/>
      <c r="HT361" s="569"/>
      <c r="HU361" s="569"/>
      <c r="HV361" s="569"/>
      <c r="HW361" s="569"/>
      <c r="HX361" s="569"/>
      <c r="HY361" s="569"/>
      <c r="HZ361" s="569"/>
      <c r="IA361" s="569"/>
      <c r="IB361" s="569"/>
      <c r="IC361" s="569"/>
      <c r="ID361" s="569"/>
      <c r="IE361" s="569"/>
      <c r="IF361" s="569"/>
      <c r="IG361" s="569"/>
      <c r="IH361" s="569"/>
      <c r="II361" s="569"/>
      <c r="IJ361" s="569"/>
      <c r="IK361" s="569"/>
      <c r="IL361" s="569"/>
      <c r="IM361" s="569"/>
      <c r="IN361" s="569"/>
      <c r="IO361" s="569"/>
      <c r="IP361" s="569"/>
      <c r="IQ361" s="569"/>
      <c r="IR361" s="569"/>
      <c r="IS361" s="569"/>
      <c r="IT361" s="569"/>
      <c r="IU361" s="569"/>
      <c r="IV361" s="569"/>
      <c r="IW361" s="569"/>
      <c r="IX361" s="569"/>
      <c r="IY361" s="569"/>
      <c r="IZ361" s="569"/>
      <c r="JA361" s="569"/>
      <c r="JB361" s="569"/>
      <c r="JC361" s="569"/>
      <c r="JD361" s="569"/>
      <c r="JE361" s="569"/>
      <c r="JF361" s="569"/>
      <c r="JG361" s="569"/>
      <c r="JH361" s="569"/>
      <c r="JI361" s="569"/>
      <c r="JJ361" s="569"/>
      <c r="JK361" s="569"/>
      <c r="JL361" s="569"/>
      <c r="JM361" s="569"/>
      <c r="JN361" s="569"/>
      <c r="JO361" s="569"/>
      <c r="JP361" s="569"/>
      <c r="JQ361" s="569"/>
      <c r="JR361" s="569"/>
      <c r="JS361" s="569"/>
      <c r="JT361" s="569"/>
      <c r="JU361" s="569"/>
      <c r="JV361" s="569"/>
      <c r="JW361" s="569"/>
      <c r="JX361" s="569"/>
      <c r="JY361" s="569"/>
      <c r="JZ361" s="569"/>
      <c r="KA361" s="569"/>
      <c r="KB361" s="569"/>
      <c r="KC361" s="569"/>
      <c r="KD361" s="569"/>
      <c r="KE361" s="569"/>
      <c r="KF361" s="569"/>
      <c r="KG361" s="569"/>
      <c r="KH361" s="569"/>
      <c r="KI361" s="569"/>
      <c r="KJ361" s="569"/>
      <c r="KK361" s="569"/>
      <c r="KL361" s="569"/>
      <c r="KM361" s="569"/>
      <c r="KN361" s="569"/>
      <c r="KO361" s="569"/>
      <c r="KP361" s="569"/>
      <c r="KQ361" s="569"/>
      <c r="KR361" s="569"/>
      <c r="KS361" s="569"/>
      <c r="KT361" s="569"/>
      <c r="KU361" s="569"/>
      <c r="KV361" s="569"/>
      <c r="KW361" s="569"/>
      <c r="KX361" s="569"/>
      <c r="KY361" s="569"/>
      <c r="KZ361" s="569"/>
      <c r="LA361" s="569"/>
      <c r="LB361" s="569"/>
      <c r="LC361" s="569"/>
      <c r="LD361" s="569"/>
      <c r="LE361" s="569"/>
      <c r="LF361" s="569"/>
      <c r="LG361" s="569"/>
      <c r="LH361" s="569"/>
      <c r="LI361" s="569"/>
      <c r="LJ361" s="569"/>
      <c r="LK361" s="569"/>
      <c r="LL361" s="569"/>
      <c r="LM361" s="569"/>
      <c r="LN361" s="569"/>
      <c r="LO361" s="569"/>
      <c r="LP361" s="569"/>
      <c r="LQ361" s="569"/>
      <c r="LR361" s="569"/>
      <c r="LS361" s="569"/>
      <c r="LT361" s="569"/>
      <c r="LU361" s="569"/>
      <c r="LV361" s="569"/>
      <c r="LW361" s="569"/>
      <c r="LX361" s="569"/>
      <c r="LY361" s="569"/>
      <c r="LZ361" s="569"/>
      <c r="MA361" s="569"/>
      <c r="MB361" s="569"/>
      <c r="MC361" s="569"/>
      <c r="MD361" s="569"/>
      <c r="ME361" s="569"/>
      <c r="MF361" s="569"/>
      <c r="MG361" s="569"/>
      <c r="MH361" s="569"/>
      <c r="MI361" s="569"/>
      <c r="MJ361" s="569"/>
      <c r="MK361" s="569"/>
      <c r="ML361" s="569"/>
      <c r="MM361" s="569"/>
      <c r="MN361" s="569"/>
      <c r="MO361" s="569"/>
      <c r="MP361" s="569"/>
      <c r="MQ361" s="569"/>
      <c r="MR361" s="569"/>
      <c r="MS361" s="569"/>
      <c r="MT361" s="569"/>
      <c r="MU361" s="569"/>
      <c r="MV361" s="569"/>
      <c r="MW361" s="569"/>
      <c r="MX361" s="569"/>
      <c r="MY361" s="569"/>
      <c r="MZ361" s="569"/>
      <c r="NA361" s="569"/>
      <c r="NB361" s="569"/>
      <c r="NC361" s="569"/>
      <c r="ND361" s="569"/>
      <c r="NE361" s="569"/>
      <c r="NF361" s="569"/>
      <c r="NG361" s="569"/>
      <c r="NH361" s="569"/>
      <c r="NI361" s="569"/>
      <c r="NJ361" s="569"/>
      <c r="NK361" s="569"/>
      <c r="NL361" s="569"/>
      <c r="NM361" s="569"/>
      <c r="NN361" s="569"/>
      <c r="NO361" s="569"/>
      <c r="NP361" s="569"/>
      <c r="NQ361" s="569"/>
      <c r="NR361" s="569"/>
      <c r="NS361" s="569"/>
      <c r="NT361" s="569"/>
      <c r="NU361" s="569"/>
      <c r="NV361" s="569"/>
      <c r="NW361" s="569"/>
      <c r="NX361" s="569"/>
      <c r="NY361" s="569"/>
      <c r="NZ361" s="569"/>
      <c r="OA361" s="569"/>
      <c r="OB361" s="569"/>
      <c r="OC361" s="569"/>
      <c r="OD361" s="569"/>
      <c r="OE361" s="569"/>
      <c r="OF361" s="569"/>
      <c r="OG361" s="569"/>
      <c r="OH361" s="569"/>
      <c r="OI361" s="569"/>
      <c r="OJ361" s="569"/>
      <c r="OK361" s="569"/>
      <c r="OL361" s="569"/>
      <c r="OM361" s="569"/>
      <c r="ON361" s="569"/>
      <c r="OO361" s="569"/>
      <c r="OP361" s="569"/>
      <c r="OQ361" s="569"/>
      <c r="OR361" s="569"/>
      <c r="OS361" s="569"/>
      <c r="OT361" s="569"/>
      <c r="OU361" s="569"/>
      <c r="OV361" s="569"/>
      <c r="OW361" s="569"/>
      <c r="OX361" s="569"/>
      <c r="OY361" s="569"/>
      <c r="OZ361" s="569"/>
      <c r="PA361" s="569"/>
      <c r="PB361" s="569"/>
      <c r="PC361" s="569"/>
      <c r="PD361" s="569"/>
      <c r="PE361" s="569"/>
      <c r="PF361" s="569"/>
      <c r="PG361" s="569"/>
      <c r="PH361" s="569"/>
      <c r="PI361" s="569"/>
      <c r="PJ361" s="569"/>
      <c r="PK361" s="569"/>
      <c r="PL361" s="569"/>
      <c r="PM361" s="569"/>
      <c r="PN361" s="569"/>
      <c r="PO361" s="569"/>
      <c r="PP361" s="569"/>
      <c r="PQ361" s="569"/>
      <c r="PR361" s="569"/>
      <c r="PS361" s="569"/>
      <c r="PT361" s="569"/>
      <c r="PU361" s="569"/>
      <c r="PV361" s="569"/>
      <c r="PW361" s="569"/>
      <c r="PX361" s="569"/>
      <c r="PY361" s="569"/>
      <c r="PZ361" s="569"/>
      <c r="QA361" s="569"/>
      <c r="QB361" s="569"/>
      <c r="QC361" s="569"/>
      <c r="QD361" s="569"/>
      <c r="QE361" s="569"/>
      <c r="QF361" s="569"/>
      <c r="QG361" s="569"/>
      <c r="QH361" s="569"/>
      <c r="QI361" s="569"/>
      <c r="QJ361" s="569"/>
      <c r="QK361" s="569"/>
      <c r="QL361" s="569"/>
    </row>
    <row r="362" spans="1:454" ht="45">
      <c r="D362" s="568"/>
      <c r="E362" s="568"/>
      <c r="F362" s="568"/>
      <c r="G362" s="568"/>
      <c r="H362" s="563" t="str">
        <f>'matrik MISI 5'!N82</f>
        <v>Cakupan Pasangan Usia Subur yang Istrinya dibawah Usia 20 tahun</v>
      </c>
      <c r="I362" s="563" t="str">
        <f>'matrik MISI 5'!O82</f>
        <v>%</v>
      </c>
      <c r="J362" s="563" t="str">
        <f>'matrik MISI 5'!P82</f>
        <v>4,00</v>
      </c>
      <c r="K362" s="563" t="str">
        <f>'matrik MISI 5'!Q82</f>
        <v>3,25</v>
      </c>
      <c r="L362" s="563" t="str">
        <f>'matrik MISI 5'!R82</f>
        <v>3,10</v>
      </c>
      <c r="M362" s="604"/>
      <c r="N362" s="563">
        <f>'matrik MISI 5'!S82</f>
        <v>3</v>
      </c>
      <c r="O362" s="564"/>
      <c r="P362" s="563" t="str">
        <f>'matrik MISI 5'!T82</f>
        <v>2,8</v>
      </c>
      <c r="Q362" s="564"/>
      <c r="R362" s="563" t="str">
        <f>'matrik MISI 5'!U82</f>
        <v>2,7</v>
      </c>
      <c r="S362" s="564"/>
      <c r="T362" s="563" t="str">
        <f>'matrik MISI 5'!V82</f>
        <v>2,6</v>
      </c>
      <c r="U362" s="564"/>
      <c r="V362" s="563" t="str">
        <f>'matrik MISI 5'!W82</f>
        <v>2,6</v>
      </c>
      <c r="W362" s="564"/>
      <c r="X362" s="563" t="str">
        <f>'matrik MISI 5'!X82</f>
        <v>BKBPP</v>
      </c>
      <c r="Y362" s="565" t="str">
        <f>'matrik MISI 5'!Y82</f>
        <v>Jumlah PUS yang usia istrinya di bawah 20 tahun/Jumlah PUS  x 100</v>
      </c>
      <c r="Z362" s="565">
        <f>'matrik MISI 5'!Z82</f>
        <v>0</v>
      </c>
    </row>
    <row r="363" spans="1:454" ht="30">
      <c r="G363" s="563"/>
      <c r="H363" s="563" t="str">
        <f>'matrik MISI 5'!N83</f>
        <v>Cakupan Sasaran Pasangan Usia Subur Menjadi Peserta KB Aktif</v>
      </c>
      <c r="I363" s="563" t="str">
        <f>'matrik MISI 5'!O83</f>
        <v>%</v>
      </c>
      <c r="J363" s="563" t="str">
        <f>'matrik MISI 5'!P83</f>
        <v>83,02</v>
      </c>
      <c r="K363" s="563" t="str">
        <f>'matrik MISI 5'!Q83</f>
        <v>83,00</v>
      </c>
      <c r="L363" s="563" t="str">
        <f>'matrik MISI 5'!R83</f>
        <v>83,2</v>
      </c>
      <c r="M363" s="604"/>
      <c r="N363" s="563" t="str">
        <f>'matrik MISI 5'!S83</f>
        <v>83,4</v>
      </c>
      <c r="O363" s="564"/>
      <c r="P363" s="563" t="str">
        <f>'matrik MISI 5'!T83</f>
        <v>83,6</v>
      </c>
      <c r="Q363" s="564"/>
      <c r="R363" s="563" t="str">
        <f>'matrik MISI 5'!U83</f>
        <v>83,8</v>
      </c>
      <c r="S363" s="564"/>
      <c r="T363" s="563">
        <f>'matrik MISI 5'!V83</f>
        <v>84</v>
      </c>
      <c r="U363" s="564"/>
      <c r="V363" s="563">
        <f>'matrik MISI 5'!W83</f>
        <v>84</v>
      </c>
      <c r="W363" s="564"/>
      <c r="X363" s="563" t="str">
        <f>'matrik MISI 5'!X83</f>
        <v>BKBPP</v>
      </c>
      <c r="Y363" s="565" t="str">
        <f>'matrik MISI 5'!Y83</f>
        <v>Jumlah PUS yang menggunakan kontrasepsi (peserta KB aktif)/Jumlah Pasangan Usia Subur x 100</v>
      </c>
      <c r="Z363" s="565">
        <f>'matrik MISI 5'!Z83</f>
        <v>0</v>
      </c>
    </row>
    <row r="364" spans="1:454" ht="45">
      <c r="G364" s="563"/>
      <c r="H364" s="563" t="str">
        <f>'matrik MISI 5'!N84</f>
        <v>Cakupan Pasangan Usia Subur yang ingin Ber-KB tidak Terpenuhi (Unmet need)</v>
      </c>
      <c r="I364" s="563" t="str">
        <f>'matrik MISI 5'!O84</f>
        <v>%</v>
      </c>
      <c r="J364" s="563" t="str">
        <f>'matrik MISI 5'!P84</f>
        <v>7,55</v>
      </c>
      <c r="K364" s="563" t="str">
        <f>'matrik MISI 5'!Q84</f>
        <v>6,00</v>
      </c>
      <c r="L364" s="563" t="str">
        <f>'matrik MISI 5'!R84</f>
        <v>5,7</v>
      </c>
      <c r="M364" s="604"/>
      <c r="N364" s="563" t="str">
        <f>'matrik MISI 5'!S84</f>
        <v>5,5</v>
      </c>
      <c r="O364" s="564"/>
      <c r="P364" s="563" t="str">
        <f>'matrik MISI 5'!T84</f>
        <v>5,3</v>
      </c>
      <c r="Q364" s="564"/>
      <c r="R364" s="563" t="str">
        <f>'matrik MISI 5'!U84</f>
        <v>5,1</v>
      </c>
      <c r="S364" s="564"/>
      <c r="T364" s="563" t="str">
        <f>'matrik MISI 5'!V84</f>
        <v>5,05</v>
      </c>
      <c r="U364" s="564"/>
      <c r="V364" s="563" t="str">
        <f>'matrik MISI 5'!W84</f>
        <v>5,05</v>
      </c>
      <c r="W364" s="564"/>
      <c r="X364" s="563" t="str">
        <f>'matrik MISI 5'!X84</f>
        <v>BKBPP</v>
      </c>
      <c r="Y364" s="565" t="str">
        <f>'matrik MISI 5'!Y84</f>
        <v>Jumlah PUS yang ingin anak ditunda atau tidak ingin anak lagi dan tidak menggunakan alat kontrasepsi/Jumlah PUS di wilayah tersebutx100</v>
      </c>
      <c r="Z364" s="565">
        <f>'matrik MISI 5'!Z84</f>
        <v>0</v>
      </c>
    </row>
    <row r="365" spans="1:454" ht="30">
      <c r="G365" s="563"/>
      <c r="H365" s="563" t="str">
        <f>'matrik MISI 5'!N85</f>
        <v>Cakupan Anggota Bina Keluarga Balita Ber-KB</v>
      </c>
      <c r="I365" s="563" t="str">
        <f>'matrik MISI 5'!O85</f>
        <v>%</v>
      </c>
      <c r="J365" s="563" t="str">
        <f>'matrik MISI 5'!P85</f>
        <v>80,58</v>
      </c>
      <c r="K365" s="563" t="str">
        <f>'matrik MISI 5'!Q85</f>
        <v>81,00</v>
      </c>
      <c r="L365" s="563" t="str">
        <f>'matrik MISI 5'!R85</f>
        <v>81,05</v>
      </c>
      <c r="M365" s="604"/>
      <c r="N365" s="563" t="str">
        <f>'matrik MISI 5'!S85</f>
        <v>81,1</v>
      </c>
      <c r="O365" s="564"/>
      <c r="P365" s="563" t="str">
        <f>'matrik MISI 5'!T85</f>
        <v>81,16</v>
      </c>
      <c r="Q365" s="564"/>
      <c r="R365" s="563" t="str">
        <f>'matrik MISI 5'!U85</f>
        <v>81,19</v>
      </c>
      <c r="S365" s="564"/>
      <c r="T365" s="563" t="str">
        <f>'matrik MISI 5'!V85</f>
        <v>81,25</v>
      </c>
      <c r="U365" s="564"/>
      <c r="V365" s="563" t="str">
        <f>'matrik MISI 5'!W85</f>
        <v>81,25</v>
      </c>
      <c r="W365" s="564"/>
      <c r="X365" s="563" t="str">
        <f>'matrik MISI 5'!X85</f>
        <v>BKBPP</v>
      </c>
      <c r="Y365" s="565" t="str">
        <f>'matrik MISI 5'!Y85</f>
        <v>Anggota BKB ber-KB/Seluruh PUS anggota BKBx100</v>
      </c>
      <c r="Z365" s="565">
        <f>'matrik MISI 5'!Z85</f>
        <v>0</v>
      </c>
    </row>
    <row r="366" spans="1:454" ht="60">
      <c r="G366" s="563"/>
      <c r="H366" s="563" t="str">
        <f>'matrik MISI 5'!N86</f>
        <v>Cakupan PUS Peserta KB Anggota Usaha Peningkatan Pendapatan Keluarga Sejahtera ( UPPKS ) yang Ber-KB</v>
      </c>
      <c r="I366" s="563" t="str">
        <f>'matrik MISI 5'!O86</f>
        <v>%</v>
      </c>
      <c r="J366" s="563" t="str">
        <f>'matrik MISI 5'!P86</f>
        <v>84,52</v>
      </c>
      <c r="K366" s="563" t="str">
        <f>'matrik MISI 5'!Q86</f>
        <v>85,00</v>
      </c>
      <c r="L366" s="563" t="str">
        <f>'matrik MISI 5'!R86</f>
        <v>85,5</v>
      </c>
      <c r="M366" s="604"/>
      <c r="N366" s="563" t="str">
        <f>'matrik MISI 5'!S86</f>
        <v>85,6</v>
      </c>
      <c r="O366" s="564"/>
      <c r="P366" s="563" t="str">
        <f>'matrik MISI 5'!T86</f>
        <v>85,75</v>
      </c>
      <c r="Q366" s="564"/>
      <c r="R366" s="563" t="str">
        <f>'matrik MISI 5'!U86</f>
        <v>85,8</v>
      </c>
      <c r="S366" s="564"/>
      <c r="T366" s="563">
        <f>'matrik MISI 5'!V86</f>
        <v>86</v>
      </c>
      <c r="U366" s="564"/>
      <c r="V366" s="563">
        <f>'matrik MISI 5'!W86</f>
        <v>86</v>
      </c>
      <c r="W366" s="564"/>
      <c r="X366" s="563" t="str">
        <f>'matrik MISI 5'!X86</f>
        <v>BKBPP</v>
      </c>
      <c r="Y366" s="565" t="str">
        <f>'matrik MISI 5'!Y86</f>
        <v>Anggota UPPKS ber-KB/Seluruh anggota UPPKS peserta KBx100</v>
      </c>
      <c r="Z366" s="565">
        <f>'matrik MISI 5'!Z86</f>
        <v>0</v>
      </c>
    </row>
    <row r="367" spans="1:454" ht="45">
      <c r="G367" s="563"/>
      <c r="H367" s="563" t="str">
        <f>'matrik MISI 5'!N87</f>
        <v>Rasio Petugas Lapangan Keluarga Berencana atau Penyuluh KB Per  Desa atau Kelurahan</v>
      </c>
      <c r="I367" s="563" t="str">
        <f>'matrik MISI 5'!O87</f>
        <v>Rasio</v>
      </c>
      <c r="J367" s="563" t="str">
        <f>'matrik MISI 5'!P87</f>
        <v>1 : 6</v>
      </c>
      <c r="K367" s="563" t="str">
        <f>'matrik MISI 5'!Q87</f>
        <v>1 : 6</v>
      </c>
      <c r="L367" s="563" t="str">
        <f>'matrik MISI 5'!R87</f>
        <v>1 : 5</v>
      </c>
      <c r="M367" s="604"/>
      <c r="N367" s="563" t="str">
        <f>'matrik MISI 5'!S87</f>
        <v>1 : 4</v>
      </c>
      <c r="O367" s="564"/>
      <c r="P367" s="563" t="str">
        <f>'matrik MISI 5'!T87</f>
        <v>1 :4</v>
      </c>
      <c r="Q367" s="564"/>
      <c r="R367" s="563" t="str">
        <f>'matrik MISI 5'!U87</f>
        <v>1 :4</v>
      </c>
      <c r="S367" s="564"/>
      <c r="T367" s="563" t="str">
        <f>'matrik MISI 5'!V87</f>
        <v>1 : 2</v>
      </c>
      <c r="U367" s="564"/>
      <c r="V367" s="563" t="str">
        <f>'matrik MISI 5'!W87</f>
        <v>1 : 2</v>
      </c>
      <c r="W367" s="564"/>
      <c r="X367" s="563" t="str">
        <f>'matrik MISI 5'!X87</f>
        <v>BKBPP</v>
      </c>
      <c r="Y367" s="565" t="str">
        <f>'matrik MISI 5'!Y87</f>
        <v>Jumlah PLKB/PKB dibanding Jumlah Desa/Kelurahan</v>
      </c>
      <c r="Z367" s="565" t="str">
        <f>'matrik MISI 5'!Z87</f>
        <v>(dengan mempertimbangkan 3 aspek: jumlah KK, jumlah desa/kelurahan, luas wilayah dan daerah kepulauan)</v>
      </c>
    </row>
    <row r="368" spans="1:454" ht="45">
      <c r="G368" s="563"/>
      <c r="H368" s="563" t="str">
        <f>'matrik MISI 5'!N88</f>
        <v>Rasio Pembantu Pembina Keluarga Berencana per desa/Kelurahan</v>
      </c>
      <c r="I368" s="563" t="str">
        <f>'matrik MISI 5'!O88</f>
        <v>Rasio</v>
      </c>
      <c r="J368" s="563" t="str">
        <f>'matrik MISI 5'!P88</f>
        <v>1 : 1</v>
      </c>
      <c r="K368" s="563" t="str">
        <f>'matrik MISI 5'!Q88</f>
        <v>1 : 1</v>
      </c>
      <c r="L368" s="563" t="str">
        <f>'matrik MISI 5'!R88</f>
        <v>1 : 1</v>
      </c>
      <c r="M368" s="604"/>
      <c r="N368" s="563" t="str">
        <f>'matrik MISI 5'!S88</f>
        <v>1 : 1</v>
      </c>
      <c r="O368" s="564"/>
      <c r="P368" s="563" t="str">
        <f>'matrik MISI 5'!T88</f>
        <v>1 : 1</v>
      </c>
      <c r="Q368" s="564"/>
      <c r="R368" s="563" t="str">
        <f>'matrik MISI 5'!U88</f>
        <v>1 : 1</v>
      </c>
      <c r="S368" s="564"/>
      <c r="T368" s="563" t="str">
        <f>'matrik MISI 5'!V88</f>
        <v>1 : 1</v>
      </c>
      <c r="U368" s="564"/>
      <c r="V368" s="563" t="str">
        <f>'matrik MISI 5'!W88</f>
        <v>1 : 1</v>
      </c>
      <c r="W368" s="564"/>
      <c r="X368" s="563" t="str">
        <f>'matrik MISI 5'!X88</f>
        <v>BKBPP</v>
      </c>
      <c r="Y368" s="565" t="str">
        <f>'matrik MISI 5'!Y88</f>
        <v>Jumlah PPKBD dibanding Jumlah Desa/Kelurahan</v>
      </c>
      <c r="Z368" s="565">
        <f>'matrik MISI 5'!Z88</f>
        <v>0</v>
      </c>
    </row>
    <row r="369" spans="1:454" ht="30">
      <c r="G369" s="563"/>
      <c r="H369" s="563" t="str">
        <f>'matrik MISI 5'!N89</f>
        <v>Persentase Penggunaan Alat Kontrasepsi Pada Pria</v>
      </c>
      <c r="I369" s="563" t="str">
        <f>'matrik MISI 5'!O89</f>
        <v>%</v>
      </c>
      <c r="J369" s="563" t="str">
        <f>'matrik MISI 5'!P89</f>
        <v>2,89</v>
      </c>
      <c r="K369" s="563" t="str">
        <f>'matrik MISI 5'!Q89</f>
        <v>3,00</v>
      </c>
      <c r="L369" s="563" t="str">
        <f>'matrik MISI 5'!R89</f>
        <v>3,2</v>
      </c>
      <c r="M369" s="604"/>
      <c r="N369" s="563" t="str">
        <f>'matrik MISI 5'!S89</f>
        <v>3,33</v>
      </c>
      <c r="O369" s="564"/>
      <c r="P369" s="563" t="str">
        <f>'matrik MISI 5'!T89</f>
        <v>3,34</v>
      </c>
      <c r="Q369" s="564"/>
      <c r="R369" s="563" t="str">
        <f>'matrik MISI 5'!U89</f>
        <v>3,54</v>
      </c>
      <c r="S369" s="564"/>
      <c r="T369" s="563" t="str">
        <f>'matrik MISI 5'!V89</f>
        <v>3,55</v>
      </c>
      <c r="U369" s="564"/>
      <c r="V369" s="563" t="str">
        <f>'matrik MISI 5'!W89</f>
        <v>3,55</v>
      </c>
      <c r="W369" s="564"/>
      <c r="X369" s="563" t="str">
        <f>'matrik MISI 5'!X89</f>
        <v>BKBPP</v>
      </c>
      <c r="Y369" s="565" t="str">
        <f>'matrik MISI 5'!Y89</f>
        <v>Jumlah Pria yang menggunakan kontrasepsi/Jumlah PUS x 100</v>
      </c>
      <c r="Z369" s="565">
        <f>'matrik MISI 5'!Z89</f>
        <v>0</v>
      </c>
    </row>
    <row r="370" spans="1:454" ht="30">
      <c r="G370" s="563"/>
      <c r="H370" s="563" t="str">
        <f>'matrik MISI 5'!N90</f>
        <v>Terkendalinya Pertumbuhan Jumlah Penduduk</v>
      </c>
      <c r="I370" s="563" t="str">
        <f>'matrik MISI 5'!O90</f>
        <v>%</v>
      </c>
      <c r="J370" s="563" t="str">
        <f>'matrik MISI 5'!P90</f>
        <v>0,67</v>
      </c>
      <c r="K370" s="563" t="str">
        <f>'matrik MISI 5'!Q90</f>
        <v>0,67</v>
      </c>
      <c r="L370" s="563" t="str">
        <f>'matrik MISI 5'!R90</f>
        <v>0,65</v>
      </c>
      <c r="M370" s="604"/>
      <c r="N370" s="563" t="str">
        <f>'matrik MISI 5'!S90</f>
        <v>0,64</v>
      </c>
      <c r="O370" s="564"/>
      <c r="P370" s="563" t="str">
        <f>'matrik MISI 5'!T90</f>
        <v>0,63</v>
      </c>
      <c r="Q370" s="564"/>
      <c r="R370" s="563" t="str">
        <f>'matrik MISI 5'!U90</f>
        <v>0,62</v>
      </c>
      <c r="S370" s="564"/>
      <c r="T370" s="563" t="str">
        <f>'matrik MISI 5'!V90</f>
        <v>0,6</v>
      </c>
      <c r="U370" s="564"/>
      <c r="V370" s="563" t="str">
        <f>'matrik MISI 5'!W90</f>
        <v>0,6</v>
      </c>
      <c r="W370" s="564"/>
      <c r="X370" s="563" t="str">
        <f>'matrik MISI 5'!X90</f>
        <v>BKBPP</v>
      </c>
      <c r="Y370" s="565">
        <f>'matrik MISI 5'!Y90</f>
        <v>0</v>
      </c>
      <c r="Z370" s="565" t="str">
        <f>'matrik MISI 5'!Z90</f>
        <v>Angka laju pertumbuhan penduduk (BPS)</v>
      </c>
    </row>
    <row r="371" spans="1:454" ht="30">
      <c r="G371" s="563"/>
      <c r="H371" s="563" t="str">
        <f>'matrik MISI 5'!N91</f>
        <v>Besaran Sasaran PUS Menjadi Peserta KB Baru</v>
      </c>
      <c r="I371" s="563">
        <f>'matrik MISI 5'!O91</f>
        <v>0</v>
      </c>
      <c r="J371" s="563">
        <f>'matrik MISI 5'!P91</f>
        <v>19.428000000000001</v>
      </c>
      <c r="K371" s="563">
        <f>'matrik MISI 5'!Q91</f>
        <v>17.274000000000001</v>
      </c>
      <c r="L371" s="563">
        <f>'matrik MISI 5'!R91</f>
        <v>14.073</v>
      </c>
      <c r="M371" s="604"/>
      <c r="N371" s="563">
        <f>'matrik MISI 5'!S91</f>
        <v>14.065</v>
      </c>
      <c r="O371" s="564"/>
      <c r="P371" s="563">
        <f>'matrik MISI 5'!T91</f>
        <v>14.058999999999999</v>
      </c>
      <c r="Q371" s="564"/>
      <c r="R371" s="563">
        <f>'matrik MISI 5'!U91</f>
        <v>14.057</v>
      </c>
      <c r="S371" s="564"/>
      <c r="T371" s="563">
        <f>'matrik MISI 5'!V91</f>
        <v>14.055</v>
      </c>
      <c r="U371" s="564"/>
      <c r="V371" s="563">
        <f>'matrik MISI 5'!W91</f>
        <v>14.055</v>
      </c>
      <c r="W371" s="564"/>
      <c r="X371" s="563" t="str">
        <f>'matrik MISI 5'!X91</f>
        <v>BKBPP</v>
      </c>
      <c r="Y371" s="565" t="str">
        <f>'matrik MISI 5'!Y91</f>
        <v>Jumlah sasaran PUS yang menggunakan kontrasepsi (peserta KB baru)</v>
      </c>
      <c r="Z371" s="565">
        <f>'matrik MISI 5'!Z91</f>
        <v>0</v>
      </c>
    </row>
    <row r="372" spans="1:454" ht="45">
      <c r="G372" s="563"/>
      <c r="H372" s="563" t="str">
        <f>'matrik MISI 5'!N92</f>
        <v>Cakupan penyediaan alat dan kontrasepsi untuk memenuhi permintaan masyarakat</v>
      </c>
      <c r="I372" s="563" t="str">
        <f>'matrik MISI 5'!O92</f>
        <v>%</v>
      </c>
      <c r="J372" s="563">
        <f>'matrik MISI 5'!P92</f>
        <v>4</v>
      </c>
      <c r="K372" s="563">
        <f>'matrik MISI 5'!Q92</f>
        <v>4</v>
      </c>
      <c r="L372" s="563">
        <f>'matrik MISI 5'!R92</f>
        <v>3</v>
      </c>
      <c r="M372" s="604"/>
      <c r="N372" s="563">
        <f>'matrik MISI 5'!S92</f>
        <v>3</v>
      </c>
      <c r="O372" s="564"/>
      <c r="P372" s="563">
        <f>'matrik MISI 5'!T92</f>
        <v>3</v>
      </c>
      <c r="Q372" s="564"/>
      <c r="R372" s="563">
        <f>'matrik MISI 5'!U92</f>
        <v>3</v>
      </c>
      <c r="S372" s="564"/>
      <c r="T372" s="563">
        <f>'matrik MISI 5'!V92</f>
        <v>3</v>
      </c>
      <c r="U372" s="564"/>
      <c r="V372" s="563">
        <f>'matrik MISI 5'!W92</f>
        <v>3</v>
      </c>
      <c r="W372" s="564"/>
      <c r="X372" s="563" t="str">
        <f>'matrik MISI 5'!X92</f>
        <v>BKBPP</v>
      </c>
      <c r="Y372" s="565" t="str">
        <f>'matrik MISI 5'!Y92</f>
        <v>Jumlah alat dan obat kontrasepsi yang terpenuhi / Jumlah alat dan obat kontrasepsi yang dibutuhkan x 100</v>
      </c>
      <c r="Z372" s="565">
        <f>'matrik MISI 5'!Z92</f>
        <v>0</v>
      </c>
    </row>
    <row r="373" spans="1:454" s="570" customFormat="1">
      <c r="A373" s="569"/>
      <c r="B373" s="571"/>
      <c r="C373" s="572"/>
      <c r="D373" s="573"/>
      <c r="E373" s="573"/>
      <c r="F373" s="573"/>
      <c r="G373" s="571"/>
      <c r="H373" s="571"/>
      <c r="I373" s="571"/>
      <c r="J373" s="580"/>
      <c r="K373" s="580"/>
      <c r="L373" s="580"/>
      <c r="M373" s="606"/>
      <c r="N373" s="580"/>
      <c r="O373" s="581"/>
      <c r="P373" s="580"/>
      <c r="Q373" s="581"/>
      <c r="R373" s="580"/>
      <c r="S373" s="581"/>
      <c r="T373" s="580"/>
      <c r="U373" s="581"/>
      <c r="V373" s="580"/>
      <c r="W373" s="581"/>
      <c r="X373" s="571"/>
      <c r="Y373" s="582"/>
      <c r="Z373" s="582"/>
      <c r="AA373" s="569"/>
      <c r="AB373" s="569"/>
      <c r="AC373" s="569"/>
      <c r="AD373" s="569"/>
      <c r="AE373" s="569"/>
      <c r="AF373" s="569"/>
      <c r="AG373" s="569"/>
      <c r="AH373" s="569"/>
      <c r="AI373" s="569"/>
      <c r="AJ373" s="569"/>
      <c r="AK373" s="569"/>
      <c r="AL373" s="569"/>
      <c r="AM373" s="569"/>
      <c r="AN373" s="569"/>
      <c r="AO373" s="569"/>
      <c r="AP373" s="569"/>
      <c r="AQ373" s="569"/>
      <c r="AR373" s="569"/>
      <c r="AS373" s="569"/>
      <c r="AT373" s="569"/>
      <c r="AU373" s="569"/>
      <c r="AV373" s="569"/>
      <c r="AW373" s="569"/>
      <c r="AX373" s="569"/>
      <c r="AY373" s="569"/>
      <c r="AZ373" s="569"/>
      <c r="BA373" s="569"/>
      <c r="BB373" s="569"/>
      <c r="BC373" s="569"/>
      <c r="BD373" s="569"/>
      <c r="BE373" s="569"/>
      <c r="BF373" s="569"/>
      <c r="BG373" s="569"/>
      <c r="BH373" s="569"/>
      <c r="BI373" s="569"/>
      <c r="BJ373" s="569"/>
      <c r="BK373" s="569"/>
      <c r="BL373" s="569"/>
      <c r="BM373" s="569"/>
      <c r="BN373" s="569"/>
      <c r="BO373" s="569"/>
      <c r="BP373" s="569"/>
      <c r="BQ373" s="569"/>
      <c r="BR373" s="569"/>
      <c r="BS373" s="569"/>
      <c r="BT373" s="569"/>
      <c r="BU373" s="569"/>
      <c r="BV373" s="569"/>
      <c r="BW373" s="569"/>
      <c r="BX373" s="569"/>
      <c r="BY373" s="569"/>
      <c r="BZ373" s="569"/>
      <c r="CA373" s="569"/>
      <c r="CB373" s="569"/>
      <c r="CC373" s="569"/>
      <c r="CD373" s="569"/>
      <c r="CE373" s="569"/>
      <c r="CF373" s="569"/>
      <c r="CG373" s="569"/>
      <c r="CH373" s="569"/>
      <c r="CI373" s="569"/>
      <c r="CJ373" s="569"/>
      <c r="CK373" s="569"/>
      <c r="CL373" s="569"/>
      <c r="CM373" s="569"/>
      <c r="CN373" s="569"/>
      <c r="CO373" s="569"/>
      <c r="CP373" s="569"/>
      <c r="CQ373" s="569"/>
      <c r="CR373" s="569"/>
      <c r="CS373" s="569"/>
      <c r="CT373" s="569"/>
      <c r="CU373" s="569"/>
      <c r="CV373" s="569"/>
      <c r="CW373" s="569"/>
      <c r="CX373" s="569"/>
      <c r="CY373" s="569"/>
      <c r="CZ373" s="569"/>
      <c r="DA373" s="569"/>
      <c r="DB373" s="569"/>
      <c r="DC373" s="569"/>
      <c r="DD373" s="569"/>
      <c r="DE373" s="569"/>
      <c r="DF373" s="569"/>
      <c r="DG373" s="569"/>
      <c r="DH373" s="569"/>
      <c r="DI373" s="569"/>
      <c r="DJ373" s="569"/>
      <c r="DK373" s="569"/>
      <c r="DL373" s="569"/>
      <c r="DM373" s="569"/>
      <c r="DN373" s="569"/>
      <c r="DO373" s="569"/>
      <c r="DP373" s="569"/>
      <c r="DQ373" s="569"/>
      <c r="DR373" s="569"/>
      <c r="DS373" s="569"/>
      <c r="DT373" s="569"/>
      <c r="DU373" s="569"/>
      <c r="DV373" s="569"/>
      <c r="DW373" s="569"/>
      <c r="DX373" s="569"/>
      <c r="DY373" s="569"/>
      <c r="DZ373" s="569"/>
      <c r="EA373" s="569"/>
      <c r="EB373" s="569"/>
      <c r="EC373" s="569"/>
      <c r="ED373" s="569"/>
      <c r="EE373" s="569"/>
      <c r="EF373" s="569"/>
      <c r="EG373" s="569"/>
      <c r="EH373" s="569"/>
      <c r="EI373" s="569"/>
      <c r="EJ373" s="569"/>
      <c r="EK373" s="569"/>
      <c r="EL373" s="569"/>
      <c r="EM373" s="569"/>
      <c r="EN373" s="569"/>
      <c r="EO373" s="569"/>
      <c r="EP373" s="569"/>
      <c r="EQ373" s="569"/>
      <c r="ER373" s="569"/>
      <c r="ES373" s="569"/>
      <c r="ET373" s="569"/>
      <c r="EU373" s="569"/>
      <c r="EV373" s="569"/>
      <c r="EW373" s="569"/>
      <c r="EX373" s="569"/>
      <c r="EY373" s="569"/>
      <c r="EZ373" s="569"/>
      <c r="FA373" s="569"/>
      <c r="FB373" s="569"/>
      <c r="FC373" s="569"/>
      <c r="FD373" s="569"/>
      <c r="FE373" s="569"/>
      <c r="FF373" s="569"/>
      <c r="FG373" s="569"/>
      <c r="FH373" s="569"/>
      <c r="FI373" s="569"/>
      <c r="FJ373" s="569"/>
      <c r="FK373" s="569"/>
      <c r="FL373" s="569"/>
      <c r="FM373" s="569"/>
      <c r="FN373" s="569"/>
      <c r="FO373" s="569"/>
      <c r="FP373" s="569"/>
      <c r="FQ373" s="569"/>
      <c r="FR373" s="569"/>
      <c r="FS373" s="569"/>
      <c r="FT373" s="569"/>
      <c r="FU373" s="569"/>
      <c r="FV373" s="569"/>
      <c r="FW373" s="569"/>
      <c r="FX373" s="569"/>
      <c r="FY373" s="569"/>
      <c r="FZ373" s="569"/>
      <c r="GA373" s="569"/>
      <c r="GB373" s="569"/>
      <c r="GC373" s="569"/>
      <c r="GD373" s="569"/>
      <c r="GE373" s="569"/>
      <c r="GF373" s="569"/>
      <c r="GG373" s="569"/>
      <c r="GH373" s="569"/>
      <c r="GI373" s="569"/>
      <c r="GJ373" s="569"/>
      <c r="GK373" s="569"/>
      <c r="GL373" s="569"/>
      <c r="GM373" s="569"/>
      <c r="GN373" s="569"/>
      <c r="GO373" s="569"/>
      <c r="GP373" s="569"/>
      <c r="GQ373" s="569"/>
      <c r="GR373" s="569"/>
      <c r="GS373" s="569"/>
      <c r="GT373" s="569"/>
      <c r="GU373" s="569"/>
      <c r="GV373" s="569"/>
      <c r="GW373" s="569"/>
      <c r="GX373" s="569"/>
      <c r="GY373" s="569"/>
      <c r="GZ373" s="569"/>
      <c r="HA373" s="569"/>
      <c r="HB373" s="569"/>
      <c r="HC373" s="569"/>
      <c r="HD373" s="569"/>
      <c r="HE373" s="569"/>
      <c r="HF373" s="569"/>
      <c r="HG373" s="569"/>
      <c r="HH373" s="569"/>
      <c r="HI373" s="569"/>
      <c r="HJ373" s="569"/>
      <c r="HK373" s="569"/>
      <c r="HL373" s="569"/>
      <c r="HM373" s="569"/>
      <c r="HN373" s="569"/>
      <c r="HO373" s="569"/>
      <c r="HP373" s="569"/>
      <c r="HQ373" s="569"/>
      <c r="HR373" s="569"/>
      <c r="HS373" s="569"/>
      <c r="HT373" s="569"/>
      <c r="HU373" s="569"/>
      <c r="HV373" s="569"/>
      <c r="HW373" s="569"/>
      <c r="HX373" s="569"/>
      <c r="HY373" s="569"/>
      <c r="HZ373" s="569"/>
      <c r="IA373" s="569"/>
      <c r="IB373" s="569"/>
      <c r="IC373" s="569"/>
      <c r="ID373" s="569"/>
      <c r="IE373" s="569"/>
      <c r="IF373" s="569"/>
      <c r="IG373" s="569"/>
      <c r="IH373" s="569"/>
      <c r="II373" s="569"/>
      <c r="IJ373" s="569"/>
      <c r="IK373" s="569"/>
      <c r="IL373" s="569"/>
      <c r="IM373" s="569"/>
      <c r="IN373" s="569"/>
      <c r="IO373" s="569"/>
      <c r="IP373" s="569"/>
      <c r="IQ373" s="569"/>
      <c r="IR373" s="569"/>
      <c r="IS373" s="569"/>
      <c r="IT373" s="569"/>
      <c r="IU373" s="569"/>
      <c r="IV373" s="569"/>
      <c r="IW373" s="569"/>
      <c r="IX373" s="569"/>
      <c r="IY373" s="569"/>
      <c r="IZ373" s="569"/>
      <c r="JA373" s="569"/>
      <c r="JB373" s="569"/>
      <c r="JC373" s="569"/>
      <c r="JD373" s="569"/>
      <c r="JE373" s="569"/>
      <c r="JF373" s="569"/>
      <c r="JG373" s="569"/>
      <c r="JH373" s="569"/>
      <c r="JI373" s="569"/>
      <c r="JJ373" s="569"/>
      <c r="JK373" s="569"/>
      <c r="JL373" s="569"/>
      <c r="JM373" s="569"/>
      <c r="JN373" s="569"/>
      <c r="JO373" s="569"/>
      <c r="JP373" s="569"/>
      <c r="JQ373" s="569"/>
      <c r="JR373" s="569"/>
      <c r="JS373" s="569"/>
      <c r="JT373" s="569"/>
      <c r="JU373" s="569"/>
      <c r="JV373" s="569"/>
      <c r="JW373" s="569"/>
      <c r="JX373" s="569"/>
      <c r="JY373" s="569"/>
      <c r="JZ373" s="569"/>
      <c r="KA373" s="569"/>
      <c r="KB373" s="569"/>
      <c r="KC373" s="569"/>
      <c r="KD373" s="569"/>
      <c r="KE373" s="569"/>
      <c r="KF373" s="569"/>
      <c r="KG373" s="569"/>
      <c r="KH373" s="569"/>
      <c r="KI373" s="569"/>
      <c r="KJ373" s="569"/>
      <c r="KK373" s="569"/>
      <c r="KL373" s="569"/>
      <c r="KM373" s="569"/>
      <c r="KN373" s="569"/>
      <c r="KO373" s="569"/>
      <c r="KP373" s="569"/>
      <c r="KQ373" s="569"/>
      <c r="KR373" s="569"/>
      <c r="KS373" s="569"/>
      <c r="KT373" s="569"/>
      <c r="KU373" s="569"/>
      <c r="KV373" s="569"/>
      <c r="KW373" s="569"/>
      <c r="KX373" s="569"/>
      <c r="KY373" s="569"/>
      <c r="KZ373" s="569"/>
      <c r="LA373" s="569"/>
      <c r="LB373" s="569"/>
      <c r="LC373" s="569"/>
      <c r="LD373" s="569"/>
      <c r="LE373" s="569"/>
      <c r="LF373" s="569"/>
      <c r="LG373" s="569"/>
      <c r="LH373" s="569"/>
      <c r="LI373" s="569"/>
      <c r="LJ373" s="569"/>
      <c r="LK373" s="569"/>
      <c r="LL373" s="569"/>
      <c r="LM373" s="569"/>
      <c r="LN373" s="569"/>
      <c r="LO373" s="569"/>
      <c r="LP373" s="569"/>
      <c r="LQ373" s="569"/>
      <c r="LR373" s="569"/>
      <c r="LS373" s="569"/>
      <c r="LT373" s="569"/>
      <c r="LU373" s="569"/>
      <c r="LV373" s="569"/>
      <c r="LW373" s="569"/>
      <c r="LX373" s="569"/>
      <c r="LY373" s="569"/>
      <c r="LZ373" s="569"/>
      <c r="MA373" s="569"/>
      <c r="MB373" s="569"/>
      <c r="MC373" s="569"/>
      <c r="MD373" s="569"/>
      <c r="ME373" s="569"/>
      <c r="MF373" s="569"/>
      <c r="MG373" s="569"/>
      <c r="MH373" s="569"/>
      <c r="MI373" s="569"/>
      <c r="MJ373" s="569"/>
      <c r="MK373" s="569"/>
      <c r="ML373" s="569"/>
      <c r="MM373" s="569"/>
      <c r="MN373" s="569"/>
      <c r="MO373" s="569"/>
      <c r="MP373" s="569"/>
      <c r="MQ373" s="569"/>
      <c r="MR373" s="569"/>
      <c r="MS373" s="569"/>
      <c r="MT373" s="569"/>
      <c r="MU373" s="569"/>
      <c r="MV373" s="569"/>
      <c r="MW373" s="569"/>
      <c r="MX373" s="569"/>
      <c r="MY373" s="569"/>
      <c r="MZ373" s="569"/>
      <c r="NA373" s="569"/>
      <c r="NB373" s="569"/>
      <c r="NC373" s="569"/>
      <c r="ND373" s="569"/>
      <c r="NE373" s="569"/>
      <c r="NF373" s="569"/>
      <c r="NG373" s="569"/>
      <c r="NH373" s="569"/>
      <c r="NI373" s="569"/>
      <c r="NJ373" s="569"/>
      <c r="NK373" s="569"/>
      <c r="NL373" s="569"/>
      <c r="NM373" s="569"/>
      <c r="NN373" s="569"/>
      <c r="NO373" s="569"/>
      <c r="NP373" s="569"/>
      <c r="NQ373" s="569"/>
      <c r="NR373" s="569"/>
      <c r="NS373" s="569"/>
      <c r="NT373" s="569"/>
      <c r="NU373" s="569"/>
      <c r="NV373" s="569"/>
      <c r="NW373" s="569"/>
      <c r="NX373" s="569"/>
      <c r="NY373" s="569"/>
      <c r="NZ373" s="569"/>
      <c r="OA373" s="569"/>
      <c r="OB373" s="569"/>
      <c r="OC373" s="569"/>
      <c r="OD373" s="569"/>
      <c r="OE373" s="569"/>
      <c r="OF373" s="569"/>
      <c r="OG373" s="569"/>
      <c r="OH373" s="569"/>
      <c r="OI373" s="569"/>
      <c r="OJ373" s="569"/>
      <c r="OK373" s="569"/>
      <c r="OL373" s="569"/>
      <c r="OM373" s="569"/>
      <c r="ON373" s="569"/>
      <c r="OO373" s="569"/>
      <c r="OP373" s="569"/>
      <c r="OQ373" s="569"/>
      <c r="OR373" s="569"/>
      <c r="OS373" s="569"/>
      <c r="OT373" s="569"/>
      <c r="OU373" s="569"/>
      <c r="OV373" s="569"/>
      <c r="OW373" s="569"/>
      <c r="OX373" s="569"/>
      <c r="OY373" s="569"/>
      <c r="OZ373" s="569"/>
      <c r="PA373" s="569"/>
      <c r="PB373" s="569"/>
      <c r="PC373" s="569"/>
      <c r="PD373" s="569"/>
      <c r="PE373" s="569"/>
      <c r="PF373" s="569"/>
      <c r="PG373" s="569"/>
      <c r="PH373" s="569"/>
      <c r="PI373" s="569"/>
      <c r="PJ373" s="569"/>
      <c r="PK373" s="569"/>
      <c r="PL373" s="569"/>
      <c r="PM373" s="569"/>
      <c r="PN373" s="569"/>
      <c r="PO373" s="569"/>
      <c r="PP373" s="569"/>
      <c r="PQ373" s="569"/>
      <c r="PR373" s="569"/>
      <c r="PS373" s="569"/>
      <c r="PT373" s="569"/>
      <c r="PU373" s="569"/>
      <c r="PV373" s="569"/>
      <c r="PW373" s="569"/>
      <c r="PX373" s="569"/>
      <c r="PY373" s="569"/>
      <c r="PZ373" s="569"/>
      <c r="QA373" s="569"/>
      <c r="QB373" s="569"/>
      <c r="QC373" s="569"/>
      <c r="QD373" s="569"/>
      <c r="QE373" s="569"/>
      <c r="QF373" s="569"/>
      <c r="QG373" s="569"/>
      <c r="QH373" s="569"/>
      <c r="QI373" s="569"/>
      <c r="QJ373" s="569"/>
      <c r="QK373" s="569"/>
      <c r="QL373" s="569"/>
    </row>
    <row r="374" spans="1:454" s="574" customFormat="1" ht="45">
      <c r="A374" s="569"/>
      <c r="B374" s="575">
        <v>13</v>
      </c>
      <c r="C374" s="576" t="str">
        <f>'matrik MISI 2'!B6</f>
        <v>SOSIAL</v>
      </c>
      <c r="D374" s="577" t="str">
        <f>'matrik MISI 2'!J7</f>
        <v>1.13</v>
      </c>
      <c r="E374" s="577" t="str">
        <f>'matrik MISI 2'!K7</f>
        <v>xx</v>
      </c>
      <c r="F374" s="577">
        <f>'matrik MISI 2'!L7</f>
        <v>16</v>
      </c>
      <c r="G374" s="577" t="str">
        <f>'matrik MISI 2'!M7</f>
        <v xml:space="preserve">Program Pelayanan dan Rehabilitasi Kesejahteraan Sosial                                  </v>
      </c>
      <c r="H374" s="575"/>
      <c r="I374" s="575"/>
      <c r="J374" s="596"/>
      <c r="K374" s="596"/>
      <c r="L374" s="596"/>
      <c r="M374" s="600">
        <f>'jangan di hapus 1'!K723</f>
        <v>4579662502</v>
      </c>
      <c r="N374" s="600"/>
      <c r="O374" s="600">
        <f>'jangan di hapus 1'!M723</f>
        <v>6282712502</v>
      </c>
      <c r="P374" s="600"/>
      <c r="Q374" s="600">
        <f>'jangan di hapus 1'!O723</f>
        <v>6454712502</v>
      </c>
      <c r="R374" s="600"/>
      <c r="S374" s="600">
        <f>'jangan di hapus 1'!Q723</f>
        <v>6562712502</v>
      </c>
      <c r="T374" s="600"/>
      <c r="U374" s="600">
        <f>'jangan di hapus 1'!S723</f>
        <v>6749712502</v>
      </c>
      <c r="V374" s="596"/>
      <c r="W374" s="578">
        <f>SUM(M374:U374)</f>
        <v>30629512510</v>
      </c>
      <c r="X374" s="575"/>
      <c r="Y374" s="596"/>
      <c r="Z374" s="596"/>
      <c r="AA374" s="569"/>
      <c r="AB374" s="569"/>
      <c r="AC374" s="569"/>
      <c r="AD374" s="569"/>
      <c r="AE374" s="569"/>
      <c r="AF374" s="569"/>
      <c r="AG374" s="569"/>
      <c r="AH374" s="569"/>
      <c r="AI374" s="569"/>
      <c r="AJ374" s="569"/>
      <c r="AK374" s="569"/>
      <c r="AL374" s="569"/>
      <c r="AM374" s="569"/>
      <c r="AN374" s="569"/>
      <c r="AO374" s="569"/>
      <c r="AP374" s="569"/>
      <c r="AQ374" s="569"/>
      <c r="AR374" s="569"/>
      <c r="AS374" s="569"/>
      <c r="AT374" s="569"/>
      <c r="AU374" s="569"/>
      <c r="AV374" s="569"/>
      <c r="AW374" s="569"/>
      <c r="AX374" s="569"/>
      <c r="AY374" s="569"/>
      <c r="AZ374" s="569"/>
      <c r="BA374" s="569"/>
      <c r="BB374" s="569"/>
      <c r="BC374" s="569"/>
      <c r="BD374" s="569"/>
      <c r="BE374" s="569"/>
      <c r="BF374" s="569"/>
      <c r="BG374" s="569"/>
      <c r="BH374" s="569"/>
      <c r="BI374" s="569"/>
      <c r="BJ374" s="569"/>
      <c r="BK374" s="569"/>
      <c r="BL374" s="569"/>
      <c r="BM374" s="569"/>
      <c r="BN374" s="569"/>
      <c r="BO374" s="569"/>
      <c r="BP374" s="569"/>
      <c r="BQ374" s="569"/>
      <c r="BR374" s="569"/>
      <c r="BS374" s="569"/>
      <c r="BT374" s="569"/>
      <c r="BU374" s="569"/>
      <c r="BV374" s="569"/>
      <c r="BW374" s="569"/>
      <c r="BX374" s="569"/>
      <c r="BY374" s="569"/>
      <c r="BZ374" s="569"/>
      <c r="CA374" s="569"/>
      <c r="CB374" s="569"/>
      <c r="CC374" s="569"/>
      <c r="CD374" s="569"/>
      <c r="CE374" s="569"/>
      <c r="CF374" s="569"/>
      <c r="CG374" s="569"/>
      <c r="CH374" s="569"/>
      <c r="CI374" s="569"/>
      <c r="CJ374" s="569"/>
      <c r="CK374" s="569"/>
      <c r="CL374" s="569"/>
      <c r="CM374" s="569"/>
      <c r="CN374" s="569"/>
      <c r="CO374" s="569"/>
      <c r="CP374" s="569"/>
      <c r="CQ374" s="569"/>
      <c r="CR374" s="569"/>
      <c r="CS374" s="569"/>
      <c r="CT374" s="569"/>
      <c r="CU374" s="569"/>
      <c r="CV374" s="569"/>
      <c r="CW374" s="569"/>
      <c r="CX374" s="569"/>
      <c r="CY374" s="569"/>
      <c r="CZ374" s="569"/>
      <c r="DA374" s="569"/>
      <c r="DB374" s="569"/>
      <c r="DC374" s="569"/>
      <c r="DD374" s="569"/>
      <c r="DE374" s="569"/>
      <c r="DF374" s="569"/>
      <c r="DG374" s="569"/>
      <c r="DH374" s="569"/>
      <c r="DI374" s="569"/>
      <c r="DJ374" s="569"/>
      <c r="DK374" s="569"/>
      <c r="DL374" s="569"/>
      <c r="DM374" s="569"/>
      <c r="DN374" s="569"/>
      <c r="DO374" s="569"/>
      <c r="DP374" s="569"/>
      <c r="DQ374" s="569"/>
      <c r="DR374" s="569"/>
      <c r="DS374" s="569"/>
      <c r="DT374" s="569"/>
      <c r="DU374" s="569"/>
      <c r="DV374" s="569"/>
      <c r="DW374" s="569"/>
      <c r="DX374" s="569"/>
      <c r="DY374" s="569"/>
      <c r="DZ374" s="569"/>
      <c r="EA374" s="569"/>
      <c r="EB374" s="569"/>
      <c r="EC374" s="569"/>
      <c r="ED374" s="569"/>
      <c r="EE374" s="569"/>
      <c r="EF374" s="569"/>
      <c r="EG374" s="569"/>
      <c r="EH374" s="569"/>
      <c r="EI374" s="569"/>
      <c r="EJ374" s="569"/>
      <c r="EK374" s="569"/>
      <c r="EL374" s="569"/>
      <c r="EM374" s="569"/>
      <c r="EN374" s="569"/>
      <c r="EO374" s="569"/>
      <c r="EP374" s="569"/>
      <c r="EQ374" s="569"/>
      <c r="ER374" s="569"/>
      <c r="ES374" s="569"/>
      <c r="ET374" s="569"/>
      <c r="EU374" s="569"/>
      <c r="EV374" s="569"/>
      <c r="EW374" s="569"/>
      <c r="EX374" s="569"/>
      <c r="EY374" s="569"/>
      <c r="EZ374" s="569"/>
      <c r="FA374" s="569"/>
      <c r="FB374" s="569"/>
      <c r="FC374" s="569"/>
      <c r="FD374" s="569"/>
      <c r="FE374" s="569"/>
      <c r="FF374" s="569"/>
      <c r="FG374" s="569"/>
      <c r="FH374" s="569"/>
      <c r="FI374" s="569"/>
      <c r="FJ374" s="569"/>
      <c r="FK374" s="569"/>
      <c r="FL374" s="569"/>
      <c r="FM374" s="569"/>
      <c r="FN374" s="569"/>
      <c r="FO374" s="569"/>
      <c r="FP374" s="569"/>
      <c r="FQ374" s="569"/>
      <c r="FR374" s="569"/>
      <c r="FS374" s="569"/>
      <c r="FT374" s="569"/>
      <c r="FU374" s="569"/>
      <c r="FV374" s="569"/>
      <c r="FW374" s="569"/>
      <c r="FX374" s="569"/>
      <c r="FY374" s="569"/>
      <c r="FZ374" s="569"/>
      <c r="GA374" s="569"/>
      <c r="GB374" s="569"/>
      <c r="GC374" s="569"/>
      <c r="GD374" s="569"/>
      <c r="GE374" s="569"/>
      <c r="GF374" s="569"/>
      <c r="GG374" s="569"/>
      <c r="GH374" s="569"/>
      <c r="GI374" s="569"/>
      <c r="GJ374" s="569"/>
      <c r="GK374" s="569"/>
      <c r="GL374" s="569"/>
      <c r="GM374" s="569"/>
      <c r="GN374" s="569"/>
      <c r="GO374" s="569"/>
      <c r="GP374" s="569"/>
      <c r="GQ374" s="569"/>
      <c r="GR374" s="569"/>
      <c r="GS374" s="569"/>
      <c r="GT374" s="569"/>
      <c r="GU374" s="569"/>
      <c r="GV374" s="569"/>
      <c r="GW374" s="569"/>
      <c r="GX374" s="569"/>
      <c r="GY374" s="569"/>
      <c r="GZ374" s="569"/>
      <c r="HA374" s="569"/>
      <c r="HB374" s="569"/>
      <c r="HC374" s="569"/>
      <c r="HD374" s="569"/>
      <c r="HE374" s="569"/>
      <c r="HF374" s="569"/>
      <c r="HG374" s="569"/>
      <c r="HH374" s="569"/>
      <c r="HI374" s="569"/>
      <c r="HJ374" s="569"/>
      <c r="HK374" s="569"/>
      <c r="HL374" s="569"/>
      <c r="HM374" s="569"/>
      <c r="HN374" s="569"/>
      <c r="HO374" s="569"/>
      <c r="HP374" s="569"/>
      <c r="HQ374" s="569"/>
      <c r="HR374" s="569"/>
      <c r="HS374" s="569"/>
      <c r="HT374" s="569"/>
      <c r="HU374" s="569"/>
      <c r="HV374" s="569"/>
      <c r="HW374" s="569"/>
      <c r="HX374" s="569"/>
      <c r="HY374" s="569"/>
      <c r="HZ374" s="569"/>
      <c r="IA374" s="569"/>
      <c r="IB374" s="569"/>
      <c r="IC374" s="569"/>
      <c r="ID374" s="569"/>
      <c r="IE374" s="569"/>
      <c r="IF374" s="569"/>
      <c r="IG374" s="569"/>
      <c r="IH374" s="569"/>
      <c r="II374" s="569"/>
      <c r="IJ374" s="569"/>
      <c r="IK374" s="569"/>
      <c r="IL374" s="569"/>
      <c r="IM374" s="569"/>
      <c r="IN374" s="569"/>
      <c r="IO374" s="569"/>
      <c r="IP374" s="569"/>
      <c r="IQ374" s="569"/>
      <c r="IR374" s="569"/>
      <c r="IS374" s="569"/>
      <c r="IT374" s="569"/>
      <c r="IU374" s="569"/>
      <c r="IV374" s="569"/>
      <c r="IW374" s="569"/>
      <c r="IX374" s="569"/>
      <c r="IY374" s="569"/>
      <c r="IZ374" s="569"/>
      <c r="JA374" s="569"/>
      <c r="JB374" s="569"/>
      <c r="JC374" s="569"/>
      <c r="JD374" s="569"/>
      <c r="JE374" s="569"/>
      <c r="JF374" s="569"/>
      <c r="JG374" s="569"/>
      <c r="JH374" s="569"/>
      <c r="JI374" s="569"/>
      <c r="JJ374" s="569"/>
      <c r="JK374" s="569"/>
      <c r="JL374" s="569"/>
      <c r="JM374" s="569"/>
      <c r="JN374" s="569"/>
      <c r="JO374" s="569"/>
      <c r="JP374" s="569"/>
      <c r="JQ374" s="569"/>
      <c r="JR374" s="569"/>
      <c r="JS374" s="569"/>
      <c r="JT374" s="569"/>
      <c r="JU374" s="569"/>
      <c r="JV374" s="569"/>
      <c r="JW374" s="569"/>
      <c r="JX374" s="569"/>
      <c r="JY374" s="569"/>
      <c r="JZ374" s="569"/>
      <c r="KA374" s="569"/>
      <c r="KB374" s="569"/>
      <c r="KC374" s="569"/>
      <c r="KD374" s="569"/>
      <c r="KE374" s="569"/>
      <c r="KF374" s="569"/>
      <c r="KG374" s="569"/>
      <c r="KH374" s="569"/>
      <c r="KI374" s="569"/>
      <c r="KJ374" s="569"/>
      <c r="KK374" s="569"/>
      <c r="KL374" s="569"/>
      <c r="KM374" s="569"/>
      <c r="KN374" s="569"/>
      <c r="KO374" s="569"/>
      <c r="KP374" s="569"/>
      <c r="KQ374" s="569"/>
      <c r="KR374" s="569"/>
      <c r="KS374" s="569"/>
      <c r="KT374" s="569"/>
      <c r="KU374" s="569"/>
      <c r="KV374" s="569"/>
      <c r="KW374" s="569"/>
      <c r="KX374" s="569"/>
      <c r="KY374" s="569"/>
      <c r="KZ374" s="569"/>
      <c r="LA374" s="569"/>
      <c r="LB374" s="569"/>
      <c r="LC374" s="569"/>
      <c r="LD374" s="569"/>
      <c r="LE374" s="569"/>
      <c r="LF374" s="569"/>
      <c r="LG374" s="569"/>
      <c r="LH374" s="569"/>
      <c r="LI374" s="569"/>
      <c r="LJ374" s="569"/>
      <c r="LK374" s="569"/>
      <c r="LL374" s="569"/>
      <c r="LM374" s="569"/>
      <c r="LN374" s="569"/>
      <c r="LO374" s="569"/>
      <c r="LP374" s="569"/>
      <c r="LQ374" s="569"/>
      <c r="LR374" s="569"/>
      <c r="LS374" s="569"/>
      <c r="LT374" s="569"/>
      <c r="LU374" s="569"/>
      <c r="LV374" s="569"/>
      <c r="LW374" s="569"/>
      <c r="LX374" s="569"/>
      <c r="LY374" s="569"/>
      <c r="LZ374" s="569"/>
      <c r="MA374" s="569"/>
      <c r="MB374" s="569"/>
      <c r="MC374" s="569"/>
      <c r="MD374" s="569"/>
      <c r="ME374" s="569"/>
      <c r="MF374" s="569"/>
      <c r="MG374" s="569"/>
      <c r="MH374" s="569"/>
      <c r="MI374" s="569"/>
      <c r="MJ374" s="569"/>
      <c r="MK374" s="569"/>
      <c r="ML374" s="569"/>
      <c r="MM374" s="569"/>
      <c r="MN374" s="569"/>
      <c r="MO374" s="569"/>
      <c r="MP374" s="569"/>
      <c r="MQ374" s="569"/>
      <c r="MR374" s="569"/>
      <c r="MS374" s="569"/>
      <c r="MT374" s="569"/>
      <c r="MU374" s="569"/>
      <c r="MV374" s="569"/>
      <c r="MW374" s="569"/>
      <c r="MX374" s="569"/>
      <c r="MY374" s="569"/>
      <c r="MZ374" s="569"/>
      <c r="NA374" s="569"/>
      <c r="NB374" s="569"/>
      <c r="NC374" s="569"/>
      <c r="ND374" s="569"/>
      <c r="NE374" s="569"/>
      <c r="NF374" s="569"/>
      <c r="NG374" s="569"/>
      <c r="NH374" s="569"/>
      <c r="NI374" s="569"/>
      <c r="NJ374" s="569"/>
      <c r="NK374" s="569"/>
      <c r="NL374" s="569"/>
      <c r="NM374" s="569"/>
      <c r="NN374" s="569"/>
      <c r="NO374" s="569"/>
      <c r="NP374" s="569"/>
      <c r="NQ374" s="569"/>
      <c r="NR374" s="569"/>
      <c r="NS374" s="569"/>
      <c r="NT374" s="569"/>
      <c r="NU374" s="569"/>
      <c r="NV374" s="569"/>
      <c r="NW374" s="569"/>
      <c r="NX374" s="569"/>
      <c r="NY374" s="569"/>
      <c r="NZ374" s="569"/>
      <c r="OA374" s="569"/>
      <c r="OB374" s="569"/>
      <c r="OC374" s="569"/>
      <c r="OD374" s="569"/>
      <c r="OE374" s="569"/>
      <c r="OF374" s="569"/>
      <c r="OG374" s="569"/>
      <c r="OH374" s="569"/>
      <c r="OI374" s="569"/>
      <c r="OJ374" s="569"/>
      <c r="OK374" s="569"/>
      <c r="OL374" s="569"/>
      <c r="OM374" s="569"/>
      <c r="ON374" s="569"/>
      <c r="OO374" s="569"/>
      <c r="OP374" s="569"/>
      <c r="OQ374" s="569"/>
      <c r="OR374" s="569"/>
      <c r="OS374" s="569"/>
      <c r="OT374" s="569"/>
      <c r="OU374" s="569"/>
      <c r="OV374" s="569"/>
      <c r="OW374" s="569"/>
      <c r="OX374" s="569"/>
      <c r="OY374" s="569"/>
      <c r="OZ374" s="569"/>
      <c r="PA374" s="569"/>
      <c r="PB374" s="569"/>
      <c r="PC374" s="569"/>
      <c r="PD374" s="569"/>
      <c r="PE374" s="569"/>
      <c r="PF374" s="569"/>
      <c r="PG374" s="569"/>
      <c r="PH374" s="569"/>
      <c r="PI374" s="569"/>
      <c r="PJ374" s="569"/>
      <c r="PK374" s="569"/>
      <c r="PL374" s="569"/>
      <c r="PM374" s="569"/>
      <c r="PN374" s="569"/>
      <c r="PO374" s="569"/>
      <c r="PP374" s="569"/>
      <c r="PQ374" s="569"/>
      <c r="PR374" s="569"/>
      <c r="PS374" s="569"/>
      <c r="PT374" s="569"/>
      <c r="PU374" s="569"/>
      <c r="PV374" s="569"/>
      <c r="PW374" s="569"/>
      <c r="PX374" s="569"/>
      <c r="PY374" s="569"/>
      <c r="PZ374" s="569"/>
      <c r="QA374" s="569"/>
      <c r="QB374" s="569"/>
      <c r="QC374" s="569"/>
      <c r="QD374" s="569"/>
      <c r="QE374" s="569"/>
      <c r="QF374" s="569"/>
      <c r="QG374" s="569"/>
      <c r="QH374" s="569"/>
      <c r="QI374" s="569"/>
      <c r="QJ374" s="569"/>
      <c r="QK374" s="569"/>
      <c r="QL374" s="569"/>
    </row>
    <row r="375" spans="1:454" ht="60">
      <c r="B375" s="568"/>
      <c r="C375" s="568"/>
      <c r="D375" s="568"/>
      <c r="E375" s="568"/>
      <c r="F375" s="568"/>
      <c r="G375" s="568"/>
      <c r="H375" s="563" t="str">
        <f>'matrik MISI 2'!N7</f>
        <v>Persentase PMKS yang Memperoleh Bantuan Sosial untuk Pemenuhan Kebutuhan Dasar</v>
      </c>
      <c r="I375" s="563" t="str">
        <f>'matrik MISI 2'!O7</f>
        <v>%</v>
      </c>
      <c r="J375" s="563">
        <f>'matrik MISI 2'!P7</f>
        <v>18</v>
      </c>
      <c r="K375" s="563">
        <f>'matrik MISI 2'!Q7</f>
        <v>18</v>
      </c>
      <c r="L375" s="563">
        <f>'matrik MISI 2'!R7</f>
        <v>18</v>
      </c>
      <c r="M375" s="604"/>
      <c r="N375" s="563">
        <f>'matrik MISI 2'!S7</f>
        <v>18</v>
      </c>
      <c r="O375" s="564"/>
      <c r="P375" s="563">
        <f>'matrik MISI 2'!T7</f>
        <v>18</v>
      </c>
      <c r="Q375" s="564"/>
      <c r="R375" s="563">
        <f>'matrik MISI 2'!U7</f>
        <v>18</v>
      </c>
      <c r="S375" s="564"/>
      <c r="T375" s="563">
        <f>'matrik MISI 2'!V7</f>
        <v>18</v>
      </c>
      <c r="U375" s="564"/>
      <c r="V375" s="563">
        <f>'matrik MISI 2'!W7</f>
        <v>18</v>
      </c>
      <c r="W375" s="564"/>
      <c r="X375" s="563" t="str">
        <f>'matrik MISI 2'!X7</f>
        <v>Dinas Sosial</v>
      </c>
      <c r="Y375" s="565" t="str">
        <f>'matrik MISI 2'!Y7</f>
        <v>Jumlah PMKS yang memperoleh bantuan sosial dalam 1 tahun dibagi Jumlah PMKS skala kabupaten dalam 1 tahun yang seharusnya memperoleh bantuan sosial x 100</v>
      </c>
      <c r="Z375" s="565" t="str">
        <f>'matrik MISI 2'!Z7</f>
        <v>sasaran : jumlah Fakir Miskin (FM), Perempuan Rawan Sosial Ekonomi (PRSE),  Anak Terlantar di dalam maupun luar Panti</v>
      </c>
    </row>
    <row r="376" spans="1:454" ht="120">
      <c r="G376" s="563"/>
      <c r="H376" s="563" t="str">
        <f>'matrik MISI 2'!N9</f>
        <v>Cakupan PMKS yang Memperoleh Rehabilitasi Sosial</v>
      </c>
      <c r="I376" s="563" t="str">
        <f>'matrik MISI 2'!O9</f>
        <v>%</v>
      </c>
      <c r="J376" s="563">
        <f>'matrik MISI 2'!P9</f>
        <v>2.7</v>
      </c>
      <c r="K376" s="563">
        <f>'matrik MISI 2'!Q9</f>
        <v>2.7</v>
      </c>
      <c r="L376" s="563">
        <f>'matrik MISI 2'!R9</f>
        <v>2.88</v>
      </c>
      <c r="M376" s="604"/>
      <c r="N376" s="563">
        <f>'matrik MISI 2'!S9</f>
        <v>3.08</v>
      </c>
      <c r="O376" s="564"/>
      <c r="P376" s="563">
        <f>'matrik MISI 2'!T9</f>
        <v>3.18</v>
      </c>
      <c r="Q376" s="564"/>
      <c r="R376" s="563">
        <f>'matrik MISI 2'!U9</f>
        <v>3.18</v>
      </c>
      <c r="S376" s="564"/>
      <c r="T376" s="563">
        <f>'matrik MISI 2'!V9</f>
        <v>3.18</v>
      </c>
      <c r="U376" s="564"/>
      <c r="V376" s="563">
        <f>'matrik MISI 2'!W9</f>
        <v>3.18</v>
      </c>
      <c r="W376" s="564"/>
      <c r="X376" s="563" t="str">
        <f>'matrik MISI 2'!X9</f>
        <v>Dinas Sosial</v>
      </c>
      <c r="Y376" s="565" t="str">
        <f>'matrik MISI 2'!Y9</f>
        <v>Jumlah PMKS yang telah direhabilitasi dalam 1 tahun dibagi Jumlah PMKS yang seharusnya direhabilitasi x 100 %</v>
      </c>
      <c r="Z376" s="565"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77" spans="1:454" ht="60">
      <c r="G377" s="563"/>
      <c r="H377" s="563" t="str">
        <f>'matrik MISI 2'!N13</f>
        <v>Cakupan PMKS yang Memperoleh Perlindungan Sosial</v>
      </c>
      <c r="I377" s="563" t="str">
        <f>'matrik MISI 2'!O13</f>
        <v>%</v>
      </c>
      <c r="J377" s="563">
        <f>'matrik MISI 2'!P13</f>
        <v>100</v>
      </c>
      <c r="K377" s="563">
        <f>'matrik MISI 2'!Q13</f>
        <v>100</v>
      </c>
      <c r="L377" s="563">
        <f>'matrik MISI 2'!R13</f>
        <v>100</v>
      </c>
      <c r="M377" s="604"/>
      <c r="N377" s="563">
        <f>'matrik MISI 2'!S13</f>
        <v>100</v>
      </c>
      <c r="O377" s="564"/>
      <c r="P377" s="563">
        <f>'matrik MISI 2'!T13</f>
        <v>100</v>
      </c>
      <c r="Q377" s="564"/>
      <c r="R377" s="563">
        <f>'matrik MISI 2'!U13</f>
        <v>100</v>
      </c>
      <c r="S377" s="564"/>
      <c r="T377" s="563">
        <f>'matrik MISI 2'!V13</f>
        <v>100</v>
      </c>
      <c r="U377" s="564"/>
      <c r="V377" s="563">
        <f>'matrik MISI 2'!W13</f>
        <v>100</v>
      </c>
      <c r="W377" s="564"/>
      <c r="X377" s="563" t="str">
        <f>'matrik MISI 2'!X13</f>
        <v>Dinas Sosial</v>
      </c>
      <c r="Y377" s="565" t="str">
        <f>'matrik MISI 2'!Y13</f>
        <v xml:space="preserve">Jumlah PMKS yang mendapat program perlindungan Sosial dalam 1 (satu) tahun  dibagi Jumlah PMKS dalam 1 (satu)  tahun yang seharusnya mendapatkan program perlindungan sosial </v>
      </c>
      <c r="Z377" s="565" t="str">
        <f>'matrik MISI 2'!Z13</f>
        <v xml:space="preserve">bentuk perlindungan diluar bantuan sosial Sasaran : Anak dan Balita Terlantar, Anak Berhadapan dengan Hukum, Anak dengan Kedisabilitasan,  Anak yang memerlukan perlindungan Khusus, Migran Bermasalah Korban Tindak Kekerasan </v>
      </c>
    </row>
    <row r="378" spans="1:454" ht="30">
      <c r="G378" s="563"/>
      <c r="H378" s="563" t="str">
        <f>'matrik MISI 2'!N14</f>
        <v xml:space="preserve">Cakupan Bantuan Rumah Tidak Layak Huni </v>
      </c>
      <c r="I378" s="563" t="str">
        <f>'matrik MISI 2'!O14</f>
        <v>%</v>
      </c>
      <c r="J378" s="563" t="str">
        <f>'matrik MISI 2'!P14</f>
        <v>4,32</v>
      </c>
      <c r="K378" s="563" t="str">
        <f>'matrik MISI 2'!Q14</f>
        <v>4,34</v>
      </c>
      <c r="L378" s="563" t="str">
        <f>'matrik MISI 2'!R14</f>
        <v>8,34</v>
      </c>
      <c r="M378" s="604"/>
      <c r="N378" s="563" t="str">
        <f>'matrik MISI 2'!S14</f>
        <v>12,34</v>
      </c>
      <c r="O378" s="564"/>
      <c r="P378" s="563" t="str">
        <f>'matrik MISI 2'!T14</f>
        <v>16,34</v>
      </c>
      <c r="Q378" s="564"/>
      <c r="R378" s="563" t="str">
        <f>'matrik MISI 2'!U14</f>
        <v>20,34</v>
      </c>
      <c r="S378" s="564"/>
      <c r="T378" s="563" t="str">
        <f>'matrik MISI 2'!V14</f>
        <v>24,34</v>
      </c>
      <c r="U378" s="564"/>
      <c r="V378" s="563" t="str">
        <f>'matrik MISI 2'!W14</f>
        <v>24,34</v>
      </c>
      <c r="W378" s="564"/>
      <c r="X378" s="563" t="str">
        <f>'matrik MISI 2'!X14</f>
        <v>Dinas Sosial</v>
      </c>
      <c r="Y378" s="565" t="str">
        <f>'matrik MISI 2'!Y14</f>
        <v xml:space="preserve">Jumlah KK RTLH yang telah menerima bantuan sosial dibagi Jumlah RTLH  yang seharusnya mendapatkan bansos x 100 </v>
      </c>
      <c r="Z378" s="565" t="str">
        <f>'matrik MISI 2'!Z14</f>
        <v>Sasaran : KK RTLH dari Keluarga Fakir Miskin menggunakan basik data RTLH Tahun 2013</v>
      </c>
    </row>
    <row r="379" spans="1:454" ht="75">
      <c r="G379" s="563"/>
      <c r="H379" s="563" t="str">
        <f>'matrik MISI 2'!N16</f>
        <v>Cakupan Lembaga Kesejahteraan sosial/panti sosial yang menyediakan sarana dan prasarana pelayanan kesejahteraan sosial</v>
      </c>
      <c r="I379" s="563">
        <f>'matrik MISI 2'!O16</f>
        <v>0</v>
      </c>
      <c r="J379" s="563">
        <f>'matrik MISI 2'!P16</f>
        <v>100</v>
      </c>
      <c r="K379" s="563">
        <f>'matrik MISI 2'!Q16</f>
        <v>100</v>
      </c>
      <c r="L379" s="563">
        <f>'matrik MISI 2'!R16</f>
        <v>100</v>
      </c>
      <c r="M379" s="604"/>
      <c r="N379" s="563">
        <f>'matrik MISI 2'!S16</f>
        <v>100</v>
      </c>
      <c r="O379" s="564"/>
      <c r="P379" s="563">
        <f>'matrik MISI 2'!T16</f>
        <v>100</v>
      </c>
      <c r="Q379" s="564"/>
      <c r="R379" s="563">
        <f>'matrik MISI 2'!U16</f>
        <v>100</v>
      </c>
      <c r="S379" s="564"/>
      <c r="T379" s="563">
        <f>'matrik MISI 2'!V16</f>
        <v>100</v>
      </c>
      <c r="U379" s="564"/>
      <c r="V379" s="563">
        <f>'matrik MISI 2'!W16</f>
        <v>100</v>
      </c>
      <c r="W379" s="564"/>
      <c r="X379" s="563" t="str">
        <f>'matrik MISI 2'!X16</f>
        <v>Dinas Sosial</v>
      </c>
      <c r="Y379" s="565" t="str">
        <f>'matrik MISI 2'!Y16</f>
        <v>jumlah panti sosial  yang menyediakan sarana prasarana pelayanan kesejahteraan sosial dalam 1 (satu) tahun dibagi Jumlah panti sosial  dalam 1 (satu) tahun yang seharusnya menyediakan sarana prasarana pelayanan kesejahteraan sosial x 100</v>
      </c>
      <c r="Z379" s="565" t="str">
        <f>'matrik MISI 2'!Z16</f>
        <v xml:space="preserve"> Panti Sosial terdiri dari Panti Asuhan Anak dan Rumah Perlindungan Sosial </v>
      </c>
    </row>
    <row r="380" spans="1:454" ht="45">
      <c r="G380" s="563"/>
      <c r="H380" s="563" t="str">
        <f>'matrik MISI 2'!N21</f>
        <v>Persentase Perlindungan Sosial  terhadap Rumah Tangga Sasaran</v>
      </c>
      <c r="I380" s="563" t="str">
        <f>'matrik MISI 2'!O21</f>
        <v>%</v>
      </c>
      <c r="J380" s="563">
        <f>'matrik MISI 2'!P21</f>
        <v>100</v>
      </c>
      <c r="K380" s="563">
        <f>'matrik MISI 2'!Q21</f>
        <v>100</v>
      </c>
      <c r="L380" s="563">
        <f>'matrik MISI 2'!R21</f>
        <v>100</v>
      </c>
      <c r="M380" s="604"/>
      <c r="N380" s="563">
        <f>'matrik MISI 2'!S21</f>
        <v>100</v>
      </c>
      <c r="O380" s="564"/>
      <c r="P380" s="563">
        <f>'matrik MISI 2'!T21</f>
        <v>100</v>
      </c>
      <c r="Q380" s="564"/>
      <c r="R380" s="563">
        <f>'matrik MISI 2'!U21</f>
        <v>100</v>
      </c>
      <c r="S380" s="564"/>
      <c r="T380" s="563">
        <f>'matrik MISI 2'!V21</f>
        <v>100</v>
      </c>
      <c r="U380" s="564"/>
      <c r="V380" s="563">
        <f>'matrik MISI 2'!W21</f>
        <v>100</v>
      </c>
      <c r="W380" s="564"/>
      <c r="X380" s="563" t="str">
        <f>'matrik MISI 2'!X21</f>
        <v>Dinas Sosial, Bapermades, Bag.Perekonomian</v>
      </c>
      <c r="Y380" s="565" t="str">
        <f>'matrik MISI 2'!Y21</f>
        <v>Jumlah Rumah Tangga Sasaran yang mendapatkan perlindungan sosial dibagi Jumlah Rumah Tangga Sasaran x 100</v>
      </c>
      <c r="Z380" s="565">
        <f>'matrik MISI 2'!Z21</f>
        <v>0</v>
      </c>
    </row>
    <row r="381" spans="1:454" s="574" customFormat="1" ht="30">
      <c r="A381" s="569"/>
      <c r="B381" s="575"/>
      <c r="C381" s="576"/>
      <c r="D381" s="577" t="str">
        <f>'matrik MISI 2'!J8</f>
        <v>1.13</v>
      </c>
      <c r="E381" s="577" t="str">
        <f>'matrik MISI 2'!K8</f>
        <v>xx</v>
      </c>
      <c r="F381" s="577">
        <f>'matrik MISI 2'!L8</f>
        <v>17</v>
      </c>
      <c r="G381" s="577" t="str">
        <f>'matrik MISI 2'!M8</f>
        <v xml:space="preserve">Program pembinaan anak terlantar                             </v>
      </c>
      <c r="H381" s="577"/>
      <c r="I381" s="577"/>
      <c r="J381" s="577"/>
      <c r="K381" s="577"/>
      <c r="L381" s="577"/>
      <c r="M381" s="578">
        <f>'jangan di hapus 1'!K739</f>
        <v>264711000</v>
      </c>
      <c r="N381" s="578"/>
      <c r="O381" s="578">
        <f>'jangan di hapus 1'!M739</f>
        <v>344000000</v>
      </c>
      <c r="P381" s="578"/>
      <c r="Q381" s="578">
        <f>'jangan di hapus 1'!O739</f>
        <v>372000000</v>
      </c>
      <c r="R381" s="578"/>
      <c r="S381" s="578">
        <f>'jangan di hapus 1'!Q739</f>
        <v>414000000</v>
      </c>
      <c r="T381" s="578"/>
      <c r="U381" s="578">
        <f>'jangan di hapus 1'!S739</f>
        <v>444000000</v>
      </c>
      <c r="V381" s="577"/>
      <c r="W381" s="578">
        <f>SUM(M381:U381)</f>
        <v>1838711000</v>
      </c>
      <c r="X381" s="577"/>
      <c r="Y381" s="577"/>
      <c r="Z381" s="577"/>
      <c r="AA381" s="569"/>
      <c r="AB381" s="569"/>
      <c r="AC381" s="569"/>
      <c r="AD381" s="569"/>
      <c r="AE381" s="569"/>
      <c r="AF381" s="569"/>
      <c r="AG381" s="569"/>
      <c r="AH381" s="569"/>
      <c r="AI381" s="569"/>
      <c r="AJ381" s="569"/>
      <c r="AK381" s="569"/>
      <c r="AL381" s="569"/>
      <c r="AM381" s="569"/>
      <c r="AN381" s="569"/>
      <c r="AO381" s="569"/>
      <c r="AP381" s="569"/>
      <c r="AQ381" s="569"/>
      <c r="AR381" s="569"/>
      <c r="AS381" s="569"/>
      <c r="AT381" s="569"/>
      <c r="AU381" s="569"/>
      <c r="AV381" s="569"/>
      <c r="AW381" s="569"/>
      <c r="AX381" s="569"/>
      <c r="AY381" s="569"/>
      <c r="AZ381" s="569"/>
      <c r="BA381" s="569"/>
      <c r="BB381" s="569"/>
      <c r="BC381" s="569"/>
      <c r="BD381" s="569"/>
      <c r="BE381" s="569"/>
      <c r="BF381" s="569"/>
      <c r="BG381" s="569"/>
      <c r="BH381" s="569"/>
      <c r="BI381" s="569"/>
      <c r="BJ381" s="569"/>
      <c r="BK381" s="569"/>
      <c r="BL381" s="569"/>
      <c r="BM381" s="569"/>
      <c r="BN381" s="569"/>
      <c r="BO381" s="569"/>
      <c r="BP381" s="569"/>
      <c r="BQ381" s="569"/>
      <c r="BR381" s="569"/>
      <c r="BS381" s="569"/>
      <c r="BT381" s="569"/>
      <c r="BU381" s="569"/>
      <c r="BV381" s="569"/>
      <c r="BW381" s="569"/>
      <c r="BX381" s="569"/>
      <c r="BY381" s="569"/>
      <c r="BZ381" s="569"/>
      <c r="CA381" s="569"/>
      <c r="CB381" s="569"/>
      <c r="CC381" s="569"/>
      <c r="CD381" s="569"/>
      <c r="CE381" s="569"/>
      <c r="CF381" s="569"/>
      <c r="CG381" s="569"/>
      <c r="CH381" s="569"/>
      <c r="CI381" s="569"/>
      <c r="CJ381" s="569"/>
      <c r="CK381" s="569"/>
      <c r="CL381" s="569"/>
      <c r="CM381" s="569"/>
      <c r="CN381" s="569"/>
      <c r="CO381" s="569"/>
      <c r="CP381" s="569"/>
      <c r="CQ381" s="569"/>
      <c r="CR381" s="569"/>
      <c r="CS381" s="569"/>
      <c r="CT381" s="569"/>
      <c r="CU381" s="569"/>
      <c r="CV381" s="569"/>
      <c r="CW381" s="569"/>
      <c r="CX381" s="569"/>
      <c r="CY381" s="569"/>
      <c r="CZ381" s="569"/>
      <c r="DA381" s="569"/>
      <c r="DB381" s="569"/>
      <c r="DC381" s="569"/>
      <c r="DD381" s="569"/>
      <c r="DE381" s="569"/>
      <c r="DF381" s="569"/>
      <c r="DG381" s="569"/>
      <c r="DH381" s="569"/>
      <c r="DI381" s="569"/>
      <c r="DJ381" s="569"/>
      <c r="DK381" s="569"/>
      <c r="DL381" s="569"/>
      <c r="DM381" s="569"/>
      <c r="DN381" s="569"/>
      <c r="DO381" s="569"/>
      <c r="DP381" s="569"/>
      <c r="DQ381" s="569"/>
      <c r="DR381" s="569"/>
      <c r="DS381" s="569"/>
      <c r="DT381" s="569"/>
      <c r="DU381" s="569"/>
      <c r="DV381" s="569"/>
      <c r="DW381" s="569"/>
      <c r="DX381" s="569"/>
      <c r="DY381" s="569"/>
      <c r="DZ381" s="569"/>
      <c r="EA381" s="569"/>
      <c r="EB381" s="569"/>
      <c r="EC381" s="569"/>
      <c r="ED381" s="569"/>
      <c r="EE381" s="569"/>
      <c r="EF381" s="569"/>
      <c r="EG381" s="569"/>
      <c r="EH381" s="569"/>
      <c r="EI381" s="569"/>
      <c r="EJ381" s="569"/>
      <c r="EK381" s="569"/>
      <c r="EL381" s="569"/>
      <c r="EM381" s="569"/>
      <c r="EN381" s="569"/>
      <c r="EO381" s="569"/>
      <c r="EP381" s="569"/>
      <c r="EQ381" s="569"/>
      <c r="ER381" s="569"/>
      <c r="ES381" s="569"/>
      <c r="ET381" s="569"/>
      <c r="EU381" s="569"/>
      <c r="EV381" s="569"/>
      <c r="EW381" s="569"/>
      <c r="EX381" s="569"/>
      <c r="EY381" s="569"/>
      <c r="EZ381" s="569"/>
      <c r="FA381" s="569"/>
      <c r="FB381" s="569"/>
      <c r="FC381" s="569"/>
      <c r="FD381" s="569"/>
      <c r="FE381" s="569"/>
      <c r="FF381" s="569"/>
      <c r="FG381" s="569"/>
      <c r="FH381" s="569"/>
      <c r="FI381" s="569"/>
      <c r="FJ381" s="569"/>
      <c r="FK381" s="569"/>
      <c r="FL381" s="569"/>
      <c r="FM381" s="569"/>
      <c r="FN381" s="569"/>
      <c r="FO381" s="569"/>
      <c r="FP381" s="569"/>
      <c r="FQ381" s="569"/>
      <c r="FR381" s="569"/>
      <c r="FS381" s="569"/>
      <c r="FT381" s="569"/>
      <c r="FU381" s="569"/>
      <c r="FV381" s="569"/>
      <c r="FW381" s="569"/>
      <c r="FX381" s="569"/>
      <c r="FY381" s="569"/>
      <c r="FZ381" s="569"/>
      <c r="GA381" s="569"/>
      <c r="GB381" s="569"/>
      <c r="GC381" s="569"/>
      <c r="GD381" s="569"/>
      <c r="GE381" s="569"/>
      <c r="GF381" s="569"/>
      <c r="GG381" s="569"/>
      <c r="GH381" s="569"/>
      <c r="GI381" s="569"/>
      <c r="GJ381" s="569"/>
      <c r="GK381" s="569"/>
      <c r="GL381" s="569"/>
      <c r="GM381" s="569"/>
      <c r="GN381" s="569"/>
      <c r="GO381" s="569"/>
      <c r="GP381" s="569"/>
      <c r="GQ381" s="569"/>
      <c r="GR381" s="569"/>
      <c r="GS381" s="569"/>
      <c r="GT381" s="569"/>
      <c r="GU381" s="569"/>
      <c r="GV381" s="569"/>
      <c r="GW381" s="569"/>
      <c r="GX381" s="569"/>
      <c r="GY381" s="569"/>
      <c r="GZ381" s="569"/>
      <c r="HA381" s="569"/>
      <c r="HB381" s="569"/>
      <c r="HC381" s="569"/>
      <c r="HD381" s="569"/>
      <c r="HE381" s="569"/>
      <c r="HF381" s="569"/>
      <c r="HG381" s="569"/>
      <c r="HH381" s="569"/>
      <c r="HI381" s="569"/>
      <c r="HJ381" s="569"/>
      <c r="HK381" s="569"/>
      <c r="HL381" s="569"/>
      <c r="HM381" s="569"/>
      <c r="HN381" s="569"/>
      <c r="HO381" s="569"/>
      <c r="HP381" s="569"/>
      <c r="HQ381" s="569"/>
      <c r="HR381" s="569"/>
      <c r="HS381" s="569"/>
      <c r="HT381" s="569"/>
      <c r="HU381" s="569"/>
      <c r="HV381" s="569"/>
      <c r="HW381" s="569"/>
      <c r="HX381" s="569"/>
      <c r="HY381" s="569"/>
      <c r="HZ381" s="569"/>
      <c r="IA381" s="569"/>
      <c r="IB381" s="569"/>
      <c r="IC381" s="569"/>
      <c r="ID381" s="569"/>
      <c r="IE381" s="569"/>
      <c r="IF381" s="569"/>
      <c r="IG381" s="569"/>
      <c r="IH381" s="569"/>
      <c r="II381" s="569"/>
      <c r="IJ381" s="569"/>
      <c r="IK381" s="569"/>
      <c r="IL381" s="569"/>
      <c r="IM381" s="569"/>
      <c r="IN381" s="569"/>
      <c r="IO381" s="569"/>
      <c r="IP381" s="569"/>
      <c r="IQ381" s="569"/>
      <c r="IR381" s="569"/>
      <c r="IS381" s="569"/>
      <c r="IT381" s="569"/>
      <c r="IU381" s="569"/>
      <c r="IV381" s="569"/>
      <c r="IW381" s="569"/>
      <c r="IX381" s="569"/>
      <c r="IY381" s="569"/>
      <c r="IZ381" s="569"/>
      <c r="JA381" s="569"/>
      <c r="JB381" s="569"/>
      <c r="JC381" s="569"/>
      <c r="JD381" s="569"/>
      <c r="JE381" s="569"/>
      <c r="JF381" s="569"/>
      <c r="JG381" s="569"/>
      <c r="JH381" s="569"/>
      <c r="JI381" s="569"/>
      <c r="JJ381" s="569"/>
      <c r="JK381" s="569"/>
      <c r="JL381" s="569"/>
      <c r="JM381" s="569"/>
      <c r="JN381" s="569"/>
      <c r="JO381" s="569"/>
      <c r="JP381" s="569"/>
      <c r="JQ381" s="569"/>
      <c r="JR381" s="569"/>
      <c r="JS381" s="569"/>
      <c r="JT381" s="569"/>
      <c r="JU381" s="569"/>
      <c r="JV381" s="569"/>
      <c r="JW381" s="569"/>
      <c r="JX381" s="569"/>
      <c r="JY381" s="569"/>
      <c r="JZ381" s="569"/>
      <c r="KA381" s="569"/>
      <c r="KB381" s="569"/>
      <c r="KC381" s="569"/>
      <c r="KD381" s="569"/>
      <c r="KE381" s="569"/>
      <c r="KF381" s="569"/>
      <c r="KG381" s="569"/>
      <c r="KH381" s="569"/>
      <c r="KI381" s="569"/>
      <c r="KJ381" s="569"/>
      <c r="KK381" s="569"/>
      <c r="KL381" s="569"/>
      <c r="KM381" s="569"/>
      <c r="KN381" s="569"/>
      <c r="KO381" s="569"/>
      <c r="KP381" s="569"/>
      <c r="KQ381" s="569"/>
      <c r="KR381" s="569"/>
      <c r="KS381" s="569"/>
      <c r="KT381" s="569"/>
      <c r="KU381" s="569"/>
      <c r="KV381" s="569"/>
      <c r="KW381" s="569"/>
      <c r="KX381" s="569"/>
      <c r="KY381" s="569"/>
      <c r="KZ381" s="569"/>
      <c r="LA381" s="569"/>
      <c r="LB381" s="569"/>
      <c r="LC381" s="569"/>
      <c r="LD381" s="569"/>
      <c r="LE381" s="569"/>
      <c r="LF381" s="569"/>
      <c r="LG381" s="569"/>
      <c r="LH381" s="569"/>
      <c r="LI381" s="569"/>
      <c r="LJ381" s="569"/>
      <c r="LK381" s="569"/>
      <c r="LL381" s="569"/>
      <c r="LM381" s="569"/>
      <c r="LN381" s="569"/>
      <c r="LO381" s="569"/>
      <c r="LP381" s="569"/>
      <c r="LQ381" s="569"/>
      <c r="LR381" s="569"/>
      <c r="LS381" s="569"/>
      <c r="LT381" s="569"/>
      <c r="LU381" s="569"/>
      <c r="LV381" s="569"/>
      <c r="LW381" s="569"/>
      <c r="LX381" s="569"/>
      <c r="LY381" s="569"/>
      <c r="LZ381" s="569"/>
      <c r="MA381" s="569"/>
      <c r="MB381" s="569"/>
      <c r="MC381" s="569"/>
      <c r="MD381" s="569"/>
      <c r="ME381" s="569"/>
      <c r="MF381" s="569"/>
      <c r="MG381" s="569"/>
      <c r="MH381" s="569"/>
      <c r="MI381" s="569"/>
      <c r="MJ381" s="569"/>
      <c r="MK381" s="569"/>
      <c r="ML381" s="569"/>
      <c r="MM381" s="569"/>
      <c r="MN381" s="569"/>
      <c r="MO381" s="569"/>
      <c r="MP381" s="569"/>
      <c r="MQ381" s="569"/>
      <c r="MR381" s="569"/>
      <c r="MS381" s="569"/>
      <c r="MT381" s="569"/>
      <c r="MU381" s="569"/>
      <c r="MV381" s="569"/>
      <c r="MW381" s="569"/>
      <c r="MX381" s="569"/>
      <c r="MY381" s="569"/>
      <c r="MZ381" s="569"/>
      <c r="NA381" s="569"/>
      <c r="NB381" s="569"/>
      <c r="NC381" s="569"/>
      <c r="ND381" s="569"/>
      <c r="NE381" s="569"/>
      <c r="NF381" s="569"/>
      <c r="NG381" s="569"/>
      <c r="NH381" s="569"/>
      <c r="NI381" s="569"/>
      <c r="NJ381" s="569"/>
      <c r="NK381" s="569"/>
      <c r="NL381" s="569"/>
      <c r="NM381" s="569"/>
      <c r="NN381" s="569"/>
      <c r="NO381" s="569"/>
      <c r="NP381" s="569"/>
      <c r="NQ381" s="569"/>
      <c r="NR381" s="569"/>
      <c r="NS381" s="569"/>
      <c r="NT381" s="569"/>
      <c r="NU381" s="569"/>
      <c r="NV381" s="569"/>
      <c r="NW381" s="569"/>
      <c r="NX381" s="569"/>
      <c r="NY381" s="569"/>
      <c r="NZ381" s="569"/>
      <c r="OA381" s="569"/>
      <c r="OB381" s="569"/>
      <c r="OC381" s="569"/>
      <c r="OD381" s="569"/>
      <c r="OE381" s="569"/>
      <c r="OF381" s="569"/>
      <c r="OG381" s="569"/>
      <c r="OH381" s="569"/>
      <c r="OI381" s="569"/>
      <c r="OJ381" s="569"/>
      <c r="OK381" s="569"/>
      <c r="OL381" s="569"/>
      <c r="OM381" s="569"/>
      <c r="ON381" s="569"/>
      <c r="OO381" s="569"/>
      <c r="OP381" s="569"/>
      <c r="OQ381" s="569"/>
      <c r="OR381" s="569"/>
      <c r="OS381" s="569"/>
      <c r="OT381" s="569"/>
      <c r="OU381" s="569"/>
      <c r="OV381" s="569"/>
      <c r="OW381" s="569"/>
      <c r="OX381" s="569"/>
      <c r="OY381" s="569"/>
      <c r="OZ381" s="569"/>
      <c r="PA381" s="569"/>
      <c r="PB381" s="569"/>
      <c r="PC381" s="569"/>
      <c r="PD381" s="569"/>
      <c r="PE381" s="569"/>
      <c r="PF381" s="569"/>
      <c r="PG381" s="569"/>
      <c r="PH381" s="569"/>
      <c r="PI381" s="569"/>
      <c r="PJ381" s="569"/>
      <c r="PK381" s="569"/>
      <c r="PL381" s="569"/>
      <c r="PM381" s="569"/>
      <c r="PN381" s="569"/>
      <c r="PO381" s="569"/>
      <c r="PP381" s="569"/>
      <c r="PQ381" s="569"/>
      <c r="PR381" s="569"/>
      <c r="PS381" s="569"/>
      <c r="PT381" s="569"/>
      <c r="PU381" s="569"/>
      <c r="PV381" s="569"/>
      <c r="PW381" s="569"/>
      <c r="PX381" s="569"/>
      <c r="PY381" s="569"/>
      <c r="PZ381" s="569"/>
      <c r="QA381" s="569"/>
      <c r="QB381" s="569"/>
      <c r="QC381" s="569"/>
      <c r="QD381" s="569"/>
      <c r="QE381" s="569"/>
      <c r="QF381" s="569"/>
      <c r="QG381" s="569"/>
      <c r="QH381" s="569"/>
      <c r="QI381" s="569"/>
      <c r="QJ381" s="569"/>
      <c r="QK381" s="569"/>
      <c r="QL381" s="569"/>
    </row>
    <row r="382" spans="1:454" ht="30">
      <c r="D382" s="568"/>
      <c r="E382" s="568"/>
      <c r="F382" s="568"/>
      <c r="G382" s="568"/>
      <c r="H382" s="563" t="str">
        <f>'matrik MISI 2'!N8</f>
        <v>Persentase anak terlantar yang tertangani</v>
      </c>
      <c r="I382" s="563" t="str">
        <f>'matrik MISI 2'!O8</f>
        <v>%</v>
      </c>
      <c r="J382" s="563">
        <f>'matrik MISI 2'!P8</f>
        <v>0.76</v>
      </c>
      <c r="K382" s="563">
        <f>'matrik MISI 2'!Q8</f>
        <v>0.93</v>
      </c>
      <c r="L382" s="563">
        <f>'matrik MISI 2'!R8</f>
        <v>0.93</v>
      </c>
      <c r="M382" s="604"/>
      <c r="N382" s="563">
        <f>'matrik MISI 2'!S8</f>
        <v>1.28</v>
      </c>
      <c r="O382" s="564"/>
      <c r="P382" s="563">
        <f>'matrik MISI 2'!T8</f>
        <v>1.28</v>
      </c>
      <c r="Q382" s="564"/>
      <c r="R382" s="563">
        <f>'matrik MISI 2'!U8</f>
        <v>1.28</v>
      </c>
      <c r="S382" s="564"/>
      <c r="T382" s="563">
        <f>'matrik MISI 2'!V8</f>
        <v>1.28</v>
      </c>
      <c r="U382" s="564"/>
      <c r="V382" s="563">
        <f>'matrik MISI 2'!W8</f>
        <v>1.28</v>
      </c>
      <c r="W382" s="564"/>
      <c r="X382" s="563" t="str">
        <f>'matrik MISI 2'!X8</f>
        <v>Dinas Sosial</v>
      </c>
      <c r="Y382" s="565" t="str">
        <f>'matrik MISI 2'!Y8</f>
        <v>Jumlah anak terlantar yang dibina dibagi jumlah anak terlantar yang ada x 100 %</v>
      </c>
      <c r="Z382" s="565">
        <f>'matrik MISI 2'!Z8</f>
        <v>0</v>
      </c>
    </row>
    <row r="383" spans="1:454" s="574" customFormat="1" ht="45">
      <c r="A383" s="569"/>
      <c r="B383" s="575"/>
      <c r="C383" s="576"/>
      <c r="D383" s="577" t="str">
        <f>'matrik MISI 2'!J10</f>
        <v>1.13</v>
      </c>
      <c r="E383" s="577" t="str">
        <f>'matrik MISI 2'!K10</f>
        <v>xx</v>
      </c>
      <c r="F383" s="577">
        <f>'matrik MISI 2'!L10</f>
        <v>18</v>
      </c>
      <c r="G383" s="577" t="str">
        <f>'matrik MISI 2'!M10</f>
        <v xml:space="preserve">Program pembinaan para penyandang cacat dan trauma                                          </v>
      </c>
      <c r="H383" s="577"/>
      <c r="I383" s="577"/>
      <c r="J383" s="577"/>
      <c r="K383" s="577"/>
      <c r="L383" s="577"/>
      <c r="M383" s="578">
        <f>'jangan di hapus 1'!K746</f>
        <v>612641000</v>
      </c>
      <c r="N383" s="578"/>
      <c r="O383" s="578">
        <f>'jangan di hapus 1'!M746</f>
        <v>755200000</v>
      </c>
      <c r="P383" s="578"/>
      <c r="Q383" s="578">
        <f>'jangan di hapus 1'!O746</f>
        <v>776200000</v>
      </c>
      <c r="R383" s="578"/>
      <c r="S383" s="578">
        <f>'jangan di hapus 1'!Q746</f>
        <v>797200000</v>
      </c>
      <c r="T383" s="578"/>
      <c r="U383" s="578">
        <f>'jangan di hapus 1'!S746</f>
        <v>818200000</v>
      </c>
      <c r="V383" s="577"/>
      <c r="W383" s="578">
        <f>SUM(M383:U383)</f>
        <v>3759441000</v>
      </c>
      <c r="X383" s="577"/>
      <c r="Y383" s="577"/>
      <c r="Z383" s="577"/>
      <c r="AA383" s="569"/>
      <c r="AB383" s="569"/>
      <c r="AC383" s="569"/>
      <c r="AD383" s="569"/>
      <c r="AE383" s="569"/>
      <c r="AF383" s="569"/>
      <c r="AG383" s="569"/>
      <c r="AH383" s="569"/>
      <c r="AI383" s="569"/>
      <c r="AJ383" s="569"/>
      <c r="AK383" s="569"/>
      <c r="AL383" s="569"/>
      <c r="AM383" s="569"/>
      <c r="AN383" s="569"/>
      <c r="AO383" s="569"/>
      <c r="AP383" s="569"/>
      <c r="AQ383" s="569"/>
      <c r="AR383" s="569"/>
      <c r="AS383" s="569"/>
      <c r="AT383" s="569"/>
      <c r="AU383" s="569"/>
      <c r="AV383" s="569"/>
      <c r="AW383" s="569"/>
      <c r="AX383" s="569"/>
      <c r="AY383" s="569"/>
      <c r="AZ383" s="569"/>
      <c r="BA383" s="569"/>
      <c r="BB383" s="569"/>
      <c r="BC383" s="569"/>
      <c r="BD383" s="569"/>
      <c r="BE383" s="569"/>
      <c r="BF383" s="569"/>
      <c r="BG383" s="569"/>
      <c r="BH383" s="569"/>
      <c r="BI383" s="569"/>
      <c r="BJ383" s="569"/>
      <c r="BK383" s="569"/>
      <c r="BL383" s="569"/>
      <c r="BM383" s="569"/>
      <c r="BN383" s="569"/>
      <c r="BO383" s="569"/>
      <c r="BP383" s="569"/>
      <c r="BQ383" s="569"/>
      <c r="BR383" s="569"/>
      <c r="BS383" s="569"/>
      <c r="BT383" s="569"/>
      <c r="BU383" s="569"/>
      <c r="BV383" s="569"/>
      <c r="BW383" s="569"/>
      <c r="BX383" s="569"/>
      <c r="BY383" s="569"/>
      <c r="BZ383" s="569"/>
      <c r="CA383" s="569"/>
      <c r="CB383" s="569"/>
      <c r="CC383" s="569"/>
      <c r="CD383" s="569"/>
      <c r="CE383" s="569"/>
      <c r="CF383" s="569"/>
      <c r="CG383" s="569"/>
      <c r="CH383" s="569"/>
      <c r="CI383" s="569"/>
      <c r="CJ383" s="569"/>
      <c r="CK383" s="569"/>
      <c r="CL383" s="569"/>
      <c r="CM383" s="569"/>
      <c r="CN383" s="569"/>
      <c r="CO383" s="569"/>
      <c r="CP383" s="569"/>
      <c r="CQ383" s="569"/>
      <c r="CR383" s="569"/>
      <c r="CS383" s="569"/>
      <c r="CT383" s="569"/>
      <c r="CU383" s="569"/>
      <c r="CV383" s="569"/>
      <c r="CW383" s="569"/>
      <c r="CX383" s="569"/>
      <c r="CY383" s="569"/>
      <c r="CZ383" s="569"/>
      <c r="DA383" s="569"/>
      <c r="DB383" s="569"/>
      <c r="DC383" s="569"/>
      <c r="DD383" s="569"/>
      <c r="DE383" s="569"/>
      <c r="DF383" s="569"/>
      <c r="DG383" s="569"/>
      <c r="DH383" s="569"/>
      <c r="DI383" s="569"/>
      <c r="DJ383" s="569"/>
      <c r="DK383" s="569"/>
      <c r="DL383" s="569"/>
      <c r="DM383" s="569"/>
      <c r="DN383" s="569"/>
      <c r="DO383" s="569"/>
      <c r="DP383" s="569"/>
      <c r="DQ383" s="569"/>
      <c r="DR383" s="569"/>
      <c r="DS383" s="569"/>
      <c r="DT383" s="569"/>
      <c r="DU383" s="569"/>
      <c r="DV383" s="569"/>
      <c r="DW383" s="569"/>
      <c r="DX383" s="569"/>
      <c r="DY383" s="569"/>
      <c r="DZ383" s="569"/>
      <c r="EA383" s="569"/>
      <c r="EB383" s="569"/>
      <c r="EC383" s="569"/>
      <c r="ED383" s="569"/>
      <c r="EE383" s="569"/>
      <c r="EF383" s="569"/>
      <c r="EG383" s="569"/>
      <c r="EH383" s="569"/>
      <c r="EI383" s="569"/>
      <c r="EJ383" s="569"/>
      <c r="EK383" s="569"/>
      <c r="EL383" s="569"/>
      <c r="EM383" s="569"/>
      <c r="EN383" s="569"/>
      <c r="EO383" s="569"/>
      <c r="EP383" s="569"/>
      <c r="EQ383" s="569"/>
      <c r="ER383" s="569"/>
      <c r="ES383" s="569"/>
      <c r="ET383" s="569"/>
      <c r="EU383" s="569"/>
      <c r="EV383" s="569"/>
      <c r="EW383" s="569"/>
      <c r="EX383" s="569"/>
      <c r="EY383" s="569"/>
      <c r="EZ383" s="569"/>
      <c r="FA383" s="569"/>
      <c r="FB383" s="569"/>
      <c r="FC383" s="569"/>
      <c r="FD383" s="569"/>
      <c r="FE383" s="569"/>
      <c r="FF383" s="569"/>
      <c r="FG383" s="569"/>
      <c r="FH383" s="569"/>
      <c r="FI383" s="569"/>
      <c r="FJ383" s="569"/>
      <c r="FK383" s="569"/>
      <c r="FL383" s="569"/>
      <c r="FM383" s="569"/>
      <c r="FN383" s="569"/>
      <c r="FO383" s="569"/>
      <c r="FP383" s="569"/>
      <c r="FQ383" s="569"/>
      <c r="FR383" s="569"/>
      <c r="FS383" s="569"/>
      <c r="FT383" s="569"/>
      <c r="FU383" s="569"/>
      <c r="FV383" s="569"/>
      <c r="FW383" s="569"/>
      <c r="FX383" s="569"/>
      <c r="FY383" s="569"/>
      <c r="FZ383" s="569"/>
      <c r="GA383" s="569"/>
      <c r="GB383" s="569"/>
      <c r="GC383" s="569"/>
      <c r="GD383" s="569"/>
      <c r="GE383" s="569"/>
      <c r="GF383" s="569"/>
      <c r="GG383" s="569"/>
      <c r="GH383" s="569"/>
      <c r="GI383" s="569"/>
      <c r="GJ383" s="569"/>
      <c r="GK383" s="569"/>
      <c r="GL383" s="569"/>
      <c r="GM383" s="569"/>
      <c r="GN383" s="569"/>
      <c r="GO383" s="569"/>
      <c r="GP383" s="569"/>
      <c r="GQ383" s="569"/>
      <c r="GR383" s="569"/>
      <c r="GS383" s="569"/>
      <c r="GT383" s="569"/>
      <c r="GU383" s="569"/>
      <c r="GV383" s="569"/>
      <c r="GW383" s="569"/>
      <c r="GX383" s="569"/>
      <c r="GY383" s="569"/>
      <c r="GZ383" s="569"/>
      <c r="HA383" s="569"/>
      <c r="HB383" s="569"/>
      <c r="HC383" s="569"/>
      <c r="HD383" s="569"/>
      <c r="HE383" s="569"/>
      <c r="HF383" s="569"/>
      <c r="HG383" s="569"/>
      <c r="HH383" s="569"/>
      <c r="HI383" s="569"/>
      <c r="HJ383" s="569"/>
      <c r="HK383" s="569"/>
      <c r="HL383" s="569"/>
      <c r="HM383" s="569"/>
      <c r="HN383" s="569"/>
      <c r="HO383" s="569"/>
      <c r="HP383" s="569"/>
      <c r="HQ383" s="569"/>
      <c r="HR383" s="569"/>
      <c r="HS383" s="569"/>
      <c r="HT383" s="569"/>
      <c r="HU383" s="569"/>
      <c r="HV383" s="569"/>
      <c r="HW383" s="569"/>
      <c r="HX383" s="569"/>
      <c r="HY383" s="569"/>
      <c r="HZ383" s="569"/>
      <c r="IA383" s="569"/>
      <c r="IB383" s="569"/>
      <c r="IC383" s="569"/>
      <c r="ID383" s="569"/>
      <c r="IE383" s="569"/>
      <c r="IF383" s="569"/>
      <c r="IG383" s="569"/>
      <c r="IH383" s="569"/>
      <c r="II383" s="569"/>
      <c r="IJ383" s="569"/>
      <c r="IK383" s="569"/>
      <c r="IL383" s="569"/>
      <c r="IM383" s="569"/>
      <c r="IN383" s="569"/>
      <c r="IO383" s="569"/>
      <c r="IP383" s="569"/>
      <c r="IQ383" s="569"/>
      <c r="IR383" s="569"/>
      <c r="IS383" s="569"/>
      <c r="IT383" s="569"/>
      <c r="IU383" s="569"/>
      <c r="IV383" s="569"/>
      <c r="IW383" s="569"/>
      <c r="IX383" s="569"/>
      <c r="IY383" s="569"/>
      <c r="IZ383" s="569"/>
      <c r="JA383" s="569"/>
      <c r="JB383" s="569"/>
      <c r="JC383" s="569"/>
      <c r="JD383" s="569"/>
      <c r="JE383" s="569"/>
      <c r="JF383" s="569"/>
      <c r="JG383" s="569"/>
      <c r="JH383" s="569"/>
      <c r="JI383" s="569"/>
      <c r="JJ383" s="569"/>
      <c r="JK383" s="569"/>
      <c r="JL383" s="569"/>
      <c r="JM383" s="569"/>
      <c r="JN383" s="569"/>
      <c r="JO383" s="569"/>
      <c r="JP383" s="569"/>
      <c r="JQ383" s="569"/>
      <c r="JR383" s="569"/>
      <c r="JS383" s="569"/>
      <c r="JT383" s="569"/>
      <c r="JU383" s="569"/>
      <c r="JV383" s="569"/>
      <c r="JW383" s="569"/>
      <c r="JX383" s="569"/>
      <c r="JY383" s="569"/>
      <c r="JZ383" s="569"/>
      <c r="KA383" s="569"/>
      <c r="KB383" s="569"/>
      <c r="KC383" s="569"/>
      <c r="KD383" s="569"/>
      <c r="KE383" s="569"/>
      <c r="KF383" s="569"/>
      <c r="KG383" s="569"/>
      <c r="KH383" s="569"/>
      <c r="KI383" s="569"/>
      <c r="KJ383" s="569"/>
      <c r="KK383" s="569"/>
      <c r="KL383" s="569"/>
      <c r="KM383" s="569"/>
      <c r="KN383" s="569"/>
      <c r="KO383" s="569"/>
      <c r="KP383" s="569"/>
      <c r="KQ383" s="569"/>
      <c r="KR383" s="569"/>
      <c r="KS383" s="569"/>
      <c r="KT383" s="569"/>
      <c r="KU383" s="569"/>
      <c r="KV383" s="569"/>
      <c r="KW383" s="569"/>
      <c r="KX383" s="569"/>
      <c r="KY383" s="569"/>
      <c r="KZ383" s="569"/>
      <c r="LA383" s="569"/>
      <c r="LB383" s="569"/>
      <c r="LC383" s="569"/>
      <c r="LD383" s="569"/>
      <c r="LE383" s="569"/>
      <c r="LF383" s="569"/>
      <c r="LG383" s="569"/>
      <c r="LH383" s="569"/>
      <c r="LI383" s="569"/>
      <c r="LJ383" s="569"/>
      <c r="LK383" s="569"/>
      <c r="LL383" s="569"/>
      <c r="LM383" s="569"/>
      <c r="LN383" s="569"/>
      <c r="LO383" s="569"/>
      <c r="LP383" s="569"/>
      <c r="LQ383" s="569"/>
      <c r="LR383" s="569"/>
      <c r="LS383" s="569"/>
      <c r="LT383" s="569"/>
      <c r="LU383" s="569"/>
      <c r="LV383" s="569"/>
      <c r="LW383" s="569"/>
      <c r="LX383" s="569"/>
      <c r="LY383" s="569"/>
      <c r="LZ383" s="569"/>
      <c r="MA383" s="569"/>
      <c r="MB383" s="569"/>
      <c r="MC383" s="569"/>
      <c r="MD383" s="569"/>
      <c r="ME383" s="569"/>
      <c r="MF383" s="569"/>
      <c r="MG383" s="569"/>
      <c r="MH383" s="569"/>
      <c r="MI383" s="569"/>
      <c r="MJ383" s="569"/>
      <c r="MK383" s="569"/>
      <c r="ML383" s="569"/>
      <c r="MM383" s="569"/>
      <c r="MN383" s="569"/>
      <c r="MO383" s="569"/>
      <c r="MP383" s="569"/>
      <c r="MQ383" s="569"/>
      <c r="MR383" s="569"/>
      <c r="MS383" s="569"/>
      <c r="MT383" s="569"/>
      <c r="MU383" s="569"/>
      <c r="MV383" s="569"/>
      <c r="MW383" s="569"/>
      <c r="MX383" s="569"/>
      <c r="MY383" s="569"/>
      <c r="MZ383" s="569"/>
      <c r="NA383" s="569"/>
      <c r="NB383" s="569"/>
      <c r="NC383" s="569"/>
      <c r="ND383" s="569"/>
      <c r="NE383" s="569"/>
      <c r="NF383" s="569"/>
      <c r="NG383" s="569"/>
      <c r="NH383" s="569"/>
      <c r="NI383" s="569"/>
      <c r="NJ383" s="569"/>
      <c r="NK383" s="569"/>
      <c r="NL383" s="569"/>
      <c r="NM383" s="569"/>
      <c r="NN383" s="569"/>
      <c r="NO383" s="569"/>
      <c r="NP383" s="569"/>
      <c r="NQ383" s="569"/>
      <c r="NR383" s="569"/>
      <c r="NS383" s="569"/>
      <c r="NT383" s="569"/>
      <c r="NU383" s="569"/>
      <c r="NV383" s="569"/>
      <c r="NW383" s="569"/>
      <c r="NX383" s="569"/>
      <c r="NY383" s="569"/>
      <c r="NZ383" s="569"/>
      <c r="OA383" s="569"/>
      <c r="OB383" s="569"/>
      <c r="OC383" s="569"/>
      <c r="OD383" s="569"/>
      <c r="OE383" s="569"/>
      <c r="OF383" s="569"/>
      <c r="OG383" s="569"/>
      <c r="OH383" s="569"/>
      <c r="OI383" s="569"/>
      <c r="OJ383" s="569"/>
      <c r="OK383" s="569"/>
      <c r="OL383" s="569"/>
      <c r="OM383" s="569"/>
      <c r="ON383" s="569"/>
      <c r="OO383" s="569"/>
      <c r="OP383" s="569"/>
      <c r="OQ383" s="569"/>
      <c r="OR383" s="569"/>
      <c r="OS383" s="569"/>
      <c r="OT383" s="569"/>
      <c r="OU383" s="569"/>
      <c r="OV383" s="569"/>
      <c r="OW383" s="569"/>
      <c r="OX383" s="569"/>
      <c r="OY383" s="569"/>
      <c r="OZ383" s="569"/>
      <c r="PA383" s="569"/>
      <c r="PB383" s="569"/>
      <c r="PC383" s="569"/>
      <c r="PD383" s="569"/>
      <c r="PE383" s="569"/>
      <c r="PF383" s="569"/>
      <c r="PG383" s="569"/>
      <c r="PH383" s="569"/>
      <c r="PI383" s="569"/>
      <c r="PJ383" s="569"/>
      <c r="PK383" s="569"/>
      <c r="PL383" s="569"/>
      <c r="PM383" s="569"/>
      <c r="PN383" s="569"/>
      <c r="PO383" s="569"/>
      <c r="PP383" s="569"/>
      <c r="PQ383" s="569"/>
      <c r="PR383" s="569"/>
      <c r="PS383" s="569"/>
      <c r="PT383" s="569"/>
      <c r="PU383" s="569"/>
      <c r="PV383" s="569"/>
      <c r="PW383" s="569"/>
      <c r="PX383" s="569"/>
      <c r="PY383" s="569"/>
      <c r="PZ383" s="569"/>
      <c r="QA383" s="569"/>
      <c r="QB383" s="569"/>
      <c r="QC383" s="569"/>
      <c r="QD383" s="569"/>
      <c r="QE383" s="569"/>
      <c r="QF383" s="569"/>
      <c r="QG383" s="569"/>
      <c r="QH383" s="569"/>
      <c r="QI383" s="569"/>
      <c r="QJ383" s="569"/>
      <c r="QK383" s="569"/>
      <c r="QL383" s="569"/>
    </row>
    <row r="384" spans="1:454" ht="60">
      <c r="D384" s="568"/>
      <c r="E384" s="568"/>
      <c r="F384" s="568"/>
      <c r="G384" s="568"/>
      <c r="H384" s="563" t="str">
        <f>'matrik MISI 2'!N10</f>
        <v>Persentase Penyandang Cacat Fisik dan Mental Serta Lanjut Usia Tidak Potensial yang Telah Menerima Jaminan Sosial</v>
      </c>
      <c r="I384" s="563" t="str">
        <f>'matrik MISI 2'!O10</f>
        <v>%</v>
      </c>
      <c r="J384" s="563">
        <f>'matrik MISI 2'!P10</f>
        <v>0.94</v>
      </c>
      <c r="K384" s="563">
        <f>'matrik MISI 2'!Q10</f>
        <v>0.94</v>
      </c>
      <c r="L384" s="563">
        <f>'matrik MISI 2'!R10</f>
        <v>2.71</v>
      </c>
      <c r="M384" s="604"/>
      <c r="N384" s="563">
        <f>'matrik MISI 2'!S10</f>
        <v>2.71</v>
      </c>
      <c r="O384" s="564"/>
      <c r="P384" s="563">
        <f>'matrik MISI 2'!T10</f>
        <v>4.5999999999999996</v>
      </c>
      <c r="Q384" s="564"/>
      <c r="R384" s="563">
        <f>'matrik MISI 2'!U10</f>
        <v>4.78</v>
      </c>
      <c r="S384" s="564"/>
      <c r="T384" s="563">
        <f>'matrik MISI 2'!V10</f>
        <v>5.0599999999999996</v>
      </c>
      <c r="U384" s="564"/>
      <c r="V384" s="563">
        <f>'matrik MISI 2'!W10</f>
        <v>5.0599999999999996</v>
      </c>
      <c r="W384" s="564"/>
      <c r="X384" s="563" t="str">
        <f>'matrik MISI 2'!X10</f>
        <v>Dinas Sosial</v>
      </c>
      <c r="Y384" s="565"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84" s="565" t="str">
        <f>'matrik MISI 2'!Z10</f>
        <v xml:space="preserve"> sasaran : Penyandang Cacat Fisik dan Mental serta Lansia Non Potensial Terlantar menggunakan basik data tahun 2013</v>
      </c>
    </row>
    <row r="385" spans="1:454" s="574" customFormat="1" ht="75">
      <c r="A385" s="569"/>
      <c r="B385" s="575"/>
      <c r="C385" s="576"/>
      <c r="D385" s="577" t="str">
        <f>'matrik MISI 2'!J11</f>
        <v>1.13</v>
      </c>
      <c r="E385" s="577" t="str">
        <f>'matrik MISI 2'!K11</f>
        <v>xx</v>
      </c>
      <c r="F385" s="577">
        <f>'matrik MISI 2'!L11</f>
        <v>20</v>
      </c>
      <c r="G385" s="577" t="str">
        <f>'matrik MISI 2'!M11</f>
        <v>Program pembinaan eks penyandang penyakit sosial (eks narapidana, PSK, narkoba dan penyakit sosial lainnya)</v>
      </c>
      <c r="H385" s="577"/>
      <c r="I385" s="577"/>
      <c r="J385" s="577"/>
      <c r="K385" s="577"/>
      <c r="L385" s="577"/>
      <c r="M385" s="578">
        <f>'jangan di hapus 1'!K753</f>
        <v>41997000</v>
      </c>
      <c r="N385" s="578"/>
      <c r="O385" s="578">
        <f>'jangan di hapus 1'!M753</f>
        <v>50000000</v>
      </c>
      <c r="P385" s="578"/>
      <c r="Q385" s="578">
        <f>'jangan di hapus 1'!O753</f>
        <v>57500000</v>
      </c>
      <c r="R385" s="578"/>
      <c r="S385" s="578">
        <f>'jangan di hapus 1'!Q753</f>
        <v>62500000</v>
      </c>
      <c r="T385" s="578"/>
      <c r="U385" s="578">
        <f>'jangan di hapus 1'!S753</f>
        <v>70000000</v>
      </c>
      <c r="V385" s="577"/>
      <c r="W385" s="578">
        <f>SUM(M385:U385)</f>
        <v>281997000</v>
      </c>
      <c r="X385" s="577"/>
      <c r="Y385" s="577"/>
      <c r="Z385" s="577"/>
      <c r="AA385" s="569"/>
      <c r="AB385" s="569"/>
      <c r="AC385" s="569"/>
      <c r="AD385" s="569"/>
      <c r="AE385" s="569"/>
      <c r="AF385" s="569"/>
      <c r="AG385" s="569"/>
      <c r="AH385" s="569"/>
      <c r="AI385" s="569"/>
      <c r="AJ385" s="569"/>
      <c r="AK385" s="569"/>
      <c r="AL385" s="569"/>
      <c r="AM385" s="569"/>
      <c r="AN385" s="569"/>
      <c r="AO385" s="569"/>
      <c r="AP385" s="569"/>
      <c r="AQ385" s="569"/>
      <c r="AR385" s="569"/>
      <c r="AS385" s="569"/>
      <c r="AT385" s="569"/>
      <c r="AU385" s="569"/>
      <c r="AV385" s="569"/>
      <c r="AW385" s="569"/>
      <c r="AX385" s="569"/>
      <c r="AY385" s="569"/>
      <c r="AZ385" s="569"/>
      <c r="BA385" s="569"/>
      <c r="BB385" s="569"/>
      <c r="BC385" s="569"/>
      <c r="BD385" s="569"/>
      <c r="BE385" s="569"/>
      <c r="BF385" s="569"/>
      <c r="BG385" s="569"/>
      <c r="BH385" s="569"/>
      <c r="BI385" s="569"/>
      <c r="BJ385" s="569"/>
      <c r="BK385" s="569"/>
      <c r="BL385" s="569"/>
      <c r="BM385" s="569"/>
      <c r="BN385" s="569"/>
      <c r="BO385" s="569"/>
      <c r="BP385" s="569"/>
      <c r="BQ385" s="569"/>
      <c r="BR385" s="569"/>
      <c r="BS385" s="569"/>
      <c r="BT385" s="569"/>
      <c r="BU385" s="569"/>
      <c r="BV385" s="569"/>
      <c r="BW385" s="569"/>
      <c r="BX385" s="569"/>
      <c r="BY385" s="569"/>
      <c r="BZ385" s="569"/>
      <c r="CA385" s="569"/>
      <c r="CB385" s="569"/>
      <c r="CC385" s="569"/>
      <c r="CD385" s="569"/>
      <c r="CE385" s="569"/>
      <c r="CF385" s="569"/>
      <c r="CG385" s="569"/>
      <c r="CH385" s="569"/>
      <c r="CI385" s="569"/>
      <c r="CJ385" s="569"/>
      <c r="CK385" s="569"/>
      <c r="CL385" s="569"/>
      <c r="CM385" s="569"/>
      <c r="CN385" s="569"/>
      <c r="CO385" s="569"/>
      <c r="CP385" s="569"/>
      <c r="CQ385" s="569"/>
      <c r="CR385" s="569"/>
      <c r="CS385" s="569"/>
      <c r="CT385" s="569"/>
      <c r="CU385" s="569"/>
      <c r="CV385" s="569"/>
      <c r="CW385" s="569"/>
      <c r="CX385" s="569"/>
      <c r="CY385" s="569"/>
      <c r="CZ385" s="569"/>
      <c r="DA385" s="569"/>
      <c r="DB385" s="569"/>
      <c r="DC385" s="569"/>
      <c r="DD385" s="569"/>
      <c r="DE385" s="569"/>
      <c r="DF385" s="569"/>
      <c r="DG385" s="569"/>
      <c r="DH385" s="569"/>
      <c r="DI385" s="569"/>
      <c r="DJ385" s="569"/>
      <c r="DK385" s="569"/>
      <c r="DL385" s="569"/>
      <c r="DM385" s="569"/>
      <c r="DN385" s="569"/>
      <c r="DO385" s="569"/>
      <c r="DP385" s="569"/>
      <c r="DQ385" s="569"/>
      <c r="DR385" s="569"/>
      <c r="DS385" s="569"/>
      <c r="DT385" s="569"/>
      <c r="DU385" s="569"/>
      <c r="DV385" s="569"/>
      <c r="DW385" s="569"/>
      <c r="DX385" s="569"/>
      <c r="DY385" s="569"/>
      <c r="DZ385" s="569"/>
      <c r="EA385" s="569"/>
      <c r="EB385" s="569"/>
      <c r="EC385" s="569"/>
      <c r="ED385" s="569"/>
      <c r="EE385" s="569"/>
      <c r="EF385" s="569"/>
      <c r="EG385" s="569"/>
      <c r="EH385" s="569"/>
      <c r="EI385" s="569"/>
      <c r="EJ385" s="569"/>
      <c r="EK385" s="569"/>
      <c r="EL385" s="569"/>
      <c r="EM385" s="569"/>
      <c r="EN385" s="569"/>
      <c r="EO385" s="569"/>
      <c r="EP385" s="569"/>
      <c r="EQ385" s="569"/>
      <c r="ER385" s="569"/>
      <c r="ES385" s="569"/>
      <c r="ET385" s="569"/>
      <c r="EU385" s="569"/>
      <c r="EV385" s="569"/>
      <c r="EW385" s="569"/>
      <c r="EX385" s="569"/>
      <c r="EY385" s="569"/>
      <c r="EZ385" s="569"/>
      <c r="FA385" s="569"/>
      <c r="FB385" s="569"/>
      <c r="FC385" s="569"/>
      <c r="FD385" s="569"/>
      <c r="FE385" s="569"/>
      <c r="FF385" s="569"/>
      <c r="FG385" s="569"/>
      <c r="FH385" s="569"/>
      <c r="FI385" s="569"/>
      <c r="FJ385" s="569"/>
      <c r="FK385" s="569"/>
      <c r="FL385" s="569"/>
      <c r="FM385" s="569"/>
      <c r="FN385" s="569"/>
      <c r="FO385" s="569"/>
      <c r="FP385" s="569"/>
      <c r="FQ385" s="569"/>
      <c r="FR385" s="569"/>
      <c r="FS385" s="569"/>
      <c r="FT385" s="569"/>
      <c r="FU385" s="569"/>
      <c r="FV385" s="569"/>
      <c r="FW385" s="569"/>
      <c r="FX385" s="569"/>
      <c r="FY385" s="569"/>
      <c r="FZ385" s="569"/>
      <c r="GA385" s="569"/>
      <c r="GB385" s="569"/>
      <c r="GC385" s="569"/>
      <c r="GD385" s="569"/>
      <c r="GE385" s="569"/>
      <c r="GF385" s="569"/>
      <c r="GG385" s="569"/>
      <c r="GH385" s="569"/>
      <c r="GI385" s="569"/>
      <c r="GJ385" s="569"/>
      <c r="GK385" s="569"/>
      <c r="GL385" s="569"/>
      <c r="GM385" s="569"/>
      <c r="GN385" s="569"/>
      <c r="GO385" s="569"/>
      <c r="GP385" s="569"/>
      <c r="GQ385" s="569"/>
      <c r="GR385" s="569"/>
      <c r="GS385" s="569"/>
      <c r="GT385" s="569"/>
      <c r="GU385" s="569"/>
      <c r="GV385" s="569"/>
      <c r="GW385" s="569"/>
      <c r="GX385" s="569"/>
      <c r="GY385" s="569"/>
      <c r="GZ385" s="569"/>
      <c r="HA385" s="569"/>
      <c r="HB385" s="569"/>
      <c r="HC385" s="569"/>
      <c r="HD385" s="569"/>
      <c r="HE385" s="569"/>
      <c r="HF385" s="569"/>
      <c r="HG385" s="569"/>
      <c r="HH385" s="569"/>
      <c r="HI385" s="569"/>
      <c r="HJ385" s="569"/>
      <c r="HK385" s="569"/>
      <c r="HL385" s="569"/>
      <c r="HM385" s="569"/>
      <c r="HN385" s="569"/>
      <c r="HO385" s="569"/>
      <c r="HP385" s="569"/>
      <c r="HQ385" s="569"/>
      <c r="HR385" s="569"/>
      <c r="HS385" s="569"/>
      <c r="HT385" s="569"/>
      <c r="HU385" s="569"/>
      <c r="HV385" s="569"/>
      <c r="HW385" s="569"/>
      <c r="HX385" s="569"/>
      <c r="HY385" s="569"/>
      <c r="HZ385" s="569"/>
      <c r="IA385" s="569"/>
      <c r="IB385" s="569"/>
      <c r="IC385" s="569"/>
      <c r="ID385" s="569"/>
      <c r="IE385" s="569"/>
      <c r="IF385" s="569"/>
      <c r="IG385" s="569"/>
      <c r="IH385" s="569"/>
      <c r="II385" s="569"/>
      <c r="IJ385" s="569"/>
      <c r="IK385" s="569"/>
      <c r="IL385" s="569"/>
      <c r="IM385" s="569"/>
      <c r="IN385" s="569"/>
      <c r="IO385" s="569"/>
      <c r="IP385" s="569"/>
      <c r="IQ385" s="569"/>
      <c r="IR385" s="569"/>
      <c r="IS385" s="569"/>
      <c r="IT385" s="569"/>
      <c r="IU385" s="569"/>
      <c r="IV385" s="569"/>
      <c r="IW385" s="569"/>
      <c r="IX385" s="569"/>
      <c r="IY385" s="569"/>
      <c r="IZ385" s="569"/>
      <c r="JA385" s="569"/>
      <c r="JB385" s="569"/>
      <c r="JC385" s="569"/>
      <c r="JD385" s="569"/>
      <c r="JE385" s="569"/>
      <c r="JF385" s="569"/>
      <c r="JG385" s="569"/>
      <c r="JH385" s="569"/>
      <c r="JI385" s="569"/>
      <c r="JJ385" s="569"/>
      <c r="JK385" s="569"/>
      <c r="JL385" s="569"/>
      <c r="JM385" s="569"/>
      <c r="JN385" s="569"/>
      <c r="JO385" s="569"/>
      <c r="JP385" s="569"/>
      <c r="JQ385" s="569"/>
      <c r="JR385" s="569"/>
      <c r="JS385" s="569"/>
      <c r="JT385" s="569"/>
      <c r="JU385" s="569"/>
      <c r="JV385" s="569"/>
      <c r="JW385" s="569"/>
      <c r="JX385" s="569"/>
      <c r="JY385" s="569"/>
      <c r="JZ385" s="569"/>
      <c r="KA385" s="569"/>
      <c r="KB385" s="569"/>
      <c r="KC385" s="569"/>
      <c r="KD385" s="569"/>
      <c r="KE385" s="569"/>
      <c r="KF385" s="569"/>
      <c r="KG385" s="569"/>
      <c r="KH385" s="569"/>
      <c r="KI385" s="569"/>
      <c r="KJ385" s="569"/>
      <c r="KK385" s="569"/>
      <c r="KL385" s="569"/>
      <c r="KM385" s="569"/>
      <c r="KN385" s="569"/>
      <c r="KO385" s="569"/>
      <c r="KP385" s="569"/>
      <c r="KQ385" s="569"/>
      <c r="KR385" s="569"/>
      <c r="KS385" s="569"/>
      <c r="KT385" s="569"/>
      <c r="KU385" s="569"/>
      <c r="KV385" s="569"/>
      <c r="KW385" s="569"/>
      <c r="KX385" s="569"/>
      <c r="KY385" s="569"/>
      <c r="KZ385" s="569"/>
      <c r="LA385" s="569"/>
      <c r="LB385" s="569"/>
      <c r="LC385" s="569"/>
      <c r="LD385" s="569"/>
      <c r="LE385" s="569"/>
      <c r="LF385" s="569"/>
      <c r="LG385" s="569"/>
      <c r="LH385" s="569"/>
      <c r="LI385" s="569"/>
      <c r="LJ385" s="569"/>
      <c r="LK385" s="569"/>
      <c r="LL385" s="569"/>
      <c r="LM385" s="569"/>
      <c r="LN385" s="569"/>
      <c r="LO385" s="569"/>
      <c r="LP385" s="569"/>
      <c r="LQ385" s="569"/>
      <c r="LR385" s="569"/>
      <c r="LS385" s="569"/>
      <c r="LT385" s="569"/>
      <c r="LU385" s="569"/>
      <c r="LV385" s="569"/>
      <c r="LW385" s="569"/>
      <c r="LX385" s="569"/>
      <c r="LY385" s="569"/>
      <c r="LZ385" s="569"/>
      <c r="MA385" s="569"/>
      <c r="MB385" s="569"/>
      <c r="MC385" s="569"/>
      <c r="MD385" s="569"/>
      <c r="ME385" s="569"/>
      <c r="MF385" s="569"/>
      <c r="MG385" s="569"/>
      <c r="MH385" s="569"/>
      <c r="MI385" s="569"/>
      <c r="MJ385" s="569"/>
      <c r="MK385" s="569"/>
      <c r="ML385" s="569"/>
      <c r="MM385" s="569"/>
      <c r="MN385" s="569"/>
      <c r="MO385" s="569"/>
      <c r="MP385" s="569"/>
      <c r="MQ385" s="569"/>
      <c r="MR385" s="569"/>
      <c r="MS385" s="569"/>
      <c r="MT385" s="569"/>
      <c r="MU385" s="569"/>
      <c r="MV385" s="569"/>
      <c r="MW385" s="569"/>
      <c r="MX385" s="569"/>
      <c r="MY385" s="569"/>
      <c r="MZ385" s="569"/>
      <c r="NA385" s="569"/>
      <c r="NB385" s="569"/>
      <c r="NC385" s="569"/>
      <c r="ND385" s="569"/>
      <c r="NE385" s="569"/>
      <c r="NF385" s="569"/>
      <c r="NG385" s="569"/>
      <c r="NH385" s="569"/>
      <c r="NI385" s="569"/>
      <c r="NJ385" s="569"/>
      <c r="NK385" s="569"/>
      <c r="NL385" s="569"/>
      <c r="NM385" s="569"/>
      <c r="NN385" s="569"/>
      <c r="NO385" s="569"/>
      <c r="NP385" s="569"/>
      <c r="NQ385" s="569"/>
      <c r="NR385" s="569"/>
      <c r="NS385" s="569"/>
      <c r="NT385" s="569"/>
      <c r="NU385" s="569"/>
      <c r="NV385" s="569"/>
      <c r="NW385" s="569"/>
      <c r="NX385" s="569"/>
      <c r="NY385" s="569"/>
      <c r="NZ385" s="569"/>
      <c r="OA385" s="569"/>
      <c r="OB385" s="569"/>
      <c r="OC385" s="569"/>
      <c r="OD385" s="569"/>
      <c r="OE385" s="569"/>
      <c r="OF385" s="569"/>
      <c r="OG385" s="569"/>
      <c r="OH385" s="569"/>
      <c r="OI385" s="569"/>
      <c r="OJ385" s="569"/>
      <c r="OK385" s="569"/>
      <c r="OL385" s="569"/>
      <c r="OM385" s="569"/>
      <c r="ON385" s="569"/>
      <c r="OO385" s="569"/>
      <c r="OP385" s="569"/>
      <c r="OQ385" s="569"/>
      <c r="OR385" s="569"/>
      <c r="OS385" s="569"/>
      <c r="OT385" s="569"/>
      <c r="OU385" s="569"/>
      <c r="OV385" s="569"/>
      <c r="OW385" s="569"/>
      <c r="OX385" s="569"/>
      <c r="OY385" s="569"/>
      <c r="OZ385" s="569"/>
      <c r="PA385" s="569"/>
      <c r="PB385" s="569"/>
      <c r="PC385" s="569"/>
      <c r="PD385" s="569"/>
      <c r="PE385" s="569"/>
      <c r="PF385" s="569"/>
      <c r="PG385" s="569"/>
      <c r="PH385" s="569"/>
      <c r="PI385" s="569"/>
      <c r="PJ385" s="569"/>
      <c r="PK385" s="569"/>
      <c r="PL385" s="569"/>
      <c r="PM385" s="569"/>
      <c r="PN385" s="569"/>
      <c r="PO385" s="569"/>
      <c r="PP385" s="569"/>
      <c r="PQ385" s="569"/>
      <c r="PR385" s="569"/>
      <c r="PS385" s="569"/>
      <c r="PT385" s="569"/>
      <c r="PU385" s="569"/>
      <c r="PV385" s="569"/>
      <c r="PW385" s="569"/>
      <c r="PX385" s="569"/>
      <c r="PY385" s="569"/>
      <c r="PZ385" s="569"/>
      <c r="QA385" s="569"/>
      <c r="QB385" s="569"/>
      <c r="QC385" s="569"/>
      <c r="QD385" s="569"/>
      <c r="QE385" s="569"/>
      <c r="QF385" s="569"/>
      <c r="QG385" s="569"/>
      <c r="QH385" s="569"/>
      <c r="QI385" s="569"/>
      <c r="QJ385" s="569"/>
      <c r="QK385" s="569"/>
      <c r="QL385" s="569"/>
    </row>
    <row r="386" spans="1:454" s="574" customFormat="1" ht="90">
      <c r="A386" s="569"/>
      <c r="B386" s="575"/>
      <c r="C386" s="576"/>
      <c r="D386" s="577" t="str">
        <f>'matrik MISI 2'!J12</f>
        <v>1.13</v>
      </c>
      <c r="E386" s="577" t="str">
        <f>'matrik MISI 2'!K12</f>
        <v>xx</v>
      </c>
      <c r="F386" s="577">
        <f>'matrik MISI 2'!L12</f>
        <v>15</v>
      </c>
      <c r="G386" s="577" t="str">
        <f>'matrik MISI 2'!M12</f>
        <v>Program Pemberdayaan Fakir Miskin, Komunitas Adat Terpencil (KAT) dan Penyandang Masalah Kesejahteraan Sosial (PMKS) Lainnya</v>
      </c>
      <c r="H386" s="577"/>
      <c r="I386" s="577"/>
      <c r="J386" s="577"/>
      <c r="K386" s="577"/>
      <c r="L386" s="577"/>
      <c r="M386" s="578">
        <f>'jangan di hapus 1'!K714</f>
        <v>815000000</v>
      </c>
      <c r="N386" s="578"/>
      <c r="O386" s="578">
        <f>'jangan di hapus 1'!M714</f>
        <v>920000000</v>
      </c>
      <c r="P386" s="578"/>
      <c r="Q386" s="578">
        <f>'jangan di hapus 1'!O714</f>
        <v>1125000000</v>
      </c>
      <c r="R386" s="578"/>
      <c r="S386" s="578">
        <f>'jangan di hapus 1'!Q714</f>
        <v>1275000000</v>
      </c>
      <c r="T386" s="578"/>
      <c r="U386" s="578">
        <f>'jangan di hapus 1'!S714</f>
        <v>1325000000</v>
      </c>
      <c r="V386" s="577"/>
      <c r="W386" s="578">
        <f>SUM(M386:U386)</f>
        <v>5460000000</v>
      </c>
      <c r="X386" s="577"/>
      <c r="Y386" s="577"/>
      <c r="Z386" s="577"/>
      <c r="AA386" s="569"/>
      <c r="AB386" s="569"/>
      <c r="AC386" s="569"/>
      <c r="AD386" s="569"/>
      <c r="AE386" s="569"/>
      <c r="AF386" s="569"/>
      <c r="AG386" s="569"/>
      <c r="AH386" s="569"/>
      <c r="AI386" s="569"/>
      <c r="AJ386" s="569"/>
      <c r="AK386" s="569"/>
      <c r="AL386" s="569"/>
      <c r="AM386" s="569"/>
      <c r="AN386" s="569"/>
      <c r="AO386" s="569"/>
      <c r="AP386" s="569"/>
      <c r="AQ386" s="569"/>
      <c r="AR386" s="569"/>
      <c r="AS386" s="569"/>
      <c r="AT386" s="569"/>
      <c r="AU386" s="569"/>
      <c r="AV386" s="569"/>
      <c r="AW386" s="569"/>
      <c r="AX386" s="569"/>
      <c r="AY386" s="569"/>
      <c r="AZ386" s="569"/>
      <c r="BA386" s="569"/>
      <c r="BB386" s="569"/>
      <c r="BC386" s="569"/>
      <c r="BD386" s="569"/>
      <c r="BE386" s="569"/>
      <c r="BF386" s="569"/>
      <c r="BG386" s="569"/>
      <c r="BH386" s="569"/>
      <c r="BI386" s="569"/>
      <c r="BJ386" s="569"/>
      <c r="BK386" s="569"/>
      <c r="BL386" s="569"/>
      <c r="BM386" s="569"/>
      <c r="BN386" s="569"/>
      <c r="BO386" s="569"/>
      <c r="BP386" s="569"/>
      <c r="BQ386" s="569"/>
      <c r="BR386" s="569"/>
      <c r="BS386" s="569"/>
      <c r="BT386" s="569"/>
      <c r="BU386" s="569"/>
      <c r="BV386" s="569"/>
      <c r="BW386" s="569"/>
      <c r="BX386" s="569"/>
      <c r="BY386" s="569"/>
      <c r="BZ386" s="569"/>
      <c r="CA386" s="569"/>
      <c r="CB386" s="569"/>
      <c r="CC386" s="569"/>
      <c r="CD386" s="569"/>
      <c r="CE386" s="569"/>
      <c r="CF386" s="569"/>
      <c r="CG386" s="569"/>
      <c r="CH386" s="569"/>
      <c r="CI386" s="569"/>
      <c r="CJ386" s="569"/>
      <c r="CK386" s="569"/>
      <c r="CL386" s="569"/>
      <c r="CM386" s="569"/>
      <c r="CN386" s="569"/>
      <c r="CO386" s="569"/>
      <c r="CP386" s="569"/>
      <c r="CQ386" s="569"/>
      <c r="CR386" s="569"/>
      <c r="CS386" s="569"/>
      <c r="CT386" s="569"/>
      <c r="CU386" s="569"/>
      <c r="CV386" s="569"/>
      <c r="CW386" s="569"/>
      <c r="CX386" s="569"/>
      <c r="CY386" s="569"/>
      <c r="CZ386" s="569"/>
      <c r="DA386" s="569"/>
      <c r="DB386" s="569"/>
      <c r="DC386" s="569"/>
      <c r="DD386" s="569"/>
      <c r="DE386" s="569"/>
      <c r="DF386" s="569"/>
      <c r="DG386" s="569"/>
      <c r="DH386" s="569"/>
      <c r="DI386" s="569"/>
      <c r="DJ386" s="569"/>
      <c r="DK386" s="569"/>
      <c r="DL386" s="569"/>
      <c r="DM386" s="569"/>
      <c r="DN386" s="569"/>
      <c r="DO386" s="569"/>
      <c r="DP386" s="569"/>
      <c r="DQ386" s="569"/>
      <c r="DR386" s="569"/>
      <c r="DS386" s="569"/>
      <c r="DT386" s="569"/>
      <c r="DU386" s="569"/>
      <c r="DV386" s="569"/>
      <c r="DW386" s="569"/>
      <c r="DX386" s="569"/>
      <c r="DY386" s="569"/>
      <c r="DZ386" s="569"/>
      <c r="EA386" s="569"/>
      <c r="EB386" s="569"/>
      <c r="EC386" s="569"/>
      <c r="ED386" s="569"/>
      <c r="EE386" s="569"/>
      <c r="EF386" s="569"/>
      <c r="EG386" s="569"/>
      <c r="EH386" s="569"/>
      <c r="EI386" s="569"/>
      <c r="EJ386" s="569"/>
      <c r="EK386" s="569"/>
      <c r="EL386" s="569"/>
      <c r="EM386" s="569"/>
      <c r="EN386" s="569"/>
      <c r="EO386" s="569"/>
      <c r="EP386" s="569"/>
      <c r="EQ386" s="569"/>
      <c r="ER386" s="569"/>
      <c r="ES386" s="569"/>
      <c r="ET386" s="569"/>
      <c r="EU386" s="569"/>
      <c r="EV386" s="569"/>
      <c r="EW386" s="569"/>
      <c r="EX386" s="569"/>
      <c r="EY386" s="569"/>
      <c r="EZ386" s="569"/>
      <c r="FA386" s="569"/>
      <c r="FB386" s="569"/>
      <c r="FC386" s="569"/>
      <c r="FD386" s="569"/>
      <c r="FE386" s="569"/>
      <c r="FF386" s="569"/>
      <c r="FG386" s="569"/>
      <c r="FH386" s="569"/>
      <c r="FI386" s="569"/>
      <c r="FJ386" s="569"/>
      <c r="FK386" s="569"/>
      <c r="FL386" s="569"/>
      <c r="FM386" s="569"/>
      <c r="FN386" s="569"/>
      <c r="FO386" s="569"/>
      <c r="FP386" s="569"/>
      <c r="FQ386" s="569"/>
      <c r="FR386" s="569"/>
      <c r="FS386" s="569"/>
      <c r="FT386" s="569"/>
      <c r="FU386" s="569"/>
      <c r="FV386" s="569"/>
      <c r="FW386" s="569"/>
      <c r="FX386" s="569"/>
      <c r="FY386" s="569"/>
      <c r="FZ386" s="569"/>
      <c r="GA386" s="569"/>
      <c r="GB386" s="569"/>
      <c r="GC386" s="569"/>
      <c r="GD386" s="569"/>
      <c r="GE386" s="569"/>
      <c r="GF386" s="569"/>
      <c r="GG386" s="569"/>
      <c r="GH386" s="569"/>
      <c r="GI386" s="569"/>
      <c r="GJ386" s="569"/>
      <c r="GK386" s="569"/>
      <c r="GL386" s="569"/>
      <c r="GM386" s="569"/>
      <c r="GN386" s="569"/>
      <c r="GO386" s="569"/>
      <c r="GP386" s="569"/>
      <c r="GQ386" s="569"/>
      <c r="GR386" s="569"/>
      <c r="GS386" s="569"/>
      <c r="GT386" s="569"/>
      <c r="GU386" s="569"/>
      <c r="GV386" s="569"/>
      <c r="GW386" s="569"/>
      <c r="GX386" s="569"/>
      <c r="GY386" s="569"/>
      <c r="GZ386" s="569"/>
      <c r="HA386" s="569"/>
      <c r="HB386" s="569"/>
      <c r="HC386" s="569"/>
      <c r="HD386" s="569"/>
      <c r="HE386" s="569"/>
      <c r="HF386" s="569"/>
      <c r="HG386" s="569"/>
      <c r="HH386" s="569"/>
      <c r="HI386" s="569"/>
      <c r="HJ386" s="569"/>
      <c r="HK386" s="569"/>
      <c r="HL386" s="569"/>
      <c r="HM386" s="569"/>
      <c r="HN386" s="569"/>
      <c r="HO386" s="569"/>
      <c r="HP386" s="569"/>
      <c r="HQ386" s="569"/>
      <c r="HR386" s="569"/>
      <c r="HS386" s="569"/>
      <c r="HT386" s="569"/>
      <c r="HU386" s="569"/>
      <c r="HV386" s="569"/>
      <c r="HW386" s="569"/>
      <c r="HX386" s="569"/>
      <c r="HY386" s="569"/>
      <c r="HZ386" s="569"/>
      <c r="IA386" s="569"/>
      <c r="IB386" s="569"/>
      <c r="IC386" s="569"/>
      <c r="ID386" s="569"/>
      <c r="IE386" s="569"/>
      <c r="IF386" s="569"/>
      <c r="IG386" s="569"/>
      <c r="IH386" s="569"/>
      <c r="II386" s="569"/>
      <c r="IJ386" s="569"/>
      <c r="IK386" s="569"/>
      <c r="IL386" s="569"/>
      <c r="IM386" s="569"/>
      <c r="IN386" s="569"/>
      <c r="IO386" s="569"/>
      <c r="IP386" s="569"/>
      <c r="IQ386" s="569"/>
      <c r="IR386" s="569"/>
      <c r="IS386" s="569"/>
      <c r="IT386" s="569"/>
      <c r="IU386" s="569"/>
      <c r="IV386" s="569"/>
      <c r="IW386" s="569"/>
      <c r="IX386" s="569"/>
      <c r="IY386" s="569"/>
      <c r="IZ386" s="569"/>
      <c r="JA386" s="569"/>
      <c r="JB386" s="569"/>
      <c r="JC386" s="569"/>
      <c r="JD386" s="569"/>
      <c r="JE386" s="569"/>
      <c r="JF386" s="569"/>
      <c r="JG386" s="569"/>
      <c r="JH386" s="569"/>
      <c r="JI386" s="569"/>
      <c r="JJ386" s="569"/>
      <c r="JK386" s="569"/>
      <c r="JL386" s="569"/>
      <c r="JM386" s="569"/>
      <c r="JN386" s="569"/>
      <c r="JO386" s="569"/>
      <c r="JP386" s="569"/>
      <c r="JQ386" s="569"/>
      <c r="JR386" s="569"/>
      <c r="JS386" s="569"/>
      <c r="JT386" s="569"/>
      <c r="JU386" s="569"/>
      <c r="JV386" s="569"/>
      <c r="JW386" s="569"/>
      <c r="JX386" s="569"/>
      <c r="JY386" s="569"/>
      <c r="JZ386" s="569"/>
      <c r="KA386" s="569"/>
      <c r="KB386" s="569"/>
      <c r="KC386" s="569"/>
      <c r="KD386" s="569"/>
      <c r="KE386" s="569"/>
      <c r="KF386" s="569"/>
      <c r="KG386" s="569"/>
      <c r="KH386" s="569"/>
      <c r="KI386" s="569"/>
      <c r="KJ386" s="569"/>
      <c r="KK386" s="569"/>
      <c r="KL386" s="569"/>
      <c r="KM386" s="569"/>
      <c r="KN386" s="569"/>
      <c r="KO386" s="569"/>
      <c r="KP386" s="569"/>
      <c r="KQ386" s="569"/>
      <c r="KR386" s="569"/>
      <c r="KS386" s="569"/>
      <c r="KT386" s="569"/>
      <c r="KU386" s="569"/>
      <c r="KV386" s="569"/>
      <c r="KW386" s="569"/>
      <c r="KX386" s="569"/>
      <c r="KY386" s="569"/>
      <c r="KZ386" s="569"/>
      <c r="LA386" s="569"/>
      <c r="LB386" s="569"/>
      <c r="LC386" s="569"/>
      <c r="LD386" s="569"/>
      <c r="LE386" s="569"/>
      <c r="LF386" s="569"/>
      <c r="LG386" s="569"/>
      <c r="LH386" s="569"/>
      <c r="LI386" s="569"/>
      <c r="LJ386" s="569"/>
      <c r="LK386" s="569"/>
      <c r="LL386" s="569"/>
      <c r="LM386" s="569"/>
      <c r="LN386" s="569"/>
      <c r="LO386" s="569"/>
      <c r="LP386" s="569"/>
      <c r="LQ386" s="569"/>
      <c r="LR386" s="569"/>
      <c r="LS386" s="569"/>
      <c r="LT386" s="569"/>
      <c r="LU386" s="569"/>
      <c r="LV386" s="569"/>
      <c r="LW386" s="569"/>
      <c r="LX386" s="569"/>
      <c r="LY386" s="569"/>
      <c r="LZ386" s="569"/>
      <c r="MA386" s="569"/>
      <c r="MB386" s="569"/>
      <c r="MC386" s="569"/>
      <c r="MD386" s="569"/>
      <c r="ME386" s="569"/>
      <c r="MF386" s="569"/>
      <c r="MG386" s="569"/>
      <c r="MH386" s="569"/>
      <c r="MI386" s="569"/>
      <c r="MJ386" s="569"/>
      <c r="MK386" s="569"/>
      <c r="ML386" s="569"/>
      <c r="MM386" s="569"/>
      <c r="MN386" s="569"/>
      <c r="MO386" s="569"/>
      <c r="MP386" s="569"/>
      <c r="MQ386" s="569"/>
      <c r="MR386" s="569"/>
      <c r="MS386" s="569"/>
      <c r="MT386" s="569"/>
      <c r="MU386" s="569"/>
      <c r="MV386" s="569"/>
      <c r="MW386" s="569"/>
      <c r="MX386" s="569"/>
      <c r="MY386" s="569"/>
      <c r="MZ386" s="569"/>
      <c r="NA386" s="569"/>
      <c r="NB386" s="569"/>
      <c r="NC386" s="569"/>
      <c r="ND386" s="569"/>
      <c r="NE386" s="569"/>
      <c r="NF386" s="569"/>
      <c r="NG386" s="569"/>
      <c r="NH386" s="569"/>
      <c r="NI386" s="569"/>
      <c r="NJ386" s="569"/>
      <c r="NK386" s="569"/>
      <c r="NL386" s="569"/>
      <c r="NM386" s="569"/>
      <c r="NN386" s="569"/>
      <c r="NO386" s="569"/>
      <c r="NP386" s="569"/>
      <c r="NQ386" s="569"/>
      <c r="NR386" s="569"/>
      <c r="NS386" s="569"/>
      <c r="NT386" s="569"/>
      <c r="NU386" s="569"/>
      <c r="NV386" s="569"/>
      <c r="NW386" s="569"/>
      <c r="NX386" s="569"/>
      <c r="NY386" s="569"/>
      <c r="NZ386" s="569"/>
      <c r="OA386" s="569"/>
      <c r="OB386" s="569"/>
      <c r="OC386" s="569"/>
      <c r="OD386" s="569"/>
      <c r="OE386" s="569"/>
      <c r="OF386" s="569"/>
      <c r="OG386" s="569"/>
      <c r="OH386" s="569"/>
      <c r="OI386" s="569"/>
      <c r="OJ386" s="569"/>
      <c r="OK386" s="569"/>
      <c r="OL386" s="569"/>
      <c r="OM386" s="569"/>
      <c r="ON386" s="569"/>
      <c r="OO386" s="569"/>
      <c r="OP386" s="569"/>
      <c r="OQ386" s="569"/>
      <c r="OR386" s="569"/>
      <c r="OS386" s="569"/>
      <c r="OT386" s="569"/>
      <c r="OU386" s="569"/>
      <c r="OV386" s="569"/>
      <c r="OW386" s="569"/>
      <c r="OX386" s="569"/>
      <c r="OY386" s="569"/>
      <c r="OZ386" s="569"/>
      <c r="PA386" s="569"/>
      <c r="PB386" s="569"/>
      <c r="PC386" s="569"/>
      <c r="PD386" s="569"/>
      <c r="PE386" s="569"/>
      <c r="PF386" s="569"/>
      <c r="PG386" s="569"/>
      <c r="PH386" s="569"/>
      <c r="PI386" s="569"/>
      <c r="PJ386" s="569"/>
      <c r="PK386" s="569"/>
      <c r="PL386" s="569"/>
      <c r="PM386" s="569"/>
      <c r="PN386" s="569"/>
      <c r="PO386" s="569"/>
      <c r="PP386" s="569"/>
      <c r="PQ386" s="569"/>
      <c r="PR386" s="569"/>
      <c r="PS386" s="569"/>
      <c r="PT386" s="569"/>
      <c r="PU386" s="569"/>
      <c r="PV386" s="569"/>
      <c r="PW386" s="569"/>
      <c r="PX386" s="569"/>
      <c r="PY386" s="569"/>
      <c r="PZ386" s="569"/>
      <c r="QA386" s="569"/>
      <c r="QB386" s="569"/>
      <c r="QC386" s="569"/>
      <c r="QD386" s="569"/>
      <c r="QE386" s="569"/>
      <c r="QF386" s="569"/>
      <c r="QG386" s="569"/>
      <c r="QH386" s="569"/>
      <c r="QI386" s="569"/>
      <c r="QJ386" s="569"/>
      <c r="QK386" s="569"/>
      <c r="QL386" s="569"/>
    </row>
    <row r="387" spans="1:454" ht="75">
      <c r="D387" s="568"/>
      <c r="E387" s="568"/>
      <c r="F387" s="568"/>
      <c r="G387" s="568"/>
      <c r="H387" s="563" t="str">
        <f>'matrik MISI 2'!N12</f>
        <v>Cakupan PMKS yang Memperoleh Pemberdayaan Sosial melalui KUBE atau kelompok Sosial Ekonomi sejenis</v>
      </c>
      <c r="I387" s="563" t="str">
        <f>'matrik MISI 2'!O12</f>
        <v>%</v>
      </c>
      <c r="J387" s="563">
        <f>'matrik MISI 2'!P12</f>
        <v>0.33</v>
      </c>
      <c r="K387" s="563">
        <f>'matrik MISI 2'!Q12</f>
        <v>0.28999999999999998</v>
      </c>
      <c r="L387" s="563">
        <f>'matrik MISI 2'!R12</f>
        <v>0.34</v>
      </c>
      <c r="M387" s="604"/>
      <c r="N387" s="563">
        <f>'matrik MISI 2'!S12</f>
        <v>1</v>
      </c>
      <c r="O387" s="564"/>
      <c r="P387" s="563">
        <f>'matrik MISI 2'!T12</f>
        <v>1.5</v>
      </c>
      <c r="Q387" s="564"/>
      <c r="R387" s="563">
        <f>'matrik MISI 2'!U12</f>
        <v>2.25</v>
      </c>
      <c r="S387" s="564"/>
      <c r="T387" s="563">
        <f>'matrik MISI 2'!V12</f>
        <v>3</v>
      </c>
      <c r="U387" s="564"/>
      <c r="V387" s="563">
        <f>'matrik MISI 2'!W12</f>
        <v>3</v>
      </c>
      <c r="W387" s="564"/>
      <c r="X387" s="563" t="str">
        <f>'matrik MISI 2'!X12</f>
        <v>Dinas Sosial</v>
      </c>
      <c r="Y387" s="565"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87" s="565" t="str">
        <f>'matrik MISI 2'!Z12</f>
        <v>PMKS yang menjadi sasaran pada IKD ini adalah FM, PRSE, LANSIA Potensial, Penyandang Disabilitas menggunakan basik data tahun 2013</v>
      </c>
    </row>
    <row r="388" spans="1:454" s="574" customFormat="1" ht="45">
      <c r="A388" s="569"/>
      <c r="B388" s="575"/>
      <c r="C388" s="576"/>
      <c r="D388" s="577">
        <f>'matrik MISI 2'!J17</f>
        <v>1.1299999999999999</v>
      </c>
      <c r="E388" s="577" t="str">
        <f>'matrik MISI 2'!K17</f>
        <v>xx</v>
      </c>
      <c r="F388" s="577">
        <f>'matrik MISI 2'!L17</f>
        <v>21</v>
      </c>
      <c r="G388" s="577" t="str">
        <f>'matrik MISI 2'!M17</f>
        <v>Program Pemberdayaan Kelembagaan Kesejahteraan Sosial</v>
      </c>
      <c r="H388" s="577"/>
      <c r="I388" s="577"/>
      <c r="J388" s="577"/>
      <c r="K388" s="577"/>
      <c r="L388" s="577"/>
      <c r="M388" s="578">
        <f>'jangan di hapus 1'!K756</f>
        <v>777825000</v>
      </c>
      <c r="N388" s="578"/>
      <c r="O388" s="578">
        <f>'jangan di hapus 1'!M756</f>
        <v>2260000000</v>
      </c>
      <c r="P388" s="578"/>
      <c r="Q388" s="578">
        <f>'jangan di hapus 1'!O756</f>
        <v>2450500000</v>
      </c>
      <c r="R388" s="578"/>
      <c r="S388" s="578">
        <f>'jangan di hapus 1'!Q756</f>
        <v>2562000000</v>
      </c>
      <c r="T388" s="578"/>
      <c r="U388" s="578">
        <f>'jangan di hapus 1'!S756</f>
        <v>2626000000</v>
      </c>
      <c r="V388" s="577"/>
      <c r="W388" s="578">
        <f>SUM(M388:U388)</f>
        <v>10676325000</v>
      </c>
      <c r="X388" s="577"/>
      <c r="Y388" s="577"/>
      <c r="Z388" s="577"/>
      <c r="AA388" s="569"/>
      <c r="AB388" s="569"/>
      <c r="AC388" s="569"/>
      <c r="AD388" s="569"/>
      <c r="AE388" s="569"/>
      <c r="AF388" s="569"/>
      <c r="AG388" s="569"/>
      <c r="AH388" s="569"/>
      <c r="AI388" s="569"/>
      <c r="AJ388" s="569"/>
      <c r="AK388" s="569"/>
      <c r="AL388" s="569"/>
      <c r="AM388" s="569"/>
      <c r="AN388" s="569"/>
      <c r="AO388" s="569"/>
      <c r="AP388" s="569"/>
      <c r="AQ388" s="569"/>
      <c r="AR388" s="569"/>
      <c r="AS388" s="569"/>
      <c r="AT388" s="569"/>
      <c r="AU388" s="569"/>
      <c r="AV388" s="569"/>
      <c r="AW388" s="569"/>
      <c r="AX388" s="569"/>
      <c r="AY388" s="569"/>
      <c r="AZ388" s="569"/>
      <c r="BA388" s="569"/>
      <c r="BB388" s="569"/>
      <c r="BC388" s="569"/>
      <c r="BD388" s="569"/>
      <c r="BE388" s="569"/>
      <c r="BF388" s="569"/>
      <c r="BG388" s="569"/>
      <c r="BH388" s="569"/>
      <c r="BI388" s="569"/>
      <c r="BJ388" s="569"/>
      <c r="BK388" s="569"/>
      <c r="BL388" s="569"/>
      <c r="BM388" s="569"/>
      <c r="BN388" s="569"/>
      <c r="BO388" s="569"/>
      <c r="BP388" s="569"/>
      <c r="BQ388" s="569"/>
      <c r="BR388" s="569"/>
      <c r="BS388" s="569"/>
      <c r="BT388" s="569"/>
      <c r="BU388" s="569"/>
      <c r="BV388" s="569"/>
      <c r="BW388" s="569"/>
      <c r="BX388" s="569"/>
      <c r="BY388" s="569"/>
      <c r="BZ388" s="569"/>
      <c r="CA388" s="569"/>
      <c r="CB388" s="569"/>
      <c r="CC388" s="569"/>
      <c r="CD388" s="569"/>
      <c r="CE388" s="569"/>
      <c r="CF388" s="569"/>
      <c r="CG388" s="569"/>
      <c r="CH388" s="569"/>
      <c r="CI388" s="569"/>
      <c r="CJ388" s="569"/>
      <c r="CK388" s="569"/>
      <c r="CL388" s="569"/>
      <c r="CM388" s="569"/>
      <c r="CN388" s="569"/>
      <c r="CO388" s="569"/>
      <c r="CP388" s="569"/>
      <c r="CQ388" s="569"/>
      <c r="CR388" s="569"/>
      <c r="CS388" s="569"/>
      <c r="CT388" s="569"/>
      <c r="CU388" s="569"/>
      <c r="CV388" s="569"/>
      <c r="CW388" s="569"/>
      <c r="CX388" s="569"/>
      <c r="CY388" s="569"/>
      <c r="CZ388" s="569"/>
      <c r="DA388" s="569"/>
      <c r="DB388" s="569"/>
      <c r="DC388" s="569"/>
      <c r="DD388" s="569"/>
      <c r="DE388" s="569"/>
      <c r="DF388" s="569"/>
      <c r="DG388" s="569"/>
      <c r="DH388" s="569"/>
      <c r="DI388" s="569"/>
      <c r="DJ388" s="569"/>
      <c r="DK388" s="569"/>
      <c r="DL388" s="569"/>
      <c r="DM388" s="569"/>
      <c r="DN388" s="569"/>
      <c r="DO388" s="569"/>
      <c r="DP388" s="569"/>
      <c r="DQ388" s="569"/>
      <c r="DR388" s="569"/>
      <c r="DS388" s="569"/>
      <c r="DT388" s="569"/>
      <c r="DU388" s="569"/>
      <c r="DV388" s="569"/>
      <c r="DW388" s="569"/>
      <c r="DX388" s="569"/>
      <c r="DY388" s="569"/>
      <c r="DZ388" s="569"/>
      <c r="EA388" s="569"/>
      <c r="EB388" s="569"/>
      <c r="EC388" s="569"/>
      <c r="ED388" s="569"/>
      <c r="EE388" s="569"/>
      <c r="EF388" s="569"/>
      <c r="EG388" s="569"/>
      <c r="EH388" s="569"/>
      <c r="EI388" s="569"/>
      <c r="EJ388" s="569"/>
      <c r="EK388" s="569"/>
      <c r="EL388" s="569"/>
      <c r="EM388" s="569"/>
      <c r="EN388" s="569"/>
      <c r="EO388" s="569"/>
      <c r="EP388" s="569"/>
      <c r="EQ388" s="569"/>
      <c r="ER388" s="569"/>
      <c r="ES388" s="569"/>
      <c r="ET388" s="569"/>
      <c r="EU388" s="569"/>
      <c r="EV388" s="569"/>
      <c r="EW388" s="569"/>
      <c r="EX388" s="569"/>
      <c r="EY388" s="569"/>
      <c r="EZ388" s="569"/>
      <c r="FA388" s="569"/>
      <c r="FB388" s="569"/>
      <c r="FC388" s="569"/>
      <c r="FD388" s="569"/>
      <c r="FE388" s="569"/>
      <c r="FF388" s="569"/>
      <c r="FG388" s="569"/>
      <c r="FH388" s="569"/>
      <c r="FI388" s="569"/>
      <c r="FJ388" s="569"/>
      <c r="FK388" s="569"/>
      <c r="FL388" s="569"/>
      <c r="FM388" s="569"/>
      <c r="FN388" s="569"/>
      <c r="FO388" s="569"/>
      <c r="FP388" s="569"/>
      <c r="FQ388" s="569"/>
      <c r="FR388" s="569"/>
      <c r="FS388" s="569"/>
      <c r="FT388" s="569"/>
      <c r="FU388" s="569"/>
      <c r="FV388" s="569"/>
      <c r="FW388" s="569"/>
      <c r="FX388" s="569"/>
      <c r="FY388" s="569"/>
      <c r="FZ388" s="569"/>
      <c r="GA388" s="569"/>
      <c r="GB388" s="569"/>
      <c r="GC388" s="569"/>
      <c r="GD388" s="569"/>
      <c r="GE388" s="569"/>
      <c r="GF388" s="569"/>
      <c r="GG388" s="569"/>
      <c r="GH388" s="569"/>
      <c r="GI388" s="569"/>
      <c r="GJ388" s="569"/>
      <c r="GK388" s="569"/>
      <c r="GL388" s="569"/>
      <c r="GM388" s="569"/>
      <c r="GN388" s="569"/>
      <c r="GO388" s="569"/>
      <c r="GP388" s="569"/>
      <c r="GQ388" s="569"/>
      <c r="GR388" s="569"/>
      <c r="GS388" s="569"/>
      <c r="GT388" s="569"/>
      <c r="GU388" s="569"/>
      <c r="GV388" s="569"/>
      <c r="GW388" s="569"/>
      <c r="GX388" s="569"/>
      <c r="GY388" s="569"/>
      <c r="GZ388" s="569"/>
      <c r="HA388" s="569"/>
      <c r="HB388" s="569"/>
      <c r="HC388" s="569"/>
      <c r="HD388" s="569"/>
      <c r="HE388" s="569"/>
      <c r="HF388" s="569"/>
      <c r="HG388" s="569"/>
      <c r="HH388" s="569"/>
      <c r="HI388" s="569"/>
      <c r="HJ388" s="569"/>
      <c r="HK388" s="569"/>
      <c r="HL388" s="569"/>
      <c r="HM388" s="569"/>
      <c r="HN388" s="569"/>
      <c r="HO388" s="569"/>
      <c r="HP388" s="569"/>
      <c r="HQ388" s="569"/>
      <c r="HR388" s="569"/>
      <c r="HS388" s="569"/>
      <c r="HT388" s="569"/>
      <c r="HU388" s="569"/>
      <c r="HV388" s="569"/>
      <c r="HW388" s="569"/>
      <c r="HX388" s="569"/>
      <c r="HY388" s="569"/>
      <c r="HZ388" s="569"/>
      <c r="IA388" s="569"/>
      <c r="IB388" s="569"/>
      <c r="IC388" s="569"/>
      <c r="ID388" s="569"/>
      <c r="IE388" s="569"/>
      <c r="IF388" s="569"/>
      <c r="IG388" s="569"/>
      <c r="IH388" s="569"/>
      <c r="II388" s="569"/>
      <c r="IJ388" s="569"/>
      <c r="IK388" s="569"/>
      <c r="IL388" s="569"/>
      <c r="IM388" s="569"/>
      <c r="IN388" s="569"/>
      <c r="IO388" s="569"/>
      <c r="IP388" s="569"/>
      <c r="IQ388" s="569"/>
      <c r="IR388" s="569"/>
      <c r="IS388" s="569"/>
      <c r="IT388" s="569"/>
      <c r="IU388" s="569"/>
      <c r="IV388" s="569"/>
      <c r="IW388" s="569"/>
      <c r="IX388" s="569"/>
      <c r="IY388" s="569"/>
      <c r="IZ388" s="569"/>
      <c r="JA388" s="569"/>
      <c r="JB388" s="569"/>
      <c r="JC388" s="569"/>
      <c r="JD388" s="569"/>
      <c r="JE388" s="569"/>
      <c r="JF388" s="569"/>
      <c r="JG388" s="569"/>
      <c r="JH388" s="569"/>
      <c r="JI388" s="569"/>
      <c r="JJ388" s="569"/>
      <c r="JK388" s="569"/>
      <c r="JL388" s="569"/>
      <c r="JM388" s="569"/>
      <c r="JN388" s="569"/>
      <c r="JO388" s="569"/>
      <c r="JP388" s="569"/>
      <c r="JQ388" s="569"/>
      <c r="JR388" s="569"/>
      <c r="JS388" s="569"/>
      <c r="JT388" s="569"/>
      <c r="JU388" s="569"/>
      <c r="JV388" s="569"/>
      <c r="JW388" s="569"/>
      <c r="JX388" s="569"/>
      <c r="JY388" s="569"/>
      <c r="JZ388" s="569"/>
      <c r="KA388" s="569"/>
      <c r="KB388" s="569"/>
      <c r="KC388" s="569"/>
      <c r="KD388" s="569"/>
      <c r="KE388" s="569"/>
      <c r="KF388" s="569"/>
      <c r="KG388" s="569"/>
      <c r="KH388" s="569"/>
      <c r="KI388" s="569"/>
      <c r="KJ388" s="569"/>
      <c r="KK388" s="569"/>
      <c r="KL388" s="569"/>
      <c r="KM388" s="569"/>
      <c r="KN388" s="569"/>
      <c r="KO388" s="569"/>
      <c r="KP388" s="569"/>
      <c r="KQ388" s="569"/>
      <c r="KR388" s="569"/>
      <c r="KS388" s="569"/>
      <c r="KT388" s="569"/>
      <c r="KU388" s="569"/>
      <c r="KV388" s="569"/>
      <c r="KW388" s="569"/>
      <c r="KX388" s="569"/>
      <c r="KY388" s="569"/>
      <c r="KZ388" s="569"/>
      <c r="LA388" s="569"/>
      <c r="LB388" s="569"/>
      <c r="LC388" s="569"/>
      <c r="LD388" s="569"/>
      <c r="LE388" s="569"/>
      <c r="LF388" s="569"/>
      <c r="LG388" s="569"/>
      <c r="LH388" s="569"/>
      <c r="LI388" s="569"/>
      <c r="LJ388" s="569"/>
      <c r="LK388" s="569"/>
      <c r="LL388" s="569"/>
      <c r="LM388" s="569"/>
      <c r="LN388" s="569"/>
      <c r="LO388" s="569"/>
      <c r="LP388" s="569"/>
      <c r="LQ388" s="569"/>
      <c r="LR388" s="569"/>
      <c r="LS388" s="569"/>
      <c r="LT388" s="569"/>
      <c r="LU388" s="569"/>
      <c r="LV388" s="569"/>
      <c r="LW388" s="569"/>
      <c r="LX388" s="569"/>
      <c r="LY388" s="569"/>
      <c r="LZ388" s="569"/>
      <c r="MA388" s="569"/>
      <c r="MB388" s="569"/>
      <c r="MC388" s="569"/>
      <c r="MD388" s="569"/>
      <c r="ME388" s="569"/>
      <c r="MF388" s="569"/>
      <c r="MG388" s="569"/>
      <c r="MH388" s="569"/>
      <c r="MI388" s="569"/>
      <c r="MJ388" s="569"/>
      <c r="MK388" s="569"/>
      <c r="ML388" s="569"/>
      <c r="MM388" s="569"/>
      <c r="MN388" s="569"/>
      <c r="MO388" s="569"/>
      <c r="MP388" s="569"/>
      <c r="MQ388" s="569"/>
      <c r="MR388" s="569"/>
      <c r="MS388" s="569"/>
      <c r="MT388" s="569"/>
      <c r="MU388" s="569"/>
      <c r="MV388" s="569"/>
      <c r="MW388" s="569"/>
      <c r="MX388" s="569"/>
      <c r="MY388" s="569"/>
      <c r="MZ388" s="569"/>
      <c r="NA388" s="569"/>
      <c r="NB388" s="569"/>
      <c r="NC388" s="569"/>
      <c r="ND388" s="569"/>
      <c r="NE388" s="569"/>
      <c r="NF388" s="569"/>
      <c r="NG388" s="569"/>
      <c r="NH388" s="569"/>
      <c r="NI388" s="569"/>
      <c r="NJ388" s="569"/>
      <c r="NK388" s="569"/>
      <c r="NL388" s="569"/>
      <c r="NM388" s="569"/>
      <c r="NN388" s="569"/>
      <c r="NO388" s="569"/>
      <c r="NP388" s="569"/>
      <c r="NQ388" s="569"/>
      <c r="NR388" s="569"/>
      <c r="NS388" s="569"/>
      <c r="NT388" s="569"/>
      <c r="NU388" s="569"/>
      <c r="NV388" s="569"/>
      <c r="NW388" s="569"/>
      <c r="NX388" s="569"/>
      <c r="NY388" s="569"/>
      <c r="NZ388" s="569"/>
      <c r="OA388" s="569"/>
      <c r="OB388" s="569"/>
      <c r="OC388" s="569"/>
      <c r="OD388" s="569"/>
      <c r="OE388" s="569"/>
      <c r="OF388" s="569"/>
      <c r="OG388" s="569"/>
      <c r="OH388" s="569"/>
      <c r="OI388" s="569"/>
      <c r="OJ388" s="569"/>
      <c r="OK388" s="569"/>
      <c r="OL388" s="569"/>
      <c r="OM388" s="569"/>
      <c r="ON388" s="569"/>
      <c r="OO388" s="569"/>
      <c r="OP388" s="569"/>
      <c r="OQ388" s="569"/>
      <c r="OR388" s="569"/>
      <c r="OS388" s="569"/>
      <c r="OT388" s="569"/>
      <c r="OU388" s="569"/>
      <c r="OV388" s="569"/>
      <c r="OW388" s="569"/>
      <c r="OX388" s="569"/>
      <c r="OY388" s="569"/>
      <c r="OZ388" s="569"/>
      <c r="PA388" s="569"/>
      <c r="PB388" s="569"/>
      <c r="PC388" s="569"/>
      <c r="PD388" s="569"/>
      <c r="PE388" s="569"/>
      <c r="PF388" s="569"/>
      <c r="PG388" s="569"/>
      <c r="PH388" s="569"/>
      <c r="PI388" s="569"/>
      <c r="PJ388" s="569"/>
      <c r="PK388" s="569"/>
      <c r="PL388" s="569"/>
      <c r="PM388" s="569"/>
      <c r="PN388" s="569"/>
      <c r="PO388" s="569"/>
      <c r="PP388" s="569"/>
      <c r="PQ388" s="569"/>
      <c r="PR388" s="569"/>
      <c r="PS388" s="569"/>
      <c r="PT388" s="569"/>
      <c r="PU388" s="569"/>
      <c r="PV388" s="569"/>
      <c r="PW388" s="569"/>
      <c r="PX388" s="569"/>
      <c r="PY388" s="569"/>
      <c r="PZ388" s="569"/>
      <c r="QA388" s="569"/>
      <c r="QB388" s="569"/>
      <c r="QC388" s="569"/>
      <c r="QD388" s="569"/>
      <c r="QE388" s="569"/>
      <c r="QF388" s="569"/>
      <c r="QG388" s="569"/>
      <c r="QH388" s="569"/>
      <c r="QI388" s="569"/>
      <c r="QJ388" s="569"/>
      <c r="QK388" s="569"/>
      <c r="QL388" s="569"/>
    </row>
    <row r="389" spans="1:454" ht="75">
      <c r="D389" s="568"/>
      <c r="E389" s="568"/>
      <c r="F389" s="568"/>
      <c r="G389" s="568"/>
      <c r="H389" s="563" t="str">
        <f>'matrik MISI 2'!N17</f>
        <v>Cakupan Dunia Usaha yang mengalokasikan CSR dalam Penanganan PMKS</v>
      </c>
      <c r="I389" s="563" t="str">
        <f>'matrik MISI 2'!O17</f>
        <v>%</v>
      </c>
      <c r="J389" s="563">
        <f>'matrik MISI 2'!P17</f>
        <v>100</v>
      </c>
      <c r="K389" s="563">
        <f>'matrik MISI 2'!Q17</f>
        <v>100</v>
      </c>
      <c r="L389" s="563">
        <f>'matrik MISI 2'!R17</f>
        <v>100</v>
      </c>
      <c r="M389" s="604"/>
      <c r="N389" s="563">
        <f>'matrik MISI 2'!S17</f>
        <v>100</v>
      </c>
      <c r="O389" s="564"/>
      <c r="P389" s="563">
        <f>'matrik MISI 2'!T17</f>
        <v>100</v>
      </c>
      <c r="Q389" s="564"/>
      <c r="R389" s="563">
        <f>'matrik MISI 2'!U17</f>
        <v>100</v>
      </c>
      <c r="S389" s="564"/>
      <c r="T389" s="563">
        <f>'matrik MISI 2'!V17</f>
        <v>100</v>
      </c>
      <c r="U389" s="564"/>
      <c r="V389" s="563">
        <f>'matrik MISI 2'!W17</f>
        <v>100</v>
      </c>
      <c r="W389" s="564"/>
      <c r="X389" s="563" t="str">
        <f>'matrik MISI 2'!X17</f>
        <v>Dinas Sosial</v>
      </c>
      <c r="Y389" s="565" t="str">
        <f>'matrik MISI 2'!Y17</f>
        <v xml:space="preserve">jumlah Dunia Usaha yang melaksanakan CSR  terhadap PMKS dibagi Jumlah Dunia Usaha yang  melaksanakan CSR </v>
      </c>
      <c r="Z389" s="565"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0" spans="1:454" ht="75">
      <c r="G390" s="563"/>
      <c r="H390" s="563" t="str">
        <f>'matrik MISI 2'!N18</f>
        <v>Cakupan Karang Taruna, PSM, dan Organisasi Sosial lainnya dalam Penanganan PMKS</v>
      </c>
      <c r="I390" s="563" t="str">
        <f>'matrik MISI 2'!O18</f>
        <v>%</v>
      </c>
      <c r="J390" s="563">
        <f>'matrik MISI 2'!P18</f>
        <v>100</v>
      </c>
      <c r="K390" s="563">
        <f>'matrik MISI 2'!Q18</f>
        <v>100</v>
      </c>
      <c r="L390" s="563">
        <f>'matrik MISI 2'!R18</f>
        <v>100</v>
      </c>
      <c r="M390" s="604"/>
      <c r="N390" s="563">
        <f>'matrik MISI 2'!S18</f>
        <v>100</v>
      </c>
      <c r="O390" s="564"/>
      <c r="P390" s="563">
        <f>'matrik MISI 2'!T18</f>
        <v>100</v>
      </c>
      <c r="Q390" s="564"/>
      <c r="R390" s="563">
        <f>'matrik MISI 2'!U18</f>
        <v>100</v>
      </c>
      <c r="S390" s="564"/>
      <c r="T390" s="563">
        <f>'matrik MISI 2'!V18</f>
        <v>100</v>
      </c>
      <c r="U390" s="564"/>
      <c r="V390" s="563">
        <f>'matrik MISI 2'!W18</f>
        <v>100</v>
      </c>
      <c r="W390" s="564"/>
      <c r="X390" s="563" t="str">
        <f>'matrik MISI 2'!X18</f>
        <v>Dinas Sosial</v>
      </c>
      <c r="Y390" s="565"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0" s="565" t="str">
        <f>'matrik MISI 2'!Z18</f>
        <v>Orsos lainnnya seperti TKSK, K3S, Komda Lansia, Tagana, LK3</v>
      </c>
    </row>
    <row r="391" spans="1:454" ht="150">
      <c r="G391" s="563"/>
      <c r="H391" s="563" t="str">
        <f>'matrik MISI 2'!N19</f>
        <v>Cakupan Wahana Kesejahteraan Sosial Berbasis Masyarakat (WKSBM) yang Menyediakan Sarana dan Prasarana Pelayanan Kesejahteraan Sosial</v>
      </c>
      <c r="I391" s="563" t="str">
        <f>'matrik MISI 2'!O19</f>
        <v>%</v>
      </c>
      <c r="J391" s="563">
        <f>'matrik MISI 2'!P19</f>
        <v>0</v>
      </c>
      <c r="K391" s="563">
        <f>'matrik MISI 2'!Q19</f>
        <v>0</v>
      </c>
      <c r="L391" s="563">
        <f>'matrik MISI 2'!R19</f>
        <v>0</v>
      </c>
      <c r="M391" s="604"/>
      <c r="N391" s="563">
        <f>'matrik MISI 2'!S19</f>
        <v>24.22</v>
      </c>
      <c r="O391" s="564"/>
      <c r="P391" s="563">
        <f>'matrik MISI 2'!T19</f>
        <v>24.22</v>
      </c>
      <c r="Q391" s="564"/>
      <c r="R391" s="563">
        <f>'matrik MISI 2'!U19</f>
        <v>25.61</v>
      </c>
      <c r="S391" s="564"/>
      <c r="T391" s="563">
        <f>'matrik MISI 2'!V19</f>
        <v>25.95</v>
      </c>
      <c r="U391" s="564"/>
      <c r="V391" s="563">
        <f>'matrik MISI 2'!W19</f>
        <v>25.95</v>
      </c>
      <c r="W391" s="564"/>
      <c r="X391" s="563" t="str">
        <f>'matrik MISI 2'!X19</f>
        <v>Dinas Sosial</v>
      </c>
      <c r="Y391" s="565" t="str">
        <f>'matrik MISI 2'!Y19</f>
        <v>Persentase  WKBSM dalam 1 (satu) tahun yang menyediakan sarana prasarana pelayanan kesejahteraan sosial dibagi Persentase  WKBSM dalam 1 (satu) tahun yang seharusnya menyediakan sarana prasarana pelayanan kesejahteraan sosial x 100</v>
      </c>
      <c r="Z391" s="565"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2" spans="1:454" s="574" customFormat="1" ht="30">
      <c r="A392" s="569"/>
      <c r="B392" s="575"/>
      <c r="C392" s="576"/>
      <c r="D392" s="577">
        <f>'matrik MISI 2'!J24</f>
        <v>1.1299999999999999</v>
      </c>
      <c r="E392" s="577" t="str">
        <f>'matrik MISI 2'!K24</f>
        <v>xx</v>
      </c>
      <c r="F392" s="577">
        <f>'matrik MISI 2'!L24</f>
        <v>25</v>
      </c>
      <c r="G392" s="577" t="str">
        <f>'matrik MISI 2'!M24</f>
        <v xml:space="preserve">program pencegahan dan kesiapsiagaan </v>
      </c>
      <c r="H392" s="577"/>
      <c r="I392" s="577"/>
      <c r="J392" s="577"/>
      <c r="K392" s="577"/>
      <c r="L392" s="577"/>
      <c r="M392" s="578">
        <f>'jangan di hapus 1'!K784</f>
        <v>223097100</v>
      </c>
      <c r="N392" s="578"/>
      <c r="O392" s="578">
        <f>'jangan di hapus 1'!M784</f>
        <v>665000000</v>
      </c>
      <c r="P392" s="578"/>
      <c r="Q392" s="578">
        <f>'jangan di hapus 1'!O784</f>
        <v>695000000</v>
      </c>
      <c r="R392" s="578"/>
      <c r="S392" s="578">
        <f>'jangan di hapus 1'!Q784</f>
        <v>695000000</v>
      </c>
      <c r="T392" s="578"/>
      <c r="U392" s="578">
        <f>'jangan di hapus 1'!S784</f>
        <v>705000000</v>
      </c>
      <c r="V392" s="577"/>
      <c r="W392" s="578">
        <f>SUM(M392:U392)</f>
        <v>2983097100</v>
      </c>
      <c r="X392" s="577"/>
      <c r="Y392" s="577"/>
      <c r="Z392" s="577"/>
      <c r="AA392" s="569"/>
      <c r="AB392" s="569"/>
      <c r="AC392" s="569"/>
      <c r="AD392" s="569"/>
      <c r="AE392" s="569"/>
      <c r="AF392" s="569"/>
      <c r="AG392" s="569"/>
      <c r="AH392" s="569"/>
      <c r="AI392" s="569"/>
      <c r="AJ392" s="569"/>
      <c r="AK392" s="569"/>
      <c r="AL392" s="569"/>
      <c r="AM392" s="569"/>
      <c r="AN392" s="569"/>
      <c r="AO392" s="569"/>
      <c r="AP392" s="569"/>
      <c r="AQ392" s="569"/>
      <c r="AR392" s="569"/>
      <c r="AS392" s="569"/>
      <c r="AT392" s="569"/>
      <c r="AU392" s="569"/>
      <c r="AV392" s="569"/>
      <c r="AW392" s="569"/>
      <c r="AX392" s="569"/>
      <c r="AY392" s="569"/>
      <c r="AZ392" s="569"/>
      <c r="BA392" s="569"/>
      <c r="BB392" s="569"/>
      <c r="BC392" s="569"/>
      <c r="BD392" s="569"/>
      <c r="BE392" s="569"/>
      <c r="BF392" s="569"/>
      <c r="BG392" s="569"/>
      <c r="BH392" s="569"/>
      <c r="BI392" s="569"/>
      <c r="BJ392" s="569"/>
      <c r="BK392" s="569"/>
      <c r="BL392" s="569"/>
      <c r="BM392" s="569"/>
      <c r="BN392" s="569"/>
      <c r="BO392" s="569"/>
      <c r="BP392" s="569"/>
      <c r="BQ392" s="569"/>
      <c r="BR392" s="569"/>
      <c r="BS392" s="569"/>
      <c r="BT392" s="569"/>
      <c r="BU392" s="569"/>
      <c r="BV392" s="569"/>
      <c r="BW392" s="569"/>
      <c r="BX392" s="569"/>
      <c r="BY392" s="569"/>
      <c r="BZ392" s="569"/>
      <c r="CA392" s="569"/>
      <c r="CB392" s="569"/>
      <c r="CC392" s="569"/>
      <c r="CD392" s="569"/>
      <c r="CE392" s="569"/>
      <c r="CF392" s="569"/>
      <c r="CG392" s="569"/>
      <c r="CH392" s="569"/>
      <c r="CI392" s="569"/>
      <c r="CJ392" s="569"/>
      <c r="CK392" s="569"/>
      <c r="CL392" s="569"/>
      <c r="CM392" s="569"/>
      <c r="CN392" s="569"/>
      <c r="CO392" s="569"/>
      <c r="CP392" s="569"/>
      <c r="CQ392" s="569"/>
      <c r="CR392" s="569"/>
      <c r="CS392" s="569"/>
      <c r="CT392" s="569"/>
      <c r="CU392" s="569"/>
      <c r="CV392" s="569"/>
      <c r="CW392" s="569"/>
      <c r="CX392" s="569"/>
      <c r="CY392" s="569"/>
      <c r="CZ392" s="569"/>
      <c r="DA392" s="569"/>
      <c r="DB392" s="569"/>
      <c r="DC392" s="569"/>
      <c r="DD392" s="569"/>
      <c r="DE392" s="569"/>
      <c r="DF392" s="569"/>
      <c r="DG392" s="569"/>
      <c r="DH392" s="569"/>
      <c r="DI392" s="569"/>
      <c r="DJ392" s="569"/>
      <c r="DK392" s="569"/>
      <c r="DL392" s="569"/>
      <c r="DM392" s="569"/>
      <c r="DN392" s="569"/>
      <c r="DO392" s="569"/>
      <c r="DP392" s="569"/>
      <c r="DQ392" s="569"/>
      <c r="DR392" s="569"/>
      <c r="DS392" s="569"/>
      <c r="DT392" s="569"/>
      <c r="DU392" s="569"/>
      <c r="DV392" s="569"/>
      <c r="DW392" s="569"/>
      <c r="DX392" s="569"/>
      <c r="DY392" s="569"/>
      <c r="DZ392" s="569"/>
      <c r="EA392" s="569"/>
      <c r="EB392" s="569"/>
      <c r="EC392" s="569"/>
      <c r="ED392" s="569"/>
      <c r="EE392" s="569"/>
      <c r="EF392" s="569"/>
      <c r="EG392" s="569"/>
      <c r="EH392" s="569"/>
      <c r="EI392" s="569"/>
      <c r="EJ392" s="569"/>
      <c r="EK392" s="569"/>
      <c r="EL392" s="569"/>
      <c r="EM392" s="569"/>
      <c r="EN392" s="569"/>
      <c r="EO392" s="569"/>
      <c r="EP392" s="569"/>
      <c r="EQ392" s="569"/>
      <c r="ER392" s="569"/>
      <c r="ES392" s="569"/>
      <c r="ET392" s="569"/>
      <c r="EU392" s="569"/>
      <c r="EV392" s="569"/>
      <c r="EW392" s="569"/>
      <c r="EX392" s="569"/>
      <c r="EY392" s="569"/>
      <c r="EZ392" s="569"/>
      <c r="FA392" s="569"/>
      <c r="FB392" s="569"/>
      <c r="FC392" s="569"/>
      <c r="FD392" s="569"/>
      <c r="FE392" s="569"/>
      <c r="FF392" s="569"/>
      <c r="FG392" s="569"/>
      <c r="FH392" s="569"/>
      <c r="FI392" s="569"/>
      <c r="FJ392" s="569"/>
      <c r="FK392" s="569"/>
      <c r="FL392" s="569"/>
      <c r="FM392" s="569"/>
      <c r="FN392" s="569"/>
      <c r="FO392" s="569"/>
      <c r="FP392" s="569"/>
      <c r="FQ392" s="569"/>
      <c r="FR392" s="569"/>
      <c r="FS392" s="569"/>
      <c r="FT392" s="569"/>
      <c r="FU392" s="569"/>
      <c r="FV392" s="569"/>
      <c r="FW392" s="569"/>
      <c r="FX392" s="569"/>
      <c r="FY392" s="569"/>
      <c r="FZ392" s="569"/>
      <c r="GA392" s="569"/>
      <c r="GB392" s="569"/>
      <c r="GC392" s="569"/>
      <c r="GD392" s="569"/>
      <c r="GE392" s="569"/>
      <c r="GF392" s="569"/>
      <c r="GG392" s="569"/>
      <c r="GH392" s="569"/>
      <c r="GI392" s="569"/>
      <c r="GJ392" s="569"/>
      <c r="GK392" s="569"/>
      <c r="GL392" s="569"/>
      <c r="GM392" s="569"/>
      <c r="GN392" s="569"/>
      <c r="GO392" s="569"/>
      <c r="GP392" s="569"/>
      <c r="GQ392" s="569"/>
      <c r="GR392" s="569"/>
      <c r="GS392" s="569"/>
      <c r="GT392" s="569"/>
      <c r="GU392" s="569"/>
      <c r="GV392" s="569"/>
      <c r="GW392" s="569"/>
      <c r="GX392" s="569"/>
      <c r="GY392" s="569"/>
      <c r="GZ392" s="569"/>
      <c r="HA392" s="569"/>
      <c r="HB392" s="569"/>
      <c r="HC392" s="569"/>
      <c r="HD392" s="569"/>
      <c r="HE392" s="569"/>
      <c r="HF392" s="569"/>
      <c r="HG392" s="569"/>
      <c r="HH392" s="569"/>
      <c r="HI392" s="569"/>
      <c r="HJ392" s="569"/>
      <c r="HK392" s="569"/>
      <c r="HL392" s="569"/>
      <c r="HM392" s="569"/>
      <c r="HN392" s="569"/>
      <c r="HO392" s="569"/>
      <c r="HP392" s="569"/>
      <c r="HQ392" s="569"/>
      <c r="HR392" s="569"/>
      <c r="HS392" s="569"/>
      <c r="HT392" s="569"/>
      <c r="HU392" s="569"/>
      <c r="HV392" s="569"/>
      <c r="HW392" s="569"/>
      <c r="HX392" s="569"/>
      <c r="HY392" s="569"/>
      <c r="HZ392" s="569"/>
      <c r="IA392" s="569"/>
      <c r="IB392" s="569"/>
      <c r="IC392" s="569"/>
      <c r="ID392" s="569"/>
      <c r="IE392" s="569"/>
      <c r="IF392" s="569"/>
      <c r="IG392" s="569"/>
      <c r="IH392" s="569"/>
      <c r="II392" s="569"/>
      <c r="IJ392" s="569"/>
      <c r="IK392" s="569"/>
      <c r="IL392" s="569"/>
      <c r="IM392" s="569"/>
      <c r="IN392" s="569"/>
      <c r="IO392" s="569"/>
      <c r="IP392" s="569"/>
      <c r="IQ392" s="569"/>
      <c r="IR392" s="569"/>
      <c r="IS392" s="569"/>
      <c r="IT392" s="569"/>
      <c r="IU392" s="569"/>
      <c r="IV392" s="569"/>
      <c r="IW392" s="569"/>
      <c r="IX392" s="569"/>
      <c r="IY392" s="569"/>
      <c r="IZ392" s="569"/>
      <c r="JA392" s="569"/>
      <c r="JB392" s="569"/>
      <c r="JC392" s="569"/>
      <c r="JD392" s="569"/>
      <c r="JE392" s="569"/>
      <c r="JF392" s="569"/>
      <c r="JG392" s="569"/>
      <c r="JH392" s="569"/>
      <c r="JI392" s="569"/>
      <c r="JJ392" s="569"/>
      <c r="JK392" s="569"/>
      <c r="JL392" s="569"/>
      <c r="JM392" s="569"/>
      <c r="JN392" s="569"/>
      <c r="JO392" s="569"/>
      <c r="JP392" s="569"/>
      <c r="JQ392" s="569"/>
      <c r="JR392" s="569"/>
      <c r="JS392" s="569"/>
      <c r="JT392" s="569"/>
      <c r="JU392" s="569"/>
      <c r="JV392" s="569"/>
      <c r="JW392" s="569"/>
      <c r="JX392" s="569"/>
      <c r="JY392" s="569"/>
      <c r="JZ392" s="569"/>
      <c r="KA392" s="569"/>
      <c r="KB392" s="569"/>
      <c r="KC392" s="569"/>
      <c r="KD392" s="569"/>
      <c r="KE392" s="569"/>
      <c r="KF392" s="569"/>
      <c r="KG392" s="569"/>
      <c r="KH392" s="569"/>
      <c r="KI392" s="569"/>
      <c r="KJ392" s="569"/>
      <c r="KK392" s="569"/>
      <c r="KL392" s="569"/>
      <c r="KM392" s="569"/>
      <c r="KN392" s="569"/>
      <c r="KO392" s="569"/>
      <c r="KP392" s="569"/>
      <c r="KQ392" s="569"/>
      <c r="KR392" s="569"/>
      <c r="KS392" s="569"/>
      <c r="KT392" s="569"/>
      <c r="KU392" s="569"/>
      <c r="KV392" s="569"/>
      <c r="KW392" s="569"/>
      <c r="KX392" s="569"/>
      <c r="KY392" s="569"/>
      <c r="KZ392" s="569"/>
      <c r="LA392" s="569"/>
      <c r="LB392" s="569"/>
      <c r="LC392" s="569"/>
      <c r="LD392" s="569"/>
      <c r="LE392" s="569"/>
      <c r="LF392" s="569"/>
      <c r="LG392" s="569"/>
      <c r="LH392" s="569"/>
      <c r="LI392" s="569"/>
      <c r="LJ392" s="569"/>
      <c r="LK392" s="569"/>
      <c r="LL392" s="569"/>
      <c r="LM392" s="569"/>
      <c r="LN392" s="569"/>
      <c r="LO392" s="569"/>
      <c r="LP392" s="569"/>
      <c r="LQ392" s="569"/>
      <c r="LR392" s="569"/>
      <c r="LS392" s="569"/>
      <c r="LT392" s="569"/>
      <c r="LU392" s="569"/>
      <c r="LV392" s="569"/>
      <c r="LW392" s="569"/>
      <c r="LX392" s="569"/>
      <c r="LY392" s="569"/>
      <c r="LZ392" s="569"/>
      <c r="MA392" s="569"/>
      <c r="MB392" s="569"/>
      <c r="MC392" s="569"/>
      <c r="MD392" s="569"/>
      <c r="ME392" s="569"/>
      <c r="MF392" s="569"/>
      <c r="MG392" s="569"/>
      <c r="MH392" s="569"/>
      <c r="MI392" s="569"/>
      <c r="MJ392" s="569"/>
      <c r="MK392" s="569"/>
      <c r="ML392" s="569"/>
      <c r="MM392" s="569"/>
      <c r="MN392" s="569"/>
      <c r="MO392" s="569"/>
      <c r="MP392" s="569"/>
      <c r="MQ392" s="569"/>
      <c r="MR392" s="569"/>
      <c r="MS392" s="569"/>
      <c r="MT392" s="569"/>
      <c r="MU392" s="569"/>
      <c r="MV392" s="569"/>
      <c r="MW392" s="569"/>
      <c r="MX392" s="569"/>
      <c r="MY392" s="569"/>
      <c r="MZ392" s="569"/>
      <c r="NA392" s="569"/>
      <c r="NB392" s="569"/>
      <c r="NC392" s="569"/>
      <c r="ND392" s="569"/>
      <c r="NE392" s="569"/>
      <c r="NF392" s="569"/>
      <c r="NG392" s="569"/>
      <c r="NH392" s="569"/>
      <c r="NI392" s="569"/>
      <c r="NJ392" s="569"/>
      <c r="NK392" s="569"/>
      <c r="NL392" s="569"/>
      <c r="NM392" s="569"/>
      <c r="NN392" s="569"/>
      <c r="NO392" s="569"/>
      <c r="NP392" s="569"/>
      <c r="NQ392" s="569"/>
      <c r="NR392" s="569"/>
      <c r="NS392" s="569"/>
      <c r="NT392" s="569"/>
      <c r="NU392" s="569"/>
      <c r="NV392" s="569"/>
      <c r="NW392" s="569"/>
      <c r="NX392" s="569"/>
      <c r="NY392" s="569"/>
      <c r="NZ392" s="569"/>
      <c r="OA392" s="569"/>
      <c r="OB392" s="569"/>
      <c r="OC392" s="569"/>
      <c r="OD392" s="569"/>
      <c r="OE392" s="569"/>
      <c r="OF392" s="569"/>
      <c r="OG392" s="569"/>
      <c r="OH392" s="569"/>
      <c r="OI392" s="569"/>
      <c r="OJ392" s="569"/>
      <c r="OK392" s="569"/>
      <c r="OL392" s="569"/>
      <c r="OM392" s="569"/>
      <c r="ON392" s="569"/>
      <c r="OO392" s="569"/>
      <c r="OP392" s="569"/>
      <c r="OQ392" s="569"/>
      <c r="OR392" s="569"/>
      <c r="OS392" s="569"/>
      <c r="OT392" s="569"/>
      <c r="OU392" s="569"/>
      <c r="OV392" s="569"/>
      <c r="OW392" s="569"/>
      <c r="OX392" s="569"/>
      <c r="OY392" s="569"/>
      <c r="OZ392" s="569"/>
      <c r="PA392" s="569"/>
      <c r="PB392" s="569"/>
      <c r="PC392" s="569"/>
      <c r="PD392" s="569"/>
      <c r="PE392" s="569"/>
      <c r="PF392" s="569"/>
      <c r="PG392" s="569"/>
      <c r="PH392" s="569"/>
      <c r="PI392" s="569"/>
      <c r="PJ392" s="569"/>
      <c r="PK392" s="569"/>
      <c r="PL392" s="569"/>
      <c r="PM392" s="569"/>
      <c r="PN392" s="569"/>
      <c r="PO392" s="569"/>
      <c r="PP392" s="569"/>
      <c r="PQ392" s="569"/>
      <c r="PR392" s="569"/>
      <c r="PS392" s="569"/>
      <c r="PT392" s="569"/>
      <c r="PU392" s="569"/>
      <c r="PV392" s="569"/>
      <c r="PW392" s="569"/>
      <c r="PX392" s="569"/>
      <c r="PY392" s="569"/>
      <c r="PZ392" s="569"/>
      <c r="QA392" s="569"/>
      <c r="QB392" s="569"/>
      <c r="QC392" s="569"/>
      <c r="QD392" s="569"/>
      <c r="QE392" s="569"/>
      <c r="QF392" s="569"/>
      <c r="QG392" s="569"/>
      <c r="QH392" s="569"/>
      <c r="QI392" s="569"/>
      <c r="QJ392" s="569"/>
      <c r="QK392" s="569"/>
      <c r="QL392" s="569"/>
    </row>
    <row r="393" spans="1:454" ht="75">
      <c r="D393" s="568"/>
      <c r="E393" s="568"/>
      <c r="F393" s="568"/>
      <c r="G393" s="568"/>
      <c r="H393" s="563" t="str">
        <f>'matrik MISI 2'!N25</f>
        <v>Persentase Tertanganinya Kerusakan Fisik Akibat Bencana Melalui Rehabilitasi dan Rekonstruksi Pasca Bencana dalam Waktu 1(satu) Tahun</v>
      </c>
      <c r="I393" s="563" t="str">
        <f>'matrik MISI 2'!O25</f>
        <v>%</v>
      </c>
      <c r="J393" s="563">
        <f>'matrik MISI 2'!P25</f>
        <v>100</v>
      </c>
      <c r="K393" s="563">
        <f>'matrik MISI 2'!Q25</f>
        <v>100</v>
      </c>
      <c r="L393" s="563">
        <f>'matrik MISI 2'!R25</f>
        <v>100</v>
      </c>
      <c r="M393" s="604"/>
      <c r="N393" s="563">
        <f>'matrik MISI 2'!S25</f>
        <v>100</v>
      </c>
      <c r="O393" s="564"/>
      <c r="P393" s="563">
        <f>'matrik MISI 2'!T25</f>
        <v>100</v>
      </c>
      <c r="Q393" s="564"/>
      <c r="R393" s="563">
        <f>'matrik MISI 2'!U25</f>
        <v>100</v>
      </c>
      <c r="S393" s="564"/>
      <c r="T393" s="563">
        <f>'matrik MISI 2'!V25</f>
        <v>100</v>
      </c>
      <c r="U393" s="564"/>
      <c r="V393" s="563">
        <f>'matrik MISI 2'!W25</f>
        <v>100</v>
      </c>
      <c r="W393" s="564"/>
      <c r="X393" s="563" t="str">
        <f>'matrik MISI 2'!X25</f>
        <v>DPU</v>
      </c>
      <c r="Y393" s="565"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3" s="565">
        <f>'matrik MISI 2'!Z25</f>
        <v>0</v>
      </c>
    </row>
    <row r="394" spans="1:454" s="574" customFormat="1" ht="30">
      <c r="A394" s="569"/>
      <c r="B394" s="575"/>
      <c r="C394" s="576"/>
      <c r="D394" s="577">
        <f>'matrik MISI 2'!J25</f>
        <v>1.1299999999999999</v>
      </c>
      <c r="E394" s="577" t="str">
        <f>'matrik MISI 2'!K25</f>
        <v>xx</v>
      </c>
      <c r="F394" s="577">
        <f>'matrik MISI 2'!L25</f>
        <v>26</v>
      </c>
      <c r="G394" s="577" t="str">
        <f>'matrik MISI 2'!M25</f>
        <v>program tanggap darurat dan logistik</v>
      </c>
      <c r="H394" s="577"/>
      <c r="I394" s="577"/>
      <c r="J394" s="577"/>
      <c r="K394" s="577"/>
      <c r="L394" s="577"/>
      <c r="M394" s="578">
        <f>'jangan di hapus 1'!K793</f>
        <v>2795821000</v>
      </c>
      <c r="N394" s="578"/>
      <c r="O394" s="578">
        <f>'jangan di hapus 1'!M793</f>
        <v>2798795000</v>
      </c>
      <c r="P394" s="578"/>
      <c r="Q394" s="578">
        <f>'jangan di hapus 1'!O793</f>
        <v>2850000000</v>
      </c>
      <c r="R394" s="578"/>
      <c r="S394" s="578">
        <f>'jangan di hapus 1'!Q793</f>
        <v>2850000000</v>
      </c>
      <c r="T394" s="578"/>
      <c r="U394" s="578">
        <f>'jangan di hapus 1'!S793</f>
        <v>2850000000</v>
      </c>
      <c r="V394" s="577"/>
      <c r="W394" s="578">
        <f>SUM(M394:U394)</f>
        <v>14144616000</v>
      </c>
      <c r="X394" s="577"/>
      <c r="Y394" s="577"/>
      <c r="Z394" s="577"/>
      <c r="AA394" s="569"/>
      <c r="AB394" s="569"/>
      <c r="AC394" s="569"/>
      <c r="AD394" s="569"/>
      <c r="AE394" s="569"/>
      <c r="AF394" s="569"/>
      <c r="AG394" s="569"/>
      <c r="AH394" s="569"/>
      <c r="AI394" s="569"/>
      <c r="AJ394" s="569"/>
      <c r="AK394" s="569"/>
      <c r="AL394" s="569"/>
      <c r="AM394" s="569"/>
      <c r="AN394" s="569"/>
      <c r="AO394" s="569"/>
      <c r="AP394" s="569"/>
      <c r="AQ394" s="569"/>
      <c r="AR394" s="569"/>
      <c r="AS394" s="569"/>
      <c r="AT394" s="569"/>
      <c r="AU394" s="569"/>
      <c r="AV394" s="569"/>
      <c r="AW394" s="569"/>
      <c r="AX394" s="569"/>
      <c r="AY394" s="569"/>
      <c r="AZ394" s="569"/>
      <c r="BA394" s="569"/>
      <c r="BB394" s="569"/>
      <c r="BC394" s="569"/>
      <c r="BD394" s="569"/>
      <c r="BE394" s="569"/>
      <c r="BF394" s="569"/>
      <c r="BG394" s="569"/>
      <c r="BH394" s="569"/>
      <c r="BI394" s="569"/>
      <c r="BJ394" s="569"/>
      <c r="BK394" s="569"/>
      <c r="BL394" s="569"/>
      <c r="BM394" s="569"/>
      <c r="BN394" s="569"/>
      <c r="BO394" s="569"/>
      <c r="BP394" s="569"/>
      <c r="BQ394" s="569"/>
      <c r="BR394" s="569"/>
      <c r="BS394" s="569"/>
      <c r="BT394" s="569"/>
      <c r="BU394" s="569"/>
      <c r="BV394" s="569"/>
      <c r="BW394" s="569"/>
      <c r="BX394" s="569"/>
      <c r="BY394" s="569"/>
      <c r="BZ394" s="569"/>
      <c r="CA394" s="569"/>
      <c r="CB394" s="569"/>
      <c r="CC394" s="569"/>
      <c r="CD394" s="569"/>
      <c r="CE394" s="569"/>
      <c r="CF394" s="569"/>
      <c r="CG394" s="569"/>
      <c r="CH394" s="569"/>
      <c r="CI394" s="569"/>
      <c r="CJ394" s="569"/>
      <c r="CK394" s="569"/>
      <c r="CL394" s="569"/>
      <c r="CM394" s="569"/>
      <c r="CN394" s="569"/>
      <c r="CO394" s="569"/>
      <c r="CP394" s="569"/>
      <c r="CQ394" s="569"/>
      <c r="CR394" s="569"/>
      <c r="CS394" s="569"/>
      <c r="CT394" s="569"/>
      <c r="CU394" s="569"/>
      <c r="CV394" s="569"/>
      <c r="CW394" s="569"/>
      <c r="CX394" s="569"/>
      <c r="CY394" s="569"/>
      <c r="CZ394" s="569"/>
      <c r="DA394" s="569"/>
      <c r="DB394" s="569"/>
      <c r="DC394" s="569"/>
      <c r="DD394" s="569"/>
      <c r="DE394" s="569"/>
      <c r="DF394" s="569"/>
      <c r="DG394" s="569"/>
      <c r="DH394" s="569"/>
      <c r="DI394" s="569"/>
      <c r="DJ394" s="569"/>
      <c r="DK394" s="569"/>
      <c r="DL394" s="569"/>
      <c r="DM394" s="569"/>
      <c r="DN394" s="569"/>
      <c r="DO394" s="569"/>
      <c r="DP394" s="569"/>
      <c r="DQ394" s="569"/>
      <c r="DR394" s="569"/>
      <c r="DS394" s="569"/>
      <c r="DT394" s="569"/>
      <c r="DU394" s="569"/>
      <c r="DV394" s="569"/>
      <c r="DW394" s="569"/>
      <c r="DX394" s="569"/>
      <c r="DY394" s="569"/>
      <c r="DZ394" s="569"/>
      <c r="EA394" s="569"/>
      <c r="EB394" s="569"/>
      <c r="EC394" s="569"/>
      <c r="ED394" s="569"/>
      <c r="EE394" s="569"/>
      <c r="EF394" s="569"/>
      <c r="EG394" s="569"/>
      <c r="EH394" s="569"/>
      <c r="EI394" s="569"/>
      <c r="EJ394" s="569"/>
      <c r="EK394" s="569"/>
      <c r="EL394" s="569"/>
      <c r="EM394" s="569"/>
      <c r="EN394" s="569"/>
      <c r="EO394" s="569"/>
      <c r="EP394" s="569"/>
      <c r="EQ394" s="569"/>
      <c r="ER394" s="569"/>
      <c r="ES394" s="569"/>
      <c r="ET394" s="569"/>
      <c r="EU394" s="569"/>
      <c r="EV394" s="569"/>
      <c r="EW394" s="569"/>
      <c r="EX394" s="569"/>
      <c r="EY394" s="569"/>
      <c r="EZ394" s="569"/>
      <c r="FA394" s="569"/>
      <c r="FB394" s="569"/>
      <c r="FC394" s="569"/>
      <c r="FD394" s="569"/>
      <c r="FE394" s="569"/>
      <c r="FF394" s="569"/>
      <c r="FG394" s="569"/>
      <c r="FH394" s="569"/>
      <c r="FI394" s="569"/>
      <c r="FJ394" s="569"/>
      <c r="FK394" s="569"/>
      <c r="FL394" s="569"/>
      <c r="FM394" s="569"/>
      <c r="FN394" s="569"/>
      <c r="FO394" s="569"/>
      <c r="FP394" s="569"/>
      <c r="FQ394" s="569"/>
      <c r="FR394" s="569"/>
      <c r="FS394" s="569"/>
      <c r="FT394" s="569"/>
      <c r="FU394" s="569"/>
      <c r="FV394" s="569"/>
      <c r="FW394" s="569"/>
      <c r="FX394" s="569"/>
      <c r="FY394" s="569"/>
      <c r="FZ394" s="569"/>
      <c r="GA394" s="569"/>
      <c r="GB394" s="569"/>
      <c r="GC394" s="569"/>
      <c r="GD394" s="569"/>
      <c r="GE394" s="569"/>
      <c r="GF394" s="569"/>
      <c r="GG394" s="569"/>
      <c r="GH394" s="569"/>
      <c r="GI394" s="569"/>
      <c r="GJ394" s="569"/>
      <c r="GK394" s="569"/>
      <c r="GL394" s="569"/>
      <c r="GM394" s="569"/>
      <c r="GN394" s="569"/>
      <c r="GO394" s="569"/>
      <c r="GP394" s="569"/>
      <c r="GQ394" s="569"/>
      <c r="GR394" s="569"/>
      <c r="GS394" s="569"/>
      <c r="GT394" s="569"/>
      <c r="GU394" s="569"/>
      <c r="GV394" s="569"/>
      <c r="GW394" s="569"/>
      <c r="GX394" s="569"/>
      <c r="GY394" s="569"/>
      <c r="GZ394" s="569"/>
      <c r="HA394" s="569"/>
      <c r="HB394" s="569"/>
      <c r="HC394" s="569"/>
      <c r="HD394" s="569"/>
      <c r="HE394" s="569"/>
      <c r="HF394" s="569"/>
      <c r="HG394" s="569"/>
      <c r="HH394" s="569"/>
      <c r="HI394" s="569"/>
      <c r="HJ394" s="569"/>
      <c r="HK394" s="569"/>
      <c r="HL394" s="569"/>
      <c r="HM394" s="569"/>
      <c r="HN394" s="569"/>
      <c r="HO394" s="569"/>
      <c r="HP394" s="569"/>
      <c r="HQ394" s="569"/>
      <c r="HR394" s="569"/>
      <c r="HS394" s="569"/>
      <c r="HT394" s="569"/>
      <c r="HU394" s="569"/>
      <c r="HV394" s="569"/>
      <c r="HW394" s="569"/>
      <c r="HX394" s="569"/>
      <c r="HY394" s="569"/>
      <c r="HZ394" s="569"/>
      <c r="IA394" s="569"/>
      <c r="IB394" s="569"/>
      <c r="IC394" s="569"/>
      <c r="ID394" s="569"/>
      <c r="IE394" s="569"/>
      <c r="IF394" s="569"/>
      <c r="IG394" s="569"/>
      <c r="IH394" s="569"/>
      <c r="II394" s="569"/>
      <c r="IJ394" s="569"/>
      <c r="IK394" s="569"/>
      <c r="IL394" s="569"/>
      <c r="IM394" s="569"/>
      <c r="IN394" s="569"/>
      <c r="IO394" s="569"/>
      <c r="IP394" s="569"/>
      <c r="IQ394" s="569"/>
      <c r="IR394" s="569"/>
      <c r="IS394" s="569"/>
      <c r="IT394" s="569"/>
      <c r="IU394" s="569"/>
      <c r="IV394" s="569"/>
      <c r="IW394" s="569"/>
      <c r="IX394" s="569"/>
      <c r="IY394" s="569"/>
      <c r="IZ394" s="569"/>
      <c r="JA394" s="569"/>
      <c r="JB394" s="569"/>
      <c r="JC394" s="569"/>
      <c r="JD394" s="569"/>
      <c r="JE394" s="569"/>
      <c r="JF394" s="569"/>
      <c r="JG394" s="569"/>
      <c r="JH394" s="569"/>
      <c r="JI394" s="569"/>
      <c r="JJ394" s="569"/>
      <c r="JK394" s="569"/>
      <c r="JL394" s="569"/>
      <c r="JM394" s="569"/>
      <c r="JN394" s="569"/>
      <c r="JO394" s="569"/>
      <c r="JP394" s="569"/>
      <c r="JQ394" s="569"/>
      <c r="JR394" s="569"/>
      <c r="JS394" s="569"/>
      <c r="JT394" s="569"/>
      <c r="JU394" s="569"/>
      <c r="JV394" s="569"/>
      <c r="JW394" s="569"/>
      <c r="JX394" s="569"/>
      <c r="JY394" s="569"/>
      <c r="JZ394" s="569"/>
      <c r="KA394" s="569"/>
      <c r="KB394" s="569"/>
      <c r="KC394" s="569"/>
      <c r="KD394" s="569"/>
      <c r="KE394" s="569"/>
      <c r="KF394" s="569"/>
      <c r="KG394" s="569"/>
      <c r="KH394" s="569"/>
      <c r="KI394" s="569"/>
      <c r="KJ394" s="569"/>
      <c r="KK394" s="569"/>
      <c r="KL394" s="569"/>
      <c r="KM394" s="569"/>
      <c r="KN394" s="569"/>
      <c r="KO394" s="569"/>
      <c r="KP394" s="569"/>
      <c r="KQ394" s="569"/>
      <c r="KR394" s="569"/>
      <c r="KS394" s="569"/>
      <c r="KT394" s="569"/>
      <c r="KU394" s="569"/>
      <c r="KV394" s="569"/>
      <c r="KW394" s="569"/>
      <c r="KX394" s="569"/>
      <c r="KY394" s="569"/>
      <c r="KZ394" s="569"/>
      <c r="LA394" s="569"/>
      <c r="LB394" s="569"/>
      <c r="LC394" s="569"/>
      <c r="LD394" s="569"/>
      <c r="LE394" s="569"/>
      <c r="LF394" s="569"/>
      <c r="LG394" s="569"/>
      <c r="LH394" s="569"/>
      <c r="LI394" s="569"/>
      <c r="LJ394" s="569"/>
      <c r="LK394" s="569"/>
      <c r="LL394" s="569"/>
      <c r="LM394" s="569"/>
      <c r="LN394" s="569"/>
      <c r="LO394" s="569"/>
      <c r="LP394" s="569"/>
      <c r="LQ394" s="569"/>
      <c r="LR394" s="569"/>
      <c r="LS394" s="569"/>
      <c r="LT394" s="569"/>
      <c r="LU394" s="569"/>
      <c r="LV394" s="569"/>
      <c r="LW394" s="569"/>
      <c r="LX394" s="569"/>
      <c r="LY394" s="569"/>
      <c r="LZ394" s="569"/>
      <c r="MA394" s="569"/>
      <c r="MB394" s="569"/>
      <c r="MC394" s="569"/>
      <c r="MD394" s="569"/>
      <c r="ME394" s="569"/>
      <c r="MF394" s="569"/>
      <c r="MG394" s="569"/>
      <c r="MH394" s="569"/>
      <c r="MI394" s="569"/>
      <c r="MJ394" s="569"/>
      <c r="MK394" s="569"/>
      <c r="ML394" s="569"/>
      <c r="MM394" s="569"/>
      <c r="MN394" s="569"/>
      <c r="MO394" s="569"/>
      <c r="MP394" s="569"/>
      <c r="MQ394" s="569"/>
      <c r="MR394" s="569"/>
      <c r="MS394" s="569"/>
      <c r="MT394" s="569"/>
      <c r="MU394" s="569"/>
      <c r="MV394" s="569"/>
      <c r="MW394" s="569"/>
      <c r="MX394" s="569"/>
      <c r="MY394" s="569"/>
      <c r="MZ394" s="569"/>
      <c r="NA394" s="569"/>
      <c r="NB394" s="569"/>
      <c r="NC394" s="569"/>
      <c r="ND394" s="569"/>
      <c r="NE394" s="569"/>
      <c r="NF394" s="569"/>
      <c r="NG394" s="569"/>
      <c r="NH394" s="569"/>
      <c r="NI394" s="569"/>
      <c r="NJ394" s="569"/>
      <c r="NK394" s="569"/>
      <c r="NL394" s="569"/>
      <c r="NM394" s="569"/>
      <c r="NN394" s="569"/>
      <c r="NO394" s="569"/>
      <c r="NP394" s="569"/>
      <c r="NQ394" s="569"/>
      <c r="NR394" s="569"/>
      <c r="NS394" s="569"/>
      <c r="NT394" s="569"/>
      <c r="NU394" s="569"/>
      <c r="NV394" s="569"/>
      <c r="NW394" s="569"/>
      <c r="NX394" s="569"/>
      <c r="NY394" s="569"/>
      <c r="NZ394" s="569"/>
      <c r="OA394" s="569"/>
      <c r="OB394" s="569"/>
      <c r="OC394" s="569"/>
      <c r="OD394" s="569"/>
      <c r="OE394" s="569"/>
      <c r="OF394" s="569"/>
      <c r="OG394" s="569"/>
      <c r="OH394" s="569"/>
      <c r="OI394" s="569"/>
      <c r="OJ394" s="569"/>
      <c r="OK394" s="569"/>
      <c r="OL394" s="569"/>
      <c r="OM394" s="569"/>
      <c r="ON394" s="569"/>
      <c r="OO394" s="569"/>
      <c r="OP394" s="569"/>
      <c r="OQ394" s="569"/>
      <c r="OR394" s="569"/>
      <c r="OS394" s="569"/>
      <c r="OT394" s="569"/>
      <c r="OU394" s="569"/>
      <c r="OV394" s="569"/>
      <c r="OW394" s="569"/>
      <c r="OX394" s="569"/>
      <c r="OY394" s="569"/>
      <c r="OZ394" s="569"/>
      <c r="PA394" s="569"/>
      <c r="PB394" s="569"/>
      <c r="PC394" s="569"/>
      <c r="PD394" s="569"/>
      <c r="PE394" s="569"/>
      <c r="PF394" s="569"/>
      <c r="PG394" s="569"/>
      <c r="PH394" s="569"/>
      <c r="PI394" s="569"/>
      <c r="PJ394" s="569"/>
      <c r="PK394" s="569"/>
      <c r="PL394" s="569"/>
      <c r="PM394" s="569"/>
      <c r="PN394" s="569"/>
      <c r="PO394" s="569"/>
      <c r="PP394" s="569"/>
      <c r="PQ394" s="569"/>
      <c r="PR394" s="569"/>
      <c r="PS394" s="569"/>
      <c r="PT394" s="569"/>
      <c r="PU394" s="569"/>
      <c r="PV394" s="569"/>
      <c r="PW394" s="569"/>
      <c r="PX394" s="569"/>
      <c r="PY394" s="569"/>
      <c r="PZ394" s="569"/>
      <c r="QA394" s="569"/>
      <c r="QB394" s="569"/>
      <c r="QC394" s="569"/>
      <c r="QD394" s="569"/>
      <c r="QE394" s="569"/>
      <c r="QF394" s="569"/>
      <c r="QG394" s="569"/>
      <c r="QH394" s="569"/>
      <c r="QI394" s="569"/>
      <c r="QJ394" s="569"/>
      <c r="QK394" s="569"/>
      <c r="QL394" s="569"/>
    </row>
    <row r="395" spans="1:454" ht="75">
      <c r="D395" s="568"/>
      <c r="E395" s="568"/>
      <c r="F395" s="568"/>
      <c r="G395" s="568"/>
      <c r="H395" s="563" t="str">
        <f>'matrik MISI 2'!N26</f>
        <v xml:space="preserve">Persentase Tertanganinya Kerusakan Fisik Akibat Bencana Melalui Rehabilitasi dan Rekonstruksi sementara tanggap darurat Pasca Bencana </v>
      </c>
      <c r="I395" s="563" t="str">
        <f>'matrik MISI 2'!O26</f>
        <v>%</v>
      </c>
      <c r="J395" s="563">
        <f>'matrik MISI 2'!P26</f>
        <v>100</v>
      </c>
      <c r="K395" s="563">
        <f>'matrik MISI 2'!Q26</f>
        <v>100</v>
      </c>
      <c r="L395" s="563">
        <f>'matrik MISI 2'!R26</f>
        <v>100</v>
      </c>
      <c r="M395" s="604"/>
      <c r="N395" s="563">
        <f>'matrik MISI 2'!S26</f>
        <v>100</v>
      </c>
      <c r="O395" s="564"/>
      <c r="P395" s="563">
        <f>'matrik MISI 2'!T26</f>
        <v>100</v>
      </c>
      <c r="Q395" s="564"/>
      <c r="R395" s="563">
        <f>'matrik MISI 2'!U26</f>
        <v>100</v>
      </c>
      <c r="S395" s="564"/>
      <c r="T395" s="563">
        <f>'matrik MISI 2'!V26</f>
        <v>100</v>
      </c>
      <c r="U395" s="564"/>
      <c r="V395" s="563">
        <f>'matrik MISI 2'!W26</f>
        <v>100</v>
      </c>
      <c r="W395" s="564"/>
      <c r="X395" s="563" t="str">
        <f>'matrik MISI 2'!X26</f>
        <v>BPBD</v>
      </c>
      <c r="Y395" s="565" t="str">
        <f>'matrik MISI 2'!Y26</f>
        <v>jumlah kerusakan akibat bencana yang terbangun kembali melalui rahabilitasi dan rekonstruksi sementara tanggap darurat pasca bencana dibagi jumlah kerusakan akibat bencana yang terjadi</v>
      </c>
      <c r="Z395" s="565" t="str">
        <f>'matrik MISI 2'!Z26</f>
        <v>Perbaikan sarana prasarana dalam rangka tangap darurat bencana</v>
      </c>
    </row>
    <row r="396" spans="1:454" s="574" customFormat="1" ht="45">
      <c r="A396" s="569"/>
      <c r="B396" s="575"/>
      <c r="C396" s="576"/>
      <c r="D396" s="577">
        <f>'matrik MISI 2'!J27</f>
        <v>1.1299999999999999</v>
      </c>
      <c r="E396" s="577" t="str">
        <f>'matrik MISI 2'!K27</f>
        <v>xx</v>
      </c>
      <c r="F396" s="577">
        <f>'matrik MISI 2'!L27</f>
        <v>27</v>
      </c>
      <c r="G396" s="577" t="str">
        <f>'matrik MISI 2'!M27</f>
        <v>program rehabilitasi dan rekonstruksi pasca bencana</v>
      </c>
      <c r="H396" s="577"/>
      <c r="I396" s="577"/>
      <c r="J396" s="577"/>
      <c r="K396" s="577"/>
      <c r="L396" s="577"/>
      <c r="M396" s="578">
        <f>'jangan di hapus 1'!K798</f>
        <v>491367000</v>
      </c>
      <c r="N396" s="578"/>
      <c r="O396" s="578">
        <f>'jangan di hapus 1'!M798</f>
        <v>922500000</v>
      </c>
      <c r="P396" s="578"/>
      <c r="Q396" s="578">
        <f>'jangan di hapus 1'!O798</f>
        <v>1025000000</v>
      </c>
      <c r="R396" s="578"/>
      <c r="S396" s="578">
        <f>'jangan di hapus 1'!Q798</f>
        <v>1125000000</v>
      </c>
      <c r="T396" s="578"/>
      <c r="U396" s="578">
        <f>'jangan di hapus 1'!S798</f>
        <v>1225000000</v>
      </c>
      <c r="V396" s="577"/>
      <c r="W396" s="578">
        <f>SUM(M396:U396)</f>
        <v>4788867000</v>
      </c>
      <c r="X396" s="577"/>
      <c r="Y396" s="577"/>
      <c r="Z396" s="577"/>
      <c r="AA396" s="569"/>
      <c r="AB396" s="569"/>
      <c r="AC396" s="569"/>
      <c r="AD396" s="569"/>
      <c r="AE396" s="569"/>
      <c r="AF396" s="569"/>
      <c r="AG396" s="569"/>
      <c r="AH396" s="569"/>
      <c r="AI396" s="569"/>
      <c r="AJ396" s="569"/>
      <c r="AK396" s="569"/>
      <c r="AL396" s="569"/>
      <c r="AM396" s="569"/>
      <c r="AN396" s="569"/>
      <c r="AO396" s="569"/>
      <c r="AP396" s="569"/>
      <c r="AQ396" s="569"/>
      <c r="AR396" s="569"/>
      <c r="AS396" s="569"/>
      <c r="AT396" s="569"/>
      <c r="AU396" s="569"/>
      <c r="AV396" s="569"/>
      <c r="AW396" s="569"/>
      <c r="AX396" s="569"/>
      <c r="AY396" s="569"/>
      <c r="AZ396" s="569"/>
      <c r="BA396" s="569"/>
      <c r="BB396" s="569"/>
      <c r="BC396" s="569"/>
      <c r="BD396" s="569"/>
      <c r="BE396" s="569"/>
      <c r="BF396" s="569"/>
      <c r="BG396" s="569"/>
      <c r="BH396" s="569"/>
      <c r="BI396" s="569"/>
      <c r="BJ396" s="569"/>
      <c r="BK396" s="569"/>
      <c r="BL396" s="569"/>
      <c r="BM396" s="569"/>
      <c r="BN396" s="569"/>
      <c r="BO396" s="569"/>
      <c r="BP396" s="569"/>
      <c r="BQ396" s="569"/>
      <c r="BR396" s="569"/>
      <c r="BS396" s="569"/>
      <c r="BT396" s="569"/>
      <c r="BU396" s="569"/>
      <c r="BV396" s="569"/>
      <c r="BW396" s="569"/>
      <c r="BX396" s="569"/>
      <c r="BY396" s="569"/>
      <c r="BZ396" s="569"/>
      <c r="CA396" s="569"/>
      <c r="CB396" s="569"/>
      <c r="CC396" s="569"/>
      <c r="CD396" s="569"/>
      <c r="CE396" s="569"/>
      <c r="CF396" s="569"/>
      <c r="CG396" s="569"/>
      <c r="CH396" s="569"/>
      <c r="CI396" s="569"/>
      <c r="CJ396" s="569"/>
      <c r="CK396" s="569"/>
      <c r="CL396" s="569"/>
      <c r="CM396" s="569"/>
      <c r="CN396" s="569"/>
      <c r="CO396" s="569"/>
      <c r="CP396" s="569"/>
      <c r="CQ396" s="569"/>
      <c r="CR396" s="569"/>
      <c r="CS396" s="569"/>
      <c r="CT396" s="569"/>
      <c r="CU396" s="569"/>
      <c r="CV396" s="569"/>
      <c r="CW396" s="569"/>
      <c r="CX396" s="569"/>
      <c r="CY396" s="569"/>
      <c r="CZ396" s="569"/>
      <c r="DA396" s="569"/>
      <c r="DB396" s="569"/>
      <c r="DC396" s="569"/>
      <c r="DD396" s="569"/>
      <c r="DE396" s="569"/>
      <c r="DF396" s="569"/>
      <c r="DG396" s="569"/>
      <c r="DH396" s="569"/>
      <c r="DI396" s="569"/>
      <c r="DJ396" s="569"/>
      <c r="DK396" s="569"/>
      <c r="DL396" s="569"/>
      <c r="DM396" s="569"/>
      <c r="DN396" s="569"/>
      <c r="DO396" s="569"/>
      <c r="DP396" s="569"/>
      <c r="DQ396" s="569"/>
      <c r="DR396" s="569"/>
      <c r="DS396" s="569"/>
      <c r="DT396" s="569"/>
      <c r="DU396" s="569"/>
      <c r="DV396" s="569"/>
      <c r="DW396" s="569"/>
      <c r="DX396" s="569"/>
      <c r="DY396" s="569"/>
      <c r="DZ396" s="569"/>
      <c r="EA396" s="569"/>
      <c r="EB396" s="569"/>
      <c r="EC396" s="569"/>
      <c r="ED396" s="569"/>
      <c r="EE396" s="569"/>
      <c r="EF396" s="569"/>
      <c r="EG396" s="569"/>
      <c r="EH396" s="569"/>
      <c r="EI396" s="569"/>
      <c r="EJ396" s="569"/>
      <c r="EK396" s="569"/>
      <c r="EL396" s="569"/>
      <c r="EM396" s="569"/>
      <c r="EN396" s="569"/>
      <c r="EO396" s="569"/>
      <c r="EP396" s="569"/>
      <c r="EQ396" s="569"/>
      <c r="ER396" s="569"/>
      <c r="ES396" s="569"/>
      <c r="ET396" s="569"/>
      <c r="EU396" s="569"/>
      <c r="EV396" s="569"/>
      <c r="EW396" s="569"/>
      <c r="EX396" s="569"/>
      <c r="EY396" s="569"/>
      <c r="EZ396" s="569"/>
      <c r="FA396" s="569"/>
      <c r="FB396" s="569"/>
      <c r="FC396" s="569"/>
      <c r="FD396" s="569"/>
      <c r="FE396" s="569"/>
      <c r="FF396" s="569"/>
      <c r="FG396" s="569"/>
      <c r="FH396" s="569"/>
      <c r="FI396" s="569"/>
      <c r="FJ396" s="569"/>
      <c r="FK396" s="569"/>
      <c r="FL396" s="569"/>
      <c r="FM396" s="569"/>
      <c r="FN396" s="569"/>
      <c r="FO396" s="569"/>
      <c r="FP396" s="569"/>
      <c r="FQ396" s="569"/>
      <c r="FR396" s="569"/>
      <c r="FS396" s="569"/>
      <c r="FT396" s="569"/>
      <c r="FU396" s="569"/>
      <c r="FV396" s="569"/>
      <c r="FW396" s="569"/>
      <c r="FX396" s="569"/>
      <c r="FY396" s="569"/>
      <c r="FZ396" s="569"/>
      <c r="GA396" s="569"/>
      <c r="GB396" s="569"/>
      <c r="GC396" s="569"/>
      <c r="GD396" s="569"/>
      <c r="GE396" s="569"/>
      <c r="GF396" s="569"/>
      <c r="GG396" s="569"/>
      <c r="GH396" s="569"/>
      <c r="GI396" s="569"/>
      <c r="GJ396" s="569"/>
      <c r="GK396" s="569"/>
      <c r="GL396" s="569"/>
      <c r="GM396" s="569"/>
      <c r="GN396" s="569"/>
      <c r="GO396" s="569"/>
      <c r="GP396" s="569"/>
      <c r="GQ396" s="569"/>
      <c r="GR396" s="569"/>
      <c r="GS396" s="569"/>
      <c r="GT396" s="569"/>
      <c r="GU396" s="569"/>
      <c r="GV396" s="569"/>
      <c r="GW396" s="569"/>
      <c r="GX396" s="569"/>
      <c r="GY396" s="569"/>
      <c r="GZ396" s="569"/>
      <c r="HA396" s="569"/>
      <c r="HB396" s="569"/>
      <c r="HC396" s="569"/>
      <c r="HD396" s="569"/>
      <c r="HE396" s="569"/>
      <c r="HF396" s="569"/>
      <c r="HG396" s="569"/>
      <c r="HH396" s="569"/>
      <c r="HI396" s="569"/>
      <c r="HJ396" s="569"/>
      <c r="HK396" s="569"/>
      <c r="HL396" s="569"/>
      <c r="HM396" s="569"/>
      <c r="HN396" s="569"/>
      <c r="HO396" s="569"/>
      <c r="HP396" s="569"/>
      <c r="HQ396" s="569"/>
      <c r="HR396" s="569"/>
      <c r="HS396" s="569"/>
      <c r="HT396" s="569"/>
      <c r="HU396" s="569"/>
      <c r="HV396" s="569"/>
      <c r="HW396" s="569"/>
      <c r="HX396" s="569"/>
      <c r="HY396" s="569"/>
      <c r="HZ396" s="569"/>
      <c r="IA396" s="569"/>
      <c r="IB396" s="569"/>
      <c r="IC396" s="569"/>
      <c r="ID396" s="569"/>
      <c r="IE396" s="569"/>
      <c r="IF396" s="569"/>
      <c r="IG396" s="569"/>
      <c r="IH396" s="569"/>
      <c r="II396" s="569"/>
      <c r="IJ396" s="569"/>
      <c r="IK396" s="569"/>
      <c r="IL396" s="569"/>
      <c r="IM396" s="569"/>
      <c r="IN396" s="569"/>
      <c r="IO396" s="569"/>
      <c r="IP396" s="569"/>
      <c r="IQ396" s="569"/>
      <c r="IR396" s="569"/>
      <c r="IS396" s="569"/>
      <c r="IT396" s="569"/>
      <c r="IU396" s="569"/>
      <c r="IV396" s="569"/>
      <c r="IW396" s="569"/>
      <c r="IX396" s="569"/>
      <c r="IY396" s="569"/>
      <c r="IZ396" s="569"/>
      <c r="JA396" s="569"/>
      <c r="JB396" s="569"/>
      <c r="JC396" s="569"/>
      <c r="JD396" s="569"/>
      <c r="JE396" s="569"/>
      <c r="JF396" s="569"/>
      <c r="JG396" s="569"/>
      <c r="JH396" s="569"/>
      <c r="JI396" s="569"/>
      <c r="JJ396" s="569"/>
      <c r="JK396" s="569"/>
      <c r="JL396" s="569"/>
      <c r="JM396" s="569"/>
      <c r="JN396" s="569"/>
      <c r="JO396" s="569"/>
      <c r="JP396" s="569"/>
      <c r="JQ396" s="569"/>
      <c r="JR396" s="569"/>
      <c r="JS396" s="569"/>
      <c r="JT396" s="569"/>
      <c r="JU396" s="569"/>
      <c r="JV396" s="569"/>
      <c r="JW396" s="569"/>
      <c r="JX396" s="569"/>
      <c r="JY396" s="569"/>
      <c r="JZ396" s="569"/>
      <c r="KA396" s="569"/>
      <c r="KB396" s="569"/>
      <c r="KC396" s="569"/>
      <c r="KD396" s="569"/>
      <c r="KE396" s="569"/>
      <c r="KF396" s="569"/>
      <c r="KG396" s="569"/>
      <c r="KH396" s="569"/>
      <c r="KI396" s="569"/>
      <c r="KJ396" s="569"/>
      <c r="KK396" s="569"/>
      <c r="KL396" s="569"/>
      <c r="KM396" s="569"/>
      <c r="KN396" s="569"/>
      <c r="KO396" s="569"/>
      <c r="KP396" s="569"/>
      <c r="KQ396" s="569"/>
      <c r="KR396" s="569"/>
      <c r="KS396" s="569"/>
      <c r="KT396" s="569"/>
      <c r="KU396" s="569"/>
      <c r="KV396" s="569"/>
      <c r="KW396" s="569"/>
      <c r="KX396" s="569"/>
      <c r="KY396" s="569"/>
      <c r="KZ396" s="569"/>
      <c r="LA396" s="569"/>
      <c r="LB396" s="569"/>
      <c r="LC396" s="569"/>
      <c r="LD396" s="569"/>
      <c r="LE396" s="569"/>
      <c r="LF396" s="569"/>
      <c r="LG396" s="569"/>
      <c r="LH396" s="569"/>
      <c r="LI396" s="569"/>
      <c r="LJ396" s="569"/>
      <c r="LK396" s="569"/>
      <c r="LL396" s="569"/>
      <c r="LM396" s="569"/>
      <c r="LN396" s="569"/>
      <c r="LO396" s="569"/>
      <c r="LP396" s="569"/>
      <c r="LQ396" s="569"/>
      <c r="LR396" s="569"/>
      <c r="LS396" s="569"/>
      <c r="LT396" s="569"/>
      <c r="LU396" s="569"/>
      <c r="LV396" s="569"/>
      <c r="LW396" s="569"/>
      <c r="LX396" s="569"/>
      <c r="LY396" s="569"/>
      <c r="LZ396" s="569"/>
      <c r="MA396" s="569"/>
      <c r="MB396" s="569"/>
      <c r="MC396" s="569"/>
      <c r="MD396" s="569"/>
      <c r="ME396" s="569"/>
      <c r="MF396" s="569"/>
      <c r="MG396" s="569"/>
      <c r="MH396" s="569"/>
      <c r="MI396" s="569"/>
      <c r="MJ396" s="569"/>
      <c r="MK396" s="569"/>
      <c r="ML396" s="569"/>
      <c r="MM396" s="569"/>
      <c r="MN396" s="569"/>
      <c r="MO396" s="569"/>
      <c r="MP396" s="569"/>
      <c r="MQ396" s="569"/>
      <c r="MR396" s="569"/>
      <c r="MS396" s="569"/>
      <c r="MT396" s="569"/>
      <c r="MU396" s="569"/>
      <c r="MV396" s="569"/>
      <c r="MW396" s="569"/>
      <c r="MX396" s="569"/>
      <c r="MY396" s="569"/>
      <c r="MZ396" s="569"/>
      <c r="NA396" s="569"/>
      <c r="NB396" s="569"/>
      <c r="NC396" s="569"/>
      <c r="ND396" s="569"/>
      <c r="NE396" s="569"/>
      <c r="NF396" s="569"/>
      <c r="NG396" s="569"/>
      <c r="NH396" s="569"/>
      <c r="NI396" s="569"/>
      <c r="NJ396" s="569"/>
      <c r="NK396" s="569"/>
      <c r="NL396" s="569"/>
      <c r="NM396" s="569"/>
      <c r="NN396" s="569"/>
      <c r="NO396" s="569"/>
      <c r="NP396" s="569"/>
      <c r="NQ396" s="569"/>
      <c r="NR396" s="569"/>
      <c r="NS396" s="569"/>
      <c r="NT396" s="569"/>
      <c r="NU396" s="569"/>
      <c r="NV396" s="569"/>
      <c r="NW396" s="569"/>
      <c r="NX396" s="569"/>
      <c r="NY396" s="569"/>
      <c r="NZ396" s="569"/>
      <c r="OA396" s="569"/>
      <c r="OB396" s="569"/>
      <c r="OC396" s="569"/>
      <c r="OD396" s="569"/>
      <c r="OE396" s="569"/>
      <c r="OF396" s="569"/>
      <c r="OG396" s="569"/>
      <c r="OH396" s="569"/>
      <c r="OI396" s="569"/>
      <c r="OJ396" s="569"/>
      <c r="OK396" s="569"/>
      <c r="OL396" s="569"/>
      <c r="OM396" s="569"/>
      <c r="ON396" s="569"/>
      <c r="OO396" s="569"/>
      <c r="OP396" s="569"/>
      <c r="OQ396" s="569"/>
      <c r="OR396" s="569"/>
      <c r="OS396" s="569"/>
      <c r="OT396" s="569"/>
      <c r="OU396" s="569"/>
      <c r="OV396" s="569"/>
      <c r="OW396" s="569"/>
      <c r="OX396" s="569"/>
      <c r="OY396" s="569"/>
      <c r="OZ396" s="569"/>
      <c r="PA396" s="569"/>
      <c r="PB396" s="569"/>
      <c r="PC396" s="569"/>
      <c r="PD396" s="569"/>
      <c r="PE396" s="569"/>
      <c r="PF396" s="569"/>
      <c r="PG396" s="569"/>
      <c r="PH396" s="569"/>
      <c r="PI396" s="569"/>
      <c r="PJ396" s="569"/>
      <c r="PK396" s="569"/>
      <c r="PL396" s="569"/>
      <c r="PM396" s="569"/>
      <c r="PN396" s="569"/>
      <c r="PO396" s="569"/>
      <c r="PP396" s="569"/>
      <c r="PQ396" s="569"/>
      <c r="PR396" s="569"/>
      <c r="PS396" s="569"/>
      <c r="PT396" s="569"/>
      <c r="PU396" s="569"/>
      <c r="PV396" s="569"/>
      <c r="PW396" s="569"/>
      <c r="PX396" s="569"/>
      <c r="PY396" s="569"/>
      <c r="PZ396" s="569"/>
      <c r="QA396" s="569"/>
      <c r="QB396" s="569"/>
      <c r="QC396" s="569"/>
      <c r="QD396" s="569"/>
      <c r="QE396" s="569"/>
      <c r="QF396" s="569"/>
      <c r="QG396" s="569"/>
      <c r="QH396" s="569"/>
      <c r="QI396" s="569"/>
      <c r="QJ396" s="569"/>
      <c r="QK396" s="569"/>
      <c r="QL396" s="569"/>
    </row>
    <row r="397" spans="1:454" ht="60">
      <c r="D397" s="568"/>
      <c r="E397" s="568"/>
      <c r="F397" s="568"/>
      <c r="G397" s="568"/>
      <c r="H397" s="563" t="str">
        <f>'matrik MISI 2'!N27</f>
        <v>Persentase Korban Bencana Skala Kabupaten yang Menerima Bantuan Sosial Selama Masa Tanggap Darurat</v>
      </c>
      <c r="I397" s="563" t="str">
        <f>'matrik MISI 2'!O27</f>
        <v>%</v>
      </c>
      <c r="J397" s="563">
        <f>'matrik MISI 2'!P27</f>
        <v>100</v>
      </c>
      <c r="K397" s="563">
        <f>'matrik MISI 2'!Q27</f>
        <v>100</v>
      </c>
      <c r="L397" s="563">
        <f>'matrik MISI 2'!R27</f>
        <v>100</v>
      </c>
      <c r="M397" s="604"/>
      <c r="N397" s="563">
        <f>'matrik MISI 2'!S27</f>
        <v>100</v>
      </c>
      <c r="O397" s="564"/>
      <c r="P397" s="563">
        <f>'matrik MISI 2'!T27</f>
        <v>100</v>
      </c>
      <c r="Q397" s="564"/>
      <c r="R397" s="563">
        <f>'matrik MISI 2'!U27</f>
        <v>100</v>
      </c>
      <c r="S397" s="564"/>
      <c r="T397" s="563">
        <f>'matrik MISI 2'!V27</f>
        <v>100</v>
      </c>
      <c r="U397" s="564"/>
      <c r="V397" s="563">
        <f>'matrik MISI 2'!W27</f>
        <v>100</v>
      </c>
      <c r="W397" s="564"/>
      <c r="X397" s="563" t="str">
        <f>'matrik MISI 2'!X27</f>
        <v>BPBD / Dinsos</v>
      </c>
      <c r="Y397" s="565" t="str">
        <f>'matrik MISI 2'!Y27</f>
        <v>jumlah korban bencana dalam 1 tahun yang menerima bantuan sosial selama masa tanggap darurat/ jumlah korban bencana dalam 1 tahun yang seharusnya menerima bantuan sosial selama masa tanggap darurat</v>
      </c>
      <c r="Z397" s="565">
        <f>'matrik MISI 2'!Z27</f>
        <v>0</v>
      </c>
    </row>
    <row r="398" spans="1:454" ht="75">
      <c r="G398" s="563"/>
      <c r="H398" s="563" t="str">
        <f>'matrik MISI 2'!N28</f>
        <v>Persentase Korban Bencana Skala Kabupaten yang di Evakuasi Menggunakan Sarana dan Prasarana Tanggap Darurat Lengkap</v>
      </c>
      <c r="I398" s="563" t="str">
        <f>'matrik MISI 2'!O28</f>
        <v>%</v>
      </c>
      <c r="J398" s="563">
        <f>'matrik MISI 2'!P28</f>
        <v>100</v>
      </c>
      <c r="K398" s="563">
        <f>'matrik MISI 2'!Q28</f>
        <v>100</v>
      </c>
      <c r="L398" s="563">
        <f>'matrik MISI 2'!R28</f>
        <v>100</v>
      </c>
      <c r="M398" s="604"/>
      <c r="N398" s="563">
        <f>'matrik MISI 2'!S28</f>
        <v>100</v>
      </c>
      <c r="O398" s="564"/>
      <c r="P398" s="563">
        <f>'matrik MISI 2'!T28</f>
        <v>100</v>
      </c>
      <c r="Q398" s="564"/>
      <c r="R398" s="563">
        <f>'matrik MISI 2'!U28</f>
        <v>100</v>
      </c>
      <c r="S398" s="564"/>
      <c r="T398" s="563">
        <f>'matrik MISI 2'!V28</f>
        <v>100</v>
      </c>
      <c r="U398" s="564"/>
      <c r="V398" s="563">
        <f>'matrik MISI 2'!W28</f>
        <v>100</v>
      </c>
      <c r="W398" s="564"/>
      <c r="X398" s="563" t="str">
        <f>'matrik MISI 2'!X28</f>
        <v>BPBD / DPU</v>
      </c>
      <c r="Y398" s="565"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398" s="565">
        <f>'matrik MISI 2'!Z28</f>
        <v>0</v>
      </c>
    </row>
    <row r="399" spans="1:454" s="570" customFormat="1">
      <c r="A399" s="569"/>
      <c r="B399" s="571"/>
      <c r="C399" s="572"/>
      <c r="D399" s="573"/>
      <c r="E399" s="573"/>
      <c r="F399" s="573"/>
      <c r="G399" s="573"/>
      <c r="H399" s="573"/>
      <c r="I399" s="573"/>
      <c r="J399" s="573"/>
      <c r="K399" s="573"/>
      <c r="L399" s="573"/>
      <c r="M399" s="604"/>
      <c r="N399" s="573"/>
      <c r="O399" s="564"/>
      <c r="P399" s="573"/>
      <c r="Q399" s="564"/>
      <c r="R399" s="573"/>
      <c r="S399" s="564"/>
      <c r="T399" s="573"/>
      <c r="U399" s="564"/>
      <c r="V399" s="573"/>
      <c r="W399" s="564"/>
      <c r="X399" s="573"/>
      <c r="Y399" s="573"/>
      <c r="Z399" s="573"/>
      <c r="AA399" s="569"/>
      <c r="AB399" s="569"/>
      <c r="AC399" s="569"/>
      <c r="AD399" s="569"/>
      <c r="AE399" s="569"/>
      <c r="AF399" s="569"/>
      <c r="AG399" s="569"/>
      <c r="AH399" s="569"/>
      <c r="AI399" s="569"/>
      <c r="AJ399" s="569"/>
      <c r="AK399" s="569"/>
      <c r="AL399" s="569"/>
      <c r="AM399" s="569"/>
      <c r="AN399" s="569"/>
      <c r="AO399" s="569"/>
      <c r="AP399" s="569"/>
      <c r="AQ399" s="569"/>
      <c r="AR399" s="569"/>
      <c r="AS399" s="569"/>
      <c r="AT399" s="569"/>
      <c r="AU399" s="569"/>
      <c r="AV399" s="569"/>
      <c r="AW399" s="569"/>
      <c r="AX399" s="569"/>
      <c r="AY399" s="569"/>
      <c r="AZ399" s="569"/>
      <c r="BA399" s="569"/>
      <c r="BB399" s="569"/>
      <c r="BC399" s="569"/>
      <c r="BD399" s="569"/>
      <c r="BE399" s="569"/>
      <c r="BF399" s="569"/>
      <c r="BG399" s="569"/>
      <c r="BH399" s="569"/>
      <c r="BI399" s="569"/>
      <c r="BJ399" s="569"/>
      <c r="BK399" s="569"/>
      <c r="BL399" s="569"/>
      <c r="BM399" s="569"/>
      <c r="BN399" s="569"/>
      <c r="BO399" s="569"/>
      <c r="BP399" s="569"/>
      <c r="BQ399" s="569"/>
      <c r="BR399" s="569"/>
      <c r="BS399" s="569"/>
      <c r="BT399" s="569"/>
      <c r="BU399" s="569"/>
      <c r="BV399" s="569"/>
      <c r="BW399" s="569"/>
      <c r="BX399" s="569"/>
      <c r="BY399" s="569"/>
      <c r="BZ399" s="569"/>
      <c r="CA399" s="569"/>
      <c r="CB399" s="569"/>
      <c r="CC399" s="569"/>
      <c r="CD399" s="569"/>
      <c r="CE399" s="569"/>
      <c r="CF399" s="569"/>
      <c r="CG399" s="569"/>
      <c r="CH399" s="569"/>
      <c r="CI399" s="569"/>
      <c r="CJ399" s="569"/>
      <c r="CK399" s="569"/>
      <c r="CL399" s="569"/>
      <c r="CM399" s="569"/>
      <c r="CN399" s="569"/>
      <c r="CO399" s="569"/>
      <c r="CP399" s="569"/>
      <c r="CQ399" s="569"/>
      <c r="CR399" s="569"/>
      <c r="CS399" s="569"/>
      <c r="CT399" s="569"/>
      <c r="CU399" s="569"/>
      <c r="CV399" s="569"/>
      <c r="CW399" s="569"/>
      <c r="CX399" s="569"/>
      <c r="CY399" s="569"/>
      <c r="CZ399" s="569"/>
      <c r="DA399" s="569"/>
      <c r="DB399" s="569"/>
      <c r="DC399" s="569"/>
      <c r="DD399" s="569"/>
      <c r="DE399" s="569"/>
      <c r="DF399" s="569"/>
      <c r="DG399" s="569"/>
      <c r="DH399" s="569"/>
      <c r="DI399" s="569"/>
      <c r="DJ399" s="569"/>
      <c r="DK399" s="569"/>
      <c r="DL399" s="569"/>
      <c r="DM399" s="569"/>
      <c r="DN399" s="569"/>
      <c r="DO399" s="569"/>
      <c r="DP399" s="569"/>
      <c r="DQ399" s="569"/>
      <c r="DR399" s="569"/>
      <c r="DS399" s="569"/>
      <c r="DT399" s="569"/>
      <c r="DU399" s="569"/>
      <c r="DV399" s="569"/>
      <c r="DW399" s="569"/>
      <c r="DX399" s="569"/>
      <c r="DY399" s="569"/>
      <c r="DZ399" s="569"/>
      <c r="EA399" s="569"/>
      <c r="EB399" s="569"/>
      <c r="EC399" s="569"/>
      <c r="ED399" s="569"/>
      <c r="EE399" s="569"/>
      <c r="EF399" s="569"/>
      <c r="EG399" s="569"/>
      <c r="EH399" s="569"/>
      <c r="EI399" s="569"/>
      <c r="EJ399" s="569"/>
      <c r="EK399" s="569"/>
      <c r="EL399" s="569"/>
      <c r="EM399" s="569"/>
      <c r="EN399" s="569"/>
      <c r="EO399" s="569"/>
      <c r="EP399" s="569"/>
      <c r="EQ399" s="569"/>
      <c r="ER399" s="569"/>
      <c r="ES399" s="569"/>
      <c r="ET399" s="569"/>
      <c r="EU399" s="569"/>
      <c r="EV399" s="569"/>
      <c r="EW399" s="569"/>
      <c r="EX399" s="569"/>
      <c r="EY399" s="569"/>
      <c r="EZ399" s="569"/>
      <c r="FA399" s="569"/>
      <c r="FB399" s="569"/>
      <c r="FC399" s="569"/>
      <c r="FD399" s="569"/>
      <c r="FE399" s="569"/>
      <c r="FF399" s="569"/>
      <c r="FG399" s="569"/>
      <c r="FH399" s="569"/>
      <c r="FI399" s="569"/>
      <c r="FJ399" s="569"/>
      <c r="FK399" s="569"/>
      <c r="FL399" s="569"/>
      <c r="FM399" s="569"/>
      <c r="FN399" s="569"/>
      <c r="FO399" s="569"/>
      <c r="FP399" s="569"/>
      <c r="FQ399" s="569"/>
      <c r="FR399" s="569"/>
      <c r="FS399" s="569"/>
      <c r="FT399" s="569"/>
      <c r="FU399" s="569"/>
      <c r="FV399" s="569"/>
      <c r="FW399" s="569"/>
      <c r="FX399" s="569"/>
      <c r="FY399" s="569"/>
      <c r="FZ399" s="569"/>
      <c r="GA399" s="569"/>
      <c r="GB399" s="569"/>
      <c r="GC399" s="569"/>
      <c r="GD399" s="569"/>
      <c r="GE399" s="569"/>
      <c r="GF399" s="569"/>
      <c r="GG399" s="569"/>
      <c r="GH399" s="569"/>
      <c r="GI399" s="569"/>
      <c r="GJ399" s="569"/>
      <c r="GK399" s="569"/>
      <c r="GL399" s="569"/>
      <c r="GM399" s="569"/>
      <c r="GN399" s="569"/>
      <c r="GO399" s="569"/>
      <c r="GP399" s="569"/>
      <c r="GQ399" s="569"/>
      <c r="GR399" s="569"/>
      <c r="GS399" s="569"/>
      <c r="GT399" s="569"/>
      <c r="GU399" s="569"/>
      <c r="GV399" s="569"/>
      <c r="GW399" s="569"/>
      <c r="GX399" s="569"/>
      <c r="GY399" s="569"/>
      <c r="GZ399" s="569"/>
      <c r="HA399" s="569"/>
      <c r="HB399" s="569"/>
      <c r="HC399" s="569"/>
      <c r="HD399" s="569"/>
      <c r="HE399" s="569"/>
      <c r="HF399" s="569"/>
      <c r="HG399" s="569"/>
      <c r="HH399" s="569"/>
      <c r="HI399" s="569"/>
      <c r="HJ399" s="569"/>
      <c r="HK399" s="569"/>
      <c r="HL399" s="569"/>
      <c r="HM399" s="569"/>
      <c r="HN399" s="569"/>
      <c r="HO399" s="569"/>
      <c r="HP399" s="569"/>
      <c r="HQ399" s="569"/>
      <c r="HR399" s="569"/>
      <c r="HS399" s="569"/>
      <c r="HT399" s="569"/>
      <c r="HU399" s="569"/>
      <c r="HV399" s="569"/>
      <c r="HW399" s="569"/>
      <c r="HX399" s="569"/>
      <c r="HY399" s="569"/>
      <c r="HZ399" s="569"/>
      <c r="IA399" s="569"/>
      <c r="IB399" s="569"/>
      <c r="IC399" s="569"/>
      <c r="ID399" s="569"/>
      <c r="IE399" s="569"/>
      <c r="IF399" s="569"/>
      <c r="IG399" s="569"/>
      <c r="IH399" s="569"/>
      <c r="II399" s="569"/>
      <c r="IJ399" s="569"/>
      <c r="IK399" s="569"/>
      <c r="IL399" s="569"/>
      <c r="IM399" s="569"/>
      <c r="IN399" s="569"/>
      <c r="IO399" s="569"/>
      <c r="IP399" s="569"/>
      <c r="IQ399" s="569"/>
      <c r="IR399" s="569"/>
      <c r="IS399" s="569"/>
      <c r="IT399" s="569"/>
      <c r="IU399" s="569"/>
      <c r="IV399" s="569"/>
      <c r="IW399" s="569"/>
      <c r="IX399" s="569"/>
      <c r="IY399" s="569"/>
      <c r="IZ399" s="569"/>
      <c r="JA399" s="569"/>
      <c r="JB399" s="569"/>
      <c r="JC399" s="569"/>
      <c r="JD399" s="569"/>
      <c r="JE399" s="569"/>
      <c r="JF399" s="569"/>
      <c r="JG399" s="569"/>
      <c r="JH399" s="569"/>
      <c r="JI399" s="569"/>
      <c r="JJ399" s="569"/>
      <c r="JK399" s="569"/>
      <c r="JL399" s="569"/>
      <c r="JM399" s="569"/>
      <c r="JN399" s="569"/>
      <c r="JO399" s="569"/>
      <c r="JP399" s="569"/>
      <c r="JQ399" s="569"/>
      <c r="JR399" s="569"/>
      <c r="JS399" s="569"/>
      <c r="JT399" s="569"/>
      <c r="JU399" s="569"/>
      <c r="JV399" s="569"/>
      <c r="JW399" s="569"/>
      <c r="JX399" s="569"/>
      <c r="JY399" s="569"/>
      <c r="JZ399" s="569"/>
      <c r="KA399" s="569"/>
      <c r="KB399" s="569"/>
      <c r="KC399" s="569"/>
      <c r="KD399" s="569"/>
      <c r="KE399" s="569"/>
      <c r="KF399" s="569"/>
      <c r="KG399" s="569"/>
      <c r="KH399" s="569"/>
      <c r="KI399" s="569"/>
      <c r="KJ399" s="569"/>
      <c r="KK399" s="569"/>
      <c r="KL399" s="569"/>
      <c r="KM399" s="569"/>
      <c r="KN399" s="569"/>
      <c r="KO399" s="569"/>
      <c r="KP399" s="569"/>
      <c r="KQ399" s="569"/>
      <c r="KR399" s="569"/>
      <c r="KS399" s="569"/>
      <c r="KT399" s="569"/>
      <c r="KU399" s="569"/>
      <c r="KV399" s="569"/>
      <c r="KW399" s="569"/>
      <c r="KX399" s="569"/>
      <c r="KY399" s="569"/>
      <c r="KZ399" s="569"/>
      <c r="LA399" s="569"/>
      <c r="LB399" s="569"/>
      <c r="LC399" s="569"/>
      <c r="LD399" s="569"/>
      <c r="LE399" s="569"/>
      <c r="LF399" s="569"/>
      <c r="LG399" s="569"/>
      <c r="LH399" s="569"/>
      <c r="LI399" s="569"/>
      <c r="LJ399" s="569"/>
      <c r="LK399" s="569"/>
      <c r="LL399" s="569"/>
      <c r="LM399" s="569"/>
      <c r="LN399" s="569"/>
      <c r="LO399" s="569"/>
      <c r="LP399" s="569"/>
      <c r="LQ399" s="569"/>
      <c r="LR399" s="569"/>
      <c r="LS399" s="569"/>
      <c r="LT399" s="569"/>
      <c r="LU399" s="569"/>
      <c r="LV399" s="569"/>
      <c r="LW399" s="569"/>
      <c r="LX399" s="569"/>
      <c r="LY399" s="569"/>
      <c r="LZ399" s="569"/>
      <c r="MA399" s="569"/>
      <c r="MB399" s="569"/>
      <c r="MC399" s="569"/>
      <c r="MD399" s="569"/>
      <c r="ME399" s="569"/>
      <c r="MF399" s="569"/>
      <c r="MG399" s="569"/>
      <c r="MH399" s="569"/>
      <c r="MI399" s="569"/>
      <c r="MJ399" s="569"/>
      <c r="MK399" s="569"/>
      <c r="ML399" s="569"/>
      <c r="MM399" s="569"/>
      <c r="MN399" s="569"/>
      <c r="MO399" s="569"/>
      <c r="MP399" s="569"/>
      <c r="MQ399" s="569"/>
      <c r="MR399" s="569"/>
      <c r="MS399" s="569"/>
      <c r="MT399" s="569"/>
      <c r="MU399" s="569"/>
      <c r="MV399" s="569"/>
      <c r="MW399" s="569"/>
      <c r="MX399" s="569"/>
      <c r="MY399" s="569"/>
      <c r="MZ399" s="569"/>
      <c r="NA399" s="569"/>
      <c r="NB399" s="569"/>
      <c r="NC399" s="569"/>
      <c r="ND399" s="569"/>
      <c r="NE399" s="569"/>
      <c r="NF399" s="569"/>
      <c r="NG399" s="569"/>
      <c r="NH399" s="569"/>
      <c r="NI399" s="569"/>
      <c r="NJ399" s="569"/>
      <c r="NK399" s="569"/>
      <c r="NL399" s="569"/>
      <c r="NM399" s="569"/>
      <c r="NN399" s="569"/>
      <c r="NO399" s="569"/>
      <c r="NP399" s="569"/>
      <c r="NQ399" s="569"/>
      <c r="NR399" s="569"/>
      <c r="NS399" s="569"/>
      <c r="NT399" s="569"/>
      <c r="NU399" s="569"/>
      <c r="NV399" s="569"/>
      <c r="NW399" s="569"/>
      <c r="NX399" s="569"/>
      <c r="NY399" s="569"/>
      <c r="NZ399" s="569"/>
      <c r="OA399" s="569"/>
      <c r="OB399" s="569"/>
      <c r="OC399" s="569"/>
      <c r="OD399" s="569"/>
      <c r="OE399" s="569"/>
      <c r="OF399" s="569"/>
      <c r="OG399" s="569"/>
      <c r="OH399" s="569"/>
      <c r="OI399" s="569"/>
      <c r="OJ399" s="569"/>
      <c r="OK399" s="569"/>
      <c r="OL399" s="569"/>
      <c r="OM399" s="569"/>
      <c r="ON399" s="569"/>
      <c r="OO399" s="569"/>
      <c r="OP399" s="569"/>
      <c r="OQ399" s="569"/>
      <c r="OR399" s="569"/>
      <c r="OS399" s="569"/>
      <c r="OT399" s="569"/>
      <c r="OU399" s="569"/>
      <c r="OV399" s="569"/>
      <c r="OW399" s="569"/>
      <c r="OX399" s="569"/>
      <c r="OY399" s="569"/>
      <c r="OZ399" s="569"/>
      <c r="PA399" s="569"/>
      <c r="PB399" s="569"/>
      <c r="PC399" s="569"/>
      <c r="PD399" s="569"/>
      <c r="PE399" s="569"/>
      <c r="PF399" s="569"/>
      <c r="PG399" s="569"/>
      <c r="PH399" s="569"/>
      <c r="PI399" s="569"/>
      <c r="PJ399" s="569"/>
      <c r="PK399" s="569"/>
      <c r="PL399" s="569"/>
      <c r="PM399" s="569"/>
      <c r="PN399" s="569"/>
      <c r="PO399" s="569"/>
      <c r="PP399" s="569"/>
      <c r="PQ399" s="569"/>
      <c r="PR399" s="569"/>
      <c r="PS399" s="569"/>
      <c r="PT399" s="569"/>
      <c r="PU399" s="569"/>
      <c r="PV399" s="569"/>
      <c r="PW399" s="569"/>
      <c r="PX399" s="569"/>
      <c r="PY399" s="569"/>
      <c r="PZ399" s="569"/>
      <c r="QA399" s="569"/>
      <c r="QB399" s="569"/>
      <c r="QC399" s="569"/>
      <c r="QD399" s="569"/>
      <c r="QE399" s="569"/>
      <c r="QF399" s="569"/>
      <c r="QG399" s="569"/>
      <c r="QH399" s="569"/>
      <c r="QI399" s="569"/>
      <c r="QJ399" s="569"/>
      <c r="QK399" s="569"/>
      <c r="QL399" s="569"/>
    </row>
    <row r="400" spans="1:454" s="574" customFormat="1" ht="60">
      <c r="A400" s="569"/>
      <c r="B400" s="575">
        <v>14</v>
      </c>
      <c r="C400" s="576" t="str">
        <f>'matrik MISI 2'!B29</f>
        <v>KETENAGAKERJAAN</v>
      </c>
      <c r="D400" s="577">
        <f>'matrik MISI 2'!J30</f>
        <v>1.1399999999999999</v>
      </c>
      <c r="E400" s="577" t="str">
        <f>'matrik MISI 2'!K30</f>
        <v>xx</v>
      </c>
      <c r="F400" s="577">
        <f>'matrik MISI 2'!L30</f>
        <v>15</v>
      </c>
      <c r="G400" s="577" t="str">
        <f>'matrik MISI 2'!M30</f>
        <v>Program Peningkatan Kualitas dan Produktivitas Tenaga Kerja</v>
      </c>
      <c r="H400" s="577"/>
      <c r="I400" s="577"/>
      <c r="J400" s="577"/>
      <c r="K400" s="577"/>
      <c r="L400" s="577"/>
      <c r="M400" s="578">
        <f>'jangan di hapus 1'!K806</f>
        <v>2162191600</v>
      </c>
      <c r="N400" s="578"/>
      <c r="O400" s="578">
        <f>'jangan di hapus 1'!M806</f>
        <v>860000000</v>
      </c>
      <c r="P400" s="578"/>
      <c r="Q400" s="578">
        <f>'jangan di hapus 1'!O806</f>
        <v>987500000</v>
      </c>
      <c r="R400" s="578"/>
      <c r="S400" s="578">
        <f>'jangan di hapus 1'!Q806</f>
        <v>1215000000</v>
      </c>
      <c r="T400" s="578"/>
      <c r="U400" s="578">
        <f>'jangan di hapus 1'!S806</f>
        <v>1298000000</v>
      </c>
      <c r="V400" s="577"/>
      <c r="W400" s="578">
        <f>SUM(M400:U400)</f>
        <v>6522691600</v>
      </c>
      <c r="X400" s="577"/>
      <c r="Y400" s="577"/>
      <c r="Z400" s="577"/>
      <c r="AA400" s="569"/>
      <c r="AB400" s="569"/>
      <c r="AC400" s="569"/>
      <c r="AD400" s="569"/>
      <c r="AE400" s="569"/>
      <c r="AF400" s="569"/>
      <c r="AG400" s="569"/>
      <c r="AH400" s="569"/>
      <c r="AI400" s="569"/>
      <c r="AJ400" s="569"/>
      <c r="AK400" s="569"/>
      <c r="AL400" s="569"/>
      <c r="AM400" s="569"/>
      <c r="AN400" s="569"/>
      <c r="AO400" s="569"/>
      <c r="AP400" s="569"/>
      <c r="AQ400" s="569"/>
      <c r="AR400" s="569"/>
      <c r="AS400" s="569"/>
      <c r="AT400" s="569"/>
      <c r="AU400" s="569"/>
      <c r="AV400" s="569"/>
      <c r="AW400" s="569"/>
      <c r="AX400" s="569"/>
      <c r="AY400" s="569"/>
      <c r="AZ400" s="569"/>
      <c r="BA400" s="569"/>
      <c r="BB400" s="569"/>
      <c r="BC400" s="569"/>
      <c r="BD400" s="569"/>
      <c r="BE400" s="569"/>
      <c r="BF400" s="569"/>
      <c r="BG400" s="569"/>
      <c r="BH400" s="569"/>
      <c r="BI400" s="569"/>
      <c r="BJ400" s="569"/>
      <c r="BK400" s="569"/>
      <c r="BL400" s="569"/>
      <c r="BM400" s="569"/>
      <c r="BN400" s="569"/>
      <c r="BO400" s="569"/>
      <c r="BP400" s="569"/>
      <c r="BQ400" s="569"/>
      <c r="BR400" s="569"/>
      <c r="BS400" s="569"/>
      <c r="BT400" s="569"/>
      <c r="BU400" s="569"/>
      <c r="BV400" s="569"/>
      <c r="BW400" s="569"/>
      <c r="BX400" s="569"/>
      <c r="BY400" s="569"/>
      <c r="BZ400" s="569"/>
      <c r="CA400" s="569"/>
      <c r="CB400" s="569"/>
      <c r="CC400" s="569"/>
      <c r="CD400" s="569"/>
      <c r="CE400" s="569"/>
      <c r="CF400" s="569"/>
      <c r="CG400" s="569"/>
      <c r="CH400" s="569"/>
      <c r="CI400" s="569"/>
      <c r="CJ400" s="569"/>
      <c r="CK400" s="569"/>
      <c r="CL400" s="569"/>
      <c r="CM400" s="569"/>
      <c r="CN400" s="569"/>
      <c r="CO400" s="569"/>
      <c r="CP400" s="569"/>
      <c r="CQ400" s="569"/>
      <c r="CR400" s="569"/>
      <c r="CS400" s="569"/>
      <c r="CT400" s="569"/>
      <c r="CU400" s="569"/>
      <c r="CV400" s="569"/>
      <c r="CW400" s="569"/>
      <c r="CX400" s="569"/>
      <c r="CY400" s="569"/>
      <c r="CZ400" s="569"/>
      <c r="DA400" s="569"/>
      <c r="DB400" s="569"/>
      <c r="DC400" s="569"/>
      <c r="DD400" s="569"/>
      <c r="DE400" s="569"/>
      <c r="DF400" s="569"/>
      <c r="DG400" s="569"/>
      <c r="DH400" s="569"/>
      <c r="DI400" s="569"/>
      <c r="DJ400" s="569"/>
      <c r="DK400" s="569"/>
      <c r="DL400" s="569"/>
      <c r="DM400" s="569"/>
      <c r="DN400" s="569"/>
      <c r="DO400" s="569"/>
      <c r="DP400" s="569"/>
      <c r="DQ400" s="569"/>
      <c r="DR400" s="569"/>
      <c r="DS400" s="569"/>
      <c r="DT400" s="569"/>
      <c r="DU400" s="569"/>
      <c r="DV400" s="569"/>
      <c r="DW400" s="569"/>
      <c r="DX400" s="569"/>
      <c r="DY400" s="569"/>
      <c r="DZ400" s="569"/>
      <c r="EA400" s="569"/>
      <c r="EB400" s="569"/>
      <c r="EC400" s="569"/>
      <c r="ED400" s="569"/>
      <c r="EE400" s="569"/>
      <c r="EF400" s="569"/>
      <c r="EG400" s="569"/>
      <c r="EH400" s="569"/>
      <c r="EI400" s="569"/>
      <c r="EJ400" s="569"/>
      <c r="EK400" s="569"/>
      <c r="EL400" s="569"/>
      <c r="EM400" s="569"/>
      <c r="EN400" s="569"/>
      <c r="EO400" s="569"/>
      <c r="EP400" s="569"/>
      <c r="EQ400" s="569"/>
      <c r="ER400" s="569"/>
      <c r="ES400" s="569"/>
      <c r="ET400" s="569"/>
      <c r="EU400" s="569"/>
      <c r="EV400" s="569"/>
      <c r="EW400" s="569"/>
      <c r="EX400" s="569"/>
      <c r="EY400" s="569"/>
      <c r="EZ400" s="569"/>
      <c r="FA400" s="569"/>
      <c r="FB400" s="569"/>
      <c r="FC400" s="569"/>
      <c r="FD400" s="569"/>
      <c r="FE400" s="569"/>
      <c r="FF400" s="569"/>
      <c r="FG400" s="569"/>
      <c r="FH400" s="569"/>
      <c r="FI400" s="569"/>
      <c r="FJ400" s="569"/>
      <c r="FK400" s="569"/>
      <c r="FL400" s="569"/>
      <c r="FM400" s="569"/>
      <c r="FN400" s="569"/>
      <c r="FO400" s="569"/>
      <c r="FP400" s="569"/>
      <c r="FQ400" s="569"/>
      <c r="FR400" s="569"/>
      <c r="FS400" s="569"/>
      <c r="FT400" s="569"/>
      <c r="FU400" s="569"/>
      <c r="FV400" s="569"/>
      <c r="FW400" s="569"/>
      <c r="FX400" s="569"/>
      <c r="FY400" s="569"/>
      <c r="FZ400" s="569"/>
      <c r="GA400" s="569"/>
      <c r="GB400" s="569"/>
      <c r="GC400" s="569"/>
      <c r="GD400" s="569"/>
      <c r="GE400" s="569"/>
      <c r="GF400" s="569"/>
      <c r="GG400" s="569"/>
      <c r="GH400" s="569"/>
      <c r="GI400" s="569"/>
      <c r="GJ400" s="569"/>
      <c r="GK400" s="569"/>
      <c r="GL400" s="569"/>
      <c r="GM400" s="569"/>
      <c r="GN400" s="569"/>
      <c r="GO400" s="569"/>
      <c r="GP400" s="569"/>
      <c r="GQ400" s="569"/>
      <c r="GR400" s="569"/>
      <c r="GS400" s="569"/>
      <c r="GT400" s="569"/>
      <c r="GU400" s="569"/>
      <c r="GV400" s="569"/>
      <c r="GW400" s="569"/>
      <c r="GX400" s="569"/>
      <c r="GY400" s="569"/>
      <c r="GZ400" s="569"/>
      <c r="HA400" s="569"/>
      <c r="HB400" s="569"/>
      <c r="HC400" s="569"/>
      <c r="HD400" s="569"/>
      <c r="HE400" s="569"/>
      <c r="HF400" s="569"/>
      <c r="HG400" s="569"/>
      <c r="HH400" s="569"/>
      <c r="HI400" s="569"/>
      <c r="HJ400" s="569"/>
      <c r="HK400" s="569"/>
      <c r="HL400" s="569"/>
      <c r="HM400" s="569"/>
      <c r="HN400" s="569"/>
      <c r="HO400" s="569"/>
      <c r="HP400" s="569"/>
      <c r="HQ400" s="569"/>
      <c r="HR400" s="569"/>
      <c r="HS400" s="569"/>
      <c r="HT400" s="569"/>
      <c r="HU400" s="569"/>
      <c r="HV400" s="569"/>
      <c r="HW400" s="569"/>
      <c r="HX400" s="569"/>
      <c r="HY400" s="569"/>
      <c r="HZ400" s="569"/>
      <c r="IA400" s="569"/>
      <c r="IB400" s="569"/>
      <c r="IC400" s="569"/>
      <c r="ID400" s="569"/>
      <c r="IE400" s="569"/>
      <c r="IF400" s="569"/>
      <c r="IG400" s="569"/>
      <c r="IH400" s="569"/>
      <c r="II400" s="569"/>
      <c r="IJ400" s="569"/>
      <c r="IK400" s="569"/>
      <c r="IL400" s="569"/>
      <c r="IM400" s="569"/>
      <c r="IN400" s="569"/>
      <c r="IO400" s="569"/>
      <c r="IP400" s="569"/>
      <c r="IQ400" s="569"/>
      <c r="IR400" s="569"/>
      <c r="IS400" s="569"/>
      <c r="IT400" s="569"/>
      <c r="IU400" s="569"/>
      <c r="IV400" s="569"/>
      <c r="IW400" s="569"/>
      <c r="IX400" s="569"/>
      <c r="IY400" s="569"/>
      <c r="IZ400" s="569"/>
      <c r="JA400" s="569"/>
      <c r="JB400" s="569"/>
      <c r="JC400" s="569"/>
      <c r="JD400" s="569"/>
      <c r="JE400" s="569"/>
      <c r="JF400" s="569"/>
      <c r="JG400" s="569"/>
      <c r="JH400" s="569"/>
      <c r="JI400" s="569"/>
      <c r="JJ400" s="569"/>
      <c r="JK400" s="569"/>
      <c r="JL400" s="569"/>
      <c r="JM400" s="569"/>
      <c r="JN400" s="569"/>
      <c r="JO400" s="569"/>
      <c r="JP400" s="569"/>
      <c r="JQ400" s="569"/>
      <c r="JR400" s="569"/>
      <c r="JS400" s="569"/>
      <c r="JT400" s="569"/>
      <c r="JU400" s="569"/>
      <c r="JV400" s="569"/>
      <c r="JW400" s="569"/>
      <c r="JX400" s="569"/>
      <c r="JY400" s="569"/>
      <c r="JZ400" s="569"/>
      <c r="KA400" s="569"/>
      <c r="KB400" s="569"/>
      <c r="KC400" s="569"/>
      <c r="KD400" s="569"/>
      <c r="KE400" s="569"/>
      <c r="KF400" s="569"/>
      <c r="KG400" s="569"/>
      <c r="KH400" s="569"/>
      <c r="KI400" s="569"/>
      <c r="KJ400" s="569"/>
      <c r="KK400" s="569"/>
      <c r="KL400" s="569"/>
      <c r="KM400" s="569"/>
      <c r="KN400" s="569"/>
      <c r="KO400" s="569"/>
      <c r="KP400" s="569"/>
      <c r="KQ400" s="569"/>
      <c r="KR400" s="569"/>
      <c r="KS400" s="569"/>
      <c r="KT400" s="569"/>
      <c r="KU400" s="569"/>
      <c r="KV400" s="569"/>
      <c r="KW400" s="569"/>
      <c r="KX400" s="569"/>
      <c r="KY400" s="569"/>
      <c r="KZ400" s="569"/>
      <c r="LA400" s="569"/>
      <c r="LB400" s="569"/>
      <c r="LC400" s="569"/>
      <c r="LD400" s="569"/>
      <c r="LE400" s="569"/>
      <c r="LF400" s="569"/>
      <c r="LG400" s="569"/>
      <c r="LH400" s="569"/>
      <c r="LI400" s="569"/>
      <c r="LJ400" s="569"/>
      <c r="LK400" s="569"/>
      <c r="LL400" s="569"/>
      <c r="LM400" s="569"/>
      <c r="LN400" s="569"/>
      <c r="LO400" s="569"/>
      <c r="LP400" s="569"/>
      <c r="LQ400" s="569"/>
      <c r="LR400" s="569"/>
      <c r="LS400" s="569"/>
      <c r="LT400" s="569"/>
      <c r="LU400" s="569"/>
      <c r="LV400" s="569"/>
      <c r="LW400" s="569"/>
      <c r="LX400" s="569"/>
      <c r="LY400" s="569"/>
      <c r="LZ400" s="569"/>
      <c r="MA400" s="569"/>
      <c r="MB400" s="569"/>
      <c r="MC400" s="569"/>
      <c r="MD400" s="569"/>
      <c r="ME400" s="569"/>
      <c r="MF400" s="569"/>
      <c r="MG400" s="569"/>
      <c r="MH400" s="569"/>
      <c r="MI400" s="569"/>
      <c r="MJ400" s="569"/>
      <c r="MK400" s="569"/>
      <c r="ML400" s="569"/>
      <c r="MM400" s="569"/>
      <c r="MN400" s="569"/>
      <c r="MO400" s="569"/>
      <c r="MP400" s="569"/>
      <c r="MQ400" s="569"/>
      <c r="MR400" s="569"/>
      <c r="MS400" s="569"/>
      <c r="MT400" s="569"/>
      <c r="MU400" s="569"/>
      <c r="MV400" s="569"/>
      <c r="MW400" s="569"/>
      <c r="MX400" s="569"/>
      <c r="MY400" s="569"/>
      <c r="MZ400" s="569"/>
      <c r="NA400" s="569"/>
      <c r="NB400" s="569"/>
      <c r="NC400" s="569"/>
      <c r="ND400" s="569"/>
      <c r="NE400" s="569"/>
      <c r="NF400" s="569"/>
      <c r="NG400" s="569"/>
      <c r="NH400" s="569"/>
      <c r="NI400" s="569"/>
      <c r="NJ400" s="569"/>
      <c r="NK400" s="569"/>
      <c r="NL400" s="569"/>
      <c r="NM400" s="569"/>
      <c r="NN400" s="569"/>
      <c r="NO400" s="569"/>
      <c r="NP400" s="569"/>
      <c r="NQ400" s="569"/>
      <c r="NR400" s="569"/>
      <c r="NS400" s="569"/>
      <c r="NT400" s="569"/>
      <c r="NU400" s="569"/>
      <c r="NV400" s="569"/>
      <c r="NW400" s="569"/>
      <c r="NX400" s="569"/>
      <c r="NY400" s="569"/>
      <c r="NZ400" s="569"/>
      <c r="OA400" s="569"/>
      <c r="OB400" s="569"/>
      <c r="OC400" s="569"/>
      <c r="OD400" s="569"/>
      <c r="OE400" s="569"/>
      <c r="OF400" s="569"/>
      <c r="OG400" s="569"/>
      <c r="OH400" s="569"/>
      <c r="OI400" s="569"/>
      <c r="OJ400" s="569"/>
      <c r="OK400" s="569"/>
      <c r="OL400" s="569"/>
      <c r="OM400" s="569"/>
      <c r="ON400" s="569"/>
      <c r="OO400" s="569"/>
      <c r="OP400" s="569"/>
      <c r="OQ400" s="569"/>
      <c r="OR400" s="569"/>
      <c r="OS400" s="569"/>
      <c r="OT400" s="569"/>
      <c r="OU400" s="569"/>
      <c r="OV400" s="569"/>
      <c r="OW400" s="569"/>
      <c r="OX400" s="569"/>
      <c r="OY400" s="569"/>
      <c r="OZ400" s="569"/>
      <c r="PA400" s="569"/>
      <c r="PB400" s="569"/>
      <c r="PC400" s="569"/>
      <c r="PD400" s="569"/>
      <c r="PE400" s="569"/>
      <c r="PF400" s="569"/>
      <c r="PG400" s="569"/>
      <c r="PH400" s="569"/>
      <c r="PI400" s="569"/>
      <c r="PJ400" s="569"/>
      <c r="PK400" s="569"/>
      <c r="PL400" s="569"/>
      <c r="PM400" s="569"/>
      <c r="PN400" s="569"/>
      <c r="PO400" s="569"/>
      <c r="PP400" s="569"/>
      <c r="PQ400" s="569"/>
      <c r="PR400" s="569"/>
      <c r="PS400" s="569"/>
      <c r="PT400" s="569"/>
      <c r="PU400" s="569"/>
      <c r="PV400" s="569"/>
      <c r="PW400" s="569"/>
      <c r="PX400" s="569"/>
      <c r="PY400" s="569"/>
      <c r="PZ400" s="569"/>
      <c r="QA400" s="569"/>
      <c r="QB400" s="569"/>
      <c r="QC400" s="569"/>
      <c r="QD400" s="569"/>
      <c r="QE400" s="569"/>
      <c r="QF400" s="569"/>
      <c r="QG400" s="569"/>
      <c r="QH400" s="569"/>
      <c r="QI400" s="569"/>
      <c r="QJ400" s="569"/>
      <c r="QK400" s="569"/>
      <c r="QL400" s="569"/>
    </row>
    <row r="401" spans="1:454" ht="45">
      <c r="B401" s="568"/>
      <c r="C401" s="568"/>
      <c r="D401" s="568"/>
      <c r="E401" s="568"/>
      <c r="F401" s="568"/>
      <c r="G401" s="568"/>
      <c r="H401" s="563" t="str">
        <f>'matrik MISI 2'!N30</f>
        <v>Persentase Tenaga Kerja yang Mendapatkan Pelatihan Berbasis Kompetensi</v>
      </c>
      <c r="I401" s="563" t="str">
        <f>'matrik MISI 2'!O30</f>
        <v>%</v>
      </c>
      <c r="J401" s="563">
        <f>'matrik MISI 2'!P30</f>
        <v>80</v>
      </c>
      <c r="K401" s="563">
        <f>'matrik MISI 2'!Q30</f>
        <v>80</v>
      </c>
      <c r="L401" s="563">
        <f>'matrik MISI 2'!R30</f>
        <v>80</v>
      </c>
      <c r="M401" s="604"/>
      <c r="N401" s="563">
        <f>'matrik MISI 2'!S30</f>
        <v>80</v>
      </c>
      <c r="O401" s="564"/>
      <c r="P401" s="563">
        <f>'matrik MISI 2'!T30</f>
        <v>80</v>
      </c>
      <c r="Q401" s="564"/>
      <c r="R401" s="563">
        <f>'matrik MISI 2'!U30</f>
        <v>80</v>
      </c>
      <c r="S401" s="564"/>
      <c r="T401" s="563">
        <f>'matrik MISI 2'!V30</f>
        <v>80</v>
      </c>
      <c r="U401" s="564"/>
      <c r="V401" s="563">
        <f>'matrik MISI 2'!W30</f>
        <v>80</v>
      </c>
      <c r="W401" s="564"/>
      <c r="X401" s="563" t="str">
        <f>'matrik MISI 2'!X30</f>
        <v>Disnakertran</v>
      </c>
      <c r="Y401" s="565" t="str">
        <f>'matrik MISI 2'!Y30</f>
        <v xml:space="preserve">jumlah tenaga kerja yang dilatih dibagi jumlah pendaftar pelatihan berbasis kompetensi X 100 </v>
      </c>
      <c r="Z401" s="565">
        <f>'matrik MISI 2'!Z30</f>
        <v>0</v>
      </c>
    </row>
    <row r="402" spans="1:454" ht="45">
      <c r="G402" s="563"/>
      <c r="H402" s="563" t="str">
        <f>'matrik MISI 2'!N31</f>
        <v>Persentase Tenaga Kerja yang Mendapatkan Pelatihan Berbasis Masyarakat</v>
      </c>
      <c r="I402" s="563" t="str">
        <f>'matrik MISI 2'!O31</f>
        <v>%</v>
      </c>
      <c r="J402" s="563" t="str">
        <f>'matrik MISI 2'!P31</f>
        <v xml:space="preserve"> - </v>
      </c>
      <c r="K402" s="563" t="str">
        <f>'matrik MISI 2'!Q31</f>
        <v xml:space="preserve"> - </v>
      </c>
      <c r="L402" s="563" t="str">
        <f>'matrik MISI 2'!R31</f>
        <v xml:space="preserve"> - </v>
      </c>
      <c r="M402" s="604"/>
      <c r="N402" s="563">
        <f>'matrik MISI 2'!S31</f>
        <v>80</v>
      </c>
      <c r="O402" s="564"/>
      <c r="P402" s="563">
        <f>'matrik MISI 2'!T31</f>
        <v>85</v>
      </c>
      <c r="Q402" s="564"/>
      <c r="R402" s="563">
        <f>'matrik MISI 2'!U31</f>
        <v>90</v>
      </c>
      <c r="S402" s="564"/>
      <c r="T402" s="563">
        <f>'matrik MISI 2'!V31</f>
        <v>95</v>
      </c>
      <c r="U402" s="564"/>
      <c r="V402" s="563">
        <f>'matrik MISI 2'!W31</f>
        <v>95</v>
      </c>
      <c r="W402" s="564"/>
      <c r="X402" s="563" t="str">
        <f>'matrik MISI 2'!X31</f>
        <v>Disnakertran</v>
      </c>
      <c r="Y402" s="565" t="str">
        <f>'matrik MISI 2'!Y31</f>
        <v xml:space="preserve">jumlah tenaga kerja yang dilatih dibagi jumlah pendaftar pelatihan berbasis masyarakat X 100 </v>
      </c>
      <c r="Z402" s="565">
        <f>'matrik MISI 2'!Z31</f>
        <v>0</v>
      </c>
    </row>
    <row r="403" spans="1:454" ht="45">
      <c r="G403" s="563"/>
      <c r="H403" s="563" t="str">
        <f>'matrik MISI 2'!N32</f>
        <v>Persentase Tenaga Kerja yang Mendapatkan Pelatihan Berbasis Kewirausahaan</v>
      </c>
      <c r="I403" s="563" t="str">
        <f>'matrik MISI 2'!O32</f>
        <v>%</v>
      </c>
      <c r="J403" s="563" t="str">
        <f>'matrik MISI 2'!P32</f>
        <v xml:space="preserve"> - </v>
      </c>
      <c r="K403" s="563">
        <f>'matrik MISI 2'!Q32</f>
        <v>80</v>
      </c>
      <c r="L403" s="563">
        <f>'matrik MISI 2'!R32</f>
        <v>80</v>
      </c>
      <c r="M403" s="604"/>
      <c r="N403" s="563">
        <f>'matrik MISI 2'!S32</f>
        <v>80</v>
      </c>
      <c r="O403" s="564"/>
      <c r="P403" s="563">
        <f>'matrik MISI 2'!T32</f>
        <v>80</v>
      </c>
      <c r="Q403" s="564"/>
      <c r="R403" s="563">
        <f>'matrik MISI 2'!U32</f>
        <v>80</v>
      </c>
      <c r="S403" s="564"/>
      <c r="T403" s="563">
        <f>'matrik MISI 2'!V32</f>
        <v>80</v>
      </c>
      <c r="U403" s="564"/>
      <c r="V403" s="563">
        <f>'matrik MISI 2'!W32</f>
        <v>80</v>
      </c>
      <c r="W403" s="564"/>
      <c r="X403" s="563" t="str">
        <f>'matrik MISI 2'!X32</f>
        <v>Disnakertran</v>
      </c>
      <c r="Y403" s="565" t="str">
        <f>'matrik MISI 2'!Y32</f>
        <v xml:space="preserve">jumlah tenaga kerja yang dilatih dibagi jumlah pendaftar pelatihan berbasis kewirausahaan X 100 </v>
      </c>
      <c r="Z403" s="565">
        <f>'matrik MISI 2'!Z32</f>
        <v>0</v>
      </c>
    </row>
    <row r="404" spans="1:454" s="574" customFormat="1" ht="30">
      <c r="A404" s="569"/>
      <c r="B404" s="575"/>
      <c r="C404" s="576"/>
      <c r="D404" s="577">
        <f>'matrik MISI 2'!J34</f>
        <v>1.1399999999999999</v>
      </c>
      <c r="E404" s="577" t="str">
        <f>'matrik MISI 2'!K34</f>
        <v>xx</v>
      </c>
      <c r="F404" s="577">
        <f>'matrik MISI 2'!L34</f>
        <v>16</v>
      </c>
      <c r="G404" s="577" t="str">
        <f>'matrik MISI 2'!M34</f>
        <v>Program Peningkatan Kesempatan Kerja</v>
      </c>
      <c r="H404" s="577"/>
      <c r="I404" s="577"/>
      <c r="J404" s="577"/>
      <c r="K404" s="577"/>
      <c r="L404" s="577"/>
      <c r="M404" s="578">
        <f>'jangan di hapus 1'!K813</f>
        <v>1302699000</v>
      </c>
      <c r="N404" s="578"/>
      <c r="O404" s="578">
        <f>'jangan di hapus 1'!M813</f>
        <v>1745000000</v>
      </c>
      <c r="P404" s="578"/>
      <c r="Q404" s="578">
        <f>'jangan di hapus 1'!O813</f>
        <v>1885000000</v>
      </c>
      <c r="R404" s="578"/>
      <c r="S404" s="578">
        <f>'jangan di hapus 1'!Q813</f>
        <v>2150000000</v>
      </c>
      <c r="T404" s="578"/>
      <c r="U404" s="578">
        <f>'jangan di hapus 1'!S813</f>
        <v>2190000000</v>
      </c>
      <c r="V404" s="577"/>
      <c r="W404" s="578">
        <f>SUM(M404:U404)</f>
        <v>9272699000</v>
      </c>
      <c r="X404" s="577"/>
      <c r="Y404" s="577"/>
      <c r="Z404" s="577"/>
      <c r="AA404" s="569"/>
      <c r="AB404" s="569"/>
      <c r="AC404" s="569"/>
      <c r="AD404" s="569"/>
      <c r="AE404" s="569"/>
      <c r="AF404" s="569"/>
      <c r="AG404" s="569"/>
      <c r="AH404" s="569"/>
      <c r="AI404" s="569"/>
      <c r="AJ404" s="569"/>
      <c r="AK404" s="569"/>
      <c r="AL404" s="569"/>
      <c r="AM404" s="569"/>
      <c r="AN404" s="569"/>
      <c r="AO404" s="569"/>
      <c r="AP404" s="569"/>
      <c r="AQ404" s="569"/>
      <c r="AR404" s="569"/>
      <c r="AS404" s="569"/>
      <c r="AT404" s="569"/>
      <c r="AU404" s="569"/>
      <c r="AV404" s="569"/>
      <c r="AW404" s="569"/>
      <c r="AX404" s="569"/>
      <c r="AY404" s="569"/>
      <c r="AZ404" s="569"/>
      <c r="BA404" s="569"/>
      <c r="BB404" s="569"/>
      <c r="BC404" s="569"/>
      <c r="BD404" s="569"/>
      <c r="BE404" s="569"/>
      <c r="BF404" s="569"/>
      <c r="BG404" s="569"/>
      <c r="BH404" s="569"/>
      <c r="BI404" s="569"/>
      <c r="BJ404" s="569"/>
      <c r="BK404" s="569"/>
      <c r="BL404" s="569"/>
      <c r="BM404" s="569"/>
      <c r="BN404" s="569"/>
      <c r="BO404" s="569"/>
      <c r="BP404" s="569"/>
      <c r="BQ404" s="569"/>
      <c r="BR404" s="569"/>
      <c r="BS404" s="569"/>
      <c r="BT404" s="569"/>
      <c r="BU404" s="569"/>
      <c r="BV404" s="569"/>
      <c r="BW404" s="569"/>
      <c r="BX404" s="569"/>
      <c r="BY404" s="569"/>
      <c r="BZ404" s="569"/>
      <c r="CA404" s="569"/>
      <c r="CB404" s="569"/>
      <c r="CC404" s="569"/>
      <c r="CD404" s="569"/>
      <c r="CE404" s="569"/>
      <c r="CF404" s="569"/>
      <c r="CG404" s="569"/>
      <c r="CH404" s="569"/>
      <c r="CI404" s="569"/>
      <c r="CJ404" s="569"/>
      <c r="CK404" s="569"/>
      <c r="CL404" s="569"/>
      <c r="CM404" s="569"/>
      <c r="CN404" s="569"/>
      <c r="CO404" s="569"/>
      <c r="CP404" s="569"/>
      <c r="CQ404" s="569"/>
      <c r="CR404" s="569"/>
      <c r="CS404" s="569"/>
      <c r="CT404" s="569"/>
      <c r="CU404" s="569"/>
      <c r="CV404" s="569"/>
      <c r="CW404" s="569"/>
      <c r="CX404" s="569"/>
      <c r="CY404" s="569"/>
      <c r="CZ404" s="569"/>
      <c r="DA404" s="569"/>
      <c r="DB404" s="569"/>
      <c r="DC404" s="569"/>
      <c r="DD404" s="569"/>
      <c r="DE404" s="569"/>
      <c r="DF404" s="569"/>
      <c r="DG404" s="569"/>
      <c r="DH404" s="569"/>
      <c r="DI404" s="569"/>
      <c r="DJ404" s="569"/>
      <c r="DK404" s="569"/>
      <c r="DL404" s="569"/>
      <c r="DM404" s="569"/>
      <c r="DN404" s="569"/>
      <c r="DO404" s="569"/>
      <c r="DP404" s="569"/>
      <c r="DQ404" s="569"/>
      <c r="DR404" s="569"/>
      <c r="DS404" s="569"/>
      <c r="DT404" s="569"/>
      <c r="DU404" s="569"/>
      <c r="DV404" s="569"/>
      <c r="DW404" s="569"/>
      <c r="DX404" s="569"/>
      <c r="DY404" s="569"/>
      <c r="DZ404" s="569"/>
      <c r="EA404" s="569"/>
      <c r="EB404" s="569"/>
      <c r="EC404" s="569"/>
      <c r="ED404" s="569"/>
      <c r="EE404" s="569"/>
      <c r="EF404" s="569"/>
      <c r="EG404" s="569"/>
      <c r="EH404" s="569"/>
      <c r="EI404" s="569"/>
      <c r="EJ404" s="569"/>
      <c r="EK404" s="569"/>
      <c r="EL404" s="569"/>
      <c r="EM404" s="569"/>
      <c r="EN404" s="569"/>
      <c r="EO404" s="569"/>
      <c r="EP404" s="569"/>
      <c r="EQ404" s="569"/>
      <c r="ER404" s="569"/>
      <c r="ES404" s="569"/>
      <c r="ET404" s="569"/>
      <c r="EU404" s="569"/>
      <c r="EV404" s="569"/>
      <c r="EW404" s="569"/>
      <c r="EX404" s="569"/>
      <c r="EY404" s="569"/>
      <c r="EZ404" s="569"/>
      <c r="FA404" s="569"/>
      <c r="FB404" s="569"/>
      <c r="FC404" s="569"/>
      <c r="FD404" s="569"/>
      <c r="FE404" s="569"/>
      <c r="FF404" s="569"/>
      <c r="FG404" s="569"/>
      <c r="FH404" s="569"/>
      <c r="FI404" s="569"/>
      <c r="FJ404" s="569"/>
      <c r="FK404" s="569"/>
      <c r="FL404" s="569"/>
      <c r="FM404" s="569"/>
      <c r="FN404" s="569"/>
      <c r="FO404" s="569"/>
      <c r="FP404" s="569"/>
      <c r="FQ404" s="569"/>
      <c r="FR404" s="569"/>
      <c r="FS404" s="569"/>
      <c r="FT404" s="569"/>
      <c r="FU404" s="569"/>
      <c r="FV404" s="569"/>
      <c r="FW404" s="569"/>
      <c r="FX404" s="569"/>
      <c r="FY404" s="569"/>
      <c r="FZ404" s="569"/>
      <c r="GA404" s="569"/>
      <c r="GB404" s="569"/>
      <c r="GC404" s="569"/>
      <c r="GD404" s="569"/>
      <c r="GE404" s="569"/>
      <c r="GF404" s="569"/>
      <c r="GG404" s="569"/>
      <c r="GH404" s="569"/>
      <c r="GI404" s="569"/>
      <c r="GJ404" s="569"/>
      <c r="GK404" s="569"/>
      <c r="GL404" s="569"/>
      <c r="GM404" s="569"/>
      <c r="GN404" s="569"/>
      <c r="GO404" s="569"/>
      <c r="GP404" s="569"/>
      <c r="GQ404" s="569"/>
      <c r="GR404" s="569"/>
      <c r="GS404" s="569"/>
      <c r="GT404" s="569"/>
      <c r="GU404" s="569"/>
      <c r="GV404" s="569"/>
      <c r="GW404" s="569"/>
      <c r="GX404" s="569"/>
      <c r="GY404" s="569"/>
      <c r="GZ404" s="569"/>
      <c r="HA404" s="569"/>
      <c r="HB404" s="569"/>
      <c r="HC404" s="569"/>
      <c r="HD404" s="569"/>
      <c r="HE404" s="569"/>
      <c r="HF404" s="569"/>
      <c r="HG404" s="569"/>
      <c r="HH404" s="569"/>
      <c r="HI404" s="569"/>
      <c r="HJ404" s="569"/>
      <c r="HK404" s="569"/>
      <c r="HL404" s="569"/>
      <c r="HM404" s="569"/>
      <c r="HN404" s="569"/>
      <c r="HO404" s="569"/>
      <c r="HP404" s="569"/>
      <c r="HQ404" s="569"/>
      <c r="HR404" s="569"/>
      <c r="HS404" s="569"/>
      <c r="HT404" s="569"/>
      <c r="HU404" s="569"/>
      <c r="HV404" s="569"/>
      <c r="HW404" s="569"/>
      <c r="HX404" s="569"/>
      <c r="HY404" s="569"/>
      <c r="HZ404" s="569"/>
      <c r="IA404" s="569"/>
      <c r="IB404" s="569"/>
      <c r="IC404" s="569"/>
      <c r="ID404" s="569"/>
      <c r="IE404" s="569"/>
      <c r="IF404" s="569"/>
      <c r="IG404" s="569"/>
      <c r="IH404" s="569"/>
      <c r="II404" s="569"/>
      <c r="IJ404" s="569"/>
      <c r="IK404" s="569"/>
      <c r="IL404" s="569"/>
      <c r="IM404" s="569"/>
      <c r="IN404" s="569"/>
      <c r="IO404" s="569"/>
      <c r="IP404" s="569"/>
      <c r="IQ404" s="569"/>
      <c r="IR404" s="569"/>
      <c r="IS404" s="569"/>
      <c r="IT404" s="569"/>
      <c r="IU404" s="569"/>
      <c r="IV404" s="569"/>
      <c r="IW404" s="569"/>
      <c r="IX404" s="569"/>
      <c r="IY404" s="569"/>
      <c r="IZ404" s="569"/>
      <c r="JA404" s="569"/>
      <c r="JB404" s="569"/>
      <c r="JC404" s="569"/>
      <c r="JD404" s="569"/>
      <c r="JE404" s="569"/>
      <c r="JF404" s="569"/>
      <c r="JG404" s="569"/>
      <c r="JH404" s="569"/>
      <c r="JI404" s="569"/>
      <c r="JJ404" s="569"/>
      <c r="JK404" s="569"/>
      <c r="JL404" s="569"/>
      <c r="JM404" s="569"/>
      <c r="JN404" s="569"/>
      <c r="JO404" s="569"/>
      <c r="JP404" s="569"/>
      <c r="JQ404" s="569"/>
      <c r="JR404" s="569"/>
      <c r="JS404" s="569"/>
      <c r="JT404" s="569"/>
      <c r="JU404" s="569"/>
      <c r="JV404" s="569"/>
      <c r="JW404" s="569"/>
      <c r="JX404" s="569"/>
      <c r="JY404" s="569"/>
      <c r="JZ404" s="569"/>
      <c r="KA404" s="569"/>
      <c r="KB404" s="569"/>
      <c r="KC404" s="569"/>
      <c r="KD404" s="569"/>
      <c r="KE404" s="569"/>
      <c r="KF404" s="569"/>
      <c r="KG404" s="569"/>
      <c r="KH404" s="569"/>
      <c r="KI404" s="569"/>
      <c r="KJ404" s="569"/>
      <c r="KK404" s="569"/>
      <c r="KL404" s="569"/>
      <c r="KM404" s="569"/>
      <c r="KN404" s="569"/>
      <c r="KO404" s="569"/>
      <c r="KP404" s="569"/>
      <c r="KQ404" s="569"/>
      <c r="KR404" s="569"/>
      <c r="KS404" s="569"/>
      <c r="KT404" s="569"/>
      <c r="KU404" s="569"/>
      <c r="KV404" s="569"/>
      <c r="KW404" s="569"/>
      <c r="KX404" s="569"/>
      <c r="KY404" s="569"/>
      <c r="KZ404" s="569"/>
      <c r="LA404" s="569"/>
      <c r="LB404" s="569"/>
      <c r="LC404" s="569"/>
      <c r="LD404" s="569"/>
      <c r="LE404" s="569"/>
      <c r="LF404" s="569"/>
      <c r="LG404" s="569"/>
      <c r="LH404" s="569"/>
      <c r="LI404" s="569"/>
      <c r="LJ404" s="569"/>
      <c r="LK404" s="569"/>
      <c r="LL404" s="569"/>
      <c r="LM404" s="569"/>
      <c r="LN404" s="569"/>
      <c r="LO404" s="569"/>
      <c r="LP404" s="569"/>
      <c r="LQ404" s="569"/>
      <c r="LR404" s="569"/>
      <c r="LS404" s="569"/>
      <c r="LT404" s="569"/>
      <c r="LU404" s="569"/>
      <c r="LV404" s="569"/>
      <c r="LW404" s="569"/>
      <c r="LX404" s="569"/>
      <c r="LY404" s="569"/>
      <c r="LZ404" s="569"/>
      <c r="MA404" s="569"/>
      <c r="MB404" s="569"/>
      <c r="MC404" s="569"/>
      <c r="MD404" s="569"/>
      <c r="ME404" s="569"/>
      <c r="MF404" s="569"/>
      <c r="MG404" s="569"/>
      <c r="MH404" s="569"/>
      <c r="MI404" s="569"/>
      <c r="MJ404" s="569"/>
      <c r="MK404" s="569"/>
      <c r="ML404" s="569"/>
      <c r="MM404" s="569"/>
      <c r="MN404" s="569"/>
      <c r="MO404" s="569"/>
      <c r="MP404" s="569"/>
      <c r="MQ404" s="569"/>
      <c r="MR404" s="569"/>
      <c r="MS404" s="569"/>
      <c r="MT404" s="569"/>
      <c r="MU404" s="569"/>
      <c r="MV404" s="569"/>
      <c r="MW404" s="569"/>
      <c r="MX404" s="569"/>
      <c r="MY404" s="569"/>
      <c r="MZ404" s="569"/>
      <c r="NA404" s="569"/>
      <c r="NB404" s="569"/>
      <c r="NC404" s="569"/>
      <c r="ND404" s="569"/>
      <c r="NE404" s="569"/>
      <c r="NF404" s="569"/>
      <c r="NG404" s="569"/>
      <c r="NH404" s="569"/>
      <c r="NI404" s="569"/>
      <c r="NJ404" s="569"/>
      <c r="NK404" s="569"/>
      <c r="NL404" s="569"/>
      <c r="NM404" s="569"/>
      <c r="NN404" s="569"/>
      <c r="NO404" s="569"/>
      <c r="NP404" s="569"/>
      <c r="NQ404" s="569"/>
      <c r="NR404" s="569"/>
      <c r="NS404" s="569"/>
      <c r="NT404" s="569"/>
      <c r="NU404" s="569"/>
      <c r="NV404" s="569"/>
      <c r="NW404" s="569"/>
      <c r="NX404" s="569"/>
      <c r="NY404" s="569"/>
      <c r="NZ404" s="569"/>
      <c r="OA404" s="569"/>
      <c r="OB404" s="569"/>
      <c r="OC404" s="569"/>
      <c r="OD404" s="569"/>
      <c r="OE404" s="569"/>
      <c r="OF404" s="569"/>
      <c r="OG404" s="569"/>
      <c r="OH404" s="569"/>
      <c r="OI404" s="569"/>
      <c r="OJ404" s="569"/>
      <c r="OK404" s="569"/>
      <c r="OL404" s="569"/>
      <c r="OM404" s="569"/>
      <c r="ON404" s="569"/>
      <c r="OO404" s="569"/>
      <c r="OP404" s="569"/>
      <c r="OQ404" s="569"/>
      <c r="OR404" s="569"/>
      <c r="OS404" s="569"/>
      <c r="OT404" s="569"/>
      <c r="OU404" s="569"/>
      <c r="OV404" s="569"/>
      <c r="OW404" s="569"/>
      <c r="OX404" s="569"/>
      <c r="OY404" s="569"/>
      <c r="OZ404" s="569"/>
      <c r="PA404" s="569"/>
      <c r="PB404" s="569"/>
      <c r="PC404" s="569"/>
      <c r="PD404" s="569"/>
      <c r="PE404" s="569"/>
      <c r="PF404" s="569"/>
      <c r="PG404" s="569"/>
      <c r="PH404" s="569"/>
      <c r="PI404" s="569"/>
      <c r="PJ404" s="569"/>
      <c r="PK404" s="569"/>
      <c r="PL404" s="569"/>
      <c r="PM404" s="569"/>
      <c r="PN404" s="569"/>
      <c r="PO404" s="569"/>
      <c r="PP404" s="569"/>
      <c r="PQ404" s="569"/>
      <c r="PR404" s="569"/>
      <c r="PS404" s="569"/>
      <c r="PT404" s="569"/>
      <c r="PU404" s="569"/>
      <c r="PV404" s="569"/>
      <c r="PW404" s="569"/>
      <c r="PX404" s="569"/>
      <c r="PY404" s="569"/>
      <c r="PZ404" s="569"/>
      <c r="QA404" s="569"/>
      <c r="QB404" s="569"/>
      <c r="QC404" s="569"/>
      <c r="QD404" s="569"/>
      <c r="QE404" s="569"/>
      <c r="QF404" s="569"/>
      <c r="QG404" s="569"/>
      <c r="QH404" s="569"/>
      <c r="QI404" s="569"/>
      <c r="QJ404" s="569"/>
      <c r="QK404" s="569"/>
      <c r="QL404" s="569"/>
    </row>
    <row r="405" spans="1:454" ht="45">
      <c r="D405" s="568"/>
      <c r="E405" s="568"/>
      <c r="F405" s="568"/>
      <c r="G405" s="568"/>
      <c r="H405" s="563" t="str">
        <f>'matrik MISI 2'!N34</f>
        <v>Persentase Pencari Kerja Terdaftar yang ditempatkan Kerja</v>
      </c>
      <c r="I405" s="563" t="str">
        <f>'matrik MISI 2'!O34</f>
        <v>%</v>
      </c>
      <c r="J405" s="563">
        <f>'matrik MISI 2'!P34</f>
        <v>63</v>
      </c>
      <c r="K405" s="563">
        <f>'matrik MISI 2'!Q34</f>
        <v>21</v>
      </c>
      <c r="L405" s="563">
        <f>'matrik MISI 2'!R34</f>
        <v>65</v>
      </c>
      <c r="M405" s="604"/>
      <c r="N405" s="563">
        <f>'matrik MISI 2'!S34</f>
        <v>67</v>
      </c>
      <c r="O405" s="564"/>
      <c r="P405" s="563">
        <f>'matrik MISI 2'!T34</f>
        <v>70</v>
      </c>
      <c r="Q405" s="564"/>
      <c r="R405" s="563">
        <f>'matrik MISI 2'!U34</f>
        <v>72</v>
      </c>
      <c r="S405" s="564"/>
      <c r="T405" s="563">
        <f>'matrik MISI 2'!V34</f>
        <v>75</v>
      </c>
      <c r="U405" s="564"/>
      <c r="V405" s="563">
        <f>'matrik MISI 2'!W34</f>
        <v>75</v>
      </c>
      <c r="W405" s="564"/>
      <c r="X405" s="563" t="str">
        <f>'matrik MISI 2'!X34</f>
        <v>Disnakertran</v>
      </c>
      <c r="Y405" s="565" t="str">
        <f>'matrik MISI 2'!Y34</f>
        <v xml:space="preserve">jumlah pencari kerja yang ditempatkan dibagi Jumlah pencari kerja terdaftar X 100 </v>
      </c>
      <c r="Z405" s="565">
        <f>'matrik MISI 2'!Z34</f>
        <v>0</v>
      </c>
    </row>
    <row r="406" spans="1:454">
      <c r="G406" s="563"/>
      <c r="H406" s="563" t="str">
        <f>'matrik MISI 2'!N35</f>
        <v>Tingkat Kesempatan Kerja</v>
      </c>
      <c r="I406" s="563" t="str">
        <f>'matrik MISI 2'!O35</f>
        <v>%</v>
      </c>
      <c r="J406" s="563" t="str">
        <f>'matrik MISI 2'!P35</f>
        <v>96,60</v>
      </c>
      <c r="K406" s="563">
        <f>'matrik MISI 2'!Q35</f>
        <v>94.53</v>
      </c>
      <c r="L406" s="563">
        <f>'matrik MISI 2'!R35</f>
        <v>94.75</v>
      </c>
      <c r="M406" s="604"/>
      <c r="N406" s="563">
        <f>'matrik MISI 2'!S35</f>
        <v>95</v>
      </c>
      <c r="O406" s="564"/>
      <c r="P406" s="563">
        <f>'matrik MISI 2'!T35</f>
        <v>95.25</v>
      </c>
      <c r="Q406" s="564"/>
      <c r="R406" s="563">
        <f>'matrik MISI 2'!U35</f>
        <v>95.5</v>
      </c>
      <c r="S406" s="564"/>
      <c r="T406" s="563">
        <f>'matrik MISI 2'!V35</f>
        <v>95.75</v>
      </c>
      <c r="U406" s="564"/>
      <c r="V406" s="563">
        <f>'matrik MISI 2'!W35</f>
        <v>95.75</v>
      </c>
      <c r="W406" s="564"/>
      <c r="X406" s="563" t="str">
        <f>'matrik MISI 2'!X35</f>
        <v>Disnakertran</v>
      </c>
      <c r="Y406" s="565" t="str">
        <f>'matrik MISI 2'!Y35</f>
        <v>jumlah penduduk yang bekerja dibagi jumlah angkatan kerja X 100 %</v>
      </c>
      <c r="Z406" s="565">
        <f>'matrik MISI 2'!Z35</f>
        <v>0</v>
      </c>
    </row>
    <row r="407" spans="1:454" ht="30">
      <c r="G407" s="563"/>
      <c r="H407" s="563" t="str">
        <f>'matrik MISI 2'!N36</f>
        <v>Tingkat Pengangguran Terbuka</v>
      </c>
      <c r="I407" s="563" t="str">
        <f>'matrik MISI 2'!O36</f>
        <v>%</v>
      </c>
      <c r="J407" s="563" t="str">
        <f>'matrik MISI 2'!P36</f>
        <v>3,40</v>
      </c>
      <c r="K407" s="563">
        <f>'matrik MISI 2'!Q36</f>
        <v>5.47</v>
      </c>
      <c r="L407" s="563">
        <f>'matrik MISI 2'!R36</f>
        <v>5.25</v>
      </c>
      <c r="M407" s="604"/>
      <c r="N407" s="563">
        <f>'matrik MISI 2'!S36</f>
        <v>5</v>
      </c>
      <c r="O407" s="564"/>
      <c r="P407" s="563">
        <f>'matrik MISI 2'!T36</f>
        <v>4.75</v>
      </c>
      <c r="Q407" s="564"/>
      <c r="R407" s="563">
        <f>'matrik MISI 2'!U36</f>
        <v>4.5</v>
      </c>
      <c r="S407" s="564"/>
      <c r="T407" s="563">
        <f>'matrik MISI 2'!V36</f>
        <v>4.25</v>
      </c>
      <c r="U407" s="564"/>
      <c r="V407" s="563">
        <f>'matrik MISI 2'!W36</f>
        <v>4.25</v>
      </c>
      <c r="W407" s="564"/>
      <c r="X407" s="563" t="str">
        <f>'matrik MISI 2'!X36</f>
        <v>Disnakertran</v>
      </c>
      <c r="Y407" s="565" t="str">
        <f>'matrik MISI 2'!Y36</f>
        <v>Jumlah Penganggur Terbuka Usia Angkatan Kerja dibagi Jumlah penduduk angkatan kerja X 100</v>
      </c>
      <c r="Z407" s="565">
        <f>'matrik MISI 2'!Z36</f>
        <v>0</v>
      </c>
    </row>
    <row r="408" spans="1:454" ht="30">
      <c r="G408" s="563"/>
      <c r="H408" s="563" t="str">
        <f>'matrik MISI 2'!N37</f>
        <v>Tingkat Partisipasi Angkatan Kerja</v>
      </c>
      <c r="I408" s="563" t="str">
        <f>'matrik MISI 2'!O37</f>
        <v>%</v>
      </c>
      <c r="J408" s="563" t="str">
        <f>'matrik MISI 2'!P37</f>
        <v>77,41</v>
      </c>
      <c r="K408" s="563">
        <f>'matrik MISI 2'!Q37</f>
        <v>76.87</v>
      </c>
      <c r="L408" s="563">
        <f>'matrik MISI 2'!R37</f>
        <v>78</v>
      </c>
      <c r="M408" s="604"/>
      <c r="N408" s="563">
        <f>'matrik MISI 2'!S37</f>
        <v>79</v>
      </c>
      <c r="O408" s="564"/>
      <c r="P408" s="563">
        <f>'matrik MISI 2'!T37</f>
        <v>80</v>
      </c>
      <c r="Q408" s="564"/>
      <c r="R408" s="563">
        <f>'matrik MISI 2'!U37</f>
        <v>81</v>
      </c>
      <c r="S408" s="564"/>
      <c r="T408" s="563">
        <f>'matrik MISI 2'!V37</f>
        <v>82</v>
      </c>
      <c r="U408" s="564"/>
      <c r="V408" s="563">
        <f>'matrik MISI 2'!W37</f>
        <v>82</v>
      </c>
      <c r="W408" s="564"/>
      <c r="X408" s="563" t="str">
        <f>'matrik MISI 2'!X37</f>
        <v>Disnakertran</v>
      </c>
      <c r="Y408" s="565" t="str">
        <f>'matrik MISI 2'!Y37</f>
        <v>Jumlah Penduduk Angkatan Kerja dibagi jumlah penduduk usia kerja  X 100</v>
      </c>
      <c r="Z408" s="565" t="str">
        <f>'matrik MISI 2'!Z37</f>
        <v>Penduduk usia kerja adalah penduduk usia 15-64 tahun</v>
      </c>
    </row>
    <row r="409" spans="1:454" s="574" customFormat="1" ht="60">
      <c r="A409" s="569"/>
      <c r="B409" s="575"/>
      <c r="C409" s="576"/>
      <c r="D409" s="577">
        <f>'matrik MISI 2'!J39</f>
        <v>1.1399999999999999</v>
      </c>
      <c r="E409" s="577" t="str">
        <f>'matrik MISI 2'!K39</f>
        <v>xx</v>
      </c>
      <c r="F409" s="577">
        <f>'matrik MISI 2'!L39</f>
        <v>17</v>
      </c>
      <c r="G409" s="577" t="str">
        <f>'matrik MISI 2'!M39</f>
        <v>Program Perlindungan dan Pengembangan Lembaga Ketenagakerjaan</v>
      </c>
      <c r="H409" s="577"/>
      <c r="I409" s="577"/>
      <c r="J409" s="577"/>
      <c r="K409" s="577"/>
      <c r="L409" s="577"/>
      <c r="M409" s="578">
        <f>'jangan di hapus 1'!K819</f>
        <v>172494800</v>
      </c>
      <c r="N409" s="578"/>
      <c r="O409" s="578">
        <f>'jangan di hapus 1'!M819</f>
        <v>550000000</v>
      </c>
      <c r="P409" s="578"/>
      <c r="Q409" s="578">
        <f>'jangan di hapus 1'!O819</f>
        <v>610000000</v>
      </c>
      <c r="R409" s="578"/>
      <c r="S409" s="578">
        <f>'jangan di hapus 1'!Q819</f>
        <v>673000000</v>
      </c>
      <c r="T409" s="578"/>
      <c r="U409" s="578">
        <f>'jangan di hapus 1'!S819</f>
        <v>729000000</v>
      </c>
      <c r="V409" s="577"/>
      <c r="W409" s="578">
        <f>SUM(M409:U409)</f>
        <v>2734494800</v>
      </c>
      <c r="X409" s="577"/>
      <c r="Y409" s="577"/>
      <c r="Z409" s="577"/>
      <c r="AA409" s="569"/>
      <c r="AB409" s="569"/>
      <c r="AC409" s="569"/>
      <c r="AD409" s="569"/>
      <c r="AE409" s="569"/>
      <c r="AF409" s="569"/>
      <c r="AG409" s="569"/>
      <c r="AH409" s="569"/>
      <c r="AI409" s="569"/>
      <c r="AJ409" s="569"/>
      <c r="AK409" s="569"/>
      <c r="AL409" s="569"/>
      <c r="AM409" s="569"/>
      <c r="AN409" s="569"/>
      <c r="AO409" s="569"/>
      <c r="AP409" s="569"/>
      <c r="AQ409" s="569"/>
      <c r="AR409" s="569"/>
      <c r="AS409" s="569"/>
      <c r="AT409" s="569"/>
      <c r="AU409" s="569"/>
      <c r="AV409" s="569"/>
      <c r="AW409" s="569"/>
      <c r="AX409" s="569"/>
      <c r="AY409" s="569"/>
      <c r="AZ409" s="569"/>
      <c r="BA409" s="569"/>
      <c r="BB409" s="569"/>
      <c r="BC409" s="569"/>
      <c r="BD409" s="569"/>
      <c r="BE409" s="569"/>
      <c r="BF409" s="569"/>
      <c r="BG409" s="569"/>
      <c r="BH409" s="569"/>
      <c r="BI409" s="569"/>
      <c r="BJ409" s="569"/>
      <c r="BK409" s="569"/>
      <c r="BL409" s="569"/>
      <c r="BM409" s="569"/>
      <c r="BN409" s="569"/>
      <c r="BO409" s="569"/>
      <c r="BP409" s="569"/>
      <c r="BQ409" s="569"/>
      <c r="BR409" s="569"/>
      <c r="BS409" s="569"/>
      <c r="BT409" s="569"/>
      <c r="BU409" s="569"/>
      <c r="BV409" s="569"/>
      <c r="BW409" s="569"/>
      <c r="BX409" s="569"/>
      <c r="BY409" s="569"/>
      <c r="BZ409" s="569"/>
      <c r="CA409" s="569"/>
      <c r="CB409" s="569"/>
      <c r="CC409" s="569"/>
      <c r="CD409" s="569"/>
      <c r="CE409" s="569"/>
      <c r="CF409" s="569"/>
      <c r="CG409" s="569"/>
      <c r="CH409" s="569"/>
      <c r="CI409" s="569"/>
      <c r="CJ409" s="569"/>
      <c r="CK409" s="569"/>
      <c r="CL409" s="569"/>
      <c r="CM409" s="569"/>
      <c r="CN409" s="569"/>
      <c r="CO409" s="569"/>
      <c r="CP409" s="569"/>
      <c r="CQ409" s="569"/>
      <c r="CR409" s="569"/>
      <c r="CS409" s="569"/>
      <c r="CT409" s="569"/>
      <c r="CU409" s="569"/>
      <c r="CV409" s="569"/>
      <c r="CW409" s="569"/>
      <c r="CX409" s="569"/>
      <c r="CY409" s="569"/>
      <c r="CZ409" s="569"/>
      <c r="DA409" s="569"/>
      <c r="DB409" s="569"/>
      <c r="DC409" s="569"/>
      <c r="DD409" s="569"/>
      <c r="DE409" s="569"/>
      <c r="DF409" s="569"/>
      <c r="DG409" s="569"/>
      <c r="DH409" s="569"/>
      <c r="DI409" s="569"/>
      <c r="DJ409" s="569"/>
      <c r="DK409" s="569"/>
      <c r="DL409" s="569"/>
      <c r="DM409" s="569"/>
      <c r="DN409" s="569"/>
      <c r="DO409" s="569"/>
      <c r="DP409" s="569"/>
      <c r="DQ409" s="569"/>
      <c r="DR409" s="569"/>
      <c r="DS409" s="569"/>
      <c r="DT409" s="569"/>
      <c r="DU409" s="569"/>
      <c r="DV409" s="569"/>
      <c r="DW409" s="569"/>
      <c r="DX409" s="569"/>
      <c r="DY409" s="569"/>
      <c r="DZ409" s="569"/>
      <c r="EA409" s="569"/>
      <c r="EB409" s="569"/>
      <c r="EC409" s="569"/>
      <c r="ED409" s="569"/>
      <c r="EE409" s="569"/>
      <c r="EF409" s="569"/>
      <c r="EG409" s="569"/>
      <c r="EH409" s="569"/>
      <c r="EI409" s="569"/>
      <c r="EJ409" s="569"/>
      <c r="EK409" s="569"/>
      <c r="EL409" s="569"/>
      <c r="EM409" s="569"/>
      <c r="EN409" s="569"/>
      <c r="EO409" s="569"/>
      <c r="EP409" s="569"/>
      <c r="EQ409" s="569"/>
      <c r="ER409" s="569"/>
      <c r="ES409" s="569"/>
      <c r="ET409" s="569"/>
      <c r="EU409" s="569"/>
      <c r="EV409" s="569"/>
      <c r="EW409" s="569"/>
      <c r="EX409" s="569"/>
      <c r="EY409" s="569"/>
      <c r="EZ409" s="569"/>
      <c r="FA409" s="569"/>
      <c r="FB409" s="569"/>
      <c r="FC409" s="569"/>
      <c r="FD409" s="569"/>
      <c r="FE409" s="569"/>
      <c r="FF409" s="569"/>
      <c r="FG409" s="569"/>
      <c r="FH409" s="569"/>
      <c r="FI409" s="569"/>
      <c r="FJ409" s="569"/>
      <c r="FK409" s="569"/>
      <c r="FL409" s="569"/>
      <c r="FM409" s="569"/>
      <c r="FN409" s="569"/>
      <c r="FO409" s="569"/>
      <c r="FP409" s="569"/>
      <c r="FQ409" s="569"/>
      <c r="FR409" s="569"/>
      <c r="FS409" s="569"/>
      <c r="FT409" s="569"/>
      <c r="FU409" s="569"/>
      <c r="FV409" s="569"/>
      <c r="FW409" s="569"/>
      <c r="FX409" s="569"/>
      <c r="FY409" s="569"/>
      <c r="FZ409" s="569"/>
      <c r="GA409" s="569"/>
      <c r="GB409" s="569"/>
      <c r="GC409" s="569"/>
      <c r="GD409" s="569"/>
      <c r="GE409" s="569"/>
      <c r="GF409" s="569"/>
      <c r="GG409" s="569"/>
      <c r="GH409" s="569"/>
      <c r="GI409" s="569"/>
      <c r="GJ409" s="569"/>
      <c r="GK409" s="569"/>
      <c r="GL409" s="569"/>
      <c r="GM409" s="569"/>
      <c r="GN409" s="569"/>
      <c r="GO409" s="569"/>
      <c r="GP409" s="569"/>
      <c r="GQ409" s="569"/>
      <c r="GR409" s="569"/>
      <c r="GS409" s="569"/>
      <c r="GT409" s="569"/>
      <c r="GU409" s="569"/>
      <c r="GV409" s="569"/>
      <c r="GW409" s="569"/>
      <c r="GX409" s="569"/>
      <c r="GY409" s="569"/>
      <c r="GZ409" s="569"/>
      <c r="HA409" s="569"/>
      <c r="HB409" s="569"/>
      <c r="HC409" s="569"/>
      <c r="HD409" s="569"/>
      <c r="HE409" s="569"/>
      <c r="HF409" s="569"/>
      <c r="HG409" s="569"/>
      <c r="HH409" s="569"/>
      <c r="HI409" s="569"/>
      <c r="HJ409" s="569"/>
      <c r="HK409" s="569"/>
      <c r="HL409" s="569"/>
      <c r="HM409" s="569"/>
      <c r="HN409" s="569"/>
      <c r="HO409" s="569"/>
      <c r="HP409" s="569"/>
      <c r="HQ409" s="569"/>
      <c r="HR409" s="569"/>
      <c r="HS409" s="569"/>
      <c r="HT409" s="569"/>
      <c r="HU409" s="569"/>
      <c r="HV409" s="569"/>
      <c r="HW409" s="569"/>
      <c r="HX409" s="569"/>
      <c r="HY409" s="569"/>
      <c r="HZ409" s="569"/>
      <c r="IA409" s="569"/>
      <c r="IB409" s="569"/>
      <c r="IC409" s="569"/>
      <c r="ID409" s="569"/>
      <c r="IE409" s="569"/>
      <c r="IF409" s="569"/>
      <c r="IG409" s="569"/>
      <c r="IH409" s="569"/>
      <c r="II409" s="569"/>
      <c r="IJ409" s="569"/>
      <c r="IK409" s="569"/>
      <c r="IL409" s="569"/>
      <c r="IM409" s="569"/>
      <c r="IN409" s="569"/>
      <c r="IO409" s="569"/>
      <c r="IP409" s="569"/>
      <c r="IQ409" s="569"/>
      <c r="IR409" s="569"/>
      <c r="IS409" s="569"/>
      <c r="IT409" s="569"/>
      <c r="IU409" s="569"/>
      <c r="IV409" s="569"/>
      <c r="IW409" s="569"/>
      <c r="IX409" s="569"/>
      <c r="IY409" s="569"/>
      <c r="IZ409" s="569"/>
      <c r="JA409" s="569"/>
      <c r="JB409" s="569"/>
      <c r="JC409" s="569"/>
      <c r="JD409" s="569"/>
      <c r="JE409" s="569"/>
      <c r="JF409" s="569"/>
      <c r="JG409" s="569"/>
      <c r="JH409" s="569"/>
      <c r="JI409" s="569"/>
      <c r="JJ409" s="569"/>
      <c r="JK409" s="569"/>
      <c r="JL409" s="569"/>
      <c r="JM409" s="569"/>
      <c r="JN409" s="569"/>
      <c r="JO409" s="569"/>
      <c r="JP409" s="569"/>
      <c r="JQ409" s="569"/>
      <c r="JR409" s="569"/>
      <c r="JS409" s="569"/>
      <c r="JT409" s="569"/>
      <c r="JU409" s="569"/>
      <c r="JV409" s="569"/>
      <c r="JW409" s="569"/>
      <c r="JX409" s="569"/>
      <c r="JY409" s="569"/>
      <c r="JZ409" s="569"/>
      <c r="KA409" s="569"/>
      <c r="KB409" s="569"/>
      <c r="KC409" s="569"/>
      <c r="KD409" s="569"/>
      <c r="KE409" s="569"/>
      <c r="KF409" s="569"/>
      <c r="KG409" s="569"/>
      <c r="KH409" s="569"/>
      <c r="KI409" s="569"/>
      <c r="KJ409" s="569"/>
      <c r="KK409" s="569"/>
      <c r="KL409" s="569"/>
      <c r="KM409" s="569"/>
      <c r="KN409" s="569"/>
      <c r="KO409" s="569"/>
      <c r="KP409" s="569"/>
      <c r="KQ409" s="569"/>
      <c r="KR409" s="569"/>
      <c r="KS409" s="569"/>
      <c r="KT409" s="569"/>
      <c r="KU409" s="569"/>
      <c r="KV409" s="569"/>
      <c r="KW409" s="569"/>
      <c r="KX409" s="569"/>
      <c r="KY409" s="569"/>
      <c r="KZ409" s="569"/>
      <c r="LA409" s="569"/>
      <c r="LB409" s="569"/>
      <c r="LC409" s="569"/>
      <c r="LD409" s="569"/>
      <c r="LE409" s="569"/>
      <c r="LF409" s="569"/>
      <c r="LG409" s="569"/>
      <c r="LH409" s="569"/>
      <c r="LI409" s="569"/>
      <c r="LJ409" s="569"/>
      <c r="LK409" s="569"/>
      <c r="LL409" s="569"/>
      <c r="LM409" s="569"/>
      <c r="LN409" s="569"/>
      <c r="LO409" s="569"/>
      <c r="LP409" s="569"/>
      <c r="LQ409" s="569"/>
      <c r="LR409" s="569"/>
      <c r="LS409" s="569"/>
      <c r="LT409" s="569"/>
      <c r="LU409" s="569"/>
      <c r="LV409" s="569"/>
      <c r="LW409" s="569"/>
      <c r="LX409" s="569"/>
      <c r="LY409" s="569"/>
      <c r="LZ409" s="569"/>
      <c r="MA409" s="569"/>
      <c r="MB409" s="569"/>
      <c r="MC409" s="569"/>
      <c r="MD409" s="569"/>
      <c r="ME409" s="569"/>
      <c r="MF409" s="569"/>
      <c r="MG409" s="569"/>
      <c r="MH409" s="569"/>
      <c r="MI409" s="569"/>
      <c r="MJ409" s="569"/>
      <c r="MK409" s="569"/>
      <c r="ML409" s="569"/>
      <c r="MM409" s="569"/>
      <c r="MN409" s="569"/>
      <c r="MO409" s="569"/>
      <c r="MP409" s="569"/>
      <c r="MQ409" s="569"/>
      <c r="MR409" s="569"/>
      <c r="MS409" s="569"/>
      <c r="MT409" s="569"/>
      <c r="MU409" s="569"/>
      <c r="MV409" s="569"/>
      <c r="MW409" s="569"/>
      <c r="MX409" s="569"/>
      <c r="MY409" s="569"/>
      <c r="MZ409" s="569"/>
      <c r="NA409" s="569"/>
      <c r="NB409" s="569"/>
      <c r="NC409" s="569"/>
      <c r="ND409" s="569"/>
      <c r="NE409" s="569"/>
      <c r="NF409" s="569"/>
      <c r="NG409" s="569"/>
      <c r="NH409" s="569"/>
      <c r="NI409" s="569"/>
      <c r="NJ409" s="569"/>
      <c r="NK409" s="569"/>
      <c r="NL409" s="569"/>
      <c r="NM409" s="569"/>
      <c r="NN409" s="569"/>
      <c r="NO409" s="569"/>
      <c r="NP409" s="569"/>
      <c r="NQ409" s="569"/>
      <c r="NR409" s="569"/>
      <c r="NS409" s="569"/>
      <c r="NT409" s="569"/>
      <c r="NU409" s="569"/>
      <c r="NV409" s="569"/>
      <c r="NW409" s="569"/>
      <c r="NX409" s="569"/>
      <c r="NY409" s="569"/>
      <c r="NZ409" s="569"/>
      <c r="OA409" s="569"/>
      <c r="OB409" s="569"/>
      <c r="OC409" s="569"/>
      <c r="OD409" s="569"/>
      <c r="OE409" s="569"/>
      <c r="OF409" s="569"/>
      <c r="OG409" s="569"/>
      <c r="OH409" s="569"/>
      <c r="OI409" s="569"/>
      <c r="OJ409" s="569"/>
      <c r="OK409" s="569"/>
      <c r="OL409" s="569"/>
      <c r="OM409" s="569"/>
      <c r="ON409" s="569"/>
      <c r="OO409" s="569"/>
      <c r="OP409" s="569"/>
      <c r="OQ409" s="569"/>
      <c r="OR409" s="569"/>
      <c r="OS409" s="569"/>
      <c r="OT409" s="569"/>
      <c r="OU409" s="569"/>
      <c r="OV409" s="569"/>
      <c r="OW409" s="569"/>
      <c r="OX409" s="569"/>
      <c r="OY409" s="569"/>
      <c r="OZ409" s="569"/>
      <c r="PA409" s="569"/>
      <c r="PB409" s="569"/>
      <c r="PC409" s="569"/>
      <c r="PD409" s="569"/>
      <c r="PE409" s="569"/>
      <c r="PF409" s="569"/>
      <c r="PG409" s="569"/>
      <c r="PH409" s="569"/>
      <c r="PI409" s="569"/>
      <c r="PJ409" s="569"/>
      <c r="PK409" s="569"/>
      <c r="PL409" s="569"/>
      <c r="PM409" s="569"/>
      <c r="PN409" s="569"/>
      <c r="PO409" s="569"/>
      <c r="PP409" s="569"/>
      <c r="PQ409" s="569"/>
      <c r="PR409" s="569"/>
      <c r="PS409" s="569"/>
      <c r="PT409" s="569"/>
      <c r="PU409" s="569"/>
      <c r="PV409" s="569"/>
      <c r="PW409" s="569"/>
      <c r="PX409" s="569"/>
      <c r="PY409" s="569"/>
      <c r="PZ409" s="569"/>
      <c r="QA409" s="569"/>
      <c r="QB409" s="569"/>
      <c r="QC409" s="569"/>
      <c r="QD409" s="569"/>
      <c r="QE409" s="569"/>
      <c r="QF409" s="569"/>
      <c r="QG409" s="569"/>
      <c r="QH409" s="569"/>
      <c r="QI409" s="569"/>
      <c r="QJ409" s="569"/>
      <c r="QK409" s="569"/>
      <c r="QL409" s="569"/>
    </row>
    <row r="410" spans="1:454" ht="30">
      <c r="D410" s="568"/>
      <c r="E410" s="568"/>
      <c r="F410" s="568"/>
      <c r="G410" s="568"/>
      <c r="H410" s="563" t="str">
        <f>'matrik MISI 2'!N39</f>
        <v>Besaran Pemeriksaan Perusahaan</v>
      </c>
      <c r="I410" s="563" t="str">
        <f>'matrik MISI 2'!O39</f>
        <v>%</v>
      </c>
      <c r="J410" s="563">
        <f>'matrik MISI 2'!P39</f>
        <v>9.3000000000000007</v>
      </c>
      <c r="K410" s="563">
        <f>'matrik MISI 2'!Q39</f>
        <v>9.3000000000000007</v>
      </c>
      <c r="L410" s="563">
        <f>'matrik MISI 2'!R39</f>
        <v>13.3</v>
      </c>
      <c r="M410" s="604"/>
      <c r="N410" s="563">
        <f>'matrik MISI 2'!S39</f>
        <v>14</v>
      </c>
      <c r="O410" s="564"/>
      <c r="P410" s="563">
        <f>'matrik MISI 2'!T39</f>
        <v>16</v>
      </c>
      <c r="Q410" s="564"/>
      <c r="R410" s="563">
        <f>'matrik MISI 2'!U39</f>
        <v>18</v>
      </c>
      <c r="S410" s="564"/>
      <c r="T410" s="563">
        <f>'matrik MISI 2'!V39</f>
        <v>19.399999999999999</v>
      </c>
      <c r="U410" s="564"/>
      <c r="V410" s="563">
        <f>'matrik MISI 2'!W39</f>
        <v>19.399999999999999</v>
      </c>
      <c r="W410" s="564"/>
      <c r="X410" s="563" t="str">
        <f>'matrik MISI 2'!X39</f>
        <v>Disnakertran</v>
      </c>
      <c r="Y410" s="565" t="str">
        <f>'matrik MISI 2'!Y39</f>
        <v>Jumlah perusahaan yang telah diperiksa dibagi Jumlah perusahaan yang terdaftar X 100</v>
      </c>
      <c r="Z410" s="565">
        <f>'matrik MISI 2'!Z39</f>
        <v>0</v>
      </c>
    </row>
    <row r="411" spans="1:454" ht="45">
      <c r="G411" s="563"/>
      <c r="H411" s="563" t="str">
        <f>'matrik MISI 2'!N40</f>
        <v>Cakupan Pekerja atau Buruh yang Menjadi peserta Program Jamsostek/Program Sejenis</v>
      </c>
      <c r="I411" s="563" t="str">
        <f>'matrik MISI 2'!O40</f>
        <v>%</v>
      </c>
      <c r="J411" s="563" t="str">
        <f>'matrik MISI 2'!P40</f>
        <v xml:space="preserve"> - </v>
      </c>
      <c r="K411" s="563">
        <f>'matrik MISI 2'!Q40</f>
        <v>62.4</v>
      </c>
      <c r="L411" s="563">
        <f>'matrik MISI 2'!R40</f>
        <v>65.5</v>
      </c>
      <c r="M411" s="604"/>
      <c r="N411" s="563">
        <f>'matrik MISI 2'!S40</f>
        <v>65.5</v>
      </c>
      <c r="O411" s="564"/>
      <c r="P411" s="563">
        <f>'matrik MISI 2'!T40</f>
        <v>80</v>
      </c>
      <c r="Q411" s="564"/>
      <c r="R411" s="563">
        <f>'matrik MISI 2'!U40</f>
        <v>90</v>
      </c>
      <c r="S411" s="564"/>
      <c r="T411" s="563">
        <f>'matrik MISI 2'!V40</f>
        <v>100</v>
      </c>
      <c r="U411" s="564"/>
      <c r="V411" s="563">
        <f>'matrik MISI 2'!W40</f>
        <v>100</v>
      </c>
      <c r="W411" s="564"/>
      <c r="X411" s="563" t="str">
        <f>'matrik MISI 2'!X40</f>
        <v>Disnakertran</v>
      </c>
      <c r="Y411" s="565" t="str">
        <f>'matrik MISI 2'!Y40</f>
        <v>Jumlah pekerja/buruh peserta program jamsostek dibagi jumlah pekerja/buruh X 100</v>
      </c>
      <c r="Z411" s="565">
        <f>'matrik MISI 2'!Z40</f>
        <v>0</v>
      </c>
    </row>
    <row r="412" spans="1:454" ht="45">
      <c r="G412" s="563"/>
      <c r="H412" s="563" t="str">
        <f>'matrik MISI 2'!N41</f>
        <v>Persentase Kasus yang diselesaikan Dengan Perjanjian Bersama</v>
      </c>
      <c r="I412" s="563" t="str">
        <f>'matrik MISI 2'!O41</f>
        <v>%</v>
      </c>
      <c r="J412" s="563">
        <f>'matrik MISI 2'!P41</f>
        <v>100</v>
      </c>
      <c r="K412" s="563">
        <f>'matrik MISI 2'!Q41</f>
        <v>100</v>
      </c>
      <c r="L412" s="563">
        <f>'matrik MISI 2'!R41</f>
        <v>100</v>
      </c>
      <c r="M412" s="604"/>
      <c r="N412" s="563">
        <f>'matrik MISI 2'!S41</f>
        <v>100</v>
      </c>
      <c r="O412" s="564"/>
      <c r="P412" s="563">
        <f>'matrik MISI 2'!T41</f>
        <v>100</v>
      </c>
      <c r="Q412" s="564"/>
      <c r="R412" s="563">
        <f>'matrik MISI 2'!U41</f>
        <v>100</v>
      </c>
      <c r="S412" s="564"/>
      <c r="T412" s="563">
        <f>'matrik MISI 2'!V41</f>
        <v>100</v>
      </c>
      <c r="U412" s="564"/>
      <c r="V412" s="563">
        <f>'matrik MISI 2'!W41</f>
        <v>100</v>
      </c>
      <c r="W412" s="564"/>
      <c r="X412" s="563" t="str">
        <f>'matrik MISI 2'!X41</f>
        <v>Disnakertran</v>
      </c>
      <c r="Y412" s="565" t="str">
        <f>'matrik MISI 2'!Y41</f>
        <v>Jumlah Kasus yang diselesaikan Dengan Perjanjian Bersama dibagi  Jumlah kasus  yang dicatatkan X 100</v>
      </c>
      <c r="Z412" s="565">
        <f>'matrik MISI 2'!Z41</f>
        <v>0</v>
      </c>
    </row>
    <row r="413" spans="1:454" ht="30">
      <c r="G413" s="563"/>
      <c r="H413" s="563" t="str">
        <f>'matrik MISI 2'!N42</f>
        <v>Persentase Pengujian Peralatan diperusahaan</v>
      </c>
      <c r="I413" s="563" t="str">
        <f>'matrik MISI 2'!O42</f>
        <v>%</v>
      </c>
      <c r="J413" s="563" t="str">
        <f>'matrik MISI 2'!P42</f>
        <v xml:space="preserve"> - </v>
      </c>
      <c r="K413" s="563">
        <f>'matrik MISI 2'!Q42</f>
        <v>64</v>
      </c>
      <c r="L413" s="563">
        <f>'matrik MISI 2'!R42</f>
        <v>67.5</v>
      </c>
      <c r="M413" s="604"/>
      <c r="N413" s="563">
        <f>'matrik MISI 2'!S42</f>
        <v>73</v>
      </c>
      <c r="O413" s="564"/>
      <c r="P413" s="563">
        <f>'matrik MISI 2'!T42</f>
        <v>76</v>
      </c>
      <c r="Q413" s="564"/>
      <c r="R413" s="563">
        <f>'matrik MISI 2'!U42</f>
        <v>78</v>
      </c>
      <c r="S413" s="564"/>
      <c r="T413" s="563">
        <f>'matrik MISI 2'!V42</f>
        <v>82</v>
      </c>
      <c r="U413" s="564"/>
      <c r="V413" s="563">
        <f>'matrik MISI 2'!W42</f>
        <v>82</v>
      </c>
      <c r="W413" s="564"/>
      <c r="X413" s="563" t="str">
        <f>'matrik MISI 2'!X42</f>
        <v>Disnakertran</v>
      </c>
      <c r="Y413" s="565" t="str">
        <f>'matrik MISI 2'!Y42</f>
        <v>Jumlah Peralatan yang diuji dibagi  Jumlah peralatan yang terdaftar X 100</v>
      </c>
      <c r="Z413" s="565">
        <f>'matrik MISI 2'!Z42</f>
        <v>0</v>
      </c>
    </row>
    <row r="414" spans="1:454" s="570" customFormat="1">
      <c r="A414" s="569"/>
      <c r="B414" s="571"/>
      <c r="C414" s="572"/>
      <c r="D414" s="573"/>
      <c r="E414" s="573"/>
      <c r="F414" s="573"/>
      <c r="G414" s="571"/>
      <c r="H414" s="571"/>
      <c r="I414" s="571"/>
      <c r="J414" s="580"/>
      <c r="K414" s="580"/>
      <c r="L414" s="580"/>
      <c r="M414" s="606"/>
      <c r="N414" s="580"/>
      <c r="O414" s="581"/>
      <c r="P414" s="580"/>
      <c r="Q414" s="581"/>
      <c r="R414" s="580"/>
      <c r="S414" s="581"/>
      <c r="T414" s="580"/>
      <c r="U414" s="581"/>
      <c r="V414" s="580"/>
      <c r="W414" s="581"/>
      <c r="X414" s="571"/>
      <c r="Y414" s="580"/>
      <c r="Z414" s="580"/>
      <c r="AA414" s="569"/>
      <c r="AB414" s="569"/>
      <c r="AC414" s="569"/>
      <c r="AD414" s="569"/>
      <c r="AE414" s="569"/>
      <c r="AF414" s="569"/>
      <c r="AG414" s="569"/>
      <c r="AH414" s="569"/>
      <c r="AI414" s="569"/>
      <c r="AJ414" s="569"/>
      <c r="AK414" s="569"/>
      <c r="AL414" s="569"/>
      <c r="AM414" s="569"/>
      <c r="AN414" s="569"/>
      <c r="AO414" s="569"/>
      <c r="AP414" s="569"/>
      <c r="AQ414" s="569"/>
      <c r="AR414" s="569"/>
      <c r="AS414" s="569"/>
      <c r="AT414" s="569"/>
      <c r="AU414" s="569"/>
      <c r="AV414" s="569"/>
      <c r="AW414" s="569"/>
      <c r="AX414" s="569"/>
      <c r="AY414" s="569"/>
      <c r="AZ414" s="569"/>
      <c r="BA414" s="569"/>
      <c r="BB414" s="569"/>
      <c r="BC414" s="569"/>
      <c r="BD414" s="569"/>
      <c r="BE414" s="569"/>
      <c r="BF414" s="569"/>
      <c r="BG414" s="569"/>
      <c r="BH414" s="569"/>
      <c r="BI414" s="569"/>
      <c r="BJ414" s="569"/>
      <c r="BK414" s="569"/>
      <c r="BL414" s="569"/>
      <c r="BM414" s="569"/>
      <c r="BN414" s="569"/>
      <c r="BO414" s="569"/>
      <c r="BP414" s="569"/>
      <c r="BQ414" s="569"/>
      <c r="BR414" s="569"/>
      <c r="BS414" s="569"/>
      <c r="BT414" s="569"/>
      <c r="BU414" s="569"/>
      <c r="BV414" s="569"/>
      <c r="BW414" s="569"/>
      <c r="BX414" s="569"/>
      <c r="BY414" s="569"/>
      <c r="BZ414" s="569"/>
      <c r="CA414" s="569"/>
      <c r="CB414" s="569"/>
      <c r="CC414" s="569"/>
      <c r="CD414" s="569"/>
      <c r="CE414" s="569"/>
      <c r="CF414" s="569"/>
      <c r="CG414" s="569"/>
      <c r="CH414" s="569"/>
      <c r="CI414" s="569"/>
      <c r="CJ414" s="569"/>
      <c r="CK414" s="569"/>
      <c r="CL414" s="569"/>
      <c r="CM414" s="569"/>
      <c r="CN414" s="569"/>
      <c r="CO414" s="569"/>
      <c r="CP414" s="569"/>
      <c r="CQ414" s="569"/>
      <c r="CR414" s="569"/>
      <c r="CS414" s="569"/>
      <c r="CT414" s="569"/>
      <c r="CU414" s="569"/>
      <c r="CV414" s="569"/>
      <c r="CW414" s="569"/>
      <c r="CX414" s="569"/>
      <c r="CY414" s="569"/>
      <c r="CZ414" s="569"/>
      <c r="DA414" s="569"/>
      <c r="DB414" s="569"/>
      <c r="DC414" s="569"/>
      <c r="DD414" s="569"/>
      <c r="DE414" s="569"/>
      <c r="DF414" s="569"/>
      <c r="DG414" s="569"/>
      <c r="DH414" s="569"/>
      <c r="DI414" s="569"/>
      <c r="DJ414" s="569"/>
      <c r="DK414" s="569"/>
      <c r="DL414" s="569"/>
      <c r="DM414" s="569"/>
      <c r="DN414" s="569"/>
      <c r="DO414" s="569"/>
      <c r="DP414" s="569"/>
      <c r="DQ414" s="569"/>
      <c r="DR414" s="569"/>
      <c r="DS414" s="569"/>
      <c r="DT414" s="569"/>
      <c r="DU414" s="569"/>
      <c r="DV414" s="569"/>
      <c r="DW414" s="569"/>
      <c r="DX414" s="569"/>
      <c r="DY414" s="569"/>
      <c r="DZ414" s="569"/>
      <c r="EA414" s="569"/>
      <c r="EB414" s="569"/>
      <c r="EC414" s="569"/>
      <c r="ED414" s="569"/>
      <c r="EE414" s="569"/>
      <c r="EF414" s="569"/>
      <c r="EG414" s="569"/>
      <c r="EH414" s="569"/>
      <c r="EI414" s="569"/>
      <c r="EJ414" s="569"/>
      <c r="EK414" s="569"/>
      <c r="EL414" s="569"/>
      <c r="EM414" s="569"/>
      <c r="EN414" s="569"/>
      <c r="EO414" s="569"/>
      <c r="EP414" s="569"/>
      <c r="EQ414" s="569"/>
      <c r="ER414" s="569"/>
      <c r="ES414" s="569"/>
      <c r="ET414" s="569"/>
      <c r="EU414" s="569"/>
      <c r="EV414" s="569"/>
      <c r="EW414" s="569"/>
      <c r="EX414" s="569"/>
      <c r="EY414" s="569"/>
      <c r="EZ414" s="569"/>
      <c r="FA414" s="569"/>
      <c r="FB414" s="569"/>
      <c r="FC414" s="569"/>
      <c r="FD414" s="569"/>
      <c r="FE414" s="569"/>
      <c r="FF414" s="569"/>
      <c r="FG414" s="569"/>
      <c r="FH414" s="569"/>
      <c r="FI414" s="569"/>
      <c r="FJ414" s="569"/>
      <c r="FK414" s="569"/>
      <c r="FL414" s="569"/>
      <c r="FM414" s="569"/>
      <c r="FN414" s="569"/>
      <c r="FO414" s="569"/>
      <c r="FP414" s="569"/>
      <c r="FQ414" s="569"/>
      <c r="FR414" s="569"/>
      <c r="FS414" s="569"/>
      <c r="FT414" s="569"/>
      <c r="FU414" s="569"/>
      <c r="FV414" s="569"/>
      <c r="FW414" s="569"/>
      <c r="FX414" s="569"/>
      <c r="FY414" s="569"/>
      <c r="FZ414" s="569"/>
      <c r="GA414" s="569"/>
      <c r="GB414" s="569"/>
      <c r="GC414" s="569"/>
      <c r="GD414" s="569"/>
      <c r="GE414" s="569"/>
      <c r="GF414" s="569"/>
      <c r="GG414" s="569"/>
      <c r="GH414" s="569"/>
      <c r="GI414" s="569"/>
      <c r="GJ414" s="569"/>
      <c r="GK414" s="569"/>
      <c r="GL414" s="569"/>
      <c r="GM414" s="569"/>
      <c r="GN414" s="569"/>
      <c r="GO414" s="569"/>
      <c r="GP414" s="569"/>
      <c r="GQ414" s="569"/>
      <c r="GR414" s="569"/>
      <c r="GS414" s="569"/>
      <c r="GT414" s="569"/>
      <c r="GU414" s="569"/>
      <c r="GV414" s="569"/>
      <c r="GW414" s="569"/>
      <c r="GX414" s="569"/>
      <c r="GY414" s="569"/>
      <c r="GZ414" s="569"/>
      <c r="HA414" s="569"/>
      <c r="HB414" s="569"/>
      <c r="HC414" s="569"/>
      <c r="HD414" s="569"/>
      <c r="HE414" s="569"/>
      <c r="HF414" s="569"/>
      <c r="HG414" s="569"/>
      <c r="HH414" s="569"/>
      <c r="HI414" s="569"/>
      <c r="HJ414" s="569"/>
      <c r="HK414" s="569"/>
      <c r="HL414" s="569"/>
      <c r="HM414" s="569"/>
      <c r="HN414" s="569"/>
      <c r="HO414" s="569"/>
      <c r="HP414" s="569"/>
      <c r="HQ414" s="569"/>
      <c r="HR414" s="569"/>
      <c r="HS414" s="569"/>
      <c r="HT414" s="569"/>
      <c r="HU414" s="569"/>
      <c r="HV414" s="569"/>
      <c r="HW414" s="569"/>
      <c r="HX414" s="569"/>
      <c r="HY414" s="569"/>
      <c r="HZ414" s="569"/>
      <c r="IA414" s="569"/>
      <c r="IB414" s="569"/>
      <c r="IC414" s="569"/>
      <c r="ID414" s="569"/>
      <c r="IE414" s="569"/>
      <c r="IF414" s="569"/>
      <c r="IG414" s="569"/>
      <c r="IH414" s="569"/>
      <c r="II414" s="569"/>
      <c r="IJ414" s="569"/>
      <c r="IK414" s="569"/>
      <c r="IL414" s="569"/>
      <c r="IM414" s="569"/>
      <c r="IN414" s="569"/>
      <c r="IO414" s="569"/>
      <c r="IP414" s="569"/>
      <c r="IQ414" s="569"/>
      <c r="IR414" s="569"/>
      <c r="IS414" s="569"/>
      <c r="IT414" s="569"/>
      <c r="IU414" s="569"/>
      <c r="IV414" s="569"/>
      <c r="IW414" s="569"/>
      <c r="IX414" s="569"/>
      <c r="IY414" s="569"/>
      <c r="IZ414" s="569"/>
      <c r="JA414" s="569"/>
      <c r="JB414" s="569"/>
      <c r="JC414" s="569"/>
      <c r="JD414" s="569"/>
      <c r="JE414" s="569"/>
      <c r="JF414" s="569"/>
      <c r="JG414" s="569"/>
      <c r="JH414" s="569"/>
      <c r="JI414" s="569"/>
      <c r="JJ414" s="569"/>
      <c r="JK414" s="569"/>
      <c r="JL414" s="569"/>
      <c r="JM414" s="569"/>
      <c r="JN414" s="569"/>
      <c r="JO414" s="569"/>
      <c r="JP414" s="569"/>
      <c r="JQ414" s="569"/>
      <c r="JR414" s="569"/>
      <c r="JS414" s="569"/>
      <c r="JT414" s="569"/>
      <c r="JU414" s="569"/>
      <c r="JV414" s="569"/>
      <c r="JW414" s="569"/>
      <c r="JX414" s="569"/>
      <c r="JY414" s="569"/>
      <c r="JZ414" s="569"/>
      <c r="KA414" s="569"/>
      <c r="KB414" s="569"/>
      <c r="KC414" s="569"/>
      <c r="KD414" s="569"/>
      <c r="KE414" s="569"/>
      <c r="KF414" s="569"/>
      <c r="KG414" s="569"/>
      <c r="KH414" s="569"/>
      <c r="KI414" s="569"/>
      <c r="KJ414" s="569"/>
      <c r="KK414" s="569"/>
      <c r="KL414" s="569"/>
      <c r="KM414" s="569"/>
      <c r="KN414" s="569"/>
      <c r="KO414" s="569"/>
      <c r="KP414" s="569"/>
      <c r="KQ414" s="569"/>
      <c r="KR414" s="569"/>
      <c r="KS414" s="569"/>
      <c r="KT414" s="569"/>
      <c r="KU414" s="569"/>
      <c r="KV414" s="569"/>
      <c r="KW414" s="569"/>
      <c r="KX414" s="569"/>
      <c r="KY414" s="569"/>
      <c r="KZ414" s="569"/>
      <c r="LA414" s="569"/>
      <c r="LB414" s="569"/>
      <c r="LC414" s="569"/>
      <c r="LD414" s="569"/>
      <c r="LE414" s="569"/>
      <c r="LF414" s="569"/>
      <c r="LG414" s="569"/>
      <c r="LH414" s="569"/>
      <c r="LI414" s="569"/>
      <c r="LJ414" s="569"/>
      <c r="LK414" s="569"/>
      <c r="LL414" s="569"/>
      <c r="LM414" s="569"/>
      <c r="LN414" s="569"/>
      <c r="LO414" s="569"/>
      <c r="LP414" s="569"/>
      <c r="LQ414" s="569"/>
      <c r="LR414" s="569"/>
      <c r="LS414" s="569"/>
      <c r="LT414" s="569"/>
      <c r="LU414" s="569"/>
      <c r="LV414" s="569"/>
      <c r="LW414" s="569"/>
      <c r="LX414" s="569"/>
      <c r="LY414" s="569"/>
      <c r="LZ414" s="569"/>
      <c r="MA414" s="569"/>
      <c r="MB414" s="569"/>
      <c r="MC414" s="569"/>
      <c r="MD414" s="569"/>
      <c r="ME414" s="569"/>
      <c r="MF414" s="569"/>
      <c r="MG414" s="569"/>
      <c r="MH414" s="569"/>
      <c r="MI414" s="569"/>
      <c r="MJ414" s="569"/>
      <c r="MK414" s="569"/>
      <c r="ML414" s="569"/>
      <c r="MM414" s="569"/>
      <c r="MN414" s="569"/>
      <c r="MO414" s="569"/>
      <c r="MP414" s="569"/>
      <c r="MQ414" s="569"/>
      <c r="MR414" s="569"/>
      <c r="MS414" s="569"/>
      <c r="MT414" s="569"/>
      <c r="MU414" s="569"/>
      <c r="MV414" s="569"/>
      <c r="MW414" s="569"/>
      <c r="MX414" s="569"/>
      <c r="MY414" s="569"/>
      <c r="MZ414" s="569"/>
      <c r="NA414" s="569"/>
      <c r="NB414" s="569"/>
      <c r="NC414" s="569"/>
      <c r="ND414" s="569"/>
      <c r="NE414" s="569"/>
      <c r="NF414" s="569"/>
      <c r="NG414" s="569"/>
      <c r="NH414" s="569"/>
      <c r="NI414" s="569"/>
      <c r="NJ414" s="569"/>
      <c r="NK414" s="569"/>
      <c r="NL414" s="569"/>
      <c r="NM414" s="569"/>
      <c r="NN414" s="569"/>
      <c r="NO414" s="569"/>
      <c r="NP414" s="569"/>
      <c r="NQ414" s="569"/>
      <c r="NR414" s="569"/>
      <c r="NS414" s="569"/>
      <c r="NT414" s="569"/>
      <c r="NU414" s="569"/>
      <c r="NV414" s="569"/>
      <c r="NW414" s="569"/>
      <c r="NX414" s="569"/>
      <c r="NY414" s="569"/>
      <c r="NZ414" s="569"/>
      <c r="OA414" s="569"/>
      <c r="OB414" s="569"/>
      <c r="OC414" s="569"/>
      <c r="OD414" s="569"/>
      <c r="OE414" s="569"/>
      <c r="OF414" s="569"/>
      <c r="OG414" s="569"/>
      <c r="OH414" s="569"/>
      <c r="OI414" s="569"/>
      <c r="OJ414" s="569"/>
      <c r="OK414" s="569"/>
      <c r="OL414" s="569"/>
      <c r="OM414" s="569"/>
      <c r="ON414" s="569"/>
      <c r="OO414" s="569"/>
      <c r="OP414" s="569"/>
      <c r="OQ414" s="569"/>
      <c r="OR414" s="569"/>
      <c r="OS414" s="569"/>
      <c r="OT414" s="569"/>
      <c r="OU414" s="569"/>
      <c r="OV414" s="569"/>
      <c r="OW414" s="569"/>
      <c r="OX414" s="569"/>
      <c r="OY414" s="569"/>
      <c r="OZ414" s="569"/>
      <c r="PA414" s="569"/>
      <c r="PB414" s="569"/>
      <c r="PC414" s="569"/>
      <c r="PD414" s="569"/>
      <c r="PE414" s="569"/>
      <c r="PF414" s="569"/>
      <c r="PG414" s="569"/>
      <c r="PH414" s="569"/>
      <c r="PI414" s="569"/>
      <c r="PJ414" s="569"/>
      <c r="PK414" s="569"/>
      <c r="PL414" s="569"/>
      <c r="PM414" s="569"/>
      <c r="PN414" s="569"/>
      <c r="PO414" s="569"/>
      <c r="PP414" s="569"/>
      <c r="PQ414" s="569"/>
      <c r="PR414" s="569"/>
      <c r="PS414" s="569"/>
      <c r="PT414" s="569"/>
      <c r="PU414" s="569"/>
      <c r="PV414" s="569"/>
      <c r="PW414" s="569"/>
      <c r="PX414" s="569"/>
      <c r="PY414" s="569"/>
      <c r="PZ414" s="569"/>
      <c r="QA414" s="569"/>
      <c r="QB414" s="569"/>
      <c r="QC414" s="569"/>
      <c r="QD414" s="569"/>
      <c r="QE414" s="569"/>
      <c r="QF414" s="569"/>
      <c r="QG414" s="569"/>
      <c r="QH414" s="569"/>
      <c r="QI414" s="569"/>
      <c r="QJ414" s="569"/>
      <c r="QK414" s="569"/>
      <c r="QL414" s="569"/>
    </row>
    <row r="415" spans="1:454" s="574" customFormat="1" ht="30">
      <c r="A415" s="569"/>
      <c r="B415" s="575">
        <v>15</v>
      </c>
      <c r="C415" s="576" t="str">
        <f>'matrik MISI 1'!B93</f>
        <v>KOPERASI DAN UMKM</v>
      </c>
      <c r="D415" s="577" t="str">
        <f>'matrik MISI 1'!J95</f>
        <v>1.15</v>
      </c>
      <c r="E415" s="577" t="str">
        <f>'matrik MISI 1'!K95</f>
        <v>xx</v>
      </c>
      <c r="F415" s="577">
        <f>'matrik MISI 1'!L95</f>
        <v>18</v>
      </c>
      <c r="G415" s="577" t="str">
        <f>'matrik MISI 1'!M95</f>
        <v>Peningkatan kualitas kelembagaan koperasi</v>
      </c>
      <c r="H415" s="575"/>
      <c r="I415" s="575"/>
      <c r="J415" s="596"/>
      <c r="K415" s="596"/>
      <c r="L415" s="596"/>
      <c r="M415" s="600">
        <f>'jangan di hapus 1'!K844</f>
        <v>422151000</v>
      </c>
      <c r="N415" s="600"/>
      <c r="O415" s="600">
        <f>'jangan di hapus 1'!M844</f>
        <v>40000000</v>
      </c>
      <c r="P415" s="600"/>
      <c r="Q415" s="600">
        <f>'jangan di hapus 1'!O844</f>
        <v>240000000</v>
      </c>
      <c r="R415" s="600"/>
      <c r="S415" s="600">
        <f>'jangan di hapus 1'!Q844</f>
        <v>265000000</v>
      </c>
      <c r="T415" s="600"/>
      <c r="U415" s="600">
        <f>'jangan di hapus 1'!S844</f>
        <v>255000000</v>
      </c>
      <c r="V415" s="596"/>
      <c r="W415" s="578">
        <f>SUM(M415:U415)</f>
        <v>1222151000</v>
      </c>
      <c r="X415" s="575"/>
      <c r="Y415" s="596"/>
      <c r="Z415" s="596"/>
      <c r="AA415" s="569"/>
      <c r="AB415" s="569"/>
      <c r="AC415" s="569"/>
      <c r="AD415" s="569"/>
      <c r="AE415" s="569"/>
      <c r="AF415" s="569"/>
      <c r="AG415" s="569"/>
      <c r="AH415" s="569"/>
      <c r="AI415" s="569"/>
      <c r="AJ415" s="569"/>
      <c r="AK415" s="569"/>
      <c r="AL415" s="569"/>
      <c r="AM415" s="569"/>
      <c r="AN415" s="569"/>
      <c r="AO415" s="569"/>
      <c r="AP415" s="569"/>
      <c r="AQ415" s="569"/>
      <c r="AR415" s="569"/>
      <c r="AS415" s="569"/>
      <c r="AT415" s="569"/>
      <c r="AU415" s="569"/>
      <c r="AV415" s="569"/>
      <c r="AW415" s="569"/>
      <c r="AX415" s="569"/>
      <c r="AY415" s="569"/>
      <c r="AZ415" s="569"/>
      <c r="BA415" s="569"/>
      <c r="BB415" s="569"/>
      <c r="BC415" s="569"/>
      <c r="BD415" s="569"/>
      <c r="BE415" s="569"/>
      <c r="BF415" s="569"/>
      <c r="BG415" s="569"/>
      <c r="BH415" s="569"/>
      <c r="BI415" s="569"/>
      <c r="BJ415" s="569"/>
      <c r="BK415" s="569"/>
      <c r="BL415" s="569"/>
      <c r="BM415" s="569"/>
      <c r="BN415" s="569"/>
      <c r="BO415" s="569"/>
      <c r="BP415" s="569"/>
      <c r="BQ415" s="569"/>
      <c r="BR415" s="569"/>
      <c r="BS415" s="569"/>
      <c r="BT415" s="569"/>
      <c r="BU415" s="569"/>
      <c r="BV415" s="569"/>
      <c r="BW415" s="569"/>
      <c r="BX415" s="569"/>
      <c r="BY415" s="569"/>
      <c r="BZ415" s="569"/>
      <c r="CA415" s="569"/>
      <c r="CB415" s="569"/>
      <c r="CC415" s="569"/>
      <c r="CD415" s="569"/>
      <c r="CE415" s="569"/>
      <c r="CF415" s="569"/>
      <c r="CG415" s="569"/>
      <c r="CH415" s="569"/>
      <c r="CI415" s="569"/>
      <c r="CJ415" s="569"/>
      <c r="CK415" s="569"/>
      <c r="CL415" s="569"/>
      <c r="CM415" s="569"/>
      <c r="CN415" s="569"/>
      <c r="CO415" s="569"/>
      <c r="CP415" s="569"/>
      <c r="CQ415" s="569"/>
      <c r="CR415" s="569"/>
      <c r="CS415" s="569"/>
      <c r="CT415" s="569"/>
      <c r="CU415" s="569"/>
      <c r="CV415" s="569"/>
      <c r="CW415" s="569"/>
      <c r="CX415" s="569"/>
      <c r="CY415" s="569"/>
      <c r="CZ415" s="569"/>
      <c r="DA415" s="569"/>
      <c r="DB415" s="569"/>
      <c r="DC415" s="569"/>
      <c r="DD415" s="569"/>
      <c r="DE415" s="569"/>
      <c r="DF415" s="569"/>
      <c r="DG415" s="569"/>
      <c r="DH415" s="569"/>
      <c r="DI415" s="569"/>
      <c r="DJ415" s="569"/>
      <c r="DK415" s="569"/>
      <c r="DL415" s="569"/>
      <c r="DM415" s="569"/>
      <c r="DN415" s="569"/>
      <c r="DO415" s="569"/>
      <c r="DP415" s="569"/>
      <c r="DQ415" s="569"/>
      <c r="DR415" s="569"/>
      <c r="DS415" s="569"/>
      <c r="DT415" s="569"/>
      <c r="DU415" s="569"/>
      <c r="DV415" s="569"/>
      <c r="DW415" s="569"/>
      <c r="DX415" s="569"/>
      <c r="DY415" s="569"/>
      <c r="DZ415" s="569"/>
      <c r="EA415" s="569"/>
      <c r="EB415" s="569"/>
      <c r="EC415" s="569"/>
      <c r="ED415" s="569"/>
      <c r="EE415" s="569"/>
      <c r="EF415" s="569"/>
      <c r="EG415" s="569"/>
      <c r="EH415" s="569"/>
      <c r="EI415" s="569"/>
      <c r="EJ415" s="569"/>
      <c r="EK415" s="569"/>
      <c r="EL415" s="569"/>
      <c r="EM415" s="569"/>
      <c r="EN415" s="569"/>
      <c r="EO415" s="569"/>
      <c r="EP415" s="569"/>
      <c r="EQ415" s="569"/>
      <c r="ER415" s="569"/>
      <c r="ES415" s="569"/>
      <c r="ET415" s="569"/>
      <c r="EU415" s="569"/>
      <c r="EV415" s="569"/>
      <c r="EW415" s="569"/>
      <c r="EX415" s="569"/>
      <c r="EY415" s="569"/>
      <c r="EZ415" s="569"/>
      <c r="FA415" s="569"/>
      <c r="FB415" s="569"/>
      <c r="FC415" s="569"/>
      <c r="FD415" s="569"/>
      <c r="FE415" s="569"/>
      <c r="FF415" s="569"/>
      <c r="FG415" s="569"/>
      <c r="FH415" s="569"/>
      <c r="FI415" s="569"/>
      <c r="FJ415" s="569"/>
      <c r="FK415" s="569"/>
      <c r="FL415" s="569"/>
      <c r="FM415" s="569"/>
      <c r="FN415" s="569"/>
      <c r="FO415" s="569"/>
      <c r="FP415" s="569"/>
      <c r="FQ415" s="569"/>
      <c r="FR415" s="569"/>
      <c r="FS415" s="569"/>
      <c r="FT415" s="569"/>
      <c r="FU415" s="569"/>
      <c r="FV415" s="569"/>
      <c r="FW415" s="569"/>
      <c r="FX415" s="569"/>
      <c r="FY415" s="569"/>
      <c r="FZ415" s="569"/>
      <c r="GA415" s="569"/>
      <c r="GB415" s="569"/>
      <c r="GC415" s="569"/>
      <c r="GD415" s="569"/>
      <c r="GE415" s="569"/>
      <c r="GF415" s="569"/>
      <c r="GG415" s="569"/>
      <c r="GH415" s="569"/>
      <c r="GI415" s="569"/>
      <c r="GJ415" s="569"/>
      <c r="GK415" s="569"/>
      <c r="GL415" s="569"/>
      <c r="GM415" s="569"/>
      <c r="GN415" s="569"/>
      <c r="GO415" s="569"/>
      <c r="GP415" s="569"/>
      <c r="GQ415" s="569"/>
      <c r="GR415" s="569"/>
      <c r="GS415" s="569"/>
      <c r="GT415" s="569"/>
      <c r="GU415" s="569"/>
      <c r="GV415" s="569"/>
      <c r="GW415" s="569"/>
      <c r="GX415" s="569"/>
      <c r="GY415" s="569"/>
      <c r="GZ415" s="569"/>
      <c r="HA415" s="569"/>
      <c r="HB415" s="569"/>
      <c r="HC415" s="569"/>
      <c r="HD415" s="569"/>
      <c r="HE415" s="569"/>
      <c r="HF415" s="569"/>
      <c r="HG415" s="569"/>
      <c r="HH415" s="569"/>
      <c r="HI415" s="569"/>
      <c r="HJ415" s="569"/>
      <c r="HK415" s="569"/>
      <c r="HL415" s="569"/>
      <c r="HM415" s="569"/>
      <c r="HN415" s="569"/>
      <c r="HO415" s="569"/>
      <c r="HP415" s="569"/>
      <c r="HQ415" s="569"/>
      <c r="HR415" s="569"/>
      <c r="HS415" s="569"/>
      <c r="HT415" s="569"/>
      <c r="HU415" s="569"/>
      <c r="HV415" s="569"/>
      <c r="HW415" s="569"/>
      <c r="HX415" s="569"/>
      <c r="HY415" s="569"/>
      <c r="HZ415" s="569"/>
      <c r="IA415" s="569"/>
      <c r="IB415" s="569"/>
      <c r="IC415" s="569"/>
      <c r="ID415" s="569"/>
      <c r="IE415" s="569"/>
      <c r="IF415" s="569"/>
      <c r="IG415" s="569"/>
      <c r="IH415" s="569"/>
      <c r="II415" s="569"/>
      <c r="IJ415" s="569"/>
      <c r="IK415" s="569"/>
      <c r="IL415" s="569"/>
      <c r="IM415" s="569"/>
      <c r="IN415" s="569"/>
      <c r="IO415" s="569"/>
      <c r="IP415" s="569"/>
      <c r="IQ415" s="569"/>
      <c r="IR415" s="569"/>
      <c r="IS415" s="569"/>
      <c r="IT415" s="569"/>
      <c r="IU415" s="569"/>
      <c r="IV415" s="569"/>
      <c r="IW415" s="569"/>
      <c r="IX415" s="569"/>
      <c r="IY415" s="569"/>
      <c r="IZ415" s="569"/>
      <c r="JA415" s="569"/>
      <c r="JB415" s="569"/>
      <c r="JC415" s="569"/>
      <c r="JD415" s="569"/>
      <c r="JE415" s="569"/>
      <c r="JF415" s="569"/>
      <c r="JG415" s="569"/>
      <c r="JH415" s="569"/>
      <c r="JI415" s="569"/>
      <c r="JJ415" s="569"/>
      <c r="JK415" s="569"/>
      <c r="JL415" s="569"/>
      <c r="JM415" s="569"/>
      <c r="JN415" s="569"/>
      <c r="JO415" s="569"/>
      <c r="JP415" s="569"/>
      <c r="JQ415" s="569"/>
      <c r="JR415" s="569"/>
      <c r="JS415" s="569"/>
      <c r="JT415" s="569"/>
      <c r="JU415" s="569"/>
      <c r="JV415" s="569"/>
      <c r="JW415" s="569"/>
      <c r="JX415" s="569"/>
      <c r="JY415" s="569"/>
      <c r="JZ415" s="569"/>
      <c r="KA415" s="569"/>
      <c r="KB415" s="569"/>
      <c r="KC415" s="569"/>
      <c r="KD415" s="569"/>
      <c r="KE415" s="569"/>
      <c r="KF415" s="569"/>
      <c r="KG415" s="569"/>
      <c r="KH415" s="569"/>
      <c r="KI415" s="569"/>
      <c r="KJ415" s="569"/>
      <c r="KK415" s="569"/>
      <c r="KL415" s="569"/>
      <c r="KM415" s="569"/>
      <c r="KN415" s="569"/>
      <c r="KO415" s="569"/>
      <c r="KP415" s="569"/>
      <c r="KQ415" s="569"/>
      <c r="KR415" s="569"/>
      <c r="KS415" s="569"/>
      <c r="KT415" s="569"/>
      <c r="KU415" s="569"/>
      <c r="KV415" s="569"/>
      <c r="KW415" s="569"/>
      <c r="KX415" s="569"/>
      <c r="KY415" s="569"/>
      <c r="KZ415" s="569"/>
      <c r="LA415" s="569"/>
      <c r="LB415" s="569"/>
      <c r="LC415" s="569"/>
      <c r="LD415" s="569"/>
      <c r="LE415" s="569"/>
      <c r="LF415" s="569"/>
      <c r="LG415" s="569"/>
      <c r="LH415" s="569"/>
      <c r="LI415" s="569"/>
      <c r="LJ415" s="569"/>
      <c r="LK415" s="569"/>
      <c r="LL415" s="569"/>
      <c r="LM415" s="569"/>
      <c r="LN415" s="569"/>
      <c r="LO415" s="569"/>
      <c r="LP415" s="569"/>
      <c r="LQ415" s="569"/>
      <c r="LR415" s="569"/>
      <c r="LS415" s="569"/>
      <c r="LT415" s="569"/>
      <c r="LU415" s="569"/>
      <c r="LV415" s="569"/>
      <c r="LW415" s="569"/>
      <c r="LX415" s="569"/>
      <c r="LY415" s="569"/>
      <c r="LZ415" s="569"/>
      <c r="MA415" s="569"/>
      <c r="MB415" s="569"/>
      <c r="MC415" s="569"/>
      <c r="MD415" s="569"/>
      <c r="ME415" s="569"/>
      <c r="MF415" s="569"/>
      <c r="MG415" s="569"/>
      <c r="MH415" s="569"/>
      <c r="MI415" s="569"/>
      <c r="MJ415" s="569"/>
      <c r="MK415" s="569"/>
      <c r="ML415" s="569"/>
      <c r="MM415" s="569"/>
      <c r="MN415" s="569"/>
      <c r="MO415" s="569"/>
      <c r="MP415" s="569"/>
      <c r="MQ415" s="569"/>
      <c r="MR415" s="569"/>
      <c r="MS415" s="569"/>
      <c r="MT415" s="569"/>
      <c r="MU415" s="569"/>
      <c r="MV415" s="569"/>
      <c r="MW415" s="569"/>
      <c r="MX415" s="569"/>
      <c r="MY415" s="569"/>
      <c r="MZ415" s="569"/>
      <c r="NA415" s="569"/>
      <c r="NB415" s="569"/>
      <c r="NC415" s="569"/>
      <c r="ND415" s="569"/>
      <c r="NE415" s="569"/>
      <c r="NF415" s="569"/>
      <c r="NG415" s="569"/>
      <c r="NH415" s="569"/>
      <c r="NI415" s="569"/>
      <c r="NJ415" s="569"/>
      <c r="NK415" s="569"/>
      <c r="NL415" s="569"/>
      <c r="NM415" s="569"/>
      <c r="NN415" s="569"/>
      <c r="NO415" s="569"/>
      <c r="NP415" s="569"/>
      <c r="NQ415" s="569"/>
      <c r="NR415" s="569"/>
      <c r="NS415" s="569"/>
      <c r="NT415" s="569"/>
      <c r="NU415" s="569"/>
      <c r="NV415" s="569"/>
      <c r="NW415" s="569"/>
      <c r="NX415" s="569"/>
      <c r="NY415" s="569"/>
      <c r="NZ415" s="569"/>
      <c r="OA415" s="569"/>
      <c r="OB415" s="569"/>
      <c r="OC415" s="569"/>
      <c r="OD415" s="569"/>
      <c r="OE415" s="569"/>
      <c r="OF415" s="569"/>
      <c r="OG415" s="569"/>
      <c r="OH415" s="569"/>
      <c r="OI415" s="569"/>
      <c r="OJ415" s="569"/>
      <c r="OK415" s="569"/>
      <c r="OL415" s="569"/>
      <c r="OM415" s="569"/>
      <c r="ON415" s="569"/>
      <c r="OO415" s="569"/>
      <c r="OP415" s="569"/>
      <c r="OQ415" s="569"/>
      <c r="OR415" s="569"/>
      <c r="OS415" s="569"/>
      <c r="OT415" s="569"/>
      <c r="OU415" s="569"/>
      <c r="OV415" s="569"/>
      <c r="OW415" s="569"/>
      <c r="OX415" s="569"/>
      <c r="OY415" s="569"/>
      <c r="OZ415" s="569"/>
      <c r="PA415" s="569"/>
      <c r="PB415" s="569"/>
      <c r="PC415" s="569"/>
      <c r="PD415" s="569"/>
      <c r="PE415" s="569"/>
      <c r="PF415" s="569"/>
      <c r="PG415" s="569"/>
      <c r="PH415" s="569"/>
      <c r="PI415" s="569"/>
      <c r="PJ415" s="569"/>
      <c r="PK415" s="569"/>
      <c r="PL415" s="569"/>
      <c r="PM415" s="569"/>
      <c r="PN415" s="569"/>
      <c r="PO415" s="569"/>
      <c r="PP415" s="569"/>
      <c r="PQ415" s="569"/>
      <c r="PR415" s="569"/>
      <c r="PS415" s="569"/>
      <c r="PT415" s="569"/>
      <c r="PU415" s="569"/>
      <c r="PV415" s="569"/>
      <c r="PW415" s="569"/>
      <c r="PX415" s="569"/>
      <c r="PY415" s="569"/>
      <c r="PZ415" s="569"/>
      <c r="QA415" s="569"/>
      <c r="QB415" s="569"/>
      <c r="QC415" s="569"/>
      <c r="QD415" s="569"/>
      <c r="QE415" s="569"/>
      <c r="QF415" s="569"/>
      <c r="QG415" s="569"/>
      <c r="QH415" s="569"/>
      <c r="QI415" s="569"/>
      <c r="QJ415" s="569"/>
      <c r="QK415" s="569"/>
      <c r="QL415" s="569"/>
    </row>
    <row r="416" spans="1:454" ht="30">
      <c r="H416" s="563" t="str">
        <f>'matrik MISI 1'!N95</f>
        <v>prosentase jumlah koperasi aktif</v>
      </c>
      <c r="I416" s="563" t="str">
        <f>'matrik MISI 1'!O95</f>
        <v>%</v>
      </c>
      <c r="J416" s="583">
        <f>'matrik MISI 1'!P95</f>
        <v>79.132231404958674</v>
      </c>
      <c r="K416" s="583">
        <f>'matrik MISI 1'!Q95</f>
        <v>83.471074380165291</v>
      </c>
      <c r="L416" s="583">
        <f>'matrik MISI 1'!R95</f>
        <v>86.570247933884289</v>
      </c>
      <c r="M416" s="604"/>
      <c r="N416" s="583">
        <f>'matrik MISI 1'!S95</f>
        <v>87.603305785123965</v>
      </c>
      <c r="O416" s="584"/>
      <c r="P416" s="583">
        <f>'matrik MISI 1'!T95</f>
        <v>88.63636363636364</v>
      </c>
      <c r="Q416" s="584"/>
      <c r="R416" s="583">
        <f>'matrik MISI 1'!U95</f>
        <v>89.669421487603302</v>
      </c>
      <c r="S416" s="584"/>
      <c r="T416" s="583">
        <f>'matrik MISI 1'!V95</f>
        <v>90.702479338842977</v>
      </c>
      <c r="U416" s="584"/>
      <c r="V416" s="583">
        <f>'matrik MISI 1'!W95</f>
        <v>90.702479338842977</v>
      </c>
      <c r="W416" s="584"/>
      <c r="X416" s="563" t="str">
        <f>'matrik MISI 1'!X95</f>
        <v>DISPERIDAGKOP DAN UMKM</v>
      </c>
      <c r="Y416" s="563" t="str">
        <f>'matrik MISI 1'!Y95</f>
        <v xml:space="preserve">Jumlah Koperasi aktif dibagi jumlah total koperasi kali 100% </v>
      </c>
      <c r="Z416" s="563" t="str">
        <f>'matrik MISI 1'!Z95</f>
        <v>Meningkatnya jumlah koperasi aktif</v>
      </c>
    </row>
    <row r="417" spans="1:454" ht="30">
      <c r="G417" s="563"/>
      <c r="H417" s="563" t="str">
        <f>'matrik MISI 1'!N96</f>
        <v>Besaran jumlah anggota koperasi</v>
      </c>
      <c r="I417" s="563" t="str">
        <f>'matrik MISI 1'!O96</f>
        <v>org</v>
      </c>
      <c r="J417" s="563">
        <f>'matrik MISI 1'!P96</f>
        <v>149906</v>
      </c>
      <c r="K417" s="563">
        <f>'matrik MISI 1'!Q96</f>
        <v>154700</v>
      </c>
      <c r="L417" s="563">
        <f>'matrik MISI 1'!R96</f>
        <v>159670</v>
      </c>
      <c r="M417" s="604"/>
      <c r="N417" s="563">
        <f>'matrik MISI 1'!S96</f>
        <v>165500</v>
      </c>
      <c r="O417" s="564"/>
      <c r="P417" s="563">
        <f>'matrik MISI 1'!T96</f>
        <v>170800</v>
      </c>
      <c r="Q417" s="564"/>
      <c r="R417" s="563">
        <f>'matrik MISI 1'!U96</f>
        <v>174500</v>
      </c>
      <c r="S417" s="564"/>
      <c r="T417" s="563">
        <f>'matrik MISI 1'!V96</f>
        <v>179500</v>
      </c>
      <c r="U417" s="564"/>
      <c r="V417" s="563">
        <f>'matrik MISI 1'!W96</f>
        <v>179500</v>
      </c>
      <c r="W417" s="564"/>
      <c r="X417" s="563" t="str">
        <f>'matrik MISI 1'!X96</f>
        <v>DISPERINDAGKOP DAN UMKM</v>
      </c>
      <c r="Y417" s="563" t="str">
        <f>'matrik MISI 1'!Y96</f>
        <v xml:space="preserve">Jumlah anggota koperasi tahun ke n </v>
      </c>
      <c r="Z417" s="563" t="str">
        <f>'matrik MISI 1'!Z96</f>
        <v>Meningkatnya jumlah anggota koperasi</v>
      </c>
    </row>
    <row r="418" spans="1:454" ht="30">
      <c r="G418" s="563"/>
      <c r="H418" s="563" t="str">
        <f>'matrik MISI 1'!N97</f>
        <v>persentase jumlah pembinaan pengelolaan koperasi</v>
      </c>
      <c r="I418" s="563" t="str">
        <f>'matrik MISI 1'!O97</f>
        <v>%</v>
      </c>
      <c r="J418" s="583">
        <f>'matrik MISI 1'!P97</f>
        <v>36.776859504132233</v>
      </c>
      <c r="K418" s="583">
        <f>'matrik MISI 1'!Q97</f>
        <v>38.223140495867767</v>
      </c>
      <c r="L418" s="583">
        <f>'matrik MISI 1'!R97</f>
        <v>40.289256198347104</v>
      </c>
      <c r="M418" s="604"/>
      <c r="N418" s="583">
        <f>'matrik MISI 1'!S97</f>
        <v>43.388429752066116</v>
      </c>
      <c r="O418" s="584"/>
      <c r="P418" s="583">
        <f>'matrik MISI 1'!T97</f>
        <v>46.487603305785122</v>
      </c>
      <c r="Q418" s="584"/>
      <c r="R418" s="583">
        <f>'matrik MISI 1'!U97</f>
        <v>48.553719008264466</v>
      </c>
      <c r="S418" s="584"/>
      <c r="T418" s="583">
        <f>'matrik MISI 1'!V97</f>
        <v>53.719008264462808</v>
      </c>
      <c r="U418" s="584"/>
      <c r="V418" s="583">
        <f>'matrik MISI 1'!W97</f>
        <v>53.719008264462808</v>
      </c>
      <c r="W418" s="584"/>
      <c r="X418" s="563" t="str">
        <f>'matrik MISI 1'!X97</f>
        <v>DISPERINDAGKOP DAN UMKM</v>
      </c>
      <c r="Y418" s="563" t="str">
        <f>'matrik MISI 1'!Y97</f>
        <v>Jumlah koperasi yang dibina tahun ke n dibagi jumlah total koperasi kali 100%</v>
      </c>
      <c r="Z418" s="563" t="str">
        <f>'matrik MISI 1'!Z97</f>
        <v>Meningkatnya pengelolaan koperasi</v>
      </c>
    </row>
    <row r="419" spans="1:454" s="574" customFormat="1" ht="60">
      <c r="A419" s="569"/>
      <c r="B419" s="575"/>
      <c r="C419" s="576"/>
      <c r="D419" s="577" t="str">
        <f>'matrik MISI 1'!J99</f>
        <v>1.15</v>
      </c>
      <c r="E419" s="577" t="str">
        <f>'matrik MISI 1'!K99</f>
        <v>xx</v>
      </c>
      <c r="F419" s="577">
        <f>'matrik MISI 1'!L99</f>
        <v>16</v>
      </c>
      <c r="G419" s="577" t="str">
        <f>'matrik MISI 1'!M99</f>
        <v>Program Pengembangan kewirausahaan dan keunggulan kompetitif UKM</v>
      </c>
      <c r="H419" s="577"/>
      <c r="I419" s="577"/>
      <c r="J419" s="614"/>
      <c r="K419" s="614"/>
      <c r="L419" s="614"/>
      <c r="M419" s="578">
        <f>'jangan di hapus 1'!K829</f>
        <v>1399310500</v>
      </c>
      <c r="N419" s="578"/>
      <c r="O419" s="578">
        <f>'jangan di hapus 1'!M829</f>
        <v>730000000</v>
      </c>
      <c r="P419" s="578"/>
      <c r="Q419" s="578">
        <f>'jangan di hapus 1'!O829</f>
        <v>1020000000</v>
      </c>
      <c r="R419" s="578"/>
      <c r="S419" s="578">
        <f>'jangan di hapus 1'!Q829</f>
        <v>875000000</v>
      </c>
      <c r="T419" s="578"/>
      <c r="U419" s="578">
        <f>'jangan di hapus 1'!S829</f>
        <v>1170000000</v>
      </c>
      <c r="V419" s="614"/>
      <c r="W419" s="578">
        <f>SUM(M419:U419)</f>
        <v>5194310500</v>
      </c>
      <c r="X419" s="577"/>
      <c r="Y419" s="577"/>
      <c r="Z419" s="577"/>
      <c r="AA419" s="569"/>
      <c r="AB419" s="569"/>
      <c r="AC419" s="569"/>
      <c r="AD419" s="569"/>
      <c r="AE419" s="569"/>
      <c r="AF419" s="569"/>
      <c r="AG419" s="569"/>
      <c r="AH419" s="569"/>
      <c r="AI419" s="569"/>
      <c r="AJ419" s="569"/>
      <c r="AK419" s="569"/>
      <c r="AL419" s="569"/>
      <c r="AM419" s="569"/>
      <c r="AN419" s="569"/>
      <c r="AO419" s="569"/>
      <c r="AP419" s="569"/>
      <c r="AQ419" s="569"/>
      <c r="AR419" s="569"/>
      <c r="AS419" s="569"/>
      <c r="AT419" s="569"/>
      <c r="AU419" s="569"/>
      <c r="AV419" s="569"/>
      <c r="AW419" s="569"/>
      <c r="AX419" s="569"/>
      <c r="AY419" s="569"/>
      <c r="AZ419" s="569"/>
      <c r="BA419" s="569"/>
      <c r="BB419" s="569"/>
      <c r="BC419" s="569"/>
      <c r="BD419" s="569"/>
      <c r="BE419" s="569"/>
      <c r="BF419" s="569"/>
      <c r="BG419" s="569"/>
      <c r="BH419" s="569"/>
      <c r="BI419" s="569"/>
      <c r="BJ419" s="569"/>
      <c r="BK419" s="569"/>
      <c r="BL419" s="569"/>
      <c r="BM419" s="569"/>
      <c r="BN419" s="569"/>
      <c r="BO419" s="569"/>
      <c r="BP419" s="569"/>
      <c r="BQ419" s="569"/>
      <c r="BR419" s="569"/>
      <c r="BS419" s="569"/>
      <c r="BT419" s="569"/>
      <c r="BU419" s="569"/>
      <c r="BV419" s="569"/>
      <c r="BW419" s="569"/>
      <c r="BX419" s="569"/>
      <c r="BY419" s="569"/>
      <c r="BZ419" s="569"/>
      <c r="CA419" s="569"/>
      <c r="CB419" s="569"/>
      <c r="CC419" s="569"/>
      <c r="CD419" s="569"/>
      <c r="CE419" s="569"/>
      <c r="CF419" s="569"/>
      <c r="CG419" s="569"/>
      <c r="CH419" s="569"/>
      <c r="CI419" s="569"/>
      <c r="CJ419" s="569"/>
      <c r="CK419" s="569"/>
      <c r="CL419" s="569"/>
      <c r="CM419" s="569"/>
      <c r="CN419" s="569"/>
      <c r="CO419" s="569"/>
      <c r="CP419" s="569"/>
      <c r="CQ419" s="569"/>
      <c r="CR419" s="569"/>
      <c r="CS419" s="569"/>
      <c r="CT419" s="569"/>
      <c r="CU419" s="569"/>
      <c r="CV419" s="569"/>
      <c r="CW419" s="569"/>
      <c r="CX419" s="569"/>
      <c r="CY419" s="569"/>
      <c r="CZ419" s="569"/>
      <c r="DA419" s="569"/>
      <c r="DB419" s="569"/>
      <c r="DC419" s="569"/>
      <c r="DD419" s="569"/>
      <c r="DE419" s="569"/>
      <c r="DF419" s="569"/>
      <c r="DG419" s="569"/>
      <c r="DH419" s="569"/>
      <c r="DI419" s="569"/>
      <c r="DJ419" s="569"/>
      <c r="DK419" s="569"/>
      <c r="DL419" s="569"/>
      <c r="DM419" s="569"/>
      <c r="DN419" s="569"/>
      <c r="DO419" s="569"/>
      <c r="DP419" s="569"/>
      <c r="DQ419" s="569"/>
      <c r="DR419" s="569"/>
      <c r="DS419" s="569"/>
      <c r="DT419" s="569"/>
      <c r="DU419" s="569"/>
      <c r="DV419" s="569"/>
      <c r="DW419" s="569"/>
      <c r="DX419" s="569"/>
      <c r="DY419" s="569"/>
      <c r="DZ419" s="569"/>
      <c r="EA419" s="569"/>
      <c r="EB419" s="569"/>
      <c r="EC419" s="569"/>
      <c r="ED419" s="569"/>
      <c r="EE419" s="569"/>
      <c r="EF419" s="569"/>
      <c r="EG419" s="569"/>
      <c r="EH419" s="569"/>
      <c r="EI419" s="569"/>
      <c r="EJ419" s="569"/>
      <c r="EK419" s="569"/>
      <c r="EL419" s="569"/>
      <c r="EM419" s="569"/>
      <c r="EN419" s="569"/>
      <c r="EO419" s="569"/>
      <c r="EP419" s="569"/>
      <c r="EQ419" s="569"/>
      <c r="ER419" s="569"/>
      <c r="ES419" s="569"/>
      <c r="ET419" s="569"/>
      <c r="EU419" s="569"/>
      <c r="EV419" s="569"/>
      <c r="EW419" s="569"/>
      <c r="EX419" s="569"/>
      <c r="EY419" s="569"/>
      <c r="EZ419" s="569"/>
      <c r="FA419" s="569"/>
      <c r="FB419" s="569"/>
      <c r="FC419" s="569"/>
      <c r="FD419" s="569"/>
      <c r="FE419" s="569"/>
      <c r="FF419" s="569"/>
      <c r="FG419" s="569"/>
      <c r="FH419" s="569"/>
      <c r="FI419" s="569"/>
      <c r="FJ419" s="569"/>
      <c r="FK419" s="569"/>
      <c r="FL419" s="569"/>
      <c r="FM419" s="569"/>
      <c r="FN419" s="569"/>
      <c r="FO419" s="569"/>
      <c r="FP419" s="569"/>
      <c r="FQ419" s="569"/>
      <c r="FR419" s="569"/>
      <c r="FS419" s="569"/>
      <c r="FT419" s="569"/>
      <c r="FU419" s="569"/>
      <c r="FV419" s="569"/>
      <c r="FW419" s="569"/>
      <c r="FX419" s="569"/>
      <c r="FY419" s="569"/>
      <c r="FZ419" s="569"/>
      <c r="GA419" s="569"/>
      <c r="GB419" s="569"/>
      <c r="GC419" s="569"/>
      <c r="GD419" s="569"/>
      <c r="GE419" s="569"/>
      <c r="GF419" s="569"/>
      <c r="GG419" s="569"/>
      <c r="GH419" s="569"/>
      <c r="GI419" s="569"/>
      <c r="GJ419" s="569"/>
      <c r="GK419" s="569"/>
      <c r="GL419" s="569"/>
      <c r="GM419" s="569"/>
      <c r="GN419" s="569"/>
      <c r="GO419" s="569"/>
      <c r="GP419" s="569"/>
      <c r="GQ419" s="569"/>
      <c r="GR419" s="569"/>
      <c r="GS419" s="569"/>
      <c r="GT419" s="569"/>
      <c r="GU419" s="569"/>
      <c r="GV419" s="569"/>
      <c r="GW419" s="569"/>
      <c r="GX419" s="569"/>
      <c r="GY419" s="569"/>
      <c r="GZ419" s="569"/>
      <c r="HA419" s="569"/>
      <c r="HB419" s="569"/>
      <c r="HC419" s="569"/>
      <c r="HD419" s="569"/>
      <c r="HE419" s="569"/>
      <c r="HF419" s="569"/>
      <c r="HG419" s="569"/>
      <c r="HH419" s="569"/>
      <c r="HI419" s="569"/>
      <c r="HJ419" s="569"/>
      <c r="HK419" s="569"/>
      <c r="HL419" s="569"/>
      <c r="HM419" s="569"/>
      <c r="HN419" s="569"/>
      <c r="HO419" s="569"/>
      <c r="HP419" s="569"/>
      <c r="HQ419" s="569"/>
      <c r="HR419" s="569"/>
      <c r="HS419" s="569"/>
      <c r="HT419" s="569"/>
      <c r="HU419" s="569"/>
      <c r="HV419" s="569"/>
      <c r="HW419" s="569"/>
      <c r="HX419" s="569"/>
      <c r="HY419" s="569"/>
      <c r="HZ419" s="569"/>
      <c r="IA419" s="569"/>
      <c r="IB419" s="569"/>
      <c r="IC419" s="569"/>
      <c r="ID419" s="569"/>
      <c r="IE419" s="569"/>
      <c r="IF419" s="569"/>
      <c r="IG419" s="569"/>
      <c r="IH419" s="569"/>
      <c r="II419" s="569"/>
      <c r="IJ419" s="569"/>
      <c r="IK419" s="569"/>
      <c r="IL419" s="569"/>
      <c r="IM419" s="569"/>
      <c r="IN419" s="569"/>
      <c r="IO419" s="569"/>
      <c r="IP419" s="569"/>
      <c r="IQ419" s="569"/>
      <c r="IR419" s="569"/>
      <c r="IS419" s="569"/>
      <c r="IT419" s="569"/>
      <c r="IU419" s="569"/>
      <c r="IV419" s="569"/>
      <c r="IW419" s="569"/>
      <c r="IX419" s="569"/>
      <c r="IY419" s="569"/>
      <c r="IZ419" s="569"/>
      <c r="JA419" s="569"/>
      <c r="JB419" s="569"/>
      <c r="JC419" s="569"/>
      <c r="JD419" s="569"/>
      <c r="JE419" s="569"/>
      <c r="JF419" s="569"/>
      <c r="JG419" s="569"/>
      <c r="JH419" s="569"/>
      <c r="JI419" s="569"/>
      <c r="JJ419" s="569"/>
      <c r="JK419" s="569"/>
      <c r="JL419" s="569"/>
      <c r="JM419" s="569"/>
      <c r="JN419" s="569"/>
      <c r="JO419" s="569"/>
      <c r="JP419" s="569"/>
      <c r="JQ419" s="569"/>
      <c r="JR419" s="569"/>
      <c r="JS419" s="569"/>
      <c r="JT419" s="569"/>
      <c r="JU419" s="569"/>
      <c r="JV419" s="569"/>
      <c r="JW419" s="569"/>
      <c r="JX419" s="569"/>
      <c r="JY419" s="569"/>
      <c r="JZ419" s="569"/>
      <c r="KA419" s="569"/>
      <c r="KB419" s="569"/>
      <c r="KC419" s="569"/>
      <c r="KD419" s="569"/>
      <c r="KE419" s="569"/>
      <c r="KF419" s="569"/>
      <c r="KG419" s="569"/>
      <c r="KH419" s="569"/>
      <c r="KI419" s="569"/>
      <c r="KJ419" s="569"/>
      <c r="KK419" s="569"/>
      <c r="KL419" s="569"/>
      <c r="KM419" s="569"/>
      <c r="KN419" s="569"/>
      <c r="KO419" s="569"/>
      <c r="KP419" s="569"/>
      <c r="KQ419" s="569"/>
      <c r="KR419" s="569"/>
      <c r="KS419" s="569"/>
      <c r="KT419" s="569"/>
      <c r="KU419" s="569"/>
      <c r="KV419" s="569"/>
      <c r="KW419" s="569"/>
      <c r="KX419" s="569"/>
      <c r="KY419" s="569"/>
      <c r="KZ419" s="569"/>
      <c r="LA419" s="569"/>
      <c r="LB419" s="569"/>
      <c r="LC419" s="569"/>
      <c r="LD419" s="569"/>
      <c r="LE419" s="569"/>
      <c r="LF419" s="569"/>
      <c r="LG419" s="569"/>
      <c r="LH419" s="569"/>
      <c r="LI419" s="569"/>
      <c r="LJ419" s="569"/>
      <c r="LK419" s="569"/>
      <c r="LL419" s="569"/>
      <c r="LM419" s="569"/>
      <c r="LN419" s="569"/>
      <c r="LO419" s="569"/>
      <c r="LP419" s="569"/>
      <c r="LQ419" s="569"/>
      <c r="LR419" s="569"/>
      <c r="LS419" s="569"/>
      <c r="LT419" s="569"/>
      <c r="LU419" s="569"/>
      <c r="LV419" s="569"/>
      <c r="LW419" s="569"/>
      <c r="LX419" s="569"/>
      <c r="LY419" s="569"/>
      <c r="LZ419" s="569"/>
      <c r="MA419" s="569"/>
      <c r="MB419" s="569"/>
      <c r="MC419" s="569"/>
      <c r="MD419" s="569"/>
      <c r="ME419" s="569"/>
      <c r="MF419" s="569"/>
      <c r="MG419" s="569"/>
      <c r="MH419" s="569"/>
      <c r="MI419" s="569"/>
      <c r="MJ419" s="569"/>
      <c r="MK419" s="569"/>
      <c r="ML419" s="569"/>
      <c r="MM419" s="569"/>
      <c r="MN419" s="569"/>
      <c r="MO419" s="569"/>
      <c r="MP419" s="569"/>
      <c r="MQ419" s="569"/>
      <c r="MR419" s="569"/>
      <c r="MS419" s="569"/>
      <c r="MT419" s="569"/>
      <c r="MU419" s="569"/>
      <c r="MV419" s="569"/>
      <c r="MW419" s="569"/>
      <c r="MX419" s="569"/>
      <c r="MY419" s="569"/>
      <c r="MZ419" s="569"/>
      <c r="NA419" s="569"/>
      <c r="NB419" s="569"/>
      <c r="NC419" s="569"/>
      <c r="ND419" s="569"/>
      <c r="NE419" s="569"/>
      <c r="NF419" s="569"/>
      <c r="NG419" s="569"/>
      <c r="NH419" s="569"/>
      <c r="NI419" s="569"/>
      <c r="NJ419" s="569"/>
      <c r="NK419" s="569"/>
      <c r="NL419" s="569"/>
      <c r="NM419" s="569"/>
      <c r="NN419" s="569"/>
      <c r="NO419" s="569"/>
      <c r="NP419" s="569"/>
      <c r="NQ419" s="569"/>
      <c r="NR419" s="569"/>
      <c r="NS419" s="569"/>
      <c r="NT419" s="569"/>
      <c r="NU419" s="569"/>
      <c r="NV419" s="569"/>
      <c r="NW419" s="569"/>
      <c r="NX419" s="569"/>
      <c r="NY419" s="569"/>
      <c r="NZ419" s="569"/>
      <c r="OA419" s="569"/>
      <c r="OB419" s="569"/>
      <c r="OC419" s="569"/>
      <c r="OD419" s="569"/>
      <c r="OE419" s="569"/>
      <c r="OF419" s="569"/>
      <c r="OG419" s="569"/>
      <c r="OH419" s="569"/>
      <c r="OI419" s="569"/>
      <c r="OJ419" s="569"/>
      <c r="OK419" s="569"/>
      <c r="OL419" s="569"/>
      <c r="OM419" s="569"/>
      <c r="ON419" s="569"/>
      <c r="OO419" s="569"/>
      <c r="OP419" s="569"/>
      <c r="OQ419" s="569"/>
      <c r="OR419" s="569"/>
      <c r="OS419" s="569"/>
      <c r="OT419" s="569"/>
      <c r="OU419" s="569"/>
      <c r="OV419" s="569"/>
      <c r="OW419" s="569"/>
      <c r="OX419" s="569"/>
      <c r="OY419" s="569"/>
      <c r="OZ419" s="569"/>
      <c r="PA419" s="569"/>
      <c r="PB419" s="569"/>
      <c r="PC419" s="569"/>
      <c r="PD419" s="569"/>
      <c r="PE419" s="569"/>
      <c r="PF419" s="569"/>
      <c r="PG419" s="569"/>
      <c r="PH419" s="569"/>
      <c r="PI419" s="569"/>
      <c r="PJ419" s="569"/>
      <c r="PK419" s="569"/>
      <c r="PL419" s="569"/>
      <c r="PM419" s="569"/>
      <c r="PN419" s="569"/>
      <c r="PO419" s="569"/>
      <c r="PP419" s="569"/>
      <c r="PQ419" s="569"/>
      <c r="PR419" s="569"/>
      <c r="PS419" s="569"/>
      <c r="PT419" s="569"/>
      <c r="PU419" s="569"/>
      <c r="PV419" s="569"/>
      <c r="PW419" s="569"/>
      <c r="PX419" s="569"/>
      <c r="PY419" s="569"/>
      <c r="PZ419" s="569"/>
      <c r="QA419" s="569"/>
      <c r="QB419" s="569"/>
      <c r="QC419" s="569"/>
      <c r="QD419" s="569"/>
      <c r="QE419" s="569"/>
      <c r="QF419" s="569"/>
      <c r="QG419" s="569"/>
      <c r="QH419" s="569"/>
      <c r="QI419" s="569"/>
      <c r="QJ419" s="569"/>
      <c r="QK419" s="569"/>
      <c r="QL419" s="569"/>
    </row>
    <row r="420" spans="1:454" ht="45">
      <c r="D420" s="568"/>
      <c r="E420" s="568"/>
      <c r="F420" s="568"/>
      <c r="G420" s="568"/>
      <c r="H420" s="563" t="str">
        <f>'matrik MISI 1'!N99</f>
        <v>Cakupan meningkatnya tertatanya LKM sesuai dengan ketentuan perundang-undangan</v>
      </c>
      <c r="I420" s="563" t="str">
        <f>'matrik MISI 1'!O99</f>
        <v>%</v>
      </c>
      <c r="J420" s="563" t="str">
        <f>'matrik MISI 1'!P99</f>
        <v xml:space="preserve"> - </v>
      </c>
      <c r="K420" s="563" t="str">
        <f>'matrik MISI 1'!Q99</f>
        <v xml:space="preserve"> - </v>
      </c>
      <c r="L420" s="563" t="str">
        <f>'matrik MISI 1'!R99</f>
        <v xml:space="preserve"> - </v>
      </c>
      <c r="M420" s="604"/>
      <c r="N420" s="563">
        <f>'matrik MISI 1'!S99</f>
        <v>25</v>
      </c>
      <c r="O420" s="564"/>
      <c r="P420" s="563">
        <f>'matrik MISI 1'!T99</f>
        <v>50</v>
      </c>
      <c r="Q420" s="564"/>
      <c r="R420" s="563" t="str">
        <f>'matrik MISI 1'!U99</f>
        <v xml:space="preserve"> - </v>
      </c>
      <c r="S420" s="564"/>
      <c r="T420" s="563" t="str">
        <f>'matrik MISI 1'!V99</f>
        <v xml:space="preserve"> - </v>
      </c>
      <c r="U420" s="564"/>
      <c r="V420" s="563">
        <f>'matrik MISI 1'!W99</f>
        <v>50</v>
      </c>
      <c r="W420" s="564"/>
      <c r="X420" s="563" t="str">
        <f>'matrik MISI 1'!X99</f>
        <v>DISPERINDAGKOP DAN UMKM</v>
      </c>
      <c r="Y420" s="563" t="str">
        <f>'matrik MISI 1'!Y99</f>
        <v xml:space="preserve">Jumlah LKM berbadan Hukum dibagi jumlah total LKM </v>
      </c>
      <c r="Z420" s="563" t="str">
        <f>'matrik MISI 1'!Z99</f>
        <v>Meningkatnya LKM berbadan Hukum dan antisipasi UU No 1 tahun 2013 tentang LKM. Dimumgkinkan tidak semua menjadi LKM (kondisi 2013=371)</v>
      </c>
    </row>
    <row r="421" spans="1:454" ht="30">
      <c r="G421" s="563"/>
      <c r="H421" s="563" t="str">
        <f>'matrik MISI 1'!N100</f>
        <v>Besaran jumlah  UKM yang dibina</v>
      </c>
      <c r="I421" s="563" t="str">
        <f>'matrik MISI 1'!O100</f>
        <v>Kelompok</v>
      </c>
      <c r="J421" s="563">
        <f>'matrik MISI 1'!P100</f>
        <v>0</v>
      </c>
      <c r="K421" s="563">
        <f>'matrik MISI 1'!Q100</f>
        <v>63</v>
      </c>
      <c r="L421" s="563">
        <f>'matrik MISI 1'!R100</f>
        <v>132</v>
      </c>
      <c r="M421" s="604"/>
      <c r="N421" s="563">
        <f>'matrik MISI 1'!S100</f>
        <v>204</v>
      </c>
      <c r="O421" s="564"/>
      <c r="P421" s="563">
        <f>'matrik MISI 1'!T100</f>
        <v>281</v>
      </c>
      <c r="Q421" s="564"/>
      <c r="R421" s="563">
        <f>'matrik MISI 1'!U100</f>
        <v>364</v>
      </c>
      <c r="S421" s="564"/>
      <c r="T421" s="563">
        <f>'matrik MISI 1'!V100</f>
        <v>451</v>
      </c>
      <c r="U421" s="564"/>
      <c r="V421" s="563">
        <f>'matrik MISI 1'!W100</f>
        <v>451</v>
      </c>
      <c r="W421" s="564"/>
      <c r="X421" s="563" t="str">
        <f>'matrik MISI 1'!X100</f>
        <v>DISPERINDAGKOP DAN UMKM</v>
      </c>
      <c r="Y421" s="563" t="str">
        <f>'matrik MISI 1'!Y100</f>
        <v xml:space="preserve">Jumlah UKM yang dibina tahun ke n </v>
      </c>
      <c r="Z421" s="563" t="str">
        <f>'matrik MISI 1'!Z100</f>
        <v>Meningkatnya manajemen pengelolaan UMKM</v>
      </c>
    </row>
    <row r="422" spans="1:454" ht="30">
      <c r="G422" s="563"/>
      <c r="H422" s="563" t="str">
        <f>'matrik MISI 1'!N101</f>
        <v>Besaran jumlah akses permodalan bagi UKM</v>
      </c>
      <c r="I422" s="563" t="str">
        <f>'matrik MISI 1'!O101</f>
        <v>Kelompok</v>
      </c>
      <c r="J422" s="563">
        <f>'matrik MISI 1'!P101</f>
        <v>0</v>
      </c>
      <c r="K422" s="563">
        <f>'matrik MISI 1'!Q101</f>
        <v>132</v>
      </c>
      <c r="L422" s="563">
        <f>'matrik MISI 1'!R101</f>
        <v>152</v>
      </c>
      <c r="M422" s="604"/>
      <c r="N422" s="563">
        <f>'matrik MISI 1'!S101</f>
        <v>172</v>
      </c>
      <c r="O422" s="564"/>
      <c r="P422" s="563">
        <f>'matrik MISI 1'!T101</f>
        <v>192</v>
      </c>
      <c r="Q422" s="564"/>
      <c r="R422" s="563">
        <f>'matrik MISI 1'!U101</f>
        <v>212</v>
      </c>
      <c r="S422" s="564"/>
      <c r="T422" s="563">
        <f>'matrik MISI 1'!V101</f>
        <v>232</v>
      </c>
      <c r="U422" s="564"/>
      <c r="V422" s="563">
        <f>'matrik MISI 1'!W101</f>
        <v>232</v>
      </c>
      <c r="W422" s="564"/>
      <c r="X422" s="563" t="str">
        <f>'matrik MISI 1'!X101</f>
        <v>DISPERINDAGKOP DAN UMKM</v>
      </c>
      <c r="Y422" s="563" t="str">
        <f>'matrik MISI 1'!Y101</f>
        <v>Akumulasi Jumlah UKM yang mendapat fasilitasi kredit permodalan tahun ke n</v>
      </c>
      <c r="Z422" s="563" t="str">
        <f>'matrik MISI 1'!Z101</f>
        <v>Meningkatnya akses permodalan UMKM ke lembaga keuangan</v>
      </c>
    </row>
    <row r="423" spans="1:454" s="570" customFormat="1">
      <c r="A423" s="569"/>
      <c r="B423" s="571"/>
      <c r="C423" s="572"/>
      <c r="D423" s="573"/>
      <c r="E423" s="573"/>
      <c r="F423" s="573"/>
      <c r="G423" s="571"/>
      <c r="H423" s="571"/>
      <c r="I423" s="571"/>
      <c r="J423" s="580"/>
      <c r="K423" s="580"/>
      <c r="L423" s="580"/>
      <c r="M423" s="606"/>
      <c r="N423" s="580"/>
      <c r="O423" s="581"/>
      <c r="P423" s="580"/>
      <c r="Q423" s="581"/>
      <c r="R423" s="580"/>
      <c r="S423" s="581"/>
      <c r="T423" s="580"/>
      <c r="U423" s="581"/>
      <c r="V423" s="580"/>
      <c r="W423" s="581"/>
      <c r="X423" s="571"/>
      <c r="Y423" s="580"/>
      <c r="Z423" s="580"/>
      <c r="AA423" s="569"/>
      <c r="AB423" s="569"/>
      <c r="AC423" s="569"/>
      <c r="AD423" s="569"/>
      <c r="AE423" s="569"/>
      <c r="AF423" s="569"/>
      <c r="AG423" s="569"/>
      <c r="AH423" s="569"/>
      <c r="AI423" s="569"/>
      <c r="AJ423" s="569"/>
      <c r="AK423" s="569"/>
      <c r="AL423" s="569"/>
      <c r="AM423" s="569"/>
      <c r="AN423" s="569"/>
      <c r="AO423" s="569"/>
      <c r="AP423" s="569"/>
      <c r="AQ423" s="569"/>
      <c r="AR423" s="569"/>
      <c r="AS423" s="569"/>
      <c r="AT423" s="569"/>
      <c r="AU423" s="569"/>
      <c r="AV423" s="569"/>
      <c r="AW423" s="569"/>
      <c r="AX423" s="569"/>
      <c r="AY423" s="569"/>
      <c r="AZ423" s="569"/>
      <c r="BA423" s="569"/>
      <c r="BB423" s="569"/>
      <c r="BC423" s="569"/>
      <c r="BD423" s="569"/>
      <c r="BE423" s="569"/>
      <c r="BF423" s="569"/>
      <c r="BG423" s="569"/>
      <c r="BH423" s="569"/>
      <c r="BI423" s="569"/>
      <c r="BJ423" s="569"/>
      <c r="BK423" s="569"/>
      <c r="BL423" s="569"/>
      <c r="BM423" s="569"/>
      <c r="BN423" s="569"/>
      <c r="BO423" s="569"/>
      <c r="BP423" s="569"/>
      <c r="BQ423" s="569"/>
      <c r="BR423" s="569"/>
      <c r="BS423" s="569"/>
      <c r="BT423" s="569"/>
      <c r="BU423" s="569"/>
      <c r="BV423" s="569"/>
      <c r="BW423" s="569"/>
      <c r="BX423" s="569"/>
      <c r="BY423" s="569"/>
      <c r="BZ423" s="569"/>
      <c r="CA423" s="569"/>
      <c r="CB423" s="569"/>
      <c r="CC423" s="569"/>
      <c r="CD423" s="569"/>
      <c r="CE423" s="569"/>
      <c r="CF423" s="569"/>
      <c r="CG423" s="569"/>
      <c r="CH423" s="569"/>
      <c r="CI423" s="569"/>
      <c r="CJ423" s="569"/>
      <c r="CK423" s="569"/>
      <c r="CL423" s="569"/>
      <c r="CM423" s="569"/>
      <c r="CN423" s="569"/>
      <c r="CO423" s="569"/>
      <c r="CP423" s="569"/>
      <c r="CQ423" s="569"/>
      <c r="CR423" s="569"/>
      <c r="CS423" s="569"/>
      <c r="CT423" s="569"/>
      <c r="CU423" s="569"/>
      <c r="CV423" s="569"/>
      <c r="CW423" s="569"/>
      <c r="CX423" s="569"/>
      <c r="CY423" s="569"/>
      <c r="CZ423" s="569"/>
      <c r="DA423" s="569"/>
      <c r="DB423" s="569"/>
      <c r="DC423" s="569"/>
      <c r="DD423" s="569"/>
      <c r="DE423" s="569"/>
      <c r="DF423" s="569"/>
      <c r="DG423" s="569"/>
      <c r="DH423" s="569"/>
      <c r="DI423" s="569"/>
      <c r="DJ423" s="569"/>
      <c r="DK423" s="569"/>
      <c r="DL423" s="569"/>
      <c r="DM423" s="569"/>
      <c r="DN423" s="569"/>
      <c r="DO423" s="569"/>
      <c r="DP423" s="569"/>
      <c r="DQ423" s="569"/>
      <c r="DR423" s="569"/>
      <c r="DS423" s="569"/>
      <c r="DT423" s="569"/>
      <c r="DU423" s="569"/>
      <c r="DV423" s="569"/>
      <c r="DW423" s="569"/>
      <c r="DX423" s="569"/>
      <c r="DY423" s="569"/>
      <c r="DZ423" s="569"/>
      <c r="EA423" s="569"/>
      <c r="EB423" s="569"/>
      <c r="EC423" s="569"/>
      <c r="ED423" s="569"/>
      <c r="EE423" s="569"/>
      <c r="EF423" s="569"/>
      <c r="EG423" s="569"/>
      <c r="EH423" s="569"/>
      <c r="EI423" s="569"/>
      <c r="EJ423" s="569"/>
      <c r="EK423" s="569"/>
      <c r="EL423" s="569"/>
      <c r="EM423" s="569"/>
      <c r="EN423" s="569"/>
      <c r="EO423" s="569"/>
      <c r="EP423" s="569"/>
      <c r="EQ423" s="569"/>
      <c r="ER423" s="569"/>
      <c r="ES423" s="569"/>
      <c r="ET423" s="569"/>
      <c r="EU423" s="569"/>
      <c r="EV423" s="569"/>
      <c r="EW423" s="569"/>
      <c r="EX423" s="569"/>
      <c r="EY423" s="569"/>
      <c r="EZ423" s="569"/>
      <c r="FA423" s="569"/>
      <c r="FB423" s="569"/>
      <c r="FC423" s="569"/>
      <c r="FD423" s="569"/>
      <c r="FE423" s="569"/>
      <c r="FF423" s="569"/>
      <c r="FG423" s="569"/>
      <c r="FH423" s="569"/>
      <c r="FI423" s="569"/>
      <c r="FJ423" s="569"/>
      <c r="FK423" s="569"/>
      <c r="FL423" s="569"/>
      <c r="FM423" s="569"/>
      <c r="FN423" s="569"/>
      <c r="FO423" s="569"/>
      <c r="FP423" s="569"/>
      <c r="FQ423" s="569"/>
      <c r="FR423" s="569"/>
      <c r="FS423" s="569"/>
      <c r="FT423" s="569"/>
      <c r="FU423" s="569"/>
      <c r="FV423" s="569"/>
      <c r="FW423" s="569"/>
      <c r="FX423" s="569"/>
      <c r="FY423" s="569"/>
      <c r="FZ423" s="569"/>
      <c r="GA423" s="569"/>
      <c r="GB423" s="569"/>
      <c r="GC423" s="569"/>
      <c r="GD423" s="569"/>
      <c r="GE423" s="569"/>
      <c r="GF423" s="569"/>
      <c r="GG423" s="569"/>
      <c r="GH423" s="569"/>
      <c r="GI423" s="569"/>
      <c r="GJ423" s="569"/>
      <c r="GK423" s="569"/>
      <c r="GL423" s="569"/>
      <c r="GM423" s="569"/>
      <c r="GN423" s="569"/>
      <c r="GO423" s="569"/>
      <c r="GP423" s="569"/>
      <c r="GQ423" s="569"/>
      <c r="GR423" s="569"/>
      <c r="GS423" s="569"/>
      <c r="GT423" s="569"/>
      <c r="GU423" s="569"/>
      <c r="GV423" s="569"/>
      <c r="GW423" s="569"/>
      <c r="GX423" s="569"/>
      <c r="GY423" s="569"/>
      <c r="GZ423" s="569"/>
      <c r="HA423" s="569"/>
      <c r="HB423" s="569"/>
      <c r="HC423" s="569"/>
      <c r="HD423" s="569"/>
      <c r="HE423" s="569"/>
      <c r="HF423" s="569"/>
      <c r="HG423" s="569"/>
      <c r="HH423" s="569"/>
      <c r="HI423" s="569"/>
      <c r="HJ423" s="569"/>
      <c r="HK423" s="569"/>
      <c r="HL423" s="569"/>
      <c r="HM423" s="569"/>
      <c r="HN423" s="569"/>
      <c r="HO423" s="569"/>
      <c r="HP423" s="569"/>
      <c r="HQ423" s="569"/>
      <c r="HR423" s="569"/>
      <c r="HS423" s="569"/>
      <c r="HT423" s="569"/>
      <c r="HU423" s="569"/>
      <c r="HV423" s="569"/>
      <c r="HW423" s="569"/>
      <c r="HX423" s="569"/>
      <c r="HY423" s="569"/>
      <c r="HZ423" s="569"/>
      <c r="IA423" s="569"/>
      <c r="IB423" s="569"/>
      <c r="IC423" s="569"/>
      <c r="ID423" s="569"/>
      <c r="IE423" s="569"/>
      <c r="IF423" s="569"/>
      <c r="IG423" s="569"/>
      <c r="IH423" s="569"/>
      <c r="II423" s="569"/>
      <c r="IJ423" s="569"/>
      <c r="IK423" s="569"/>
      <c r="IL423" s="569"/>
      <c r="IM423" s="569"/>
      <c r="IN423" s="569"/>
      <c r="IO423" s="569"/>
      <c r="IP423" s="569"/>
      <c r="IQ423" s="569"/>
      <c r="IR423" s="569"/>
      <c r="IS423" s="569"/>
      <c r="IT423" s="569"/>
      <c r="IU423" s="569"/>
      <c r="IV423" s="569"/>
      <c r="IW423" s="569"/>
      <c r="IX423" s="569"/>
      <c r="IY423" s="569"/>
      <c r="IZ423" s="569"/>
      <c r="JA423" s="569"/>
      <c r="JB423" s="569"/>
      <c r="JC423" s="569"/>
      <c r="JD423" s="569"/>
      <c r="JE423" s="569"/>
      <c r="JF423" s="569"/>
      <c r="JG423" s="569"/>
      <c r="JH423" s="569"/>
      <c r="JI423" s="569"/>
      <c r="JJ423" s="569"/>
      <c r="JK423" s="569"/>
      <c r="JL423" s="569"/>
      <c r="JM423" s="569"/>
      <c r="JN423" s="569"/>
      <c r="JO423" s="569"/>
      <c r="JP423" s="569"/>
      <c r="JQ423" s="569"/>
      <c r="JR423" s="569"/>
      <c r="JS423" s="569"/>
      <c r="JT423" s="569"/>
      <c r="JU423" s="569"/>
      <c r="JV423" s="569"/>
      <c r="JW423" s="569"/>
      <c r="JX423" s="569"/>
      <c r="JY423" s="569"/>
      <c r="JZ423" s="569"/>
      <c r="KA423" s="569"/>
      <c r="KB423" s="569"/>
      <c r="KC423" s="569"/>
      <c r="KD423" s="569"/>
      <c r="KE423" s="569"/>
      <c r="KF423" s="569"/>
      <c r="KG423" s="569"/>
      <c r="KH423" s="569"/>
      <c r="KI423" s="569"/>
      <c r="KJ423" s="569"/>
      <c r="KK423" s="569"/>
      <c r="KL423" s="569"/>
      <c r="KM423" s="569"/>
      <c r="KN423" s="569"/>
      <c r="KO423" s="569"/>
      <c r="KP423" s="569"/>
      <c r="KQ423" s="569"/>
      <c r="KR423" s="569"/>
      <c r="KS423" s="569"/>
      <c r="KT423" s="569"/>
      <c r="KU423" s="569"/>
      <c r="KV423" s="569"/>
      <c r="KW423" s="569"/>
      <c r="KX423" s="569"/>
      <c r="KY423" s="569"/>
      <c r="KZ423" s="569"/>
      <c r="LA423" s="569"/>
      <c r="LB423" s="569"/>
      <c r="LC423" s="569"/>
      <c r="LD423" s="569"/>
      <c r="LE423" s="569"/>
      <c r="LF423" s="569"/>
      <c r="LG423" s="569"/>
      <c r="LH423" s="569"/>
      <c r="LI423" s="569"/>
      <c r="LJ423" s="569"/>
      <c r="LK423" s="569"/>
      <c r="LL423" s="569"/>
      <c r="LM423" s="569"/>
      <c r="LN423" s="569"/>
      <c r="LO423" s="569"/>
      <c r="LP423" s="569"/>
      <c r="LQ423" s="569"/>
      <c r="LR423" s="569"/>
      <c r="LS423" s="569"/>
      <c r="LT423" s="569"/>
      <c r="LU423" s="569"/>
      <c r="LV423" s="569"/>
      <c r="LW423" s="569"/>
      <c r="LX423" s="569"/>
      <c r="LY423" s="569"/>
      <c r="LZ423" s="569"/>
      <c r="MA423" s="569"/>
      <c r="MB423" s="569"/>
      <c r="MC423" s="569"/>
      <c r="MD423" s="569"/>
      <c r="ME423" s="569"/>
      <c r="MF423" s="569"/>
      <c r="MG423" s="569"/>
      <c r="MH423" s="569"/>
      <c r="MI423" s="569"/>
      <c r="MJ423" s="569"/>
      <c r="MK423" s="569"/>
      <c r="ML423" s="569"/>
      <c r="MM423" s="569"/>
      <c r="MN423" s="569"/>
      <c r="MO423" s="569"/>
      <c r="MP423" s="569"/>
      <c r="MQ423" s="569"/>
      <c r="MR423" s="569"/>
      <c r="MS423" s="569"/>
      <c r="MT423" s="569"/>
      <c r="MU423" s="569"/>
      <c r="MV423" s="569"/>
      <c r="MW423" s="569"/>
      <c r="MX423" s="569"/>
      <c r="MY423" s="569"/>
      <c r="MZ423" s="569"/>
      <c r="NA423" s="569"/>
      <c r="NB423" s="569"/>
      <c r="NC423" s="569"/>
      <c r="ND423" s="569"/>
      <c r="NE423" s="569"/>
      <c r="NF423" s="569"/>
      <c r="NG423" s="569"/>
      <c r="NH423" s="569"/>
      <c r="NI423" s="569"/>
      <c r="NJ423" s="569"/>
      <c r="NK423" s="569"/>
      <c r="NL423" s="569"/>
      <c r="NM423" s="569"/>
      <c r="NN423" s="569"/>
      <c r="NO423" s="569"/>
      <c r="NP423" s="569"/>
      <c r="NQ423" s="569"/>
      <c r="NR423" s="569"/>
      <c r="NS423" s="569"/>
      <c r="NT423" s="569"/>
      <c r="NU423" s="569"/>
      <c r="NV423" s="569"/>
      <c r="NW423" s="569"/>
      <c r="NX423" s="569"/>
      <c r="NY423" s="569"/>
      <c r="NZ423" s="569"/>
      <c r="OA423" s="569"/>
      <c r="OB423" s="569"/>
      <c r="OC423" s="569"/>
      <c r="OD423" s="569"/>
      <c r="OE423" s="569"/>
      <c r="OF423" s="569"/>
      <c r="OG423" s="569"/>
      <c r="OH423" s="569"/>
      <c r="OI423" s="569"/>
      <c r="OJ423" s="569"/>
      <c r="OK423" s="569"/>
      <c r="OL423" s="569"/>
      <c r="OM423" s="569"/>
      <c r="ON423" s="569"/>
      <c r="OO423" s="569"/>
      <c r="OP423" s="569"/>
      <c r="OQ423" s="569"/>
      <c r="OR423" s="569"/>
      <c r="OS423" s="569"/>
      <c r="OT423" s="569"/>
      <c r="OU423" s="569"/>
      <c r="OV423" s="569"/>
      <c r="OW423" s="569"/>
      <c r="OX423" s="569"/>
      <c r="OY423" s="569"/>
      <c r="OZ423" s="569"/>
      <c r="PA423" s="569"/>
      <c r="PB423" s="569"/>
      <c r="PC423" s="569"/>
      <c r="PD423" s="569"/>
      <c r="PE423" s="569"/>
      <c r="PF423" s="569"/>
      <c r="PG423" s="569"/>
      <c r="PH423" s="569"/>
      <c r="PI423" s="569"/>
      <c r="PJ423" s="569"/>
      <c r="PK423" s="569"/>
      <c r="PL423" s="569"/>
      <c r="PM423" s="569"/>
      <c r="PN423" s="569"/>
      <c r="PO423" s="569"/>
      <c r="PP423" s="569"/>
      <c r="PQ423" s="569"/>
      <c r="PR423" s="569"/>
      <c r="PS423" s="569"/>
      <c r="PT423" s="569"/>
      <c r="PU423" s="569"/>
      <c r="PV423" s="569"/>
      <c r="PW423" s="569"/>
      <c r="PX423" s="569"/>
      <c r="PY423" s="569"/>
      <c r="PZ423" s="569"/>
      <c r="QA423" s="569"/>
      <c r="QB423" s="569"/>
      <c r="QC423" s="569"/>
      <c r="QD423" s="569"/>
      <c r="QE423" s="569"/>
      <c r="QF423" s="569"/>
      <c r="QG423" s="569"/>
      <c r="QH423" s="569"/>
      <c r="QI423" s="569"/>
      <c r="QJ423" s="569"/>
      <c r="QK423" s="569"/>
      <c r="QL423" s="569"/>
    </row>
    <row r="424" spans="1:454" s="574" customFormat="1" ht="30">
      <c r="A424" s="569"/>
      <c r="B424" s="575">
        <v>16</v>
      </c>
      <c r="C424" s="576" t="str">
        <f>'matrik MISI 6'!B84</f>
        <v>PENANAMAN MODAL</v>
      </c>
      <c r="D424" s="577">
        <f>'matrik MISI 6'!J85</f>
        <v>1.1599999999999999</v>
      </c>
      <c r="E424" s="577" t="str">
        <f>'matrik MISI 6'!K85</f>
        <v>xx</v>
      </c>
      <c r="F424" s="577">
        <f>'matrik MISI 6'!L85</f>
        <v>15</v>
      </c>
      <c r="G424" s="577" t="str">
        <f>'matrik MISI 6'!M85</f>
        <v>Program Peningkatan Pelayanan Perizinan</v>
      </c>
      <c r="H424" s="575"/>
      <c r="I424" s="575"/>
      <c r="J424" s="596"/>
      <c r="K424" s="596"/>
      <c r="L424" s="596"/>
      <c r="M424" s="600">
        <f>'jangan di hapus 1'!K857</f>
        <v>135880000</v>
      </c>
      <c r="N424" s="600"/>
      <c r="O424" s="600">
        <f>'jangan di hapus 1'!M857</f>
        <v>300000000</v>
      </c>
      <c r="P424" s="600"/>
      <c r="Q424" s="600">
        <f>'jangan di hapus 1'!O857</f>
        <v>440000000</v>
      </c>
      <c r="R424" s="600"/>
      <c r="S424" s="600">
        <f>'jangan di hapus 1'!Q857</f>
        <v>440000000</v>
      </c>
      <c r="T424" s="600"/>
      <c r="U424" s="600">
        <f>'jangan di hapus 1'!S857</f>
        <v>440000000</v>
      </c>
      <c r="V424" s="596"/>
      <c r="W424" s="578">
        <f>SUM(M424:U424)</f>
        <v>1755880000</v>
      </c>
      <c r="X424" s="575"/>
      <c r="Y424" s="596"/>
      <c r="Z424" s="596"/>
      <c r="AA424" s="569"/>
      <c r="AB424" s="569"/>
      <c r="AC424" s="569"/>
      <c r="AD424" s="569"/>
      <c r="AE424" s="569"/>
      <c r="AF424" s="569"/>
      <c r="AG424" s="569"/>
      <c r="AH424" s="569"/>
      <c r="AI424" s="569"/>
      <c r="AJ424" s="569"/>
      <c r="AK424" s="569"/>
      <c r="AL424" s="569"/>
      <c r="AM424" s="569"/>
      <c r="AN424" s="569"/>
      <c r="AO424" s="569"/>
      <c r="AP424" s="569"/>
      <c r="AQ424" s="569"/>
      <c r="AR424" s="569"/>
      <c r="AS424" s="569"/>
      <c r="AT424" s="569"/>
      <c r="AU424" s="569"/>
      <c r="AV424" s="569"/>
      <c r="AW424" s="569"/>
      <c r="AX424" s="569"/>
      <c r="AY424" s="569"/>
      <c r="AZ424" s="569"/>
      <c r="BA424" s="569"/>
      <c r="BB424" s="569"/>
      <c r="BC424" s="569"/>
      <c r="BD424" s="569"/>
      <c r="BE424" s="569"/>
      <c r="BF424" s="569"/>
      <c r="BG424" s="569"/>
      <c r="BH424" s="569"/>
      <c r="BI424" s="569"/>
      <c r="BJ424" s="569"/>
      <c r="BK424" s="569"/>
      <c r="BL424" s="569"/>
      <c r="BM424" s="569"/>
      <c r="BN424" s="569"/>
      <c r="BO424" s="569"/>
      <c r="BP424" s="569"/>
      <c r="BQ424" s="569"/>
      <c r="BR424" s="569"/>
      <c r="BS424" s="569"/>
      <c r="BT424" s="569"/>
      <c r="BU424" s="569"/>
      <c r="BV424" s="569"/>
      <c r="BW424" s="569"/>
      <c r="BX424" s="569"/>
      <c r="BY424" s="569"/>
      <c r="BZ424" s="569"/>
      <c r="CA424" s="569"/>
      <c r="CB424" s="569"/>
      <c r="CC424" s="569"/>
      <c r="CD424" s="569"/>
      <c r="CE424" s="569"/>
      <c r="CF424" s="569"/>
      <c r="CG424" s="569"/>
      <c r="CH424" s="569"/>
      <c r="CI424" s="569"/>
      <c r="CJ424" s="569"/>
      <c r="CK424" s="569"/>
      <c r="CL424" s="569"/>
      <c r="CM424" s="569"/>
      <c r="CN424" s="569"/>
      <c r="CO424" s="569"/>
      <c r="CP424" s="569"/>
      <c r="CQ424" s="569"/>
      <c r="CR424" s="569"/>
      <c r="CS424" s="569"/>
      <c r="CT424" s="569"/>
      <c r="CU424" s="569"/>
      <c r="CV424" s="569"/>
      <c r="CW424" s="569"/>
      <c r="CX424" s="569"/>
      <c r="CY424" s="569"/>
      <c r="CZ424" s="569"/>
      <c r="DA424" s="569"/>
      <c r="DB424" s="569"/>
      <c r="DC424" s="569"/>
      <c r="DD424" s="569"/>
      <c r="DE424" s="569"/>
      <c r="DF424" s="569"/>
      <c r="DG424" s="569"/>
      <c r="DH424" s="569"/>
      <c r="DI424" s="569"/>
      <c r="DJ424" s="569"/>
      <c r="DK424" s="569"/>
      <c r="DL424" s="569"/>
      <c r="DM424" s="569"/>
      <c r="DN424" s="569"/>
      <c r="DO424" s="569"/>
      <c r="DP424" s="569"/>
      <c r="DQ424" s="569"/>
      <c r="DR424" s="569"/>
      <c r="DS424" s="569"/>
      <c r="DT424" s="569"/>
      <c r="DU424" s="569"/>
      <c r="DV424" s="569"/>
      <c r="DW424" s="569"/>
      <c r="DX424" s="569"/>
      <c r="DY424" s="569"/>
      <c r="DZ424" s="569"/>
      <c r="EA424" s="569"/>
      <c r="EB424" s="569"/>
      <c r="EC424" s="569"/>
      <c r="ED424" s="569"/>
      <c r="EE424" s="569"/>
      <c r="EF424" s="569"/>
      <c r="EG424" s="569"/>
      <c r="EH424" s="569"/>
      <c r="EI424" s="569"/>
      <c r="EJ424" s="569"/>
      <c r="EK424" s="569"/>
      <c r="EL424" s="569"/>
      <c r="EM424" s="569"/>
      <c r="EN424" s="569"/>
      <c r="EO424" s="569"/>
      <c r="EP424" s="569"/>
      <c r="EQ424" s="569"/>
      <c r="ER424" s="569"/>
      <c r="ES424" s="569"/>
      <c r="ET424" s="569"/>
      <c r="EU424" s="569"/>
      <c r="EV424" s="569"/>
      <c r="EW424" s="569"/>
      <c r="EX424" s="569"/>
      <c r="EY424" s="569"/>
      <c r="EZ424" s="569"/>
      <c r="FA424" s="569"/>
      <c r="FB424" s="569"/>
      <c r="FC424" s="569"/>
      <c r="FD424" s="569"/>
      <c r="FE424" s="569"/>
      <c r="FF424" s="569"/>
      <c r="FG424" s="569"/>
      <c r="FH424" s="569"/>
      <c r="FI424" s="569"/>
      <c r="FJ424" s="569"/>
      <c r="FK424" s="569"/>
      <c r="FL424" s="569"/>
      <c r="FM424" s="569"/>
      <c r="FN424" s="569"/>
      <c r="FO424" s="569"/>
      <c r="FP424" s="569"/>
      <c r="FQ424" s="569"/>
      <c r="FR424" s="569"/>
      <c r="FS424" s="569"/>
      <c r="FT424" s="569"/>
      <c r="FU424" s="569"/>
      <c r="FV424" s="569"/>
      <c r="FW424" s="569"/>
      <c r="FX424" s="569"/>
      <c r="FY424" s="569"/>
      <c r="FZ424" s="569"/>
      <c r="GA424" s="569"/>
      <c r="GB424" s="569"/>
      <c r="GC424" s="569"/>
      <c r="GD424" s="569"/>
      <c r="GE424" s="569"/>
      <c r="GF424" s="569"/>
      <c r="GG424" s="569"/>
      <c r="GH424" s="569"/>
      <c r="GI424" s="569"/>
      <c r="GJ424" s="569"/>
      <c r="GK424" s="569"/>
      <c r="GL424" s="569"/>
      <c r="GM424" s="569"/>
      <c r="GN424" s="569"/>
      <c r="GO424" s="569"/>
      <c r="GP424" s="569"/>
      <c r="GQ424" s="569"/>
      <c r="GR424" s="569"/>
      <c r="GS424" s="569"/>
      <c r="GT424" s="569"/>
      <c r="GU424" s="569"/>
      <c r="GV424" s="569"/>
      <c r="GW424" s="569"/>
      <c r="GX424" s="569"/>
      <c r="GY424" s="569"/>
      <c r="GZ424" s="569"/>
      <c r="HA424" s="569"/>
      <c r="HB424" s="569"/>
      <c r="HC424" s="569"/>
      <c r="HD424" s="569"/>
      <c r="HE424" s="569"/>
      <c r="HF424" s="569"/>
      <c r="HG424" s="569"/>
      <c r="HH424" s="569"/>
      <c r="HI424" s="569"/>
      <c r="HJ424" s="569"/>
      <c r="HK424" s="569"/>
      <c r="HL424" s="569"/>
      <c r="HM424" s="569"/>
      <c r="HN424" s="569"/>
      <c r="HO424" s="569"/>
      <c r="HP424" s="569"/>
      <c r="HQ424" s="569"/>
      <c r="HR424" s="569"/>
      <c r="HS424" s="569"/>
      <c r="HT424" s="569"/>
      <c r="HU424" s="569"/>
      <c r="HV424" s="569"/>
      <c r="HW424" s="569"/>
      <c r="HX424" s="569"/>
      <c r="HY424" s="569"/>
      <c r="HZ424" s="569"/>
      <c r="IA424" s="569"/>
      <c r="IB424" s="569"/>
      <c r="IC424" s="569"/>
      <c r="ID424" s="569"/>
      <c r="IE424" s="569"/>
      <c r="IF424" s="569"/>
      <c r="IG424" s="569"/>
      <c r="IH424" s="569"/>
      <c r="II424" s="569"/>
      <c r="IJ424" s="569"/>
      <c r="IK424" s="569"/>
      <c r="IL424" s="569"/>
      <c r="IM424" s="569"/>
      <c r="IN424" s="569"/>
      <c r="IO424" s="569"/>
      <c r="IP424" s="569"/>
      <c r="IQ424" s="569"/>
      <c r="IR424" s="569"/>
      <c r="IS424" s="569"/>
      <c r="IT424" s="569"/>
      <c r="IU424" s="569"/>
      <c r="IV424" s="569"/>
      <c r="IW424" s="569"/>
      <c r="IX424" s="569"/>
      <c r="IY424" s="569"/>
      <c r="IZ424" s="569"/>
      <c r="JA424" s="569"/>
      <c r="JB424" s="569"/>
      <c r="JC424" s="569"/>
      <c r="JD424" s="569"/>
      <c r="JE424" s="569"/>
      <c r="JF424" s="569"/>
      <c r="JG424" s="569"/>
      <c r="JH424" s="569"/>
      <c r="JI424" s="569"/>
      <c r="JJ424" s="569"/>
      <c r="JK424" s="569"/>
      <c r="JL424" s="569"/>
      <c r="JM424" s="569"/>
      <c r="JN424" s="569"/>
      <c r="JO424" s="569"/>
      <c r="JP424" s="569"/>
      <c r="JQ424" s="569"/>
      <c r="JR424" s="569"/>
      <c r="JS424" s="569"/>
      <c r="JT424" s="569"/>
      <c r="JU424" s="569"/>
      <c r="JV424" s="569"/>
      <c r="JW424" s="569"/>
      <c r="JX424" s="569"/>
      <c r="JY424" s="569"/>
      <c r="JZ424" s="569"/>
      <c r="KA424" s="569"/>
      <c r="KB424" s="569"/>
      <c r="KC424" s="569"/>
      <c r="KD424" s="569"/>
      <c r="KE424" s="569"/>
      <c r="KF424" s="569"/>
      <c r="KG424" s="569"/>
      <c r="KH424" s="569"/>
      <c r="KI424" s="569"/>
      <c r="KJ424" s="569"/>
      <c r="KK424" s="569"/>
      <c r="KL424" s="569"/>
      <c r="KM424" s="569"/>
      <c r="KN424" s="569"/>
      <c r="KO424" s="569"/>
      <c r="KP424" s="569"/>
      <c r="KQ424" s="569"/>
      <c r="KR424" s="569"/>
      <c r="KS424" s="569"/>
      <c r="KT424" s="569"/>
      <c r="KU424" s="569"/>
      <c r="KV424" s="569"/>
      <c r="KW424" s="569"/>
      <c r="KX424" s="569"/>
      <c r="KY424" s="569"/>
      <c r="KZ424" s="569"/>
      <c r="LA424" s="569"/>
      <c r="LB424" s="569"/>
      <c r="LC424" s="569"/>
      <c r="LD424" s="569"/>
      <c r="LE424" s="569"/>
      <c r="LF424" s="569"/>
      <c r="LG424" s="569"/>
      <c r="LH424" s="569"/>
      <c r="LI424" s="569"/>
      <c r="LJ424" s="569"/>
      <c r="LK424" s="569"/>
      <c r="LL424" s="569"/>
      <c r="LM424" s="569"/>
      <c r="LN424" s="569"/>
      <c r="LO424" s="569"/>
      <c r="LP424" s="569"/>
      <c r="LQ424" s="569"/>
      <c r="LR424" s="569"/>
      <c r="LS424" s="569"/>
      <c r="LT424" s="569"/>
      <c r="LU424" s="569"/>
      <c r="LV424" s="569"/>
      <c r="LW424" s="569"/>
      <c r="LX424" s="569"/>
      <c r="LY424" s="569"/>
      <c r="LZ424" s="569"/>
      <c r="MA424" s="569"/>
      <c r="MB424" s="569"/>
      <c r="MC424" s="569"/>
      <c r="MD424" s="569"/>
      <c r="ME424" s="569"/>
      <c r="MF424" s="569"/>
      <c r="MG424" s="569"/>
      <c r="MH424" s="569"/>
      <c r="MI424" s="569"/>
      <c r="MJ424" s="569"/>
      <c r="MK424" s="569"/>
      <c r="ML424" s="569"/>
      <c r="MM424" s="569"/>
      <c r="MN424" s="569"/>
      <c r="MO424" s="569"/>
      <c r="MP424" s="569"/>
      <c r="MQ424" s="569"/>
      <c r="MR424" s="569"/>
      <c r="MS424" s="569"/>
      <c r="MT424" s="569"/>
      <c r="MU424" s="569"/>
      <c r="MV424" s="569"/>
      <c r="MW424" s="569"/>
      <c r="MX424" s="569"/>
      <c r="MY424" s="569"/>
      <c r="MZ424" s="569"/>
      <c r="NA424" s="569"/>
      <c r="NB424" s="569"/>
      <c r="NC424" s="569"/>
      <c r="ND424" s="569"/>
      <c r="NE424" s="569"/>
      <c r="NF424" s="569"/>
      <c r="NG424" s="569"/>
      <c r="NH424" s="569"/>
      <c r="NI424" s="569"/>
      <c r="NJ424" s="569"/>
      <c r="NK424" s="569"/>
      <c r="NL424" s="569"/>
      <c r="NM424" s="569"/>
      <c r="NN424" s="569"/>
      <c r="NO424" s="569"/>
      <c r="NP424" s="569"/>
      <c r="NQ424" s="569"/>
      <c r="NR424" s="569"/>
      <c r="NS424" s="569"/>
      <c r="NT424" s="569"/>
      <c r="NU424" s="569"/>
      <c r="NV424" s="569"/>
      <c r="NW424" s="569"/>
      <c r="NX424" s="569"/>
      <c r="NY424" s="569"/>
      <c r="NZ424" s="569"/>
      <c r="OA424" s="569"/>
      <c r="OB424" s="569"/>
      <c r="OC424" s="569"/>
      <c r="OD424" s="569"/>
      <c r="OE424" s="569"/>
      <c r="OF424" s="569"/>
      <c r="OG424" s="569"/>
      <c r="OH424" s="569"/>
      <c r="OI424" s="569"/>
      <c r="OJ424" s="569"/>
      <c r="OK424" s="569"/>
      <c r="OL424" s="569"/>
      <c r="OM424" s="569"/>
      <c r="ON424" s="569"/>
      <c r="OO424" s="569"/>
      <c r="OP424" s="569"/>
      <c r="OQ424" s="569"/>
      <c r="OR424" s="569"/>
      <c r="OS424" s="569"/>
      <c r="OT424" s="569"/>
      <c r="OU424" s="569"/>
      <c r="OV424" s="569"/>
      <c r="OW424" s="569"/>
      <c r="OX424" s="569"/>
      <c r="OY424" s="569"/>
      <c r="OZ424" s="569"/>
      <c r="PA424" s="569"/>
      <c r="PB424" s="569"/>
      <c r="PC424" s="569"/>
      <c r="PD424" s="569"/>
      <c r="PE424" s="569"/>
      <c r="PF424" s="569"/>
      <c r="PG424" s="569"/>
      <c r="PH424" s="569"/>
      <c r="PI424" s="569"/>
      <c r="PJ424" s="569"/>
      <c r="PK424" s="569"/>
      <c r="PL424" s="569"/>
      <c r="PM424" s="569"/>
      <c r="PN424" s="569"/>
      <c r="PO424" s="569"/>
      <c r="PP424" s="569"/>
      <c r="PQ424" s="569"/>
      <c r="PR424" s="569"/>
      <c r="PS424" s="569"/>
      <c r="PT424" s="569"/>
      <c r="PU424" s="569"/>
      <c r="PV424" s="569"/>
      <c r="PW424" s="569"/>
      <c r="PX424" s="569"/>
      <c r="PY424" s="569"/>
      <c r="PZ424" s="569"/>
      <c r="QA424" s="569"/>
      <c r="QB424" s="569"/>
      <c r="QC424" s="569"/>
      <c r="QD424" s="569"/>
      <c r="QE424" s="569"/>
      <c r="QF424" s="569"/>
      <c r="QG424" s="569"/>
      <c r="QH424" s="569"/>
      <c r="QI424" s="569"/>
      <c r="QJ424" s="569"/>
      <c r="QK424" s="569"/>
      <c r="QL424" s="569"/>
    </row>
    <row r="425" spans="1:454" ht="60">
      <c r="B425" s="568"/>
      <c r="C425" s="568"/>
      <c r="D425" s="568"/>
      <c r="E425" s="568"/>
      <c r="F425" s="568"/>
      <c r="G425" s="568"/>
      <c r="H425" s="563" t="str">
        <f>'matrik MISI 6'!N85</f>
        <v>Cakupan Jenis Perizinan yang Memiliki Standar Pelayanan Publik atau Standar Operasional Prosedur</v>
      </c>
      <c r="I425" s="563" t="str">
        <f>'matrik MISI 6'!O85</f>
        <v>%</v>
      </c>
      <c r="J425" s="563">
        <f>'matrik MISI 6'!P85</f>
        <v>0</v>
      </c>
      <c r="K425" s="563">
        <f>'matrik MISI 6'!Q85</f>
        <v>25</v>
      </c>
      <c r="L425" s="563">
        <f>'matrik MISI 6'!R85</f>
        <v>75</v>
      </c>
      <c r="M425" s="604"/>
      <c r="N425" s="563">
        <f>'matrik MISI 6'!S85</f>
        <v>100</v>
      </c>
      <c r="O425" s="564"/>
      <c r="P425" s="563">
        <f>'matrik MISI 6'!T85</f>
        <v>100</v>
      </c>
      <c r="Q425" s="564"/>
      <c r="R425" s="563">
        <f>'matrik MISI 6'!U85</f>
        <v>100</v>
      </c>
      <c r="S425" s="564"/>
      <c r="T425" s="563">
        <f>'matrik MISI 6'!V85</f>
        <v>100</v>
      </c>
      <c r="U425" s="564"/>
      <c r="V425" s="563">
        <f>'matrik MISI 6'!W85</f>
        <v>100</v>
      </c>
      <c r="W425" s="564"/>
      <c r="X425" s="563" t="str">
        <f>'matrik MISI 6'!X85</f>
        <v>KP3M</v>
      </c>
      <c r="Y425" s="563" t="str">
        <f>'matrik MISI 6'!Y85</f>
        <v>Jumlah izin yang memiliki SPP/SOP dibagi dengan jenis izin yang ada</v>
      </c>
      <c r="Z425" s="563">
        <f>'matrik MISI 6'!Z85</f>
        <v>0</v>
      </c>
    </row>
    <row r="426" spans="1:454" ht="30">
      <c r="G426" s="563"/>
      <c r="H426" s="563" t="str">
        <f>'matrik MISI 6'!N86</f>
        <v>Persentase perizinan  yang diterbitkan Tepat Waktu</v>
      </c>
      <c r="I426" s="563" t="str">
        <f>'matrik MISI 6'!O86</f>
        <v>%</v>
      </c>
      <c r="J426" s="563">
        <f>'matrik MISI 6'!P86</f>
        <v>95</v>
      </c>
      <c r="K426" s="563">
        <f>'matrik MISI 6'!Q86</f>
        <v>95</v>
      </c>
      <c r="L426" s="563">
        <f>'matrik MISI 6'!R86</f>
        <v>95</v>
      </c>
      <c r="M426" s="604"/>
      <c r="N426" s="563">
        <f>'matrik MISI 6'!S86</f>
        <v>95</v>
      </c>
      <c r="O426" s="564"/>
      <c r="P426" s="563">
        <f>'matrik MISI 6'!T86</f>
        <v>95</v>
      </c>
      <c r="Q426" s="564"/>
      <c r="R426" s="563">
        <f>'matrik MISI 6'!U86</f>
        <v>95</v>
      </c>
      <c r="S426" s="564"/>
      <c r="T426" s="563">
        <f>'matrik MISI 6'!V86</f>
        <v>95</v>
      </c>
      <c r="U426" s="564"/>
      <c r="V426" s="563">
        <f>'matrik MISI 6'!W86</f>
        <v>95</v>
      </c>
      <c r="W426" s="564"/>
      <c r="X426" s="563" t="str">
        <f>'matrik MISI 6'!X86</f>
        <v>KP3M</v>
      </c>
      <c r="Y426" s="563" t="str">
        <f>'matrik MISI 6'!Y86</f>
        <v>Jumlah izin yang diterbitkan tepat waktu dibagi dengan jumlah permohonan izin kali 100</v>
      </c>
      <c r="Z426" s="563">
        <f>'matrik MISI 6'!Z86</f>
        <v>0</v>
      </c>
    </row>
    <row r="427" spans="1:454" ht="30">
      <c r="G427" s="563"/>
      <c r="H427" s="563" t="str">
        <f>'matrik MISI 6'!N87</f>
        <v>Persentase Penanganan Pengaduan Masyarakat</v>
      </c>
      <c r="I427" s="563" t="str">
        <f>'matrik MISI 6'!O87</f>
        <v>%</v>
      </c>
      <c r="J427" s="563">
        <f>'matrik MISI 6'!P87</f>
        <v>100</v>
      </c>
      <c r="K427" s="563">
        <f>'matrik MISI 6'!Q87</f>
        <v>100</v>
      </c>
      <c r="L427" s="563">
        <f>'matrik MISI 6'!R87</f>
        <v>100</v>
      </c>
      <c r="M427" s="604"/>
      <c r="N427" s="563">
        <f>'matrik MISI 6'!S87</f>
        <v>100</v>
      </c>
      <c r="O427" s="564"/>
      <c r="P427" s="563">
        <f>'matrik MISI 6'!T87</f>
        <v>100</v>
      </c>
      <c r="Q427" s="564"/>
      <c r="R427" s="563">
        <f>'matrik MISI 6'!U87</f>
        <v>100</v>
      </c>
      <c r="S427" s="564"/>
      <c r="T427" s="563">
        <f>'matrik MISI 6'!V87</f>
        <v>100</v>
      </c>
      <c r="U427" s="564"/>
      <c r="V427" s="563">
        <f>'matrik MISI 6'!W87</f>
        <v>100</v>
      </c>
      <c r="W427" s="564"/>
      <c r="X427" s="563" t="str">
        <f>'matrik MISI 6'!X87</f>
        <v>KP3M</v>
      </c>
      <c r="Y427" s="563" t="str">
        <f>'matrik MISI 6'!Y87</f>
        <v xml:space="preserve">jumlah pengaduan masyarakat yang ditangani dibagi dengan jumlah pengaduan masyarakat dikalikan 100 </v>
      </c>
      <c r="Z427" s="563">
        <f>'matrik MISI 6'!Z87</f>
        <v>0</v>
      </c>
    </row>
    <row r="428" spans="1:454" ht="60">
      <c r="G428" s="563"/>
      <c r="H428" s="563" t="str">
        <f>'matrik MISI 6'!N88</f>
        <v>Penerbitan Izin Usaha Jasa Konstruksi dalam Waktu 6 (Enam) Hari Kerja setelah Persyaratan Lengkap</v>
      </c>
      <c r="I428" s="563" t="str">
        <f>'matrik MISI 6'!O88</f>
        <v>Hari</v>
      </c>
      <c r="J428" s="563">
        <f>'matrik MISI 6'!P88</f>
        <v>12</v>
      </c>
      <c r="K428" s="563">
        <f>'matrik MISI 6'!Q88</f>
        <v>11</v>
      </c>
      <c r="L428" s="563">
        <f>'matrik MISI 6'!R88</f>
        <v>10</v>
      </c>
      <c r="M428" s="604"/>
      <c r="N428" s="563">
        <f>'matrik MISI 6'!S88</f>
        <v>9</v>
      </c>
      <c r="O428" s="564"/>
      <c r="P428" s="563">
        <f>'matrik MISI 6'!T88</f>
        <v>8</v>
      </c>
      <c r="Q428" s="564"/>
      <c r="R428" s="563">
        <f>'matrik MISI 6'!U88</f>
        <v>7</v>
      </c>
      <c r="S428" s="564"/>
      <c r="T428" s="563">
        <f>'matrik MISI 6'!V88</f>
        <v>6</v>
      </c>
      <c r="U428" s="564"/>
      <c r="V428" s="563">
        <f>'matrik MISI 6'!W88</f>
        <v>6</v>
      </c>
      <c r="W428" s="564"/>
      <c r="X428" s="563" t="str">
        <f>'matrik MISI 6'!X88</f>
        <v>KP3M</v>
      </c>
      <c r="Y428" s="563" t="str">
        <f>'matrik MISI 6'!Y88</f>
        <v>Izin Usaha Jasa Konstruksi diterbitkan dalam Waktu 6 (Enam) Hari Kerja setelah Persyaratan Lengkap</v>
      </c>
      <c r="Z428" s="563">
        <f>'matrik MISI 6'!Z88</f>
        <v>0</v>
      </c>
    </row>
    <row r="429" spans="1:454" ht="75">
      <c r="D429" s="568"/>
      <c r="E429" s="568"/>
      <c r="F429" s="568"/>
      <c r="G429" s="568"/>
      <c r="H429" s="563" t="str">
        <f>'matrik MISI 6'!N97</f>
        <v>Besaran pelayanan perizinan dan non perizinan bidang penanaman modal melalui pelayanan terpadu satu pintu di bidang penanaman modal</v>
      </c>
      <c r="I429" s="563" t="str">
        <f>'matrik MISI 6'!O97</f>
        <v>unit</v>
      </c>
      <c r="J429" s="563">
        <f>'matrik MISI 6'!P97</f>
        <v>17</v>
      </c>
      <c r="K429" s="563">
        <f>'matrik MISI 6'!Q97</f>
        <v>32</v>
      </c>
      <c r="L429" s="563">
        <f>'matrik MISI 6'!R97</f>
        <v>32</v>
      </c>
      <c r="M429" s="604"/>
      <c r="N429" s="563">
        <f>'matrik MISI 6'!S97</f>
        <v>32</v>
      </c>
      <c r="O429" s="564"/>
      <c r="P429" s="563">
        <f>'matrik MISI 6'!T97</f>
        <v>32</v>
      </c>
      <c r="Q429" s="564"/>
      <c r="R429" s="563">
        <f>'matrik MISI 6'!U97</f>
        <v>32</v>
      </c>
      <c r="S429" s="564"/>
      <c r="T429" s="563">
        <f>'matrik MISI 6'!V97</f>
        <v>32</v>
      </c>
      <c r="U429" s="564"/>
      <c r="V429" s="563">
        <f>'matrik MISI 6'!W97</f>
        <v>32</v>
      </c>
      <c r="W429" s="564"/>
      <c r="X429" s="563" t="str">
        <f>'matrik MISI 6'!X97</f>
        <v>KP3M</v>
      </c>
      <c r="Y429" s="563" t="str">
        <f>'matrik MISI 6'!Y97</f>
        <v>Jumlah jenis perizinan dan non perizinan yang dapat dilayani pelayanan terpadu satu pintu perangkat daerah kabupaten bidang penanaman modal dibagi enam</v>
      </c>
      <c r="Z429" s="563"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30" spans="1:454" ht="75">
      <c r="G430" s="563"/>
      <c r="H430" s="563" t="str">
        <f>'matrik MISI 6'!N98</f>
        <v>Besaran implementasi Sistem Pelayanan Informasi dan Perizinan Informasi secara Elektronik</v>
      </c>
      <c r="I430" s="563" t="str">
        <f>'matrik MISI 6'!O98</f>
        <v>%</v>
      </c>
      <c r="J430" s="563">
        <f>'matrik MISI 6'!P98</f>
        <v>0</v>
      </c>
      <c r="K430" s="563">
        <f>'matrik MISI 6'!Q98</f>
        <v>0</v>
      </c>
      <c r="L430" s="563">
        <f>'matrik MISI 6'!R98</f>
        <v>100</v>
      </c>
      <c r="M430" s="604"/>
      <c r="N430" s="563">
        <f>'matrik MISI 6'!S98</f>
        <v>100</v>
      </c>
      <c r="O430" s="564"/>
      <c r="P430" s="563">
        <f>'matrik MISI 6'!T98</f>
        <v>100</v>
      </c>
      <c r="Q430" s="564"/>
      <c r="R430" s="563">
        <f>'matrik MISI 6'!U98</f>
        <v>100</v>
      </c>
      <c r="S430" s="564"/>
      <c r="T430" s="563">
        <f>'matrik MISI 6'!V98</f>
        <v>100</v>
      </c>
      <c r="U430" s="564"/>
      <c r="V430" s="563">
        <f>'matrik MISI 6'!W98</f>
        <v>100</v>
      </c>
      <c r="W430" s="564"/>
      <c r="X430" s="563" t="str">
        <f>'matrik MISI 6'!X98</f>
        <v>KP3M</v>
      </c>
      <c r="Y430" s="563" t="str">
        <f>'matrik MISI 6'!Y98</f>
        <v>Jumlah jenis pelayanan yang dilayani menggunakan SPIPISE di bagi empat kali seratus</v>
      </c>
      <c r="Z430" s="563"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31" spans="1:454" s="574" customFormat="1" ht="45">
      <c r="A431" s="569"/>
      <c r="B431" s="575"/>
      <c r="C431" s="576"/>
      <c r="D431" s="577">
        <f>'matrik MISI 6'!J90</f>
        <v>1.1599999999999999</v>
      </c>
      <c r="E431" s="577" t="str">
        <f>'matrik MISI 6'!K90</f>
        <v>xx</v>
      </c>
      <c r="F431" s="577">
        <f>'matrik MISI 6'!L90</f>
        <v>16</v>
      </c>
      <c r="G431" s="577" t="str">
        <f>'matrik MISI 6'!M90</f>
        <v>Program Peningkatan Iklim Investasi dan Realisasi Investasi</v>
      </c>
      <c r="H431" s="577"/>
      <c r="I431" s="577"/>
      <c r="J431" s="577"/>
      <c r="K431" s="577"/>
      <c r="L431" s="577"/>
      <c r="M431" s="578">
        <f>'jangan di hapus 1'!K864</f>
        <v>307735000</v>
      </c>
      <c r="N431" s="578"/>
      <c r="O431" s="578">
        <f>'jangan di hapus 1'!M864</f>
        <v>757212500</v>
      </c>
      <c r="P431" s="578"/>
      <c r="Q431" s="578">
        <f>'jangan di hapus 1'!O864</f>
        <v>939860000</v>
      </c>
      <c r="R431" s="578"/>
      <c r="S431" s="578">
        <f>'jangan di hapus 1'!Q864</f>
        <v>740000000</v>
      </c>
      <c r="T431" s="578"/>
      <c r="U431" s="578">
        <f>'jangan di hapus 1'!S864</f>
        <v>895000000</v>
      </c>
      <c r="V431" s="577"/>
      <c r="W431" s="578">
        <f>SUM(M431:U431)</f>
        <v>3639807500</v>
      </c>
      <c r="X431" s="577"/>
      <c r="Y431" s="577"/>
      <c r="Z431" s="577"/>
      <c r="AA431" s="569"/>
      <c r="AB431" s="569"/>
      <c r="AC431" s="569"/>
      <c r="AD431" s="569"/>
      <c r="AE431" s="569"/>
      <c r="AF431" s="569"/>
      <c r="AG431" s="569"/>
      <c r="AH431" s="569"/>
      <c r="AI431" s="569"/>
      <c r="AJ431" s="569"/>
      <c r="AK431" s="569"/>
      <c r="AL431" s="569"/>
      <c r="AM431" s="569"/>
      <c r="AN431" s="569"/>
      <c r="AO431" s="569"/>
      <c r="AP431" s="569"/>
      <c r="AQ431" s="569"/>
      <c r="AR431" s="569"/>
      <c r="AS431" s="569"/>
      <c r="AT431" s="569"/>
      <c r="AU431" s="569"/>
      <c r="AV431" s="569"/>
      <c r="AW431" s="569"/>
      <c r="AX431" s="569"/>
      <c r="AY431" s="569"/>
      <c r="AZ431" s="569"/>
      <c r="BA431" s="569"/>
      <c r="BB431" s="569"/>
      <c r="BC431" s="569"/>
      <c r="BD431" s="569"/>
      <c r="BE431" s="569"/>
      <c r="BF431" s="569"/>
      <c r="BG431" s="569"/>
      <c r="BH431" s="569"/>
      <c r="BI431" s="569"/>
      <c r="BJ431" s="569"/>
      <c r="BK431" s="569"/>
      <c r="BL431" s="569"/>
      <c r="BM431" s="569"/>
      <c r="BN431" s="569"/>
      <c r="BO431" s="569"/>
      <c r="BP431" s="569"/>
      <c r="BQ431" s="569"/>
      <c r="BR431" s="569"/>
      <c r="BS431" s="569"/>
      <c r="BT431" s="569"/>
      <c r="BU431" s="569"/>
      <c r="BV431" s="569"/>
      <c r="BW431" s="569"/>
      <c r="BX431" s="569"/>
      <c r="BY431" s="569"/>
      <c r="BZ431" s="569"/>
      <c r="CA431" s="569"/>
      <c r="CB431" s="569"/>
      <c r="CC431" s="569"/>
      <c r="CD431" s="569"/>
      <c r="CE431" s="569"/>
      <c r="CF431" s="569"/>
      <c r="CG431" s="569"/>
      <c r="CH431" s="569"/>
      <c r="CI431" s="569"/>
      <c r="CJ431" s="569"/>
      <c r="CK431" s="569"/>
      <c r="CL431" s="569"/>
      <c r="CM431" s="569"/>
      <c r="CN431" s="569"/>
      <c r="CO431" s="569"/>
      <c r="CP431" s="569"/>
      <c r="CQ431" s="569"/>
      <c r="CR431" s="569"/>
      <c r="CS431" s="569"/>
      <c r="CT431" s="569"/>
      <c r="CU431" s="569"/>
      <c r="CV431" s="569"/>
      <c r="CW431" s="569"/>
      <c r="CX431" s="569"/>
      <c r="CY431" s="569"/>
      <c r="CZ431" s="569"/>
      <c r="DA431" s="569"/>
      <c r="DB431" s="569"/>
      <c r="DC431" s="569"/>
      <c r="DD431" s="569"/>
      <c r="DE431" s="569"/>
      <c r="DF431" s="569"/>
      <c r="DG431" s="569"/>
      <c r="DH431" s="569"/>
      <c r="DI431" s="569"/>
      <c r="DJ431" s="569"/>
      <c r="DK431" s="569"/>
      <c r="DL431" s="569"/>
      <c r="DM431" s="569"/>
      <c r="DN431" s="569"/>
      <c r="DO431" s="569"/>
      <c r="DP431" s="569"/>
      <c r="DQ431" s="569"/>
      <c r="DR431" s="569"/>
      <c r="DS431" s="569"/>
      <c r="DT431" s="569"/>
      <c r="DU431" s="569"/>
      <c r="DV431" s="569"/>
      <c r="DW431" s="569"/>
      <c r="DX431" s="569"/>
      <c r="DY431" s="569"/>
      <c r="DZ431" s="569"/>
      <c r="EA431" s="569"/>
      <c r="EB431" s="569"/>
      <c r="EC431" s="569"/>
      <c r="ED431" s="569"/>
      <c r="EE431" s="569"/>
      <c r="EF431" s="569"/>
      <c r="EG431" s="569"/>
      <c r="EH431" s="569"/>
      <c r="EI431" s="569"/>
      <c r="EJ431" s="569"/>
      <c r="EK431" s="569"/>
      <c r="EL431" s="569"/>
      <c r="EM431" s="569"/>
      <c r="EN431" s="569"/>
      <c r="EO431" s="569"/>
      <c r="EP431" s="569"/>
      <c r="EQ431" s="569"/>
      <c r="ER431" s="569"/>
      <c r="ES431" s="569"/>
      <c r="ET431" s="569"/>
      <c r="EU431" s="569"/>
      <c r="EV431" s="569"/>
      <c r="EW431" s="569"/>
      <c r="EX431" s="569"/>
      <c r="EY431" s="569"/>
      <c r="EZ431" s="569"/>
      <c r="FA431" s="569"/>
      <c r="FB431" s="569"/>
      <c r="FC431" s="569"/>
      <c r="FD431" s="569"/>
      <c r="FE431" s="569"/>
      <c r="FF431" s="569"/>
      <c r="FG431" s="569"/>
      <c r="FH431" s="569"/>
      <c r="FI431" s="569"/>
      <c r="FJ431" s="569"/>
      <c r="FK431" s="569"/>
      <c r="FL431" s="569"/>
      <c r="FM431" s="569"/>
      <c r="FN431" s="569"/>
      <c r="FO431" s="569"/>
      <c r="FP431" s="569"/>
      <c r="FQ431" s="569"/>
      <c r="FR431" s="569"/>
      <c r="FS431" s="569"/>
      <c r="FT431" s="569"/>
      <c r="FU431" s="569"/>
      <c r="FV431" s="569"/>
      <c r="FW431" s="569"/>
      <c r="FX431" s="569"/>
      <c r="FY431" s="569"/>
      <c r="FZ431" s="569"/>
      <c r="GA431" s="569"/>
      <c r="GB431" s="569"/>
      <c r="GC431" s="569"/>
      <c r="GD431" s="569"/>
      <c r="GE431" s="569"/>
      <c r="GF431" s="569"/>
      <c r="GG431" s="569"/>
      <c r="GH431" s="569"/>
      <c r="GI431" s="569"/>
      <c r="GJ431" s="569"/>
      <c r="GK431" s="569"/>
      <c r="GL431" s="569"/>
      <c r="GM431" s="569"/>
      <c r="GN431" s="569"/>
      <c r="GO431" s="569"/>
      <c r="GP431" s="569"/>
      <c r="GQ431" s="569"/>
      <c r="GR431" s="569"/>
      <c r="GS431" s="569"/>
      <c r="GT431" s="569"/>
      <c r="GU431" s="569"/>
      <c r="GV431" s="569"/>
      <c r="GW431" s="569"/>
      <c r="GX431" s="569"/>
      <c r="GY431" s="569"/>
      <c r="GZ431" s="569"/>
      <c r="HA431" s="569"/>
      <c r="HB431" s="569"/>
      <c r="HC431" s="569"/>
      <c r="HD431" s="569"/>
      <c r="HE431" s="569"/>
      <c r="HF431" s="569"/>
      <c r="HG431" s="569"/>
      <c r="HH431" s="569"/>
      <c r="HI431" s="569"/>
      <c r="HJ431" s="569"/>
      <c r="HK431" s="569"/>
      <c r="HL431" s="569"/>
      <c r="HM431" s="569"/>
      <c r="HN431" s="569"/>
      <c r="HO431" s="569"/>
      <c r="HP431" s="569"/>
      <c r="HQ431" s="569"/>
      <c r="HR431" s="569"/>
      <c r="HS431" s="569"/>
      <c r="HT431" s="569"/>
      <c r="HU431" s="569"/>
      <c r="HV431" s="569"/>
      <c r="HW431" s="569"/>
      <c r="HX431" s="569"/>
      <c r="HY431" s="569"/>
      <c r="HZ431" s="569"/>
      <c r="IA431" s="569"/>
      <c r="IB431" s="569"/>
      <c r="IC431" s="569"/>
      <c r="ID431" s="569"/>
      <c r="IE431" s="569"/>
      <c r="IF431" s="569"/>
      <c r="IG431" s="569"/>
      <c r="IH431" s="569"/>
      <c r="II431" s="569"/>
      <c r="IJ431" s="569"/>
      <c r="IK431" s="569"/>
      <c r="IL431" s="569"/>
      <c r="IM431" s="569"/>
      <c r="IN431" s="569"/>
      <c r="IO431" s="569"/>
      <c r="IP431" s="569"/>
      <c r="IQ431" s="569"/>
      <c r="IR431" s="569"/>
      <c r="IS431" s="569"/>
      <c r="IT431" s="569"/>
      <c r="IU431" s="569"/>
      <c r="IV431" s="569"/>
      <c r="IW431" s="569"/>
      <c r="IX431" s="569"/>
      <c r="IY431" s="569"/>
      <c r="IZ431" s="569"/>
      <c r="JA431" s="569"/>
      <c r="JB431" s="569"/>
      <c r="JC431" s="569"/>
      <c r="JD431" s="569"/>
      <c r="JE431" s="569"/>
      <c r="JF431" s="569"/>
      <c r="JG431" s="569"/>
      <c r="JH431" s="569"/>
      <c r="JI431" s="569"/>
      <c r="JJ431" s="569"/>
      <c r="JK431" s="569"/>
      <c r="JL431" s="569"/>
      <c r="JM431" s="569"/>
      <c r="JN431" s="569"/>
      <c r="JO431" s="569"/>
      <c r="JP431" s="569"/>
      <c r="JQ431" s="569"/>
      <c r="JR431" s="569"/>
      <c r="JS431" s="569"/>
      <c r="JT431" s="569"/>
      <c r="JU431" s="569"/>
      <c r="JV431" s="569"/>
      <c r="JW431" s="569"/>
      <c r="JX431" s="569"/>
      <c r="JY431" s="569"/>
      <c r="JZ431" s="569"/>
      <c r="KA431" s="569"/>
      <c r="KB431" s="569"/>
      <c r="KC431" s="569"/>
      <c r="KD431" s="569"/>
      <c r="KE431" s="569"/>
      <c r="KF431" s="569"/>
      <c r="KG431" s="569"/>
      <c r="KH431" s="569"/>
      <c r="KI431" s="569"/>
      <c r="KJ431" s="569"/>
      <c r="KK431" s="569"/>
      <c r="KL431" s="569"/>
      <c r="KM431" s="569"/>
      <c r="KN431" s="569"/>
      <c r="KO431" s="569"/>
      <c r="KP431" s="569"/>
      <c r="KQ431" s="569"/>
      <c r="KR431" s="569"/>
      <c r="KS431" s="569"/>
      <c r="KT431" s="569"/>
      <c r="KU431" s="569"/>
      <c r="KV431" s="569"/>
      <c r="KW431" s="569"/>
      <c r="KX431" s="569"/>
      <c r="KY431" s="569"/>
      <c r="KZ431" s="569"/>
      <c r="LA431" s="569"/>
      <c r="LB431" s="569"/>
      <c r="LC431" s="569"/>
      <c r="LD431" s="569"/>
      <c r="LE431" s="569"/>
      <c r="LF431" s="569"/>
      <c r="LG431" s="569"/>
      <c r="LH431" s="569"/>
      <c r="LI431" s="569"/>
      <c r="LJ431" s="569"/>
      <c r="LK431" s="569"/>
      <c r="LL431" s="569"/>
      <c r="LM431" s="569"/>
      <c r="LN431" s="569"/>
      <c r="LO431" s="569"/>
      <c r="LP431" s="569"/>
      <c r="LQ431" s="569"/>
      <c r="LR431" s="569"/>
      <c r="LS431" s="569"/>
      <c r="LT431" s="569"/>
      <c r="LU431" s="569"/>
      <c r="LV431" s="569"/>
      <c r="LW431" s="569"/>
      <c r="LX431" s="569"/>
      <c r="LY431" s="569"/>
      <c r="LZ431" s="569"/>
      <c r="MA431" s="569"/>
      <c r="MB431" s="569"/>
      <c r="MC431" s="569"/>
      <c r="MD431" s="569"/>
      <c r="ME431" s="569"/>
      <c r="MF431" s="569"/>
      <c r="MG431" s="569"/>
      <c r="MH431" s="569"/>
      <c r="MI431" s="569"/>
      <c r="MJ431" s="569"/>
      <c r="MK431" s="569"/>
      <c r="ML431" s="569"/>
      <c r="MM431" s="569"/>
      <c r="MN431" s="569"/>
      <c r="MO431" s="569"/>
      <c r="MP431" s="569"/>
      <c r="MQ431" s="569"/>
      <c r="MR431" s="569"/>
      <c r="MS431" s="569"/>
      <c r="MT431" s="569"/>
      <c r="MU431" s="569"/>
      <c r="MV431" s="569"/>
      <c r="MW431" s="569"/>
      <c r="MX431" s="569"/>
      <c r="MY431" s="569"/>
      <c r="MZ431" s="569"/>
      <c r="NA431" s="569"/>
      <c r="NB431" s="569"/>
      <c r="NC431" s="569"/>
      <c r="ND431" s="569"/>
      <c r="NE431" s="569"/>
      <c r="NF431" s="569"/>
      <c r="NG431" s="569"/>
      <c r="NH431" s="569"/>
      <c r="NI431" s="569"/>
      <c r="NJ431" s="569"/>
      <c r="NK431" s="569"/>
      <c r="NL431" s="569"/>
      <c r="NM431" s="569"/>
      <c r="NN431" s="569"/>
      <c r="NO431" s="569"/>
      <c r="NP431" s="569"/>
      <c r="NQ431" s="569"/>
      <c r="NR431" s="569"/>
      <c r="NS431" s="569"/>
      <c r="NT431" s="569"/>
      <c r="NU431" s="569"/>
      <c r="NV431" s="569"/>
      <c r="NW431" s="569"/>
      <c r="NX431" s="569"/>
      <c r="NY431" s="569"/>
      <c r="NZ431" s="569"/>
      <c r="OA431" s="569"/>
      <c r="OB431" s="569"/>
      <c r="OC431" s="569"/>
      <c r="OD431" s="569"/>
      <c r="OE431" s="569"/>
      <c r="OF431" s="569"/>
      <c r="OG431" s="569"/>
      <c r="OH431" s="569"/>
      <c r="OI431" s="569"/>
      <c r="OJ431" s="569"/>
      <c r="OK431" s="569"/>
      <c r="OL431" s="569"/>
      <c r="OM431" s="569"/>
      <c r="ON431" s="569"/>
      <c r="OO431" s="569"/>
      <c r="OP431" s="569"/>
      <c r="OQ431" s="569"/>
      <c r="OR431" s="569"/>
      <c r="OS431" s="569"/>
      <c r="OT431" s="569"/>
      <c r="OU431" s="569"/>
      <c r="OV431" s="569"/>
      <c r="OW431" s="569"/>
      <c r="OX431" s="569"/>
      <c r="OY431" s="569"/>
      <c r="OZ431" s="569"/>
      <c r="PA431" s="569"/>
      <c r="PB431" s="569"/>
      <c r="PC431" s="569"/>
      <c r="PD431" s="569"/>
      <c r="PE431" s="569"/>
      <c r="PF431" s="569"/>
      <c r="PG431" s="569"/>
      <c r="PH431" s="569"/>
      <c r="PI431" s="569"/>
      <c r="PJ431" s="569"/>
      <c r="PK431" s="569"/>
      <c r="PL431" s="569"/>
      <c r="PM431" s="569"/>
      <c r="PN431" s="569"/>
      <c r="PO431" s="569"/>
      <c r="PP431" s="569"/>
      <c r="PQ431" s="569"/>
      <c r="PR431" s="569"/>
      <c r="PS431" s="569"/>
      <c r="PT431" s="569"/>
      <c r="PU431" s="569"/>
      <c r="PV431" s="569"/>
      <c r="PW431" s="569"/>
      <c r="PX431" s="569"/>
      <c r="PY431" s="569"/>
      <c r="PZ431" s="569"/>
      <c r="QA431" s="569"/>
      <c r="QB431" s="569"/>
      <c r="QC431" s="569"/>
      <c r="QD431" s="569"/>
      <c r="QE431" s="569"/>
      <c r="QF431" s="569"/>
      <c r="QG431" s="569"/>
      <c r="QH431" s="569"/>
      <c r="QI431" s="569"/>
      <c r="QJ431" s="569"/>
      <c r="QK431" s="569"/>
      <c r="QL431" s="569"/>
    </row>
    <row r="432" spans="1:454" ht="30">
      <c r="D432" s="568"/>
      <c r="E432" s="568"/>
      <c r="F432" s="568"/>
      <c r="G432" s="568"/>
      <c r="H432" s="563" t="str">
        <f>'matrik MISI 6'!N90</f>
        <v>Laju Investasi</v>
      </c>
      <c r="I432" s="563" t="str">
        <f>'matrik MISI 6'!O90</f>
        <v>%</v>
      </c>
      <c r="J432" s="563" t="str">
        <f>'matrik MISI 6'!P90</f>
        <v>19,17</v>
      </c>
      <c r="K432" s="563" t="str">
        <f>'matrik MISI 6'!Q90</f>
        <v>11,16</v>
      </c>
      <c r="L432" s="563" t="str">
        <f>'matrik MISI 6'!R90</f>
        <v>18,77</v>
      </c>
      <c r="M432" s="604"/>
      <c r="N432" s="563" t="str">
        <f>'matrik MISI 6'!S90</f>
        <v>16,28</v>
      </c>
      <c r="O432" s="564"/>
      <c r="P432" s="563" t="str">
        <f>'matrik MISI 6'!T90</f>
        <v>14,43</v>
      </c>
      <c r="Q432" s="564"/>
      <c r="R432" s="563" t="str">
        <f>'matrik MISI 6'!U90</f>
        <v>14,43</v>
      </c>
      <c r="S432" s="564"/>
      <c r="T432" s="563" t="str">
        <f>'matrik MISI 6'!V90</f>
        <v>14,43</v>
      </c>
      <c r="U432" s="564"/>
      <c r="V432" s="563" t="str">
        <f>'matrik MISI 6'!W90</f>
        <v>14,43</v>
      </c>
      <c r="W432" s="564"/>
      <c r="X432" s="563" t="str">
        <f>'matrik MISI 6'!X90</f>
        <v>KP3M</v>
      </c>
      <c r="Y432" s="563" t="str">
        <f>'matrik MISI 6'!Y90</f>
        <v>Nilai investasi tahun ke berjalan dikurangi nilai investasi tahun sebelumnya dibagi nilai investasi tahun sebelumnya kali 100</v>
      </c>
      <c r="Z432" s="563">
        <f>'matrik MISI 6'!Z90</f>
        <v>0</v>
      </c>
    </row>
    <row r="433" spans="1:454">
      <c r="G433" s="563"/>
      <c r="H433" s="563" t="str">
        <f>'matrik MISI 6'!N92</f>
        <v>Nilai Investasi</v>
      </c>
      <c r="I433" s="563" t="str">
        <f>'matrik MISI 6'!O92</f>
        <v>Rupiah</v>
      </c>
      <c r="J433" s="563" t="str">
        <f>'matrik MISI 6'!P92</f>
        <v>123,457 M</v>
      </c>
      <c r="K433" s="563" t="str">
        <f>'matrik MISI 6'!Q92</f>
        <v>85,692 M</v>
      </c>
      <c r="L433" s="563" t="str">
        <f>'matrik MISI 6'!R92</f>
        <v>160 M</v>
      </c>
      <c r="M433" s="604"/>
      <c r="N433" s="563" t="str">
        <f>'matrik MISI 6'!S92</f>
        <v>165 M</v>
      </c>
      <c r="O433" s="564"/>
      <c r="P433" s="563" t="str">
        <f>'matrik MISI 6'!T92</f>
        <v>170 M</v>
      </c>
      <c r="Q433" s="564"/>
      <c r="R433" s="563" t="str">
        <f>'matrik MISI 6'!U92</f>
        <v>170 M</v>
      </c>
      <c r="S433" s="564"/>
      <c r="T433" s="563" t="str">
        <f>'matrik MISI 6'!V92</f>
        <v>170 M</v>
      </c>
      <c r="U433" s="564"/>
      <c r="V433" s="563" t="str">
        <f>'matrik MISI 6'!W92</f>
        <v>170 M</v>
      </c>
      <c r="W433" s="564"/>
      <c r="X433" s="563" t="str">
        <f>'matrik MISI 6'!X92</f>
        <v>KP3M</v>
      </c>
      <c r="Y433" s="563" t="str">
        <f>'matrik MISI 6'!Y92</f>
        <v>Nilai investasi pada tahun berjalan</v>
      </c>
      <c r="Z433" s="563" t="str">
        <f>'matrik MISI 6'!Z92</f>
        <v>Investasi meliputi PMDN dan PMA</v>
      </c>
    </row>
    <row r="434" spans="1:454">
      <c r="G434" s="563"/>
      <c r="H434" s="563" t="str">
        <f>'matrik MISI 6'!N94</f>
        <v>Besaran jumlah Investor</v>
      </c>
      <c r="I434" s="563" t="str">
        <f>'matrik MISI 6'!O94</f>
        <v>investor</v>
      </c>
      <c r="J434" s="563">
        <f>'matrik MISI 6'!P94</f>
        <v>503</v>
      </c>
      <c r="K434" s="563">
        <f>'matrik MISI 6'!Q94</f>
        <v>684</v>
      </c>
      <c r="L434" s="563">
        <f>'matrik MISI 6'!R94</f>
        <v>874</v>
      </c>
      <c r="M434" s="604"/>
      <c r="N434" s="563">
        <f>'matrik MISI 6'!S94</f>
        <v>1074</v>
      </c>
      <c r="O434" s="564"/>
      <c r="P434" s="563">
        <f>'matrik MISI 6'!T94</f>
        <v>1284</v>
      </c>
      <c r="Q434" s="564"/>
      <c r="R434" s="563">
        <f>'matrik MISI 6'!U94</f>
        <v>1504</v>
      </c>
      <c r="S434" s="564"/>
      <c r="T434" s="563">
        <f>'matrik MISI 6'!V94</f>
        <v>1734</v>
      </c>
      <c r="U434" s="564"/>
      <c r="V434" s="563">
        <f>'matrik MISI 6'!W94</f>
        <v>1734</v>
      </c>
      <c r="W434" s="564"/>
      <c r="X434" s="563" t="str">
        <f>'matrik MISI 6'!X94</f>
        <v>KP3M</v>
      </c>
      <c r="Y434" s="563" t="str">
        <f>'matrik MISI 6'!Y94</f>
        <v>Jumlah investor pada tahun berjalan</v>
      </c>
      <c r="Z434" s="563" t="str">
        <f>'matrik MISI 6'!Z94</f>
        <v>Investor meliputi PMDN dan PMA</v>
      </c>
    </row>
    <row r="435" spans="1:454" ht="45">
      <c r="G435" s="563"/>
      <c r="H435" s="563" t="str">
        <f>'matrik MISI 6'!N96</f>
        <v xml:space="preserve">Besaran Promosi peluang investasi dan kemitraan dengan dunia usaha </v>
      </c>
      <c r="I435" s="563" t="str">
        <f>'matrik MISI 6'!O96</f>
        <v>Kali/tahun</v>
      </c>
      <c r="J435" s="563">
        <f>'matrik MISI 6'!P96</f>
        <v>3</v>
      </c>
      <c r="K435" s="563">
        <f>'matrik MISI 6'!Q96</f>
        <v>2</v>
      </c>
      <c r="L435" s="563">
        <f>'matrik MISI 6'!R96</f>
        <v>5</v>
      </c>
      <c r="M435" s="604"/>
      <c r="N435" s="563">
        <f>'matrik MISI 6'!S96</f>
        <v>5</v>
      </c>
      <c r="O435" s="564"/>
      <c r="P435" s="563">
        <f>'matrik MISI 6'!T96</f>
        <v>7</v>
      </c>
      <c r="Q435" s="564"/>
      <c r="R435" s="563">
        <f>'matrik MISI 6'!U96</f>
        <v>7</v>
      </c>
      <c r="S435" s="564"/>
      <c r="T435" s="563">
        <f>'matrik MISI 6'!V96</f>
        <v>7</v>
      </c>
      <c r="U435" s="564"/>
      <c r="V435" s="563">
        <f>'matrik MISI 6'!W96</f>
        <v>33</v>
      </c>
      <c r="W435" s="564"/>
      <c r="X435" s="563" t="str">
        <f>'matrik MISI 6'!X96</f>
        <v>KP3M</v>
      </c>
      <c r="Y435" s="563" t="str">
        <f>'matrik MISI 6'!Y96</f>
        <v xml:space="preserve">Frequensi Promosi Peluang Penanaman Modal Kabupaten </v>
      </c>
      <c r="Z435" s="563" t="str">
        <f>'matrik MISI 6'!Z96</f>
        <v>selama 5 tahun di laksanakan 33 kali pameran/promosi</v>
      </c>
    </row>
    <row r="436" spans="1:454" s="570" customFormat="1">
      <c r="A436" s="569"/>
      <c r="B436" s="571"/>
      <c r="C436" s="572"/>
      <c r="D436" s="573"/>
      <c r="E436" s="573"/>
      <c r="F436" s="573"/>
      <c r="G436" s="571"/>
      <c r="H436" s="571"/>
      <c r="I436" s="571"/>
      <c r="J436" s="580"/>
      <c r="K436" s="580"/>
      <c r="L436" s="580"/>
      <c r="M436" s="606"/>
      <c r="N436" s="580"/>
      <c r="O436" s="581"/>
      <c r="P436" s="580"/>
      <c r="Q436" s="581"/>
      <c r="R436" s="580"/>
      <c r="S436" s="581"/>
      <c r="T436" s="580"/>
      <c r="U436" s="581"/>
      <c r="V436" s="580"/>
      <c r="W436" s="581"/>
      <c r="X436" s="571"/>
      <c r="Y436" s="580"/>
      <c r="Z436" s="580"/>
      <c r="AA436" s="569"/>
      <c r="AB436" s="569"/>
      <c r="AC436" s="569"/>
      <c r="AD436" s="569"/>
      <c r="AE436" s="569"/>
      <c r="AF436" s="569"/>
      <c r="AG436" s="569"/>
      <c r="AH436" s="569"/>
      <c r="AI436" s="569"/>
      <c r="AJ436" s="569"/>
      <c r="AK436" s="569"/>
      <c r="AL436" s="569"/>
      <c r="AM436" s="569"/>
      <c r="AN436" s="569"/>
      <c r="AO436" s="569"/>
      <c r="AP436" s="569"/>
      <c r="AQ436" s="569"/>
      <c r="AR436" s="569"/>
      <c r="AS436" s="569"/>
      <c r="AT436" s="569"/>
      <c r="AU436" s="569"/>
      <c r="AV436" s="569"/>
      <c r="AW436" s="569"/>
      <c r="AX436" s="569"/>
      <c r="AY436" s="569"/>
      <c r="AZ436" s="569"/>
      <c r="BA436" s="569"/>
      <c r="BB436" s="569"/>
      <c r="BC436" s="569"/>
      <c r="BD436" s="569"/>
      <c r="BE436" s="569"/>
      <c r="BF436" s="569"/>
      <c r="BG436" s="569"/>
      <c r="BH436" s="569"/>
      <c r="BI436" s="569"/>
      <c r="BJ436" s="569"/>
      <c r="BK436" s="569"/>
      <c r="BL436" s="569"/>
      <c r="BM436" s="569"/>
      <c r="BN436" s="569"/>
      <c r="BO436" s="569"/>
      <c r="BP436" s="569"/>
      <c r="BQ436" s="569"/>
      <c r="BR436" s="569"/>
      <c r="BS436" s="569"/>
      <c r="BT436" s="569"/>
      <c r="BU436" s="569"/>
      <c r="BV436" s="569"/>
      <c r="BW436" s="569"/>
      <c r="BX436" s="569"/>
      <c r="BY436" s="569"/>
      <c r="BZ436" s="569"/>
      <c r="CA436" s="569"/>
      <c r="CB436" s="569"/>
      <c r="CC436" s="569"/>
      <c r="CD436" s="569"/>
      <c r="CE436" s="569"/>
      <c r="CF436" s="569"/>
      <c r="CG436" s="569"/>
      <c r="CH436" s="569"/>
      <c r="CI436" s="569"/>
      <c r="CJ436" s="569"/>
      <c r="CK436" s="569"/>
      <c r="CL436" s="569"/>
      <c r="CM436" s="569"/>
      <c r="CN436" s="569"/>
      <c r="CO436" s="569"/>
      <c r="CP436" s="569"/>
      <c r="CQ436" s="569"/>
      <c r="CR436" s="569"/>
      <c r="CS436" s="569"/>
      <c r="CT436" s="569"/>
      <c r="CU436" s="569"/>
      <c r="CV436" s="569"/>
      <c r="CW436" s="569"/>
      <c r="CX436" s="569"/>
      <c r="CY436" s="569"/>
      <c r="CZ436" s="569"/>
      <c r="DA436" s="569"/>
      <c r="DB436" s="569"/>
      <c r="DC436" s="569"/>
      <c r="DD436" s="569"/>
      <c r="DE436" s="569"/>
      <c r="DF436" s="569"/>
      <c r="DG436" s="569"/>
      <c r="DH436" s="569"/>
      <c r="DI436" s="569"/>
      <c r="DJ436" s="569"/>
      <c r="DK436" s="569"/>
      <c r="DL436" s="569"/>
      <c r="DM436" s="569"/>
      <c r="DN436" s="569"/>
      <c r="DO436" s="569"/>
      <c r="DP436" s="569"/>
      <c r="DQ436" s="569"/>
      <c r="DR436" s="569"/>
      <c r="DS436" s="569"/>
      <c r="DT436" s="569"/>
      <c r="DU436" s="569"/>
      <c r="DV436" s="569"/>
      <c r="DW436" s="569"/>
      <c r="DX436" s="569"/>
      <c r="DY436" s="569"/>
      <c r="DZ436" s="569"/>
      <c r="EA436" s="569"/>
      <c r="EB436" s="569"/>
      <c r="EC436" s="569"/>
      <c r="ED436" s="569"/>
      <c r="EE436" s="569"/>
      <c r="EF436" s="569"/>
      <c r="EG436" s="569"/>
      <c r="EH436" s="569"/>
      <c r="EI436" s="569"/>
      <c r="EJ436" s="569"/>
      <c r="EK436" s="569"/>
      <c r="EL436" s="569"/>
      <c r="EM436" s="569"/>
      <c r="EN436" s="569"/>
      <c r="EO436" s="569"/>
      <c r="EP436" s="569"/>
      <c r="EQ436" s="569"/>
      <c r="ER436" s="569"/>
      <c r="ES436" s="569"/>
      <c r="ET436" s="569"/>
      <c r="EU436" s="569"/>
      <c r="EV436" s="569"/>
      <c r="EW436" s="569"/>
      <c r="EX436" s="569"/>
      <c r="EY436" s="569"/>
      <c r="EZ436" s="569"/>
      <c r="FA436" s="569"/>
      <c r="FB436" s="569"/>
      <c r="FC436" s="569"/>
      <c r="FD436" s="569"/>
      <c r="FE436" s="569"/>
      <c r="FF436" s="569"/>
      <c r="FG436" s="569"/>
      <c r="FH436" s="569"/>
      <c r="FI436" s="569"/>
      <c r="FJ436" s="569"/>
      <c r="FK436" s="569"/>
      <c r="FL436" s="569"/>
      <c r="FM436" s="569"/>
      <c r="FN436" s="569"/>
      <c r="FO436" s="569"/>
      <c r="FP436" s="569"/>
      <c r="FQ436" s="569"/>
      <c r="FR436" s="569"/>
      <c r="FS436" s="569"/>
      <c r="FT436" s="569"/>
      <c r="FU436" s="569"/>
      <c r="FV436" s="569"/>
      <c r="FW436" s="569"/>
      <c r="FX436" s="569"/>
      <c r="FY436" s="569"/>
      <c r="FZ436" s="569"/>
      <c r="GA436" s="569"/>
      <c r="GB436" s="569"/>
      <c r="GC436" s="569"/>
      <c r="GD436" s="569"/>
      <c r="GE436" s="569"/>
      <c r="GF436" s="569"/>
      <c r="GG436" s="569"/>
      <c r="GH436" s="569"/>
      <c r="GI436" s="569"/>
      <c r="GJ436" s="569"/>
      <c r="GK436" s="569"/>
      <c r="GL436" s="569"/>
      <c r="GM436" s="569"/>
      <c r="GN436" s="569"/>
      <c r="GO436" s="569"/>
      <c r="GP436" s="569"/>
      <c r="GQ436" s="569"/>
      <c r="GR436" s="569"/>
      <c r="GS436" s="569"/>
      <c r="GT436" s="569"/>
      <c r="GU436" s="569"/>
      <c r="GV436" s="569"/>
      <c r="GW436" s="569"/>
      <c r="GX436" s="569"/>
      <c r="GY436" s="569"/>
      <c r="GZ436" s="569"/>
      <c r="HA436" s="569"/>
      <c r="HB436" s="569"/>
      <c r="HC436" s="569"/>
      <c r="HD436" s="569"/>
      <c r="HE436" s="569"/>
      <c r="HF436" s="569"/>
      <c r="HG436" s="569"/>
      <c r="HH436" s="569"/>
      <c r="HI436" s="569"/>
      <c r="HJ436" s="569"/>
      <c r="HK436" s="569"/>
      <c r="HL436" s="569"/>
      <c r="HM436" s="569"/>
      <c r="HN436" s="569"/>
      <c r="HO436" s="569"/>
      <c r="HP436" s="569"/>
      <c r="HQ436" s="569"/>
      <c r="HR436" s="569"/>
      <c r="HS436" s="569"/>
      <c r="HT436" s="569"/>
      <c r="HU436" s="569"/>
      <c r="HV436" s="569"/>
      <c r="HW436" s="569"/>
      <c r="HX436" s="569"/>
      <c r="HY436" s="569"/>
      <c r="HZ436" s="569"/>
      <c r="IA436" s="569"/>
      <c r="IB436" s="569"/>
      <c r="IC436" s="569"/>
      <c r="ID436" s="569"/>
      <c r="IE436" s="569"/>
      <c r="IF436" s="569"/>
      <c r="IG436" s="569"/>
      <c r="IH436" s="569"/>
      <c r="II436" s="569"/>
      <c r="IJ436" s="569"/>
      <c r="IK436" s="569"/>
      <c r="IL436" s="569"/>
      <c r="IM436" s="569"/>
      <c r="IN436" s="569"/>
      <c r="IO436" s="569"/>
      <c r="IP436" s="569"/>
      <c r="IQ436" s="569"/>
      <c r="IR436" s="569"/>
      <c r="IS436" s="569"/>
      <c r="IT436" s="569"/>
      <c r="IU436" s="569"/>
      <c r="IV436" s="569"/>
      <c r="IW436" s="569"/>
      <c r="IX436" s="569"/>
      <c r="IY436" s="569"/>
      <c r="IZ436" s="569"/>
      <c r="JA436" s="569"/>
      <c r="JB436" s="569"/>
      <c r="JC436" s="569"/>
      <c r="JD436" s="569"/>
      <c r="JE436" s="569"/>
      <c r="JF436" s="569"/>
      <c r="JG436" s="569"/>
      <c r="JH436" s="569"/>
      <c r="JI436" s="569"/>
      <c r="JJ436" s="569"/>
      <c r="JK436" s="569"/>
      <c r="JL436" s="569"/>
      <c r="JM436" s="569"/>
      <c r="JN436" s="569"/>
      <c r="JO436" s="569"/>
      <c r="JP436" s="569"/>
      <c r="JQ436" s="569"/>
      <c r="JR436" s="569"/>
      <c r="JS436" s="569"/>
      <c r="JT436" s="569"/>
      <c r="JU436" s="569"/>
      <c r="JV436" s="569"/>
      <c r="JW436" s="569"/>
      <c r="JX436" s="569"/>
      <c r="JY436" s="569"/>
      <c r="JZ436" s="569"/>
      <c r="KA436" s="569"/>
      <c r="KB436" s="569"/>
      <c r="KC436" s="569"/>
      <c r="KD436" s="569"/>
      <c r="KE436" s="569"/>
      <c r="KF436" s="569"/>
      <c r="KG436" s="569"/>
      <c r="KH436" s="569"/>
      <c r="KI436" s="569"/>
      <c r="KJ436" s="569"/>
      <c r="KK436" s="569"/>
      <c r="KL436" s="569"/>
      <c r="KM436" s="569"/>
      <c r="KN436" s="569"/>
      <c r="KO436" s="569"/>
      <c r="KP436" s="569"/>
      <c r="KQ436" s="569"/>
      <c r="KR436" s="569"/>
      <c r="KS436" s="569"/>
      <c r="KT436" s="569"/>
      <c r="KU436" s="569"/>
      <c r="KV436" s="569"/>
      <c r="KW436" s="569"/>
      <c r="KX436" s="569"/>
      <c r="KY436" s="569"/>
      <c r="KZ436" s="569"/>
      <c r="LA436" s="569"/>
      <c r="LB436" s="569"/>
      <c r="LC436" s="569"/>
      <c r="LD436" s="569"/>
      <c r="LE436" s="569"/>
      <c r="LF436" s="569"/>
      <c r="LG436" s="569"/>
      <c r="LH436" s="569"/>
      <c r="LI436" s="569"/>
      <c r="LJ436" s="569"/>
      <c r="LK436" s="569"/>
      <c r="LL436" s="569"/>
      <c r="LM436" s="569"/>
      <c r="LN436" s="569"/>
      <c r="LO436" s="569"/>
      <c r="LP436" s="569"/>
      <c r="LQ436" s="569"/>
      <c r="LR436" s="569"/>
      <c r="LS436" s="569"/>
      <c r="LT436" s="569"/>
      <c r="LU436" s="569"/>
      <c r="LV436" s="569"/>
      <c r="LW436" s="569"/>
      <c r="LX436" s="569"/>
      <c r="LY436" s="569"/>
      <c r="LZ436" s="569"/>
      <c r="MA436" s="569"/>
      <c r="MB436" s="569"/>
      <c r="MC436" s="569"/>
      <c r="MD436" s="569"/>
      <c r="ME436" s="569"/>
      <c r="MF436" s="569"/>
      <c r="MG436" s="569"/>
      <c r="MH436" s="569"/>
      <c r="MI436" s="569"/>
      <c r="MJ436" s="569"/>
      <c r="MK436" s="569"/>
      <c r="ML436" s="569"/>
      <c r="MM436" s="569"/>
      <c r="MN436" s="569"/>
      <c r="MO436" s="569"/>
      <c r="MP436" s="569"/>
      <c r="MQ436" s="569"/>
      <c r="MR436" s="569"/>
      <c r="MS436" s="569"/>
      <c r="MT436" s="569"/>
      <c r="MU436" s="569"/>
      <c r="MV436" s="569"/>
      <c r="MW436" s="569"/>
      <c r="MX436" s="569"/>
      <c r="MY436" s="569"/>
      <c r="MZ436" s="569"/>
      <c r="NA436" s="569"/>
      <c r="NB436" s="569"/>
      <c r="NC436" s="569"/>
      <c r="ND436" s="569"/>
      <c r="NE436" s="569"/>
      <c r="NF436" s="569"/>
      <c r="NG436" s="569"/>
      <c r="NH436" s="569"/>
      <c r="NI436" s="569"/>
      <c r="NJ436" s="569"/>
      <c r="NK436" s="569"/>
      <c r="NL436" s="569"/>
      <c r="NM436" s="569"/>
      <c r="NN436" s="569"/>
      <c r="NO436" s="569"/>
      <c r="NP436" s="569"/>
      <c r="NQ436" s="569"/>
      <c r="NR436" s="569"/>
      <c r="NS436" s="569"/>
      <c r="NT436" s="569"/>
      <c r="NU436" s="569"/>
      <c r="NV436" s="569"/>
      <c r="NW436" s="569"/>
      <c r="NX436" s="569"/>
      <c r="NY436" s="569"/>
      <c r="NZ436" s="569"/>
      <c r="OA436" s="569"/>
      <c r="OB436" s="569"/>
      <c r="OC436" s="569"/>
      <c r="OD436" s="569"/>
      <c r="OE436" s="569"/>
      <c r="OF436" s="569"/>
      <c r="OG436" s="569"/>
      <c r="OH436" s="569"/>
      <c r="OI436" s="569"/>
      <c r="OJ436" s="569"/>
      <c r="OK436" s="569"/>
      <c r="OL436" s="569"/>
      <c r="OM436" s="569"/>
      <c r="ON436" s="569"/>
      <c r="OO436" s="569"/>
      <c r="OP436" s="569"/>
      <c r="OQ436" s="569"/>
      <c r="OR436" s="569"/>
      <c r="OS436" s="569"/>
      <c r="OT436" s="569"/>
      <c r="OU436" s="569"/>
      <c r="OV436" s="569"/>
      <c r="OW436" s="569"/>
      <c r="OX436" s="569"/>
      <c r="OY436" s="569"/>
      <c r="OZ436" s="569"/>
      <c r="PA436" s="569"/>
      <c r="PB436" s="569"/>
      <c r="PC436" s="569"/>
      <c r="PD436" s="569"/>
      <c r="PE436" s="569"/>
      <c r="PF436" s="569"/>
      <c r="PG436" s="569"/>
      <c r="PH436" s="569"/>
      <c r="PI436" s="569"/>
      <c r="PJ436" s="569"/>
      <c r="PK436" s="569"/>
      <c r="PL436" s="569"/>
      <c r="PM436" s="569"/>
      <c r="PN436" s="569"/>
      <c r="PO436" s="569"/>
      <c r="PP436" s="569"/>
      <c r="PQ436" s="569"/>
      <c r="PR436" s="569"/>
      <c r="PS436" s="569"/>
      <c r="PT436" s="569"/>
      <c r="PU436" s="569"/>
      <c r="PV436" s="569"/>
      <c r="PW436" s="569"/>
      <c r="PX436" s="569"/>
      <c r="PY436" s="569"/>
      <c r="PZ436" s="569"/>
      <c r="QA436" s="569"/>
      <c r="QB436" s="569"/>
      <c r="QC436" s="569"/>
      <c r="QD436" s="569"/>
      <c r="QE436" s="569"/>
      <c r="QF436" s="569"/>
      <c r="QG436" s="569"/>
      <c r="QH436" s="569"/>
      <c r="QI436" s="569"/>
      <c r="QJ436" s="569"/>
      <c r="QK436" s="569"/>
      <c r="QL436" s="569"/>
    </row>
    <row r="437" spans="1:454" s="574" customFormat="1" ht="30">
      <c r="A437" s="569"/>
      <c r="B437" s="575">
        <v>17</v>
      </c>
      <c r="C437" s="576" t="str">
        <f>'matrik MISI 2'!B79</f>
        <v>KEBUDAYAAN</v>
      </c>
      <c r="D437" s="577">
        <f>'matrik MISI 2'!J80</f>
        <v>1.17</v>
      </c>
      <c r="E437" s="577" t="str">
        <f>'matrik MISI 2'!K80</f>
        <v>xx</v>
      </c>
      <c r="F437" s="577">
        <f>'matrik MISI 2'!L80</f>
        <v>19</v>
      </c>
      <c r="G437" s="577" t="str">
        <f>'matrik MISI 2'!M80</f>
        <v>Program Pengembangan Nilai Keagamaan</v>
      </c>
      <c r="H437" s="575"/>
      <c r="I437" s="575"/>
      <c r="J437" s="596"/>
      <c r="K437" s="596"/>
      <c r="L437" s="596"/>
      <c r="M437" s="600">
        <f>'jangan di hapus 1'!K900</f>
        <v>843764800</v>
      </c>
      <c r="N437" s="600"/>
      <c r="O437" s="600">
        <f>'jangan di hapus 1'!M900</f>
        <v>1008928500</v>
      </c>
      <c r="P437" s="600"/>
      <c r="Q437" s="600">
        <f>'jangan di hapus 1'!O900</f>
        <v>1060000000</v>
      </c>
      <c r="R437" s="600"/>
      <c r="S437" s="600">
        <f>'jangan di hapus 1'!Q900</f>
        <v>1070000000</v>
      </c>
      <c r="T437" s="600"/>
      <c r="U437" s="600">
        <f>'jangan di hapus 1'!S900</f>
        <v>1080000000</v>
      </c>
      <c r="V437" s="596"/>
      <c r="W437" s="578">
        <f>SUM(M437:U437)</f>
        <v>5062693300</v>
      </c>
      <c r="X437" s="575"/>
      <c r="Y437" s="596"/>
      <c r="Z437" s="596"/>
      <c r="AA437" s="569"/>
      <c r="AB437" s="569"/>
      <c r="AC437" s="569"/>
      <c r="AD437" s="569"/>
      <c r="AE437" s="569"/>
      <c r="AF437" s="569"/>
      <c r="AG437" s="569"/>
      <c r="AH437" s="569"/>
      <c r="AI437" s="569"/>
      <c r="AJ437" s="569"/>
      <c r="AK437" s="569"/>
      <c r="AL437" s="569"/>
      <c r="AM437" s="569"/>
      <c r="AN437" s="569"/>
      <c r="AO437" s="569"/>
      <c r="AP437" s="569"/>
      <c r="AQ437" s="569"/>
      <c r="AR437" s="569"/>
      <c r="AS437" s="569"/>
      <c r="AT437" s="569"/>
      <c r="AU437" s="569"/>
      <c r="AV437" s="569"/>
      <c r="AW437" s="569"/>
      <c r="AX437" s="569"/>
      <c r="AY437" s="569"/>
      <c r="AZ437" s="569"/>
      <c r="BA437" s="569"/>
      <c r="BB437" s="569"/>
      <c r="BC437" s="569"/>
      <c r="BD437" s="569"/>
      <c r="BE437" s="569"/>
      <c r="BF437" s="569"/>
      <c r="BG437" s="569"/>
      <c r="BH437" s="569"/>
      <c r="BI437" s="569"/>
      <c r="BJ437" s="569"/>
      <c r="BK437" s="569"/>
      <c r="BL437" s="569"/>
      <c r="BM437" s="569"/>
      <c r="BN437" s="569"/>
      <c r="BO437" s="569"/>
      <c r="BP437" s="569"/>
      <c r="BQ437" s="569"/>
      <c r="BR437" s="569"/>
      <c r="BS437" s="569"/>
      <c r="BT437" s="569"/>
      <c r="BU437" s="569"/>
      <c r="BV437" s="569"/>
      <c r="BW437" s="569"/>
      <c r="BX437" s="569"/>
      <c r="BY437" s="569"/>
      <c r="BZ437" s="569"/>
      <c r="CA437" s="569"/>
      <c r="CB437" s="569"/>
      <c r="CC437" s="569"/>
      <c r="CD437" s="569"/>
      <c r="CE437" s="569"/>
      <c r="CF437" s="569"/>
      <c r="CG437" s="569"/>
      <c r="CH437" s="569"/>
      <c r="CI437" s="569"/>
      <c r="CJ437" s="569"/>
      <c r="CK437" s="569"/>
      <c r="CL437" s="569"/>
      <c r="CM437" s="569"/>
      <c r="CN437" s="569"/>
      <c r="CO437" s="569"/>
      <c r="CP437" s="569"/>
      <c r="CQ437" s="569"/>
      <c r="CR437" s="569"/>
      <c r="CS437" s="569"/>
      <c r="CT437" s="569"/>
      <c r="CU437" s="569"/>
      <c r="CV437" s="569"/>
      <c r="CW437" s="569"/>
      <c r="CX437" s="569"/>
      <c r="CY437" s="569"/>
      <c r="CZ437" s="569"/>
      <c r="DA437" s="569"/>
      <c r="DB437" s="569"/>
      <c r="DC437" s="569"/>
      <c r="DD437" s="569"/>
      <c r="DE437" s="569"/>
      <c r="DF437" s="569"/>
      <c r="DG437" s="569"/>
      <c r="DH437" s="569"/>
      <c r="DI437" s="569"/>
      <c r="DJ437" s="569"/>
      <c r="DK437" s="569"/>
      <c r="DL437" s="569"/>
      <c r="DM437" s="569"/>
      <c r="DN437" s="569"/>
      <c r="DO437" s="569"/>
      <c r="DP437" s="569"/>
      <c r="DQ437" s="569"/>
      <c r="DR437" s="569"/>
      <c r="DS437" s="569"/>
      <c r="DT437" s="569"/>
      <c r="DU437" s="569"/>
      <c r="DV437" s="569"/>
      <c r="DW437" s="569"/>
      <c r="DX437" s="569"/>
      <c r="DY437" s="569"/>
      <c r="DZ437" s="569"/>
      <c r="EA437" s="569"/>
      <c r="EB437" s="569"/>
      <c r="EC437" s="569"/>
      <c r="ED437" s="569"/>
      <c r="EE437" s="569"/>
      <c r="EF437" s="569"/>
      <c r="EG437" s="569"/>
      <c r="EH437" s="569"/>
      <c r="EI437" s="569"/>
      <c r="EJ437" s="569"/>
      <c r="EK437" s="569"/>
      <c r="EL437" s="569"/>
      <c r="EM437" s="569"/>
      <c r="EN437" s="569"/>
      <c r="EO437" s="569"/>
      <c r="EP437" s="569"/>
      <c r="EQ437" s="569"/>
      <c r="ER437" s="569"/>
      <c r="ES437" s="569"/>
      <c r="ET437" s="569"/>
      <c r="EU437" s="569"/>
      <c r="EV437" s="569"/>
      <c r="EW437" s="569"/>
      <c r="EX437" s="569"/>
      <c r="EY437" s="569"/>
      <c r="EZ437" s="569"/>
      <c r="FA437" s="569"/>
      <c r="FB437" s="569"/>
      <c r="FC437" s="569"/>
      <c r="FD437" s="569"/>
      <c r="FE437" s="569"/>
      <c r="FF437" s="569"/>
      <c r="FG437" s="569"/>
      <c r="FH437" s="569"/>
      <c r="FI437" s="569"/>
      <c r="FJ437" s="569"/>
      <c r="FK437" s="569"/>
      <c r="FL437" s="569"/>
      <c r="FM437" s="569"/>
      <c r="FN437" s="569"/>
      <c r="FO437" s="569"/>
      <c r="FP437" s="569"/>
      <c r="FQ437" s="569"/>
      <c r="FR437" s="569"/>
      <c r="FS437" s="569"/>
      <c r="FT437" s="569"/>
      <c r="FU437" s="569"/>
      <c r="FV437" s="569"/>
      <c r="FW437" s="569"/>
      <c r="FX437" s="569"/>
      <c r="FY437" s="569"/>
      <c r="FZ437" s="569"/>
      <c r="GA437" s="569"/>
      <c r="GB437" s="569"/>
      <c r="GC437" s="569"/>
      <c r="GD437" s="569"/>
      <c r="GE437" s="569"/>
      <c r="GF437" s="569"/>
      <c r="GG437" s="569"/>
      <c r="GH437" s="569"/>
      <c r="GI437" s="569"/>
      <c r="GJ437" s="569"/>
      <c r="GK437" s="569"/>
      <c r="GL437" s="569"/>
      <c r="GM437" s="569"/>
      <c r="GN437" s="569"/>
      <c r="GO437" s="569"/>
      <c r="GP437" s="569"/>
      <c r="GQ437" s="569"/>
      <c r="GR437" s="569"/>
      <c r="GS437" s="569"/>
      <c r="GT437" s="569"/>
      <c r="GU437" s="569"/>
      <c r="GV437" s="569"/>
      <c r="GW437" s="569"/>
      <c r="GX437" s="569"/>
      <c r="GY437" s="569"/>
      <c r="GZ437" s="569"/>
      <c r="HA437" s="569"/>
      <c r="HB437" s="569"/>
      <c r="HC437" s="569"/>
      <c r="HD437" s="569"/>
      <c r="HE437" s="569"/>
      <c r="HF437" s="569"/>
      <c r="HG437" s="569"/>
      <c r="HH437" s="569"/>
      <c r="HI437" s="569"/>
      <c r="HJ437" s="569"/>
      <c r="HK437" s="569"/>
      <c r="HL437" s="569"/>
      <c r="HM437" s="569"/>
      <c r="HN437" s="569"/>
      <c r="HO437" s="569"/>
      <c r="HP437" s="569"/>
      <c r="HQ437" s="569"/>
      <c r="HR437" s="569"/>
      <c r="HS437" s="569"/>
      <c r="HT437" s="569"/>
      <c r="HU437" s="569"/>
      <c r="HV437" s="569"/>
      <c r="HW437" s="569"/>
      <c r="HX437" s="569"/>
      <c r="HY437" s="569"/>
      <c r="HZ437" s="569"/>
      <c r="IA437" s="569"/>
      <c r="IB437" s="569"/>
      <c r="IC437" s="569"/>
      <c r="ID437" s="569"/>
      <c r="IE437" s="569"/>
      <c r="IF437" s="569"/>
      <c r="IG437" s="569"/>
      <c r="IH437" s="569"/>
      <c r="II437" s="569"/>
      <c r="IJ437" s="569"/>
      <c r="IK437" s="569"/>
      <c r="IL437" s="569"/>
      <c r="IM437" s="569"/>
      <c r="IN437" s="569"/>
      <c r="IO437" s="569"/>
      <c r="IP437" s="569"/>
      <c r="IQ437" s="569"/>
      <c r="IR437" s="569"/>
      <c r="IS437" s="569"/>
      <c r="IT437" s="569"/>
      <c r="IU437" s="569"/>
      <c r="IV437" s="569"/>
      <c r="IW437" s="569"/>
      <c r="IX437" s="569"/>
      <c r="IY437" s="569"/>
      <c r="IZ437" s="569"/>
      <c r="JA437" s="569"/>
      <c r="JB437" s="569"/>
      <c r="JC437" s="569"/>
      <c r="JD437" s="569"/>
      <c r="JE437" s="569"/>
      <c r="JF437" s="569"/>
      <c r="JG437" s="569"/>
      <c r="JH437" s="569"/>
      <c r="JI437" s="569"/>
      <c r="JJ437" s="569"/>
      <c r="JK437" s="569"/>
      <c r="JL437" s="569"/>
      <c r="JM437" s="569"/>
      <c r="JN437" s="569"/>
      <c r="JO437" s="569"/>
      <c r="JP437" s="569"/>
      <c r="JQ437" s="569"/>
      <c r="JR437" s="569"/>
      <c r="JS437" s="569"/>
      <c r="JT437" s="569"/>
      <c r="JU437" s="569"/>
      <c r="JV437" s="569"/>
      <c r="JW437" s="569"/>
      <c r="JX437" s="569"/>
      <c r="JY437" s="569"/>
      <c r="JZ437" s="569"/>
      <c r="KA437" s="569"/>
      <c r="KB437" s="569"/>
      <c r="KC437" s="569"/>
      <c r="KD437" s="569"/>
      <c r="KE437" s="569"/>
      <c r="KF437" s="569"/>
      <c r="KG437" s="569"/>
      <c r="KH437" s="569"/>
      <c r="KI437" s="569"/>
      <c r="KJ437" s="569"/>
      <c r="KK437" s="569"/>
      <c r="KL437" s="569"/>
      <c r="KM437" s="569"/>
      <c r="KN437" s="569"/>
      <c r="KO437" s="569"/>
      <c r="KP437" s="569"/>
      <c r="KQ437" s="569"/>
      <c r="KR437" s="569"/>
      <c r="KS437" s="569"/>
      <c r="KT437" s="569"/>
      <c r="KU437" s="569"/>
      <c r="KV437" s="569"/>
      <c r="KW437" s="569"/>
      <c r="KX437" s="569"/>
      <c r="KY437" s="569"/>
      <c r="KZ437" s="569"/>
      <c r="LA437" s="569"/>
      <c r="LB437" s="569"/>
      <c r="LC437" s="569"/>
      <c r="LD437" s="569"/>
      <c r="LE437" s="569"/>
      <c r="LF437" s="569"/>
      <c r="LG437" s="569"/>
      <c r="LH437" s="569"/>
      <c r="LI437" s="569"/>
      <c r="LJ437" s="569"/>
      <c r="LK437" s="569"/>
      <c r="LL437" s="569"/>
      <c r="LM437" s="569"/>
      <c r="LN437" s="569"/>
      <c r="LO437" s="569"/>
      <c r="LP437" s="569"/>
      <c r="LQ437" s="569"/>
      <c r="LR437" s="569"/>
      <c r="LS437" s="569"/>
      <c r="LT437" s="569"/>
      <c r="LU437" s="569"/>
      <c r="LV437" s="569"/>
      <c r="LW437" s="569"/>
      <c r="LX437" s="569"/>
      <c r="LY437" s="569"/>
      <c r="LZ437" s="569"/>
      <c r="MA437" s="569"/>
      <c r="MB437" s="569"/>
      <c r="MC437" s="569"/>
      <c r="MD437" s="569"/>
      <c r="ME437" s="569"/>
      <c r="MF437" s="569"/>
      <c r="MG437" s="569"/>
      <c r="MH437" s="569"/>
      <c r="MI437" s="569"/>
      <c r="MJ437" s="569"/>
      <c r="MK437" s="569"/>
      <c r="ML437" s="569"/>
      <c r="MM437" s="569"/>
      <c r="MN437" s="569"/>
      <c r="MO437" s="569"/>
      <c r="MP437" s="569"/>
      <c r="MQ437" s="569"/>
      <c r="MR437" s="569"/>
      <c r="MS437" s="569"/>
      <c r="MT437" s="569"/>
      <c r="MU437" s="569"/>
      <c r="MV437" s="569"/>
      <c r="MW437" s="569"/>
      <c r="MX437" s="569"/>
      <c r="MY437" s="569"/>
      <c r="MZ437" s="569"/>
      <c r="NA437" s="569"/>
      <c r="NB437" s="569"/>
      <c r="NC437" s="569"/>
      <c r="ND437" s="569"/>
      <c r="NE437" s="569"/>
      <c r="NF437" s="569"/>
      <c r="NG437" s="569"/>
      <c r="NH437" s="569"/>
      <c r="NI437" s="569"/>
      <c r="NJ437" s="569"/>
      <c r="NK437" s="569"/>
      <c r="NL437" s="569"/>
      <c r="NM437" s="569"/>
      <c r="NN437" s="569"/>
      <c r="NO437" s="569"/>
      <c r="NP437" s="569"/>
      <c r="NQ437" s="569"/>
      <c r="NR437" s="569"/>
      <c r="NS437" s="569"/>
      <c r="NT437" s="569"/>
      <c r="NU437" s="569"/>
      <c r="NV437" s="569"/>
      <c r="NW437" s="569"/>
      <c r="NX437" s="569"/>
      <c r="NY437" s="569"/>
      <c r="NZ437" s="569"/>
      <c r="OA437" s="569"/>
      <c r="OB437" s="569"/>
      <c r="OC437" s="569"/>
      <c r="OD437" s="569"/>
      <c r="OE437" s="569"/>
      <c r="OF437" s="569"/>
      <c r="OG437" s="569"/>
      <c r="OH437" s="569"/>
      <c r="OI437" s="569"/>
      <c r="OJ437" s="569"/>
      <c r="OK437" s="569"/>
      <c r="OL437" s="569"/>
      <c r="OM437" s="569"/>
      <c r="ON437" s="569"/>
      <c r="OO437" s="569"/>
      <c r="OP437" s="569"/>
      <c r="OQ437" s="569"/>
      <c r="OR437" s="569"/>
      <c r="OS437" s="569"/>
      <c r="OT437" s="569"/>
      <c r="OU437" s="569"/>
      <c r="OV437" s="569"/>
      <c r="OW437" s="569"/>
      <c r="OX437" s="569"/>
      <c r="OY437" s="569"/>
      <c r="OZ437" s="569"/>
      <c r="PA437" s="569"/>
      <c r="PB437" s="569"/>
      <c r="PC437" s="569"/>
      <c r="PD437" s="569"/>
      <c r="PE437" s="569"/>
      <c r="PF437" s="569"/>
      <c r="PG437" s="569"/>
      <c r="PH437" s="569"/>
      <c r="PI437" s="569"/>
      <c r="PJ437" s="569"/>
      <c r="PK437" s="569"/>
      <c r="PL437" s="569"/>
      <c r="PM437" s="569"/>
      <c r="PN437" s="569"/>
      <c r="PO437" s="569"/>
      <c r="PP437" s="569"/>
      <c r="PQ437" s="569"/>
      <c r="PR437" s="569"/>
      <c r="PS437" s="569"/>
      <c r="PT437" s="569"/>
      <c r="PU437" s="569"/>
      <c r="PV437" s="569"/>
      <c r="PW437" s="569"/>
      <c r="PX437" s="569"/>
      <c r="PY437" s="569"/>
      <c r="PZ437" s="569"/>
      <c r="QA437" s="569"/>
      <c r="QB437" s="569"/>
      <c r="QC437" s="569"/>
      <c r="QD437" s="569"/>
      <c r="QE437" s="569"/>
      <c r="QF437" s="569"/>
      <c r="QG437" s="569"/>
      <c r="QH437" s="569"/>
      <c r="QI437" s="569"/>
      <c r="QJ437" s="569"/>
      <c r="QK437" s="569"/>
      <c r="QL437" s="569"/>
    </row>
    <row r="438" spans="1:454" ht="30">
      <c r="B438" s="568"/>
      <c r="C438" s="568"/>
      <c r="D438" s="568"/>
      <c r="E438" s="568"/>
      <c r="F438" s="568"/>
      <c r="G438" s="568"/>
      <c r="H438" s="563" t="str">
        <f>'matrik MISI 2'!N80</f>
        <v>Cakupan Pemberian Bantuan Tempat Ibadah</v>
      </c>
      <c r="I438" s="563" t="str">
        <f>'matrik MISI 2'!O80</f>
        <v>%</v>
      </c>
      <c r="J438" s="563">
        <f>'matrik MISI 2'!P80</f>
        <v>100</v>
      </c>
      <c r="K438" s="563">
        <f>'matrik MISI 2'!Q80</f>
        <v>100</v>
      </c>
      <c r="L438" s="563">
        <f>'matrik MISI 2'!R80</f>
        <v>100</v>
      </c>
      <c r="M438" s="604"/>
      <c r="N438" s="563">
        <f>'matrik MISI 2'!S80</f>
        <v>100</v>
      </c>
      <c r="O438" s="564"/>
      <c r="P438" s="563">
        <f>'matrik MISI 2'!T80</f>
        <v>100</v>
      </c>
      <c r="Q438" s="564"/>
      <c r="R438" s="563">
        <f>'matrik MISI 2'!U80</f>
        <v>100</v>
      </c>
      <c r="S438" s="564"/>
      <c r="T438" s="563">
        <f>'matrik MISI 2'!V80</f>
        <v>100</v>
      </c>
      <c r="U438" s="564"/>
      <c r="V438" s="563">
        <f>'matrik MISI 2'!W80</f>
        <v>100</v>
      </c>
      <c r="W438" s="564"/>
      <c r="X438" s="563">
        <f>'matrik MISI 2'!X80</f>
        <v>0</v>
      </c>
      <c r="Y438" s="563" t="str">
        <f>'matrik MISI 2'!Y80</f>
        <v>Jumlah Tempat Ibadah yang dibantu dibagi Jumlah Tempat Ibadah yang mengajukan proposal</v>
      </c>
      <c r="Z438" s="563">
        <f>'matrik MISI 2'!Z80</f>
        <v>0</v>
      </c>
    </row>
    <row r="439" spans="1:454" ht="30">
      <c r="G439" s="563"/>
      <c r="H439" s="563" t="str">
        <f>'matrik MISI 2'!N81</f>
        <v>Cakupan Pemberian Bantuan Kepada Pondok Pesantren</v>
      </c>
      <c r="I439" s="563" t="str">
        <f>'matrik MISI 2'!O81</f>
        <v>%</v>
      </c>
      <c r="J439" s="563">
        <f>'matrik MISI 2'!P81</f>
        <v>100</v>
      </c>
      <c r="K439" s="563">
        <f>'matrik MISI 2'!Q81</f>
        <v>100</v>
      </c>
      <c r="L439" s="563">
        <f>'matrik MISI 2'!R81</f>
        <v>100</v>
      </c>
      <c r="M439" s="604"/>
      <c r="N439" s="563">
        <f>'matrik MISI 2'!S81</f>
        <v>100</v>
      </c>
      <c r="O439" s="564"/>
      <c r="P439" s="563">
        <f>'matrik MISI 2'!T81</f>
        <v>100</v>
      </c>
      <c r="Q439" s="564"/>
      <c r="R439" s="563">
        <f>'matrik MISI 2'!U81</f>
        <v>100</v>
      </c>
      <c r="S439" s="564"/>
      <c r="T439" s="563">
        <f>'matrik MISI 2'!V81</f>
        <v>100</v>
      </c>
      <c r="U439" s="564"/>
      <c r="V439" s="563">
        <f>'matrik MISI 2'!W81</f>
        <v>100</v>
      </c>
      <c r="W439" s="564"/>
      <c r="X439" s="563">
        <f>'matrik MISI 2'!X81</f>
        <v>0</v>
      </c>
      <c r="Y439" s="563" t="str">
        <f>'matrik MISI 2'!Y81</f>
        <v>Jumlah pondok Pesantren yang dibantu dibagi Jumlah  Pondok Pesantren yang mengajukan proposal x 100</v>
      </c>
      <c r="Z439" s="563" t="str">
        <f>'matrik MISI 2'!Z81</f>
        <v>pondok pesantren yang mengajukan proposaladalah yang memenuhi syarat-syarat yang ditentukan</v>
      </c>
    </row>
    <row r="440" spans="1:454" ht="30">
      <c r="G440" s="563"/>
      <c r="H440" s="563" t="str">
        <f>'matrik MISI 2'!N82</f>
        <v>Cakupan Pemberian Bantuan Kepada TPQ</v>
      </c>
      <c r="I440" s="563" t="str">
        <f>'matrik MISI 2'!O82</f>
        <v>%</v>
      </c>
      <c r="J440" s="563">
        <f>'matrik MISI 2'!P82</f>
        <v>100</v>
      </c>
      <c r="K440" s="563">
        <f>'matrik MISI 2'!Q82</f>
        <v>100</v>
      </c>
      <c r="L440" s="563">
        <f>'matrik MISI 2'!R82</f>
        <v>100</v>
      </c>
      <c r="M440" s="604"/>
      <c r="N440" s="563">
        <f>'matrik MISI 2'!S82</f>
        <v>100</v>
      </c>
      <c r="O440" s="564"/>
      <c r="P440" s="563">
        <f>'matrik MISI 2'!T82</f>
        <v>100</v>
      </c>
      <c r="Q440" s="564"/>
      <c r="R440" s="563">
        <f>'matrik MISI 2'!U82</f>
        <v>100</v>
      </c>
      <c r="S440" s="564"/>
      <c r="T440" s="563">
        <f>'matrik MISI 2'!V82</f>
        <v>100</v>
      </c>
      <c r="U440" s="564"/>
      <c r="V440" s="563">
        <f>'matrik MISI 2'!W82</f>
        <v>100</v>
      </c>
      <c r="W440" s="564"/>
      <c r="X440" s="563">
        <f>'matrik MISI 2'!X82</f>
        <v>0</v>
      </c>
      <c r="Y440" s="563" t="str">
        <f>'matrik MISI 2'!Y82</f>
        <v>Jumlah TPQ yang dibantu dibagi Jumlah TPQ yang mengajukan proposal x 100</v>
      </c>
      <c r="Z440" s="563" t="str">
        <f>'matrik MISI 2'!Z82</f>
        <v>TPQ  yang mengajukan proposal adalah yang memenuhi syarat-syarat yang ditentukan</v>
      </c>
    </row>
    <row r="441" spans="1:454" ht="30">
      <c r="G441" s="563"/>
      <c r="H441" s="563" t="str">
        <f>'matrik MISI 2'!N83</f>
        <v>Cakupan Pemberian Bantuan Kepada Madrasah Diniyah</v>
      </c>
      <c r="I441" s="563" t="str">
        <f>'matrik MISI 2'!O83</f>
        <v>%</v>
      </c>
      <c r="J441" s="563">
        <f>'matrik MISI 2'!P83</f>
        <v>100</v>
      </c>
      <c r="K441" s="563">
        <f>'matrik MISI 2'!Q83</f>
        <v>100</v>
      </c>
      <c r="L441" s="563">
        <f>'matrik MISI 2'!R83</f>
        <v>100</v>
      </c>
      <c r="M441" s="604"/>
      <c r="N441" s="563">
        <f>'matrik MISI 2'!S83</f>
        <v>100</v>
      </c>
      <c r="O441" s="564"/>
      <c r="P441" s="563">
        <f>'matrik MISI 2'!T83</f>
        <v>100</v>
      </c>
      <c r="Q441" s="564"/>
      <c r="R441" s="563">
        <f>'matrik MISI 2'!U83</f>
        <v>100</v>
      </c>
      <c r="S441" s="564"/>
      <c r="T441" s="563">
        <f>'matrik MISI 2'!V83</f>
        <v>100</v>
      </c>
      <c r="U441" s="564"/>
      <c r="V441" s="563">
        <f>'matrik MISI 2'!W83</f>
        <v>100</v>
      </c>
      <c r="W441" s="564"/>
      <c r="X441" s="563">
        <f>'matrik MISI 2'!X83</f>
        <v>0</v>
      </c>
      <c r="Y441" s="563" t="str">
        <f>'matrik MISI 2'!Y83</f>
        <v>Jumlah Madrasah Diniyah yang dibantu dibagi Jumlah Madrasah Diniyah yang mengajukan proposal x 100</v>
      </c>
      <c r="Z441" s="563" t="str">
        <f>'matrik MISI 2'!Z83</f>
        <v>Madrasah Diniyah yang mengajukan proposal adalah yang memenuhi syarat-syarat yang ditentukan</v>
      </c>
    </row>
    <row r="442" spans="1:454" s="574" customFormat="1" ht="30">
      <c r="A442" s="569"/>
      <c r="B442" s="575"/>
      <c r="C442" s="576"/>
      <c r="D442" s="577">
        <f>'matrik MISI 2'!J85</f>
        <v>1.17</v>
      </c>
      <c r="E442" s="577" t="str">
        <f>'matrik MISI 2'!K85</f>
        <v>xx</v>
      </c>
      <c r="F442" s="577">
        <f>'matrik MISI 2'!L85</f>
        <v>16</v>
      </c>
      <c r="G442" s="577" t="str">
        <f>'matrik MISI 2'!M85</f>
        <v>Program Pengelolaan Kekayaan Budaya</v>
      </c>
      <c r="H442" s="577"/>
      <c r="I442" s="577"/>
      <c r="J442" s="577"/>
      <c r="K442" s="577"/>
      <c r="L442" s="577"/>
      <c r="M442" s="578">
        <f>'jangan di hapus 1'!K879</f>
        <v>260000000</v>
      </c>
      <c r="N442" s="578"/>
      <c r="O442" s="578">
        <f>'jangan di hapus 1'!M879</f>
        <v>230719200</v>
      </c>
      <c r="P442" s="578"/>
      <c r="Q442" s="578">
        <f>'jangan di hapus 1'!O879</f>
        <v>955000000</v>
      </c>
      <c r="R442" s="578"/>
      <c r="S442" s="578">
        <f>'jangan di hapus 1'!Q879</f>
        <v>975000000</v>
      </c>
      <c r="T442" s="578"/>
      <c r="U442" s="578">
        <f>'jangan di hapus 1'!S879</f>
        <v>1050000000</v>
      </c>
      <c r="V442" s="577"/>
      <c r="W442" s="578">
        <f>SUM(M442:U442)</f>
        <v>3470719200</v>
      </c>
      <c r="X442" s="577"/>
      <c r="Y442" s="577"/>
      <c r="Z442" s="577"/>
      <c r="AA442" s="569"/>
      <c r="AB442" s="569"/>
      <c r="AC442" s="569"/>
      <c r="AD442" s="569"/>
      <c r="AE442" s="569"/>
      <c r="AF442" s="569"/>
      <c r="AG442" s="569"/>
      <c r="AH442" s="569"/>
      <c r="AI442" s="569"/>
      <c r="AJ442" s="569"/>
      <c r="AK442" s="569"/>
      <c r="AL442" s="569"/>
      <c r="AM442" s="569"/>
      <c r="AN442" s="569"/>
      <c r="AO442" s="569"/>
      <c r="AP442" s="569"/>
      <c r="AQ442" s="569"/>
      <c r="AR442" s="569"/>
      <c r="AS442" s="569"/>
      <c r="AT442" s="569"/>
      <c r="AU442" s="569"/>
      <c r="AV442" s="569"/>
      <c r="AW442" s="569"/>
      <c r="AX442" s="569"/>
      <c r="AY442" s="569"/>
      <c r="AZ442" s="569"/>
      <c r="BA442" s="569"/>
      <c r="BB442" s="569"/>
      <c r="BC442" s="569"/>
      <c r="BD442" s="569"/>
      <c r="BE442" s="569"/>
      <c r="BF442" s="569"/>
      <c r="BG442" s="569"/>
      <c r="BH442" s="569"/>
      <c r="BI442" s="569"/>
      <c r="BJ442" s="569"/>
      <c r="BK442" s="569"/>
      <c r="BL442" s="569"/>
      <c r="BM442" s="569"/>
      <c r="BN442" s="569"/>
      <c r="BO442" s="569"/>
      <c r="BP442" s="569"/>
      <c r="BQ442" s="569"/>
      <c r="BR442" s="569"/>
      <c r="BS442" s="569"/>
      <c r="BT442" s="569"/>
      <c r="BU442" s="569"/>
      <c r="BV442" s="569"/>
      <c r="BW442" s="569"/>
      <c r="BX442" s="569"/>
      <c r="BY442" s="569"/>
      <c r="BZ442" s="569"/>
      <c r="CA442" s="569"/>
      <c r="CB442" s="569"/>
      <c r="CC442" s="569"/>
      <c r="CD442" s="569"/>
      <c r="CE442" s="569"/>
      <c r="CF442" s="569"/>
      <c r="CG442" s="569"/>
      <c r="CH442" s="569"/>
      <c r="CI442" s="569"/>
      <c r="CJ442" s="569"/>
      <c r="CK442" s="569"/>
      <c r="CL442" s="569"/>
      <c r="CM442" s="569"/>
      <c r="CN442" s="569"/>
      <c r="CO442" s="569"/>
      <c r="CP442" s="569"/>
      <c r="CQ442" s="569"/>
      <c r="CR442" s="569"/>
      <c r="CS442" s="569"/>
      <c r="CT442" s="569"/>
      <c r="CU442" s="569"/>
      <c r="CV442" s="569"/>
      <c r="CW442" s="569"/>
      <c r="CX442" s="569"/>
      <c r="CY442" s="569"/>
      <c r="CZ442" s="569"/>
      <c r="DA442" s="569"/>
      <c r="DB442" s="569"/>
      <c r="DC442" s="569"/>
      <c r="DD442" s="569"/>
      <c r="DE442" s="569"/>
      <c r="DF442" s="569"/>
      <c r="DG442" s="569"/>
      <c r="DH442" s="569"/>
      <c r="DI442" s="569"/>
      <c r="DJ442" s="569"/>
      <c r="DK442" s="569"/>
      <c r="DL442" s="569"/>
      <c r="DM442" s="569"/>
      <c r="DN442" s="569"/>
      <c r="DO442" s="569"/>
      <c r="DP442" s="569"/>
      <c r="DQ442" s="569"/>
      <c r="DR442" s="569"/>
      <c r="DS442" s="569"/>
      <c r="DT442" s="569"/>
      <c r="DU442" s="569"/>
      <c r="DV442" s="569"/>
      <c r="DW442" s="569"/>
      <c r="DX442" s="569"/>
      <c r="DY442" s="569"/>
      <c r="DZ442" s="569"/>
      <c r="EA442" s="569"/>
      <c r="EB442" s="569"/>
      <c r="EC442" s="569"/>
      <c r="ED442" s="569"/>
      <c r="EE442" s="569"/>
      <c r="EF442" s="569"/>
      <c r="EG442" s="569"/>
      <c r="EH442" s="569"/>
      <c r="EI442" s="569"/>
      <c r="EJ442" s="569"/>
      <c r="EK442" s="569"/>
      <c r="EL442" s="569"/>
      <c r="EM442" s="569"/>
      <c r="EN442" s="569"/>
      <c r="EO442" s="569"/>
      <c r="EP442" s="569"/>
      <c r="EQ442" s="569"/>
      <c r="ER442" s="569"/>
      <c r="ES442" s="569"/>
      <c r="ET442" s="569"/>
      <c r="EU442" s="569"/>
      <c r="EV442" s="569"/>
      <c r="EW442" s="569"/>
      <c r="EX442" s="569"/>
      <c r="EY442" s="569"/>
      <c r="EZ442" s="569"/>
      <c r="FA442" s="569"/>
      <c r="FB442" s="569"/>
      <c r="FC442" s="569"/>
      <c r="FD442" s="569"/>
      <c r="FE442" s="569"/>
      <c r="FF442" s="569"/>
      <c r="FG442" s="569"/>
      <c r="FH442" s="569"/>
      <c r="FI442" s="569"/>
      <c r="FJ442" s="569"/>
      <c r="FK442" s="569"/>
      <c r="FL442" s="569"/>
      <c r="FM442" s="569"/>
      <c r="FN442" s="569"/>
      <c r="FO442" s="569"/>
      <c r="FP442" s="569"/>
      <c r="FQ442" s="569"/>
      <c r="FR442" s="569"/>
      <c r="FS442" s="569"/>
      <c r="FT442" s="569"/>
      <c r="FU442" s="569"/>
      <c r="FV442" s="569"/>
      <c r="FW442" s="569"/>
      <c r="FX442" s="569"/>
      <c r="FY442" s="569"/>
      <c r="FZ442" s="569"/>
      <c r="GA442" s="569"/>
      <c r="GB442" s="569"/>
      <c r="GC442" s="569"/>
      <c r="GD442" s="569"/>
      <c r="GE442" s="569"/>
      <c r="GF442" s="569"/>
      <c r="GG442" s="569"/>
      <c r="GH442" s="569"/>
      <c r="GI442" s="569"/>
      <c r="GJ442" s="569"/>
      <c r="GK442" s="569"/>
      <c r="GL442" s="569"/>
      <c r="GM442" s="569"/>
      <c r="GN442" s="569"/>
      <c r="GO442" s="569"/>
      <c r="GP442" s="569"/>
      <c r="GQ442" s="569"/>
      <c r="GR442" s="569"/>
      <c r="GS442" s="569"/>
      <c r="GT442" s="569"/>
      <c r="GU442" s="569"/>
      <c r="GV442" s="569"/>
      <c r="GW442" s="569"/>
      <c r="GX442" s="569"/>
      <c r="GY442" s="569"/>
      <c r="GZ442" s="569"/>
      <c r="HA442" s="569"/>
      <c r="HB442" s="569"/>
      <c r="HC442" s="569"/>
      <c r="HD442" s="569"/>
      <c r="HE442" s="569"/>
      <c r="HF442" s="569"/>
      <c r="HG442" s="569"/>
      <c r="HH442" s="569"/>
      <c r="HI442" s="569"/>
      <c r="HJ442" s="569"/>
      <c r="HK442" s="569"/>
      <c r="HL442" s="569"/>
      <c r="HM442" s="569"/>
      <c r="HN442" s="569"/>
      <c r="HO442" s="569"/>
      <c r="HP442" s="569"/>
      <c r="HQ442" s="569"/>
      <c r="HR442" s="569"/>
      <c r="HS442" s="569"/>
      <c r="HT442" s="569"/>
      <c r="HU442" s="569"/>
      <c r="HV442" s="569"/>
      <c r="HW442" s="569"/>
      <c r="HX442" s="569"/>
      <c r="HY442" s="569"/>
      <c r="HZ442" s="569"/>
      <c r="IA442" s="569"/>
      <c r="IB442" s="569"/>
      <c r="IC442" s="569"/>
      <c r="ID442" s="569"/>
      <c r="IE442" s="569"/>
      <c r="IF442" s="569"/>
      <c r="IG442" s="569"/>
      <c r="IH442" s="569"/>
      <c r="II442" s="569"/>
      <c r="IJ442" s="569"/>
      <c r="IK442" s="569"/>
      <c r="IL442" s="569"/>
      <c r="IM442" s="569"/>
      <c r="IN442" s="569"/>
      <c r="IO442" s="569"/>
      <c r="IP442" s="569"/>
      <c r="IQ442" s="569"/>
      <c r="IR442" s="569"/>
      <c r="IS442" s="569"/>
      <c r="IT442" s="569"/>
      <c r="IU442" s="569"/>
      <c r="IV442" s="569"/>
      <c r="IW442" s="569"/>
      <c r="IX442" s="569"/>
      <c r="IY442" s="569"/>
      <c r="IZ442" s="569"/>
      <c r="JA442" s="569"/>
      <c r="JB442" s="569"/>
      <c r="JC442" s="569"/>
      <c r="JD442" s="569"/>
      <c r="JE442" s="569"/>
      <c r="JF442" s="569"/>
      <c r="JG442" s="569"/>
      <c r="JH442" s="569"/>
      <c r="JI442" s="569"/>
      <c r="JJ442" s="569"/>
      <c r="JK442" s="569"/>
      <c r="JL442" s="569"/>
      <c r="JM442" s="569"/>
      <c r="JN442" s="569"/>
      <c r="JO442" s="569"/>
      <c r="JP442" s="569"/>
      <c r="JQ442" s="569"/>
      <c r="JR442" s="569"/>
      <c r="JS442" s="569"/>
      <c r="JT442" s="569"/>
      <c r="JU442" s="569"/>
      <c r="JV442" s="569"/>
      <c r="JW442" s="569"/>
      <c r="JX442" s="569"/>
      <c r="JY442" s="569"/>
      <c r="JZ442" s="569"/>
      <c r="KA442" s="569"/>
      <c r="KB442" s="569"/>
      <c r="KC442" s="569"/>
      <c r="KD442" s="569"/>
      <c r="KE442" s="569"/>
      <c r="KF442" s="569"/>
      <c r="KG442" s="569"/>
      <c r="KH442" s="569"/>
      <c r="KI442" s="569"/>
      <c r="KJ442" s="569"/>
      <c r="KK442" s="569"/>
      <c r="KL442" s="569"/>
      <c r="KM442" s="569"/>
      <c r="KN442" s="569"/>
      <c r="KO442" s="569"/>
      <c r="KP442" s="569"/>
      <c r="KQ442" s="569"/>
      <c r="KR442" s="569"/>
      <c r="KS442" s="569"/>
      <c r="KT442" s="569"/>
      <c r="KU442" s="569"/>
      <c r="KV442" s="569"/>
      <c r="KW442" s="569"/>
      <c r="KX442" s="569"/>
      <c r="KY442" s="569"/>
      <c r="KZ442" s="569"/>
      <c r="LA442" s="569"/>
      <c r="LB442" s="569"/>
      <c r="LC442" s="569"/>
      <c r="LD442" s="569"/>
      <c r="LE442" s="569"/>
      <c r="LF442" s="569"/>
      <c r="LG442" s="569"/>
      <c r="LH442" s="569"/>
      <c r="LI442" s="569"/>
      <c r="LJ442" s="569"/>
      <c r="LK442" s="569"/>
      <c r="LL442" s="569"/>
      <c r="LM442" s="569"/>
      <c r="LN442" s="569"/>
      <c r="LO442" s="569"/>
      <c r="LP442" s="569"/>
      <c r="LQ442" s="569"/>
      <c r="LR442" s="569"/>
      <c r="LS442" s="569"/>
      <c r="LT442" s="569"/>
      <c r="LU442" s="569"/>
      <c r="LV442" s="569"/>
      <c r="LW442" s="569"/>
      <c r="LX442" s="569"/>
      <c r="LY442" s="569"/>
      <c r="LZ442" s="569"/>
      <c r="MA442" s="569"/>
      <c r="MB442" s="569"/>
      <c r="MC442" s="569"/>
      <c r="MD442" s="569"/>
      <c r="ME442" s="569"/>
      <c r="MF442" s="569"/>
      <c r="MG442" s="569"/>
      <c r="MH442" s="569"/>
      <c r="MI442" s="569"/>
      <c r="MJ442" s="569"/>
      <c r="MK442" s="569"/>
      <c r="ML442" s="569"/>
      <c r="MM442" s="569"/>
      <c r="MN442" s="569"/>
      <c r="MO442" s="569"/>
      <c r="MP442" s="569"/>
      <c r="MQ442" s="569"/>
      <c r="MR442" s="569"/>
      <c r="MS442" s="569"/>
      <c r="MT442" s="569"/>
      <c r="MU442" s="569"/>
      <c r="MV442" s="569"/>
      <c r="MW442" s="569"/>
      <c r="MX442" s="569"/>
      <c r="MY442" s="569"/>
      <c r="MZ442" s="569"/>
      <c r="NA442" s="569"/>
      <c r="NB442" s="569"/>
      <c r="NC442" s="569"/>
      <c r="ND442" s="569"/>
      <c r="NE442" s="569"/>
      <c r="NF442" s="569"/>
      <c r="NG442" s="569"/>
      <c r="NH442" s="569"/>
      <c r="NI442" s="569"/>
      <c r="NJ442" s="569"/>
      <c r="NK442" s="569"/>
      <c r="NL442" s="569"/>
      <c r="NM442" s="569"/>
      <c r="NN442" s="569"/>
      <c r="NO442" s="569"/>
      <c r="NP442" s="569"/>
      <c r="NQ442" s="569"/>
      <c r="NR442" s="569"/>
      <c r="NS442" s="569"/>
      <c r="NT442" s="569"/>
      <c r="NU442" s="569"/>
      <c r="NV442" s="569"/>
      <c r="NW442" s="569"/>
      <c r="NX442" s="569"/>
      <c r="NY442" s="569"/>
      <c r="NZ442" s="569"/>
      <c r="OA442" s="569"/>
      <c r="OB442" s="569"/>
      <c r="OC442" s="569"/>
      <c r="OD442" s="569"/>
      <c r="OE442" s="569"/>
      <c r="OF442" s="569"/>
      <c r="OG442" s="569"/>
      <c r="OH442" s="569"/>
      <c r="OI442" s="569"/>
      <c r="OJ442" s="569"/>
      <c r="OK442" s="569"/>
      <c r="OL442" s="569"/>
      <c r="OM442" s="569"/>
      <c r="ON442" s="569"/>
      <c r="OO442" s="569"/>
      <c r="OP442" s="569"/>
      <c r="OQ442" s="569"/>
      <c r="OR442" s="569"/>
      <c r="OS442" s="569"/>
      <c r="OT442" s="569"/>
      <c r="OU442" s="569"/>
      <c r="OV442" s="569"/>
      <c r="OW442" s="569"/>
      <c r="OX442" s="569"/>
      <c r="OY442" s="569"/>
      <c r="OZ442" s="569"/>
      <c r="PA442" s="569"/>
      <c r="PB442" s="569"/>
      <c r="PC442" s="569"/>
      <c r="PD442" s="569"/>
      <c r="PE442" s="569"/>
      <c r="PF442" s="569"/>
      <c r="PG442" s="569"/>
      <c r="PH442" s="569"/>
      <c r="PI442" s="569"/>
      <c r="PJ442" s="569"/>
      <c r="PK442" s="569"/>
      <c r="PL442" s="569"/>
      <c r="PM442" s="569"/>
      <c r="PN442" s="569"/>
      <c r="PO442" s="569"/>
      <c r="PP442" s="569"/>
      <c r="PQ442" s="569"/>
      <c r="PR442" s="569"/>
      <c r="PS442" s="569"/>
      <c r="PT442" s="569"/>
      <c r="PU442" s="569"/>
      <c r="PV442" s="569"/>
      <c r="PW442" s="569"/>
      <c r="PX442" s="569"/>
      <c r="PY442" s="569"/>
      <c r="PZ442" s="569"/>
      <c r="QA442" s="569"/>
      <c r="QB442" s="569"/>
      <c r="QC442" s="569"/>
      <c r="QD442" s="569"/>
      <c r="QE442" s="569"/>
      <c r="QF442" s="569"/>
      <c r="QG442" s="569"/>
      <c r="QH442" s="569"/>
      <c r="QI442" s="569"/>
      <c r="QJ442" s="569"/>
      <c r="QK442" s="569"/>
      <c r="QL442" s="569"/>
    </row>
    <row r="443" spans="1:454" ht="30">
      <c r="B443" s="568"/>
      <c r="C443" s="568"/>
      <c r="D443" s="568"/>
      <c r="E443" s="568"/>
      <c r="F443" s="568"/>
      <c r="G443" s="568"/>
      <c r="H443" s="563" t="str">
        <f>'matrik MISI 2'!N85</f>
        <v>Cakupan Pemeliharaan Nilai Tradisi Budaya</v>
      </c>
      <c r="I443" s="563" t="str">
        <f>'matrik MISI 2'!O85</f>
        <v>%</v>
      </c>
      <c r="J443" s="563">
        <f>'matrik MISI 2'!P85</f>
        <v>0.05</v>
      </c>
      <c r="K443" s="563">
        <f>'matrik MISI 2'!Q85</f>
        <v>0.1</v>
      </c>
      <c r="L443" s="563">
        <f>'matrik MISI 2'!R85</f>
        <v>0.15</v>
      </c>
      <c r="M443" s="604"/>
      <c r="N443" s="563">
        <f>'matrik MISI 2'!S85</f>
        <v>0.18</v>
      </c>
      <c r="O443" s="564"/>
      <c r="P443" s="563">
        <f>'matrik MISI 2'!T85</f>
        <v>0.21</v>
      </c>
      <c r="Q443" s="564"/>
      <c r="R443" s="563">
        <f>'matrik MISI 2'!U85</f>
        <v>0.25</v>
      </c>
      <c r="S443" s="564"/>
      <c r="T443" s="563">
        <f>'matrik MISI 2'!V85</f>
        <v>0.28000000000000003</v>
      </c>
      <c r="U443" s="564"/>
      <c r="V443" s="563">
        <f>'matrik MISI 2'!W85</f>
        <v>0.28000000000000003</v>
      </c>
      <c r="W443" s="564"/>
      <c r="X443" s="563" t="str">
        <f>'matrik MISI 2'!X85</f>
        <v>Dinbudparpora</v>
      </c>
      <c r="Y443" s="563" t="str">
        <f>'matrik MISI 2'!Y85</f>
        <v>Jumlah Tradisi Budaya yang dipelihara dibagi Jumlah Tradisi Budaya yang ada X 100</v>
      </c>
      <c r="Z443" s="563">
        <f>'matrik MISI 2'!Z85</f>
        <v>0</v>
      </c>
    </row>
    <row r="444" spans="1:454" ht="30">
      <c r="G444" s="563"/>
      <c r="H444" s="563" t="str">
        <f>'matrik MISI 2'!N86</f>
        <v>Cakupan Pemeliharaan Benda-benda Bersejarah dan Arkeologi</v>
      </c>
      <c r="I444" s="563">
        <f>'matrik MISI 2'!O86</f>
        <v>0</v>
      </c>
      <c r="J444" s="563">
        <f>'matrik MISI 2'!P86</f>
        <v>6.38</v>
      </c>
      <c r="K444" s="563">
        <f>'matrik MISI 2'!Q86</f>
        <v>6.38</v>
      </c>
      <c r="L444" s="563">
        <f>'matrik MISI 2'!R86</f>
        <v>6.38</v>
      </c>
      <c r="M444" s="604"/>
      <c r="N444" s="563">
        <f>'matrik MISI 2'!S86</f>
        <v>6.38</v>
      </c>
      <c r="O444" s="564"/>
      <c r="P444" s="563">
        <f>'matrik MISI 2'!T86</f>
        <v>6.38</v>
      </c>
      <c r="Q444" s="564"/>
      <c r="R444" s="563">
        <f>'matrik MISI 2'!U86</f>
        <v>6.38</v>
      </c>
      <c r="S444" s="564"/>
      <c r="T444" s="563">
        <f>'matrik MISI 2'!V86</f>
        <v>6.38</v>
      </c>
      <c r="U444" s="564"/>
      <c r="V444" s="563">
        <f>'matrik MISI 2'!W86</f>
        <v>6.38</v>
      </c>
      <c r="W444" s="564"/>
      <c r="X444" s="563" t="str">
        <f>'matrik MISI 2'!X86</f>
        <v>Dinbudparpora</v>
      </c>
      <c r="Y444" s="563" t="str">
        <f>'matrik MISI 2'!Y86</f>
        <v>Jumlah Benda-benda Bersejarah dan Arkeologi yang dipelihara dibagi Jumlah seluruh Benda-benda Bersejarah dan Arkeologi yang ada X 100</v>
      </c>
      <c r="Z444" s="563">
        <f>'matrik MISI 2'!Z86</f>
        <v>0</v>
      </c>
    </row>
    <row r="445" spans="1:454">
      <c r="G445" s="563"/>
      <c r="H445" s="563" t="str">
        <f>'matrik MISI 2'!N96</f>
        <v>Cakupan Fasilitas Cagar Budaya</v>
      </c>
      <c r="I445" s="563" t="str">
        <f>'matrik MISI 2'!O96</f>
        <v>%</v>
      </c>
      <c r="J445" s="563">
        <f>'matrik MISI 2'!P96</f>
        <v>2.12</v>
      </c>
      <c r="K445" s="563">
        <f>'matrik MISI 2'!Q96</f>
        <v>2.12</v>
      </c>
      <c r="L445" s="563">
        <f>'matrik MISI 2'!R96</f>
        <v>2.12</v>
      </c>
      <c r="M445" s="604"/>
      <c r="N445" s="563">
        <f>'matrik MISI 2'!S96</f>
        <v>2.12</v>
      </c>
      <c r="O445" s="564"/>
      <c r="P445" s="563">
        <f>'matrik MISI 2'!T96</f>
        <v>2.12</v>
      </c>
      <c r="Q445" s="564"/>
      <c r="R445" s="563">
        <f>'matrik MISI 2'!U96</f>
        <v>2.12</v>
      </c>
      <c r="S445" s="564"/>
      <c r="T445" s="563">
        <f>'matrik MISI 2'!V96</f>
        <v>2.12</v>
      </c>
      <c r="U445" s="564"/>
      <c r="V445" s="563">
        <f>'matrik MISI 2'!W96</f>
        <v>2.12</v>
      </c>
      <c r="W445" s="564"/>
      <c r="X445" s="563" t="str">
        <f>'matrik MISI 2'!X96</f>
        <v>Dinbudparpora</v>
      </c>
      <c r="Y445" s="563" t="str">
        <f>'matrik MISI 2'!Y96</f>
        <v>Jumlah Cagar Budaya yang difasilitasi dibagi Jumlah Cagar Budaya kali 100</v>
      </c>
      <c r="Z445" s="563">
        <f>'matrik MISI 2'!Z96</f>
        <v>0</v>
      </c>
    </row>
    <row r="446" spans="1:454" ht="30">
      <c r="G446" s="563"/>
      <c r="H446" s="563" t="str">
        <f>'matrik MISI 2'!N97</f>
        <v>Cakupan Promosi Cagar Budaya</v>
      </c>
      <c r="I446" s="563" t="str">
        <f>'matrik MISI 2'!O97</f>
        <v>%</v>
      </c>
      <c r="J446" s="563">
        <f>'matrik MISI 2'!P97</f>
        <v>0.02</v>
      </c>
      <c r="K446" s="563">
        <f>'matrik MISI 2'!Q97</f>
        <v>0.02</v>
      </c>
      <c r="L446" s="563">
        <f>'matrik MISI 2'!R97</f>
        <v>0.02</v>
      </c>
      <c r="M446" s="604"/>
      <c r="N446" s="563">
        <f>'matrik MISI 2'!S97</f>
        <v>0.31</v>
      </c>
      <c r="O446" s="564"/>
      <c r="P446" s="563">
        <f>'matrik MISI 2'!T97</f>
        <v>0.42</v>
      </c>
      <c r="Q446" s="564"/>
      <c r="R446" s="563">
        <f>'matrik MISI 2'!U97</f>
        <v>0.53</v>
      </c>
      <c r="S446" s="564"/>
      <c r="T446" s="563">
        <f>'matrik MISI 2'!V97</f>
        <v>0.63</v>
      </c>
      <c r="U446" s="564"/>
      <c r="V446" s="563">
        <f>'matrik MISI 2'!W97</f>
        <v>0.65</v>
      </c>
      <c r="W446" s="564"/>
      <c r="X446" s="563" t="str">
        <f>'matrik MISI 2'!X97</f>
        <v>Dinbudparpora</v>
      </c>
      <c r="Y446" s="563" t="str">
        <f>'matrik MISI 2'!Y97</f>
        <v>Jumlah Cagar Budaya yang dipromosikan dibagi Jumlah cagar Budaya kali 100</v>
      </c>
      <c r="Z446" s="563">
        <f>'matrik MISI 2'!Z97</f>
        <v>0</v>
      </c>
    </row>
    <row r="447" spans="1:454" ht="45">
      <c r="G447" s="563"/>
      <c r="H447" s="563" t="str">
        <f>'matrik MISI 2'!N98</f>
        <v>Cakupan Pengembangan Sarana dan Prasarana Budaya dan Kebudayaan</v>
      </c>
      <c r="I447" s="563" t="str">
        <f>'matrik MISI 2'!O98</f>
        <v>%</v>
      </c>
      <c r="J447" s="563">
        <f>'matrik MISI 2'!P98</f>
        <v>100</v>
      </c>
      <c r="K447" s="563">
        <f>'matrik MISI 2'!Q98</f>
        <v>100</v>
      </c>
      <c r="L447" s="563">
        <f>'matrik MISI 2'!R98</f>
        <v>100</v>
      </c>
      <c r="M447" s="604"/>
      <c r="N447" s="563">
        <f>'matrik MISI 2'!S98</f>
        <v>100</v>
      </c>
      <c r="O447" s="564"/>
      <c r="P447" s="563">
        <f>'matrik MISI 2'!T98</f>
        <v>100</v>
      </c>
      <c r="Q447" s="564"/>
      <c r="R447" s="563">
        <f>'matrik MISI 2'!U98</f>
        <v>100</v>
      </c>
      <c r="S447" s="564"/>
      <c r="T447" s="563">
        <f>'matrik MISI 2'!V98</f>
        <v>100</v>
      </c>
      <c r="U447" s="564"/>
      <c r="V447" s="563">
        <f>'matrik MISI 2'!W98</f>
        <v>100</v>
      </c>
      <c r="W447" s="564"/>
      <c r="X447" s="563" t="str">
        <f>'matrik MISI 2'!X98</f>
        <v>Dinbudparpora</v>
      </c>
      <c r="Y447" s="563" t="str">
        <f>'matrik MISI 2'!Y98</f>
        <v xml:space="preserve">Jumlah Sarana dan Prasarana Budaya dan Kebudayaan yang dikembangkan dibagi Jumlah Sarana dan Prasarana Budaya dan Kebudayaan kali 100 </v>
      </c>
      <c r="Z447" s="563">
        <f>'matrik MISI 2'!Z98</f>
        <v>0</v>
      </c>
    </row>
    <row r="448" spans="1:454" s="574" customFormat="1" ht="30">
      <c r="A448" s="569"/>
      <c r="B448" s="575"/>
      <c r="C448" s="576"/>
      <c r="D448" s="577">
        <f>'matrik MISI 2'!J88</f>
        <v>1.17</v>
      </c>
      <c r="E448" s="577" t="str">
        <f>'matrik MISI 2'!K88</f>
        <v>xx</v>
      </c>
      <c r="F448" s="577">
        <f>'matrik MISI 2'!L88</f>
        <v>17</v>
      </c>
      <c r="G448" s="577" t="str">
        <f>'matrik MISI 2'!M88</f>
        <v>Program Pengelolaan Keragaman Budaya</v>
      </c>
      <c r="H448" s="577"/>
      <c r="I448" s="577"/>
      <c r="J448" s="577"/>
      <c r="K448" s="577"/>
      <c r="L448" s="577"/>
      <c r="M448" s="578">
        <f>'jangan di hapus 1'!K888</f>
        <v>397750000</v>
      </c>
      <c r="N448" s="578"/>
      <c r="O448" s="578">
        <f>'jangan di hapus 1'!M888</f>
        <v>386062000</v>
      </c>
      <c r="P448" s="578"/>
      <c r="Q448" s="578">
        <f>'jangan di hapus 1'!O888</f>
        <v>547000000</v>
      </c>
      <c r="R448" s="578"/>
      <c r="S448" s="578">
        <f>'jangan di hapus 1'!Q888</f>
        <v>665000000</v>
      </c>
      <c r="T448" s="578"/>
      <c r="U448" s="578">
        <f>'jangan di hapus 1'!S888</f>
        <v>572000000</v>
      </c>
      <c r="V448" s="577"/>
      <c r="W448" s="578">
        <f>SUM(M448:U448)</f>
        <v>2567812000</v>
      </c>
      <c r="X448" s="577"/>
      <c r="Y448" s="577"/>
      <c r="Z448" s="577"/>
      <c r="AA448" s="569"/>
      <c r="AB448" s="569"/>
      <c r="AC448" s="569"/>
      <c r="AD448" s="569"/>
      <c r="AE448" s="569"/>
      <c r="AF448" s="569"/>
      <c r="AG448" s="569"/>
      <c r="AH448" s="569"/>
      <c r="AI448" s="569"/>
      <c r="AJ448" s="569"/>
      <c r="AK448" s="569"/>
      <c r="AL448" s="569"/>
      <c r="AM448" s="569"/>
      <c r="AN448" s="569"/>
      <c r="AO448" s="569"/>
      <c r="AP448" s="569"/>
      <c r="AQ448" s="569"/>
      <c r="AR448" s="569"/>
      <c r="AS448" s="569"/>
      <c r="AT448" s="569"/>
      <c r="AU448" s="569"/>
      <c r="AV448" s="569"/>
      <c r="AW448" s="569"/>
      <c r="AX448" s="569"/>
      <c r="AY448" s="569"/>
      <c r="AZ448" s="569"/>
      <c r="BA448" s="569"/>
      <c r="BB448" s="569"/>
      <c r="BC448" s="569"/>
      <c r="BD448" s="569"/>
      <c r="BE448" s="569"/>
      <c r="BF448" s="569"/>
      <c r="BG448" s="569"/>
      <c r="BH448" s="569"/>
      <c r="BI448" s="569"/>
      <c r="BJ448" s="569"/>
      <c r="BK448" s="569"/>
      <c r="BL448" s="569"/>
      <c r="BM448" s="569"/>
      <c r="BN448" s="569"/>
      <c r="BO448" s="569"/>
      <c r="BP448" s="569"/>
      <c r="BQ448" s="569"/>
      <c r="BR448" s="569"/>
      <c r="BS448" s="569"/>
      <c r="BT448" s="569"/>
      <c r="BU448" s="569"/>
      <c r="BV448" s="569"/>
      <c r="BW448" s="569"/>
      <c r="BX448" s="569"/>
      <c r="BY448" s="569"/>
      <c r="BZ448" s="569"/>
      <c r="CA448" s="569"/>
      <c r="CB448" s="569"/>
      <c r="CC448" s="569"/>
      <c r="CD448" s="569"/>
      <c r="CE448" s="569"/>
      <c r="CF448" s="569"/>
      <c r="CG448" s="569"/>
      <c r="CH448" s="569"/>
      <c r="CI448" s="569"/>
      <c r="CJ448" s="569"/>
      <c r="CK448" s="569"/>
      <c r="CL448" s="569"/>
      <c r="CM448" s="569"/>
      <c r="CN448" s="569"/>
      <c r="CO448" s="569"/>
      <c r="CP448" s="569"/>
      <c r="CQ448" s="569"/>
      <c r="CR448" s="569"/>
      <c r="CS448" s="569"/>
      <c r="CT448" s="569"/>
      <c r="CU448" s="569"/>
      <c r="CV448" s="569"/>
      <c r="CW448" s="569"/>
      <c r="CX448" s="569"/>
      <c r="CY448" s="569"/>
      <c r="CZ448" s="569"/>
      <c r="DA448" s="569"/>
      <c r="DB448" s="569"/>
      <c r="DC448" s="569"/>
      <c r="DD448" s="569"/>
      <c r="DE448" s="569"/>
      <c r="DF448" s="569"/>
      <c r="DG448" s="569"/>
      <c r="DH448" s="569"/>
      <c r="DI448" s="569"/>
      <c r="DJ448" s="569"/>
      <c r="DK448" s="569"/>
      <c r="DL448" s="569"/>
      <c r="DM448" s="569"/>
      <c r="DN448" s="569"/>
      <c r="DO448" s="569"/>
      <c r="DP448" s="569"/>
      <c r="DQ448" s="569"/>
      <c r="DR448" s="569"/>
      <c r="DS448" s="569"/>
      <c r="DT448" s="569"/>
      <c r="DU448" s="569"/>
      <c r="DV448" s="569"/>
      <c r="DW448" s="569"/>
      <c r="DX448" s="569"/>
      <c r="DY448" s="569"/>
      <c r="DZ448" s="569"/>
      <c r="EA448" s="569"/>
      <c r="EB448" s="569"/>
      <c r="EC448" s="569"/>
      <c r="ED448" s="569"/>
      <c r="EE448" s="569"/>
      <c r="EF448" s="569"/>
      <c r="EG448" s="569"/>
      <c r="EH448" s="569"/>
      <c r="EI448" s="569"/>
      <c r="EJ448" s="569"/>
      <c r="EK448" s="569"/>
      <c r="EL448" s="569"/>
      <c r="EM448" s="569"/>
      <c r="EN448" s="569"/>
      <c r="EO448" s="569"/>
      <c r="EP448" s="569"/>
      <c r="EQ448" s="569"/>
      <c r="ER448" s="569"/>
      <c r="ES448" s="569"/>
      <c r="ET448" s="569"/>
      <c r="EU448" s="569"/>
      <c r="EV448" s="569"/>
      <c r="EW448" s="569"/>
      <c r="EX448" s="569"/>
      <c r="EY448" s="569"/>
      <c r="EZ448" s="569"/>
      <c r="FA448" s="569"/>
      <c r="FB448" s="569"/>
      <c r="FC448" s="569"/>
      <c r="FD448" s="569"/>
      <c r="FE448" s="569"/>
      <c r="FF448" s="569"/>
      <c r="FG448" s="569"/>
      <c r="FH448" s="569"/>
      <c r="FI448" s="569"/>
      <c r="FJ448" s="569"/>
      <c r="FK448" s="569"/>
      <c r="FL448" s="569"/>
      <c r="FM448" s="569"/>
      <c r="FN448" s="569"/>
      <c r="FO448" s="569"/>
      <c r="FP448" s="569"/>
      <c r="FQ448" s="569"/>
      <c r="FR448" s="569"/>
      <c r="FS448" s="569"/>
      <c r="FT448" s="569"/>
      <c r="FU448" s="569"/>
      <c r="FV448" s="569"/>
      <c r="FW448" s="569"/>
      <c r="FX448" s="569"/>
      <c r="FY448" s="569"/>
      <c r="FZ448" s="569"/>
      <c r="GA448" s="569"/>
      <c r="GB448" s="569"/>
      <c r="GC448" s="569"/>
      <c r="GD448" s="569"/>
      <c r="GE448" s="569"/>
      <c r="GF448" s="569"/>
      <c r="GG448" s="569"/>
      <c r="GH448" s="569"/>
      <c r="GI448" s="569"/>
      <c r="GJ448" s="569"/>
      <c r="GK448" s="569"/>
      <c r="GL448" s="569"/>
      <c r="GM448" s="569"/>
      <c r="GN448" s="569"/>
      <c r="GO448" s="569"/>
      <c r="GP448" s="569"/>
      <c r="GQ448" s="569"/>
      <c r="GR448" s="569"/>
      <c r="GS448" s="569"/>
      <c r="GT448" s="569"/>
      <c r="GU448" s="569"/>
      <c r="GV448" s="569"/>
      <c r="GW448" s="569"/>
      <c r="GX448" s="569"/>
      <c r="GY448" s="569"/>
      <c r="GZ448" s="569"/>
      <c r="HA448" s="569"/>
      <c r="HB448" s="569"/>
      <c r="HC448" s="569"/>
      <c r="HD448" s="569"/>
      <c r="HE448" s="569"/>
      <c r="HF448" s="569"/>
      <c r="HG448" s="569"/>
      <c r="HH448" s="569"/>
      <c r="HI448" s="569"/>
      <c r="HJ448" s="569"/>
      <c r="HK448" s="569"/>
      <c r="HL448" s="569"/>
      <c r="HM448" s="569"/>
      <c r="HN448" s="569"/>
      <c r="HO448" s="569"/>
      <c r="HP448" s="569"/>
      <c r="HQ448" s="569"/>
      <c r="HR448" s="569"/>
      <c r="HS448" s="569"/>
      <c r="HT448" s="569"/>
      <c r="HU448" s="569"/>
      <c r="HV448" s="569"/>
      <c r="HW448" s="569"/>
      <c r="HX448" s="569"/>
      <c r="HY448" s="569"/>
      <c r="HZ448" s="569"/>
      <c r="IA448" s="569"/>
      <c r="IB448" s="569"/>
      <c r="IC448" s="569"/>
      <c r="ID448" s="569"/>
      <c r="IE448" s="569"/>
      <c r="IF448" s="569"/>
      <c r="IG448" s="569"/>
      <c r="IH448" s="569"/>
      <c r="II448" s="569"/>
      <c r="IJ448" s="569"/>
      <c r="IK448" s="569"/>
      <c r="IL448" s="569"/>
      <c r="IM448" s="569"/>
      <c r="IN448" s="569"/>
      <c r="IO448" s="569"/>
      <c r="IP448" s="569"/>
      <c r="IQ448" s="569"/>
      <c r="IR448" s="569"/>
      <c r="IS448" s="569"/>
      <c r="IT448" s="569"/>
      <c r="IU448" s="569"/>
      <c r="IV448" s="569"/>
      <c r="IW448" s="569"/>
      <c r="IX448" s="569"/>
      <c r="IY448" s="569"/>
      <c r="IZ448" s="569"/>
      <c r="JA448" s="569"/>
      <c r="JB448" s="569"/>
      <c r="JC448" s="569"/>
      <c r="JD448" s="569"/>
      <c r="JE448" s="569"/>
      <c r="JF448" s="569"/>
      <c r="JG448" s="569"/>
      <c r="JH448" s="569"/>
      <c r="JI448" s="569"/>
      <c r="JJ448" s="569"/>
      <c r="JK448" s="569"/>
      <c r="JL448" s="569"/>
      <c r="JM448" s="569"/>
      <c r="JN448" s="569"/>
      <c r="JO448" s="569"/>
      <c r="JP448" s="569"/>
      <c r="JQ448" s="569"/>
      <c r="JR448" s="569"/>
      <c r="JS448" s="569"/>
      <c r="JT448" s="569"/>
      <c r="JU448" s="569"/>
      <c r="JV448" s="569"/>
      <c r="JW448" s="569"/>
      <c r="JX448" s="569"/>
      <c r="JY448" s="569"/>
      <c r="JZ448" s="569"/>
      <c r="KA448" s="569"/>
      <c r="KB448" s="569"/>
      <c r="KC448" s="569"/>
      <c r="KD448" s="569"/>
      <c r="KE448" s="569"/>
      <c r="KF448" s="569"/>
      <c r="KG448" s="569"/>
      <c r="KH448" s="569"/>
      <c r="KI448" s="569"/>
      <c r="KJ448" s="569"/>
      <c r="KK448" s="569"/>
      <c r="KL448" s="569"/>
      <c r="KM448" s="569"/>
      <c r="KN448" s="569"/>
      <c r="KO448" s="569"/>
      <c r="KP448" s="569"/>
      <c r="KQ448" s="569"/>
      <c r="KR448" s="569"/>
      <c r="KS448" s="569"/>
      <c r="KT448" s="569"/>
      <c r="KU448" s="569"/>
      <c r="KV448" s="569"/>
      <c r="KW448" s="569"/>
      <c r="KX448" s="569"/>
      <c r="KY448" s="569"/>
      <c r="KZ448" s="569"/>
      <c r="LA448" s="569"/>
      <c r="LB448" s="569"/>
      <c r="LC448" s="569"/>
      <c r="LD448" s="569"/>
      <c r="LE448" s="569"/>
      <c r="LF448" s="569"/>
      <c r="LG448" s="569"/>
      <c r="LH448" s="569"/>
      <c r="LI448" s="569"/>
      <c r="LJ448" s="569"/>
      <c r="LK448" s="569"/>
      <c r="LL448" s="569"/>
      <c r="LM448" s="569"/>
      <c r="LN448" s="569"/>
      <c r="LO448" s="569"/>
      <c r="LP448" s="569"/>
      <c r="LQ448" s="569"/>
      <c r="LR448" s="569"/>
      <c r="LS448" s="569"/>
      <c r="LT448" s="569"/>
      <c r="LU448" s="569"/>
      <c r="LV448" s="569"/>
      <c r="LW448" s="569"/>
      <c r="LX448" s="569"/>
      <c r="LY448" s="569"/>
      <c r="LZ448" s="569"/>
      <c r="MA448" s="569"/>
      <c r="MB448" s="569"/>
      <c r="MC448" s="569"/>
      <c r="MD448" s="569"/>
      <c r="ME448" s="569"/>
      <c r="MF448" s="569"/>
      <c r="MG448" s="569"/>
      <c r="MH448" s="569"/>
      <c r="MI448" s="569"/>
      <c r="MJ448" s="569"/>
      <c r="MK448" s="569"/>
      <c r="ML448" s="569"/>
      <c r="MM448" s="569"/>
      <c r="MN448" s="569"/>
      <c r="MO448" s="569"/>
      <c r="MP448" s="569"/>
      <c r="MQ448" s="569"/>
      <c r="MR448" s="569"/>
      <c r="MS448" s="569"/>
      <c r="MT448" s="569"/>
      <c r="MU448" s="569"/>
      <c r="MV448" s="569"/>
      <c r="MW448" s="569"/>
      <c r="MX448" s="569"/>
      <c r="MY448" s="569"/>
      <c r="MZ448" s="569"/>
      <c r="NA448" s="569"/>
      <c r="NB448" s="569"/>
      <c r="NC448" s="569"/>
      <c r="ND448" s="569"/>
      <c r="NE448" s="569"/>
      <c r="NF448" s="569"/>
      <c r="NG448" s="569"/>
      <c r="NH448" s="569"/>
      <c r="NI448" s="569"/>
      <c r="NJ448" s="569"/>
      <c r="NK448" s="569"/>
      <c r="NL448" s="569"/>
      <c r="NM448" s="569"/>
      <c r="NN448" s="569"/>
      <c r="NO448" s="569"/>
      <c r="NP448" s="569"/>
      <c r="NQ448" s="569"/>
      <c r="NR448" s="569"/>
      <c r="NS448" s="569"/>
      <c r="NT448" s="569"/>
      <c r="NU448" s="569"/>
      <c r="NV448" s="569"/>
      <c r="NW448" s="569"/>
      <c r="NX448" s="569"/>
      <c r="NY448" s="569"/>
      <c r="NZ448" s="569"/>
      <c r="OA448" s="569"/>
      <c r="OB448" s="569"/>
      <c r="OC448" s="569"/>
      <c r="OD448" s="569"/>
      <c r="OE448" s="569"/>
      <c r="OF448" s="569"/>
      <c r="OG448" s="569"/>
      <c r="OH448" s="569"/>
      <c r="OI448" s="569"/>
      <c r="OJ448" s="569"/>
      <c r="OK448" s="569"/>
      <c r="OL448" s="569"/>
      <c r="OM448" s="569"/>
      <c r="ON448" s="569"/>
      <c r="OO448" s="569"/>
      <c r="OP448" s="569"/>
      <c r="OQ448" s="569"/>
      <c r="OR448" s="569"/>
      <c r="OS448" s="569"/>
      <c r="OT448" s="569"/>
      <c r="OU448" s="569"/>
      <c r="OV448" s="569"/>
      <c r="OW448" s="569"/>
      <c r="OX448" s="569"/>
      <c r="OY448" s="569"/>
      <c r="OZ448" s="569"/>
      <c r="PA448" s="569"/>
      <c r="PB448" s="569"/>
      <c r="PC448" s="569"/>
      <c r="PD448" s="569"/>
      <c r="PE448" s="569"/>
      <c r="PF448" s="569"/>
      <c r="PG448" s="569"/>
      <c r="PH448" s="569"/>
      <c r="PI448" s="569"/>
      <c r="PJ448" s="569"/>
      <c r="PK448" s="569"/>
      <c r="PL448" s="569"/>
      <c r="PM448" s="569"/>
      <c r="PN448" s="569"/>
      <c r="PO448" s="569"/>
      <c r="PP448" s="569"/>
      <c r="PQ448" s="569"/>
      <c r="PR448" s="569"/>
      <c r="PS448" s="569"/>
      <c r="PT448" s="569"/>
      <c r="PU448" s="569"/>
      <c r="PV448" s="569"/>
      <c r="PW448" s="569"/>
      <c r="PX448" s="569"/>
      <c r="PY448" s="569"/>
      <c r="PZ448" s="569"/>
      <c r="QA448" s="569"/>
      <c r="QB448" s="569"/>
      <c r="QC448" s="569"/>
      <c r="QD448" s="569"/>
      <c r="QE448" s="569"/>
      <c r="QF448" s="569"/>
      <c r="QG448" s="569"/>
      <c r="QH448" s="569"/>
      <c r="QI448" s="569"/>
      <c r="QJ448" s="569"/>
      <c r="QK448" s="569"/>
      <c r="QL448" s="569"/>
    </row>
    <row r="449" spans="1:454" ht="75">
      <c r="D449" s="568"/>
      <c r="E449" s="568"/>
      <c r="F449" s="568"/>
      <c r="G449" s="568"/>
      <c r="H449" s="563" t="str">
        <f>'matrik MISI 2'!N88</f>
        <v>Cakupan Kajian Seni</v>
      </c>
      <c r="I449" s="563" t="str">
        <f>'matrik MISI 2'!O88</f>
        <v>%</v>
      </c>
      <c r="J449" s="563">
        <f>'matrik MISI 2'!P88</f>
        <v>6.6</v>
      </c>
      <c r="K449" s="563">
        <f>'matrik MISI 2'!Q88</f>
        <v>13.3</v>
      </c>
      <c r="L449" s="563">
        <f>'matrik MISI 2'!R88</f>
        <v>20</v>
      </c>
      <c r="M449" s="604"/>
      <c r="N449" s="563">
        <f>'matrik MISI 2'!S88</f>
        <v>26.6</v>
      </c>
      <c r="O449" s="564"/>
      <c r="P449" s="563">
        <f>'matrik MISI 2'!T88</f>
        <v>26.6</v>
      </c>
      <c r="Q449" s="564"/>
      <c r="R449" s="563">
        <f>'matrik MISI 2'!U88</f>
        <v>33.299999999999997</v>
      </c>
      <c r="S449" s="564"/>
      <c r="T449" s="563">
        <f>'matrik MISI 2'!V88</f>
        <v>33.299999999999997</v>
      </c>
      <c r="U449" s="564"/>
      <c r="V449" s="563">
        <f>'matrik MISI 2'!W88</f>
        <v>33.299999999999997</v>
      </c>
      <c r="W449" s="564"/>
      <c r="X449" s="563" t="str">
        <f>'matrik MISI 2'!X88</f>
        <v>Dinbudparpora</v>
      </c>
      <c r="Y449" s="563" t="str">
        <f>'matrik MISI 2'!Y88</f>
        <v>Jumlah kajian kesenian yang dilaksanakan dibagi 15 kali 100</v>
      </c>
      <c r="Z449" s="563"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50" spans="1:454" ht="30">
      <c r="G450" s="563"/>
      <c r="H450" s="563" t="str">
        <f>'matrik MISI 2'!N89</f>
        <v xml:space="preserve">Cakupan Fasilitas Seni </v>
      </c>
      <c r="I450" s="563" t="str">
        <f>'matrik MISI 2'!O89</f>
        <v>%</v>
      </c>
      <c r="J450" s="563">
        <f>'matrik MISI 2'!P89</f>
        <v>42.8</v>
      </c>
      <c r="K450" s="563">
        <f>'matrik MISI 2'!Q89</f>
        <v>42.8</v>
      </c>
      <c r="L450" s="563">
        <f>'matrik MISI 2'!R89</f>
        <v>57.1</v>
      </c>
      <c r="M450" s="604"/>
      <c r="N450" s="563">
        <f>'matrik MISI 2'!S89</f>
        <v>57.1</v>
      </c>
      <c r="O450" s="564"/>
      <c r="P450" s="563">
        <f>'matrik MISI 2'!T89</f>
        <v>71.400000000000006</v>
      </c>
      <c r="Q450" s="564"/>
      <c r="R450" s="563">
        <f>'matrik MISI 2'!U89</f>
        <v>71.400000000000006</v>
      </c>
      <c r="S450" s="564"/>
      <c r="T450" s="563">
        <f>'matrik MISI 2'!V89</f>
        <v>85.7</v>
      </c>
      <c r="U450" s="564"/>
      <c r="V450" s="563">
        <f>'matrik MISI 2'!W89</f>
        <v>85.7</v>
      </c>
      <c r="W450" s="564"/>
      <c r="X450" s="563" t="str">
        <f>'matrik MISI 2'!X89</f>
        <v>Dinbudparpora</v>
      </c>
      <c r="Y450" s="563" t="str">
        <f>'matrik MISI 2'!Y89</f>
        <v>Jumlah fasilitasi kesenian yang dilaksanakan dibagi 7 kali 100</v>
      </c>
      <c r="Z450" s="563" t="str">
        <f>'matrik MISI 2'!Z89</f>
        <v>Jenis fasilitasi kesenian meliputi penyukuhan, pemberian bantuan, bimbingan organisasi, kaderisasi, promosi, penerbitan dan kritik seni</v>
      </c>
    </row>
    <row r="451" spans="1:454">
      <c r="G451" s="563"/>
      <c r="H451" s="563" t="str">
        <f>'matrik MISI 2'!N90</f>
        <v xml:space="preserve">Cakupan Gelar Seni </v>
      </c>
      <c r="I451" s="563" t="str">
        <f>'matrik MISI 2'!O90</f>
        <v>%</v>
      </c>
      <c r="J451" s="563">
        <f>'matrik MISI 2'!P90</f>
        <v>50</v>
      </c>
      <c r="K451" s="563">
        <f>'matrik MISI 2'!Q90</f>
        <v>50</v>
      </c>
      <c r="L451" s="563">
        <f>'matrik MISI 2'!R90</f>
        <v>50</v>
      </c>
      <c r="M451" s="604"/>
      <c r="N451" s="563">
        <f>'matrik MISI 2'!S90</f>
        <v>75</v>
      </c>
      <c r="O451" s="564"/>
      <c r="P451" s="563">
        <f>'matrik MISI 2'!T90</f>
        <v>75</v>
      </c>
      <c r="Q451" s="564"/>
      <c r="R451" s="563">
        <f>'matrik MISI 2'!U90</f>
        <v>100</v>
      </c>
      <c r="S451" s="564"/>
      <c r="T451" s="563">
        <f>'matrik MISI 2'!V90</f>
        <v>100</v>
      </c>
      <c r="U451" s="564"/>
      <c r="V451" s="563">
        <f>'matrik MISI 2'!W90</f>
        <v>100</v>
      </c>
      <c r="W451" s="564"/>
      <c r="X451" s="563" t="str">
        <f>'matrik MISI 2'!X90</f>
        <v>Dinbudparpora</v>
      </c>
      <c r="Y451" s="563" t="str">
        <f>'matrik MISI 2'!Y90</f>
        <v>Jumlah gelar seni yang dilaksanakan dibagi 4 kali 100</v>
      </c>
      <c r="Z451" s="563" t="str">
        <f>'matrik MISI 2'!Z90</f>
        <v>Jenis gelar seni meliputi pergelaran, pameran, festival, lomba</v>
      </c>
    </row>
    <row r="452" spans="1:454">
      <c r="G452" s="563"/>
      <c r="H452" s="563" t="str">
        <f>'matrik MISI 2'!N91</f>
        <v xml:space="preserve">Cakupan Misi Kesenian </v>
      </c>
      <c r="I452" s="563" t="str">
        <f>'matrik MISI 2'!O91</f>
        <v>%</v>
      </c>
      <c r="J452" s="563">
        <f>'matrik MISI 2'!P91</f>
        <v>60</v>
      </c>
      <c r="K452" s="563">
        <f>'matrik MISI 2'!Q91</f>
        <v>65</v>
      </c>
      <c r="L452" s="563">
        <f>'matrik MISI 2'!R91</f>
        <v>75</v>
      </c>
      <c r="M452" s="604"/>
      <c r="N452" s="563">
        <f>'matrik MISI 2'!S91</f>
        <v>80</v>
      </c>
      <c r="O452" s="564"/>
      <c r="P452" s="563">
        <f>'matrik MISI 2'!T91</f>
        <v>85</v>
      </c>
      <c r="Q452" s="564"/>
      <c r="R452" s="563">
        <f>'matrik MISI 2'!U91</f>
        <v>90</v>
      </c>
      <c r="S452" s="564"/>
      <c r="T452" s="563">
        <f>'matrik MISI 2'!V91</f>
        <v>95</v>
      </c>
      <c r="U452" s="564"/>
      <c r="V452" s="563">
        <f>'matrik MISI 2'!W91</f>
        <v>95</v>
      </c>
      <c r="W452" s="564"/>
      <c r="X452" s="563" t="str">
        <f>'matrik MISI 2'!X91</f>
        <v>Dinbudparpora</v>
      </c>
      <c r="Y452" s="563" t="str">
        <f>'matrik MISI 2'!Y91</f>
        <v>Jumlah misi kesenian yang dilaksanakan</v>
      </c>
      <c r="Z452" s="563">
        <f>'matrik MISI 2'!Z91</f>
        <v>0</v>
      </c>
    </row>
    <row r="453" spans="1:454" ht="45">
      <c r="G453" s="563"/>
      <c r="H453" s="563" t="str">
        <f>'matrik MISI 2'!N92</f>
        <v>Cakupan Sumber Daya Manusia Kesenian</v>
      </c>
      <c r="I453" s="563" t="str">
        <f>'matrik MISI 2'!O92</f>
        <v>%</v>
      </c>
      <c r="J453" s="563">
        <f>'matrik MISI 2'!P92</f>
        <v>50</v>
      </c>
      <c r="K453" s="563">
        <f>'matrik MISI 2'!Q92</f>
        <v>50</v>
      </c>
      <c r="L453" s="563">
        <f>'matrik MISI 2'!R92</f>
        <v>50</v>
      </c>
      <c r="M453" s="604"/>
      <c r="N453" s="563">
        <f>'matrik MISI 2'!S92</f>
        <v>62.5</v>
      </c>
      <c r="O453" s="564"/>
      <c r="P453" s="563">
        <f>'matrik MISI 2'!T92</f>
        <v>75</v>
      </c>
      <c r="Q453" s="564"/>
      <c r="R453" s="563">
        <f>'matrik MISI 2'!U92</f>
        <v>75</v>
      </c>
      <c r="S453" s="564"/>
      <c r="T453" s="563">
        <f>'matrik MISI 2'!V92</f>
        <v>87.5</v>
      </c>
      <c r="U453" s="564"/>
      <c r="V453" s="563">
        <f>'matrik MISI 2'!W92</f>
        <v>87.5</v>
      </c>
      <c r="W453" s="564"/>
      <c r="X453" s="563" t="str">
        <f>'matrik MISI 2'!X92</f>
        <v>Dinbudparpora</v>
      </c>
      <c r="Y453" s="563" t="str">
        <f>'matrik MISI 2'!Y92</f>
        <v>Jumlah jenis sumber daya manusia (SDM) kesenian yang ada dibagi 8 kali 100</v>
      </c>
      <c r="Z453" s="563" t="str">
        <f>'matrik MISI 2'!Z92</f>
        <v>Kualifikasi Sumber Daya Manusia Kesenian meliputi sarjana seni, pakar seni, pamong budaya, seniman/budayawan, kritikus, insan media massa, pengusaha, penyandang dana</v>
      </c>
    </row>
    <row r="454" spans="1:454" ht="30">
      <c r="G454" s="563"/>
      <c r="H454" s="563" t="str">
        <f>'matrik MISI 2'!N93</f>
        <v>Cakupan Tempat Kesenian</v>
      </c>
      <c r="I454" s="563" t="str">
        <f>'matrik MISI 2'!O93</f>
        <v>%</v>
      </c>
      <c r="J454" s="563">
        <f>'matrik MISI 2'!P93</f>
        <v>50</v>
      </c>
      <c r="K454" s="563">
        <f>'matrik MISI 2'!Q93</f>
        <v>50</v>
      </c>
      <c r="L454" s="563">
        <f>'matrik MISI 2'!R93</f>
        <v>50</v>
      </c>
      <c r="M454" s="604"/>
      <c r="N454" s="563">
        <f>'matrik MISI 2'!S93</f>
        <v>50</v>
      </c>
      <c r="O454" s="564"/>
      <c r="P454" s="563">
        <f>'matrik MISI 2'!T93</f>
        <v>50</v>
      </c>
      <c r="Q454" s="564"/>
      <c r="R454" s="563">
        <f>'matrik MISI 2'!U93</f>
        <v>50</v>
      </c>
      <c r="S454" s="564"/>
      <c r="T454" s="563">
        <f>'matrik MISI 2'!V93</f>
        <v>50</v>
      </c>
      <c r="U454" s="564"/>
      <c r="V454" s="563">
        <f>'matrik MISI 2'!W93</f>
        <v>50</v>
      </c>
      <c r="W454" s="564"/>
      <c r="X454" s="563" t="str">
        <f>'matrik MISI 2'!X93</f>
        <v>Dinbudparpora</v>
      </c>
      <c r="Y454" s="563" t="str">
        <f>'matrik MISI 2'!Y93</f>
        <v>Jumlah tempat kesenian yang ada dibagi 2 kali 100</v>
      </c>
      <c r="Z454" s="563" t="str">
        <f>'matrik MISI 2'!Z93</f>
        <v>Tempat kesenian meliputi tempat untuk menggelar seni pertunjukan/ pameran, dan tempat memasarkan karya seni</v>
      </c>
    </row>
    <row r="455" spans="1:454" ht="30">
      <c r="G455" s="563"/>
      <c r="H455" s="563" t="str">
        <f>'matrik MISI 2'!N94</f>
        <v>Cakupan Organisasi Kesenian</v>
      </c>
      <c r="I455" s="563" t="str">
        <f>'matrik MISI 2'!O94</f>
        <v>%</v>
      </c>
      <c r="J455" s="563">
        <f>'matrik MISI 2'!P94</f>
        <v>100</v>
      </c>
      <c r="K455" s="563">
        <f>'matrik MISI 2'!Q94</f>
        <v>100</v>
      </c>
      <c r="L455" s="563">
        <f>'matrik MISI 2'!R94</f>
        <v>100</v>
      </c>
      <c r="M455" s="604"/>
      <c r="N455" s="563">
        <f>'matrik MISI 2'!S94</f>
        <v>100</v>
      </c>
      <c r="O455" s="564"/>
      <c r="P455" s="563">
        <f>'matrik MISI 2'!T94</f>
        <v>100</v>
      </c>
      <c r="Q455" s="564"/>
      <c r="R455" s="563">
        <f>'matrik MISI 2'!U94</f>
        <v>100</v>
      </c>
      <c r="S455" s="564"/>
      <c r="T455" s="563">
        <f>'matrik MISI 2'!V94</f>
        <v>100</v>
      </c>
      <c r="U455" s="564"/>
      <c r="V455" s="563">
        <f>'matrik MISI 2'!W94</f>
        <v>100</v>
      </c>
      <c r="W455" s="564"/>
      <c r="X455" s="563" t="str">
        <f>'matrik MISI 2'!X94</f>
        <v>Dinbudparpora</v>
      </c>
      <c r="Y455" s="563" t="str">
        <f>'matrik MISI 2'!Y94</f>
        <v>Jumlah organisasi kesenian yang ada dibagi 2 kali 100</v>
      </c>
      <c r="Z455" s="563" t="str">
        <f>'matrik MISI 2'!Z94</f>
        <v>Organisasi Kesenian meliputi organisasi struktural yang menangani kesenian dan lembaga/dewan kesenian</v>
      </c>
    </row>
    <row r="456" spans="1:454" s="570" customFormat="1">
      <c r="A456" s="569"/>
      <c r="B456" s="571"/>
      <c r="C456" s="572"/>
      <c r="D456" s="573"/>
      <c r="E456" s="573"/>
      <c r="F456" s="573"/>
      <c r="G456" s="571"/>
      <c r="H456" s="571"/>
      <c r="I456" s="571"/>
      <c r="J456" s="580"/>
      <c r="K456" s="580"/>
      <c r="L456" s="580"/>
      <c r="M456" s="606"/>
      <c r="N456" s="580"/>
      <c r="O456" s="581"/>
      <c r="P456" s="580"/>
      <c r="Q456" s="581"/>
      <c r="R456" s="580"/>
      <c r="S456" s="581"/>
      <c r="T456" s="580"/>
      <c r="U456" s="581"/>
      <c r="V456" s="580"/>
      <c r="W456" s="581"/>
      <c r="X456" s="571"/>
      <c r="Y456" s="580"/>
      <c r="Z456" s="580"/>
      <c r="AA456" s="569"/>
      <c r="AB456" s="569"/>
      <c r="AC456" s="569"/>
      <c r="AD456" s="569"/>
      <c r="AE456" s="569"/>
      <c r="AF456" s="569"/>
      <c r="AG456" s="569"/>
      <c r="AH456" s="569"/>
      <c r="AI456" s="569"/>
      <c r="AJ456" s="569"/>
      <c r="AK456" s="569"/>
      <c r="AL456" s="569"/>
      <c r="AM456" s="569"/>
      <c r="AN456" s="569"/>
      <c r="AO456" s="569"/>
      <c r="AP456" s="569"/>
      <c r="AQ456" s="569"/>
      <c r="AR456" s="569"/>
      <c r="AS456" s="569"/>
      <c r="AT456" s="569"/>
      <c r="AU456" s="569"/>
      <c r="AV456" s="569"/>
      <c r="AW456" s="569"/>
      <c r="AX456" s="569"/>
      <c r="AY456" s="569"/>
      <c r="AZ456" s="569"/>
      <c r="BA456" s="569"/>
      <c r="BB456" s="569"/>
      <c r="BC456" s="569"/>
      <c r="BD456" s="569"/>
      <c r="BE456" s="569"/>
      <c r="BF456" s="569"/>
      <c r="BG456" s="569"/>
      <c r="BH456" s="569"/>
      <c r="BI456" s="569"/>
      <c r="BJ456" s="569"/>
      <c r="BK456" s="569"/>
      <c r="BL456" s="569"/>
      <c r="BM456" s="569"/>
      <c r="BN456" s="569"/>
      <c r="BO456" s="569"/>
      <c r="BP456" s="569"/>
      <c r="BQ456" s="569"/>
      <c r="BR456" s="569"/>
      <c r="BS456" s="569"/>
      <c r="BT456" s="569"/>
      <c r="BU456" s="569"/>
      <c r="BV456" s="569"/>
      <c r="BW456" s="569"/>
      <c r="BX456" s="569"/>
      <c r="BY456" s="569"/>
      <c r="BZ456" s="569"/>
      <c r="CA456" s="569"/>
      <c r="CB456" s="569"/>
      <c r="CC456" s="569"/>
      <c r="CD456" s="569"/>
      <c r="CE456" s="569"/>
      <c r="CF456" s="569"/>
      <c r="CG456" s="569"/>
      <c r="CH456" s="569"/>
      <c r="CI456" s="569"/>
      <c r="CJ456" s="569"/>
      <c r="CK456" s="569"/>
      <c r="CL456" s="569"/>
      <c r="CM456" s="569"/>
      <c r="CN456" s="569"/>
      <c r="CO456" s="569"/>
      <c r="CP456" s="569"/>
      <c r="CQ456" s="569"/>
      <c r="CR456" s="569"/>
      <c r="CS456" s="569"/>
      <c r="CT456" s="569"/>
      <c r="CU456" s="569"/>
      <c r="CV456" s="569"/>
      <c r="CW456" s="569"/>
      <c r="CX456" s="569"/>
      <c r="CY456" s="569"/>
      <c r="CZ456" s="569"/>
      <c r="DA456" s="569"/>
      <c r="DB456" s="569"/>
      <c r="DC456" s="569"/>
      <c r="DD456" s="569"/>
      <c r="DE456" s="569"/>
      <c r="DF456" s="569"/>
      <c r="DG456" s="569"/>
      <c r="DH456" s="569"/>
      <c r="DI456" s="569"/>
      <c r="DJ456" s="569"/>
      <c r="DK456" s="569"/>
      <c r="DL456" s="569"/>
      <c r="DM456" s="569"/>
      <c r="DN456" s="569"/>
      <c r="DO456" s="569"/>
      <c r="DP456" s="569"/>
      <c r="DQ456" s="569"/>
      <c r="DR456" s="569"/>
      <c r="DS456" s="569"/>
      <c r="DT456" s="569"/>
      <c r="DU456" s="569"/>
      <c r="DV456" s="569"/>
      <c r="DW456" s="569"/>
      <c r="DX456" s="569"/>
      <c r="DY456" s="569"/>
      <c r="DZ456" s="569"/>
      <c r="EA456" s="569"/>
      <c r="EB456" s="569"/>
      <c r="EC456" s="569"/>
      <c r="ED456" s="569"/>
      <c r="EE456" s="569"/>
      <c r="EF456" s="569"/>
      <c r="EG456" s="569"/>
      <c r="EH456" s="569"/>
      <c r="EI456" s="569"/>
      <c r="EJ456" s="569"/>
      <c r="EK456" s="569"/>
      <c r="EL456" s="569"/>
      <c r="EM456" s="569"/>
      <c r="EN456" s="569"/>
      <c r="EO456" s="569"/>
      <c r="EP456" s="569"/>
      <c r="EQ456" s="569"/>
      <c r="ER456" s="569"/>
      <c r="ES456" s="569"/>
      <c r="ET456" s="569"/>
      <c r="EU456" s="569"/>
      <c r="EV456" s="569"/>
      <c r="EW456" s="569"/>
      <c r="EX456" s="569"/>
      <c r="EY456" s="569"/>
      <c r="EZ456" s="569"/>
      <c r="FA456" s="569"/>
      <c r="FB456" s="569"/>
      <c r="FC456" s="569"/>
      <c r="FD456" s="569"/>
      <c r="FE456" s="569"/>
      <c r="FF456" s="569"/>
      <c r="FG456" s="569"/>
      <c r="FH456" s="569"/>
      <c r="FI456" s="569"/>
      <c r="FJ456" s="569"/>
      <c r="FK456" s="569"/>
      <c r="FL456" s="569"/>
      <c r="FM456" s="569"/>
      <c r="FN456" s="569"/>
      <c r="FO456" s="569"/>
      <c r="FP456" s="569"/>
      <c r="FQ456" s="569"/>
      <c r="FR456" s="569"/>
      <c r="FS456" s="569"/>
      <c r="FT456" s="569"/>
      <c r="FU456" s="569"/>
      <c r="FV456" s="569"/>
      <c r="FW456" s="569"/>
      <c r="FX456" s="569"/>
      <c r="FY456" s="569"/>
      <c r="FZ456" s="569"/>
      <c r="GA456" s="569"/>
      <c r="GB456" s="569"/>
      <c r="GC456" s="569"/>
      <c r="GD456" s="569"/>
      <c r="GE456" s="569"/>
      <c r="GF456" s="569"/>
      <c r="GG456" s="569"/>
      <c r="GH456" s="569"/>
      <c r="GI456" s="569"/>
      <c r="GJ456" s="569"/>
      <c r="GK456" s="569"/>
      <c r="GL456" s="569"/>
      <c r="GM456" s="569"/>
      <c r="GN456" s="569"/>
      <c r="GO456" s="569"/>
      <c r="GP456" s="569"/>
      <c r="GQ456" s="569"/>
      <c r="GR456" s="569"/>
      <c r="GS456" s="569"/>
      <c r="GT456" s="569"/>
      <c r="GU456" s="569"/>
      <c r="GV456" s="569"/>
      <c r="GW456" s="569"/>
      <c r="GX456" s="569"/>
      <c r="GY456" s="569"/>
      <c r="GZ456" s="569"/>
      <c r="HA456" s="569"/>
      <c r="HB456" s="569"/>
      <c r="HC456" s="569"/>
      <c r="HD456" s="569"/>
      <c r="HE456" s="569"/>
      <c r="HF456" s="569"/>
      <c r="HG456" s="569"/>
      <c r="HH456" s="569"/>
      <c r="HI456" s="569"/>
      <c r="HJ456" s="569"/>
      <c r="HK456" s="569"/>
      <c r="HL456" s="569"/>
      <c r="HM456" s="569"/>
      <c r="HN456" s="569"/>
      <c r="HO456" s="569"/>
      <c r="HP456" s="569"/>
      <c r="HQ456" s="569"/>
      <c r="HR456" s="569"/>
      <c r="HS456" s="569"/>
      <c r="HT456" s="569"/>
      <c r="HU456" s="569"/>
      <c r="HV456" s="569"/>
      <c r="HW456" s="569"/>
      <c r="HX456" s="569"/>
      <c r="HY456" s="569"/>
      <c r="HZ456" s="569"/>
      <c r="IA456" s="569"/>
      <c r="IB456" s="569"/>
      <c r="IC456" s="569"/>
      <c r="ID456" s="569"/>
      <c r="IE456" s="569"/>
      <c r="IF456" s="569"/>
      <c r="IG456" s="569"/>
      <c r="IH456" s="569"/>
      <c r="II456" s="569"/>
      <c r="IJ456" s="569"/>
      <c r="IK456" s="569"/>
      <c r="IL456" s="569"/>
      <c r="IM456" s="569"/>
      <c r="IN456" s="569"/>
      <c r="IO456" s="569"/>
      <c r="IP456" s="569"/>
      <c r="IQ456" s="569"/>
      <c r="IR456" s="569"/>
      <c r="IS456" s="569"/>
      <c r="IT456" s="569"/>
      <c r="IU456" s="569"/>
      <c r="IV456" s="569"/>
      <c r="IW456" s="569"/>
      <c r="IX456" s="569"/>
      <c r="IY456" s="569"/>
      <c r="IZ456" s="569"/>
      <c r="JA456" s="569"/>
      <c r="JB456" s="569"/>
      <c r="JC456" s="569"/>
      <c r="JD456" s="569"/>
      <c r="JE456" s="569"/>
      <c r="JF456" s="569"/>
      <c r="JG456" s="569"/>
      <c r="JH456" s="569"/>
      <c r="JI456" s="569"/>
      <c r="JJ456" s="569"/>
      <c r="JK456" s="569"/>
      <c r="JL456" s="569"/>
      <c r="JM456" s="569"/>
      <c r="JN456" s="569"/>
      <c r="JO456" s="569"/>
      <c r="JP456" s="569"/>
      <c r="JQ456" s="569"/>
      <c r="JR456" s="569"/>
      <c r="JS456" s="569"/>
      <c r="JT456" s="569"/>
      <c r="JU456" s="569"/>
      <c r="JV456" s="569"/>
      <c r="JW456" s="569"/>
      <c r="JX456" s="569"/>
      <c r="JY456" s="569"/>
      <c r="JZ456" s="569"/>
      <c r="KA456" s="569"/>
      <c r="KB456" s="569"/>
      <c r="KC456" s="569"/>
      <c r="KD456" s="569"/>
      <c r="KE456" s="569"/>
      <c r="KF456" s="569"/>
      <c r="KG456" s="569"/>
      <c r="KH456" s="569"/>
      <c r="KI456" s="569"/>
      <c r="KJ456" s="569"/>
      <c r="KK456" s="569"/>
      <c r="KL456" s="569"/>
      <c r="KM456" s="569"/>
      <c r="KN456" s="569"/>
      <c r="KO456" s="569"/>
      <c r="KP456" s="569"/>
      <c r="KQ456" s="569"/>
      <c r="KR456" s="569"/>
      <c r="KS456" s="569"/>
      <c r="KT456" s="569"/>
      <c r="KU456" s="569"/>
      <c r="KV456" s="569"/>
      <c r="KW456" s="569"/>
      <c r="KX456" s="569"/>
      <c r="KY456" s="569"/>
      <c r="KZ456" s="569"/>
      <c r="LA456" s="569"/>
      <c r="LB456" s="569"/>
      <c r="LC456" s="569"/>
      <c r="LD456" s="569"/>
      <c r="LE456" s="569"/>
      <c r="LF456" s="569"/>
      <c r="LG456" s="569"/>
      <c r="LH456" s="569"/>
      <c r="LI456" s="569"/>
      <c r="LJ456" s="569"/>
      <c r="LK456" s="569"/>
      <c r="LL456" s="569"/>
      <c r="LM456" s="569"/>
      <c r="LN456" s="569"/>
      <c r="LO456" s="569"/>
      <c r="LP456" s="569"/>
      <c r="LQ456" s="569"/>
      <c r="LR456" s="569"/>
      <c r="LS456" s="569"/>
      <c r="LT456" s="569"/>
      <c r="LU456" s="569"/>
      <c r="LV456" s="569"/>
      <c r="LW456" s="569"/>
      <c r="LX456" s="569"/>
      <c r="LY456" s="569"/>
      <c r="LZ456" s="569"/>
      <c r="MA456" s="569"/>
      <c r="MB456" s="569"/>
      <c r="MC456" s="569"/>
      <c r="MD456" s="569"/>
      <c r="ME456" s="569"/>
      <c r="MF456" s="569"/>
      <c r="MG456" s="569"/>
      <c r="MH456" s="569"/>
      <c r="MI456" s="569"/>
      <c r="MJ456" s="569"/>
      <c r="MK456" s="569"/>
      <c r="ML456" s="569"/>
      <c r="MM456" s="569"/>
      <c r="MN456" s="569"/>
      <c r="MO456" s="569"/>
      <c r="MP456" s="569"/>
      <c r="MQ456" s="569"/>
      <c r="MR456" s="569"/>
      <c r="MS456" s="569"/>
      <c r="MT456" s="569"/>
      <c r="MU456" s="569"/>
      <c r="MV456" s="569"/>
      <c r="MW456" s="569"/>
      <c r="MX456" s="569"/>
      <c r="MY456" s="569"/>
      <c r="MZ456" s="569"/>
      <c r="NA456" s="569"/>
      <c r="NB456" s="569"/>
      <c r="NC456" s="569"/>
      <c r="ND456" s="569"/>
      <c r="NE456" s="569"/>
      <c r="NF456" s="569"/>
      <c r="NG456" s="569"/>
      <c r="NH456" s="569"/>
      <c r="NI456" s="569"/>
      <c r="NJ456" s="569"/>
      <c r="NK456" s="569"/>
      <c r="NL456" s="569"/>
      <c r="NM456" s="569"/>
      <c r="NN456" s="569"/>
      <c r="NO456" s="569"/>
      <c r="NP456" s="569"/>
      <c r="NQ456" s="569"/>
      <c r="NR456" s="569"/>
      <c r="NS456" s="569"/>
      <c r="NT456" s="569"/>
      <c r="NU456" s="569"/>
      <c r="NV456" s="569"/>
      <c r="NW456" s="569"/>
      <c r="NX456" s="569"/>
      <c r="NY456" s="569"/>
      <c r="NZ456" s="569"/>
      <c r="OA456" s="569"/>
      <c r="OB456" s="569"/>
      <c r="OC456" s="569"/>
      <c r="OD456" s="569"/>
      <c r="OE456" s="569"/>
      <c r="OF456" s="569"/>
      <c r="OG456" s="569"/>
      <c r="OH456" s="569"/>
      <c r="OI456" s="569"/>
      <c r="OJ456" s="569"/>
      <c r="OK456" s="569"/>
      <c r="OL456" s="569"/>
      <c r="OM456" s="569"/>
      <c r="ON456" s="569"/>
      <c r="OO456" s="569"/>
      <c r="OP456" s="569"/>
      <c r="OQ456" s="569"/>
      <c r="OR456" s="569"/>
      <c r="OS456" s="569"/>
      <c r="OT456" s="569"/>
      <c r="OU456" s="569"/>
      <c r="OV456" s="569"/>
      <c r="OW456" s="569"/>
      <c r="OX456" s="569"/>
      <c r="OY456" s="569"/>
      <c r="OZ456" s="569"/>
      <c r="PA456" s="569"/>
      <c r="PB456" s="569"/>
      <c r="PC456" s="569"/>
      <c r="PD456" s="569"/>
      <c r="PE456" s="569"/>
      <c r="PF456" s="569"/>
      <c r="PG456" s="569"/>
      <c r="PH456" s="569"/>
      <c r="PI456" s="569"/>
      <c r="PJ456" s="569"/>
      <c r="PK456" s="569"/>
      <c r="PL456" s="569"/>
      <c r="PM456" s="569"/>
      <c r="PN456" s="569"/>
      <c r="PO456" s="569"/>
      <c r="PP456" s="569"/>
      <c r="PQ456" s="569"/>
      <c r="PR456" s="569"/>
      <c r="PS456" s="569"/>
      <c r="PT456" s="569"/>
      <c r="PU456" s="569"/>
      <c r="PV456" s="569"/>
      <c r="PW456" s="569"/>
      <c r="PX456" s="569"/>
      <c r="PY456" s="569"/>
      <c r="PZ456" s="569"/>
      <c r="QA456" s="569"/>
      <c r="QB456" s="569"/>
      <c r="QC456" s="569"/>
      <c r="QD456" s="569"/>
      <c r="QE456" s="569"/>
      <c r="QF456" s="569"/>
      <c r="QG456" s="569"/>
      <c r="QH456" s="569"/>
      <c r="QI456" s="569"/>
      <c r="QJ456" s="569"/>
      <c r="QK456" s="569"/>
      <c r="QL456" s="569"/>
    </row>
    <row r="457" spans="1:454" s="574" customFormat="1" ht="45">
      <c r="A457" s="569"/>
      <c r="B457" s="575">
        <v>18</v>
      </c>
      <c r="C457" s="576" t="str">
        <f>'matrik MISI 2'!B71</f>
        <v>PEMUDA DAN OLAH RAGA</v>
      </c>
      <c r="D457" s="577">
        <f>'matrik MISI 2'!J72</f>
        <v>1.18</v>
      </c>
      <c r="E457" s="577" t="str">
        <f>'matrik MISI 2'!K72</f>
        <v>xx</v>
      </c>
      <c r="F457" s="577">
        <f>'matrik MISI 2'!L72</f>
        <v>20</v>
      </c>
      <c r="G457" s="577" t="str">
        <f>'matrik MISI 2'!M72</f>
        <v>Program Pembinaan dan Pemasyarakatan Olahraga</v>
      </c>
      <c r="H457" s="575"/>
      <c r="I457" s="575"/>
      <c r="J457" s="596"/>
      <c r="K457" s="596"/>
      <c r="L457" s="596"/>
      <c r="M457" s="600">
        <f>'jangan di hapus 1'!K908</f>
        <v>284259000</v>
      </c>
      <c r="N457" s="600"/>
      <c r="O457" s="600">
        <f>'jangan di hapus 1'!M908</f>
        <v>649790000</v>
      </c>
      <c r="P457" s="600"/>
      <c r="Q457" s="600">
        <f>'jangan di hapus 1'!O908</f>
        <v>700000000</v>
      </c>
      <c r="R457" s="600"/>
      <c r="S457" s="600">
        <f>'jangan di hapus 1'!Q908</f>
        <v>805000000</v>
      </c>
      <c r="T457" s="600"/>
      <c r="U457" s="600">
        <f>'jangan di hapus 1'!S908</f>
        <v>830000000</v>
      </c>
      <c r="V457" s="596"/>
      <c r="W457" s="578">
        <f>SUM(M457:U457)</f>
        <v>3269049000</v>
      </c>
      <c r="X457" s="575"/>
      <c r="Y457" s="596"/>
      <c r="Z457" s="596"/>
      <c r="AA457" s="569"/>
      <c r="AB457" s="569"/>
      <c r="AC457" s="569"/>
      <c r="AD457" s="569"/>
      <c r="AE457" s="569"/>
      <c r="AF457" s="569"/>
      <c r="AG457" s="569"/>
      <c r="AH457" s="569"/>
      <c r="AI457" s="569"/>
      <c r="AJ457" s="569"/>
      <c r="AK457" s="569"/>
      <c r="AL457" s="569"/>
      <c r="AM457" s="569"/>
      <c r="AN457" s="569"/>
      <c r="AO457" s="569"/>
      <c r="AP457" s="569"/>
      <c r="AQ457" s="569"/>
      <c r="AR457" s="569"/>
      <c r="AS457" s="569"/>
      <c r="AT457" s="569"/>
      <c r="AU457" s="569"/>
      <c r="AV457" s="569"/>
      <c r="AW457" s="569"/>
      <c r="AX457" s="569"/>
      <c r="AY457" s="569"/>
      <c r="AZ457" s="569"/>
      <c r="BA457" s="569"/>
      <c r="BB457" s="569"/>
      <c r="BC457" s="569"/>
      <c r="BD457" s="569"/>
      <c r="BE457" s="569"/>
      <c r="BF457" s="569"/>
      <c r="BG457" s="569"/>
      <c r="BH457" s="569"/>
      <c r="BI457" s="569"/>
      <c r="BJ457" s="569"/>
      <c r="BK457" s="569"/>
      <c r="BL457" s="569"/>
      <c r="BM457" s="569"/>
      <c r="BN457" s="569"/>
      <c r="BO457" s="569"/>
      <c r="BP457" s="569"/>
      <c r="BQ457" s="569"/>
      <c r="BR457" s="569"/>
      <c r="BS457" s="569"/>
      <c r="BT457" s="569"/>
      <c r="BU457" s="569"/>
      <c r="BV457" s="569"/>
      <c r="BW457" s="569"/>
      <c r="BX457" s="569"/>
      <c r="BY457" s="569"/>
      <c r="BZ457" s="569"/>
      <c r="CA457" s="569"/>
      <c r="CB457" s="569"/>
      <c r="CC457" s="569"/>
      <c r="CD457" s="569"/>
      <c r="CE457" s="569"/>
      <c r="CF457" s="569"/>
      <c r="CG457" s="569"/>
      <c r="CH457" s="569"/>
      <c r="CI457" s="569"/>
      <c r="CJ457" s="569"/>
      <c r="CK457" s="569"/>
      <c r="CL457" s="569"/>
      <c r="CM457" s="569"/>
      <c r="CN457" s="569"/>
      <c r="CO457" s="569"/>
      <c r="CP457" s="569"/>
      <c r="CQ457" s="569"/>
      <c r="CR457" s="569"/>
      <c r="CS457" s="569"/>
      <c r="CT457" s="569"/>
      <c r="CU457" s="569"/>
      <c r="CV457" s="569"/>
      <c r="CW457" s="569"/>
      <c r="CX457" s="569"/>
      <c r="CY457" s="569"/>
      <c r="CZ457" s="569"/>
      <c r="DA457" s="569"/>
      <c r="DB457" s="569"/>
      <c r="DC457" s="569"/>
      <c r="DD457" s="569"/>
      <c r="DE457" s="569"/>
      <c r="DF457" s="569"/>
      <c r="DG457" s="569"/>
      <c r="DH457" s="569"/>
      <c r="DI457" s="569"/>
      <c r="DJ457" s="569"/>
      <c r="DK457" s="569"/>
      <c r="DL457" s="569"/>
      <c r="DM457" s="569"/>
      <c r="DN457" s="569"/>
      <c r="DO457" s="569"/>
      <c r="DP457" s="569"/>
      <c r="DQ457" s="569"/>
      <c r="DR457" s="569"/>
      <c r="DS457" s="569"/>
      <c r="DT457" s="569"/>
      <c r="DU457" s="569"/>
      <c r="DV457" s="569"/>
      <c r="DW457" s="569"/>
      <c r="DX457" s="569"/>
      <c r="DY457" s="569"/>
      <c r="DZ457" s="569"/>
      <c r="EA457" s="569"/>
      <c r="EB457" s="569"/>
      <c r="EC457" s="569"/>
      <c r="ED457" s="569"/>
      <c r="EE457" s="569"/>
      <c r="EF457" s="569"/>
      <c r="EG457" s="569"/>
      <c r="EH457" s="569"/>
      <c r="EI457" s="569"/>
      <c r="EJ457" s="569"/>
      <c r="EK457" s="569"/>
      <c r="EL457" s="569"/>
      <c r="EM457" s="569"/>
      <c r="EN457" s="569"/>
      <c r="EO457" s="569"/>
      <c r="EP457" s="569"/>
      <c r="EQ457" s="569"/>
      <c r="ER457" s="569"/>
      <c r="ES457" s="569"/>
      <c r="ET457" s="569"/>
      <c r="EU457" s="569"/>
      <c r="EV457" s="569"/>
      <c r="EW457" s="569"/>
      <c r="EX457" s="569"/>
      <c r="EY457" s="569"/>
      <c r="EZ457" s="569"/>
      <c r="FA457" s="569"/>
      <c r="FB457" s="569"/>
      <c r="FC457" s="569"/>
      <c r="FD457" s="569"/>
      <c r="FE457" s="569"/>
      <c r="FF457" s="569"/>
      <c r="FG457" s="569"/>
      <c r="FH457" s="569"/>
      <c r="FI457" s="569"/>
      <c r="FJ457" s="569"/>
      <c r="FK457" s="569"/>
      <c r="FL457" s="569"/>
      <c r="FM457" s="569"/>
      <c r="FN457" s="569"/>
      <c r="FO457" s="569"/>
      <c r="FP457" s="569"/>
      <c r="FQ457" s="569"/>
      <c r="FR457" s="569"/>
      <c r="FS457" s="569"/>
      <c r="FT457" s="569"/>
      <c r="FU457" s="569"/>
      <c r="FV457" s="569"/>
      <c r="FW457" s="569"/>
      <c r="FX457" s="569"/>
      <c r="FY457" s="569"/>
      <c r="FZ457" s="569"/>
      <c r="GA457" s="569"/>
      <c r="GB457" s="569"/>
      <c r="GC457" s="569"/>
      <c r="GD457" s="569"/>
      <c r="GE457" s="569"/>
      <c r="GF457" s="569"/>
      <c r="GG457" s="569"/>
      <c r="GH457" s="569"/>
      <c r="GI457" s="569"/>
      <c r="GJ457" s="569"/>
      <c r="GK457" s="569"/>
      <c r="GL457" s="569"/>
      <c r="GM457" s="569"/>
      <c r="GN457" s="569"/>
      <c r="GO457" s="569"/>
      <c r="GP457" s="569"/>
      <c r="GQ457" s="569"/>
      <c r="GR457" s="569"/>
      <c r="GS457" s="569"/>
      <c r="GT457" s="569"/>
      <c r="GU457" s="569"/>
      <c r="GV457" s="569"/>
      <c r="GW457" s="569"/>
      <c r="GX457" s="569"/>
      <c r="GY457" s="569"/>
      <c r="GZ457" s="569"/>
      <c r="HA457" s="569"/>
      <c r="HB457" s="569"/>
      <c r="HC457" s="569"/>
      <c r="HD457" s="569"/>
      <c r="HE457" s="569"/>
      <c r="HF457" s="569"/>
      <c r="HG457" s="569"/>
      <c r="HH457" s="569"/>
      <c r="HI457" s="569"/>
      <c r="HJ457" s="569"/>
      <c r="HK457" s="569"/>
      <c r="HL457" s="569"/>
      <c r="HM457" s="569"/>
      <c r="HN457" s="569"/>
      <c r="HO457" s="569"/>
      <c r="HP457" s="569"/>
      <c r="HQ457" s="569"/>
      <c r="HR457" s="569"/>
      <c r="HS457" s="569"/>
      <c r="HT457" s="569"/>
      <c r="HU457" s="569"/>
      <c r="HV457" s="569"/>
      <c r="HW457" s="569"/>
      <c r="HX457" s="569"/>
      <c r="HY457" s="569"/>
      <c r="HZ457" s="569"/>
      <c r="IA457" s="569"/>
      <c r="IB457" s="569"/>
      <c r="IC457" s="569"/>
      <c r="ID457" s="569"/>
      <c r="IE457" s="569"/>
      <c r="IF457" s="569"/>
      <c r="IG457" s="569"/>
      <c r="IH457" s="569"/>
      <c r="II457" s="569"/>
      <c r="IJ457" s="569"/>
      <c r="IK457" s="569"/>
      <c r="IL457" s="569"/>
      <c r="IM457" s="569"/>
      <c r="IN457" s="569"/>
      <c r="IO457" s="569"/>
      <c r="IP457" s="569"/>
      <c r="IQ457" s="569"/>
      <c r="IR457" s="569"/>
      <c r="IS457" s="569"/>
      <c r="IT457" s="569"/>
      <c r="IU457" s="569"/>
      <c r="IV457" s="569"/>
      <c r="IW457" s="569"/>
      <c r="IX457" s="569"/>
      <c r="IY457" s="569"/>
      <c r="IZ457" s="569"/>
      <c r="JA457" s="569"/>
      <c r="JB457" s="569"/>
      <c r="JC457" s="569"/>
      <c r="JD457" s="569"/>
      <c r="JE457" s="569"/>
      <c r="JF457" s="569"/>
      <c r="JG457" s="569"/>
      <c r="JH457" s="569"/>
      <c r="JI457" s="569"/>
      <c r="JJ457" s="569"/>
      <c r="JK457" s="569"/>
      <c r="JL457" s="569"/>
      <c r="JM457" s="569"/>
      <c r="JN457" s="569"/>
      <c r="JO457" s="569"/>
      <c r="JP457" s="569"/>
      <c r="JQ457" s="569"/>
      <c r="JR457" s="569"/>
      <c r="JS457" s="569"/>
      <c r="JT457" s="569"/>
      <c r="JU457" s="569"/>
      <c r="JV457" s="569"/>
      <c r="JW457" s="569"/>
      <c r="JX457" s="569"/>
      <c r="JY457" s="569"/>
      <c r="JZ457" s="569"/>
      <c r="KA457" s="569"/>
      <c r="KB457" s="569"/>
      <c r="KC457" s="569"/>
      <c r="KD457" s="569"/>
      <c r="KE457" s="569"/>
      <c r="KF457" s="569"/>
      <c r="KG457" s="569"/>
      <c r="KH457" s="569"/>
      <c r="KI457" s="569"/>
      <c r="KJ457" s="569"/>
      <c r="KK457" s="569"/>
      <c r="KL457" s="569"/>
      <c r="KM457" s="569"/>
      <c r="KN457" s="569"/>
      <c r="KO457" s="569"/>
      <c r="KP457" s="569"/>
      <c r="KQ457" s="569"/>
      <c r="KR457" s="569"/>
      <c r="KS457" s="569"/>
      <c r="KT457" s="569"/>
      <c r="KU457" s="569"/>
      <c r="KV457" s="569"/>
      <c r="KW457" s="569"/>
      <c r="KX457" s="569"/>
      <c r="KY457" s="569"/>
      <c r="KZ457" s="569"/>
      <c r="LA457" s="569"/>
      <c r="LB457" s="569"/>
      <c r="LC457" s="569"/>
      <c r="LD457" s="569"/>
      <c r="LE457" s="569"/>
      <c r="LF457" s="569"/>
      <c r="LG457" s="569"/>
      <c r="LH457" s="569"/>
      <c r="LI457" s="569"/>
      <c r="LJ457" s="569"/>
      <c r="LK457" s="569"/>
      <c r="LL457" s="569"/>
      <c r="LM457" s="569"/>
      <c r="LN457" s="569"/>
      <c r="LO457" s="569"/>
      <c r="LP457" s="569"/>
      <c r="LQ457" s="569"/>
      <c r="LR457" s="569"/>
      <c r="LS457" s="569"/>
      <c r="LT457" s="569"/>
      <c r="LU457" s="569"/>
      <c r="LV457" s="569"/>
      <c r="LW457" s="569"/>
      <c r="LX457" s="569"/>
      <c r="LY457" s="569"/>
      <c r="LZ457" s="569"/>
      <c r="MA457" s="569"/>
      <c r="MB457" s="569"/>
      <c r="MC457" s="569"/>
      <c r="MD457" s="569"/>
      <c r="ME457" s="569"/>
      <c r="MF457" s="569"/>
      <c r="MG457" s="569"/>
      <c r="MH457" s="569"/>
      <c r="MI457" s="569"/>
      <c r="MJ457" s="569"/>
      <c r="MK457" s="569"/>
      <c r="ML457" s="569"/>
      <c r="MM457" s="569"/>
      <c r="MN457" s="569"/>
      <c r="MO457" s="569"/>
      <c r="MP457" s="569"/>
      <c r="MQ457" s="569"/>
      <c r="MR457" s="569"/>
      <c r="MS457" s="569"/>
      <c r="MT457" s="569"/>
      <c r="MU457" s="569"/>
      <c r="MV457" s="569"/>
      <c r="MW457" s="569"/>
      <c r="MX457" s="569"/>
      <c r="MY457" s="569"/>
      <c r="MZ457" s="569"/>
      <c r="NA457" s="569"/>
      <c r="NB457" s="569"/>
      <c r="NC457" s="569"/>
      <c r="ND457" s="569"/>
      <c r="NE457" s="569"/>
      <c r="NF457" s="569"/>
      <c r="NG457" s="569"/>
      <c r="NH457" s="569"/>
      <c r="NI457" s="569"/>
      <c r="NJ457" s="569"/>
      <c r="NK457" s="569"/>
      <c r="NL457" s="569"/>
      <c r="NM457" s="569"/>
      <c r="NN457" s="569"/>
      <c r="NO457" s="569"/>
      <c r="NP457" s="569"/>
      <c r="NQ457" s="569"/>
      <c r="NR457" s="569"/>
      <c r="NS457" s="569"/>
      <c r="NT457" s="569"/>
      <c r="NU457" s="569"/>
      <c r="NV457" s="569"/>
      <c r="NW457" s="569"/>
      <c r="NX457" s="569"/>
      <c r="NY457" s="569"/>
      <c r="NZ457" s="569"/>
      <c r="OA457" s="569"/>
      <c r="OB457" s="569"/>
      <c r="OC457" s="569"/>
      <c r="OD457" s="569"/>
      <c r="OE457" s="569"/>
      <c r="OF457" s="569"/>
      <c r="OG457" s="569"/>
      <c r="OH457" s="569"/>
      <c r="OI457" s="569"/>
      <c r="OJ457" s="569"/>
      <c r="OK457" s="569"/>
      <c r="OL457" s="569"/>
      <c r="OM457" s="569"/>
      <c r="ON457" s="569"/>
      <c r="OO457" s="569"/>
      <c r="OP457" s="569"/>
      <c r="OQ457" s="569"/>
      <c r="OR457" s="569"/>
      <c r="OS457" s="569"/>
      <c r="OT457" s="569"/>
      <c r="OU457" s="569"/>
      <c r="OV457" s="569"/>
      <c r="OW457" s="569"/>
      <c r="OX457" s="569"/>
      <c r="OY457" s="569"/>
      <c r="OZ457" s="569"/>
      <c r="PA457" s="569"/>
      <c r="PB457" s="569"/>
      <c r="PC457" s="569"/>
      <c r="PD457" s="569"/>
      <c r="PE457" s="569"/>
      <c r="PF457" s="569"/>
      <c r="PG457" s="569"/>
      <c r="PH457" s="569"/>
      <c r="PI457" s="569"/>
      <c r="PJ457" s="569"/>
      <c r="PK457" s="569"/>
      <c r="PL457" s="569"/>
      <c r="PM457" s="569"/>
      <c r="PN457" s="569"/>
      <c r="PO457" s="569"/>
      <c r="PP457" s="569"/>
      <c r="PQ457" s="569"/>
      <c r="PR457" s="569"/>
      <c r="PS457" s="569"/>
      <c r="PT457" s="569"/>
      <c r="PU457" s="569"/>
      <c r="PV457" s="569"/>
      <c r="PW457" s="569"/>
      <c r="PX457" s="569"/>
      <c r="PY457" s="569"/>
      <c r="PZ457" s="569"/>
      <c r="QA457" s="569"/>
      <c r="QB457" s="569"/>
      <c r="QC457" s="569"/>
      <c r="QD457" s="569"/>
      <c r="QE457" s="569"/>
      <c r="QF457" s="569"/>
      <c r="QG457" s="569"/>
      <c r="QH457" s="569"/>
      <c r="QI457" s="569"/>
      <c r="QJ457" s="569"/>
      <c r="QK457" s="569"/>
      <c r="QL457" s="569"/>
    </row>
    <row r="458" spans="1:454" ht="45">
      <c r="B458" s="568"/>
      <c r="C458" s="568"/>
      <c r="D458" s="568"/>
      <c r="E458" s="568"/>
      <c r="F458" s="568"/>
      <c r="G458" s="568"/>
      <c r="H458" s="563" t="str">
        <f>'matrik MISI 2'!N72</f>
        <v>Besaran kegiatan kepemudaan</v>
      </c>
      <c r="I458" s="563" t="str">
        <f>'matrik MISI 2'!O72</f>
        <v>Kegiatan</v>
      </c>
      <c r="J458" s="563">
        <f>'matrik MISI 2'!P72</f>
        <v>9</v>
      </c>
      <c r="K458" s="563">
        <f>'matrik MISI 2'!Q72</f>
        <v>9</v>
      </c>
      <c r="L458" s="563">
        <f>'matrik MISI 2'!R72</f>
        <v>9</v>
      </c>
      <c r="M458" s="604"/>
      <c r="N458" s="563">
        <f>'matrik MISI 2'!S72</f>
        <v>10</v>
      </c>
      <c r="O458" s="564"/>
      <c r="P458" s="563">
        <f>'matrik MISI 2'!T72</f>
        <v>11</v>
      </c>
      <c r="Q458" s="564"/>
      <c r="R458" s="563">
        <f>'matrik MISI 2'!U72</f>
        <v>12</v>
      </c>
      <c r="S458" s="564"/>
      <c r="T458" s="563">
        <f>'matrik MISI 2'!V72</f>
        <v>13</v>
      </c>
      <c r="U458" s="564"/>
      <c r="V458" s="563">
        <f>'matrik MISI 2'!W72</f>
        <v>13</v>
      </c>
      <c r="W458" s="564"/>
      <c r="X458" s="563" t="str">
        <f>'matrik MISI 2'!X72</f>
        <v>Dinbudparpora</v>
      </c>
      <c r="Y458" s="563" t="str">
        <f>'matrik MISI 2'!Y72</f>
        <v>Jumlah kegiatan kepemudaan dalam satu tahun</v>
      </c>
      <c r="Z458" s="563" t="str">
        <f>'matrik MISI 2'!Z72</f>
        <v>Kegiatan kepemudaan adalah kegiatan atau event kepemudaan yang diselenggarakan dalam bentuk pertandingan, perlombaan dan upacara atau peristiwa sejenis</v>
      </c>
    </row>
    <row r="459" spans="1:454" ht="30">
      <c r="G459" s="563"/>
      <c r="H459" s="563" t="str">
        <f>'matrik MISI 2'!N76</f>
        <v>Kegiatan olah raga</v>
      </c>
      <c r="I459" s="563" t="str">
        <f>'matrik MISI 2'!O76</f>
        <v>Kali</v>
      </c>
      <c r="J459" s="563">
        <f>'matrik MISI 2'!P76</f>
        <v>70</v>
      </c>
      <c r="K459" s="563">
        <f>'matrik MISI 2'!Q76</f>
        <v>80</v>
      </c>
      <c r="L459" s="563">
        <f>'matrik MISI 2'!R76</f>
        <v>80</v>
      </c>
      <c r="M459" s="604"/>
      <c r="N459" s="563">
        <f>'matrik MISI 2'!S76</f>
        <v>81</v>
      </c>
      <c r="O459" s="564"/>
      <c r="P459" s="563">
        <f>'matrik MISI 2'!T76</f>
        <v>80</v>
      </c>
      <c r="Q459" s="564"/>
      <c r="R459" s="563">
        <f>'matrik MISI 2'!U76</f>
        <v>82</v>
      </c>
      <c r="S459" s="564"/>
      <c r="T459" s="563">
        <f>'matrik MISI 2'!V76</f>
        <v>85</v>
      </c>
      <c r="U459" s="564"/>
      <c r="V459" s="563">
        <f>'matrik MISI 2'!W76</f>
        <v>85</v>
      </c>
      <c r="W459" s="564"/>
      <c r="X459" s="563" t="str">
        <f>'matrik MISI 2'!X76</f>
        <v>Dinbudparpora</v>
      </c>
      <c r="Y459" s="563" t="str">
        <f>'matrik MISI 2'!Y76</f>
        <v>Jumlah kegiatan olah raga yang diselenggarakan dalam satu tahun</v>
      </c>
      <c r="Z459" s="563" t="str">
        <f>'matrik MISI 2'!Z76</f>
        <v>Kegiatan olah raga adalah kegiatan atau event olah raga yang diselenggarakan baik oleh pemerintah, swasta dan masyarakat</v>
      </c>
    </row>
    <row r="460" spans="1:454" ht="30">
      <c r="G460" s="563"/>
      <c r="H460" s="563" t="str">
        <f>'matrik MISI 2'!N77</f>
        <v>Besaran Prestasi Olahraga</v>
      </c>
      <c r="I460" s="563" t="str">
        <f>'matrik MISI 2'!O77</f>
        <v>Jumlah Medali</v>
      </c>
      <c r="J460" s="563">
        <f>'matrik MISI 2'!P77</f>
        <v>71</v>
      </c>
      <c r="K460" s="563">
        <f>'matrik MISI 2'!Q77</f>
        <v>65</v>
      </c>
      <c r="L460" s="563">
        <f>'matrik MISI 2'!R77</f>
        <v>70</v>
      </c>
      <c r="M460" s="604"/>
      <c r="N460" s="563">
        <f>'matrik MISI 2'!S77</f>
        <v>75</v>
      </c>
      <c r="O460" s="564"/>
      <c r="P460" s="563">
        <f>'matrik MISI 2'!T77</f>
        <v>80</v>
      </c>
      <c r="Q460" s="564"/>
      <c r="R460" s="563">
        <f>'matrik MISI 2'!U77</f>
        <v>85</v>
      </c>
      <c r="S460" s="564"/>
      <c r="T460" s="563">
        <f>'matrik MISI 2'!V77</f>
        <v>90</v>
      </c>
      <c r="U460" s="564"/>
      <c r="V460" s="563">
        <f>'matrik MISI 2'!W77</f>
        <v>90</v>
      </c>
      <c r="W460" s="564"/>
      <c r="X460" s="563" t="str">
        <f>'matrik MISI 2'!X77</f>
        <v>Dinbudparpora</v>
      </c>
      <c r="Y460" s="563" t="str">
        <f>'matrik MISI 2'!Y77</f>
        <v>Jumlah Medali yang diperoleh dalam jangka waktu 1 Tahun ( Juara I, II, III )</v>
      </c>
      <c r="Z460" s="563" t="str">
        <f>'matrik MISI 2'!Z77</f>
        <v>Tingkat Profinsi dan Nasional</v>
      </c>
    </row>
    <row r="461" spans="1:454" ht="30">
      <c r="G461" s="563"/>
      <c r="H461" s="563" t="str">
        <f>'matrik MISI 2'!N78</f>
        <v>Besaran Prestasi Kegiatan Kepemudaan</v>
      </c>
      <c r="I461" s="563" t="str">
        <f>'matrik MISI 2'!O78</f>
        <v>Jumlah Prestasi</v>
      </c>
      <c r="J461" s="563">
        <f>'matrik MISI 2'!P78</f>
        <v>4</v>
      </c>
      <c r="K461" s="563">
        <f>'matrik MISI 2'!Q78</f>
        <v>5</v>
      </c>
      <c r="L461" s="563">
        <f>'matrik MISI 2'!R78</f>
        <v>5</v>
      </c>
      <c r="M461" s="604"/>
      <c r="N461" s="563">
        <f>'matrik MISI 2'!S78</f>
        <v>6</v>
      </c>
      <c r="O461" s="564"/>
      <c r="P461" s="563">
        <f>'matrik MISI 2'!T78</f>
        <v>6</v>
      </c>
      <c r="Q461" s="564"/>
      <c r="R461" s="563">
        <f>'matrik MISI 2'!U78</f>
        <v>7</v>
      </c>
      <c r="S461" s="564"/>
      <c r="T461" s="563">
        <f>'matrik MISI 2'!V78</f>
        <v>7</v>
      </c>
      <c r="U461" s="564"/>
      <c r="V461" s="563">
        <f>'matrik MISI 2'!W78</f>
        <v>8</v>
      </c>
      <c r="W461" s="564"/>
      <c r="X461" s="563" t="str">
        <f>'matrik MISI 2'!X78</f>
        <v>Dinbudparpora</v>
      </c>
      <c r="Y461" s="563" t="str">
        <f>'matrik MISI 2'!Y78</f>
        <v>Jumlah Kejuaraan yang di peroleh pada Kegiatan Kepemudaanyang dilombakan</v>
      </c>
      <c r="Z461" s="563" t="str">
        <f>'matrik MISI 2'!Z78</f>
        <v xml:space="preserve">ada 9 Kegiatan Kejuaraan </v>
      </c>
    </row>
    <row r="462" spans="1:454" s="574" customFormat="1" ht="45">
      <c r="A462" s="569"/>
      <c r="B462" s="575"/>
      <c r="C462" s="576"/>
      <c r="D462" s="577">
        <f>'matrik MISI 2'!J74</f>
        <v>1.18</v>
      </c>
      <c r="E462" s="577" t="str">
        <f>'matrik MISI 2'!K74</f>
        <v>xx</v>
      </c>
      <c r="F462" s="577">
        <f>'matrik MISI 2'!L74</f>
        <v>21</v>
      </c>
      <c r="G462" s="577" t="str">
        <f>'matrik MISI 2'!M74</f>
        <v>Program Peningkatan Sarana dan Prasarana Olahraga</v>
      </c>
      <c r="H462" s="577"/>
      <c r="I462" s="577"/>
      <c r="J462" s="577"/>
      <c r="K462" s="577"/>
      <c r="L462" s="577"/>
      <c r="M462" s="578">
        <f>'jangan di hapus 1'!K921</f>
        <v>20000000</v>
      </c>
      <c r="N462" s="578"/>
      <c r="O462" s="578">
        <f>'jangan di hapus 1'!M921</f>
        <v>24762500</v>
      </c>
      <c r="P462" s="578"/>
      <c r="Q462" s="578">
        <f>'jangan di hapus 1'!O921</f>
        <v>75000000</v>
      </c>
      <c r="R462" s="578"/>
      <c r="S462" s="578">
        <f>'jangan di hapus 1'!Q921</f>
        <v>80000000</v>
      </c>
      <c r="T462" s="578"/>
      <c r="U462" s="578">
        <f>'jangan di hapus 1'!S921</f>
        <v>85000000</v>
      </c>
      <c r="V462" s="577"/>
      <c r="W462" s="578">
        <f>SUM(M462:U462)</f>
        <v>284762500</v>
      </c>
      <c r="X462" s="577"/>
      <c r="Y462" s="577"/>
      <c r="Z462" s="577"/>
      <c r="AA462" s="569"/>
      <c r="AB462" s="569"/>
      <c r="AC462" s="569"/>
      <c r="AD462" s="569"/>
      <c r="AE462" s="569"/>
      <c r="AF462" s="569"/>
      <c r="AG462" s="569"/>
      <c r="AH462" s="569"/>
      <c r="AI462" s="569"/>
      <c r="AJ462" s="569"/>
      <c r="AK462" s="569"/>
      <c r="AL462" s="569"/>
      <c r="AM462" s="569"/>
      <c r="AN462" s="569"/>
      <c r="AO462" s="569"/>
      <c r="AP462" s="569"/>
      <c r="AQ462" s="569"/>
      <c r="AR462" s="569"/>
      <c r="AS462" s="569"/>
      <c r="AT462" s="569"/>
      <c r="AU462" s="569"/>
      <c r="AV462" s="569"/>
      <c r="AW462" s="569"/>
      <c r="AX462" s="569"/>
      <c r="AY462" s="569"/>
      <c r="AZ462" s="569"/>
      <c r="BA462" s="569"/>
      <c r="BB462" s="569"/>
      <c r="BC462" s="569"/>
      <c r="BD462" s="569"/>
      <c r="BE462" s="569"/>
      <c r="BF462" s="569"/>
      <c r="BG462" s="569"/>
      <c r="BH462" s="569"/>
      <c r="BI462" s="569"/>
      <c r="BJ462" s="569"/>
      <c r="BK462" s="569"/>
      <c r="BL462" s="569"/>
      <c r="BM462" s="569"/>
      <c r="BN462" s="569"/>
      <c r="BO462" s="569"/>
      <c r="BP462" s="569"/>
      <c r="BQ462" s="569"/>
      <c r="BR462" s="569"/>
      <c r="BS462" s="569"/>
      <c r="BT462" s="569"/>
      <c r="BU462" s="569"/>
      <c r="BV462" s="569"/>
      <c r="BW462" s="569"/>
      <c r="BX462" s="569"/>
      <c r="BY462" s="569"/>
      <c r="BZ462" s="569"/>
      <c r="CA462" s="569"/>
      <c r="CB462" s="569"/>
      <c r="CC462" s="569"/>
      <c r="CD462" s="569"/>
      <c r="CE462" s="569"/>
      <c r="CF462" s="569"/>
      <c r="CG462" s="569"/>
      <c r="CH462" s="569"/>
      <c r="CI462" s="569"/>
      <c r="CJ462" s="569"/>
      <c r="CK462" s="569"/>
      <c r="CL462" s="569"/>
      <c r="CM462" s="569"/>
      <c r="CN462" s="569"/>
      <c r="CO462" s="569"/>
      <c r="CP462" s="569"/>
      <c r="CQ462" s="569"/>
      <c r="CR462" s="569"/>
      <c r="CS462" s="569"/>
      <c r="CT462" s="569"/>
      <c r="CU462" s="569"/>
      <c r="CV462" s="569"/>
      <c r="CW462" s="569"/>
      <c r="CX462" s="569"/>
      <c r="CY462" s="569"/>
      <c r="CZ462" s="569"/>
      <c r="DA462" s="569"/>
      <c r="DB462" s="569"/>
      <c r="DC462" s="569"/>
      <c r="DD462" s="569"/>
      <c r="DE462" s="569"/>
      <c r="DF462" s="569"/>
      <c r="DG462" s="569"/>
      <c r="DH462" s="569"/>
      <c r="DI462" s="569"/>
      <c r="DJ462" s="569"/>
      <c r="DK462" s="569"/>
      <c r="DL462" s="569"/>
      <c r="DM462" s="569"/>
      <c r="DN462" s="569"/>
      <c r="DO462" s="569"/>
      <c r="DP462" s="569"/>
      <c r="DQ462" s="569"/>
      <c r="DR462" s="569"/>
      <c r="DS462" s="569"/>
      <c r="DT462" s="569"/>
      <c r="DU462" s="569"/>
      <c r="DV462" s="569"/>
      <c r="DW462" s="569"/>
      <c r="DX462" s="569"/>
      <c r="DY462" s="569"/>
      <c r="DZ462" s="569"/>
      <c r="EA462" s="569"/>
      <c r="EB462" s="569"/>
      <c r="EC462" s="569"/>
      <c r="ED462" s="569"/>
      <c r="EE462" s="569"/>
      <c r="EF462" s="569"/>
      <c r="EG462" s="569"/>
      <c r="EH462" s="569"/>
      <c r="EI462" s="569"/>
      <c r="EJ462" s="569"/>
      <c r="EK462" s="569"/>
      <c r="EL462" s="569"/>
      <c r="EM462" s="569"/>
      <c r="EN462" s="569"/>
      <c r="EO462" s="569"/>
      <c r="EP462" s="569"/>
      <c r="EQ462" s="569"/>
      <c r="ER462" s="569"/>
      <c r="ES462" s="569"/>
      <c r="ET462" s="569"/>
      <c r="EU462" s="569"/>
      <c r="EV462" s="569"/>
      <c r="EW462" s="569"/>
      <c r="EX462" s="569"/>
      <c r="EY462" s="569"/>
      <c r="EZ462" s="569"/>
      <c r="FA462" s="569"/>
      <c r="FB462" s="569"/>
      <c r="FC462" s="569"/>
      <c r="FD462" s="569"/>
      <c r="FE462" s="569"/>
      <c r="FF462" s="569"/>
      <c r="FG462" s="569"/>
      <c r="FH462" s="569"/>
      <c r="FI462" s="569"/>
      <c r="FJ462" s="569"/>
      <c r="FK462" s="569"/>
      <c r="FL462" s="569"/>
      <c r="FM462" s="569"/>
      <c r="FN462" s="569"/>
      <c r="FO462" s="569"/>
      <c r="FP462" s="569"/>
      <c r="FQ462" s="569"/>
      <c r="FR462" s="569"/>
      <c r="FS462" s="569"/>
      <c r="FT462" s="569"/>
      <c r="FU462" s="569"/>
      <c r="FV462" s="569"/>
      <c r="FW462" s="569"/>
      <c r="FX462" s="569"/>
      <c r="FY462" s="569"/>
      <c r="FZ462" s="569"/>
      <c r="GA462" s="569"/>
      <c r="GB462" s="569"/>
      <c r="GC462" s="569"/>
      <c r="GD462" s="569"/>
      <c r="GE462" s="569"/>
      <c r="GF462" s="569"/>
      <c r="GG462" s="569"/>
      <c r="GH462" s="569"/>
      <c r="GI462" s="569"/>
      <c r="GJ462" s="569"/>
      <c r="GK462" s="569"/>
      <c r="GL462" s="569"/>
      <c r="GM462" s="569"/>
      <c r="GN462" s="569"/>
      <c r="GO462" s="569"/>
      <c r="GP462" s="569"/>
      <c r="GQ462" s="569"/>
      <c r="GR462" s="569"/>
      <c r="GS462" s="569"/>
      <c r="GT462" s="569"/>
      <c r="GU462" s="569"/>
      <c r="GV462" s="569"/>
      <c r="GW462" s="569"/>
      <c r="GX462" s="569"/>
      <c r="GY462" s="569"/>
      <c r="GZ462" s="569"/>
      <c r="HA462" s="569"/>
      <c r="HB462" s="569"/>
      <c r="HC462" s="569"/>
      <c r="HD462" s="569"/>
      <c r="HE462" s="569"/>
      <c r="HF462" s="569"/>
      <c r="HG462" s="569"/>
      <c r="HH462" s="569"/>
      <c r="HI462" s="569"/>
      <c r="HJ462" s="569"/>
      <c r="HK462" s="569"/>
      <c r="HL462" s="569"/>
      <c r="HM462" s="569"/>
      <c r="HN462" s="569"/>
      <c r="HO462" s="569"/>
      <c r="HP462" s="569"/>
      <c r="HQ462" s="569"/>
      <c r="HR462" s="569"/>
      <c r="HS462" s="569"/>
      <c r="HT462" s="569"/>
      <c r="HU462" s="569"/>
      <c r="HV462" s="569"/>
      <c r="HW462" s="569"/>
      <c r="HX462" s="569"/>
      <c r="HY462" s="569"/>
      <c r="HZ462" s="569"/>
      <c r="IA462" s="569"/>
      <c r="IB462" s="569"/>
      <c r="IC462" s="569"/>
      <c r="ID462" s="569"/>
      <c r="IE462" s="569"/>
      <c r="IF462" s="569"/>
      <c r="IG462" s="569"/>
      <c r="IH462" s="569"/>
      <c r="II462" s="569"/>
      <c r="IJ462" s="569"/>
      <c r="IK462" s="569"/>
      <c r="IL462" s="569"/>
      <c r="IM462" s="569"/>
      <c r="IN462" s="569"/>
      <c r="IO462" s="569"/>
      <c r="IP462" s="569"/>
      <c r="IQ462" s="569"/>
      <c r="IR462" s="569"/>
      <c r="IS462" s="569"/>
      <c r="IT462" s="569"/>
      <c r="IU462" s="569"/>
      <c r="IV462" s="569"/>
      <c r="IW462" s="569"/>
      <c r="IX462" s="569"/>
      <c r="IY462" s="569"/>
      <c r="IZ462" s="569"/>
      <c r="JA462" s="569"/>
      <c r="JB462" s="569"/>
      <c r="JC462" s="569"/>
      <c r="JD462" s="569"/>
      <c r="JE462" s="569"/>
      <c r="JF462" s="569"/>
      <c r="JG462" s="569"/>
      <c r="JH462" s="569"/>
      <c r="JI462" s="569"/>
      <c r="JJ462" s="569"/>
      <c r="JK462" s="569"/>
      <c r="JL462" s="569"/>
      <c r="JM462" s="569"/>
      <c r="JN462" s="569"/>
      <c r="JO462" s="569"/>
      <c r="JP462" s="569"/>
      <c r="JQ462" s="569"/>
      <c r="JR462" s="569"/>
      <c r="JS462" s="569"/>
      <c r="JT462" s="569"/>
      <c r="JU462" s="569"/>
      <c r="JV462" s="569"/>
      <c r="JW462" s="569"/>
      <c r="JX462" s="569"/>
      <c r="JY462" s="569"/>
      <c r="JZ462" s="569"/>
      <c r="KA462" s="569"/>
      <c r="KB462" s="569"/>
      <c r="KC462" s="569"/>
      <c r="KD462" s="569"/>
      <c r="KE462" s="569"/>
      <c r="KF462" s="569"/>
      <c r="KG462" s="569"/>
      <c r="KH462" s="569"/>
      <c r="KI462" s="569"/>
      <c r="KJ462" s="569"/>
      <c r="KK462" s="569"/>
      <c r="KL462" s="569"/>
      <c r="KM462" s="569"/>
      <c r="KN462" s="569"/>
      <c r="KO462" s="569"/>
      <c r="KP462" s="569"/>
      <c r="KQ462" s="569"/>
      <c r="KR462" s="569"/>
      <c r="KS462" s="569"/>
      <c r="KT462" s="569"/>
      <c r="KU462" s="569"/>
      <c r="KV462" s="569"/>
      <c r="KW462" s="569"/>
      <c r="KX462" s="569"/>
      <c r="KY462" s="569"/>
      <c r="KZ462" s="569"/>
      <c r="LA462" s="569"/>
      <c r="LB462" s="569"/>
      <c r="LC462" s="569"/>
      <c r="LD462" s="569"/>
      <c r="LE462" s="569"/>
      <c r="LF462" s="569"/>
      <c r="LG462" s="569"/>
      <c r="LH462" s="569"/>
      <c r="LI462" s="569"/>
      <c r="LJ462" s="569"/>
      <c r="LK462" s="569"/>
      <c r="LL462" s="569"/>
      <c r="LM462" s="569"/>
      <c r="LN462" s="569"/>
      <c r="LO462" s="569"/>
      <c r="LP462" s="569"/>
      <c r="LQ462" s="569"/>
      <c r="LR462" s="569"/>
      <c r="LS462" s="569"/>
      <c r="LT462" s="569"/>
      <c r="LU462" s="569"/>
      <c r="LV462" s="569"/>
      <c r="LW462" s="569"/>
      <c r="LX462" s="569"/>
      <c r="LY462" s="569"/>
      <c r="LZ462" s="569"/>
      <c r="MA462" s="569"/>
      <c r="MB462" s="569"/>
      <c r="MC462" s="569"/>
      <c r="MD462" s="569"/>
      <c r="ME462" s="569"/>
      <c r="MF462" s="569"/>
      <c r="MG462" s="569"/>
      <c r="MH462" s="569"/>
      <c r="MI462" s="569"/>
      <c r="MJ462" s="569"/>
      <c r="MK462" s="569"/>
      <c r="ML462" s="569"/>
      <c r="MM462" s="569"/>
      <c r="MN462" s="569"/>
      <c r="MO462" s="569"/>
      <c r="MP462" s="569"/>
      <c r="MQ462" s="569"/>
      <c r="MR462" s="569"/>
      <c r="MS462" s="569"/>
      <c r="MT462" s="569"/>
      <c r="MU462" s="569"/>
      <c r="MV462" s="569"/>
      <c r="MW462" s="569"/>
      <c r="MX462" s="569"/>
      <c r="MY462" s="569"/>
      <c r="MZ462" s="569"/>
      <c r="NA462" s="569"/>
      <c r="NB462" s="569"/>
      <c r="NC462" s="569"/>
      <c r="ND462" s="569"/>
      <c r="NE462" s="569"/>
      <c r="NF462" s="569"/>
      <c r="NG462" s="569"/>
      <c r="NH462" s="569"/>
      <c r="NI462" s="569"/>
      <c r="NJ462" s="569"/>
      <c r="NK462" s="569"/>
      <c r="NL462" s="569"/>
      <c r="NM462" s="569"/>
      <c r="NN462" s="569"/>
      <c r="NO462" s="569"/>
      <c r="NP462" s="569"/>
      <c r="NQ462" s="569"/>
      <c r="NR462" s="569"/>
      <c r="NS462" s="569"/>
      <c r="NT462" s="569"/>
      <c r="NU462" s="569"/>
      <c r="NV462" s="569"/>
      <c r="NW462" s="569"/>
      <c r="NX462" s="569"/>
      <c r="NY462" s="569"/>
      <c r="NZ462" s="569"/>
      <c r="OA462" s="569"/>
      <c r="OB462" s="569"/>
      <c r="OC462" s="569"/>
      <c r="OD462" s="569"/>
      <c r="OE462" s="569"/>
      <c r="OF462" s="569"/>
      <c r="OG462" s="569"/>
      <c r="OH462" s="569"/>
      <c r="OI462" s="569"/>
      <c r="OJ462" s="569"/>
      <c r="OK462" s="569"/>
      <c r="OL462" s="569"/>
      <c r="OM462" s="569"/>
      <c r="ON462" s="569"/>
      <c r="OO462" s="569"/>
      <c r="OP462" s="569"/>
      <c r="OQ462" s="569"/>
      <c r="OR462" s="569"/>
      <c r="OS462" s="569"/>
      <c r="OT462" s="569"/>
      <c r="OU462" s="569"/>
      <c r="OV462" s="569"/>
      <c r="OW462" s="569"/>
      <c r="OX462" s="569"/>
      <c r="OY462" s="569"/>
      <c r="OZ462" s="569"/>
      <c r="PA462" s="569"/>
      <c r="PB462" s="569"/>
      <c r="PC462" s="569"/>
      <c r="PD462" s="569"/>
      <c r="PE462" s="569"/>
      <c r="PF462" s="569"/>
      <c r="PG462" s="569"/>
      <c r="PH462" s="569"/>
      <c r="PI462" s="569"/>
      <c r="PJ462" s="569"/>
      <c r="PK462" s="569"/>
      <c r="PL462" s="569"/>
      <c r="PM462" s="569"/>
      <c r="PN462" s="569"/>
      <c r="PO462" s="569"/>
      <c r="PP462" s="569"/>
      <c r="PQ462" s="569"/>
      <c r="PR462" s="569"/>
      <c r="PS462" s="569"/>
      <c r="PT462" s="569"/>
      <c r="PU462" s="569"/>
      <c r="PV462" s="569"/>
      <c r="PW462" s="569"/>
      <c r="PX462" s="569"/>
      <c r="PY462" s="569"/>
      <c r="PZ462" s="569"/>
      <c r="QA462" s="569"/>
      <c r="QB462" s="569"/>
      <c r="QC462" s="569"/>
      <c r="QD462" s="569"/>
      <c r="QE462" s="569"/>
      <c r="QF462" s="569"/>
      <c r="QG462" s="569"/>
      <c r="QH462" s="569"/>
      <c r="QI462" s="569"/>
      <c r="QJ462" s="569"/>
      <c r="QK462" s="569"/>
      <c r="QL462" s="569"/>
    </row>
    <row r="463" spans="1:454" ht="30">
      <c r="D463" s="568"/>
      <c r="E463" s="568"/>
      <c r="F463" s="568"/>
      <c r="G463" s="568"/>
      <c r="H463" s="563" t="str">
        <f>'matrik MISI 2'!N74</f>
        <v>Cakupan Bantuan Prasarana Olah Raga Bagi Klub Olah Raga</v>
      </c>
      <c r="I463" s="563" t="str">
        <f>'matrik MISI 2'!O74</f>
        <v>%</v>
      </c>
      <c r="J463" s="563">
        <f>'matrik MISI 2'!P74</f>
        <v>3.992015968063872</v>
      </c>
      <c r="K463" s="563">
        <f>'matrik MISI 2'!Q74</f>
        <v>5.4890219560878242</v>
      </c>
      <c r="L463" s="563">
        <f>'matrik MISI 2'!R74</f>
        <v>7.4850299401197598</v>
      </c>
      <c r="M463" s="604"/>
      <c r="N463" s="563">
        <f>'matrik MISI 2'!S74</f>
        <v>9.9800399201596814</v>
      </c>
      <c r="O463" s="564"/>
      <c r="P463" s="563">
        <f>'matrik MISI 2'!T74</f>
        <v>12.974051896207584</v>
      </c>
      <c r="Q463" s="564"/>
      <c r="R463" s="563">
        <f>'matrik MISI 2'!U74</f>
        <v>16.467065868263472</v>
      </c>
      <c r="S463" s="564"/>
      <c r="T463" s="563">
        <f>'matrik MISI 2'!V74</f>
        <v>20.459081836327346</v>
      </c>
      <c r="U463" s="564"/>
      <c r="V463" s="563">
        <f>'matrik MISI 2'!W74</f>
        <v>20.459081836327346</v>
      </c>
      <c r="W463" s="564"/>
      <c r="X463" s="563" t="str">
        <f>'matrik MISI 2'!X74</f>
        <v>Dinbudparpora</v>
      </c>
      <c r="Y463" s="563" t="str">
        <f>'matrik MISI 2'!Y74</f>
        <v>Jumlah Klub Olah Raga Yang Telah Dibantu dibagi Jumlah Klub Olah raga yang ada x 100 %</v>
      </c>
      <c r="Z463" s="563" t="str">
        <f>'matrik MISI 2'!Z74</f>
        <v>Jumlah Klub Olah Raga : 2004</v>
      </c>
    </row>
    <row r="464" spans="1:454">
      <c r="B464" s="571"/>
      <c r="C464" s="572"/>
      <c r="D464" s="573"/>
      <c r="E464" s="573"/>
      <c r="F464" s="573"/>
      <c r="G464" s="573"/>
      <c r="H464" s="573"/>
      <c r="I464" s="573"/>
      <c r="J464" s="573"/>
      <c r="K464" s="573"/>
      <c r="L464" s="573"/>
      <c r="M464" s="604"/>
      <c r="N464" s="573"/>
      <c r="O464" s="564"/>
      <c r="P464" s="573"/>
      <c r="Q464" s="564"/>
      <c r="R464" s="573"/>
      <c r="S464" s="564"/>
      <c r="T464" s="573"/>
      <c r="U464" s="564"/>
      <c r="V464" s="573"/>
      <c r="W464" s="564"/>
      <c r="X464" s="573"/>
      <c r="Y464" s="573"/>
      <c r="Z464" s="573"/>
    </row>
    <row r="465" spans="1:454" s="574" customFormat="1" ht="30">
      <c r="A465" s="569"/>
      <c r="B465" s="575">
        <v>19</v>
      </c>
      <c r="C465" s="576" t="str">
        <f>'matrik MISI 2'!B99</f>
        <v>KESATUAN BANGSA DAN POLITIK DALAM NEGERI</v>
      </c>
      <c r="D465" s="577">
        <f>'matrik MISI 2'!J100</f>
        <v>1.19</v>
      </c>
      <c r="E465" s="577" t="str">
        <f>'matrik MISI 2'!K100</f>
        <v>xx</v>
      </c>
      <c r="F465" s="577">
        <f>'matrik MISI 2'!L100</f>
        <v>21</v>
      </c>
      <c r="G465" s="577" t="str">
        <f>'matrik MISI 2'!M100</f>
        <v>Program pendidikan politik masyarakat</v>
      </c>
      <c r="H465" s="577"/>
      <c r="I465" s="577"/>
      <c r="J465" s="577"/>
      <c r="K465" s="577"/>
      <c r="L465" s="577"/>
      <c r="M465" s="578">
        <f>'jangan di hapus 1'!K963</f>
        <v>1753080000</v>
      </c>
      <c r="N465" s="578"/>
      <c r="O465" s="578">
        <f>'jangan di hapus 1'!M963</f>
        <v>200000000</v>
      </c>
      <c r="P465" s="578"/>
      <c r="Q465" s="578">
        <f>'jangan di hapus 1'!O963</f>
        <v>205000000</v>
      </c>
      <c r="R465" s="578"/>
      <c r="S465" s="578">
        <f>'jangan di hapus 1'!Q963</f>
        <v>425000000</v>
      </c>
      <c r="T465" s="578"/>
      <c r="U465" s="578">
        <f>'jangan di hapus 1'!S963</f>
        <v>570000000</v>
      </c>
      <c r="V465" s="577"/>
      <c r="W465" s="578">
        <f>SUM(M465:U465)</f>
        <v>3153080000</v>
      </c>
      <c r="X465" s="577"/>
      <c r="Y465" s="577"/>
      <c r="Z465" s="577"/>
      <c r="AA465" s="569"/>
      <c r="AB465" s="569"/>
      <c r="AC465" s="569"/>
      <c r="AD465" s="569"/>
      <c r="AE465" s="569"/>
      <c r="AF465" s="569"/>
      <c r="AG465" s="569"/>
      <c r="AH465" s="569"/>
      <c r="AI465" s="569"/>
      <c r="AJ465" s="569"/>
      <c r="AK465" s="569"/>
      <c r="AL465" s="569"/>
      <c r="AM465" s="569"/>
      <c r="AN465" s="569"/>
      <c r="AO465" s="569"/>
      <c r="AP465" s="569"/>
      <c r="AQ465" s="569"/>
      <c r="AR465" s="569"/>
      <c r="AS465" s="569"/>
      <c r="AT465" s="569"/>
      <c r="AU465" s="569"/>
      <c r="AV465" s="569"/>
      <c r="AW465" s="569"/>
      <c r="AX465" s="569"/>
      <c r="AY465" s="569"/>
      <c r="AZ465" s="569"/>
      <c r="BA465" s="569"/>
      <c r="BB465" s="569"/>
      <c r="BC465" s="569"/>
      <c r="BD465" s="569"/>
      <c r="BE465" s="569"/>
      <c r="BF465" s="569"/>
      <c r="BG465" s="569"/>
      <c r="BH465" s="569"/>
      <c r="BI465" s="569"/>
      <c r="BJ465" s="569"/>
      <c r="BK465" s="569"/>
      <c r="BL465" s="569"/>
      <c r="BM465" s="569"/>
      <c r="BN465" s="569"/>
      <c r="BO465" s="569"/>
      <c r="BP465" s="569"/>
      <c r="BQ465" s="569"/>
      <c r="BR465" s="569"/>
      <c r="BS465" s="569"/>
      <c r="BT465" s="569"/>
      <c r="BU465" s="569"/>
      <c r="BV465" s="569"/>
      <c r="BW465" s="569"/>
      <c r="BX465" s="569"/>
      <c r="BY465" s="569"/>
      <c r="BZ465" s="569"/>
      <c r="CA465" s="569"/>
      <c r="CB465" s="569"/>
      <c r="CC465" s="569"/>
      <c r="CD465" s="569"/>
      <c r="CE465" s="569"/>
      <c r="CF465" s="569"/>
      <c r="CG465" s="569"/>
      <c r="CH465" s="569"/>
      <c r="CI465" s="569"/>
      <c r="CJ465" s="569"/>
      <c r="CK465" s="569"/>
      <c r="CL465" s="569"/>
      <c r="CM465" s="569"/>
      <c r="CN465" s="569"/>
      <c r="CO465" s="569"/>
      <c r="CP465" s="569"/>
      <c r="CQ465" s="569"/>
      <c r="CR465" s="569"/>
      <c r="CS465" s="569"/>
      <c r="CT465" s="569"/>
      <c r="CU465" s="569"/>
      <c r="CV465" s="569"/>
      <c r="CW465" s="569"/>
      <c r="CX465" s="569"/>
      <c r="CY465" s="569"/>
      <c r="CZ465" s="569"/>
      <c r="DA465" s="569"/>
      <c r="DB465" s="569"/>
      <c r="DC465" s="569"/>
      <c r="DD465" s="569"/>
      <c r="DE465" s="569"/>
      <c r="DF465" s="569"/>
      <c r="DG465" s="569"/>
      <c r="DH465" s="569"/>
      <c r="DI465" s="569"/>
      <c r="DJ465" s="569"/>
      <c r="DK465" s="569"/>
      <c r="DL465" s="569"/>
      <c r="DM465" s="569"/>
      <c r="DN465" s="569"/>
      <c r="DO465" s="569"/>
      <c r="DP465" s="569"/>
      <c r="DQ465" s="569"/>
      <c r="DR465" s="569"/>
      <c r="DS465" s="569"/>
      <c r="DT465" s="569"/>
      <c r="DU465" s="569"/>
      <c r="DV465" s="569"/>
      <c r="DW465" s="569"/>
      <c r="DX465" s="569"/>
      <c r="DY465" s="569"/>
      <c r="DZ465" s="569"/>
      <c r="EA465" s="569"/>
      <c r="EB465" s="569"/>
      <c r="EC465" s="569"/>
      <c r="ED465" s="569"/>
      <c r="EE465" s="569"/>
      <c r="EF465" s="569"/>
      <c r="EG465" s="569"/>
      <c r="EH465" s="569"/>
      <c r="EI465" s="569"/>
      <c r="EJ465" s="569"/>
      <c r="EK465" s="569"/>
      <c r="EL465" s="569"/>
      <c r="EM465" s="569"/>
      <c r="EN465" s="569"/>
      <c r="EO465" s="569"/>
      <c r="EP465" s="569"/>
      <c r="EQ465" s="569"/>
      <c r="ER465" s="569"/>
      <c r="ES465" s="569"/>
      <c r="ET465" s="569"/>
      <c r="EU465" s="569"/>
      <c r="EV465" s="569"/>
      <c r="EW465" s="569"/>
      <c r="EX465" s="569"/>
      <c r="EY465" s="569"/>
      <c r="EZ465" s="569"/>
      <c r="FA465" s="569"/>
      <c r="FB465" s="569"/>
      <c r="FC465" s="569"/>
      <c r="FD465" s="569"/>
      <c r="FE465" s="569"/>
      <c r="FF465" s="569"/>
      <c r="FG465" s="569"/>
      <c r="FH465" s="569"/>
      <c r="FI465" s="569"/>
      <c r="FJ465" s="569"/>
      <c r="FK465" s="569"/>
      <c r="FL465" s="569"/>
      <c r="FM465" s="569"/>
      <c r="FN465" s="569"/>
      <c r="FO465" s="569"/>
      <c r="FP465" s="569"/>
      <c r="FQ465" s="569"/>
      <c r="FR465" s="569"/>
      <c r="FS465" s="569"/>
      <c r="FT465" s="569"/>
      <c r="FU465" s="569"/>
      <c r="FV465" s="569"/>
      <c r="FW465" s="569"/>
      <c r="FX465" s="569"/>
      <c r="FY465" s="569"/>
      <c r="FZ465" s="569"/>
      <c r="GA465" s="569"/>
      <c r="GB465" s="569"/>
      <c r="GC465" s="569"/>
      <c r="GD465" s="569"/>
      <c r="GE465" s="569"/>
      <c r="GF465" s="569"/>
      <c r="GG465" s="569"/>
      <c r="GH465" s="569"/>
      <c r="GI465" s="569"/>
      <c r="GJ465" s="569"/>
      <c r="GK465" s="569"/>
      <c r="GL465" s="569"/>
      <c r="GM465" s="569"/>
      <c r="GN465" s="569"/>
      <c r="GO465" s="569"/>
      <c r="GP465" s="569"/>
      <c r="GQ465" s="569"/>
      <c r="GR465" s="569"/>
      <c r="GS465" s="569"/>
      <c r="GT465" s="569"/>
      <c r="GU465" s="569"/>
      <c r="GV465" s="569"/>
      <c r="GW465" s="569"/>
      <c r="GX465" s="569"/>
      <c r="GY465" s="569"/>
      <c r="GZ465" s="569"/>
      <c r="HA465" s="569"/>
      <c r="HB465" s="569"/>
      <c r="HC465" s="569"/>
      <c r="HD465" s="569"/>
      <c r="HE465" s="569"/>
      <c r="HF465" s="569"/>
      <c r="HG465" s="569"/>
      <c r="HH465" s="569"/>
      <c r="HI465" s="569"/>
      <c r="HJ465" s="569"/>
      <c r="HK465" s="569"/>
      <c r="HL465" s="569"/>
      <c r="HM465" s="569"/>
      <c r="HN465" s="569"/>
      <c r="HO465" s="569"/>
      <c r="HP465" s="569"/>
      <c r="HQ465" s="569"/>
      <c r="HR465" s="569"/>
      <c r="HS465" s="569"/>
      <c r="HT465" s="569"/>
      <c r="HU465" s="569"/>
      <c r="HV465" s="569"/>
      <c r="HW465" s="569"/>
      <c r="HX465" s="569"/>
      <c r="HY465" s="569"/>
      <c r="HZ465" s="569"/>
      <c r="IA465" s="569"/>
      <c r="IB465" s="569"/>
      <c r="IC465" s="569"/>
      <c r="ID465" s="569"/>
      <c r="IE465" s="569"/>
      <c r="IF465" s="569"/>
      <c r="IG465" s="569"/>
      <c r="IH465" s="569"/>
      <c r="II465" s="569"/>
      <c r="IJ465" s="569"/>
      <c r="IK465" s="569"/>
      <c r="IL465" s="569"/>
      <c r="IM465" s="569"/>
      <c r="IN465" s="569"/>
      <c r="IO465" s="569"/>
      <c r="IP465" s="569"/>
      <c r="IQ465" s="569"/>
      <c r="IR465" s="569"/>
      <c r="IS465" s="569"/>
      <c r="IT465" s="569"/>
      <c r="IU465" s="569"/>
      <c r="IV465" s="569"/>
      <c r="IW465" s="569"/>
      <c r="IX465" s="569"/>
      <c r="IY465" s="569"/>
      <c r="IZ465" s="569"/>
      <c r="JA465" s="569"/>
      <c r="JB465" s="569"/>
      <c r="JC465" s="569"/>
      <c r="JD465" s="569"/>
      <c r="JE465" s="569"/>
      <c r="JF465" s="569"/>
      <c r="JG465" s="569"/>
      <c r="JH465" s="569"/>
      <c r="JI465" s="569"/>
      <c r="JJ465" s="569"/>
      <c r="JK465" s="569"/>
      <c r="JL465" s="569"/>
      <c r="JM465" s="569"/>
      <c r="JN465" s="569"/>
      <c r="JO465" s="569"/>
      <c r="JP465" s="569"/>
      <c r="JQ465" s="569"/>
      <c r="JR465" s="569"/>
      <c r="JS465" s="569"/>
      <c r="JT465" s="569"/>
      <c r="JU465" s="569"/>
      <c r="JV465" s="569"/>
      <c r="JW465" s="569"/>
      <c r="JX465" s="569"/>
      <c r="JY465" s="569"/>
      <c r="JZ465" s="569"/>
      <c r="KA465" s="569"/>
      <c r="KB465" s="569"/>
      <c r="KC465" s="569"/>
      <c r="KD465" s="569"/>
      <c r="KE465" s="569"/>
      <c r="KF465" s="569"/>
      <c r="KG465" s="569"/>
      <c r="KH465" s="569"/>
      <c r="KI465" s="569"/>
      <c r="KJ465" s="569"/>
      <c r="KK465" s="569"/>
      <c r="KL465" s="569"/>
      <c r="KM465" s="569"/>
      <c r="KN465" s="569"/>
      <c r="KO465" s="569"/>
      <c r="KP465" s="569"/>
      <c r="KQ465" s="569"/>
      <c r="KR465" s="569"/>
      <c r="KS465" s="569"/>
      <c r="KT465" s="569"/>
      <c r="KU465" s="569"/>
      <c r="KV465" s="569"/>
      <c r="KW465" s="569"/>
      <c r="KX465" s="569"/>
      <c r="KY465" s="569"/>
      <c r="KZ465" s="569"/>
      <c r="LA465" s="569"/>
      <c r="LB465" s="569"/>
      <c r="LC465" s="569"/>
      <c r="LD465" s="569"/>
      <c r="LE465" s="569"/>
      <c r="LF465" s="569"/>
      <c r="LG465" s="569"/>
      <c r="LH465" s="569"/>
      <c r="LI465" s="569"/>
      <c r="LJ465" s="569"/>
      <c r="LK465" s="569"/>
      <c r="LL465" s="569"/>
      <c r="LM465" s="569"/>
      <c r="LN465" s="569"/>
      <c r="LO465" s="569"/>
      <c r="LP465" s="569"/>
      <c r="LQ465" s="569"/>
      <c r="LR465" s="569"/>
      <c r="LS465" s="569"/>
      <c r="LT465" s="569"/>
      <c r="LU465" s="569"/>
      <c r="LV465" s="569"/>
      <c r="LW465" s="569"/>
      <c r="LX465" s="569"/>
      <c r="LY465" s="569"/>
      <c r="LZ465" s="569"/>
      <c r="MA465" s="569"/>
      <c r="MB465" s="569"/>
      <c r="MC465" s="569"/>
      <c r="MD465" s="569"/>
      <c r="ME465" s="569"/>
      <c r="MF465" s="569"/>
      <c r="MG465" s="569"/>
      <c r="MH465" s="569"/>
      <c r="MI465" s="569"/>
      <c r="MJ465" s="569"/>
      <c r="MK465" s="569"/>
      <c r="ML465" s="569"/>
      <c r="MM465" s="569"/>
      <c r="MN465" s="569"/>
      <c r="MO465" s="569"/>
      <c r="MP465" s="569"/>
      <c r="MQ465" s="569"/>
      <c r="MR465" s="569"/>
      <c r="MS465" s="569"/>
      <c r="MT465" s="569"/>
      <c r="MU465" s="569"/>
      <c r="MV465" s="569"/>
      <c r="MW465" s="569"/>
      <c r="MX465" s="569"/>
      <c r="MY465" s="569"/>
      <c r="MZ465" s="569"/>
      <c r="NA465" s="569"/>
      <c r="NB465" s="569"/>
      <c r="NC465" s="569"/>
      <c r="ND465" s="569"/>
      <c r="NE465" s="569"/>
      <c r="NF465" s="569"/>
      <c r="NG465" s="569"/>
      <c r="NH465" s="569"/>
      <c r="NI465" s="569"/>
      <c r="NJ465" s="569"/>
      <c r="NK465" s="569"/>
      <c r="NL465" s="569"/>
      <c r="NM465" s="569"/>
      <c r="NN465" s="569"/>
      <c r="NO465" s="569"/>
      <c r="NP465" s="569"/>
      <c r="NQ465" s="569"/>
      <c r="NR465" s="569"/>
      <c r="NS465" s="569"/>
      <c r="NT465" s="569"/>
      <c r="NU465" s="569"/>
      <c r="NV465" s="569"/>
      <c r="NW465" s="569"/>
      <c r="NX465" s="569"/>
      <c r="NY465" s="569"/>
      <c r="NZ465" s="569"/>
      <c r="OA465" s="569"/>
      <c r="OB465" s="569"/>
      <c r="OC465" s="569"/>
      <c r="OD465" s="569"/>
      <c r="OE465" s="569"/>
      <c r="OF465" s="569"/>
      <c r="OG465" s="569"/>
      <c r="OH465" s="569"/>
      <c r="OI465" s="569"/>
      <c r="OJ465" s="569"/>
      <c r="OK465" s="569"/>
      <c r="OL465" s="569"/>
      <c r="OM465" s="569"/>
      <c r="ON465" s="569"/>
      <c r="OO465" s="569"/>
      <c r="OP465" s="569"/>
      <c r="OQ465" s="569"/>
      <c r="OR465" s="569"/>
      <c r="OS465" s="569"/>
      <c r="OT465" s="569"/>
      <c r="OU465" s="569"/>
      <c r="OV465" s="569"/>
      <c r="OW465" s="569"/>
      <c r="OX465" s="569"/>
      <c r="OY465" s="569"/>
      <c r="OZ465" s="569"/>
      <c r="PA465" s="569"/>
      <c r="PB465" s="569"/>
      <c r="PC465" s="569"/>
      <c r="PD465" s="569"/>
      <c r="PE465" s="569"/>
      <c r="PF465" s="569"/>
      <c r="PG465" s="569"/>
      <c r="PH465" s="569"/>
      <c r="PI465" s="569"/>
      <c r="PJ465" s="569"/>
      <c r="PK465" s="569"/>
      <c r="PL465" s="569"/>
      <c r="PM465" s="569"/>
      <c r="PN465" s="569"/>
      <c r="PO465" s="569"/>
      <c r="PP465" s="569"/>
      <c r="PQ465" s="569"/>
      <c r="PR465" s="569"/>
      <c r="PS465" s="569"/>
      <c r="PT465" s="569"/>
      <c r="PU465" s="569"/>
      <c r="PV465" s="569"/>
      <c r="PW465" s="569"/>
      <c r="PX465" s="569"/>
      <c r="PY465" s="569"/>
      <c r="PZ465" s="569"/>
      <c r="QA465" s="569"/>
      <c r="QB465" s="569"/>
      <c r="QC465" s="569"/>
      <c r="QD465" s="569"/>
      <c r="QE465" s="569"/>
      <c r="QF465" s="569"/>
      <c r="QG465" s="569"/>
      <c r="QH465" s="569"/>
      <c r="QI465" s="569"/>
      <c r="QJ465" s="569"/>
      <c r="QK465" s="569"/>
      <c r="QL465" s="569"/>
    </row>
    <row r="466" spans="1:454" ht="30">
      <c r="B466" s="568"/>
      <c r="C466" s="568"/>
      <c r="D466" s="568"/>
      <c r="E466" s="568"/>
      <c r="F466" s="568"/>
      <c r="G466" s="568"/>
      <c r="H466" s="563" t="str">
        <f>'matrik MISI 2'!N100</f>
        <v>Persentase Peserta Kegiatan Politik Masyarakat</v>
      </c>
      <c r="I466" s="563" t="str">
        <f>'matrik MISI 2'!O100</f>
        <v>%</v>
      </c>
      <c r="J466" s="563">
        <f>'matrik MISI 2'!P100</f>
        <v>100</v>
      </c>
      <c r="K466" s="563">
        <f>'matrik MISI 2'!Q100</f>
        <v>100</v>
      </c>
      <c r="L466" s="563">
        <f>'matrik MISI 2'!R100</f>
        <v>100</v>
      </c>
      <c r="M466" s="604"/>
      <c r="N466" s="563">
        <f>'matrik MISI 2'!S100</f>
        <v>100</v>
      </c>
      <c r="O466" s="564"/>
      <c r="P466" s="563">
        <f>'matrik MISI 2'!T100</f>
        <v>100</v>
      </c>
      <c r="Q466" s="564"/>
      <c r="R466" s="563">
        <f>'matrik MISI 2'!U100</f>
        <v>100</v>
      </c>
      <c r="S466" s="564"/>
      <c r="T466" s="563">
        <f>'matrik MISI 2'!V100</f>
        <v>100</v>
      </c>
      <c r="U466" s="564"/>
      <c r="V466" s="563">
        <f>'matrik MISI 2'!W100</f>
        <v>100</v>
      </c>
      <c r="W466" s="564"/>
      <c r="X466" s="563" t="str">
        <f>'matrik MISI 2'!X100</f>
        <v>Kantor KESBANG</v>
      </c>
      <c r="Y466" s="563" t="str">
        <f>'matrik MISI 2'!Y100</f>
        <v>Jumlah peserta kegiatan politik masyarakat dibagi jumlah undangan kegiatan politik masyarakat x 100</v>
      </c>
      <c r="Z466" s="563" t="str">
        <f>'matrik MISI 2'!Z100</f>
        <v>Maksud Kegiatan Politik ??? (ditanyakan Kesbang)</v>
      </c>
    </row>
    <row r="467" spans="1:454" ht="30">
      <c r="G467" s="563"/>
      <c r="H467" s="563" t="str">
        <f>'matrik MISI 2'!N102</f>
        <v xml:space="preserve">Persentase Partisipasi Pemilih </v>
      </c>
      <c r="I467" s="563" t="str">
        <f>'matrik MISI 2'!O102</f>
        <v>%</v>
      </c>
      <c r="J467" s="563" t="str">
        <f>'matrik MISI 2'!P102</f>
        <v xml:space="preserve"> - </v>
      </c>
      <c r="K467" s="563">
        <f>'matrik MISI 2'!Q102</f>
        <v>86</v>
      </c>
      <c r="L467" s="563" t="str">
        <f>'matrik MISI 2'!R102</f>
        <v xml:space="preserve"> - </v>
      </c>
      <c r="M467" s="604"/>
      <c r="N467" s="563" t="str">
        <f>'matrik MISI 2'!S102</f>
        <v xml:space="preserve"> - </v>
      </c>
      <c r="O467" s="564"/>
      <c r="P467" s="563" t="str">
        <f>'matrik MISI 2'!T102</f>
        <v xml:space="preserve"> - </v>
      </c>
      <c r="Q467" s="564"/>
      <c r="R467" s="563" t="str">
        <f>'matrik MISI 2'!U102</f>
        <v xml:space="preserve"> - </v>
      </c>
      <c r="S467" s="564"/>
      <c r="T467" s="563">
        <f>'matrik MISI 2'!V102</f>
        <v>100</v>
      </c>
      <c r="U467" s="564"/>
      <c r="V467" s="563">
        <f>'matrik MISI 2'!W102</f>
        <v>100</v>
      </c>
      <c r="W467" s="564"/>
      <c r="X467" s="563" t="str">
        <f>'matrik MISI 2'!X102</f>
        <v>Kantor KESBANG</v>
      </c>
      <c r="Y467" s="563" t="str">
        <f>'matrik MISI 2'!Y102</f>
        <v>Jumlah pemilih yang menggunakan hak pilih dibagi jumlah pemilih yang terdaftar kali 100</v>
      </c>
      <c r="Z467" s="563">
        <f>'matrik MISI 2'!Z102</f>
        <v>0</v>
      </c>
    </row>
    <row r="468" spans="1:454" s="574" customFormat="1" ht="45">
      <c r="A468" s="569"/>
      <c r="B468" s="575"/>
      <c r="C468" s="576"/>
      <c r="D468" s="577">
        <f>'matrik MISI 2'!J101</f>
        <v>1.19</v>
      </c>
      <c r="E468" s="577" t="str">
        <f>'matrik MISI 2'!K101</f>
        <v>xx</v>
      </c>
      <c r="F468" s="577">
        <f>'matrik MISI 2'!L101</f>
        <v>20</v>
      </c>
      <c r="G468" s="577" t="str">
        <f>'matrik MISI 2'!M101</f>
        <v>Program peningkatan pemberantasan penyakit masyarakat</v>
      </c>
      <c r="H468" s="577"/>
      <c r="I468" s="577"/>
      <c r="J468" s="577"/>
      <c r="K468" s="577"/>
      <c r="L468" s="577"/>
      <c r="M468" s="578">
        <f>'jangan di hapus 1'!K959</f>
        <v>155445000</v>
      </c>
      <c r="N468" s="578">
        <f>'jangan di hapus 1'!L959</f>
        <v>0</v>
      </c>
      <c r="O468" s="578">
        <f>'jangan di hapus 1'!M959</f>
        <v>195000000</v>
      </c>
      <c r="P468" s="578">
        <f>'jangan di hapus 1'!N959</f>
        <v>0</v>
      </c>
      <c r="Q468" s="578">
        <f>'jangan di hapus 1'!O959</f>
        <v>192000000</v>
      </c>
      <c r="R468" s="578">
        <f>'jangan di hapus 1'!P959</f>
        <v>0</v>
      </c>
      <c r="S468" s="578">
        <f>'jangan di hapus 1'!Q959</f>
        <v>192000000</v>
      </c>
      <c r="T468" s="578">
        <f>'jangan di hapus 1'!R959</f>
        <v>0</v>
      </c>
      <c r="U468" s="578">
        <f>'jangan di hapus 1'!S959</f>
        <v>230000000</v>
      </c>
      <c r="V468" s="577"/>
      <c r="W468" s="578">
        <f>SUM(M468:U468)</f>
        <v>964445000</v>
      </c>
      <c r="X468" s="577"/>
      <c r="Y468" s="577"/>
      <c r="Z468" s="577"/>
      <c r="AA468" s="569"/>
      <c r="AB468" s="569"/>
      <c r="AC468" s="569"/>
      <c r="AD468" s="569"/>
      <c r="AE468" s="569"/>
      <c r="AF468" s="569"/>
      <c r="AG468" s="569"/>
      <c r="AH468" s="569"/>
      <c r="AI468" s="569"/>
      <c r="AJ468" s="569"/>
      <c r="AK468" s="569"/>
      <c r="AL468" s="569"/>
      <c r="AM468" s="569"/>
      <c r="AN468" s="569"/>
      <c r="AO468" s="569"/>
      <c r="AP468" s="569"/>
      <c r="AQ468" s="569"/>
      <c r="AR468" s="569"/>
      <c r="AS468" s="569"/>
      <c r="AT468" s="569"/>
      <c r="AU468" s="569"/>
      <c r="AV468" s="569"/>
      <c r="AW468" s="569"/>
      <c r="AX468" s="569"/>
      <c r="AY468" s="569"/>
      <c r="AZ468" s="569"/>
      <c r="BA468" s="569"/>
      <c r="BB468" s="569"/>
      <c r="BC468" s="569"/>
      <c r="BD468" s="569"/>
      <c r="BE468" s="569"/>
      <c r="BF468" s="569"/>
      <c r="BG468" s="569"/>
      <c r="BH468" s="569"/>
      <c r="BI468" s="569"/>
      <c r="BJ468" s="569"/>
      <c r="BK468" s="569"/>
      <c r="BL468" s="569"/>
      <c r="BM468" s="569"/>
      <c r="BN468" s="569"/>
      <c r="BO468" s="569"/>
      <c r="BP468" s="569"/>
      <c r="BQ468" s="569"/>
      <c r="BR468" s="569"/>
      <c r="BS468" s="569"/>
      <c r="BT468" s="569"/>
      <c r="BU468" s="569"/>
      <c r="BV468" s="569"/>
      <c r="BW468" s="569"/>
      <c r="BX468" s="569"/>
      <c r="BY468" s="569"/>
      <c r="BZ468" s="569"/>
      <c r="CA468" s="569"/>
      <c r="CB468" s="569"/>
      <c r="CC468" s="569"/>
      <c r="CD468" s="569"/>
      <c r="CE468" s="569"/>
      <c r="CF468" s="569"/>
      <c r="CG468" s="569"/>
      <c r="CH468" s="569"/>
      <c r="CI468" s="569"/>
      <c r="CJ468" s="569"/>
      <c r="CK468" s="569"/>
      <c r="CL468" s="569"/>
      <c r="CM468" s="569"/>
      <c r="CN468" s="569"/>
      <c r="CO468" s="569"/>
      <c r="CP468" s="569"/>
      <c r="CQ468" s="569"/>
      <c r="CR468" s="569"/>
      <c r="CS468" s="569"/>
      <c r="CT468" s="569"/>
      <c r="CU468" s="569"/>
      <c r="CV468" s="569"/>
      <c r="CW468" s="569"/>
      <c r="CX468" s="569"/>
      <c r="CY468" s="569"/>
      <c r="CZ468" s="569"/>
      <c r="DA468" s="569"/>
      <c r="DB468" s="569"/>
      <c r="DC468" s="569"/>
      <c r="DD468" s="569"/>
      <c r="DE468" s="569"/>
      <c r="DF468" s="569"/>
      <c r="DG468" s="569"/>
      <c r="DH468" s="569"/>
      <c r="DI468" s="569"/>
      <c r="DJ468" s="569"/>
      <c r="DK468" s="569"/>
      <c r="DL468" s="569"/>
      <c r="DM468" s="569"/>
      <c r="DN468" s="569"/>
      <c r="DO468" s="569"/>
      <c r="DP468" s="569"/>
      <c r="DQ468" s="569"/>
      <c r="DR468" s="569"/>
      <c r="DS468" s="569"/>
      <c r="DT468" s="569"/>
      <c r="DU468" s="569"/>
      <c r="DV468" s="569"/>
      <c r="DW468" s="569"/>
      <c r="DX468" s="569"/>
      <c r="DY468" s="569"/>
      <c r="DZ468" s="569"/>
      <c r="EA468" s="569"/>
      <c r="EB468" s="569"/>
      <c r="EC468" s="569"/>
      <c r="ED468" s="569"/>
      <c r="EE468" s="569"/>
      <c r="EF468" s="569"/>
      <c r="EG468" s="569"/>
      <c r="EH468" s="569"/>
      <c r="EI468" s="569"/>
      <c r="EJ468" s="569"/>
      <c r="EK468" s="569"/>
      <c r="EL468" s="569"/>
      <c r="EM468" s="569"/>
      <c r="EN468" s="569"/>
      <c r="EO468" s="569"/>
      <c r="EP468" s="569"/>
      <c r="EQ468" s="569"/>
      <c r="ER468" s="569"/>
      <c r="ES468" s="569"/>
      <c r="ET468" s="569"/>
      <c r="EU468" s="569"/>
      <c r="EV468" s="569"/>
      <c r="EW468" s="569"/>
      <c r="EX468" s="569"/>
      <c r="EY468" s="569"/>
      <c r="EZ468" s="569"/>
      <c r="FA468" s="569"/>
      <c r="FB468" s="569"/>
      <c r="FC468" s="569"/>
      <c r="FD468" s="569"/>
      <c r="FE468" s="569"/>
      <c r="FF468" s="569"/>
      <c r="FG468" s="569"/>
      <c r="FH468" s="569"/>
      <c r="FI468" s="569"/>
      <c r="FJ468" s="569"/>
      <c r="FK468" s="569"/>
      <c r="FL468" s="569"/>
      <c r="FM468" s="569"/>
      <c r="FN468" s="569"/>
      <c r="FO468" s="569"/>
      <c r="FP468" s="569"/>
      <c r="FQ468" s="569"/>
      <c r="FR468" s="569"/>
      <c r="FS468" s="569"/>
      <c r="FT468" s="569"/>
      <c r="FU468" s="569"/>
      <c r="FV468" s="569"/>
      <c r="FW468" s="569"/>
      <c r="FX468" s="569"/>
      <c r="FY468" s="569"/>
      <c r="FZ468" s="569"/>
      <c r="GA468" s="569"/>
      <c r="GB468" s="569"/>
      <c r="GC468" s="569"/>
      <c r="GD468" s="569"/>
      <c r="GE468" s="569"/>
      <c r="GF468" s="569"/>
      <c r="GG468" s="569"/>
      <c r="GH468" s="569"/>
      <c r="GI468" s="569"/>
      <c r="GJ468" s="569"/>
      <c r="GK468" s="569"/>
      <c r="GL468" s="569"/>
      <c r="GM468" s="569"/>
      <c r="GN468" s="569"/>
      <c r="GO468" s="569"/>
      <c r="GP468" s="569"/>
      <c r="GQ468" s="569"/>
      <c r="GR468" s="569"/>
      <c r="GS468" s="569"/>
      <c r="GT468" s="569"/>
      <c r="GU468" s="569"/>
      <c r="GV468" s="569"/>
      <c r="GW468" s="569"/>
      <c r="GX468" s="569"/>
      <c r="GY468" s="569"/>
      <c r="GZ468" s="569"/>
      <c r="HA468" s="569"/>
      <c r="HB468" s="569"/>
      <c r="HC468" s="569"/>
      <c r="HD468" s="569"/>
      <c r="HE468" s="569"/>
      <c r="HF468" s="569"/>
      <c r="HG468" s="569"/>
      <c r="HH468" s="569"/>
      <c r="HI468" s="569"/>
      <c r="HJ468" s="569"/>
      <c r="HK468" s="569"/>
      <c r="HL468" s="569"/>
      <c r="HM468" s="569"/>
      <c r="HN468" s="569"/>
      <c r="HO468" s="569"/>
      <c r="HP468" s="569"/>
      <c r="HQ468" s="569"/>
      <c r="HR468" s="569"/>
      <c r="HS468" s="569"/>
      <c r="HT468" s="569"/>
      <c r="HU468" s="569"/>
      <c r="HV468" s="569"/>
      <c r="HW468" s="569"/>
      <c r="HX468" s="569"/>
      <c r="HY468" s="569"/>
      <c r="HZ468" s="569"/>
      <c r="IA468" s="569"/>
      <c r="IB468" s="569"/>
      <c r="IC468" s="569"/>
      <c r="ID468" s="569"/>
      <c r="IE468" s="569"/>
      <c r="IF468" s="569"/>
      <c r="IG468" s="569"/>
      <c r="IH468" s="569"/>
      <c r="II468" s="569"/>
      <c r="IJ468" s="569"/>
      <c r="IK468" s="569"/>
      <c r="IL468" s="569"/>
      <c r="IM468" s="569"/>
      <c r="IN468" s="569"/>
      <c r="IO468" s="569"/>
      <c r="IP468" s="569"/>
      <c r="IQ468" s="569"/>
      <c r="IR468" s="569"/>
      <c r="IS468" s="569"/>
      <c r="IT468" s="569"/>
      <c r="IU468" s="569"/>
      <c r="IV468" s="569"/>
      <c r="IW468" s="569"/>
      <c r="IX468" s="569"/>
      <c r="IY468" s="569"/>
      <c r="IZ468" s="569"/>
      <c r="JA468" s="569"/>
      <c r="JB468" s="569"/>
      <c r="JC468" s="569"/>
      <c r="JD468" s="569"/>
      <c r="JE468" s="569"/>
      <c r="JF468" s="569"/>
      <c r="JG468" s="569"/>
      <c r="JH468" s="569"/>
      <c r="JI468" s="569"/>
      <c r="JJ468" s="569"/>
      <c r="JK468" s="569"/>
      <c r="JL468" s="569"/>
      <c r="JM468" s="569"/>
      <c r="JN468" s="569"/>
      <c r="JO468" s="569"/>
      <c r="JP468" s="569"/>
      <c r="JQ468" s="569"/>
      <c r="JR468" s="569"/>
      <c r="JS468" s="569"/>
      <c r="JT468" s="569"/>
      <c r="JU468" s="569"/>
      <c r="JV468" s="569"/>
      <c r="JW468" s="569"/>
      <c r="JX468" s="569"/>
      <c r="JY468" s="569"/>
      <c r="JZ468" s="569"/>
      <c r="KA468" s="569"/>
      <c r="KB468" s="569"/>
      <c r="KC468" s="569"/>
      <c r="KD468" s="569"/>
      <c r="KE468" s="569"/>
      <c r="KF468" s="569"/>
      <c r="KG468" s="569"/>
      <c r="KH468" s="569"/>
      <c r="KI468" s="569"/>
      <c r="KJ468" s="569"/>
      <c r="KK468" s="569"/>
      <c r="KL468" s="569"/>
      <c r="KM468" s="569"/>
      <c r="KN468" s="569"/>
      <c r="KO468" s="569"/>
      <c r="KP468" s="569"/>
      <c r="KQ468" s="569"/>
      <c r="KR468" s="569"/>
      <c r="KS468" s="569"/>
      <c r="KT468" s="569"/>
      <c r="KU468" s="569"/>
      <c r="KV468" s="569"/>
      <c r="KW468" s="569"/>
      <c r="KX468" s="569"/>
      <c r="KY468" s="569"/>
      <c r="KZ468" s="569"/>
      <c r="LA468" s="569"/>
      <c r="LB468" s="569"/>
      <c r="LC468" s="569"/>
      <c r="LD468" s="569"/>
      <c r="LE468" s="569"/>
      <c r="LF468" s="569"/>
      <c r="LG468" s="569"/>
      <c r="LH468" s="569"/>
      <c r="LI468" s="569"/>
      <c r="LJ468" s="569"/>
      <c r="LK468" s="569"/>
      <c r="LL468" s="569"/>
      <c r="LM468" s="569"/>
      <c r="LN468" s="569"/>
      <c r="LO468" s="569"/>
      <c r="LP468" s="569"/>
      <c r="LQ468" s="569"/>
      <c r="LR468" s="569"/>
      <c r="LS468" s="569"/>
      <c r="LT468" s="569"/>
      <c r="LU468" s="569"/>
      <c r="LV468" s="569"/>
      <c r="LW468" s="569"/>
      <c r="LX468" s="569"/>
      <c r="LY468" s="569"/>
      <c r="LZ468" s="569"/>
      <c r="MA468" s="569"/>
      <c r="MB468" s="569"/>
      <c r="MC468" s="569"/>
      <c r="MD468" s="569"/>
      <c r="ME468" s="569"/>
      <c r="MF468" s="569"/>
      <c r="MG468" s="569"/>
      <c r="MH468" s="569"/>
      <c r="MI468" s="569"/>
      <c r="MJ468" s="569"/>
      <c r="MK468" s="569"/>
      <c r="ML468" s="569"/>
      <c r="MM468" s="569"/>
      <c r="MN468" s="569"/>
      <c r="MO468" s="569"/>
      <c r="MP468" s="569"/>
      <c r="MQ468" s="569"/>
      <c r="MR468" s="569"/>
      <c r="MS468" s="569"/>
      <c r="MT468" s="569"/>
      <c r="MU468" s="569"/>
      <c r="MV468" s="569"/>
      <c r="MW468" s="569"/>
      <c r="MX468" s="569"/>
      <c r="MY468" s="569"/>
      <c r="MZ468" s="569"/>
      <c r="NA468" s="569"/>
      <c r="NB468" s="569"/>
      <c r="NC468" s="569"/>
      <c r="ND468" s="569"/>
      <c r="NE468" s="569"/>
      <c r="NF468" s="569"/>
      <c r="NG468" s="569"/>
      <c r="NH468" s="569"/>
      <c r="NI468" s="569"/>
      <c r="NJ468" s="569"/>
      <c r="NK468" s="569"/>
      <c r="NL468" s="569"/>
      <c r="NM468" s="569"/>
      <c r="NN468" s="569"/>
      <c r="NO468" s="569"/>
      <c r="NP468" s="569"/>
      <c r="NQ468" s="569"/>
      <c r="NR468" s="569"/>
      <c r="NS468" s="569"/>
      <c r="NT468" s="569"/>
      <c r="NU468" s="569"/>
      <c r="NV468" s="569"/>
      <c r="NW468" s="569"/>
      <c r="NX468" s="569"/>
      <c r="NY468" s="569"/>
      <c r="NZ468" s="569"/>
      <c r="OA468" s="569"/>
      <c r="OB468" s="569"/>
      <c r="OC468" s="569"/>
      <c r="OD468" s="569"/>
      <c r="OE468" s="569"/>
      <c r="OF468" s="569"/>
      <c r="OG468" s="569"/>
      <c r="OH468" s="569"/>
      <c r="OI468" s="569"/>
      <c r="OJ468" s="569"/>
      <c r="OK468" s="569"/>
      <c r="OL468" s="569"/>
      <c r="OM468" s="569"/>
      <c r="ON468" s="569"/>
      <c r="OO468" s="569"/>
      <c r="OP468" s="569"/>
      <c r="OQ468" s="569"/>
      <c r="OR468" s="569"/>
      <c r="OS468" s="569"/>
      <c r="OT468" s="569"/>
      <c r="OU468" s="569"/>
      <c r="OV468" s="569"/>
      <c r="OW468" s="569"/>
      <c r="OX468" s="569"/>
      <c r="OY468" s="569"/>
      <c r="OZ468" s="569"/>
      <c r="PA468" s="569"/>
      <c r="PB468" s="569"/>
      <c r="PC468" s="569"/>
      <c r="PD468" s="569"/>
      <c r="PE468" s="569"/>
      <c r="PF468" s="569"/>
      <c r="PG468" s="569"/>
      <c r="PH468" s="569"/>
      <c r="PI468" s="569"/>
      <c r="PJ468" s="569"/>
      <c r="PK468" s="569"/>
      <c r="PL468" s="569"/>
      <c r="PM468" s="569"/>
      <c r="PN468" s="569"/>
      <c r="PO468" s="569"/>
      <c r="PP468" s="569"/>
      <c r="PQ468" s="569"/>
      <c r="PR468" s="569"/>
      <c r="PS468" s="569"/>
      <c r="PT468" s="569"/>
      <c r="PU468" s="569"/>
      <c r="PV468" s="569"/>
      <c r="PW468" s="569"/>
      <c r="PX468" s="569"/>
      <c r="PY468" s="569"/>
      <c r="PZ468" s="569"/>
      <c r="QA468" s="569"/>
      <c r="QB468" s="569"/>
      <c r="QC468" s="569"/>
      <c r="QD468" s="569"/>
      <c r="QE468" s="569"/>
      <c r="QF468" s="569"/>
      <c r="QG468" s="569"/>
      <c r="QH468" s="569"/>
      <c r="QI468" s="569"/>
      <c r="QJ468" s="569"/>
      <c r="QK468" s="569"/>
      <c r="QL468" s="569"/>
    </row>
    <row r="469" spans="1:454" ht="30">
      <c r="D469" s="568"/>
      <c r="E469" s="568"/>
      <c r="F469" s="568"/>
      <c r="G469" s="568"/>
      <c r="H469" s="563" t="str">
        <f>'matrik MISI 2'!N101</f>
        <v>Persentase Kasus Pekat yang Tertangani</v>
      </c>
      <c r="I469" s="563" t="str">
        <f>'matrik MISI 2'!O101</f>
        <v>%</v>
      </c>
      <c r="J469" s="563">
        <f>'matrik MISI 2'!P101</f>
        <v>100</v>
      </c>
      <c r="K469" s="563">
        <f>'matrik MISI 2'!Q101</f>
        <v>100</v>
      </c>
      <c r="L469" s="563">
        <f>'matrik MISI 2'!R101</f>
        <v>100</v>
      </c>
      <c r="M469" s="604"/>
      <c r="N469" s="563">
        <f>'matrik MISI 2'!S101</f>
        <v>100</v>
      </c>
      <c r="O469" s="564"/>
      <c r="P469" s="563">
        <f>'matrik MISI 2'!T101</f>
        <v>100</v>
      </c>
      <c r="Q469" s="564"/>
      <c r="R469" s="563">
        <f>'matrik MISI 2'!U101</f>
        <v>100</v>
      </c>
      <c r="S469" s="564"/>
      <c r="T469" s="563">
        <f>'matrik MISI 2'!V101</f>
        <v>100</v>
      </c>
      <c r="U469" s="564"/>
      <c r="V469" s="563">
        <f>'matrik MISI 2'!W101</f>
        <v>100</v>
      </c>
      <c r="W469" s="564"/>
      <c r="X469" s="563" t="str">
        <f>'matrik MISI 2'!X101</f>
        <v>Kantor KESBANG</v>
      </c>
      <c r="Y469" s="563" t="str">
        <f>'matrik MISI 2'!Y101</f>
        <v>Jumlah kasus pekat yang tertangani dibagi jumlah kasus pekat yang dilaporkan kali 100</v>
      </c>
      <c r="Z469" s="563">
        <f>'matrik MISI 2'!Z101</f>
        <v>0</v>
      </c>
    </row>
    <row r="470" spans="1:454" s="574" customFormat="1" ht="30">
      <c r="A470" s="569"/>
      <c r="B470" s="575"/>
      <c r="C470" s="576"/>
      <c r="D470" s="577">
        <f>'matrik MISI 2'!J103</f>
        <v>1.19</v>
      </c>
      <c r="E470" s="577" t="str">
        <f>'matrik MISI 2'!K103</f>
        <v>xx</v>
      </c>
      <c r="F470" s="577">
        <f>'matrik MISI 2'!L103</f>
        <v>17</v>
      </c>
      <c r="G470" s="577" t="str">
        <f>'matrik MISI 2'!M103</f>
        <v>Program pengembangan wawasan kebangsaan</v>
      </c>
      <c r="H470" s="577"/>
      <c r="I470" s="577"/>
      <c r="J470" s="577"/>
      <c r="K470" s="577"/>
      <c r="L470" s="577"/>
      <c r="M470" s="578">
        <f>'jangan di hapus 1'!K941</f>
        <v>258000000</v>
      </c>
      <c r="N470" s="578"/>
      <c r="O470" s="578">
        <f>'jangan di hapus 1'!M941</f>
        <v>340000000</v>
      </c>
      <c r="P470" s="578"/>
      <c r="Q470" s="578">
        <f>'jangan di hapus 1'!O941</f>
        <v>367500000</v>
      </c>
      <c r="R470" s="578"/>
      <c r="S470" s="578">
        <f>'jangan di hapus 1'!Q941</f>
        <v>385000000</v>
      </c>
      <c r="T470" s="578"/>
      <c r="U470" s="578">
        <f>'jangan di hapus 1'!S941</f>
        <v>412500000</v>
      </c>
      <c r="V470" s="577"/>
      <c r="W470" s="578">
        <f>SUM(M470:U470)</f>
        <v>1763000000</v>
      </c>
      <c r="X470" s="577"/>
      <c r="Y470" s="577"/>
      <c r="Z470" s="577"/>
      <c r="AA470" s="569"/>
      <c r="AB470" s="569"/>
      <c r="AC470" s="569"/>
      <c r="AD470" s="569"/>
      <c r="AE470" s="569"/>
      <c r="AF470" s="569"/>
      <c r="AG470" s="569"/>
      <c r="AH470" s="569"/>
      <c r="AI470" s="569"/>
      <c r="AJ470" s="569"/>
      <c r="AK470" s="569"/>
      <c r="AL470" s="569"/>
      <c r="AM470" s="569"/>
      <c r="AN470" s="569"/>
      <c r="AO470" s="569"/>
      <c r="AP470" s="569"/>
      <c r="AQ470" s="569"/>
      <c r="AR470" s="569"/>
      <c r="AS470" s="569"/>
      <c r="AT470" s="569"/>
      <c r="AU470" s="569"/>
      <c r="AV470" s="569"/>
      <c r="AW470" s="569"/>
      <c r="AX470" s="569"/>
      <c r="AY470" s="569"/>
      <c r="AZ470" s="569"/>
      <c r="BA470" s="569"/>
      <c r="BB470" s="569"/>
      <c r="BC470" s="569"/>
      <c r="BD470" s="569"/>
      <c r="BE470" s="569"/>
      <c r="BF470" s="569"/>
      <c r="BG470" s="569"/>
      <c r="BH470" s="569"/>
      <c r="BI470" s="569"/>
      <c r="BJ470" s="569"/>
      <c r="BK470" s="569"/>
      <c r="BL470" s="569"/>
      <c r="BM470" s="569"/>
      <c r="BN470" s="569"/>
      <c r="BO470" s="569"/>
      <c r="BP470" s="569"/>
      <c r="BQ470" s="569"/>
      <c r="BR470" s="569"/>
      <c r="BS470" s="569"/>
      <c r="BT470" s="569"/>
      <c r="BU470" s="569"/>
      <c r="BV470" s="569"/>
      <c r="BW470" s="569"/>
      <c r="BX470" s="569"/>
      <c r="BY470" s="569"/>
      <c r="BZ470" s="569"/>
      <c r="CA470" s="569"/>
      <c r="CB470" s="569"/>
      <c r="CC470" s="569"/>
      <c r="CD470" s="569"/>
      <c r="CE470" s="569"/>
      <c r="CF470" s="569"/>
      <c r="CG470" s="569"/>
      <c r="CH470" s="569"/>
      <c r="CI470" s="569"/>
      <c r="CJ470" s="569"/>
      <c r="CK470" s="569"/>
      <c r="CL470" s="569"/>
      <c r="CM470" s="569"/>
      <c r="CN470" s="569"/>
      <c r="CO470" s="569"/>
      <c r="CP470" s="569"/>
      <c r="CQ470" s="569"/>
      <c r="CR470" s="569"/>
      <c r="CS470" s="569"/>
      <c r="CT470" s="569"/>
      <c r="CU470" s="569"/>
      <c r="CV470" s="569"/>
      <c r="CW470" s="569"/>
      <c r="CX470" s="569"/>
      <c r="CY470" s="569"/>
      <c r="CZ470" s="569"/>
      <c r="DA470" s="569"/>
      <c r="DB470" s="569"/>
      <c r="DC470" s="569"/>
      <c r="DD470" s="569"/>
      <c r="DE470" s="569"/>
      <c r="DF470" s="569"/>
      <c r="DG470" s="569"/>
      <c r="DH470" s="569"/>
      <c r="DI470" s="569"/>
      <c r="DJ470" s="569"/>
      <c r="DK470" s="569"/>
      <c r="DL470" s="569"/>
      <c r="DM470" s="569"/>
      <c r="DN470" s="569"/>
      <c r="DO470" s="569"/>
      <c r="DP470" s="569"/>
      <c r="DQ470" s="569"/>
      <c r="DR470" s="569"/>
      <c r="DS470" s="569"/>
      <c r="DT470" s="569"/>
      <c r="DU470" s="569"/>
      <c r="DV470" s="569"/>
      <c r="DW470" s="569"/>
      <c r="DX470" s="569"/>
      <c r="DY470" s="569"/>
      <c r="DZ470" s="569"/>
      <c r="EA470" s="569"/>
      <c r="EB470" s="569"/>
      <c r="EC470" s="569"/>
      <c r="ED470" s="569"/>
      <c r="EE470" s="569"/>
      <c r="EF470" s="569"/>
      <c r="EG470" s="569"/>
      <c r="EH470" s="569"/>
      <c r="EI470" s="569"/>
      <c r="EJ470" s="569"/>
      <c r="EK470" s="569"/>
      <c r="EL470" s="569"/>
      <c r="EM470" s="569"/>
      <c r="EN470" s="569"/>
      <c r="EO470" s="569"/>
      <c r="EP470" s="569"/>
      <c r="EQ470" s="569"/>
      <c r="ER470" s="569"/>
      <c r="ES470" s="569"/>
      <c r="ET470" s="569"/>
      <c r="EU470" s="569"/>
      <c r="EV470" s="569"/>
      <c r="EW470" s="569"/>
      <c r="EX470" s="569"/>
      <c r="EY470" s="569"/>
      <c r="EZ470" s="569"/>
      <c r="FA470" s="569"/>
      <c r="FB470" s="569"/>
      <c r="FC470" s="569"/>
      <c r="FD470" s="569"/>
      <c r="FE470" s="569"/>
      <c r="FF470" s="569"/>
      <c r="FG470" s="569"/>
      <c r="FH470" s="569"/>
      <c r="FI470" s="569"/>
      <c r="FJ470" s="569"/>
      <c r="FK470" s="569"/>
      <c r="FL470" s="569"/>
      <c r="FM470" s="569"/>
      <c r="FN470" s="569"/>
      <c r="FO470" s="569"/>
      <c r="FP470" s="569"/>
      <c r="FQ470" s="569"/>
      <c r="FR470" s="569"/>
      <c r="FS470" s="569"/>
      <c r="FT470" s="569"/>
      <c r="FU470" s="569"/>
      <c r="FV470" s="569"/>
      <c r="FW470" s="569"/>
      <c r="FX470" s="569"/>
      <c r="FY470" s="569"/>
      <c r="FZ470" s="569"/>
      <c r="GA470" s="569"/>
      <c r="GB470" s="569"/>
      <c r="GC470" s="569"/>
      <c r="GD470" s="569"/>
      <c r="GE470" s="569"/>
      <c r="GF470" s="569"/>
      <c r="GG470" s="569"/>
      <c r="GH470" s="569"/>
      <c r="GI470" s="569"/>
      <c r="GJ470" s="569"/>
      <c r="GK470" s="569"/>
      <c r="GL470" s="569"/>
      <c r="GM470" s="569"/>
      <c r="GN470" s="569"/>
      <c r="GO470" s="569"/>
      <c r="GP470" s="569"/>
      <c r="GQ470" s="569"/>
      <c r="GR470" s="569"/>
      <c r="GS470" s="569"/>
      <c r="GT470" s="569"/>
      <c r="GU470" s="569"/>
      <c r="GV470" s="569"/>
      <c r="GW470" s="569"/>
      <c r="GX470" s="569"/>
      <c r="GY470" s="569"/>
      <c r="GZ470" s="569"/>
      <c r="HA470" s="569"/>
      <c r="HB470" s="569"/>
      <c r="HC470" s="569"/>
      <c r="HD470" s="569"/>
      <c r="HE470" s="569"/>
      <c r="HF470" s="569"/>
      <c r="HG470" s="569"/>
      <c r="HH470" s="569"/>
      <c r="HI470" s="569"/>
      <c r="HJ470" s="569"/>
      <c r="HK470" s="569"/>
      <c r="HL470" s="569"/>
      <c r="HM470" s="569"/>
      <c r="HN470" s="569"/>
      <c r="HO470" s="569"/>
      <c r="HP470" s="569"/>
      <c r="HQ470" s="569"/>
      <c r="HR470" s="569"/>
      <c r="HS470" s="569"/>
      <c r="HT470" s="569"/>
      <c r="HU470" s="569"/>
      <c r="HV470" s="569"/>
      <c r="HW470" s="569"/>
      <c r="HX470" s="569"/>
      <c r="HY470" s="569"/>
      <c r="HZ470" s="569"/>
      <c r="IA470" s="569"/>
      <c r="IB470" s="569"/>
      <c r="IC470" s="569"/>
      <c r="ID470" s="569"/>
      <c r="IE470" s="569"/>
      <c r="IF470" s="569"/>
      <c r="IG470" s="569"/>
      <c r="IH470" s="569"/>
      <c r="II470" s="569"/>
      <c r="IJ470" s="569"/>
      <c r="IK470" s="569"/>
      <c r="IL470" s="569"/>
      <c r="IM470" s="569"/>
      <c r="IN470" s="569"/>
      <c r="IO470" s="569"/>
      <c r="IP470" s="569"/>
      <c r="IQ470" s="569"/>
      <c r="IR470" s="569"/>
      <c r="IS470" s="569"/>
      <c r="IT470" s="569"/>
      <c r="IU470" s="569"/>
      <c r="IV470" s="569"/>
      <c r="IW470" s="569"/>
      <c r="IX470" s="569"/>
      <c r="IY470" s="569"/>
      <c r="IZ470" s="569"/>
      <c r="JA470" s="569"/>
      <c r="JB470" s="569"/>
      <c r="JC470" s="569"/>
      <c r="JD470" s="569"/>
      <c r="JE470" s="569"/>
      <c r="JF470" s="569"/>
      <c r="JG470" s="569"/>
      <c r="JH470" s="569"/>
      <c r="JI470" s="569"/>
      <c r="JJ470" s="569"/>
      <c r="JK470" s="569"/>
      <c r="JL470" s="569"/>
      <c r="JM470" s="569"/>
      <c r="JN470" s="569"/>
      <c r="JO470" s="569"/>
      <c r="JP470" s="569"/>
      <c r="JQ470" s="569"/>
      <c r="JR470" s="569"/>
      <c r="JS470" s="569"/>
      <c r="JT470" s="569"/>
      <c r="JU470" s="569"/>
      <c r="JV470" s="569"/>
      <c r="JW470" s="569"/>
      <c r="JX470" s="569"/>
      <c r="JY470" s="569"/>
      <c r="JZ470" s="569"/>
      <c r="KA470" s="569"/>
      <c r="KB470" s="569"/>
      <c r="KC470" s="569"/>
      <c r="KD470" s="569"/>
      <c r="KE470" s="569"/>
      <c r="KF470" s="569"/>
      <c r="KG470" s="569"/>
      <c r="KH470" s="569"/>
      <c r="KI470" s="569"/>
      <c r="KJ470" s="569"/>
      <c r="KK470" s="569"/>
      <c r="KL470" s="569"/>
      <c r="KM470" s="569"/>
      <c r="KN470" s="569"/>
      <c r="KO470" s="569"/>
      <c r="KP470" s="569"/>
      <c r="KQ470" s="569"/>
      <c r="KR470" s="569"/>
      <c r="KS470" s="569"/>
      <c r="KT470" s="569"/>
      <c r="KU470" s="569"/>
      <c r="KV470" s="569"/>
      <c r="KW470" s="569"/>
      <c r="KX470" s="569"/>
      <c r="KY470" s="569"/>
      <c r="KZ470" s="569"/>
      <c r="LA470" s="569"/>
      <c r="LB470" s="569"/>
      <c r="LC470" s="569"/>
      <c r="LD470" s="569"/>
      <c r="LE470" s="569"/>
      <c r="LF470" s="569"/>
      <c r="LG470" s="569"/>
      <c r="LH470" s="569"/>
      <c r="LI470" s="569"/>
      <c r="LJ470" s="569"/>
      <c r="LK470" s="569"/>
      <c r="LL470" s="569"/>
      <c r="LM470" s="569"/>
      <c r="LN470" s="569"/>
      <c r="LO470" s="569"/>
      <c r="LP470" s="569"/>
      <c r="LQ470" s="569"/>
      <c r="LR470" s="569"/>
      <c r="LS470" s="569"/>
      <c r="LT470" s="569"/>
      <c r="LU470" s="569"/>
      <c r="LV470" s="569"/>
      <c r="LW470" s="569"/>
      <c r="LX470" s="569"/>
      <c r="LY470" s="569"/>
      <c r="LZ470" s="569"/>
      <c r="MA470" s="569"/>
      <c r="MB470" s="569"/>
      <c r="MC470" s="569"/>
      <c r="MD470" s="569"/>
      <c r="ME470" s="569"/>
      <c r="MF470" s="569"/>
      <c r="MG470" s="569"/>
      <c r="MH470" s="569"/>
      <c r="MI470" s="569"/>
      <c r="MJ470" s="569"/>
      <c r="MK470" s="569"/>
      <c r="ML470" s="569"/>
      <c r="MM470" s="569"/>
      <c r="MN470" s="569"/>
      <c r="MO470" s="569"/>
      <c r="MP470" s="569"/>
      <c r="MQ470" s="569"/>
      <c r="MR470" s="569"/>
      <c r="MS470" s="569"/>
      <c r="MT470" s="569"/>
      <c r="MU470" s="569"/>
      <c r="MV470" s="569"/>
      <c r="MW470" s="569"/>
      <c r="MX470" s="569"/>
      <c r="MY470" s="569"/>
      <c r="MZ470" s="569"/>
      <c r="NA470" s="569"/>
      <c r="NB470" s="569"/>
      <c r="NC470" s="569"/>
      <c r="ND470" s="569"/>
      <c r="NE470" s="569"/>
      <c r="NF470" s="569"/>
      <c r="NG470" s="569"/>
      <c r="NH470" s="569"/>
      <c r="NI470" s="569"/>
      <c r="NJ470" s="569"/>
      <c r="NK470" s="569"/>
      <c r="NL470" s="569"/>
      <c r="NM470" s="569"/>
      <c r="NN470" s="569"/>
      <c r="NO470" s="569"/>
      <c r="NP470" s="569"/>
      <c r="NQ470" s="569"/>
      <c r="NR470" s="569"/>
      <c r="NS470" s="569"/>
      <c r="NT470" s="569"/>
      <c r="NU470" s="569"/>
      <c r="NV470" s="569"/>
      <c r="NW470" s="569"/>
      <c r="NX470" s="569"/>
      <c r="NY470" s="569"/>
      <c r="NZ470" s="569"/>
      <c r="OA470" s="569"/>
      <c r="OB470" s="569"/>
      <c r="OC470" s="569"/>
      <c r="OD470" s="569"/>
      <c r="OE470" s="569"/>
      <c r="OF470" s="569"/>
      <c r="OG470" s="569"/>
      <c r="OH470" s="569"/>
      <c r="OI470" s="569"/>
      <c r="OJ470" s="569"/>
      <c r="OK470" s="569"/>
      <c r="OL470" s="569"/>
      <c r="OM470" s="569"/>
      <c r="ON470" s="569"/>
      <c r="OO470" s="569"/>
      <c r="OP470" s="569"/>
      <c r="OQ470" s="569"/>
      <c r="OR470" s="569"/>
      <c r="OS470" s="569"/>
      <c r="OT470" s="569"/>
      <c r="OU470" s="569"/>
      <c r="OV470" s="569"/>
      <c r="OW470" s="569"/>
      <c r="OX470" s="569"/>
      <c r="OY470" s="569"/>
      <c r="OZ470" s="569"/>
      <c r="PA470" s="569"/>
      <c r="PB470" s="569"/>
      <c r="PC470" s="569"/>
      <c r="PD470" s="569"/>
      <c r="PE470" s="569"/>
      <c r="PF470" s="569"/>
      <c r="PG470" s="569"/>
      <c r="PH470" s="569"/>
      <c r="PI470" s="569"/>
      <c r="PJ470" s="569"/>
      <c r="PK470" s="569"/>
      <c r="PL470" s="569"/>
      <c r="PM470" s="569"/>
      <c r="PN470" s="569"/>
      <c r="PO470" s="569"/>
      <c r="PP470" s="569"/>
      <c r="PQ470" s="569"/>
      <c r="PR470" s="569"/>
      <c r="PS470" s="569"/>
      <c r="PT470" s="569"/>
      <c r="PU470" s="569"/>
      <c r="PV470" s="569"/>
      <c r="PW470" s="569"/>
      <c r="PX470" s="569"/>
      <c r="PY470" s="569"/>
      <c r="PZ470" s="569"/>
      <c r="QA470" s="569"/>
      <c r="QB470" s="569"/>
      <c r="QC470" s="569"/>
      <c r="QD470" s="569"/>
      <c r="QE470" s="569"/>
      <c r="QF470" s="569"/>
      <c r="QG470" s="569"/>
      <c r="QH470" s="569"/>
      <c r="QI470" s="569"/>
      <c r="QJ470" s="569"/>
      <c r="QK470" s="569"/>
      <c r="QL470" s="569"/>
    </row>
    <row r="471" spans="1:454">
      <c r="D471" s="568"/>
      <c r="E471" s="568"/>
      <c r="F471" s="568"/>
      <c r="G471" s="568"/>
      <c r="H471" s="563" t="str">
        <f>'matrik MISI 2'!N103</f>
        <v>Penurunan Kasus SARA</v>
      </c>
      <c r="I471" s="563" t="str">
        <f>'matrik MISI 2'!O103</f>
        <v>%</v>
      </c>
      <c r="J471" s="563">
        <f>'matrik MISI 2'!P103</f>
        <v>0</v>
      </c>
      <c r="K471" s="563">
        <f>'matrik MISI 2'!Q103</f>
        <v>100</v>
      </c>
      <c r="L471" s="563">
        <f>'matrik MISI 2'!R103</f>
        <v>100</v>
      </c>
      <c r="M471" s="604"/>
      <c r="N471" s="563">
        <f>'matrik MISI 2'!S103</f>
        <v>100</v>
      </c>
      <c r="O471" s="564"/>
      <c r="P471" s="563">
        <f>'matrik MISI 2'!T103</f>
        <v>100</v>
      </c>
      <c r="Q471" s="564"/>
      <c r="R471" s="563">
        <f>'matrik MISI 2'!U103</f>
        <v>100</v>
      </c>
      <c r="S471" s="564"/>
      <c r="T471" s="563">
        <f>'matrik MISI 2'!V103</f>
        <v>100</v>
      </c>
      <c r="U471" s="564"/>
      <c r="V471" s="563">
        <f>'matrik MISI 2'!W103</f>
        <v>100</v>
      </c>
      <c r="W471" s="564"/>
      <c r="X471" s="563" t="str">
        <f>'matrik MISI 2'!X103</f>
        <v>Kantor KESBANG</v>
      </c>
      <c r="Y471" s="563" t="str">
        <f>'matrik MISI 2'!Y103</f>
        <v>Jumlah kasus Suku Agama Ras Antar Golongan (SARA) yang ada</v>
      </c>
      <c r="Z471" s="563">
        <f>'matrik MISI 2'!Z103</f>
        <v>0</v>
      </c>
    </row>
    <row r="472" spans="1:454" s="574" customFormat="1" ht="60">
      <c r="A472" s="569"/>
      <c r="B472" s="575"/>
      <c r="C472" s="576"/>
      <c r="D472" s="577">
        <f>'matrik MISI 2'!J104</f>
        <v>1.19</v>
      </c>
      <c r="E472" s="577" t="str">
        <f>'matrik MISI 2'!K104</f>
        <v>xx</v>
      </c>
      <c r="F472" s="577">
        <f>'matrik MISI 2'!L104</f>
        <v>16</v>
      </c>
      <c r="G472" s="577" t="str">
        <f>'matrik MISI 2'!M104</f>
        <v>Program pemeliharaan kantrantibmas dan pencegahan tindak kriminal</v>
      </c>
      <c r="H472" s="577"/>
      <c r="I472" s="577"/>
      <c r="J472" s="577"/>
      <c r="K472" s="577"/>
      <c r="L472" s="577"/>
      <c r="M472" s="578">
        <f>'jangan di hapus 1'!K927</f>
        <v>515000000</v>
      </c>
      <c r="N472" s="578"/>
      <c r="O472" s="578">
        <f>'jangan di hapus 1'!M927</f>
        <v>660000000</v>
      </c>
      <c r="P472" s="578"/>
      <c r="Q472" s="578">
        <f>'jangan di hapus 1'!O927</f>
        <v>712500000</v>
      </c>
      <c r="R472" s="578"/>
      <c r="S472" s="578">
        <f>'jangan di hapus 1'!Q927</f>
        <v>757500000</v>
      </c>
      <c r="T472" s="578"/>
      <c r="U472" s="578">
        <f>'jangan di hapus 1'!S927</f>
        <v>835000000</v>
      </c>
      <c r="V472" s="577"/>
      <c r="W472" s="578">
        <f>SUM(M472:U472)</f>
        <v>3480000000</v>
      </c>
      <c r="X472" s="577"/>
      <c r="Y472" s="577"/>
      <c r="Z472" s="577"/>
      <c r="AA472" s="569"/>
      <c r="AB472" s="569"/>
      <c r="AC472" s="569"/>
      <c r="AD472" s="569"/>
      <c r="AE472" s="569"/>
      <c r="AF472" s="569"/>
      <c r="AG472" s="569"/>
      <c r="AH472" s="569"/>
      <c r="AI472" s="569"/>
      <c r="AJ472" s="569"/>
      <c r="AK472" s="569"/>
      <c r="AL472" s="569"/>
      <c r="AM472" s="569"/>
      <c r="AN472" s="569"/>
      <c r="AO472" s="569"/>
      <c r="AP472" s="569"/>
      <c r="AQ472" s="569"/>
      <c r="AR472" s="569"/>
      <c r="AS472" s="569"/>
      <c r="AT472" s="569"/>
      <c r="AU472" s="569"/>
      <c r="AV472" s="569"/>
      <c r="AW472" s="569"/>
      <c r="AX472" s="569"/>
      <c r="AY472" s="569"/>
      <c r="AZ472" s="569"/>
      <c r="BA472" s="569"/>
      <c r="BB472" s="569"/>
      <c r="BC472" s="569"/>
      <c r="BD472" s="569"/>
      <c r="BE472" s="569"/>
      <c r="BF472" s="569"/>
      <c r="BG472" s="569"/>
      <c r="BH472" s="569"/>
      <c r="BI472" s="569"/>
      <c r="BJ472" s="569"/>
      <c r="BK472" s="569"/>
      <c r="BL472" s="569"/>
      <c r="BM472" s="569"/>
      <c r="BN472" s="569"/>
      <c r="BO472" s="569"/>
      <c r="BP472" s="569"/>
      <c r="BQ472" s="569"/>
      <c r="BR472" s="569"/>
      <c r="BS472" s="569"/>
      <c r="BT472" s="569"/>
      <c r="BU472" s="569"/>
      <c r="BV472" s="569"/>
      <c r="BW472" s="569"/>
      <c r="BX472" s="569"/>
      <c r="BY472" s="569"/>
      <c r="BZ472" s="569"/>
      <c r="CA472" s="569"/>
      <c r="CB472" s="569"/>
      <c r="CC472" s="569"/>
      <c r="CD472" s="569"/>
      <c r="CE472" s="569"/>
      <c r="CF472" s="569"/>
      <c r="CG472" s="569"/>
      <c r="CH472" s="569"/>
      <c r="CI472" s="569"/>
      <c r="CJ472" s="569"/>
      <c r="CK472" s="569"/>
      <c r="CL472" s="569"/>
      <c r="CM472" s="569"/>
      <c r="CN472" s="569"/>
      <c r="CO472" s="569"/>
      <c r="CP472" s="569"/>
      <c r="CQ472" s="569"/>
      <c r="CR472" s="569"/>
      <c r="CS472" s="569"/>
      <c r="CT472" s="569"/>
      <c r="CU472" s="569"/>
      <c r="CV472" s="569"/>
      <c r="CW472" s="569"/>
      <c r="CX472" s="569"/>
      <c r="CY472" s="569"/>
      <c r="CZ472" s="569"/>
      <c r="DA472" s="569"/>
      <c r="DB472" s="569"/>
      <c r="DC472" s="569"/>
      <c r="DD472" s="569"/>
      <c r="DE472" s="569"/>
      <c r="DF472" s="569"/>
      <c r="DG472" s="569"/>
      <c r="DH472" s="569"/>
      <c r="DI472" s="569"/>
      <c r="DJ472" s="569"/>
      <c r="DK472" s="569"/>
      <c r="DL472" s="569"/>
      <c r="DM472" s="569"/>
      <c r="DN472" s="569"/>
      <c r="DO472" s="569"/>
      <c r="DP472" s="569"/>
      <c r="DQ472" s="569"/>
      <c r="DR472" s="569"/>
      <c r="DS472" s="569"/>
      <c r="DT472" s="569"/>
      <c r="DU472" s="569"/>
      <c r="DV472" s="569"/>
      <c r="DW472" s="569"/>
      <c r="DX472" s="569"/>
      <c r="DY472" s="569"/>
      <c r="DZ472" s="569"/>
      <c r="EA472" s="569"/>
      <c r="EB472" s="569"/>
      <c r="EC472" s="569"/>
      <c r="ED472" s="569"/>
      <c r="EE472" s="569"/>
      <c r="EF472" s="569"/>
      <c r="EG472" s="569"/>
      <c r="EH472" s="569"/>
      <c r="EI472" s="569"/>
      <c r="EJ472" s="569"/>
      <c r="EK472" s="569"/>
      <c r="EL472" s="569"/>
      <c r="EM472" s="569"/>
      <c r="EN472" s="569"/>
      <c r="EO472" s="569"/>
      <c r="EP472" s="569"/>
      <c r="EQ472" s="569"/>
      <c r="ER472" s="569"/>
      <c r="ES472" s="569"/>
      <c r="ET472" s="569"/>
      <c r="EU472" s="569"/>
      <c r="EV472" s="569"/>
      <c r="EW472" s="569"/>
      <c r="EX472" s="569"/>
      <c r="EY472" s="569"/>
      <c r="EZ472" s="569"/>
      <c r="FA472" s="569"/>
      <c r="FB472" s="569"/>
      <c r="FC472" s="569"/>
      <c r="FD472" s="569"/>
      <c r="FE472" s="569"/>
      <c r="FF472" s="569"/>
      <c r="FG472" s="569"/>
      <c r="FH472" s="569"/>
      <c r="FI472" s="569"/>
      <c r="FJ472" s="569"/>
      <c r="FK472" s="569"/>
      <c r="FL472" s="569"/>
      <c r="FM472" s="569"/>
      <c r="FN472" s="569"/>
      <c r="FO472" s="569"/>
      <c r="FP472" s="569"/>
      <c r="FQ472" s="569"/>
      <c r="FR472" s="569"/>
      <c r="FS472" s="569"/>
      <c r="FT472" s="569"/>
      <c r="FU472" s="569"/>
      <c r="FV472" s="569"/>
      <c r="FW472" s="569"/>
      <c r="FX472" s="569"/>
      <c r="FY472" s="569"/>
      <c r="FZ472" s="569"/>
      <c r="GA472" s="569"/>
      <c r="GB472" s="569"/>
      <c r="GC472" s="569"/>
      <c r="GD472" s="569"/>
      <c r="GE472" s="569"/>
      <c r="GF472" s="569"/>
      <c r="GG472" s="569"/>
      <c r="GH472" s="569"/>
      <c r="GI472" s="569"/>
      <c r="GJ472" s="569"/>
      <c r="GK472" s="569"/>
      <c r="GL472" s="569"/>
      <c r="GM472" s="569"/>
      <c r="GN472" s="569"/>
      <c r="GO472" s="569"/>
      <c r="GP472" s="569"/>
      <c r="GQ472" s="569"/>
      <c r="GR472" s="569"/>
      <c r="GS472" s="569"/>
      <c r="GT472" s="569"/>
      <c r="GU472" s="569"/>
      <c r="GV472" s="569"/>
      <c r="GW472" s="569"/>
      <c r="GX472" s="569"/>
      <c r="GY472" s="569"/>
      <c r="GZ472" s="569"/>
      <c r="HA472" s="569"/>
      <c r="HB472" s="569"/>
      <c r="HC472" s="569"/>
      <c r="HD472" s="569"/>
      <c r="HE472" s="569"/>
      <c r="HF472" s="569"/>
      <c r="HG472" s="569"/>
      <c r="HH472" s="569"/>
      <c r="HI472" s="569"/>
      <c r="HJ472" s="569"/>
      <c r="HK472" s="569"/>
      <c r="HL472" s="569"/>
      <c r="HM472" s="569"/>
      <c r="HN472" s="569"/>
      <c r="HO472" s="569"/>
      <c r="HP472" s="569"/>
      <c r="HQ472" s="569"/>
      <c r="HR472" s="569"/>
      <c r="HS472" s="569"/>
      <c r="HT472" s="569"/>
      <c r="HU472" s="569"/>
      <c r="HV472" s="569"/>
      <c r="HW472" s="569"/>
      <c r="HX472" s="569"/>
      <c r="HY472" s="569"/>
      <c r="HZ472" s="569"/>
      <c r="IA472" s="569"/>
      <c r="IB472" s="569"/>
      <c r="IC472" s="569"/>
      <c r="ID472" s="569"/>
      <c r="IE472" s="569"/>
      <c r="IF472" s="569"/>
      <c r="IG472" s="569"/>
      <c r="IH472" s="569"/>
      <c r="II472" s="569"/>
      <c r="IJ472" s="569"/>
      <c r="IK472" s="569"/>
      <c r="IL472" s="569"/>
      <c r="IM472" s="569"/>
      <c r="IN472" s="569"/>
      <c r="IO472" s="569"/>
      <c r="IP472" s="569"/>
      <c r="IQ472" s="569"/>
      <c r="IR472" s="569"/>
      <c r="IS472" s="569"/>
      <c r="IT472" s="569"/>
      <c r="IU472" s="569"/>
      <c r="IV472" s="569"/>
      <c r="IW472" s="569"/>
      <c r="IX472" s="569"/>
      <c r="IY472" s="569"/>
      <c r="IZ472" s="569"/>
      <c r="JA472" s="569"/>
      <c r="JB472" s="569"/>
      <c r="JC472" s="569"/>
      <c r="JD472" s="569"/>
      <c r="JE472" s="569"/>
      <c r="JF472" s="569"/>
      <c r="JG472" s="569"/>
      <c r="JH472" s="569"/>
      <c r="JI472" s="569"/>
      <c r="JJ472" s="569"/>
      <c r="JK472" s="569"/>
      <c r="JL472" s="569"/>
      <c r="JM472" s="569"/>
      <c r="JN472" s="569"/>
      <c r="JO472" s="569"/>
      <c r="JP472" s="569"/>
      <c r="JQ472" s="569"/>
      <c r="JR472" s="569"/>
      <c r="JS472" s="569"/>
      <c r="JT472" s="569"/>
      <c r="JU472" s="569"/>
      <c r="JV472" s="569"/>
      <c r="JW472" s="569"/>
      <c r="JX472" s="569"/>
      <c r="JY472" s="569"/>
      <c r="JZ472" s="569"/>
      <c r="KA472" s="569"/>
      <c r="KB472" s="569"/>
      <c r="KC472" s="569"/>
      <c r="KD472" s="569"/>
      <c r="KE472" s="569"/>
      <c r="KF472" s="569"/>
      <c r="KG472" s="569"/>
      <c r="KH472" s="569"/>
      <c r="KI472" s="569"/>
      <c r="KJ472" s="569"/>
      <c r="KK472" s="569"/>
      <c r="KL472" s="569"/>
      <c r="KM472" s="569"/>
      <c r="KN472" s="569"/>
      <c r="KO472" s="569"/>
      <c r="KP472" s="569"/>
      <c r="KQ472" s="569"/>
      <c r="KR472" s="569"/>
      <c r="KS472" s="569"/>
      <c r="KT472" s="569"/>
      <c r="KU472" s="569"/>
      <c r="KV472" s="569"/>
      <c r="KW472" s="569"/>
      <c r="KX472" s="569"/>
      <c r="KY472" s="569"/>
      <c r="KZ472" s="569"/>
      <c r="LA472" s="569"/>
      <c r="LB472" s="569"/>
      <c r="LC472" s="569"/>
      <c r="LD472" s="569"/>
      <c r="LE472" s="569"/>
      <c r="LF472" s="569"/>
      <c r="LG472" s="569"/>
      <c r="LH472" s="569"/>
      <c r="LI472" s="569"/>
      <c r="LJ472" s="569"/>
      <c r="LK472" s="569"/>
      <c r="LL472" s="569"/>
      <c r="LM472" s="569"/>
      <c r="LN472" s="569"/>
      <c r="LO472" s="569"/>
      <c r="LP472" s="569"/>
      <c r="LQ472" s="569"/>
      <c r="LR472" s="569"/>
      <c r="LS472" s="569"/>
      <c r="LT472" s="569"/>
      <c r="LU472" s="569"/>
      <c r="LV472" s="569"/>
      <c r="LW472" s="569"/>
      <c r="LX472" s="569"/>
      <c r="LY472" s="569"/>
      <c r="LZ472" s="569"/>
      <c r="MA472" s="569"/>
      <c r="MB472" s="569"/>
      <c r="MC472" s="569"/>
      <c r="MD472" s="569"/>
      <c r="ME472" s="569"/>
      <c r="MF472" s="569"/>
      <c r="MG472" s="569"/>
      <c r="MH472" s="569"/>
      <c r="MI472" s="569"/>
      <c r="MJ472" s="569"/>
      <c r="MK472" s="569"/>
      <c r="ML472" s="569"/>
      <c r="MM472" s="569"/>
      <c r="MN472" s="569"/>
      <c r="MO472" s="569"/>
      <c r="MP472" s="569"/>
      <c r="MQ472" s="569"/>
      <c r="MR472" s="569"/>
      <c r="MS472" s="569"/>
      <c r="MT472" s="569"/>
      <c r="MU472" s="569"/>
      <c r="MV472" s="569"/>
      <c r="MW472" s="569"/>
      <c r="MX472" s="569"/>
      <c r="MY472" s="569"/>
      <c r="MZ472" s="569"/>
      <c r="NA472" s="569"/>
      <c r="NB472" s="569"/>
      <c r="NC472" s="569"/>
      <c r="ND472" s="569"/>
      <c r="NE472" s="569"/>
      <c r="NF472" s="569"/>
      <c r="NG472" s="569"/>
      <c r="NH472" s="569"/>
      <c r="NI472" s="569"/>
      <c r="NJ472" s="569"/>
      <c r="NK472" s="569"/>
      <c r="NL472" s="569"/>
      <c r="NM472" s="569"/>
      <c r="NN472" s="569"/>
      <c r="NO472" s="569"/>
      <c r="NP472" s="569"/>
      <c r="NQ472" s="569"/>
      <c r="NR472" s="569"/>
      <c r="NS472" s="569"/>
      <c r="NT472" s="569"/>
      <c r="NU472" s="569"/>
      <c r="NV472" s="569"/>
      <c r="NW472" s="569"/>
      <c r="NX472" s="569"/>
      <c r="NY472" s="569"/>
      <c r="NZ472" s="569"/>
      <c r="OA472" s="569"/>
      <c r="OB472" s="569"/>
      <c r="OC472" s="569"/>
      <c r="OD472" s="569"/>
      <c r="OE472" s="569"/>
      <c r="OF472" s="569"/>
      <c r="OG472" s="569"/>
      <c r="OH472" s="569"/>
      <c r="OI472" s="569"/>
      <c r="OJ472" s="569"/>
      <c r="OK472" s="569"/>
      <c r="OL472" s="569"/>
      <c r="OM472" s="569"/>
      <c r="ON472" s="569"/>
      <c r="OO472" s="569"/>
      <c r="OP472" s="569"/>
      <c r="OQ472" s="569"/>
      <c r="OR472" s="569"/>
      <c r="OS472" s="569"/>
      <c r="OT472" s="569"/>
      <c r="OU472" s="569"/>
      <c r="OV472" s="569"/>
      <c r="OW472" s="569"/>
      <c r="OX472" s="569"/>
      <c r="OY472" s="569"/>
      <c r="OZ472" s="569"/>
      <c r="PA472" s="569"/>
      <c r="PB472" s="569"/>
      <c r="PC472" s="569"/>
      <c r="PD472" s="569"/>
      <c r="PE472" s="569"/>
      <c r="PF472" s="569"/>
      <c r="PG472" s="569"/>
      <c r="PH472" s="569"/>
      <c r="PI472" s="569"/>
      <c r="PJ472" s="569"/>
      <c r="PK472" s="569"/>
      <c r="PL472" s="569"/>
      <c r="PM472" s="569"/>
      <c r="PN472" s="569"/>
      <c r="PO472" s="569"/>
      <c r="PP472" s="569"/>
      <c r="PQ472" s="569"/>
      <c r="PR472" s="569"/>
      <c r="PS472" s="569"/>
      <c r="PT472" s="569"/>
      <c r="PU472" s="569"/>
      <c r="PV472" s="569"/>
      <c r="PW472" s="569"/>
      <c r="PX472" s="569"/>
      <c r="PY472" s="569"/>
      <c r="PZ472" s="569"/>
      <c r="QA472" s="569"/>
      <c r="QB472" s="569"/>
      <c r="QC472" s="569"/>
      <c r="QD472" s="569"/>
      <c r="QE472" s="569"/>
      <c r="QF472" s="569"/>
      <c r="QG472" s="569"/>
      <c r="QH472" s="569"/>
      <c r="QI472" s="569"/>
      <c r="QJ472" s="569"/>
      <c r="QK472" s="569"/>
      <c r="QL472" s="569"/>
    </row>
    <row r="473" spans="1:454" ht="30">
      <c r="D473" s="568"/>
      <c r="E473" s="568"/>
      <c r="F473" s="568"/>
      <c r="G473" s="568"/>
      <c r="H473" s="563" t="str">
        <f>'matrik MISI 2'!N104</f>
        <v>Persentase Penanganan Tindak Penyalahgunaan Narkotika</v>
      </c>
      <c r="I473" s="563" t="str">
        <f>'matrik MISI 2'!O104</f>
        <v>%</v>
      </c>
      <c r="J473" s="563">
        <f>'matrik MISI 2'!P104</f>
        <v>100</v>
      </c>
      <c r="K473" s="563">
        <f>'matrik MISI 2'!Q104</f>
        <v>100</v>
      </c>
      <c r="L473" s="563">
        <f>'matrik MISI 2'!R104</f>
        <v>100</v>
      </c>
      <c r="M473" s="604"/>
      <c r="N473" s="563">
        <f>'matrik MISI 2'!S104</f>
        <v>100</v>
      </c>
      <c r="O473" s="564"/>
      <c r="P473" s="563">
        <f>'matrik MISI 2'!T104</f>
        <v>100</v>
      </c>
      <c r="Q473" s="564"/>
      <c r="R473" s="563">
        <f>'matrik MISI 2'!U104</f>
        <v>100</v>
      </c>
      <c r="S473" s="564"/>
      <c r="T473" s="563">
        <f>'matrik MISI 2'!V104</f>
        <v>100</v>
      </c>
      <c r="U473" s="564"/>
      <c r="V473" s="563">
        <f>'matrik MISI 2'!W104</f>
        <v>100</v>
      </c>
      <c r="W473" s="564"/>
      <c r="X473" s="563" t="str">
        <f>'matrik MISI 2'!X104</f>
        <v>Kantor KESBANG</v>
      </c>
      <c r="Y473" s="563" t="str">
        <f>'matrik MISI 2'!Y104</f>
        <v>Jumlah tindak penyalahgunaan narkotika yang tertangani dibagi jumlah tindak penyalahgunaan narkotika yang dilaporkan kali 100</v>
      </c>
      <c r="Z473" s="563">
        <f>'matrik MISI 2'!Z104</f>
        <v>0</v>
      </c>
    </row>
    <row r="474" spans="1:454" ht="60">
      <c r="G474" s="563"/>
      <c r="H474" s="563" t="str">
        <f>'matrik MISI 2'!N106</f>
        <v>Cakupan Penegakan Perda dan Peraturan Kepala Daerah</v>
      </c>
      <c r="I474" s="563" t="str">
        <f>'matrik MISI 2'!O106</f>
        <v>%</v>
      </c>
      <c r="J474" s="563">
        <f>'matrik MISI 2'!P106</f>
        <v>50</v>
      </c>
      <c r="K474" s="563">
        <f>'matrik MISI 2'!Q106</f>
        <v>50</v>
      </c>
      <c r="L474" s="563">
        <f>'matrik MISI 2'!R106</f>
        <v>100</v>
      </c>
      <c r="M474" s="604"/>
      <c r="N474" s="563">
        <f>'matrik MISI 2'!S106</f>
        <v>100</v>
      </c>
      <c r="O474" s="564"/>
      <c r="P474" s="563">
        <f>'matrik MISI 2'!T106</f>
        <v>100</v>
      </c>
      <c r="Q474" s="564"/>
      <c r="R474" s="563">
        <f>'matrik MISI 2'!U106</f>
        <v>100</v>
      </c>
      <c r="S474" s="564"/>
      <c r="T474" s="563">
        <f>'matrik MISI 2'!V106</f>
        <v>100</v>
      </c>
      <c r="U474" s="564"/>
      <c r="V474" s="563">
        <f>'matrik MISI 2'!W106</f>
        <v>100</v>
      </c>
      <c r="W474" s="564"/>
      <c r="X474" s="563" t="str">
        <f>'matrik MISI 2'!X106</f>
        <v>Satuan Polisi Pamong Praja</v>
      </c>
      <c r="Y474" s="563" t="str">
        <f>'matrik MISI 2'!Y106</f>
        <v>jumlah pelanggaran perda dan atau peraturan kepala daerah yang ditangani di tahun bersangkutan di bagi jumlah pelanggaran perda dan atau peraturan kepala daerah yang dilaporkan dan atau dipantau di tahun bersangkutan kali  100</v>
      </c>
      <c r="Z474" s="563" t="str">
        <f>'matrik MISI 2'!Z106</f>
        <v>Penanganan nya baru sampai tahap non yustisial</v>
      </c>
    </row>
    <row r="475" spans="1:454" ht="30">
      <c r="G475" s="563"/>
      <c r="H475" s="563" t="str">
        <f>'matrik MISI 2'!N107</f>
        <v>Angka Kriminalitas</v>
      </c>
      <c r="I475" s="563" t="str">
        <f>'matrik MISI 2'!O107</f>
        <v>angka</v>
      </c>
      <c r="J475" s="563" t="str">
        <f>'matrik MISI 2'!P107</f>
        <v>0,46</v>
      </c>
      <c r="K475" s="563" t="str">
        <f>'matrik MISI 2'!Q107</f>
        <v>0,40</v>
      </c>
      <c r="L475" s="563" t="str">
        <f>'matrik MISI 2'!R107</f>
        <v>0,5</v>
      </c>
      <c r="M475" s="604"/>
      <c r="N475" s="563" t="str">
        <f>'matrik MISI 2'!S107</f>
        <v>0,48</v>
      </c>
      <c r="O475" s="564"/>
      <c r="P475" s="563" t="str">
        <f>'matrik MISI 2'!T107</f>
        <v>0,47</v>
      </c>
      <c r="Q475" s="564"/>
      <c r="R475" s="563" t="str">
        <f>'matrik MISI 2'!U107</f>
        <v>0,47</v>
      </c>
      <c r="S475" s="564"/>
      <c r="T475" s="563" t="str">
        <f>'matrik MISI 2'!V107</f>
        <v>0,46</v>
      </c>
      <c r="U475" s="564"/>
      <c r="V475" s="563" t="str">
        <f>'matrik MISI 2'!W107</f>
        <v>0,46</v>
      </c>
      <c r="W475" s="564"/>
      <c r="X475" s="563" t="str">
        <f>'matrik MISI 2'!X107</f>
        <v>Satuan Polisi Pamong Praja</v>
      </c>
      <c r="Y475" s="563" t="str">
        <f>'matrik MISI 2'!Y107</f>
        <v>Jumlah tindak kriminal dalam 1 tahun dibagi  jumlah penduduk kali 10.000</v>
      </c>
      <c r="Z475" s="563" t="str">
        <f>'matrik MISI 2'!Z107</f>
        <v>Berkoordinasi dengan kepolisian</v>
      </c>
    </row>
    <row r="476" spans="1:454" ht="30">
      <c r="G476" s="563"/>
      <c r="H476" s="563" t="str">
        <f>'matrik MISI 2'!N108</f>
        <v>Cakupan Penanganan demonstrasi</v>
      </c>
      <c r="I476" s="563" t="str">
        <f>'matrik MISI 2'!O108</f>
        <v>%</v>
      </c>
      <c r="J476" s="563">
        <f>'matrik MISI 2'!P108</f>
        <v>100</v>
      </c>
      <c r="K476" s="563">
        <f>'matrik MISI 2'!Q108</f>
        <v>100</v>
      </c>
      <c r="L476" s="563">
        <f>'matrik MISI 2'!R108</f>
        <v>100</v>
      </c>
      <c r="M476" s="604"/>
      <c r="N476" s="563">
        <f>'matrik MISI 2'!S108</f>
        <v>100</v>
      </c>
      <c r="O476" s="564"/>
      <c r="P476" s="563">
        <f>'matrik MISI 2'!T108</f>
        <v>100</v>
      </c>
      <c r="Q476" s="564"/>
      <c r="R476" s="563">
        <f>'matrik MISI 2'!U108</f>
        <v>100</v>
      </c>
      <c r="S476" s="564"/>
      <c r="T476" s="563">
        <f>'matrik MISI 2'!V108</f>
        <v>100</v>
      </c>
      <c r="U476" s="564"/>
      <c r="V476" s="563">
        <f>'matrik MISI 2'!W108</f>
        <v>100</v>
      </c>
      <c r="W476" s="564"/>
      <c r="X476" s="563" t="str">
        <f>'matrik MISI 2'!X108</f>
        <v>Satuan Polisi Pamong Praja</v>
      </c>
      <c r="Y476" s="563" t="str">
        <f>'matrik MISI 2'!Y108</f>
        <v>Jumlah penanganan demo dibagi jumlah demo yang terjadi x 100%</v>
      </c>
      <c r="Z476" s="563" t="str">
        <f>'matrik MISI 2'!Z108</f>
        <v>Penanganan berkoordinasi dengan kepolisian</v>
      </c>
    </row>
    <row r="477" spans="1:454" ht="45">
      <c r="G477" s="563"/>
      <c r="H477" s="563" t="str">
        <f>'matrik MISI 2'!N109</f>
        <v>Cakupan Patroli Siaga Ketertiban Umum dan Ketentraman Masyarakat</v>
      </c>
      <c r="I477" s="563" t="str">
        <f>'matrik MISI 2'!O109</f>
        <v>kali</v>
      </c>
      <c r="J477" s="563">
        <f>'matrik MISI 2'!P109</f>
        <v>1</v>
      </c>
      <c r="K477" s="563">
        <f>'matrik MISI 2'!Q109</f>
        <v>1</v>
      </c>
      <c r="L477" s="563">
        <f>'matrik MISI 2'!R109</f>
        <v>1</v>
      </c>
      <c r="M477" s="604"/>
      <c r="N477" s="563">
        <f>'matrik MISI 2'!S109</f>
        <v>1</v>
      </c>
      <c r="O477" s="564"/>
      <c r="P477" s="563">
        <f>'matrik MISI 2'!T109</f>
        <v>1</v>
      </c>
      <c r="Q477" s="564"/>
      <c r="R477" s="563">
        <f>'matrik MISI 2'!U109</f>
        <v>2</v>
      </c>
      <c r="S477" s="564"/>
      <c r="T477" s="563">
        <f>'matrik MISI 2'!V109</f>
        <v>3</v>
      </c>
      <c r="U477" s="564"/>
      <c r="V477" s="563">
        <f>'matrik MISI 2'!W109</f>
        <v>3</v>
      </c>
      <c r="W477" s="564"/>
      <c r="X477" s="563" t="str">
        <f>'matrik MISI 2'!X109</f>
        <v>Satuan Polisi Pamong Praja</v>
      </c>
      <c r="Y477" s="563" t="str">
        <f>'matrik MISI 2'!Y109</f>
        <v>Banyaknya patroli dalam satu tahun dibagi banyaknya jumlah kecamatan</v>
      </c>
      <c r="Z477" s="563">
        <f>'matrik MISI 2'!Z109</f>
        <v>0</v>
      </c>
    </row>
    <row r="478" spans="1:454" s="574" customFormat="1" ht="60">
      <c r="A478" s="569"/>
      <c r="B478" s="575"/>
      <c r="C478" s="576"/>
      <c r="D478" s="577">
        <f>'matrik MISI 2'!J110</f>
        <v>1.19</v>
      </c>
      <c r="E478" s="577" t="str">
        <f>'matrik MISI 2'!K110</f>
        <v>xx</v>
      </c>
      <c r="F478" s="577">
        <f>'matrik MISI 2'!L110</f>
        <v>19</v>
      </c>
      <c r="G478" s="577" t="str">
        <f>'matrik MISI 2'!M110</f>
        <v>Program pemberdayaan masyarakat untuk menjaga ketertiban dan keamanan</v>
      </c>
      <c r="H478" s="577"/>
      <c r="I478" s="577"/>
      <c r="J478" s="577"/>
      <c r="K478" s="577"/>
      <c r="L478" s="577"/>
      <c r="M478" s="578">
        <f>'jangan di hapus 1'!K950</f>
        <v>1915000000</v>
      </c>
      <c r="N478" s="578"/>
      <c r="O478" s="578">
        <f>'jangan di hapus 1'!M950</f>
        <v>235000000</v>
      </c>
      <c r="P478" s="578"/>
      <c r="Q478" s="578">
        <f>'jangan di hapus 1'!O950</f>
        <v>245000000</v>
      </c>
      <c r="R478" s="578"/>
      <c r="S478" s="578">
        <f>'jangan di hapus 1'!Q950</f>
        <v>277500000</v>
      </c>
      <c r="T478" s="578"/>
      <c r="U478" s="578">
        <f>'jangan di hapus 1'!S950</f>
        <v>1285000000</v>
      </c>
      <c r="V478" s="577"/>
      <c r="W478" s="578">
        <f>SUM(M478:U478)</f>
        <v>3957500000</v>
      </c>
      <c r="X478" s="577"/>
      <c r="Y478" s="577"/>
      <c r="Z478" s="577"/>
      <c r="AA478" s="569"/>
      <c r="AB478" s="569"/>
      <c r="AC478" s="569"/>
      <c r="AD478" s="569"/>
      <c r="AE478" s="569"/>
      <c r="AF478" s="569"/>
      <c r="AG478" s="569"/>
      <c r="AH478" s="569"/>
      <c r="AI478" s="569"/>
      <c r="AJ478" s="569"/>
      <c r="AK478" s="569"/>
      <c r="AL478" s="569"/>
      <c r="AM478" s="569"/>
      <c r="AN478" s="569"/>
      <c r="AO478" s="569"/>
      <c r="AP478" s="569"/>
      <c r="AQ478" s="569"/>
      <c r="AR478" s="569"/>
      <c r="AS478" s="569"/>
      <c r="AT478" s="569"/>
      <c r="AU478" s="569"/>
      <c r="AV478" s="569"/>
      <c r="AW478" s="569"/>
      <c r="AX478" s="569"/>
      <c r="AY478" s="569"/>
      <c r="AZ478" s="569"/>
      <c r="BA478" s="569"/>
      <c r="BB478" s="569"/>
      <c r="BC478" s="569"/>
      <c r="BD478" s="569"/>
      <c r="BE478" s="569"/>
      <c r="BF478" s="569"/>
      <c r="BG478" s="569"/>
      <c r="BH478" s="569"/>
      <c r="BI478" s="569"/>
      <c r="BJ478" s="569"/>
      <c r="BK478" s="569"/>
      <c r="BL478" s="569"/>
      <c r="BM478" s="569"/>
      <c r="BN478" s="569"/>
      <c r="BO478" s="569"/>
      <c r="BP478" s="569"/>
      <c r="BQ478" s="569"/>
      <c r="BR478" s="569"/>
      <c r="BS478" s="569"/>
      <c r="BT478" s="569"/>
      <c r="BU478" s="569"/>
      <c r="BV478" s="569"/>
      <c r="BW478" s="569"/>
      <c r="BX478" s="569"/>
      <c r="BY478" s="569"/>
      <c r="BZ478" s="569"/>
      <c r="CA478" s="569"/>
      <c r="CB478" s="569"/>
      <c r="CC478" s="569"/>
      <c r="CD478" s="569"/>
      <c r="CE478" s="569"/>
      <c r="CF478" s="569"/>
      <c r="CG478" s="569"/>
      <c r="CH478" s="569"/>
      <c r="CI478" s="569"/>
      <c r="CJ478" s="569"/>
      <c r="CK478" s="569"/>
      <c r="CL478" s="569"/>
      <c r="CM478" s="569"/>
      <c r="CN478" s="569"/>
      <c r="CO478" s="569"/>
      <c r="CP478" s="569"/>
      <c r="CQ478" s="569"/>
      <c r="CR478" s="569"/>
      <c r="CS478" s="569"/>
      <c r="CT478" s="569"/>
      <c r="CU478" s="569"/>
      <c r="CV478" s="569"/>
      <c r="CW478" s="569"/>
      <c r="CX478" s="569"/>
      <c r="CY478" s="569"/>
      <c r="CZ478" s="569"/>
      <c r="DA478" s="569"/>
      <c r="DB478" s="569"/>
      <c r="DC478" s="569"/>
      <c r="DD478" s="569"/>
      <c r="DE478" s="569"/>
      <c r="DF478" s="569"/>
      <c r="DG478" s="569"/>
      <c r="DH478" s="569"/>
      <c r="DI478" s="569"/>
      <c r="DJ478" s="569"/>
      <c r="DK478" s="569"/>
      <c r="DL478" s="569"/>
      <c r="DM478" s="569"/>
      <c r="DN478" s="569"/>
      <c r="DO478" s="569"/>
      <c r="DP478" s="569"/>
      <c r="DQ478" s="569"/>
      <c r="DR478" s="569"/>
      <c r="DS478" s="569"/>
      <c r="DT478" s="569"/>
      <c r="DU478" s="569"/>
      <c r="DV478" s="569"/>
      <c r="DW478" s="569"/>
      <c r="DX478" s="569"/>
      <c r="DY478" s="569"/>
      <c r="DZ478" s="569"/>
      <c r="EA478" s="569"/>
      <c r="EB478" s="569"/>
      <c r="EC478" s="569"/>
      <c r="ED478" s="569"/>
      <c r="EE478" s="569"/>
      <c r="EF478" s="569"/>
      <c r="EG478" s="569"/>
      <c r="EH478" s="569"/>
      <c r="EI478" s="569"/>
      <c r="EJ478" s="569"/>
      <c r="EK478" s="569"/>
      <c r="EL478" s="569"/>
      <c r="EM478" s="569"/>
      <c r="EN478" s="569"/>
      <c r="EO478" s="569"/>
      <c r="EP478" s="569"/>
      <c r="EQ478" s="569"/>
      <c r="ER478" s="569"/>
      <c r="ES478" s="569"/>
      <c r="ET478" s="569"/>
      <c r="EU478" s="569"/>
      <c r="EV478" s="569"/>
      <c r="EW478" s="569"/>
      <c r="EX478" s="569"/>
      <c r="EY478" s="569"/>
      <c r="EZ478" s="569"/>
      <c r="FA478" s="569"/>
      <c r="FB478" s="569"/>
      <c r="FC478" s="569"/>
      <c r="FD478" s="569"/>
      <c r="FE478" s="569"/>
      <c r="FF478" s="569"/>
      <c r="FG478" s="569"/>
      <c r="FH478" s="569"/>
      <c r="FI478" s="569"/>
      <c r="FJ478" s="569"/>
      <c r="FK478" s="569"/>
      <c r="FL478" s="569"/>
      <c r="FM478" s="569"/>
      <c r="FN478" s="569"/>
      <c r="FO478" s="569"/>
      <c r="FP478" s="569"/>
      <c r="FQ478" s="569"/>
      <c r="FR478" s="569"/>
      <c r="FS478" s="569"/>
      <c r="FT478" s="569"/>
      <c r="FU478" s="569"/>
      <c r="FV478" s="569"/>
      <c r="FW478" s="569"/>
      <c r="FX478" s="569"/>
      <c r="FY478" s="569"/>
      <c r="FZ478" s="569"/>
      <c r="GA478" s="569"/>
      <c r="GB478" s="569"/>
      <c r="GC478" s="569"/>
      <c r="GD478" s="569"/>
      <c r="GE478" s="569"/>
      <c r="GF478" s="569"/>
      <c r="GG478" s="569"/>
      <c r="GH478" s="569"/>
      <c r="GI478" s="569"/>
      <c r="GJ478" s="569"/>
      <c r="GK478" s="569"/>
      <c r="GL478" s="569"/>
      <c r="GM478" s="569"/>
      <c r="GN478" s="569"/>
      <c r="GO478" s="569"/>
      <c r="GP478" s="569"/>
      <c r="GQ478" s="569"/>
      <c r="GR478" s="569"/>
      <c r="GS478" s="569"/>
      <c r="GT478" s="569"/>
      <c r="GU478" s="569"/>
      <c r="GV478" s="569"/>
      <c r="GW478" s="569"/>
      <c r="GX478" s="569"/>
      <c r="GY478" s="569"/>
      <c r="GZ478" s="569"/>
      <c r="HA478" s="569"/>
      <c r="HB478" s="569"/>
      <c r="HC478" s="569"/>
      <c r="HD478" s="569"/>
      <c r="HE478" s="569"/>
      <c r="HF478" s="569"/>
      <c r="HG478" s="569"/>
      <c r="HH478" s="569"/>
      <c r="HI478" s="569"/>
      <c r="HJ478" s="569"/>
      <c r="HK478" s="569"/>
      <c r="HL478" s="569"/>
      <c r="HM478" s="569"/>
      <c r="HN478" s="569"/>
      <c r="HO478" s="569"/>
      <c r="HP478" s="569"/>
      <c r="HQ478" s="569"/>
      <c r="HR478" s="569"/>
      <c r="HS478" s="569"/>
      <c r="HT478" s="569"/>
      <c r="HU478" s="569"/>
      <c r="HV478" s="569"/>
      <c r="HW478" s="569"/>
      <c r="HX478" s="569"/>
      <c r="HY478" s="569"/>
      <c r="HZ478" s="569"/>
      <c r="IA478" s="569"/>
      <c r="IB478" s="569"/>
      <c r="IC478" s="569"/>
      <c r="ID478" s="569"/>
      <c r="IE478" s="569"/>
      <c r="IF478" s="569"/>
      <c r="IG478" s="569"/>
      <c r="IH478" s="569"/>
      <c r="II478" s="569"/>
      <c r="IJ478" s="569"/>
      <c r="IK478" s="569"/>
      <c r="IL478" s="569"/>
      <c r="IM478" s="569"/>
      <c r="IN478" s="569"/>
      <c r="IO478" s="569"/>
      <c r="IP478" s="569"/>
      <c r="IQ478" s="569"/>
      <c r="IR478" s="569"/>
      <c r="IS478" s="569"/>
      <c r="IT478" s="569"/>
      <c r="IU478" s="569"/>
      <c r="IV478" s="569"/>
      <c r="IW478" s="569"/>
      <c r="IX478" s="569"/>
      <c r="IY478" s="569"/>
      <c r="IZ478" s="569"/>
      <c r="JA478" s="569"/>
      <c r="JB478" s="569"/>
      <c r="JC478" s="569"/>
      <c r="JD478" s="569"/>
      <c r="JE478" s="569"/>
      <c r="JF478" s="569"/>
      <c r="JG478" s="569"/>
      <c r="JH478" s="569"/>
      <c r="JI478" s="569"/>
      <c r="JJ478" s="569"/>
      <c r="JK478" s="569"/>
      <c r="JL478" s="569"/>
      <c r="JM478" s="569"/>
      <c r="JN478" s="569"/>
      <c r="JO478" s="569"/>
      <c r="JP478" s="569"/>
      <c r="JQ478" s="569"/>
      <c r="JR478" s="569"/>
      <c r="JS478" s="569"/>
      <c r="JT478" s="569"/>
      <c r="JU478" s="569"/>
      <c r="JV478" s="569"/>
      <c r="JW478" s="569"/>
      <c r="JX478" s="569"/>
      <c r="JY478" s="569"/>
      <c r="JZ478" s="569"/>
      <c r="KA478" s="569"/>
      <c r="KB478" s="569"/>
      <c r="KC478" s="569"/>
      <c r="KD478" s="569"/>
      <c r="KE478" s="569"/>
      <c r="KF478" s="569"/>
      <c r="KG478" s="569"/>
      <c r="KH478" s="569"/>
      <c r="KI478" s="569"/>
      <c r="KJ478" s="569"/>
      <c r="KK478" s="569"/>
      <c r="KL478" s="569"/>
      <c r="KM478" s="569"/>
      <c r="KN478" s="569"/>
      <c r="KO478" s="569"/>
      <c r="KP478" s="569"/>
      <c r="KQ478" s="569"/>
      <c r="KR478" s="569"/>
      <c r="KS478" s="569"/>
      <c r="KT478" s="569"/>
      <c r="KU478" s="569"/>
      <c r="KV478" s="569"/>
      <c r="KW478" s="569"/>
      <c r="KX478" s="569"/>
      <c r="KY478" s="569"/>
      <c r="KZ478" s="569"/>
      <c r="LA478" s="569"/>
      <c r="LB478" s="569"/>
      <c r="LC478" s="569"/>
      <c r="LD478" s="569"/>
      <c r="LE478" s="569"/>
      <c r="LF478" s="569"/>
      <c r="LG478" s="569"/>
      <c r="LH478" s="569"/>
      <c r="LI478" s="569"/>
      <c r="LJ478" s="569"/>
      <c r="LK478" s="569"/>
      <c r="LL478" s="569"/>
      <c r="LM478" s="569"/>
      <c r="LN478" s="569"/>
      <c r="LO478" s="569"/>
      <c r="LP478" s="569"/>
      <c r="LQ478" s="569"/>
      <c r="LR478" s="569"/>
      <c r="LS478" s="569"/>
      <c r="LT478" s="569"/>
      <c r="LU478" s="569"/>
      <c r="LV478" s="569"/>
      <c r="LW478" s="569"/>
      <c r="LX478" s="569"/>
      <c r="LY478" s="569"/>
      <c r="LZ478" s="569"/>
      <c r="MA478" s="569"/>
      <c r="MB478" s="569"/>
      <c r="MC478" s="569"/>
      <c r="MD478" s="569"/>
      <c r="ME478" s="569"/>
      <c r="MF478" s="569"/>
      <c r="MG478" s="569"/>
      <c r="MH478" s="569"/>
      <c r="MI478" s="569"/>
      <c r="MJ478" s="569"/>
      <c r="MK478" s="569"/>
      <c r="ML478" s="569"/>
      <c r="MM478" s="569"/>
      <c r="MN478" s="569"/>
      <c r="MO478" s="569"/>
      <c r="MP478" s="569"/>
      <c r="MQ478" s="569"/>
      <c r="MR478" s="569"/>
      <c r="MS478" s="569"/>
      <c r="MT478" s="569"/>
      <c r="MU478" s="569"/>
      <c r="MV478" s="569"/>
      <c r="MW478" s="569"/>
      <c r="MX478" s="569"/>
      <c r="MY478" s="569"/>
      <c r="MZ478" s="569"/>
      <c r="NA478" s="569"/>
      <c r="NB478" s="569"/>
      <c r="NC478" s="569"/>
      <c r="ND478" s="569"/>
      <c r="NE478" s="569"/>
      <c r="NF478" s="569"/>
      <c r="NG478" s="569"/>
      <c r="NH478" s="569"/>
      <c r="NI478" s="569"/>
      <c r="NJ478" s="569"/>
      <c r="NK478" s="569"/>
      <c r="NL478" s="569"/>
      <c r="NM478" s="569"/>
      <c r="NN478" s="569"/>
      <c r="NO478" s="569"/>
      <c r="NP478" s="569"/>
      <c r="NQ478" s="569"/>
      <c r="NR478" s="569"/>
      <c r="NS478" s="569"/>
      <c r="NT478" s="569"/>
      <c r="NU478" s="569"/>
      <c r="NV478" s="569"/>
      <c r="NW478" s="569"/>
      <c r="NX478" s="569"/>
      <c r="NY478" s="569"/>
      <c r="NZ478" s="569"/>
      <c r="OA478" s="569"/>
      <c r="OB478" s="569"/>
      <c r="OC478" s="569"/>
      <c r="OD478" s="569"/>
      <c r="OE478" s="569"/>
      <c r="OF478" s="569"/>
      <c r="OG478" s="569"/>
      <c r="OH478" s="569"/>
      <c r="OI478" s="569"/>
      <c r="OJ478" s="569"/>
      <c r="OK478" s="569"/>
      <c r="OL478" s="569"/>
      <c r="OM478" s="569"/>
      <c r="ON478" s="569"/>
      <c r="OO478" s="569"/>
      <c r="OP478" s="569"/>
      <c r="OQ478" s="569"/>
      <c r="OR478" s="569"/>
      <c r="OS478" s="569"/>
      <c r="OT478" s="569"/>
      <c r="OU478" s="569"/>
      <c r="OV478" s="569"/>
      <c r="OW478" s="569"/>
      <c r="OX478" s="569"/>
      <c r="OY478" s="569"/>
      <c r="OZ478" s="569"/>
      <c r="PA478" s="569"/>
      <c r="PB478" s="569"/>
      <c r="PC478" s="569"/>
      <c r="PD478" s="569"/>
      <c r="PE478" s="569"/>
      <c r="PF478" s="569"/>
      <c r="PG478" s="569"/>
      <c r="PH478" s="569"/>
      <c r="PI478" s="569"/>
      <c r="PJ478" s="569"/>
      <c r="PK478" s="569"/>
      <c r="PL478" s="569"/>
      <c r="PM478" s="569"/>
      <c r="PN478" s="569"/>
      <c r="PO478" s="569"/>
      <c r="PP478" s="569"/>
      <c r="PQ478" s="569"/>
      <c r="PR478" s="569"/>
      <c r="PS478" s="569"/>
      <c r="PT478" s="569"/>
      <c r="PU478" s="569"/>
      <c r="PV478" s="569"/>
      <c r="PW478" s="569"/>
      <c r="PX478" s="569"/>
      <c r="PY478" s="569"/>
      <c r="PZ478" s="569"/>
      <c r="QA478" s="569"/>
      <c r="QB478" s="569"/>
      <c r="QC478" s="569"/>
      <c r="QD478" s="569"/>
      <c r="QE478" s="569"/>
      <c r="QF478" s="569"/>
      <c r="QG478" s="569"/>
      <c r="QH478" s="569"/>
      <c r="QI478" s="569"/>
      <c r="QJ478" s="569"/>
      <c r="QK478" s="569"/>
      <c r="QL478" s="569"/>
    </row>
    <row r="479" spans="1:454" ht="30">
      <c r="D479" s="568"/>
      <c r="E479" s="568"/>
      <c r="F479" s="568"/>
      <c r="G479" s="568"/>
      <c r="H479" s="563" t="str">
        <f>'matrik MISI 2'!N110</f>
        <v>Rasio Petugas Perlindungan Masyarakat (linmas)</v>
      </c>
      <c r="I479" s="563" t="str">
        <f>'matrik MISI 2'!O110</f>
        <v>Rasio</v>
      </c>
      <c r="J479" s="563" t="str">
        <f>'matrik MISI 2'!P110</f>
        <v>1,64</v>
      </c>
      <c r="K479" s="563" t="str">
        <f>'matrik MISI 2'!Q110</f>
        <v>1,59</v>
      </c>
      <c r="L479" s="563" t="str">
        <f>'matrik MISI 2'!R110</f>
        <v>1,59</v>
      </c>
      <c r="M479" s="604"/>
      <c r="N479" s="563" t="str">
        <f>'matrik MISI 2'!S110</f>
        <v>1,60</v>
      </c>
      <c r="O479" s="564"/>
      <c r="P479" s="563" t="str">
        <f>'matrik MISI 2'!T110</f>
        <v>1,60</v>
      </c>
      <c r="Q479" s="564"/>
      <c r="R479" s="563" t="str">
        <f>'matrik MISI 2'!U110</f>
        <v>1,62</v>
      </c>
      <c r="S479" s="564"/>
      <c r="T479" s="563" t="str">
        <f>'matrik MISI 2'!V110</f>
        <v>1,62</v>
      </c>
      <c r="U479" s="564"/>
      <c r="V479" s="563" t="str">
        <f>'matrik MISI 2'!W110</f>
        <v>1,62</v>
      </c>
      <c r="W479" s="564"/>
      <c r="X479" s="563" t="str">
        <f>'matrik MISI 2'!X110</f>
        <v>Satuan Polisi Pamong Praja</v>
      </c>
      <c r="Y479" s="563" t="str">
        <f>'matrik MISI 2'!Y110</f>
        <v>Jumlah Anggota linmas yang ada dibagi  jumlah rukun tetangga (RT)</v>
      </c>
      <c r="Z479" s="563" t="str">
        <f>'matrik MISI 2'!Z110</f>
        <v>Rasio ideal 1 Linmas per RT</v>
      </c>
    </row>
    <row r="480" spans="1:454" s="570" customFormat="1">
      <c r="A480" s="569"/>
      <c r="B480" s="571"/>
      <c r="C480" s="572"/>
      <c r="D480" s="573"/>
      <c r="E480" s="573"/>
      <c r="F480" s="573"/>
      <c r="G480" s="571"/>
      <c r="H480" s="571"/>
      <c r="I480" s="571"/>
      <c r="J480" s="580"/>
      <c r="K480" s="580"/>
      <c r="L480" s="580"/>
      <c r="M480" s="606"/>
      <c r="N480" s="580"/>
      <c r="O480" s="581"/>
      <c r="P480" s="580"/>
      <c r="Q480" s="581"/>
      <c r="R480" s="580"/>
      <c r="S480" s="581"/>
      <c r="T480" s="580"/>
      <c r="U480" s="581"/>
      <c r="V480" s="580"/>
      <c r="W480" s="581"/>
      <c r="X480" s="571"/>
      <c r="Y480" s="580"/>
      <c r="Z480" s="580"/>
      <c r="AA480" s="569"/>
      <c r="AB480" s="569"/>
      <c r="AC480" s="569"/>
      <c r="AD480" s="569"/>
      <c r="AE480" s="569"/>
      <c r="AF480" s="569"/>
      <c r="AG480" s="569"/>
      <c r="AH480" s="569"/>
      <c r="AI480" s="569"/>
      <c r="AJ480" s="569"/>
      <c r="AK480" s="569"/>
      <c r="AL480" s="569"/>
      <c r="AM480" s="569"/>
      <c r="AN480" s="569"/>
      <c r="AO480" s="569"/>
      <c r="AP480" s="569"/>
      <c r="AQ480" s="569"/>
      <c r="AR480" s="569"/>
      <c r="AS480" s="569"/>
      <c r="AT480" s="569"/>
      <c r="AU480" s="569"/>
      <c r="AV480" s="569"/>
      <c r="AW480" s="569"/>
      <c r="AX480" s="569"/>
      <c r="AY480" s="569"/>
      <c r="AZ480" s="569"/>
      <c r="BA480" s="569"/>
      <c r="BB480" s="569"/>
      <c r="BC480" s="569"/>
      <c r="BD480" s="569"/>
      <c r="BE480" s="569"/>
      <c r="BF480" s="569"/>
      <c r="BG480" s="569"/>
      <c r="BH480" s="569"/>
      <c r="BI480" s="569"/>
      <c r="BJ480" s="569"/>
      <c r="BK480" s="569"/>
      <c r="BL480" s="569"/>
      <c r="BM480" s="569"/>
      <c r="BN480" s="569"/>
      <c r="BO480" s="569"/>
      <c r="BP480" s="569"/>
      <c r="BQ480" s="569"/>
      <c r="BR480" s="569"/>
      <c r="BS480" s="569"/>
      <c r="BT480" s="569"/>
      <c r="BU480" s="569"/>
      <c r="BV480" s="569"/>
      <c r="BW480" s="569"/>
      <c r="BX480" s="569"/>
      <c r="BY480" s="569"/>
      <c r="BZ480" s="569"/>
      <c r="CA480" s="569"/>
      <c r="CB480" s="569"/>
      <c r="CC480" s="569"/>
      <c r="CD480" s="569"/>
      <c r="CE480" s="569"/>
      <c r="CF480" s="569"/>
      <c r="CG480" s="569"/>
      <c r="CH480" s="569"/>
      <c r="CI480" s="569"/>
      <c r="CJ480" s="569"/>
      <c r="CK480" s="569"/>
      <c r="CL480" s="569"/>
      <c r="CM480" s="569"/>
      <c r="CN480" s="569"/>
      <c r="CO480" s="569"/>
      <c r="CP480" s="569"/>
      <c r="CQ480" s="569"/>
      <c r="CR480" s="569"/>
      <c r="CS480" s="569"/>
      <c r="CT480" s="569"/>
      <c r="CU480" s="569"/>
      <c r="CV480" s="569"/>
      <c r="CW480" s="569"/>
      <c r="CX480" s="569"/>
      <c r="CY480" s="569"/>
      <c r="CZ480" s="569"/>
      <c r="DA480" s="569"/>
      <c r="DB480" s="569"/>
      <c r="DC480" s="569"/>
      <c r="DD480" s="569"/>
      <c r="DE480" s="569"/>
      <c r="DF480" s="569"/>
      <c r="DG480" s="569"/>
      <c r="DH480" s="569"/>
      <c r="DI480" s="569"/>
      <c r="DJ480" s="569"/>
      <c r="DK480" s="569"/>
      <c r="DL480" s="569"/>
      <c r="DM480" s="569"/>
      <c r="DN480" s="569"/>
      <c r="DO480" s="569"/>
      <c r="DP480" s="569"/>
      <c r="DQ480" s="569"/>
      <c r="DR480" s="569"/>
      <c r="DS480" s="569"/>
      <c r="DT480" s="569"/>
      <c r="DU480" s="569"/>
      <c r="DV480" s="569"/>
      <c r="DW480" s="569"/>
      <c r="DX480" s="569"/>
      <c r="DY480" s="569"/>
      <c r="DZ480" s="569"/>
      <c r="EA480" s="569"/>
      <c r="EB480" s="569"/>
      <c r="EC480" s="569"/>
      <c r="ED480" s="569"/>
      <c r="EE480" s="569"/>
      <c r="EF480" s="569"/>
      <c r="EG480" s="569"/>
      <c r="EH480" s="569"/>
      <c r="EI480" s="569"/>
      <c r="EJ480" s="569"/>
      <c r="EK480" s="569"/>
      <c r="EL480" s="569"/>
      <c r="EM480" s="569"/>
      <c r="EN480" s="569"/>
      <c r="EO480" s="569"/>
      <c r="EP480" s="569"/>
      <c r="EQ480" s="569"/>
      <c r="ER480" s="569"/>
      <c r="ES480" s="569"/>
      <c r="ET480" s="569"/>
      <c r="EU480" s="569"/>
      <c r="EV480" s="569"/>
      <c r="EW480" s="569"/>
      <c r="EX480" s="569"/>
      <c r="EY480" s="569"/>
      <c r="EZ480" s="569"/>
      <c r="FA480" s="569"/>
      <c r="FB480" s="569"/>
      <c r="FC480" s="569"/>
      <c r="FD480" s="569"/>
      <c r="FE480" s="569"/>
      <c r="FF480" s="569"/>
      <c r="FG480" s="569"/>
      <c r="FH480" s="569"/>
      <c r="FI480" s="569"/>
      <c r="FJ480" s="569"/>
      <c r="FK480" s="569"/>
      <c r="FL480" s="569"/>
      <c r="FM480" s="569"/>
      <c r="FN480" s="569"/>
      <c r="FO480" s="569"/>
      <c r="FP480" s="569"/>
      <c r="FQ480" s="569"/>
      <c r="FR480" s="569"/>
      <c r="FS480" s="569"/>
      <c r="FT480" s="569"/>
      <c r="FU480" s="569"/>
      <c r="FV480" s="569"/>
      <c r="FW480" s="569"/>
      <c r="FX480" s="569"/>
      <c r="FY480" s="569"/>
      <c r="FZ480" s="569"/>
      <c r="GA480" s="569"/>
      <c r="GB480" s="569"/>
      <c r="GC480" s="569"/>
      <c r="GD480" s="569"/>
      <c r="GE480" s="569"/>
      <c r="GF480" s="569"/>
      <c r="GG480" s="569"/>
      <c r="GH480" s="569"/>
      <c r="GI480" s="569"/>
      <c r="GJ480" s="569"/>
      <c r="GK480" s="569"/>
      <c r="GL480" s="569"/>
      <c r="GM480" s="569"/>
      <c r="GN480" s="569"/>
      <c r="GO480" s="569"/>
      <c r="GP480" s="569"/>
      <c r="GQ480" s="569"/>
      <c r="GR480" s="569"/>
      <c r="GS480" s="569"/>
      <c r="GT480" s="569"/>
      <c r="GU480" s="569"/>
      <c r="GV480" s="569"/>
      <c r="GW480" s="569"/>
      <c r="GX480" s="569"/>
      <c r="GY480" s="569"/>
      <c r="GZ480" s="569"/>
      <c r="HA480" s="569"/>
      <c r="HB480" s="569"/>
      <c r="HC480" s="569"/>
      <c r="HD480" s="569"/>
      <c r="HE480" s="569"/>
      <c r="HF480" s="569"/>
      <c r="HG480" s="569"/>
      <c r="HH480" s="569"/>
      <c r="HI480" s="569"/>
      <c r="HJ480" s="569"/>
      <c r="HK480" s="569"/>
      <c r="HL480" s="569"/>
      <c r="HM480" s="569"/>
      <c r="HN480" s="569"/>
      <c r="HO480" s="569"/>
      <c r="HP480" s="569"/>
      <c r="HQ480" s="569"/>
      <c r="HR480" s="569"/>
      <c r="HS480" s="569"/>
      <c r="HT480" s="569"/>
      <c r="HU480" s="569"/>
      <c r="HV480" s="569"/>
      <c r="HW480" s="569"/>
      <c r="HX480" s="569"/>
      <c r="HY480" s="569"/>
      <c r="HZ480" s="569"/>
      <c r="IA480" s="569"/>
      <c r="IB480" s="569"/>
      <c r="IC480" s="569"/>
      <c r="ID480" s="569"/>
      <c r="IE480" s="569"/>
      <c r="IF480" s="569"/>
      <c r="IG480" s="569"/>
      <c r="IH480" s="569"/>
      <c r="II480" s="569"/>
      <c r="IJ480" s="569"/>
      <c r="IK480" s="569"/>
      <c r="IL480" s="569"/>
      <c r="IM480" s="569"/>
      <c r="IN480" s="569"/>
      <c r="IO480" s="569"/>
      <c r="IP480" s="569"/>
      <c r="IQ480" s="569"/>
      <c r="IR480" s="569"/>
      <c r="IS480" s="569"/>
      <c r="IT480" s="569"/>
      <c r="IU480" s="569"/>
      <c r="IV480" s="569"/>
      <c r="IW480" s="569"/>
      <c r="IX480" s="569"/>
      <c r="IY480" s="569"/>
      <c r="IZ480" s="569"/>
      <c r="JA480" s="569"/>
      <c r="JB480" s="569"/>
      <c r="JC480" s="569"/>
      <c r="JD480" s="569"/>
      <c r="JE480" s="569"/>
      <c r="JF480" s="569"/>
      <c r="JG480" s="569"/>
      <c r="JH480" s="569"/>
      <c r="JI480" s="569"/>
      <c r="JJ480" s="569"/>
      <c r="JK480" s="569"/>
      <c r="JL480" s="569"/>
      <c r="JM480" s="569"/>
      <c r="JN480" s="569"/>
      <c r="JO480" s="569"/>
      <c r="JP480" s="569"/>
      <c r="JQ480" s="569"/>
      <c r="JR480" s="569"/>
      <c r="JS480" s="569"/>
      <c r="JT480" s="569"/>
      <c r="JU480" s="569"/>
      <c r="JV480" s="569"/>
      <c r="JW480" s="569"/>
      <c r="JX480" s="569"/>
      <c r="JY480" s="569"/>
      <c r="JZ480" s="569"/>
      <c r="KA480" s="569"/>
      <c r="KB480" s="569"/>
      <c r="KC480" s="569"/>
      <c r="KD480" s="569"/>
      <c r="KE480" s="569"/>
      <c r="KF480" s="569"/>
      <c r="KG480" s="569"/>
      <c r="KH480" s="569"/>
      <c r="KI480" s="569"/>
      <c r="KJ480" s="569"/>
      <c r="KK480" s="569"/>
      <c r="KL480" s="569"/>
      <c r="KM480" s="569"/>
      <c r="KN480" s="569"/>
      <c r="KO480" s="569"/>
      <c r="KP480" s="569"/>
      <c r="KQ480" s="569"/>
      <c r="KR480" s="569"/>
      <c r="KS480" s="569"/>
      <c r="KT480" s="569"/>
      <c r="KU480" s="569"/>
      <c r="KV480" s="569"/>
      <c r="KW480" s="569"/>
      <c r="KX480" s="569"/>
      <c r="KY480" s="569"/>
      <c r="KZ480" s="569"/>
      <c r="LA480" s="569"/>
      <c r="LB480" s="569"/>
      <c r="LC480" s="569"/>
      <c r="LD480" s="569"/>
      <c r="LE480" s="569"/>
      <c r="LF480" s="569"/>
      <c r="LG480" s="569"/>
      <c r="LH480" s="569"/>
      <c r="LI480" s="569"/>
      <c r="LJ480" s="569"/>
      <c r="LK480" s="569"/>
      <c r="LL480" s="569"/>
      <c r="LM480" s="569"/>
      <c r="LN480" s="569"/>
      <c r="LO480" s="569"/>
      <c r="LP480" s="569"/>
      <c r="LQ480" s="569"/>
      <c r="LR480" s="569"/>
      <c r="LS480" s="569"/>
      <c r="LT480" s="569"/>
      <c r="LU480" s="569"/>
      <c r="LV480" s="569"/>
      <c r="LW480" s="569"/>
      <c r="LX480" s="569"/>
      <c r="LY480" s="569"/>
      <c r="LZ480" s="569"/>
      <c r="MA480" s="569"/>
      <c r="MB480" s="569"/>
      <c r="MC480" s="569"/>
      <c r="MD480" s="569"/>
      <c r="ME480" s="569"/>
      <c r="MF480" s="569"/>
      <c r="MG480" s="569"/>
      <c r="MH480" s="569"/>
      <c r="MI480" s="569"/>
      <c r="MJ480" s="569"/>
      <c r="MK480" s="569"/>
      <c r="ML480" s="569"/>
      <c r="MM480" s="569"/>
      <c r="MN480" s="569"/>
      <c r="MO480" s="569"/>
      <c r="MP480" s="569"/>
      <c r="MQ480" s="569"/>
      <c r="MR480" s="569"/>
      <c r="MS480" s="569"/>
      <c r="MT480" s="569"/>
      <c r="MU480" s="569"/>
      <c r="MV480" s="569"/>
      <c r="MW480" s="569"/>
      <c r="MX480" s="569"/>
      <c r="MY480" s="569"/>
      <c r="MZ480" s="569"/>
      <c r="NA480" s="569"/>
      <c r="NB480" s="569"/>
      <c r="NC480" s="569"/>
      <c r="ND480" s="569"/>
      <c r="NE480" s="569"/>
      <c r="NF480" s="569"/>
      <c r="NG480" s="569"/>
      <c r="NH480" s="569"/>
      <c r="NI480" s="569"/>
      <c r="NJ480" s="569"/>
      <c r="NK480" s="569"/>
      <c r="NL480" s="569"/>
      <c r="NM480" s="569"/>
      <c r="NN480" s="569"/>
      <c r="NO480" s="569"/>
      <c r="NP480" s="569"/>
      <c r="NQ480" s="569"/>
      <c r="NR480" s="569"/>
      <c r="NS480" s="569"/>
      <c r="NT480" s="569"/>
      <c r="NU480" s="569"/>
      <c r="NV480" s="569"/>
      <c r="NW480" s="569"/>
      <c r="NX480" s="569"/>
      <c r="NY480" s="569"/>
      <c r="NZ480" s="569"/>
      <c r="OA480" s="569"/>
      <c r="OB480" s="569"/>
      <c r="OC480" s="569"/>
      <c r="OD480" s="569"/>
      <c r="OE480" s="569"/>
      <c r="OF480" s="569"/>
      <c r="OG480" s="569"/>
      <c r="OH480" s="569"/>
      <c r="OI480" s="569"/>
      <c r="OJ480" s="569"/>
      <c r="OK480" s="569"/>
      <c r="OL480" s="569"/>
      <c r="OM480" s="569"/>
      <c r="ON480" s="569"/>
      <c r="OO480" s="569"/>
      <c r="OP480" s="569"/>
      <c r="OQ480" s="569"/>
      <c r="OR480" s="569"/>
      <c r="OS480" s="569"/>
      <c r="OT480" s="569"/>
      <c r="OU480" s="569"/>
      <c r="OV480" s="569"/>
      <c r="OW480" s="569"/>
      <c r="OX480" s="569"/>
      <c r="OY480" s="569"/>
      <c r="OZ480" s="569"/>
      <c r="PA480" s="569"/>
      <c r="PB480" s="569"/>
      <c r="PC480" s="569"/>
      <c r="PD480" s="569"/>
      <c r="PE480" s="569"/>
      <c r="PF480" s="569"/>
      <c r="PG480" s="569"/>
      <c r="PH480" s="569"/>
      <c r="PI480" s="569"/>
      <c r="PJ480" s="569"/>
      <c r="PK480" s="569"/>
      <c r="PL480" s="569"/>
      <c r="PM480" s="569"/>
      <c r="PN480" s="569"/>
      <c r="PO480" s="569"/>
      <c r="PP480" s="569"/>
      <c r="PQ480" s="569"/>
      <c r="PR480" s="569"/>
      <c r="PS480" s="569"/>
      <c r="PT480" s="569"/>
      <c r="PU480" s="569"/>
      <c r="PV480" s="569"/>
      <c r="PW480" s="569"/>
      <c r="PX480" s="569"/>
      <c r="PY480" s="569"/>
      <c r="PZ480" s="569"/>
      <c r="QA480" s="569"/>
      <c r="QB480" s="569"/>
      <c r="QC480" s="569"/>
      <c r="QD480" s="569"/>
      <c r="QE480" s="569"/>
      <c r="QF480" s="569"/>
      <c r="QG480" s="569"/>
      <c r="QH480" s="569"/>
      <c r="QI480" s="569"/>
      <c r="QJ480" s="569"/>
      <c r="QK480" s="569"/>
      <c r="QL480" s="569"/>
    </row>
    <row r="481" spans="1:454" s="761" customFormat="1" ht="90">
      <c r="A481" s="754"/>
      <c r="B481" s="755">
        <v>20</v>
      </c>
      <c r="C481" s="756" t="str">
        <f>'matrik MISI 6'!B21</f>
        <v>OTONOMI DAERAH, PEMERINTAHAN UMUM, ADMINISTRASI KEUANGAN DAERAH, PERANGKAT DAERAH, KEPEGAWAIAN, DAN PERSANDIAN</v>
      </c>
      <c r="D481" s="757"/>
      <c r="E481" s="757"/>
      <c r="F481" s="757"/>
      <c r="G481" s="758"/>
      <c r="H481" s="758"/>
      <c r="I481" s="758"/>
      <c r="J481" s="759"/>
      <c r="K481" s="759"/>
      <c r="L481" s="759"/>
      <c r="M481" s="760">
        <f>'jangan di hapus 1'!K1107</f>
        <v>31652731200</v>
      </c>
      <c r="N481" s="760">
        <f>'jangan di hapus 1'!L1107</f>
        <v>0</v>
      </c>
      <c r="O481" s="760">
        <f>'jangan di hapus 1'!M1107</f>
        <v>35307891100</v>
      </c>
      <c r="P481" s="760">
        <f>'jangan di hapus 1'!N1107</f>
        <v>0</v>
      </c>
      <c r="Q481" s="760">
        <f>'jangan di hapus 1'!O1107</f>
        <v>35599324100.869995</v>
      </c>
      <c r="R481" s="760">
        <f>'jangan di hapus 1'!P1107</f>
        <v>0</v>
      </c>
      <c r="S481" s="760">
        <f>'jangan di hapus 1'!Q1107</f>
        <v>37110724160.869995</v>
      </c>
      <c r="T481" s="760">
        <f>'jangan di hapus 1'!R1107</f>
        <v>0</v>
      </c>
      <c r="U481" s="760">
        <f>'jangan di hapus 1'!S1107</f>
        <v>38915327726.900002</v>
      </c>
      <c r="V481" s="759"/>
      <c r="W481" s="731">
        <f>SUM(M481:U481)</f>
        <v>178585998288.63998</v>
      </c>
      <c r="X481" s="758"/>
      <c r="Y481" s="759"/>
      <c r="Z481" s="759"/>
      <c r="AA481" s="754"/>
      <c r="AB481" s="754"/>
      <c r="AC481" s="754"/>
      <c r="AD481" s="754"/>
      <c r="AE481" s="754"/>
      <c r="AF481" s="754"/>
      <c r="AG481" s="754"/>
      <c r="AH481" s="754"/>
      <c r="AI481" s="754"/>
      <c r="AJ481" s="754"/>
      <c r="AK481" s="754"/>
      <c r="AL481" s="754"/>
      <c r="AM481" s="754"/>
      <c r="AN481" s="754"/>
      <c r="AO481" s="754"/>
      <c r="AP481" s="754"/>
      <c r="AQ481" s="754"/>
      <c r="AR481" s="754"/>
      <c r="AS481" s="754"/>
      <c r="AT481" s="754"/>
      <c r="AU481" s="754"/>
      <c r="AV481" s="754"/>
      <c r="AW481" s="754"/>
      <c r="AX481" s="754"/>
      <c r="AY481" s="754"/>
      <c r="AZ481" s="754"/>
      <c r="BA481" s="754"/>
      <c r="BB481" s="754"/>
      <c r="BC481" s="754"/>
      <c r="BD481" s="754"/>
      <c r="BE481" s="754"/>
      <c r="BF481" s="754"/>
      <c r="BG481" s="754"/>
      <c r="BH481" s="754"/>
      <c r="BI481" s="754"/>
      <c r="BJ481" s="754"/>
      <c r="BK481" s="754"/>
      <c r="BL481" s="754"/>
      <c r="BM481" s="754"/>
      <c r="BN481" s="754"/>
      <c r="BO481" s="754"/>
      <c r="BP481" s="754"/>
      <c r="BQ481" s="754"/>
      <c r="BR481" s="754"/>
      <c r="BS481" s="754"/>
      <c r="BT481" s="754"/>
      <c r="BU481" s="754"/>
      <c r="BV481" s="754"/>
      <c r="BW481" s="754"/>
      <c r="BX481" s="754"/>
      <c r="BY481" s="754"/>
      <c r="BZ481" s="754"/>
      <c r="CA481" s="754"/>
      <c r="CB481" s="754"/>
      <c r="CC481" s="754"/>
      <c r="CD481" s="754"/>
      <c r="CE481" s="754"/>
      <c r="CF481" s="754"/>
      <c r="CG481" s="754"/>
      <c r="CH481" s="754"/>
      <c r="CI481" s="754"/>
      <c r="CJ481" s="754"/>
      <c r="CK481" s="754"/>
      <c r="CL481" s="754"/>
      <c r="CM481" s="754"/>
      <c r="CN481" s="754"/>
      <c r="CO481" s="754"/>
      <c r="CP481" s="754"/>
      <c r="CQ481" s="754"/>
      <c r="CR481" s="754"/>
      <c r="CS481" s="754"/>
      <c r="CT481" s="754"/>
      <c r="CU481" s="754"/>
      <c r="CV481" s="754"/>
      <c r="CW481" s="754"/>
      <c r="CX481" s="754"/>
      <c r="CY481" s="754"/>
      <c r="CZ481" s="754"/>
      <c r="DA481" s="754"/>
      <c r="DB481" s="754"/>
      <c r="DC481" s="754"/>
      <c r="DD481" s="754"/>
      <c r="DE481" s="754"/>
      <c r="DF481" s="754"/>
      <c r="DG481" s="754"/>
      <c r="DH481" s="754"/>
      <c r="DI481" s="754"/>
      <c r="DJ481" s="754"/>
      <c r="DK481" s="754"/>
      <c r="DL481" s="754"/>
      <c r="DM481" s="754"/>
      <c r="DN481" s="754"/>
      <c r="DO481" s="754"/>
      <c r="DP481" s="754"/>
      <c r="DQ481" s="754"/>
      <c r="DR481" s="754"/>
      <c r="DS481" s="754"/>
      <c r="DT481" s="754"/>
      <c r="DU481" s="754"/>
      <c r="DV481" s="754"/>
      <c r="DW481" s="754"/>
      <c r="DX481" s="754"/>
      <c r="DY481" s="754"/>
      <c r="DZ481" s="754"/>
      <c r="EA481" s="754"/>
      <c r="EB481" s="754"/>
      <c r="EC481" s="754"/>
      <c r="ED481" s="754"/>
      <c r="EE481" s="754"/>
      <c r="EF481" s="754"/>
      <c r="EG481" s="754"/>
      <c r="EH481" s="754"/>
      <c r="EI481" s="754"/>
      <c r="EJ481" s="754"/>
      <c r="EK481" s="754"/>
      <c r="EL481" s="754"/>
      <c r="EM481" s="754"/>
      <c r="EN481" s="754"/>
      <c r="EO481" s="754"/>
      <c r="EP481" s="754"/>
      <c r="EQ481" s="754"/>
      <c r="ER481" s="754"/>
      <c r="ES481" s="754"/>
      <c r="ET481" s="754"/>
      <c r="EU481" s="754"/>
      <c r="EV481" s="754"/>
      <c r="EW481" s="754"/>
      <c r="EX481" s="754"/>
      <c r="EY481" s="754"/>
      <c r="EZ481" s="754"/>
      <c r="FA481" s="754"/>
      <c r="FB481" s="754"/>
      <c r="FC481" s="754"/>
      <c r="FD481" s="754"/>
      <c r="FE481" s="754"/>
      <c r="FF481" s="754"/>
      <c r="FG481" s="754"/>
      <c r="FH481" s="754"/>
      <c r="FI481" s="754"/>
      <c r="FJ481" s="754"/>
      <c r="FK481" s="754"/>
      <c r="FL481" s="754"/>
      <c r="FM481" s="754"/>
      <c r="FN481" s="754"/>
      <c r="FO481" s="754"/>
      <c r="FP481" s="754"/>
      <c r="FQ481" s="754"/>
      <c r="FR481" s="754"/>
      <c r="FS481" s="754"/>
      <c r="FT481" s="754"/>
      <c r="FU481" s="754"/>
      <c r="FV481" s="754"/>
      <c r="FW481" s="754"/>
      <c r="FX481" s="754"/>
      <c r="FY481" s="754"/>
      <c r="FZ481" s="754"/>
      <c r="GA481" s="754"/>
      <c r="GB481" s="754"/>
      <c r="GC481" s="754"/>
      <c r="GD481" s="754"/>
      <c r="GE481" s="754"/>
      <c r="GF481" s="754"/>
      <c r="GG481" s="754"/>
      <c r="GH481" s="754"/>
      <c r="GI481" s="754"/>
      <c r="GJ481" s="754"/>
      <c r="GK481" s="754"/>
      <c r="GL481" s="754"/>
      <c r="GM481" s="754"/>
      <c r="GN481" s="754"/>
      <c r="GO481" s="754"/>
      <c r="GP481" s="754"/>
      <c r="GQ481" s="754"/>
      <c r="GR481" s="754"/>
      <c r="GS481" s="754"/>
      <c r="GT481" s="754"/>
      <c r="GU481" s="754"/>
      <c r="GV481" s="754"/>
      <c r="GW481" s="754"/>
      <c r="GX481" s="754"/>
      <c r="GY481" s="754"/>
      <c r="GZ481" s="754"/>
      <c r="HA481" s="754"/>
      <c r="HB481" s="754"/>
      <c r="HC481" s="754"/>
      <c r="HD481" s="754"/>
      <c r="HE481" s="754"/>
      <c r="HF481" s="754"/>
      <c r="HG481" s="754"/>
      <c r="HH481" s="754"/>
      <c r="HI481" s="754"/>
      <c r="HJ481" s="754"/>
      <c r="HK481" s="754"/>
      <c r="HL481" s="754"/>
      <c r="HM481" s="754"/>
      <c r="HN481" s="754"/>
      <c r="HO481" s="754"/>
      <c r="HP481" s="754"/>
      <c r="HQ481" s="754"/>
      <c r="HR481" s="754"/>
      <c r="HS481" s="754"/>
      <c r="HT481" s="754"/>
      <c r="HU481" s="754"/>
      <c r="HV481" s="754"/>
      <c r="HW481" s="754"/>
      <c r="HX481" s="754"/>
      <c r="HY481" s="754"/>
      <c r="HZ481" s="754"/>
      <c r="IA481" s="754"/>
      <c r="IB481" s="754"/>
      <c r="IC481" s="754"/>
      <c r="ID481" s="754"/>
      <c r="IE481" s="754"/>
      <c r="IF481" s="754"/>
      <c r="IG481" s="754"/>
      <c r="IH481" s="754"/>
      <c r="II481" s="754"/>
      <c r="IJ481" s="754"/>
      <c r="IK481" s="754"/>
      <c r="IL481" s="754"/>
      <c r="IM481" s="754"/>
      <c r="IN481" s="754"/>
      <c r="IO481" s="754"/>
      <c r="IP481" s="754"/>
      <c r="IQ481" s="754"/>
      <c r="IR481" s="754"/>
      <c r="IS481" s="754"/>
      <c r="IT481" s="754"/>
      <c r="IU481" s="754"/>
      <c r="IV481" s="754"/>
      <c r="IW481" s="754"/>
      <c r="IX481" s="754"/>
      <c r="IY481" s="754"/>
      <c r="IZ481" s="754"/>
      <c r="JA481" s="754"/>
      <c r="JB481" s="754"/>
      <c r="JC481" s="754"/>
      <c r="JD481" s="754"/>
      <c r="JE481" s="754"/>
      <c r="JF481" s="754"/>
      <c r="JG481" s="754"/>
      <c r="JH481" s="754"/>
      <c r="JI481" s="754"/>
      <c r="JJ481" s="754"/>
      <c r="JK481" s="754"/>
      <c r="JL481" s="754"/>
      <c r="JM481" s="754"/>
      <c r="JN481" s="754"/>
      <c r="JO481" s="754"/>
      <c r="JP481" s="754"/>
      <c r="JQ481" s="754"/>
      <c r="JR481" s="754"/>
      <c r="JS481" s="754"/>
      <c r="JT481" s="754"/>
      <c r="JU481" s="754"/>
      <c r="JV481" s="754"/>
      <c r="JW481" s="754"/>
      <c r="JX481" s="754"/>
      <c r="JY481" s="754"/>
      <c r="JZ481" s="754"/>
      <c r="KA481" s="754"/>
      <c r="KB481" s="754"/>
      <c r="KC481" s="754"/>
      <c r="KD481" s="754"/>
      <c r="KE481" s="754"/>
      <c r="KF481" s="754"/>
      <c r="KG481" s="754"/>
      <c r="KH481" s="754"/>
      <c r="KI481" s="754"/>
      <c r="KJ481" s="754"/>
      <c r="KK481" s="754"/>
      <c r="KL481" s="754"/>
      <c r="KM481" s="754"/>
      <c r="KN481" s="754"/>
      <c r="KO481" s="754"/>
      <c r="KP481" s="754"/>
      <c r="KQ481" s="754"/>
      <c r="KR481" s="754"/>
      <c r="KS481" s="754"/>
      <c r="KT481" s="754"/>
      <c r="KU481" s="754"/>
      <c r="KV481" s="754"/>
      <c r="KW481" s="754"/>
      <c r="KX481" s="754"/>
      <c r="KY481" s="754"/>
      <c r="KZ481" s="754"/>
      <c r="LA481" s="754"/>
      <c r="LB481" s="754"/>
      <c r="LC481" s="754"/>
      <c r="LD481" s="754"/>
      <c r="LE481" s="754"/>
      <c r="LF481" s="754"/>
      <c r="LG481" s="754"/>
      <c r="LH481" s="754"/>
      <c r="LI481" s="754"/>
      <c r="LJ481" s="754"/>
      <c r="LK481" s="754"/>
      <c r="LL481" s="754"/>
      <c r="LM481" s="754"/>
      <c r="LN481" s="754"/>
      <c r="LO481" s="754"/>
      <c r="LP481" s="754"/>
      <c r="LQ481" s="754"/>
      <c r="LR481" s="754"/>
      <c r="LS481" s="754"/>
      <c r="LT481" s="754"/>
      <c r="LU481" s="754"/>
      <c r="LV481" s="754"/>
      <c r="LW481" s="754"/>
      <c r="LX481" s="754"/>
      <c r="LY481" s="754"/>
      <c r="LZ481" s="754"/>
      <c r="MA481" s="754"/>
      <c r="MB481" s="754"/>
      <c r="MC481" s="754"/>
      <c r="MD481" s="754"/>
      <c r="ME481" s="754"/>
      <c r="MF481" s="754"/>
      <c r="MG481" s="754"/>
      <c r="MH481" s="754"/>
      <c r="MI481" s="754"/>
      <c r="MJ481" s="754"/>
      <c r="MK481" s="754"/>
      <c r="ML481" s="754"/>
      <c r="MM481" s="754"/>
      <c r="MN481" s="754"/>
      <c r="MO481" s="754"/>
      <c r="MP481" s="754"/>
      <c r="MQ481" s="754"/>
      <c r="MR481" s="754"/>
      <c r="MS481" s="754"/>
      <c r="MT481" s="754"/>
      <c r="MU481" s="754"/>
      <c r="MV481" s="754"/>
      <c r="MW481" s="754"/>
      <c r="MX481" s="754"/>
      <c r="MY481" s="754"/>
      <c r="MZ481" s="754"/>
      <c r="NA481" s="754"/>
      <c r="NB481" s="754"/>
      <c r="NC481" s="754"/>
      <c r="ND481" s="754"/>
      <c r="NE481" s="754"/>
      <c r="NF481" s="754"/>
      <c r="NG481" s="754"/>
      <c r="NH481" s="754"/>
      <c r="NI481" s="754"/>
      <c r="NJ481" s="754"/>
      <c r="NK481" s="754"/>
      <c r="NL481" s="754"/>
      <c r="NM481" s="754"/>
      <c r="NN481" s="754"/>
      <c r="NO481" s="754"/>
      <c r="NP481" s="754"/>
      <c r="NQ481" s="754"/>
      <c r="NR481" s="754"/>
      <c r="NS481" s="754"/>
      <c r="NT481" s="754"/>
      <c r="NU481" s="754"/>
      <c r="NV481" s="754"/>
      <c r="NW481" s="754"/>
      <c r="NX481" s="754"/>
      <c r="NY481" s="754"/>
      <c r="NZ481" s="754"/>
      <c r="OA481" s="754"/>
      <c r="OB481" s="754"/>
      <c r="OC481" s="754"/>
      <c r="OD481" s="754"/>
      <c r="OE481" s="754"/>
      <c r="OF481" s="754"/>
      <c r="OG481" s="754"/>
      <c r="OH481" s="754"/>
      <c r="OI481" s="754"/>
      <c r="OJ481" s="754"/>
      <c r="OK481" s="754"/>
      <c r="OL481" s="754"/>
      <c r="OM481" s="754"/>
      <c r="ON481" s="754"/>
      <c r="OO481" s="754"/>
      <c r="OP481" s="754"/>
      <c r="OQ481" s="754"/>
      <c r="OR481" s="754"/>
      <c r="OS481" s="754"/>
      <c r="OT481" s="754"/>
      <c r="OU481" s="754"/>
      <c r="OV481" s="754"/>
      <c r="OW481" s="754"/>
      <c r="OX481" s="754"/>
      <c r="OY481" s="754"/>
      <c r="OZ481" s="754"/>
      <c r="PA481" s="754"/>
      <c r="PB481" s="754"/>
      <c r="PC481" s="754"/>
      <c r="PD481" s="754"/>
      <c r="PE481" s="754"/>
      <c r="PF481" s="754"/>
      <c r="PG481" s="754"/>
      <c r="PH481" s="754"/>
      <c r="PI481" s="754"/>
      <c r="PJ481" s="754"/>
      <c r="PK481" s="754"/>
      <c r="PL481" s="754"/>
      <c r="PM481" s="754"/>
      <c r="PN481" s="754"/>
      <c r="PO481" s="754"/>
      <c r="PP481" s="754"/>
      <c r="PQ481" s="754"/>
      <c r="PR481" s="754"/>
      <c r="PS481" s="754"/>
      <c r="PT481" s="754"/>
      <c r="PU481" s="754"/>
      <c r="PV481" s="754"/>
      <c r="PW481" s="754"/>
      <c r="PX481" s="754"/>
      <c r="PY481" s="754"/>
      <c r="PZ481" s="754"/>
      <c r="QA481" s="754"/>
      <c r="QB481" s="754"/>
      <c r="QC481" s="754"/>
      <c r="QD481" s="754"/>
      <c r="QE481" s="754"/>
      <c r="QF481" s="754"/>
      <c r="QG481" s="754"/>
      <c r="QH481" s="754"/>
      <c r="QI481" s="754"/>
      <c r="QJ481" s="754"/>
      <c r="QK481" s="754"/>
      <c r="QL481" s="754"/>
    </row>
    <row r="482" spans="1:454" s="574" customFormat="1" ht="45">
      <c r="A482" s="569"/>
      <c r="D482" s="577" t="str">
        <f>'matrik MISI 6'!J22</f>
        <v>1.20</v>
      </c>
      <c r="E482" s="577" t="str">
        <f>'matrik MISI 6'!K22</f>
        <v>xx</v>
      </c>
      <c r="F482" s="577">
        <f>'matrik MISI 6'!L22</f>
        <v>33</v>
      </c>
      <c r="G482" s="577" t="str">
        <f>'matrik MISI 6'!M22</f>
        <v>Program Peningkatan Kapasitas Sumber Daya Aparatur</v>
      </c>
      <c r="H482" s="575"/>
      <c r="I482" s="575"/>
      <c r="J482" s="596"/>
      <c r="K482" s="596"/>
      <c r="L482" s="596"/>
      <c r="M482" s="600"/>
      <c r="N482" s="596"/>
      <c r="O482" s="596"/>
      <c r="P482" s="596"/>
      <c r="Q482" s="596"/>
      <c r="R482" s="596"/>
      <c r="S482" s="596"/>
      <c r="T482" s="596"/>
      <c r="U482" s="596"/>
      <c r="V482" s="596"/>
      <c r="W482" s="596"/>
      <c r="X482" s="575"/>
      <c r="Y482" s="596"/>
      <c r="Z482" s="596"/>
      <c r="AA482" s="569"/>
      <c r="AB482" s="569"/>
      <c r="AC482" s="569"/>
      <c r="AD482" s="569"/>
      <c r="AE482" s="569"/>
      <c r="AF482" s="569"/>
      <c r="AG482" s="569"/>
      <c r="AH482" s="569"/>
      <c r="AI482" s="569"/>
      <c r="AJ482" s="569"/>
      <c r="AK482" s="569"/>
      <c r="AL482" s="569"/>
      <c r="AM482" s="569"/>
      <c r="AN482" s="569"/>
      <c r="AO482" s="569"/>
      <c r="AP482" s="569"/>
      <c r="AQ482" s="569"/>
      <c r="AR482" s="569"/>
      <c r="AS482" s="569"/>
      <c r="AT482" s="569"/>
      <c r="AU482" s="569"/>
      <c r="AV482" s="569"/>
      <c r="AW482" s="569"/>
      <c r="AX482" s="569"/>
      <c r="AY482" s="569"/>
      <c r="AZ482" s="569"/>
      <c r="BA482" s="569"/>
      <c r="BB482" s="569"/>
      <c r="BC482" s="569"/>
      <c r="BD482" s="569"/>
      <c r="BE482" s="569"/>
      <c r="BF482" s="569"/>
      <c r="BG482" s="569"/>
      <c r="BH482" s="569"/>
      <c r="BI482" s="569"/>
      <c r="BJ482" s="569"/>
      <c r="BK482" s="569"/>
      <c r="BL482" s="569"/>
      <c r="BM482" s="569"/>
      <c r="BN482" s="569"/>
      <c r="BO482" s="569"/>
      <c r="BP482" s="569"/>
      <c r="BQ482" s="569"/>
      <c r="BR482" s="569"/>
      <c r="BS482" s="569"/>
      <c r="BT482" s="569"/>
      <c r="BU482" s="569"/>
      <c r="BV482" s="569"/>
      <c r="BW482" s="569"/>
      <c r="BX482" s="569"/>
      <c r="BY482" s="569"/>
      <c r="BZ482" s="569"/>
      <c r="CA482" s="569"/>
      <c r="CB482" s="569"/>
      <c r="CC482" s="569"/>
      <c r="CD482" s="569"/>
      <c r="CE482" s="569"/>
      <c r="CF482" s="569"/>
      <c r="CG482" s="569"/>
      <c r="CH482" s="569"/>
      <c r="CI482" s="569"/>
      <c r="CJ482" s="569"/>
      <c r="CK482" s="569"/>
      <c r="CL482" s="569"/>
      <c r="CM482" s="569"/>
      <c r="CN482" s="569"/>
      <c r="CO482" s="569"/>
      <c r="CP482" s="569"/>
      <c r="CQ482" s="569"/>
      <c r="CR482" s="569"/>
      <c r="CS482" s="569"/>
      <c r="CT482" s="569"/>
      <c r="CU482" s="569"/>
      <c r="CV482" s="569"/>
      <c r="CW482" s="569"/>
      <c r="CX482" s="569"/>
      <c r="CY482" s="569"/>
      <c r="CZ482" s="569"/>
      <c r="DA482" s="569"/>
      <c r="DB482" s="569"/>
      <c r="DC482" s="569"/>
      <c r="DD482" s="569"/>
      <c r="DE482" s="569"/>
      <c r="DF482" s="569"/>
      <c r="DG482" s="569"/>
      <c r="DH482" s="569"/>
      <c r="DI482" s="569"/>
      <c r="DJ482" s="569"/>
      <c r="DK482" s="569"/>
      <c r="DL482" s="569"/>
      <c r="DM482" s="569"/>
      <c r="DN482" s="569"/>
      <c r="DO482" s="569"/>
      <c r="DP482" s="569"/>
      <c r="DQ482" s="569"/>
      <c r="DR482" s="569"/>
      <c r="DS482" s="569"/>
      <c r="DT482" s="569"/>
      <c r="DU482" s="569"/>
      <c r="DV482" s="569"/>
      <c r="DW482" s="569"/>
      <c r="DX482" s="569"/>
      <c r="DY482" s="569"/>
      <c r="DZ482" s="569"/>
      <c r="EA482" s="569"/>
      <c r="EB482" s="569"/>
      <c r="EC482" s="569"/>
      <c r="ED482" s="569"/>
      <c r="EE482" s="569"/>
      <c r="EF482" s="569"/>
      <c r="EG482" s="569"/>
      <c r="EH482" s="569"/>
      <c r="EI482" s="569"/>
      <c r="EJ482" s="569"/>
      <c r="EK482" s="569"/>
      <c r="EL482" s="569"/>
      <c r="EM482" s="569"/>
      <c r="EN482" s="569"/>
      <c r="EO482" s="569"/>
      <c r="EP482" s="569"/>
      <c r="EQ482" s="569"/>
      <c r="ER482" s="569"/>
      <c r="ES482" s="569"/>
      <c r="ET482" s="569"/>
      <c r="EU482" s="569"/>
      <c r="EV482" s="569"/>
      <c r="EW482" s="569"/>
      <c r="EX482" s="569"/>
      <c r="EY482" s="569"/>
      <c r="EZ482" s="569"/>
      <c r="FA482" s="569"/>
      <c r="FB482" s="569"/>
      <c r="FC482" s="569"/>
      <c r="FD482" s="569"/>
      <c r="FE482" s="569"/>
      <c r="FF482" s="569"/>
      <c r="FG482" s="569"/>
      <c r="FH482" s="569"/>
      <c r="FI482" s="569"/>
      <c r="FJ482" s="569"/>
      <c r="FK482" s="569"/>
      <c r="FL482" s="569"/>
      <c r="FM482" s="569"/>
      <c r="FN482" s="569"/>
      <c r="FO482" s="569"/>
      <c r="FP482" s="569"/>
      <c r="FQ482" s="569"/>
      <c r="FR482" s="569"/>
      <c r="FS482" s="569"/>
      <c r="FT482" s="569"/>
      <c r="FU482" s="569"/>
      <c r="FV482" s="569"/>
      <c r="FW482" s="569"/>
      <c r="FX482" s="569"/>
      <c r="FY482" s="569"/>
      <c r="FZ482" s="569"/>
      <c r="GA482" s="569"/>
      <c r="GB482" s="569"/>
      <c r="GC482" s="569"/>
      <c r="GD482" s="569"/>
      <c r="GE482" s="569"/>
      <c r="GF482" s="569"/>
      <c r="GG482" s="569"/>
      <c r="GH482" s="569"/>
      <c r="GI482" s="569"/>
      <c r="GJ482" s="569"/>
      <c r="GK482" s="569"/>
      <c r="GL482" s="569"/>
      <c r="GM482" s="569"/>
      <c r="GN482" s="569"/>
      <c r="GO482" s="569"/>
      <c r="GP482" s="569"/>
      <c r="GQ482" s="569"/>
      <c r="GR482" s="569"/>
      <c r="GS482" s="569"/>
      <c r="GT482" s="569"/>
      <c r="GU482" s="569"/>
      <c r="GV482" s="569"/>
      <c r="GW482" s="569"/>
      <c r="GX482" s="569"/>
      <c r="GY482" s="569"/>
      <c r="GZ482" s="569"/>
      <c r="HA482" s="569"/>
      <c r="HB482" s="569"/>
      <c r="HC482" s="569"/>
      <c r="HD482" s="569"/>
      <c r="HE482" s="569"/>
      <c r="HF482" s="569"/>
      <c r="HG482" s="569"/>
      <c r="HH482" s="569"/>
      <c r="HI482" s="569"/>
      <c r="HJ482" s="569"/>
      <c r="HK482" s="569"/>
      <c r="HL482" s="569"/>
      <c r="HM482" s="569"/>
      <c r="HN482" s="569"/>
      <c r="HO482" s="569"/>
      <c r="HP482" s="569"/>
      <c r="HQ482" s="569"/>
      <c r="HR482" s="569"/>
      <c r="HS482" s="569"/>
      <c r="HT482" s="569"/>
      <c r="HU482" s="569"/>
      <c r="HV482" s="569"/>
      <c r="HW482" s="569"/>
      <c r="HX482" s="569"/>
      <c r="HY482" s="569"/>
      <c r="HZ482" s="569"/>
      <c r="IA482" s="569"/>
      <c r="IB482" s="569"/>
      <c r="IC482" s="569"/>
      <c r="ID482" s="569"/>
      <c r="IE482" s="569"/>
      <c r="IF482" s="569"/>
      <c r="IG482" s="569"/>
      <c r="IH482" s="569"/>
      <c r="II482" s="569"/>
      <c r="IJ482" s="569"/>
      <c r="IK482" s="569"/>
      <c r="IL482" s="569"/>
      <c r="IM482" s="569"/>
      <c r="IN482" s="569"/>
      <c r="IO482" s="569"/>
      <c r="IP482" s="569"/>
      <c r="IQ482" s="569"/>
      <c r="IR482" s="569"/>
      <c r="IS482" s="569"/>
      <c r="IT482" s="569"/>
      <c r="IU482" s="569"/>
      <c r="IV482" s="569"/>
      <c r="IW482" s="569"/>
      <c r="IX482" s="569"/>
      <c r="IY482" s="569"/>
      <c r="IZ482" s="569"/>
      <c r="JA482" s="569"/>
      <c r="JB482" s="569"/>
      <c r="JC482" s="569"/>
      <c r="JD482" s="569"/>
      <c r="JE482" s="569"/>
      <c r="JF482" s="569"/>
      <c r="JG482" s="569"/>
      <c r="JH482" s="569"/>
      <c r="JI482" s="569"/>
      <c r="JJ482" s="569"/>
      <c r="JK482" s="569"/>
      <c r="JL482" s="569"/>
      <c r="JM482" s="569"/>
      <c r="JN482" s="569"/>
      <c r="JO482" s="569"/>
      <c r="JP482" s="569"/>
      <c r="JQ482" s="569"/>
      <c r="JR482" s="569"/>
      <c r="JS482" s="569"/>
      <c r="JT482" s="569"/>
      <c r="JU482" s="569"/>
      <c r="JV482" s="569"/>
      <c r="JW482" s="569"/>
      <c r="JX482" s="569"/>
      <c r="JY482" s="569"/>
      <c r="JZ482" s="569"/>
      <c r="KA482" s="569"/>
      <c r="KB482" s="569"/>
      <c r="KC482" s="569"/>
      <c r="KD482" s="569"/>
      <c r="KE482" s="569"/>
      <c r="KF482" s="569"/>
      <c r="KG482" s="569"/>
      <c r="KH482" s="569"/>
      <c r="KI482" s="569"/>
      <c r="KJ482" s="569"/>
      <c r="KK482" s="569"/>
      <c r="KL482" s="569"/>
      <c r="KM482" s="569"/>
      <c r="KN482" s="569"/>
      <c r="KO482" s="569"/>
      <c r="KP482" s="569"/>
      <c r="KQ482" s="569"/>
      <c r="KR482" s="569"/>
      <c r="KS482" s="569"/>
      <c r="KT482" s="569"/>
      <c r="KU482" s="569"/>
      <c r="KV482" s="569"/>
      <c r="KW482" s="569"/>
      <c r="KX482" s="569"/>
      <c r="KY482" s="569"/>
      <c r="KZ482" s="569"/>
      <c r="LA482" s="569"/>
      <c r="LB482" s="569"/>
      <c r="LC482" s="569"/>
      <c r="LD482" s="569"/>
      <c r="LE482" s="569"/>
      <c r="LF482" s="569"/>
      <c r="LG482" s="569"/>
      <c r="LH482" s="569"/>
      <c r="LI482" s="569"/>
      <c r="LJ482" s="569"/>
      <c r="LK482" s="569"/>
      <c r="LL482" s="569"/>
      <c r="LM482" s="569"/>
      <c r="LN482" s="569"/>
      <c r="LO482" s="569"/>
      <c r="LP482" s="569"/>
      <c r="LQ482" s="569"/>
      <c r="LR482" s="569"/>
      <c r="LS482" s="569"/>
      <c r="LT482" s="569"/>
      <c r="LU482" s="569"/>
      <c r="LV482" s="569"/>
      <c r="LW482" s="569"/>
      <c r="LX482" s="569"/>
      <c r="LY482" s="569"/>
      <c r="LZ482" s="569"/>
      <c r="MA482" s="569"/>
      <c r="MB482" s="569"/>
      <c r="MC482" s="569"/>
      <c r="MD482" s="569"/>
      <c r="ME482" s="569"/>
      <c r="MF482" s="569"/>
      <c r="MG482" s="569"/>
      <c r="MH482" s="569"/>
      <c r="MI482" s="569"/>
      <c r="MJ482" s="569"/>
      <c r="MK482" s="569"/>
      <c r="ML482" s="569"/>
      <c r="MM482" s="569"/>
      <c r="MN482" s="569"/>
      <c r="MO482" s="569"/>
      <c r="MP482" s="569"/>
      <c r="MQ482" s="569"/>
      <c r="MR482" s="569"/>
      <c r="MS482" s="569"/>
      <c r="MT482" s="569"/>
      <c r="MU482" s="569"/>
      <c r="MV482" s="569"/>
      <c r="MW482" s="569"/>
      <c r="MX482" s="569"/>
      <c r="MY482" s="569"/>
      <c r="MZ482" s="569"/>
      <c r="NA482" s="569"/>
      <c r="NB482" s="569"/>
      <c r="NC482" s="569"/>
      <c r="ND482" s="569"/>
      <c r="NE482" s="569"/>
      <c r="NF482" s="569"/>
      <c r="NG482" s="569"/>
      <c r="NH482" s="569"/>
      <c r="NI482" s="569"/>
      <c r="NJ482" s="569"/>
      <c r="NK482" s="569"/>
      <c r="NL482" s="569"/>
      <c r="NM482" s="569"/>
      <c r="NN482" s="569"/>
      <c r="NO482" s="569"/>
      <c r="NP482" s="569"/>
      <c r="NQ482" s="569"/>
      <c r="NR482" s="569"/>
      <c r="NS482" s="569"/>
      <c r="NT482" s="569"/>
      <c r="NU482" s="569"/>
      <c r="NV482" s="569"/>
      <c r="NW482" s="569"/>
      <c r="NX482" s="569"/>
      <c r="NY482" s="569"/>
      <c r="NZ482" s="569"/>
      <c r="OA482" s="569"/>
      <c r="OB482" s="569"/>
      <c r="OC482" s="569"/>
      <c r="OD482" s="569"/>
      <c r="OE482" s="569"/>
      <c r="OF482" s="569"/>
      <c r="OG482" s="569"/>
      <c r="OH482" s="569"/>
      <c r="OI482" s="569"/>
      <c r="OJ482" s="569"/>
      <c r="OK482" s="569"/>
      <c r="OL482" s="569"/>
      <c r="OM482" s="569"/>
      <c r="ON482" s="569"/>
      <c r="OO482" s="569"/>
      <c r="OP482" s="569"/>
      <c r="OQ482" s="569"/>
      <c r="OR482" s="569"/>
      <c r="OS482" s="569"/>
      <c r="OT482" s="569"/>
      <c r="OU482" s="569"/>
      <c r="OV482" s="569"/>
      <c r="OW482" s="569"/>
      <c r="OX482" s="569"/>
      <c r="OY482" s="569"/>
      <c r="OZ482" s="569"/>
      <c r="PA482" s="569"/>
      <c r="PB482" s="569"/>
      <c r="PC482" s="569"/>
      <c r="PD482" s="569"/>
      <c r="PE482" s="569"/>
      <c r="PF482" s="569"/>
      <c r="PG482" s="569"/>
      <c r="PH482" s="569"/>
      <c r="PI482" s="569"/>
      <c r="PJ482" s="569"/>
      <c r="PK482" s="569"/>
      <c r="PL482" s="569"/>
      <c r="PM482" s="569"/>
      <c r="PN482" s="569"/>
      <c r="PO482" s="569"/>
      <c r="PP482" s="569"/>
      <c r="PQ482" s="569"/>
      <c r="PR482" s="569"/>
      <c r="PS482" s="569"/>
      <c r="PT482" s="569"/>
      <c r="PU482" s="569"/>
      <c r="PV482" s="569"/>
      <c r="PW482" s="569"/>
      <c r="PX482" s="569"/>
      <c r="PY482" s="569"/>
      <c r="PZ482" s="569"/>
      <c r="QA482" s="569"/>
      <c r="QB482" s="569"/>
      <c r="QC482" s="569"/>
      <c r="QD482" s="569"/>
      <c r="QE482" s="569"/>
      <c r="QF482" s="569"/>
      <c r="QG482" s="569"/>
      <c r="QH482" s="569"/>
      <c r="QI482" s="569"/>
      <c r="QJ482" s="569"/>
      <c r="QK482" s="569"/>
      <c r="QL482" s="569"/>
    </row>
    <row r="483" spans="1:454" ht="30">
      <c r="B483" s="568"/>
      <c r="C483" s="568"/>
      <c r="D483" s="568"/>
      <c r="E483" s="568"/>
      <c r="F483" s="568"/>
      <c r="G483" s="568"/>
      <c r="H483" s="563" t="str">
        <f>'matrik MISI 6'!N22</f>
        <v>Persentase PNS yang Mengikuti Diklat Teknis Fungsional</v>
      </c>
      <c r="I483" s="563" t="str">
        <f>'matrik MISI 6'!O22</f>
        <v>%</v>
      </c>
      <c r="J483" s="563">
        <f>'matrik MISI 6'!P22</f>
        <v>1.6</v>
      </c>
      <c r="K483" s="563">
        <f>'matrik MISI 6'!Q22</f>
        <v>1.3</v>
      </c>
      <c r="L483" s="563">
        <f>'matrik MISI 6'!R22</f>
        <v>1.4</v>
      </c>
      <c r="M483" s="604"/>
      <c r="N483" s="563">
        <f>'matrik MISI 6'!S22</f>
        <v>1.5</v>
      </c>
      <c r="O483" s="564"/>
      <c r="P483" s="563">
        <f>'matrik MISI 6'!T22</f>
        <v>1.6</v>
      </c>
      <c r="Q483" s="564"/>
      <c r="R483" s="563">
        <f>'matrik MISI 6'!U22</f>
        <v>1.8</v>
      </c>
      <c r="S483" s="564"/>
      <c r="T483" s="563">
        <f>'matrik MISI 6'!V22</f>
        <v>1.9</v>
      </c>
      <c r="U483" s="564"/>
      <c r="V483" s="563">
        <f>'matrik MISI 6'!W22</f>
        <v>1.9</v>
      </c>
      <c r="W483" s="564"/>
      <c r="X483" s="563" t="str">
        <f>'matrik MISI 6'!X22</f>
        <v>Badan Kepegawaian Daerah (BKD)</v>
      </c>
      <c r="Y483" s="563" t="str">
        <f>'matrik MISI 6'!Y22</f>
        <v>Jumlah PNS yang Mengikuti Diklat Teknis Fungsional dibagi Jumlah PNS x 100</v>
      </c>
      <c r="Z483" s="563">
        <f>'matrik MISI 6'!Z22</f>
        <v>0</v>
      </c>
    </row>
    <row r="484" spans="1:454" ht="45">
      <c r="G484" s="563"/>
      <c r="H484" s="563" t="str">
        <f>'matrik MISI 6'!N23</f>
        <v>Persentase PNS yang Memiliki Sertifikat Pengadaan Barang atau Jasa</v>
      </c>
      <c r="I484" s="563" t="str">
        <f>'matrik MISI 6'!O23</f>
        <v>%</v>
      </c>
      <c r="J484" s="563">
        <f>'matrik MISI 6'!P23</f>
        <v>1.8587360594795539</v>
      </c>
      <c r="K484" s="563">
        <f>'matrik MISI 6'!Q23</f>
        <v>1.9040732706676309</v>
      </c>
      <c r="L484" s="563">
        <f>'matrik MISI 6'!R23</f>
        <v>2.1</v>
      </c>
      <c r="M484" s="604"/>
      <c r="N484" s="563">
        <f>'matrik MISI 6'!S23</f>
        <v>2.4</v>
      </c>
      <c r="O484" s="564"/>
      <c r="P484" s="563">
        <f>'matrik MISI 6'!T23</f>
        <v>2.6</v>
      </c>
      <c r="Q484" s="564"/>
      <c r="R484" s="563">
        <f>'matrik MISI 6'!U23</f>
        <v>2.8</v>
      </c>
      <c r="S484" s="564"/>
      <c r="T484" s="563">
        <f>'matrik MISI 6'!V23</f>
        <v>3</v>
      </c>
      <c r="U484" s="564"/>
      <c r="V484" s="563">
        <f>'matrik MISI 6'!W23</f>
        <v>3</v>
      </c>
      <c r="W484" s="564"/>
      <c r="X484" s="563" t="str">
        <f>'matrik MISI 6'!X23</f>
        <v>Badan Kepegawaian Daerah (BKD)</v>
      </c>
      <c r="Y484" s="563" t="str">
        <f>'matrik MISI 6'!Y23</f>
        <v>Jumlah PNS yang Memiliki Sertifikat Pengadaan Barang atau Jasa dibagi Jumlah PNS x 100</v>
      </c>
      <c r="Z484" s="563">
        <f>'matrik MISI 6'!Z23</f>
        <v>0</v>
      </c>
    </row>
    <row r="485" spans="1:454" s="574" customFormat="1" ht="33" customHeight="1">
      <c r="A485" s="569"/>
      <c r="B485" s="575"/>
      <c r="C485" s="576"/>
      <c r="D485" s="577" t="str">
        <f>'matrik MISI 6'!J24</f>
        <v>1.20</v>
      </c>
      <c r="E485" s="577" t="str">
        <f>'matrik MISI 6'!K24</f>
        <v>xx</v>
      </c>
      <c r="F485" s="577">
        <f>'matrik MISI 6'!L24</f>
        <v>32</v>
      </c>
      <c r="G485" s="577" t="str">
        <f>'matrik MISI 6'!M24</f>
        <v>Program Pendidikan Kedinasan</v>
      </c>
      <c r="H485" s="577"/>
      <c r="I485" s="577"/>
      <c r="J485" s="577"/>
      <c r="K485" s="577"/>
      <c r="L485" s="577"/>
      <c r="M485" s="578"/>
      <c r="N485" s="577"/>
      <c r="O485" s="577"/>
      <c r="P485" s="577"/>
      <c r="Q485" s="577"/>
      <c r="R485" s="577"/>
      <c r="S485" s="577"/>
      <c r="T485" s="577"/>
      <c r="U485" s="577"/>
      <c r="V485" s="577"/>
      <c r="W485" s="577"/>
      <c r="X485" s="577"/>
      <c r="Y485" s="577"/>
      <c r="Z485" s="577"/>
      <c r="AA485" s="569"/>
      <c r="AB485" s="569"/>
      <c r="AC485" s="569"/>
      <c r="AD485" s="569"/>
      <c r="AE485" s="569"/>
      <c r="AF485" s="569"/>
      <c r="AG485" s="569"/>
      <c r="AH485" s="569"/>
      <c r="AI485" s="569"/>
      <c r="AJ485" s="569"/>
      <c r="AK485" s="569"/>
      <c r="AL485" s="569"/>
      <c r="AM485" s="569"/>
      <c r="AN485" s="569"/>
      <c r="AO485" s="569"/>
      <c r="AP485" s="569"/>
      <c r="AQ485" s="569"/>
      <c r="AR485" s="569"/>
      <c r="AS485" s="569"/>
      <c r="AT485" s="569"/>
      <c r="AU485" s="569"/>
      <c r="AV485" s="569"/>
      <c r="AW485" s="569"/>
      <c r="AX485" s="569"/>
      <c r="AY485" s="569"/>
      <c r="AZ485" s="569"/>
      <c r="BA485" s="569"/>
      <c r="BB485" s="569"/>
      <c r="BC485" s="569"/>
      <c r="BD485" s="569"/>
      <c r="BE485" s="569"/>
      <c r="BF485" s="569"/>
      <c r="BG485" s="569"/>
      <c r="BH485" s="569"/>
      <c r="BI485" s="569"/>
      <c r="BJ485" s="569"/>
      <c r="BK485" s="569"/>
      <c r="BL485" s="569"/>
      <c r="BM485" s="569"/>
      <c r="BN485" s="569"/>
      <c r="BO485" s="569"/>
      <c r="BP485" s="569"/>
      <c r="BQ485" s="569"/>
      <c r="BR485" s="569"/>
      <c r="BS485" s="569"/>
      <c r="BT485" s="569"/>
      <c r="BU485" s="569"/>
      <c r="BV485" s="569"/>
      <c r="BW485" s="569"/>
      <c r="BX485" s="569"/>
      <c r="BY485" s="569"/>
      <c r="BZ485" s="569"/>
      <c r="CA485" s="569"/>
      <c r="CB485" s="569"/>
      <c r="CC485" s="569"/>
      <c r="CD485" s="569"/>
      <c r="CE485" s="569"/>
      <c r="CF485" s="569"/>
      <c r="CG485" s="569"/>
      <c r="CH485" s="569"/>
      <c r="CI485" s="569"/>
      <c r="CJ485" s="569"/>
      <c r="CK485" s="569"/>
      <c r="CL485" s="569"/>
      <c r="CM485" s="569"/>
      <c r="CN485" s="569"/>
      <c r="CO485" s="569"/>
      <c r="CP485" s="569"/>
      <c r="CQ485" s="569"/>
      <c r="CR485" s="569"/>
      <c r="CS485" s="569"/>
      <c r="CT485" s="569"/>
      <c r="CU485" s="569"/>
      <c r="CV485" s="569"/>
      <c r="CW485" s="569"/>
      <c r="CX485" s="569"/>
      <c r="CY485" s="569"/>
      <c r="CZ485" s="569"/>
      <c r="DA485" s="569"/>
      <c r="DB485" s="569"/>
      <c r="DC485" s="569"/>
      <c r="DD485" s="569"/>
      <c r="DE485" s="569"/>
      <c r="DF485" s="569"/>
      <c r="DG485" s="569"/>
      <c r="DH485" s="569"/>
      <c r="DI485" s="569"/>
      <c r="DJ485" s="569"/>
      <c r="DK485" s="569"/>
      <c r="DL485" s="569"/>
      <c r="DM485" s="569"/>
      <c r="DN485" s="569"/>
      <c r="DO485" s="569"/>
      <c r="DP485" s="569"/>
      <c r="DQ485" s="569"/>
      <c r="DR485" s="569"/>
      <c r="DS485" s="569"/>
      <c r="DT485" s="569"/>
      <c r="DU485" s="569"/>
      <c r="DV485" s="569"/>
      <c r="DW485" s="569"/>
      <c r="DX485" s="569"/>
      <c r="DY485" s="569"/>
      <c r="DZ485" s="569"/>
      <c r="EA485" s="569"/>
      <c r="EB485" s="569"/>
      <c r="EC485" s="569"/>
      <c r="ED485" s="569"/>
      <c r="EE485" s="569"/>
      <c r="EF485" s="569"/>
      <c r="EG485" s="569"/>
      <c r="EH485" s="569"/>
      <c r="EI485" s="569"/>
      <c r="EJ485" s="569"/>
      <c r="EK485" s="569"/>
      <c r="EL485" s="569"/>
      <c r="EM485" s="569"/>
      <c r="EN485" s="569"/>
      <c r="EO485" s="569"/>
      <c r="EP485" s="569"/>
      <c r="EQ485" s="569"/>
      <c r="ER485" s="569"/>
      <c r="ES485" s="569"/>
      <c r="ET485" s="569"/>
      <c r="EU485" s="569"/>
      <c r="EV485" s="569"/>
      <c r="EW485" s="569"/>
      <c r="EX485" s="569"/>
      <c r="EY485" s="569"/>
      <c r="EZ485" s="569"/>
      <c r="FA485" s="569"/>
      <c r="FB485" s="569"/>
      <c r="FC485" s="569"/>
      <c r="FD485" s="569"/>
      <c r="FE485" s="569"/>
      <c r="FF485" s="569"/>
      <c r="FG485" s="569"/>
      <c r="FH485" s="569"/>
      <c r="FI485" s="569"/>
      <c r="FJ485" s="569"/>
      <c r="FK485" s="569"/>
      <c r="FL485" s="569"/>
      <c r="FM485" s="569"/>
      <c r="FN485" s="569"/>
      <c r="FO485" s="569"/>
      <c r="FP485" s="569"/>
      <c r="FQ485" s="569"/>
      <c r="FR485" s="569"/>
      <c r="FS485" s="569"/>
      <c r="FT485" s="569"/>
      <c r="FU485" s="569"/>
      <c r="FV485" s="569"/>
      <c r="FW485" s="569"/>
      <c r="FX485" s="569"/>
      <c r="FY485" s="569"/>
      <c r="FZ485" s="569"/>
      <c r="GA485" s="569"/>
      <c r="GB485" s="569"/>
      <c r="GC485" s="569"/>
      <c r="GD485" s="569"/>
      <c r="GE485" s="569"/>
      <c r="GF485" s="569"/>
      <c r="GG485" s="569"/>
      <c r="GH485" s="569"/>
      <c r="GI485" s="569"/>
      <c r="GJ485" s="569"/>
      <c r="GK485" s="569"/>
      <c r="GL485" s="569"/>
      <c r="GM485" s="569"/>
      <c r="GN485" s="569"/>
      <c r="GO485" s="569"/>
      <c r="GP485" s="569"/>
      <c r="GQ485" s="569"/>
      <c r="GR485" s="569"/>
      <c r="GS485" s="569"/>
      <c r="GT485" s="569"/>
      <c r="GU485" s="569"/>
      <c r="GV485" s="569"/>
      <c r="GW485" s="569"/>
      <c r="GX485" s="569"/>
      <c r="GY485" s="569"/>
      <c r="GZ485" s="569"/>
      <c r="HA485" s="569"/>
      <c r="HB485" s="569"/>
      <c r="HC485" s="569"/>
      <c r="HD485" s="569"/>
      <c r="HE485" s="569"/>
      <c r="HF485" s="569"/>
      <c r="HG485" s="569"/>
      <c r="HH485" s="569"/>
      <c r="HI485" s="569"/>
      <c r="HJ485" s="569"/>
      <c r="HK485" s="569"/>
      <c r="HL485" s="569"/>
      <c r="HM485" s="569"/>
      <c r="HN485" s="569"/>
      <c r="HO485" s="569"/>
      <c r="HP485" s="569"/>
      <c r="HQ485" s="569"/>
      <c r="HR485" s="569"/>
      <c r="HS485" s="569"/>
      <c r="HT485" s="569"/>
      <c r="HU485" s="569"/>
      <c r="HV485" s="569"/>
      <c r="HW485" s="569"/>
      <c r="HX485" s="569"/>
      <c r="HY485" s="569"/>
      <c r="HZ485" s="569"/>
      <c r="IA485" s="569"/>
      <c r="IB485" s="569"/>
      <c r="IC485" s="569"/>
      <c r="ID485" s="569"/>
      <c r="IE485" s="569"/>
      <c r="IF485" s="569"/>
      <c r="IG485" s="569"/>
      <c r="IH485" s="569"/>
      <c r="II485" s="569"/>
      <c r="IJ485" s="569"/>
      <c r="IK485" s="569"/>
      <c r="IL485" s="569"/>
      <c r="IM485" s="569"/>
      <c r="IN485" s="569"/>
      <c r="IO485" s="569"/>
      <c r="IP485" s="569"/>
      <c r="IQ485" s="569"/>
      <c r="IR485" s="569"/>
      <c r="IS485" s="569"/>
      <c r="IT485" s="569"/>
      <c r="IU485" s="569"/>
      <c r="IV485" s="569"/>
      <c r="IW485" s="569"/>
      <c r="IX485" s="569"/>
      <c r="IY485" s="569"/>
      <c r="IZ485" s="569"/>
      <c r="JA485" s="569"/>
      <c r="JB485" s="569"/>
      <c r="JC485" s="569"/>
      <c r="JD485" s="569"/>
      <c r="JE485" s="569"/>
      <c r="JF485" s="569"/>
      <c r="JG485" s="569"/>
      <c r="JH485" s="569"/>
      <c r="JI485" s="569"/>
      <c r="JJ485" s="569"/>
      <c r="JK485" s="569"/>
      <c r="JL485" s="569"/>
      <c r="JM485" s="569"/>
      <c r="JN485" s="569"/>
      <c r="JO485" s="569"/>
      <c r="JP485" s="569"/>
      <c r="JQ485" s="569"/>
      <c r="JR485" s="569"/>
      <c r="JS485" s="569"/>
      <c r="JT485" s="569"/>
      <c r="JU485" s="569"/>
      <c r="JV485" s="569"/>
      <c r="JW485" s="569"/>
      <c r="JX485" s="569"/>
      <c r="JY485" s="569"/>
      <c r="JZ485" s="569"/>
      <c r="KA485" s="569"/>
      <c r="KB485" s="569"/>
      <c r="KC485" s="569"/>
      <c r="KD485" s="569"/>
      <c r="KE485" s="569"/>
      <c r="KF485" s="569"/>
      <c r="KG485" s="569"/>
      <c r="KH485" s="569"/>
      <c r="KI485" s="569"/>
      <c r="KJ485" s="569"/>
      <c r="KK485" s="569"/>
      <c r="KL485" s="569"/>
      <c r="KM485" s="569"/>
      <c r="KN485" s="569"/>
      <c r="KO485" s="569"/>
      <c r="KP485" s="569"/>
      <c r="KQ485" s="569"/>
      <c r="KR485" s="569"/>
      <c r="KS485" s="569"/>
      <c r="KT485" s="569"/>
      <c r="KU485" s="569"/>
      <c r="KV485" s="569"/>
      <c r="KW485" s="569"/>
      <c r="KX485" s="569"/>
      <c r="KY485" s="569"/>
      <c r="KZ485" s="569"/>
      <c r="LA485" s="569"/>
      <c r="LB485" s="569"/>
      <c r="LC485" s="569"/>
      <c r="LD485" s="569"/>
      <c r="LE485" s="569"/>
      <c r="LF485" s="569"/>
      <c r="LG485" s="569"/>
      <c r="LH485" s="569"/>
      <c r="LI485" s="569"/>
      <c r="LJ485" s="569"/>
      <c r="LK485" s="569"/>
      <c r="LL485" s="569"/>
      <c r="LM485" s="569"/>
      <c r="LN485" s="569"/>
      <c r="LO485" s="569"/>
      <c r="LP485" s="569"/>
      <c r="LQ485" s="569"/>
      <c r="LR485" s="569"/>
      <c r="LS485" s="569"/>
      <c r="LT485" s="569"/>
      <c r="LU485" s="569"/>
      <c r="LV485" s="569"/>
      <c r="LW485" s="569"/>
      <c r="LX485" s="569"/>
      <c r="LY485" s="569"/>
      <c r="LZ485" s="569"/>
      <c r="MA485" s="569"/>
      <c r="MB485" s="569"/>
      <c r="MC485" s="569"/>
      <c r="MD485" s="569"/>
      <c r="ME485" s="569"/>
      <c r="MF485" s="569"/>
      <c r="MG485" s="569"/>
      <c r="MH485" s="569"/>
      <c r="MI485" s="569"/>
      <c r="MJ485" s="569"/>
      <c r="MK485" s="569"/>
      <c r="ML485" s="569"/>
      <c r="MM485" s="569"/>
      <c r="MN485" s="569"/>
      <c r="MO485" s="569"/>
      <c r="MP485" s="569"/>
      <c r="MQ485" s="569"/>
      <c r="MR485" s="569"/>
      <c r="MS485" s="569"/>
      <c r="MT485" s="569"/>
      <c r="MU485" s="569"/>
      <c r="MV485" s="569"/>
      <c r="MW485" s="569"/>
      <c r="MX485" s="569"/>
      <c r="MY485" s="569"/>
      <c r="MZ485" s="569"/>
      <c r="NA485" s="569"/>
      <c r="NB485" s="569"/>
      <c r="NC485" s="569"/>
      <c r="ND485" s="569"/>
      <c r="NE485" s="569"/>
      <c r="NF485" s="569"/>
      <c r="NG485" s="569"/>
      <c r="NH485" s="569"/>
      <c r="NI485" s="569"/>
      <c r="NJ485" s="569"/>
      <c r="NK485" s="569"/>
      <c r="NL485" s="569"/>
      <c r="NM485" s="569"/>
      <c r="NN485" s="569"/>
      <c r="NO485" s="569"/>
      <c r="NP485" s="569"/>
      <c r="NQ485" s="569"/>
      <c r="NR485" s="569"/>
      <c r="NS485" s="569"/>
      <c r="NT485" s="569"/>
      <c r="NU485" s="569"/>
      <c r="NV485" s="569"/>
      <c r="NW485" s="569"/>
      <c r="NX485" s="569"/>
      <c r="NY485" s="569"/>
      <c r="NZ485" s="569"/>
      <c r="OA485" s="569"/>
      <c r="OB485" s="569"/>
      <c r="OC485" s="569"/>
      <c r="OD485" s="569"/>
      <c r="OE485" s="569"/>
      <c r="OF485" s="569"/>
      <c r="OG485" s="569"/>
      <c r="OH485" s="569"/>
      <c r="OI485" s="569"/>
      <c r="OJ485" s="569"/>
      <c r="OK485" s="569"/>
      <c r="OL485" s="569"/>
      <c r="OM485" s="569"/>
      <c r="ON485" s="569"/>
      <c r="OO485" s="569"/>
      <c r="OP485" s="569"/>
      <c r="OQ485" s="569"/>
      <c r="OR485" s="569"/>
      <c r="OS485" s="569"/>
      <c r="OT485" s="569"/>
      <c r="OU485" s="569"/>
      <c r="OV485" s="569"/>
      <c r="OW485" s="569"/>
      <c r="OX485" s="569"/>
      <c r="OY485" s="569"/>
      <c r="OZ485" s="569"/>
      <c r="PA485" s="569"/>
      <c r="PB485" s="569"/>
      <c r="PC485" s="569"/>
      <c r="PD485" s="569"/>
      <c r="PE485" s="569"/>
      <c r="PF485" s="569"/>
      <c r="PG485" s="569"/>
      <c r="PH485" s="569"/>
      <c r="PI485" s="569"/>
      <c r="PJ485" s="569"/>
      <c r="PK485" s="569"/>
      <c r="PL485" s="569"/>
      <c r="PM485" s="569"/>
      <c r="PN485" s="569"/>
      <c r="PO485" s="569"/>
      <c r="PP485" s="569"/>
      <c r="PQ485" s="569"/>
      <c r="PR485" s="569"/>
      <c r="PS485" s="569"/>
      <c r="PT485" s="569"/>
      <c r="PU485" s="569"/>
      <c r="PV485" s="569"/>
      <c r="PW485" s="569"/>
      <c r="PX485" s="569"/>
      <c r="PY485" s="569"/>
      <c r="PZ485" s="569"/>
      <c r="QA485" s="569"/>
      <c r="QB485" s="569"/>
      <c r="QC485" s="569"/>
      <c r="QD485" s="569"/>
      <c r="QE485" s="569"/>
      <c r="QF485" s="569"/>
      <c r="QG485" s="569"/>
      <c r="QH485" s="569"/>
      <c r="QI485" s="569"/>
      <c r="QJ485" s="569"/>
      <c r="QK485" s="569"/>
      <c r="QL485" s="569"/>
    </row>
    <row r="486" spans="1:454" ht="45">
      <c r="D486" s="568"/>
      <c r="E486" s="568"/>
      <c r="F486" s="568"/>
      <c r="G486" s="568"/>
      <c r="H486" s="563" t="str">
        <f>'matrik MISI 6'!N24</f>
        <v>Persentase Pejabat Struktural yang Mengikuti Diklat Kepemimpinan</v>
      </c>
      <c r="I486" s="563" t="str">
        <f>'matrik MISI 6'!O24</f>
        <v>%</v>
      </c>
      <c r="J486" s="563">
        <f>'matrik MISI 6'!P24</f>
        <v>50</v>
      </c>
      <c r="K486" s="563">
        <f>'matrik MISI 6'!Q24</f>
        <v>39</v>
      </c>
      <c r="L486" s="563">
        <f>'matrik MISI 6'!R24</f>
        <v>37</v>
      </c>
      <c r="M486" s="604"/>
      <c r="N486" s="563">
        <f>'matrik MISI 6'!S24</f>
        <v>37</v>
      </c>
      <c r="O486" s="564"/>
      <c r="P486" s="563">
        <f>'matrik MISI 6'!T24</f>
        <v>36</v>
      </c>
      <c r="Q486" s="564"/>
      <c r="R486" s="563">
        <f>'matrik MISI 6'!U24</f>
        <v>35</v>
      </c>
      <c r="S486" s="564"/>
      <c r="T486" s="563">
        <f>'matrik MISI 6'!V24</f>
        <v>34</v>
      </c>
      <c r="U486" s="564"/>
      <c r="V486" s="563">
        <f>'matrik MISI 6'!W24</f>
        <v>34</v>
      </c>
      <c r="W486" s="564"/>
      <c r="X486" s="563" t="str">
        <f>'matrik MISI 6'!X24</f>
        <v>Badan Kepegawaian Daerah (BKD)</v>
      </c>
      <c r="Y486" s="563" t="str">
        <f>'matrik MISI 6'!Y24</f>
        <v>Jumlah Pejabat Struktural yang Mengikuti Diklat Kepemimpinan dibagi Jumlah Pejabat Struktural x 100</v>
      </c>
      <c r="Z486" s="563">
        <f>'matrik MISI 6'!Z24</f>
        <v>0</v>
      </c>
    </row>
    <row r="487" spans="1:454" s="574" customFormat="1" ht="31.5" customHeight="1">
      <c r="A487" s="569"/>
      <c r="B487" s="575"/>
      <c r="C487" s="576"/>
      <c r="D487" s="577" t="str">
        <f>'matrik MISI 6'!J25</f>
        <v>1.20</v>
      </c>
      <c r="E487" s="577" t="str">
        <f>'matrik MISI 6'!K25</f>
        <v>xx</v>
      </c>
      <c r="F487" s="577">
        <f>'matrik MISI 6'!L25</f>
        <v>34</v>
      </c>
      <c r="G487" s="577" t="str">
        <f>'matrik MISI 6'!M25</f>
        <v>Program Pembinaan dan Pengembangan Aparatur</v>
      </c>
      <c r="H487" s="577"/>
      <c r="I487" s="577"/>
      <c r="J487" s="577"/>
      <c r="K487" s="577"/>
      <c r="L487" s="577"/>
      <c r="M487" s="578"/>
      <c r="N487" s="577"/>
      <c r="O487" s="577"/>
      <c r="P487" s="577"/>
      <c r="Q487" s="577"/>
      <c r="R487" s="577"/>
      <c r="S487" s="577"/>
      <c r="T487" s="577"/>
      <c r="U487" s="577"/>
      <c r="V487" s="577"/>
      <c r="W487" s="577"/>
      <c r="X487" s="577"/>
      <c r="Y487" s="577"/>
      <c r="Z487" s="577"/>
      <c r="AA487" s="569"/>
      <c r="AB487" s="569"/>
      <c r="AC487" s="569"/>
      <c r="AD487" s="569"/>
      <c r="AE487" s="569"/>
      <c r="AF487" s="569"/>
      <c r="AG487" s="569"/>
      <c r="AH487" s="569"/>
      <c r="AI487" s="569"/>
      <c r="AJ487" s="569"/>
      <c r="AK487" s="569"/>
      <c r="AL487" s="569"/>
      <c r="AM487" s="569"/>
      <c r="AN487" s="569"/>
      <c r="AO487" s="569"/>
      <c r="AP487" s="569"/>
      <c r="AQ487" s="569"/>
      <c r="AR487" s="569"/>
      <c r="AS487" s="569"/>
      <c r="AT487" s="569"/>
      <c r="AU487" s="569"/>
      <c r="AV487" s="569"/>
      <c r="AW487" s="569"/>
      <c r="AX487" s="569"/>
      <c r="AY487" s="569"/>
      <c r="AZ487" s="569"/>
      <c r="BA487" s="569"/>
      <c r="BB487" s="569"/>
      <c r="BC487" s="569"/>
      <c r="BD487" s="569"/>
      <c r="BE487" s="569"/>
      <c r="BF487" s="569"/>
      <c r="BG487" s="569"/>
      <c r="BH487" s="569"/>
      <c r="BI487" s="569"/>
      <c r="BJ487" s="569"/>
      <c r="BK487" s="569"/>
      <c r="BL487" s="569"/>
      <c r="BM487" s="569"/>
      <c r="BN487" s="569"/>
      <c r="BO487" s="569"/>
      <c r="BP487" s="569"/>
      <c r="BQ487" s="569"/>
      <c r="BR487" s="569"/>
      <c r="BS487" s="569"/>
      <c r="BT487" s="569"/>
      <c r="BU487" s="569"/>
      <c r="BV487" s="569"/>
      <c r="BW487" s="569"/>
      <c r="BX487" s="569"/>
      <c r="BY487" s="569"/>
      <c r="BZ487" s="569"/>
      <c r="CA487" s="569"/>
      <c r="CB487" s="569"/>
      <c r="CC487" s="569"/>
      <c r="CD487" s="569"/>
      <c r="CE487" s="569"/>
      <c r="CF487" s="569"/>
      <c r="CG487" s="569"/>
      <c r="CH487" s="569"/>
      <c r="CI487" s="569"/>
      <c r="CJ487" s="569"/>
      <c r="CK487" s="569"/>
      <c r="CL487" s="569"/>
      <c r="CM487" s="569"/>
      <c r="CN487" s="569"/>
      <c r="CO487" s="569"/>
      <c r="CP487" s="569"/>
      <c r="CQ487" s="569"/>
      <c r="CR487" s="569"/>
      <c r="CS487" s="569"/>
      <c r="CT487" s="569"/>
      <c r="CU487" s="569"/>
      <c r="CV487" s="569"/>
      <c r="CW487" s="569"/>
      <c r="CX487" s="569"/>
      <c r="CY487" s="569"/>
      <c r="CZ487" s="569"/>
      <c r="DA487" s="569"/>
      <c r="DB487" s="569"/>
      <c r="DC487" s="569"/>
      <c r="DD487" s="569"/>
      <c r="DE487" s="569"/>
      <c r="DF487" s="569"/>
      <c r="DG487" s="569"/>
      <c r="DH487" s="569"/>
      <c r="DI487" s="569"/>
      <c r="DJ487" s="569"/>
      <c r="DK487" s="569"/>
      <c r="DL487" s="569"/>
      <c r="DM487" s="569"/>
      <c r="DN487" s="569"/>
      <c r="DO487" s="569"/>
      <c r="DP487" s="569"/>
      <c r="DQ487" s="569"/>
      <c r="DR487" s="569"/>
      <c r="DS487" s="569"/>
      <c r="DT487" s="569"/>
      <c r="DU487" s="569"/>
      <c r="DV487" s="569"/>
      <c r="DW487" s="569"/>
      <c r="DX487" s="569"/>
      <c r="DY487" s="569"/>
      <c r="DZ487" s="569"/>
      <c r="EA487" s="569"/>
      <c r="EB487" s="569"/>
      <c r="EC487" s="569"/>
      <c r="ED487" s="569"/>
      <c r="EE487" s="569"/>
      <c r="EF487" s="569"/>
      <c r="EG487" s="569"/>
      <c r="EH487" s="569"/>
      <c r="EI487" s="569"/>
      <c r="EJ487" s="569"/>
      <c r="EK487" s="569"/>
      <c r="EL487" s="569"/>
      <c r="EM487" s="569"/>
      <c r="EN487" s="569"/>
      <c r="EO487" s="569"/>
      <c r="EP487" s="569"/>
      <c r="EQ487" s="569"/>
      <c r="ER487" s="569"/>
      <c r="ES487" s="569"/>
      <c r="ET487" s="569"/>
      <c r="EU487" s="569"/>
      <c r="EV487" s="569"/>
      <c r="EW487" s="569"/>
      <c r="EX487" s="569"/>
      <c r="EY487" s="569"/>
      <c r="EZ487" s="569"/>
      <c r="FA487" s="569"/>
      <c r="FB487" s="569"/>
      <c r="FC487" s="569"/>
      <c r="FD487" s="569"/>
      <c r="FE487" s="569"/>
      <c r="FF487" s="569"/>
      <c r="FG487" s="569"/>
      <c r="FH487" s="569"/>
      <c r="FI487" s="569"/>
      <c r="FJ487" s="569"/>
      <c r="FK487" s="569"/>
      <c r="FL487" s="569"/>
      <c r="FM487" s="569"/>
      <c r="FN487" s="569"/>
      <c r="FO487" s="569"/>
      <c r="FP487" s="569"/>
      <c r="FQ487" s="569"/>
      <c r="FR487" s="569"/>
      <c r="FS487" s="569"/>
      <c r="FT487" s="569"/>
      <c r="FU487" s="569"/>
      <c r="FV487" s="569"/>
      <c r="FW487" s="569"/>
      <c r="FX487" s="569"/>
      <c r="FY487" s="569"/>
      <c r="FZ487" s="569"/>
      <c r="GA487" s="569"/>
      <c r="GB487" s="569"/>
      <c r="GC487" s="569"/>
      <c r="GD487" s="569"/>
      <c r="GE487" s="569"/>
      <c r="GF487" s="569"/>
      <c r="GG487" s="569"/>
      <c r="GH487" s="569"/>
      <c r="GI487" s="569"/>
      <c r="GJ487" s="569"/>
      <c r="GK487" s="569"/>
      <c r="GL487" s="569"/>
      <c r="GM487" s="569"/>
      <c r="GN487" s="569"/>
      <c r="GO487" s="569"/>
      <c r="GP487" s="569"/>
      <c r="GQ487" s="569"/>
      <c r="GR487" s="569"/>
      <c r="GS487" s="569"/>
      <c r="GT487" s="569"/>
      <c r="GU487" s="569"/>
      <c r="GV487" s="569"/>
      <c r="GW487" s="569"/>
      <c r="GX487" s="569"/>
      <c r="GY487" s="569"/>
      <c r="GZ487" s="569"/>
      <c r="HA487" s="569"/>
      <c r="HB487" s="569"/>
      <c r="HC487" s="569"/>
      <c r="HD487" s="569"/>
      <c r="HE487" s="569"/>
      <c r="HF487" s="569"/>
      <c r="HG487" s="569"/>
      <c r="HH487" s="569"/>
      <c r="HI487" s="569"/>
      <c r="HJ487" s="569"/>
      <c r="HK487" s="569"/>
      <c r="HL487" s="569"/>
      <c r="HM487" s="569"/>
      <c r="HN487" s="569"/>
      <c r="HO487" s="569"/>
      <c r="HP487" s="569"/>
      <c r="HQ487" s="569"/>
      <c r="HR487" s="569"/>
      <c r="HS487" s="569"/>
      <c r="HT487" s="569"/>
      <c r="HU487" s="569"/>
      <c r="HV487" s="569"/>
      <c r="HW487" s="569"/>
      <c r="HX487" s="569"/>
      <c r="HY487" s="569"/>
      <c r="HZ487" s="569"/>
      <c r="IA487" s="569"/>
      <c r="IB487" s="569"/>
      <c r="IC487" s="569"/>
      <c r="ID487" s="569"/>
      <c r="IE487" s="569"/>
      <c r="IF487" s="569"/>
      <c r="IG487" s="569"/>
      <c r="IH487" s="569"/>
      <c r="II487" s="569"/>
      <c r="IJ487" s="569"/>
      <c r="IK487" s="569"/>
      <c r="IL487" s="569"/>
      <c r="IM487" s="569"/>
      <c r="IN487" s="569"/>
      <c r="IO487" s="569"/>
      <c r="IP487" s="569"/>
      <c r="IQ487" s="569"/>
      <c r="IR487" s="569"/>
      <c r="IS487" s="569"/>
      <c r="IT487" s="569"/>
      <c r="IU487" s="569"/>
      <c r="IV487" s="569"/>
      <c r="IW487" s="569"/>
      <c r="IX487" s="569"/>
      <c r="IY487" s="569"/>
      <c r="IZ487" s="569"/>
      <c r="JA487" s="569"/>
      <c r="JB487" s="569"/>
      <c r="JC487" s="569"/>
      <c r="JD487" s="569"/>
      <c r="JE487" s="569"/>
      <c r="JF487" s="569"/>
      <c r="JG487" s="569"/>
      <c r="JH487" s="569"/>
      <c r="JI487" s="569"/>
      <c r="JJ487" s="569"/>
      <c r="JK487" s="569"/>
      <c r="JL487" s="569"/>
      <c r="JM487" s="569"/>
      <c r="JN487" s="569"/>
      <c r="JO487" s="569"/>
      <c r="JP487" s="569"/>
      <c r="JQ487" s="569"/>
      <c r="JR487" s="569"/>
      <c r="JS487" s="569"/>
      <c r="JT487" s="569"/>
      <c r="JU487" s="569"/>
      <c r="JV487" s="569"/>
      <c r="JW487" s="569"/>
      <c r="JX487" s="569"/>
      <c r="JY487" s="569"/>
      <c r="JZ487" s="569"/>
      <c r="KA487" s="569"/>
      <c r="KB487" s="569"/>
      <c r="KC487" s="569"/>
      <c r="KD487" s="569"/>
      <c r="KE487" s="569"/>
      <c r="KF487" s="569"/>
      <c r="KG487" s="569"/>
      <c r="KH487" s="569"/>
      <c r="KI487" s="569"/>
      <c r="KJ487" s="569"/>
      <c r="KK487" s="569"/>
      <c r="KL487" s="569"/>
      <c r="KM487" s="569"/>
      <c r="KN487" s="569"/>
      <c r="KO487" s="569"/>
      <c r="KP487" s="569"/>
      <c r="KQ487" s="569"/>
      <c r="KR487" s="569"/>
      <c r="KS487" s="569"/>
      <c r="KT487" s="569"/>
      <c r="KU487" s="569"/>
      <c r="KV487" s="569"/>
      <c r="KW487" s="569"/>
      <c r="KX487" s="569"/>
      <c r="KY487" s="569"/>
      <c r="KZ487" s="569"/>
      <c r="LA487" s="569"/>
      <c r="LB487" s="569"/>
      <c r="LC487" s="569"/>
      <c r="LD487" s="569"/>
      <c r="LE487" s="569"/>
      <c r="LF487" s="569"/>
      <c r="LG487" s="569"/>
      <c r="LH487" s="569"/>
      <c r="LI487" s="569"/>
      <c r="LJ487" s="569"/>
      <c r="LK487" s="569"/>
      <c r="LL487" s="569"/>
      <c r="LM487" s="569"/>
      <c r="LN487" s="569"/>
      <c r="LO487" s="569"/>
      <c r="LP487" s="569"/>
      <c r="LQ487" s="569"/>
      <c r="LR487" s="569"/>
      <c r="LS487" s="569"/>
      <c r="LT487" s="569"/>
      <c r="LU487" s="569"/>
      <c r="LV487" s="569"/>
      <c r="LW487" s="569"/>
      <c r="LX487" s="569"/>
      <c r="LY487" s="569"/>
      <c r="LZ487" s="569"/>
      <c r="MA487" s="569"/>
      <c r="MB487" s="569"/>
      <c r="MC487" s="569"/>
      <c r="MD487" s="569"/>
      <c r="ME487" s="569"/>
      <c r="MF487" s="569"/>
      <c r="MG487" s="569"/>
      <c r="MH487" s="569"/>
      <c r="MI487" s="569"/>
      <c r="MJ487" s="569"/>
      <c r="MK487" s="569"/>
      <c r="ML487" s="569"/>
      <c r="MM487" s="569"/>
      <c r="MN487" s="569"/>
      <c r="MO487" s="569"/>
      <c r="MP487" s="569"/>
      <c r="MQ487" s="569"/>
      <c r="MR487" s="569"/>
      <c r="MS487" s="569"/>
      <c r="MT487" s="569"/>
      <c r="MU487" s="569"/>
      <c r="MV487" s="569"/>
      <c r="MW487" s="569"/>
      <c r="MX487" s="569"/>
      <c r="MY487" s="569"/>
      <c r="MZ487" s="569"/>
      <c r="NA487" s="569"/>
      <c r="NB487" s="569"/>
      <c r="NC487" s="569"/>
      <c r="ND487" s="569"/>
      <c r="NE487" s="569"/>
      <c r="NF487" s="569"/>
      <c r="NG487" s="569"/>
      <c r="NH487" s="569"/>
      <c r="NI487" s="569"/>
      <c r="NJ487" s="569"/>
      <c r="NK487" s="569"/>
      <c r="NL487" s="569"/>
      <c r="NM487" s="569"/>
      <c r="NN487" s="569"/>
      <c r="NO487" s="569"/>
      <c r="NP487" s="569"/>
      <c r="NQ487" s="569"/>
      <c r="NR487" s="569"/>
      <c r="NS487" s="569"/>
      <c r="NT487" s="569"/>
      <c r="NU487" s="569"/>
      <c r="NV487" s="569"/>
      <c r="NW487" s="569"/>
      <c r="NX487" s="569"/>
      <c r="NY487" s="569"/>
      <c r="NZ487" s="569"/>
      <c r="OA487" s="569"/>
      <c r="OB487" s="569"/>
      <c r="OC487" s="569"/>
      <c r="OD487" s="569"/>
      <c r="OE487" s="569"/>
      <c r="OF487" s="569"/>
      <c r="OG487" s="569"/>
      <c r="OH487" s="569"/>
      <c r="OI487" s="569"/>
      <c r="OJ487" s="569"/>
      <c r="OK487" s="569"/>
      <c r="OL487" s="569"/>
      <c r="OM487" s="569"/>
      <c r="ON487" s="569"/>
      <c r="OO487" s="569"/>
      <c r="OP487" s="569"/>
      <c r="OQ487" s="569"/>
      <c r="OR487" s="569"/>
      <c r="OS487" s="569"/>
      <c r="OT487" s="569"/>
      <c r="OU487" s="569"/>
      <c r="OV487" s="569"/>
      <c r="OW487" s="569"/>
      <c r="OX487" s="569"/>
      <c r="OY487" s="569"/>
      <c r="OZ487" s="569"/>
      <c r="PA487" s="569"/>
      <c r="PB487" s="569"/>
      <c r="PC487" s="569"/>
      <c r="PD487" s="569"/>
      <c r="PE487" s="569"/>
      <c r="PF487" s="569"/>
      <c r="PG487" s="569"/>
      <c r="PH487" s="569"/>
      <c r="PI487" s="569"/>
      <c r="PJ487" s="569"/>
      <c r="PK487" s="569"/>
      <c r="PL487" s="569"/>
      <c r="PM487" s="569"/>
      <c r="PN487" s="569"/>
      <c r="PO487" s="569"/>
      <c r="PP487" s="569"/>
      <c r="PQ487" s="569"/>
      <c r="PR487" s="569"/>
      <c r="PS487" s="569"/>
      <c r="PT487" s="569"/>
      <c r="PU487" s="569"/>
      <c r="PV487" s="569"/>
      <c r="PW487" s="569"/>
      <c r="PX487" s="569"/>
      <c r="PY487" s="569"/>
      <c r="PZ487" s="569"/>
      <c r="QA487" s="569"/>
      <c r="QB487" s="569"/>
      <c r="QC487" s="569"/>
      <c r="QD487" s="569"/>
      <c r="QE487" s="569"/>
      <c r="QF487" s="569"/>
      <c r="QG487" s="569"/>
      <c r="QH487" s="569"/>
      <c r="QI487" s="569"/>
      <c r="QJ487" s="569"/>
      <c r="QK487" s="569"/>
      <c r="QL487" s="569"/>
    </row>
    <row r="488" spans="1:454" ht="30">
      <c r="D488" s="568"/>
      <c r="E488" s="568"/>
      <c r="F488" s="568"/>
      <c r="G488" s="568"/>
      <c r="H488" s="563" t="str">
        <f>'matrik MISI 6'!N25</f>
        <v>Persentase Penanganan Pelanggaran Disiplin PNS</v>
      </c>
      <c r="I488" s="563" t="str">
        <f>'matrik MISI 6'!O25</f>
        <v>%</v>
      </c>
      <c r="J488" s="563">
        <f>'matrik MISI 6'!P25</f>
        <v>79.411764705882348</v>
      </c>
      <c r="K488" s="563">
        <f>'matrik MISI 6'!Q25</f>
        <v>84.615384615384613</v>
      </c>
      <c r="L488" s="563">
        <f>'matrik MISI 6'!R25</f>
        <v>87</v>
      </c>
      <c r="M488" s="604"/>
      <c r="N488" s="563">
        <f>'matrik MISI 6'!S25</f>
        <v>89</v>
      </c>
      <c r="O488" s="564"/>
      <c r="P488" s="563">
        <f>'matrik MISI 6'!T25</f>
        <v>91</v>
      </c>
      <c r="Q488" s="564"/>
      <c r="R488" s="563">
        <f>'matrik MISI 6'!U25</f>
        <v>93</v>
      </c>
      <c r="S488" s="564"/>
      <c r="T488" s="563">
        <f>'matrik MISI 6'!V25</f>
        <v>95</v>
      </c>
      <c r="U488" s="564"/>
      <c r="V488" s="563">
        <f>'matrik MISI 6'!W25</f>
        <v>95</v>
      </c>
      <c r="W488" s="564"/>
      <c r="X488" s="563" t="str">
        <f>'matrik MISI 6'!X25</f>
        <v>Badan Kepegawaian Daerah (BKD)</v>
      </c>
      <c r="Y488" s="563" t="str">
        <f>'matrik MISI 6'!Y25</f>
        <v>Jumlah SK Hukuman Disiplin PNS dibagi Jumlah Kasus Pelanggaran Disiplin PNS yang masuk  x100</v>
      </c>
      <c r="Z488" s="563">
        <f>'matrik MISI 6'!Z25</f>
        <v>0</v>
      </c>
    </row>
    <row r="489" spans="1:454" ht="30">
      <c r="G489" s="563"/>
      <c r="H489" s="563" t="str">
        <f>'matrik MISI 6'!N26</f>
        <v>Persentase Pengisian Jabatan Struktural PNS yang Kosong</v>
      </c>
      <c r="I489" s="563" t="str">
        <f>'matrik MISI 6'!O26</f>
        <v>%</v>
      </c>
      <c r="J489" s="563">
        <f>'matrik MISI 6'!P26</f>
        <v>81</v>
      </c>
      <c r="K489" s="563">
        <f>'matrik MISI 6'!Q26</f>
        <v>85</v>
      </c>
      <c r="L489" s="563">
        <f>'matrik MISI 6'!R26</f>
        <v>86</v>
      </c>
      <c r="M489" s="604"/>
      <c r="N489" s="563">
        <f>'matrik MISI 6'!S26</f>
        <v>86</v>
      </c>
      <c r="O489" s="564"/>
      <c r="P489" s="563">
        <f>'matrik MISI 6'!T26</f>
        <v>87</v>
      </c>
      <c r="Q489" s="564"/>
      <c r="R489" s="563">
        <f>'matrik MISI 6'!U26</f>
        <v>87</v>
      </c>
      <c r="S489" s="564"/>
      <c r="T489" s="563">
        <f>'matrik MISI 6'!V26</f>
        <v>90</v>
      </c>
      <c r="U489" s="564"/>
      <c r="V489" s="563">
        <f>'matrik MISI 6'!W26</f>
        <v>90</v>
      </c>
      <c r="W489" s="564"/>
      <c r="X489" s="563" t="str">
        <f>'matrik MISI 6'!X26</f>
        <v>Badan Kepegawaian Daerah (BKD)</v>
      </c>
      <c r="Y489" s="563" t="str">
        <f>'matrik MISI 6'!Y26</f>
        <v>Jumlah Jabatan Struktural yang terisi dibagi Jumlah Jabatan Struktural x100</v>
      </c>
      <c r="Z489" s="563" t="str">
        <f>'matrik MISI 6'!Z26</f>
        <v>Jabatan struktural di lingkungan Pemerintah Kabupaten Temanggung</v>
      </c>
    </row>
    <row r="490" spans="1:454" ht="30">
      <c r="G490" s="563"/>
      <c r="H490" s="563" t="str">
        <f>'matrik MISI 6'!N27</f>
        <v>persentase PNS Lulusan S1</v>
      </c>
      <c r="I490" s="563" t="str">
        <f>'matrik MISI 6'!O27</f>
        <v>%</v>
      </c>
      <c r="J490" s="563">
        <f>'matrik MISI 6'!P27</f>
        <v>40</v>
      </c>
      <c r="K490" s="563">
        <f>'matrik MISI 6'!Q27</f>
        <v>42</v>
      </c>
      <c r="L490" s="563">
        <f>'matrik MISI 6'!R27</f>
        <v>46</v>
      </c>
      <c r="M490" s="604"/>
      <c r="N490" s="563">
        <f>'matrik MISI 6'!S27</f>
        <v>49</v>
      </c>
      <c r="O490" s="564"/>
      <c r="P490" s="563">
        <f>'matrik MISI 6'!T27</f>
        <v>52</v>
      </c>
      <c r="Q490" s="564"/>
      <c r="R490" s="563">
        <f>'matrik MISI 6'!U27</f>
        <v>55</v>
      </c>
      <c r="S490" s="564"/>
      <c r="T490" s="563">
        <f>'matrik MISI 6'!V27</f>
        <v>58</v>
      </c>
      <c r="U490" s="564"/>
      <c r="V490" s="563">
        <f>'matrik MISI 6'!W27</f>
        <v>58</v>
      </c>
      <c r="W490" s="564"/>
      <c r="X490" s="563" t="str">
        <f>'matrik MISI 6'!X27</f>
        <v>Badan Kepegawaian Daerah (BKD)</v>
      </c>
      <c r="Y490" s="563" t="str">
        <f>'matrik MISI 6'!Y27</f>
        <v>Jumlah PNS lulusan S1 dibagi Jumlah PNS X 100</v>
      </c>
      <c r="Z490" s="563" t="str">
        <f>'matrik MISI 6'!Z27</f>
        <v>Tanda lulus dibuktikan dengan ijazah</v>
      </c>
    </row>
    <row r="491" spans="1:454" ht="30">
      <c r="G491" s="563"/>
      <c r="H491" s="563" t="str">
        <f>'matrik MISI 6'!N28</f>
        <v>Persentase PNS Lulusan S2/ S3</v>
      </c>
      <c r="I491" s="563" t="str">
        <f>'matrik MISI 6'!O28</f>
        <v>%</v>
      </c>
      <c r="J491" s="563">
        <f>'matrik MISI 6'!P28</f>
        <v>2.7</v>
      </c>
      <c r="K491" s="563">
        <f>'matrik MISI 6'!Q28</f>
        <v>3.4</v>
      </c>
      <c r="L491" s="563">
        <f>'matrik MISI 6'!R28</f>
        <v>3.7</v>
      </c>
      <c r="M491" s="604"/>
      <c r="N491" s="563">
        <f>'matrik MISI 6'!S28</f>
        <v>4.0999999999999996</v>
      </c>
      <c r="O491" s="564"/>
      <c r="P491" s="563">
        <f>'matrik MISI 6'!T28</f>
        <v>4.4000000000000004</v>
      </c>
      <c r="Q491" s="564"/>
      <c r="R491" s="563">
        <f>'matrik MISI 6'!U28</f>
        <v>4.8</v>
      </c>
      <c r="S491" s="564"/>
      <c r="T491" s="563">
        <f>'matrik MISI 6'!V28</f>
        <v>5.0999999999999996</v>
      </c>
      <c r="U491" s="564"/>
      <c r="V491" s="563">
        <f>'matrik MISI 6'!W28</f>
        <v>5.0999999999999996</v>
      </c>
      <c r="W491" s="564"/>
      <c r="X491" s="563" t="str">
        <f>'matrik MISI 6'!X28</f>
        <v>Badan Kepegawaian Daerah (BKD)</v>
      </c>
      <c r="Y491" s="563" t="str">
        <f>'matrik MISI 6'!Y28</f>
        <v>Jumlah PNS lulusan S2 dan S3 dibagi Jumlah PNS x 100</v>
      </c>
      <c r="Z491" s="563" t="str">
        <f>'matrik MISI 6'!Z28</f>
        <v>Tanda lulus dibuktikan dengan ijazah</v>
      </c>
    </row>
    <row r="492" spans="1:454" ht="30">
      <c r="G492" s="563"/>
      <c r="H492" s="563" t="str">
        <f>'matrik MISI 6'!N29</f>
        <v>Persentase Penyelesaian Usulan Kenaikan Pangkat Tepat Waktu</v>
      </c>
      <c r="I492" s="563" t="str">
        <f>'matrik MISI 6'!O29</f>
        <v>%</v>
      </c>
      <c r="J492" s="563">
        <f>'matrik MISI 6'!P29</f>
        <v>50</v>
      </c>
      <c r="K492" s="563">
        <f>'matrik MISI 6'!Q29</f>
        <v>50</v>
      </c>
      <c r="L492" s="563">
        <f>'matrik MISI 6'!R29</f>
        <v>51</v>
      </c>
      <c r="M492" s="604"/>
      <c r="N492" s="563">
        <f>'matrik MISI 6'!S29</f>
        <v>52</v>
      </c>
      <c r="O492" s="564"/>
      <c r="P492" s="563">
        <f>'matrik MISI 6'!T29</f>
        <v>53</v>
      </c>
      <c r="Q492" s="564"/>
      <c r="R492" s="563">
        <f>'matrik MISI 6'!U29</f>
        <v>54</v>
      </c>
      <c r="S492" s="564"/>
      <c r="T492" s="563">
        <f>'matrik MISI 6'!V29</f>
        <v>55</v>
      </c>
      <c r="U492" s="564"/>
      <c r="V492" s="563">
        <f>'matrik MISI 6'!W29</f>
        <v>55</v>
      </c>
      <c r="W492" s="564"/>
      <c r="X492" s="563" t="str">
        <f>'matrik MISI 6'!X29</f>
        <v>Badan Kepegawaian Daerah (BKD)</v>
      </c>
      <c r="Y492" s="563" t="str">
        <f>'matrik MISI 6'!Y29</f>
        <v>Jumlah Penyelesaian Usulan Kenaikan Pangkat Tepat Waktu dibagi Jumlah Usulan Kenaikan Pangkat</v>
      </c>
      <c r="Z492" s="563" t="str">
        <f>'matrik MISI 6'!Z29</f>
        <v>Tepat waktu penyerahan berkas usulan sebelum TMT kenaikan pangkat</v>
      </c>
    </row>
    <row r="493" spans="1:454" s="574" customFormat="1" ht="30">
      <c r="A493" s="569"/>
      <c r="B493" s="575"/>
      <c r="C493" s="576"/>
      <c r="D493" s="577" t="str">
        <f>'matrik MISI 6'!J30</f>
        <v>1.20</v>
      </c>
      <c r="E493" s="577" t="str">
        <f>'matrik MISI 6'!K30</f>
        <v>xx</v>
      </c>
      <c r="F493" s="577">
        <f>'matrik MISI 6'!L30</f>
        <v>35</v>
      </c>
      <c r="G493" s="577" t="str">
        <f>'matrik MISI 6'!M30</f>
        <v>Program Administrasi Kepegawaian</v>
      </c>
      <c r="H493" s="577"/>
      <c r="I493" s="577"/>
      <c r="J493" s="577"/>
      <c r="K493" s="577"/>
      <c r="L493" s="577"/>
      <c r="M493" s="578"/>
      <c r="N493" s="577"/>
      <c r="O493" s="577"/>
      <c r="P493" s="577"/>
      <c r="Q493" s="577"/>
      <c r="R493" s="577"/>
      <c r="S493" s="577"/>
      <c r="T493" s="577"/>
      <c r="U493" s="577"/>
      <c r="V493" s="577"/>
      <c r="W493" s="577"/>
      <c r="X493" s="577"/>
      <c r="Y493" s="577"/>
      <c r="Z493" s="577"/>
      <c r="AA493" s="569"/>
      <c r="AB493" s="569"/>
      <c r="AC493" s="569"/>
      <c r="AD493" s="569"/>
      <c r="AE493" s="569"/>
      <c r="AF493" s="569"/>
      <c r="AG493" s="569"/>
      <c r="AH493" s="569"/>
      <c r="AI493" s="569"/>
      <c r="AJ493" s="569"/>
      <c r="AK493" s="569"/>
      <c r="AL493" s="569"/>
      <c r="AM493" s="569"/>
      <c r="AN493" s="569"/>
      <c r="AO493" s="569"/>
      <c r="AP493" s="569"/>
      <c r="AQ493" s="569"/>
      <c r="AR493" s="569"/>
      <c r="AS493" s="569"/>
      <c r="AT493" s="569"/>
      <c r="AU493" s="569"/>
      <c r="AV493" s="569"/>
      <c r="AW493" s="569"/>
      <c r="AX493" s="569"/>
      <c r="AY493" s="569"/>
      <c r="AZ493" s="569"/>
      <c r="BA493" s="569"/>
      <c r="BB493" s="569"/>
      <c r="BC493" s="569"/>
      <c r="BD493" s="569"/>
      <c r="BE493" s="569"/>
      <c r="BF493" s="569"/>
      <c r="BG493" s="569"/>
      <c r="BH493" s="569"/>
      <c r="BI493" s="569"/>
      <c r="BJ493" s="569"/>
      <c r="BK493" s="569"/>
      <c r="BL493" s="569"/>
      <c r="BM493" s="569"/>
      <c r="BN493" s="569"/>
      <c r="BO493" s="569"/>
      <c r="BP493" s="569"/>
      <c r="BQ493" s="569"/>
      <c r="BR493" s="569"/>
      <c r="BS493" s="569"/>
      <c r="BT493" s="569"/>
      <c r="BU493" s="569"/>
      <c r="BV493" s="569"/>
      <c r="BW493" s="569"/>
      <c r="BX493" s="569"/>
      <c r="BY493" s="569"/>
      <c r="BZ493" s="569"/>
      <c r="CA493" s="569"/>
      <c r="CB493" s="569"/>
      <c r="CC493" s="569"/>
      <c r="CD493" s="569"/>
      <c r="CE493" s="569"/>
      <c r="CF493" s="569"/>
      <c r="CG493" s="569"/>
      <c r="CH493" s="569"/>
      <c r="CI493" s="569"/>
      <c r="CJ493" s="569"/>
      <c r="CK493" s="569"/>
      <c r="CL493" s="569"/>
      <c r="CM493" s="569"/>
      <c r="CN493" s="569"/>
      <c r="CO493" s="569"/>
      <c r="CP493" s="569"/>
      <c r="CQ493" s="569"/>
      <c r="CR493" s="569"/>
      <c r="CS493" s="569"/>
      <c r="CT493" s="569"/>
      <c r="CU493" s="569"/>
      <c r="CV493" s="569"/>
      <c r="CW493" s="569"/>
      <c r="CX493" s="569"/>
      <c r="CY493" s="569"/>
      <c r="CZ493" s="569"/>
      <c r="DA493" s="569"/>
      <c r="DB493" s="569"/>
      <c r="DC493" s="569"/>
      <c r="DD493" s="569"/>
      <c r="DE493" s="569"/>
      <c r="DF493" s="569"/>
      <c r="DG493" s="569"/>
      <c r="DH493" s="569"/>
      <c r="DI493" s="569"/>
      <c r="DJ493" s="569"/>
      <c r="DK493" s="569"/>
      <c r="DL493" s="569"/>
      <c r="DM493" s="569"/>
      <c r="DN493" s="569"/>
      <c r="DO493" s="569"/>
      <c r="DP493" s="569"/>
      <c r="DQ493" s="569"/>
      <c r="DR493" s="569"/>
      <c r="DS493" s="569"/>
      <c r="DT493" s="569"/>
      <c r="DU493" s="569"/>
      <c r="DV493" s="569"/>
      <c r="DW493" s="569"/>
      <c r="DX493" s="569"/>
      <c r="DY493" s="569"/>
      <c r="DZ493" s="569"/>
      <c r="EA493" s="569"/>
      <c r="EB493" s="569"/>
      <c r="EC493" s="569"/>
      <c r="ED493" s="569"/>
      <c r="EE493" s="569"/>
      <c r="EF493" s="569"/>
      <c r="EG493" s="569"/>
      <c r="EH493" s="569"/>
      <c r="EI493" s="569"/>
      <c r="EJ493" s="569"/>
      <c r="EK493" s="569"/>
      <c r="EL493" s="569"/>
      <c r="EM493" s="569"/>
      <c r="EN493" s="569"/>
      <c r="EO493" s="569"/>
      <c r="EP493" s="569"/>
      <c r="EQ493" s="569"/>
      <c r="ER493" s="569"/>
      <c r="ES493" s="569"/>
      <c r="ET493" s="569"/>
      <c r="EU493" s="569"/>
      <c r="EV493" s="569"/>
      <c r="EW493" s="569"/>
      <c r="EX493" s="569"/>
      <c r="EY493" s="569"/>
      <c r="EZ493" s="569"/>
      <c r="FA493" s="569"/>
      <c r="FB493" s="569"/>
      <c r="FC493" s="569"/>
      <c r="FD493" s="569"/>
      <c r="FE493" s="569"/>
      <c r="FF493" s="569"/>
      <c r="FG493" s="569"/>
      <c r="FH493" s="569"/>
      <c r="FI493" s="569"/>
      <c r="FJ493" s="569"/>
      <c r="FK493" s="569"/>
      <c r="FL493" s="569"/>
      <c r="FM493" s="569"/>
      <c r="FN493" s="569"/>
      <c r="FO493" s="569"/>
      <c r="FP493" s="569"/>
      <c r="FQ493" s="569"/>
      <c r="FR493" s="569"/>
      <c r="FS493" s="569"/>
      <c r="FT493" s="569"/>
      <c r="FU493" s="569"/>
      <c r="FV493" s="569"/>
      <c r="FW493" s="569"/>
      <c r="FX493" s="569"/>
      <c r="FY493" s="569"/>
      <c r="FZ493" s="569"/>
      <c r="GA493" s="569"/>
      <c r="GB493" s="569"/>
      <c r="GC493" s="569"/>
      <c r="GD493" s="569"/>
      <c r="GE493" s="569"/>
      <c r="GF493" s="569"/>
      <c r="GG493" s="569"/>
      <c r="GH493" s="569"/>
      <c r="GI493" s="569"/>
      <c r="GJ493" s="569"/>
      <c r="GK493" s="569"/>
      <c r="GL493" s="569"/>
      <c r="GM493" s="569"/>
      <c r="GN493" s="569"/>
      <c r="GO493" s="569"/>
      <c r="GP493" s="569"/>
      <c r="GQ493" s="569"/>
      <c r="GR493" s="569"/>
      <c r="GS493" s="569"/>
      <c r="GT493" s="569"/>
      <c r="GU493" s="569"/>
      <c r="GV493" s="569"/>
      <c r="GW493" s="569"/>
      <c r="GX493" s="569"/>
      <c r="GY493" s="569"/>
      <c r="GZ493" s="569"/>
      <c r="HA493" s="569"/>
      <c r="HB493" s="569"/>
      <c r="HC493" s="569"/>
      <c r="HD493" s="569"/>
      <c r="HE493" s="569"/>
      <c r="HF493" s="569"/>
      <c r="HG493" s="569"/>
      <c r="HH493" s="569"/>
      <c r="HI493" s="569"/>
      <c r="HJ493" s="569"/>
      <c r="HK493" s="569"/>
      <c r="HL493" s="569"/>
      <c r="HM493" s="569"/>
      <c r="HN493" s="569"/>
      <c r="HO493" s="569"/>
      <c r="HP493" s="569"/>
      <c r="HQ493" s="569"/>
      <c r="HR493" s="569"/>
      <c r="HS493" s="569"/>
      <c r="HT493" s="569"/>
      <c r="HU493" s="569"/>
      <c r="HV493" s="569"/>
      <c r="HW493" s="569"/>
      <c r="HX493" s="569"/>
      <c r="HY493" s="569"/>
      <c r="HZ493" s="569"/>
      <c r="IA493" s="569"/>
      <c r="IB493" s="569"/>
      <c r="IC493" s="569"/>
      <c r="ID493" s="569"/>
      <c r="IE493" s="569"/>
      <c r="IF493" s="569"/>
      <c r="IG493" s="569"/>
      <c r="IH493" s="569"/>
      <c r="II493" s="569"/>
      <c r="IJ493" s="569"/>
      <c r="IK493" s="569"/>
      <c r="IL493" s="569"/>
      <c r="IM493" s="569"/>
      <c r="IN493" s="569"/>
      <c r="IO493" s="569"/>
      <c r="IP493" s="569"/>
      <c r="IQ493" s="569"/>
      <c r="IR493" s="569"/>
      <c r="IS493" s="569"/>
      <c r="IT493" s="569"/>
      <c r="IU493" s="569"/>
      <c r="IV493" s="569"/>
      <c r="IW493" s="569"/>
      <c r="IX493" s="569"/>
      <c r="IY493" s="569"/>
      <c r="IZ493" s="569"/>
      <c r="JA493" s="569"/>
      <c r="JB493" s="569"/>
      <c r="JC493" s="569"/>
      <c r="JD493" s="569"/>
      <c r="JE493" s="569"/>
      <c r="JF493" s="569"/>
      <c r="JG493" s="569"/>
      <c r="JH493" s="569"/>
      <c r="JI493" s="569"/>
      <c r="JJ493" s="569"/>
      <c r="JK493" s="569"/>
      <c r="JL493" s="569"/>
      <c r="JM493" s="569"/>
      <c r="JN493" s="569"/>
      <c r="JO493" s="569"/>
      <c r="JP493" s="569"/>
      <c r="JQ493" s="569"/>
      <c r="JR493" s="569"/>
      <c r="JS493" s="569"/>
      <c r="JT493" s="569"/>
      <c r="JU493" s="569"/>
      <c r="JV493" s="569"/>
      <c r="JW493" s="569"/>
      <c r="JX493" s="569"/>
      <c r="JY493" s="569"/>
      <c r="JZ493" s="569"/>
      <c r="KA493" s="569"/>
      <c r="KB493" s="569"/>
      <c r="KC493" s="569"/>
      <c r="KD493" s="569"/>
      <c r="KE493" s="569"/>
      <c r="KF493" s="569"/>
      <c r="KG493" s="569"/>
      <c r="KH493" s="569"/>
      <c r="KI493" s="569"/>
      <c r="KJ493" s="569"/>
      <c r="KK493" s="569"/>
      <c r="KL493" s="569"/>
      <c r="KM493" s="569"/>
      <c r="KN493" s="569"/>
      <c r="KO493" s="569"/>
      <c r="KP493" s="569"/>
      <c r="KQ493" s="569"/>
      <c r="KR493" s="569"/>
      <c r="KS493" s="569"/>
      <c r="KT493" s="569"/>
      <c r="KU493" s="569"/>
      <c r="KV493" s="569"/>
      <c r="KW493" s="569"/>
      <c r="KX493" s="569"/>
      <c r="KY493" s="569"/>
      <c r="KZ493" s="569"/>
      <c r="LA493" s="569"/>
      <c r="LB493" s="569"/>
      <c r="LC493" s="569"/>
      <c r="LD493" s="569"/>
      <c r="LE493" s="569"/>
      <c r="LF493" s="569"/>
      <c r="LG493" s="569"/>
      <c r="LH493" s="569"/>
      <c r="LI493" s="569"/>
      <c r="LJ493" s="569"/>
      <c r="LK493" s="569"/>
      <c r="LL493" s="569"/>
      <c r="LM493" s="569"/>
      <c r="LN493" s="569"/>
      <c r="LO493" s="569"/>
      <c r="LP493" s="569"/>
      <c r="LQ493" s="569"/>
      <c r="LR493" s="569"/>
      <c r="LS493" s="569"/>
      <c r="LT493" s="569"/>
      <c r="LU493" s="569"/>
      <c r="LV493" s="569"/>
      <c r="LW493" s="569"/>
      <c r="LX493" s="569"/>
      <c r="LY493" s="569"/>
      <c r="LZ493" s="569"/>
      <c r="MA493" s="569"/>
      <c r="MB493" s="569"/>
      <c r="MC493" s="569"/>
      <c r="MD493" s="569"/>
      <c r="ME493" s="569"/>
      <c r="MF493" s="569"/>
      <c r="MG493" s="569"/>
      <c r="MH493" s="569"/>
      <c r="MI493" s="569"/>
      <c r="MJ493" s="569"/>
      <c r="MK493" s="569"/>
      <c r="ML493" s="569"/>
      <c r="MM493" s="569"/>
      <c r="MN493" s="569"/>
      <c r="MO493" s="569"/>
      <c r="MP493" s="569"/>
      <c r="MQ493" s="569"/>
      <c r="MR493" s="569"/>
      <c r="MS493" s="569"/>
      <c r="MT493" s="569"/>
      <c r="MU493" s="569"/>
      <c r="MV493" s="569"/>
      <c r="MW493" s="569"/>
      <c r="MX493" s="569"/>
      <c r="MY493" s="569"/>
      <c r="MZ493" s="569"/>
      <c r="NA493" s="569"/>
      <c r="NB493" s="569"/>
      <c r="NC493" s="569"/>
      <c r="ND493" s="569"/>
      <c r="NE493" s="569"/>
      <c r="NF493" s="569"/>
      <c r="NG493" s="569"/>
      <c r="NH493" s="569"/>
      <c r="NI493" s="569"/>
      <c r="NJ493" s="569"/>
      <c r="NK493" s="569"/>
      <c r="NL493" s="569"/>
      <c r="NM493" s="569"/>
      <c r="NN493" s="569"/>
      <c r="NO493" s="569"/>
      <c r="NP493" s="569"/>
      <c r="NQ493" s="569"/>
      <c r="NR493" s="569"/>
      <c r="NS493" s="569"/>
      <c r="NT493" s="569"/>
      <c r="NU493" s="569"/>
      <c r="NV493" s="569"/>
      <c r="NW493" s="569"/>
      <c r="NX493" s="569"/>
      <c r="NY493" s="569"/>
      <c r="NZ493" s="569"/>
      <c r="OA493" s="569"/>
      <c r="OB493" s="569"/>
      <c r="OC493" s="569"/>
      <c r="OD493" s="569"/>
      <c r="OE493" s="569"/>
      <c r="OF493" s="569"/>
      <c r="OG493" s="569"/>
      <c r="OH493" s="569"/>
      <c r="OI493" s="569"/>
      <c r="OJ493" s="569"/>
      <c r="OK493" s="569"/>
      <c r="OL493" s="569"/>
      <c r="OM493" s="569"/>
      <c r="ON493" s="569"/>
      <c r="OO493" s="569"/>
      <c r="OP493" s="569"/>
      <c r="OQ493" s="569"/>
      <c r="OR493" s="569"/>
      <c r="OS493" s="569"/>
      <c r="OT493" s="569"/>
      <c r="OU493" s="569"/>
      <c r="OV493" s="569"/>
      <c r="OW493" s="569"/>
      <c r="OX493" s="569"/>
      <c r="OY493" s="569"/>
      <c r="OZ493" s="569"/>
      <c r="PA493" s="569"/>
      <c r="PB493" s="569"/>
      <c r="PC493" s="569"/>
      <c r="PD493" s="569"/>
      <c r="PE493" s="569"/>
      <c r="PF493" s="569"/>
      <c r="PG493" s="569"/>
      <c r="PH493" s="569"/>
      <c r="PI493" s="569"/>
      <c r="PJ493" s="569"/>
      <c r="PK493" s="569"/>
      <c r="PL493" s="569"/>
      <c r="PM493" s="569"/>
      <c r="PN493" s="569"/>
      <c r="PO493" s="569"/>
      <c r="PP493" s="569"/>
      <c r="PQ493" s="569"/>
      <c r="PR493" s="569"/>
      <c r="PS493" s="569"/>
      <c r="PT493" s="569"/>
      <c r="PU493" s="569"/>
      <c r="PV493" s="569"/>
      <c r="PW493" s="569"/>
      <c r="PX493" s="569"/>
      <c r="PY493" s="569"/>
      <c r="PZ493" s="569"/>
      <c r="QA493" s="569"/>
      <c r="QB493" s="569"/>
      <c r="QC493" s="569"/>
      <c r="QD493" s="569"/>
      <c r="QE493" s="569"/>
      <c r="QF493" s="569"/>
      <c r="QG493" s="569"/>
      <c r="QH493" s="569"/>
      <c r="QI493" s="569"/>
      <c r="QJ493" s="569"/>
      <c r="QK493" s="569"/>
      <c r="QL493" s="569"/>
    </row>
    <row r="494" spans="1:454" ht="30">
      <c r="D494" s="568"/>
      <c r="E494" s="568"/>
      <c r="F494" s="568"/>
      <c r="G494" s="568"/>
      <c r="H494" s="563" t="str">
        <f>'matrik MISI 6'!N30</f>
        <v>Persentase Penyelesaian Usulan Pensiun PNS Tepat Waktu</v>
      </c>
      <c r="I494" s="563" t="str">
        <f>'matrik MISI 6'!O30</f>
        <v>%</v>
      </c>
      <c r="J494" s="563">
        <f>'matrik MISI 6'!P30</f>
        <v>100</v>
      </c>
      <c r="K494" s="563">
        <f>'matrik MISI 6'!Q30</f>
        <v>99</v>
      </c>
      <c r="L494" s="563">
        <f>'matrik MISI 6'!R30</f>
        <v>100</v>
      </c>
      <c r="M494" s="604"/>
      <c r="N494" s="563">
        <f>'matrik MISI 6'!S30</f>
        <v>100</v>
      </c>
      <c r="O494" s="564"/>
      <c r="P494" s="563">
        <f>'matrik MISI 6'!T30</f>
        <v>100</v>
      </c>
      <c r="Q494" s="564"/>
      <c r="R494" s="563">
        <f>'matrik MISI 6'!U30</f>
        <v>100</v>
      </c>
      <c r="S494" s="564"/>
      <c r="T494" s="563">
        <f>'matrik MISI 6'!V30</f>
        <v>100</v>
      </c>
      <c r="U494" s="564"/>
      <c r="V494" s="563">
        <f>'matrik MISI 6'!W30</f>
        <v>100</v>
      </c>
      <c r="W494" s="564"/>
      <c r="X494" s="563" t="str">
        <f>'matrik MISI 6'!X30</f>
        <v>Badan Kepegawaian Daerah (BKD)</v>
      </c>
      <c r="Y494" s="563" t="str">
        <f>'matrik MISI 6'!Y30</f>
        <v>Jumlah Penyelesaian Usulan Pensiun PNS Tepat Waktu dibagi Jumlah usulan PNS x 100</v>
      </c>
      <c r="Z494" s="563" t="str">
        <f>'matrik MISI 6'!Z30</f>
        <v xml:space="preserve">Tepat waktu dalam arti penyerahan SK Pensiun 1 bulan sebelum TMT </v>
      </c>
    </row>
    <row r="495" spans="1:454" s="574" customFormat="1" ht="45">
      <c r="A495" s="569"/>
      <c r="B495" s="575"/>
      <c r="C495" s="576"/>
      <c r="D495" s="577" t="str">
        <f>'matrik MISI 6'!J31</f>
        <v>1.20</v>
      </c>
      <c r="E495" s="577" t="str">
        <f>'matrik MISI 6'!K31</f>
        <v>xx</v>
      </c>
      <c r="F495" s="577">
        <f>'matrik MISI 6'!L31</f>
        <v>28</v>
      </c>
      <c r="G495" s="577" t="str">
        <f>'matrik MISI 6'!M31</f>
        <v>Program Peningkatan Kapasitas Aparatur Pemerintahan Desa</v>
      </c>
      <c r="H495" s="577"/>
      <c r="I495" s="577"/>
      <c r="J495" s="577"/>
      <c r="K495" s="577"/>
      <c r="L495" s="577"/>
      <c r="M495" s="578"/>
      <c r="N495" s="577"/>
      <c r="O495" s="577"/>
      <c r="P495" s="577"/>
      <c r="Q495" s="577"/>
      <c r="R495" s="577"/>
      <c r="S495" s="577"/>
      <c r="T495" s="577"/>
      <c r="U495" s="577"/>
      <c r="V495" s="577"/>
      <c r="W495" s="577"/>
      <c r="X495" s="577"/>
      <c r="Y495" s="577"/>
      <c r="Z495" s="577"/>
      <c r="AA495" s="569"/>
      <c r="AB495" s="569"/>
      <c r="AC495" s="569"/>
      <c r="AD495" s="569"/>
      <c r="AE495" s="569"/>
      <c r="AF495" s="569"/>
      <c r="AG495" s="569"/>
      <c r="AH495" s="569"/>
      <c r="AI495" s="569"/>
      <c r="AJ495" s="569"/>
      <c r="AK495" s="569"/>
      <c r="AL495" s="569"/>
      <c r="AM495" s="569"/>
      <c r="AN495" s="569"/>
      <c r="AO495" s="569"/>
      <c r="AP495" s="569"/>
      <c r="AQ495" s="569"/>
      <c r="AR495" s="569"/>
      <c r="AS495" s="569"/>
      <c r="AT495" s="569"/>
      <c r="AU495" s="569"/>
      <c r="AV495" s="569"/>
      <c r="AW495" s="569"/>
      <c r="AX495" s="569"/>
      <c r="AY495" s="569"/>
      <c r="AZ495" s="569"/>
      <c r="BA495" s="569"/>
      <c r="BB495" s="569"/>
      <c r="BC495" s="569"/>
      <c r="BD495" s="569"/>
      <c r="BE495" s="569"/>
      <c r="BF495" s="569"/>
      <c r="BG495" s="569"/>
      <c r="BH495" s="569"/>
      <c r="BI495" s="569"/>
      <c r="BJ495" s="569"/>
      <c r="BK495" s="569"/>
      <c r="BL495" s="569"/>
      <c r="BM495" s="569"/>
      <c r="BN495" s="569"/>
      <c r="BO495" s="569"/>
      <c r="BP495" s="569"/>
      <c r="BQ495" s="569"/>
      <c r="BR495" s="569"/>
      <c r="BS495" s="569"/>
      <c r="BT495" s="569"/>
      <c r="BU495" s="569"/>
      <c r="BV495" s="569"/>
      <c r="BW495" s="569"/>
      <c r="BX495" s="569"/>
      <c r="BY495" s="569"/>
      <c r="BZ495" s="569"/>
      <c r="CA495" s="569"/>
      <c r="CB495" s="569"/>
      <c r="CC495" s="569"/>
      <c r="CD495" s="569"/>
      <c r="CE495" s="569"/>
      <c r="CF495" s="569"/>
      <c r="CG495" s="569"/>
      <c r="CH495" s="569"/>
      <c r="CI495" s="569"/>
      <c r="CJ495" s="569"/>
      <c r="CK495" s="569"/>
      <c r="CL495" s="569"/>
      <c r="CM495" s="569"/>
      <c r="CN495" s="569"/>
      <c r="CO495" s="569"/>
      <c r="CP495" s="569"/>
      <c r="CQ495" s="569"/>
      <c r="CR495" s="569"/>
      <c r="CS495" s="569"/>
      <c r="CT495" s="569"/>
      <c r="CU495" s="569"/>
      <c r="CV495" s="569"/>
      <c r="CW495" s="569"/>
      <c r="CX495" s="569"/>
      <c r="CY495" s="569"/>
      <c r="CZ495" s="569"/>
      <c r="DA495" s="569"/>
      <c r="DB495" s="569"/>
      <c r="DC495" s="569"/>
      <c r="DD495" s="569"/>
      <c r="DE495" s="569"/>
      <c r="DF495" s="569"/>
      <c r="DG495" s="569"/>
      <c r="DH495" s="569"/>
      <c r="DI495" s="569"/>
      <c r="DJ495" s="569"/>
      <c r="DK495" s="569"/>
      <c r="DL495" s="569"/>
      <c r="DM495" s="569"/>
      <c r="DN495" s="569"/>
      <c r="DO495" s="569"/>
      <c r="DP495" s="569"/>
      <c r="DQ495" s="569"/>
      <c r="DR495" s="569"/>
      <c r="DS495" s="569"/>
      <c r="DT495" s="569"/>
      <c r="DU495" s="569"/>
      <c r="DV495" s="569"/>
      <c r="DW495" s="569"/>
      <c r="DX495" s="569"/>
      <c r="DY495" s="569"/>
      <c r="DZ495" s="569"/>
      <c r="EA495" s="569"/>
      <c r="EB495" s="569"/>
      <c r="EC495" s="569"/>
      <c r="ED495" s="569"/>
      <c r="EE495" s="569"/>
      <c r="EF495" s="569"/>
      <c r="EG495" s="569"/>
      <c r="EH495" s="569"/>
      <c r="EI495" s="569"/>
      <c r="EJ495" s="569"/>
      <c r="EK495" s="569"/>
      <c r="EL495" s="569"/>
      <c r="EM495" s="569"/>
      <c r="EN495" s="569"/>
      <c r="EO495" s="569"/>
      <c r="EP495" s="569"/>
      <c r="EQ495" s="569"/>
      <c r="ER495" s="569"/>
      <c r="ES495" s="569"/>
      <c r="ET495" s="569"/>
      <c r="EU495" s="569"/>
      <c r="EV495" s="569"/>
      <c r="EW495" s="569"/>
      <c r="EX495" s="569"/>
      <c r="EY495" s="569"/>
      <c r="EZ495" s="569"/>
      <c r="FA495" s="569"/>
      <c r="FB495" s="569"/>
      <c r="FC495" s="569"/>
      <c r="FD495" s="569"/>
      <c r="FE495" s="569"/>
      <c r="FF495" s="569"/>
      <c r="FG495" s="569"/>
      <c r="FH495" s="569"/>
      <c r="FI495" s="569"/>
      <c r="FJ495" s="569"/>
      <c r="FK495" s="569"/>
      <c r="FL495" s="569"/>
      <c r="FM495" s="569"/>
      <c r="FN495" s="569"/>
      <c r="FO495" s="569"/>
      <c r="FP495" s="569"/>
      <c r="FQ495" s="569"/>
      <c r="FR495" s="569"/>
      <c r="FS495" s="569"/>
      <c r="FT495" s="569"/>
      <c r="FU495" s="569"/>
      <c r="FV495" s="569"/>
      <c r="FW495" s="569"/>
      <c r="FX495" s="569"/>
      <c r="FY495" s="569"/>
      <c r="FZ495" s="569"/>
      <c r="GA495" s="569"/>
      <c r="GB495" s="569"/>
      <c r="GC495" s="569"/>
      <c r="GD495" s="569"/>
      <c r="GE495" s="569"/>
      <c r="GF495" s="569"/>
      <c r="GG495" s="569"/>
      <c r="GH495" s="569"/>
      <c r="GI495" s="569"/>
      <c r="GJ495" s="569"/>
      <c r="GK495" s="569"/>
      <c r="GL495" s="569"/>
      <c r="GM495" s="569"/>
      <c r="GN495" s="569"/>
      <c r="GO495" s="569"/>
      <c r="GP495" s="569"/>
      <c r="GQ495" s="569"/>
      <c r="GR495" s="569"/>
      <c r="GS495" s="569"/>
      <c r="GT495" s="569"/>
      <c r="GU495" s="569"/>
      <c r="GV495" s="569"/>
      <c r="GW495" s="569"/>
      <c r="GX495" s="569"/>
      <c r="GY495" s="569"/>
      <c r="GZ495" s="569"/>
      <c r="HA495" s="569"/>
      <c r="HB495" s="569"/>
      <c r="HC495" s="569"/>
      <c r="HD495" s="569"/>
      <c r="HE495" s="569"/>
      <c r="HF495" s="569"/>
      <c r="HG495" s="569"/>
      <c r="HH495" s="569"/>
      <c r="HI495" s="569"/>
      <c r="HJ495" s="569"/>
      <c r="HK495" s="569"/>
      <c r="HL495" s="569"/>
      <c r="HM495" s="569"/>
      <c r="HN495" s="569"/>
      <c r="HO495" s="569"/>
      <c r="HP495" s="569"/>
      <c r="HQ495" s="569"/>
      <c r="HR495" s="569"/>
      <c r="HS495" s="569"/>
      <c r="HT495" s="569"/>
      <c r="HU495" s="569"/>
      <c r="HV495" s="569"/>
      <c r="HW495" s="569"/>
      <c r="HX495" s="569"/>
      <c r="HY495" s="569"/>
      <c r="HZ495" s="569"/>
      <c r="IA495" s="569"/>
      <c r="IB495" s="569"/>
      <c r="IC495" s="569"/>
      <c r="ID495" s="569"/>
      <c r="IE495" s="569"/>
      <c r="IF495" s="569"/>
      <c r="IG495" s="569"/>
      <c r="IH495" s="569"/>
      <c r="II495" s="569"/>
      <c r="IJ495" s="569"/>
      <c r="IK495" s="569"/>
      <c r="IL495" s="569"/>
      <c r="IM495" s="569"/>
      <c r="IN495" s="569"/>
      <c r="IO495" s="569"/>
      <c r="IP495" s="569"/>
      <c r="IQ495" s="569"/>
      <c r="IR495" s="569"/>
      <c r="IS495" s="569"/>
      <c r="IT495" s="569"/>
      <c r="IU495" s="569"/>
      <c r="IV495" s="569"/>
      <c r="IW495" s="569"/>
      <c r="IX495" s="569"/>
      <c r="IY495" s="569"/>
      <c r="IZ495" s="569"/>
      <c r="JA495" s="569"/>
      <c r="JB495" s="569"/>
      <c r="JC495" s="569"/>
      <c r="JD495" s="569"/>
      <c r="JE495" s="569"/>
      <c r="JF495" s="569"/>
      <c r="JG495" s="569"/>
      <c r="JH495" s="569"/>
      <c r="JI495" s="569"/>
      <c r="JJ495" s="569"/>
      <c r="JK495" s="569"/>
      <c r="JL495" s="569"/>
      <c r="JM495" s="569"/>
      <c r="JN495" s="569"/>
      <c r="JO495" s="569"/>
      <c r="JP495" s="569"/>
      <c r="JQ495" s="569"/>
      <c r="JR495" s="569"/>
      <c r="JS495" s="569"/>
      <c r="JT495" s="569"/>
      <c r="JU495" s="569"/>
      <c r="JV495" s="569"/>
      <c r="JW495" s="569"/>
      <c r="JX495" s="569"/>
      <c r="JY495" s="569"/>
      <c r="JZ495" s="569"/>
      <c r="KA495" s="569"/>
      <c r="KB495" s="569"/>
      <c r="KC495" s="569"/>
      <c r="KD495" s="569"/>
      <c r="KE495" s="569"/>
      <c r="KF495" s="569"/>
      <c r="KG495" s="569"/>
      <c r="KH495" s="569"/>
      <c r="KI495" s="569"/>
      <c r="KJ495" s="569"/>
      <c r="KK495" s="569"/>
      <c r="KL495" s="569"/>
      <c r="KM495" s="569"/>
      <c r="KN495" s="569"/>
      <c r="KO495" s="569"/>
      <c r="KP495" s="569"/>
      <c r="KQ495" s="569"/>
      <c r="KR495" s="569"/>
      <c r="KS495" s="569"/>
      <c r="KT495" s="569"/>
      <c r="KU495" s="569"/>
      <c r="KV495" s="569"/>
      <c r="KW495" s="569"/>
      <c r="KX495" s="569"/>
      <c r="KY495" s="569"/>
      <c r="KZ495" s="569"/>
      <c r="LA495" s="569"/>
      <c r="LB495" s="569"/>
      <c r="LC495" s="569"/>
      <c r="LD495" s="569"/>
      <c r="LE495" s="569"/>
      <c r="LF495" s="569"/>
      <c r="LG495" s="569"/>
      <c r="LH495" s="569"/>
      <c r="LI495" s="569"/>
      <c r="LJ495" s="569"/>
      <c r="LK495" s="569"/>
      <c r="LL495" s="569"/>
      <c r="LM495" s="569"/>
      <c r="LN495" s="569"/>
      <c r="LO495" s="569"/>
      <c r="LP495" s="569"/>
      <c r="LQ495" s="569"/>
      <c r="LR495" s="569"/>
      <c r="LS495" s="569"/>
      <c r="LT495" s="569"/>
      <c r="LU495" s="569"/>
      <c r="LV495" s="569"/>
      <c r="LW495" s="569"/>
      <c r="LX495" s="569"/>
      <c r="LY495" s="569"/>
      <c r="LZ495" s="569"/>
      <c r="MA495" s="569"/>
      <c r="MB495" s="569"/>
      <c r="MC495" s="569"/>
      <c r="MD495" s="569"/>
      <c r="ME495" s="569"/>
      <c r="MF495" s="569"/>
      <c r="MG495" s="569"/>
      <c r="MH495" s="569"/>
      <c r="MI495" s="569"/>
      <c r="MJ495" s="569"/>
      <c r="MK495" s="569"/>
      <c r="ML495" s="569"/>
      <c r="MM495" s="569"/>
      <c r="MN495" s="569"/>
      <c r="MO495" s="569"/>
      <c r="MP495" s="569"/>
      <c r="MQ495" s="569"/>
      <c r="MR495" s="569"/>
      <c r="MS495" s="569"/>
      <c r="MT495" s="569"/>
      <c r="MU495" s="569"/>
      <c r="MV495" s="569"/>
      <c r="MW495" s="569"/>
      <c r="MX495" s="569"/>
      <c r="MY495" s="569"/>
      <c r="MZ495" s="569"/>
      <c r="NA495" s="569"/>
      <c r="NB495" s="569"/>
      <c r="NC495" s="569"/>
      <c r="ND495" s="569"/>
      <c r="NE495" s="569"/>
      <c r="NF495" s="569"/>
      <c r="NG495" s="569"/>
      <c r="NH495" s="569"/>
      <c r="NI495" s="569"/>
      <c r="NJ495" s="569"/>
      <c r="NK495" s="569"/>
      <c r="NL495" s="569"/>
      <c r="NM495" s="569"/>
      <c r="NN495" s="569"/>
      <c r="NO495" s="569"/>
      <c r="NP495" s="569"/>
      <c r="NQ495" s="569"/>
      <c r="NR495" s="569"/>
      <c r="NS495" s="569"/>
      <c r="NT495" s="569"/>
      <c r="NU495" s="569"/>
      <c r="NV495" s="569"/>
      <c r="NW495" s="569"/>
      <c r="NX495" s="569"/>
      <c r="NY495" s="569"/>
      <c r="NZ495" s="569"/>
      <c r="OA495" s="569"/>
      <c r="OB495" s="569"/>
      <c r="OC495" s="569"/>
      <c r="OD495" s="569"/>
      <c r="OE495" s="569"/>
      <c r="OF495" s="569"/>
      <c r="OG495" s="569"/>
      <c r="OH495" s="569"/>
      <c r="OI495" s="569"/>
      <c r="OJ495" s="569"/>
      <c r="OK495" s="569"/>
      <c r="OL495" s="569"/>
      <c r="OM495" s="569"/>
      <c r="ON495" s="569"/>
      <c r="OO495" s="569"/>
      <c r="OP495" s="569"/>
      <c r="OQ495" s="569"/>
      <c r="OR495" s="569"/>
      <c r="OS495" s="569"/>
      <c r="OT495" s="569"/>
      <c r="OU495" s="569"/>
      <c r="OV495" s="569"/>
      <c r="OW495" s="569"/>
      <c r="OX495" s="569"/>
      <c r="OY495" s="569"/>
      <c r="OZ495" s="569"/>
      <c r="PA495" s="569"/>
      <c r="PB495" s="569"/>
      <c r="PC495" s="569"/>
      <c r="PD495" s="569"/>
      <c r="PE495" s="569"/>
      <c r="PF495" s="569"/>
      <c r="PG495" s="569"/>
      <c r="PH495" s="569"/>
      <c r="PI495" s="569"/>
      <c r="PJ495" s="569"/>
      <c r="PK495" s="569"/>
      <c r="PL495" s="569"/>
      <c r="PM495" s="569"/>
      <c r="PN495" s="569"/>
      <c r="PO495" s="569"/>
      <c r="PP495" s="569"/>
      <c r="PQ495" s="569"/>
      <c r="PR495" s="569"/>
      <c r="PS495" s="569"/>
      <c r="PT495" s="569"/>
      <c r="PU495" s="569"/>
      <c r="PV495" s="569"/>
      <c r="PW495" s="569"/>
      <c r="PX495" s="569"/>
      <c r="PY495" s="569"/>
      <c r="PZ495" s="569"/>
      <c r="QA495" s="569"/>
      <c r="QB495" s="569"/>
      <c r="QC495" s="569"/>
      <c r="QD495" s="569"/>
      <c r="QE495" s="569"/>
      <c r="QF495" s="569"/>
      <c r="QG495" s="569"/>
      <c r="QH495" s="569"/>
      <c r="QI495" s="569"/>
      <c r="QJ495" s="569"/>
      <c r="QK495" s="569"/>
      <c r="QL495" s="569"/>
    </row>
    <row r="496" spans="1:454" ht="45">
      <c r="D496" s="568"/>
      <c r="E496" s="568"/>
      <c r="F496" s="568"/>
      <c r="G496" s="568"/>
      <c r="H496" s="563" t="str">
        <f>'matrik MISI 6'!N31</f>
        <v>Persentase Penanganan Kepala Desa dan Perangkat Desa yang Mengalami Kasus</v>
      </c>
      <c r="I496" s="563" t="str">
        <f>'matrik MISI 6'!O31</f>
        <v>%</v>
      </c>
      <c r="J496" s="563">
        <f>'matrik MISI 6'!P31</f>
        <v>100</v>
      </c>
      <c r="K496" s="563">
        <f>'matrik MISI 6'!Q31</f>
        <v>100</v>
      </c>
      <c r="L496" s="563">
        <f>'matrik MISI 6'!R31</f>
        <v>100</v>
      </c>
      <c r="M496" s="604"/>
      <c r="N496" s="563">
        <f>'matrik MISI 6'!S31</f>
        <v>100</v>
      </c>
      <c r="O496" s="564"/>
      <c r="P496" s="563">
        <f>'matrik MISI 6'!T31</f>
        <v>100</v>
      </c>
      <c r="Q496" s="564"/>
      <c r="R496" s="563">
        <f>'matrik MISI 6'!U31</f>
        <v>100</v>
      </c>
      <c r="S496" s="564"/>
      <c r="T496" s="563">
        <f>'matrik MISI 6'!V31</f>
        <v>100</v>
      </c>
      <c r="U496" s="564"/>
      <c r="V496" s="563">
        <f>'matrik MISI 6'!W31</f>
        <v>100</v>
      </c>
      <c r="W496" s="564"/>
      <c r="X496" s="563" t="str">
        <f>'matrik MISI 6'!X31</f>
        <v>Bagian Pemerintahan Desa Setda</v>
      </c>
      <c r="Y496" s="563" t="str">
        <f>'matrik MISI 6'!Y31</f>
        <v>Jumlah Penanganan Kepala Desa dan Perangkat Desa yang Mengalami Kasus dibagi Jumlah Kepala Desa dan Perangkat Desa yang mengalami kasus x 100</v>
      </c>
      <c r="Z496" s="563" t="str">
        <f>'matrik MISI 6'!Z31</f>
        <v>Jenis penanganannya antara lain adanya sanksi dari Pemerintah Kabupaten . ( kasus kepala desa  dan perangkat desa di pisahkan dalam kelompok tersendiri )</v>
      </c>
    </row>
    <row r="497" spans="1:454" ht="30">
      <c r="G497" s="563"/>
      <c r="H497" s="563" t="str">
        <f>'matrik MISI 6'!N32</f>
        <v>Persentase Pengisian Jabatan Kepala Desa yang Kosong</v>
      </c>
      <c r="I497" s="563" t="str">
        <f>'matrik MISI 6'!O32</f>
        <v>%</v>
      </c>
      <c r="J497" s="563">
        <f>'matrik MISI 6'!P32</f>
        <v>100</v>
      </c>
      <c r="K497" s="563">
        <f>'matrik MISI 6'!Q32</f>
        <v>100</v>
      </c>
      <c r="L497" s="563">
        <f>'matrik MISI 6'!R32</f>
        <v>92.2</v>
      </c>
      <c r="M497" s="604"/>
      <c r="N497" s="563">
        <f>'matrik MISI 6'!S32</f>
        <v>100</v>
      </c>
      <c r="O497" s="564"/>
      <c r="P497" s="563">
        <f>'matrik MISI 6'!T32</f>
        <v>100</v>
      </c>
      <c r="Q497" s="564"/>
      <c r="R497" s="563">
        <f>'matrik MISI 6'!U32</f>
        <v>100</v>
      </c>
      <c r="S497" s="564"/>
      <c r="T497" s="563">
        <f>'matrik MISI 6'!V32</f>
        <v>100</v>
      </c>
      <c r="U497" s="564"/>
      <c r="V497" s="563">
        <f>'matrik MISI 6'!W32</f>
        <v>100</v>
      </c>
      <c r="W497" s="564"/>
      <c r="X497" s="563" t="str">
        <f>'matrik MISI 6'!X32</f>
        <v>Bagian Pemerintahan Desa Setda</v>
      </c>
      <c r="Y497" s="563" t="str">
        <f>'matrik MISI 6'!Y32</f>
        <v>Jumlah Jabatan Kepala Desa yang terisi dibagi Jumlah Jabatan Kepala Desa x 100</v>
      </c>
      <c r="Z497" s="563" t="str">
        <f>'matrik MISI 6'!Z32</f>
        <v>Pengertian terisi adalah jabatan definitif (bukan Pelaksana Tugas)</v>
      </c>
    </row>
    <row r="498" spans="1:454" ht="30">
      <c r="G498" s="563"/>
      <c r="H498" s="563" t="str">
        <f>'matrik MISI 6'!N33</f>
        <v>Persentase Pengisian Jabatan Perangkat Desa yang Kosong</v>
      </c>
      <c r="I498" s="563" t="str">
        <f>'matrik MISI 6'!O33</f>
        <v>%</v>
      </c>
      <c r="J498" s="563">
        <f>'matrik MISI 6'!P33</f>
        <v>98.1</v>
      </c>
      <c r="K498" s="563">
        <f>'matrik MISI 6'!Q33</f>
        <v>97</v>
      </c>
      <c r="L498" s="563">
        <f>'matrik MISI 6'!R33</f>
        <v>97</v>
      </c>
      <c r="M498" s="604"/>
      <c r="N498" s="563">
        <f>'matrik MISI 6'!S33</f>
        <v>97</v>
      </c>
      <c r="O498" s="564"/>
      <c r="P498" s="563">
        <f>'matrik MISI 6'!T33</f>
        <v>97</v>
      </c>
      <c r="Q498" s="564"/>
      <c r="R498" s="563">
        <f>'matrik MISI 6'!U33</f>
        <v>97</v>
      </c>
      <c r="S498" s="564"/>
      <c r="T498" s="563">
        <f>'matrik MISI 6'!V33</f>
        <v>97</v>
      </c>
      <c r="U498" s="564"/>
      <c r="V498" s="563">
        <f>'matrik MISI 6'!W33</f>
        <v>97</v>
      </c>
      <c r="W498" s="564"/>
      <c r="X498" s="563" t="str">
        <f>'matrik MISI 6'!X33</f>
        <v>Bagian Pemerintahan Desa Setda</v>
      </c>
      <c r="Y498" s="563" t="str">
        <f>'matrik MISI 6'!Y33</f>
        <v>Jumlah Jabatan Perangkat Desa yang terisi dibagi Jumlah Jabatan Perangkat Desa x 100</v>
      </c>
      <c r="Z498" s="563" t="str">
        <f>'matrik MISI 6'!Z33</f>
        <v>Pengertian terisi adalah jabatan definitif (bukan Pelaksana Tugas)</v>
      </c>
    </row>
    <row r="499" spans="1:454" s="574" customFormat="1" ht="60">
      <c r="A499" s="569"/>
      <c r="B499" s="575"/>
      <c r="C499" s="576"/>
      <c r="D499" s="577" t="str">
        <f>'matrik MISI 6'!J35</f>
        <v>1.20</v>
      </c>
      <c r="E499" s="577" t="str">
        <f>'matrik MISI 6'!K35</f>
        <v>xx</v>
      </c>
      <c r="F499" s="577">
        <f>'matrik MISI 6'!L35</f>
        <v>15</v>
      </c>
      <c r="G499" s="577" t="str">
        <f>'matrik MISI 6'!M35</f>
        <v>Program Peningkatan Kapasitas Lembaga Perwakilan Rakyat Daerah</v>
      </c>
      <c r="H499" s="577"/>
      <c r="I499" s="577"/>
      <c r="J499" s="577"/>
      <c r="K499" s="577"/>
      <c r="L499" s="577"/>
      <c r="M499" s="578"/>
      <c r="N499" s="577"/>
      <c r="O499" s="577"/>
      <c r="P499" s="577"/>
      <c r="Q499" s="577"/>
      <c r="R499" s="577"/>
      <c r="S499" s="577"/>
      <c r="T499" s="577"/>
      <c r="U499" s="577"/>
      <c r="V499" s="577"/>
      <c r="W499" s="577"/>
      <c r="X499" s="577"/>
      <c r="Y499" s="577"/>
      <c r="Z499" s="577"/>
      <c r="AA499" s="569"/>
      <c r="AB499" s="569"/>
      <c r="AC499" s="569"/>
      <c r="AD499" s="569"/>
      <c r="AE499" s="569"/>
      <c r="AF499" s="569"/>
      <c r="AG499" s="569"/>
      <c r="AH499" s="569"/>
      <c r="AI499" s="569"/>
      <c r="AJ499" s="569"/>
      <c r="AK499" s="569"/>
      <c r="AL499" s="569"/>
      <c r="AM499" s="569"/>
      <c r="AN499" s="569"/>
      <c r="AO499" s="569"/>
      <c r="AP499" s="569"/>
      <c r="AQ499" s="569"/>
      <c r="AR499" s="569"/>
      <c r="AS499" s="569"/>
      <c r="AT499" s="569"/>
      <c r="AU499" s="569"/>
      <c r="AV499" s="569"/>
      <c r="AW499" s="569"/>
      <c r="AX499" s="569"/>
      <c r="AY499" s="569"/>
      <c r="AZ499" s="569"/>
      <c r="BA499" s="569"/>
      <c r="BB499" s="569"/>
      <c r="BC499" s="569"/>
      <c r="BD499" s="569"/>
      <c r="BE499" s="569"/>
      <c r="BF499" s="569"/>
      <c r="BG499" s="569"/>
      <c r="BH499" s="569"/>
      <c r="BI499" s="569"/>
      <c r="BJ499" s="569"/>
      <c r="BK499" s="569"/>
      <c r="BL499" s="569"/>
      <c r="BM499" s="569"/>
      <c r="BN499" s="569"/>
      <c r="BO499" s="569"/>
      <c r="BP499" s="569"/>
      <c r="BQ499" s="569"/>
      <c r="BR499" s="569"/>
      <c r="BS499" s="569"/>
      <c r="BT499" s="569"/>
      <c r="BU499" s="569"/>
      <c r="BV499" s="569"/>
      <c r="BW499" s="569"/>
      <c r="BX499" s="569"/>
      <c r="BY499" s="569"/>
      <c r="BZ499" s="569"/>
      <c r="CA499" s="569"/>
      <c r="CB499" s="569"/>
      <c r="CC499" s="569"/>
      <c r="CD499" s="569"/>
      <c r="CE499" s="569"/>
      <c r="CF499" s="569"/>
      <c r="CG499" s="569"/>
      <c r="CH499" s="569"/>
      <c r="CI499" s="569"/>
      <c r="CJ499" s="569"/>
      <c r="CK499" s="569"/>
      <c r="CL499" s="569"/>
      <c r="CM499" s="569"/>
      <c r="CN499" s="569"/>
      <c r="CO499" s="569"/>
      <c r="CP499" s="569"/>
      <c r="CQ499" s="569"/>
      <c r="CR499" s="569"/>
      <c r="CS499" s="569"/>
      <c r="CT499" s="569"/>
      <c r="CU499" s="569"/>
      <c r="CV499" s="569"/>
      <c r="CW499" s="569"/>
      <c r="CX499" s="569"/>
      <c r="CY499" s="569"/>
      <c r="CZ499" s="569"/>
      <c r="DA499" s="569"/>
      <c r="DB499" s="569"/>
      <c r="DC499" s="569"/>
      <c r="DD499" s="569"/>
      <c r="DE499" s="569"/>
      <c r="DF499" s="569"/>
      <c r="DG499" s="569"/>
      <c r="DH499" s="569"/>
      <c r="DI499" s="569"/>
      <c r="DJ499" s="569"/>
      <c r="DK499" s="569"/>
      <c r="DL499" s="569"/>
      <c r="DM499" s="569"/>
      <c r="DN499" s="569"/>
      <c r="DO499" s="569"/>
      <c r="DP499" s="569"/>
      <c r="DQ499" s="569"/>
      <c r="DR499" s="569"/>
      <c r="DS499" s="569"/>
      <c r="DT499" s="569"/>
      <c r="DU499" s="569"/>
      <c r="DV499" s="569"/>
      <c r="DW499" s="569"/>
      <c r="DX499" s="569"/>
      <c r="DY499" s="569"/>
      <c r="DZ499" s="569"/>
      <c r="EA499" s="569"/>
      <c r="EB499" s="569"/>
      <c r="EC499" s="569"/>
      <c r="ED499" s="569"/>
      <c r="EE499" s="569"/>
      <c r="EF499" s="569"/>
      <c r="EG499" s="569"/>
      <c r="EH499" s="569"/>
      <c r="EI499" s="569"/>
      <c r="EJ499" s="569"/>
      <c r="EK499" s="569"/>
      <c r="EL499" s="569"/>
      <c r="EM499" s="569"/>
      <c r="EN499" s="569"/>
      <c r="EO499" s="569"/>
      <c r="EP499" s="569"/>
      <c r="EQ499" s="569"/>
      <c r="ER499" s="569"/>
      <c r="ES499" s="569"/>
      <c r="ET499" s="569"/>
      <c r="EU499" s="569"/>
      <c r="EV499" s="569"/>
      <c r="EW499" s="569"/>
      <c r="EX499" s="569"/>
      <c r="EY499" s="569"/>
      <c r="EZ499" s="569"/>
      <c r="FA499" s="569"/>
      <c r="FB499" s="569"/>
      <c r="FC499" s="569"/>
      <c r="FD499" s="569"/>
      <c r="FE499" s="569"/>
      <c r="FF499" s="569"/>
      <c r="FG499" s="569"/>
      <c r="FH499" s="569"/>
      <c r="FI499" s="569"/>
      <c r="FJ499" s="569"/>
      <c r="FK499" s="569"/>
      <c r="FL499" s="569"/>
      <c r="FM499" s="569"/>
      <c r="FN499" s="569"/>
      <c r="FO499" s="569"/>
      <c r="FP499" s="569"/>
      <c r="FQ499" s="569"/>
      <c r="FR499" s="569"/>
      <c r="FS499" s="569"/>
      <c r="FT499" s="569"/>
      <c r="FU499" s="569"/>
      <c r="FV499" s="569"/>
      <c r="FW499" s="569"/>
      <c r="FX499" s="569"/>
      <c r="FY499" s="569"/>
      <c r="FZ499" s="569"/>
      <c r="GA499" s="569"/>
      <c r="GB499" s="569"/>
      <c r="GC499" s="569"/>
      <c r="GD499" s="569"/>
      <c r="GE499" s="569"/>
      <c r="GF499" s="569"/>
      <c r="GG499" s="569"/>
      <c r="GH499" s="569"/>
      <c r="GI499" s="569"/>
      <c r="GJ499" s="569"/>
      <c r="GK499" s="569"/>
      <c r="GL499" s="569"/>
      <c r="GM499" s="569"/>
      <c r="GN499" s="569"/>
      <c r="GO499" s="569"/>
      <c r="GP499" s="569"/>
      <c r="GQ499" s="569"/>
      <c r="GR499" s="569"/>
      <c r="GS499" s="569"/>
      <c r="GT499" s="569"/>
      <c r="GU499" s="569"/>
      <c r="GV499" s="569"/>
      <c r="GW499" s="569"/>
      <c r="GX499" s="569"/>
      <c r="GY499" s="569"/>
      <c r="GZ499" s="569"/>
      <c r="HA499" s="569"/>
      <c r="HB499" s="569"/>
      <c r="HC499" s="569"/>
      <c r="HD499" s="569"/>
      <c r="HE499" s="569"/>
      <c r="HF499" s="569"/>
      <c r="HG499" s="569"/>
      <c r="HH499" s="569"/>
      <c r="HI499" s="569"/>
      <c r="HJ499" s="569"/>
      <c r="HK499" s="569"/>
      <c r="HL499" s="569"/>
      <c r="HM499" s="569"/>
      <c r="HN499" s="569"/>
      <c r="HO499" s="569"/>
      <c r="HP499" s="569"/>
      <c r="HQ499" s="569"/>
      <c r="HR499" s="569"/>
      <c r="HS499" s="569"/>
      <c r="HT499" s="569"/>
      <c r="HU499" s="569"/>
      <c r="HV499" s="569"/>
      <c r="HW499" s="569"/>
      <c r="HX499" s="569"/>
      <c r="HY499" s="569"/>
      <c r="HZ499" s="569"/>
      <c r="IA499" s="569"/>
      <c r="IB499" s="569"/>
      <c r="IC499" s="569"/>
      <c r="ID499" s="569"/>
      <c r="IE499" s="569"/>
      <c r="IF499" s="569"/>
      <c r="IG499" s="569"/>
      <c r="IH499" s="569"/>
      <c r="II499" s="569"/>
      <c r="IJ499" s="569"/>
      <c r="IK499" s="569"/>
      <c r="IL499" s="569"/>
      <c r="IM499" s="569"/>
      <c r="IN499" s="569"/>
      <c r="IO499" s="569"/>
      <c r="IP499" s="569"/>
      <c r="IQ499" s="569"/>
      <c r="IR499" s="569"/>
      <c r="IS499" s="569"/>
      <c r="IT499" s="569"/>
      <c r="IU499" s="569"/>
      <c r="IV499" s="569"/>
      <c r="IW499" s="569"/>
      <c r="IX499" s="569"/>
      <c r="IY499" s="569"/>
      <c r="IZ499" s="569"/>
      <c r="JA499" s="569"/>
      <c r="JB499" s="569"/>
      <c r="JC499" s="569"/>
      <c r="JD499" s="569"/>
      <c r="JE499" s="569"/>
      <c r="JF499" s="569"/>
      <c r="JG499" s="569"/>
      <c r="JH499" s="569"/>
      <c r="JI499" s="569"/>
      <c r="JJ499" s="569"/>
      <c r="JK499" s="569"/>
      <c r="JL499" s="569"/>
      <c r="JM499" s="569"/>
      <c r="JN499" s="569"/>
      <c r="JO499" s="569"/>
      <c r="JP499" s="569"/>
      <c r="JQ499" s="569"/>
      <c r="JR499" s="569"/>
      <c r="JS499" s="569"/>
      <c r="JT499" s="569"/>
      <c r="JU499" s="569"/>
      <c r="JV499" s="569"/>
      <c r="JW499" s="569"/>
      <c r="JX499" s="569"/>
      <c r="JY499" s="569"/>
      <c r="JZ499" s="569"/>
      <c r="KA499" s="569"/>
      <c r="KB499" s="569"/>
      <c r="KC499" s="569"/>
      <c r="KD499" s="569"/>
      <c r="KE499" s="569"/>
      <c r="KF499" s="569"/>
      <c r="KG499" s="569"/>
      <c r="KH499" s="569"/>
      <c r="KI499" s="569"/>
      <c r="KJ499" s="569"/>
      <c r="KK499" s="569"/>
      <c r="KL499" s="569"/>
      <c r="KM499" s="569"/>
      <c r="KN499" s="569"/>
      <c r="KO499" s="569"/>
      <c r="KP499" s="569"/>
      <c r="KQ499" s="569"/>
      <c r="KR499" s="569"/>
      <c r="KS499" s="569"/>
      <c r="KT499" s="569"/>
      <c r="KU499" s="569"/>
      <c r="KV499" s="569"/>
      <c r="KW499" s="569"/>
      <c r="KX499" s="569"/>
      <c r="KY499" s="569"/>
      <c r="KZ499" s="569"/>
      <c r="LA499" s="569"/>
      <c r="LB499" s="569"/>
      <c r="LC499" s="569"/>
      <c r="LD499" s="569"/>
      <c r="LE499" s="569"/>
      <c r="LF499" s="569"/>
      <c r="LG499" s="569"/>
      <c r="LH499" s="569"/>
      <c r="LI499" s="569"/>
      <c r="LJ499" s="569"/>
      <c r="LK499" s="569"/>
      <c r="LL499" s="569"/>
      <c r="LM499" s="569"/>
      <c r="LN499" s="569"/>
      <c r="LO499" s="569"/>
      <c r="LP499" s="569"/>
      <c r="LQ499" s="569"/>
      <c r="LR499" s="569"/>
      <c r="LS499" s="569"/>
      <c r="LT499" s="569"/>
      <c r="LU499" s="569"/>
      <c r="LV499" s="569"/>
      <c r="LW499" s="569"/>
      <c r="LX499" s="569"/>
      <c r="LY499" s="569"/>
      <c r="LZ499" s="569"/>
      <c r="MA499" s="569"/>
      <c r="MB499" s="569"/>
      <c r="MC499" s="569"/>
      <c r="MD499" s="569"/>
      <c r="ME499" s="569"/>
      <c r="MF499" s="569"/>
      <c r="MG499" s="569"/>
      <c r="MH499" s="569"/>
      <c r="MI499" s="569"/>
      <c r="MJ499" s="569"/>
      <c r="MK499" s="569"/>
      <c r="ML499" s="569"/>
      <c r="MM499" s="569"/>
      <c r="MN499" s="569"/>
      <c r="MO499" s="569"/>
      <c r="MP499" s="569"/>
      <c r="MQ499" s="569"/>
      <c r="MR499" s="569"/>
      <c r="MS499" s="569"/>
      <c r="MT499" s="569"/>
      <c r="MU499" s="569"/>
      <c r="MV499" s="569"/>
      <c r="MW499" s="569"/>
      <c r="MX499" s="569"/>
      <c r="MY499" s="569"/>
      <c r="MZ499" s="569"/>
      <c r="NA499" s="569"/>
      <c r="NB499" s="569"/>
      <c r="NC499" s="569"/>
      <c r="ND499" s="569"/>
      <c r="NE499" s="569"/>
      <c r="NF499" s="569"/>
      <c r="NG499" s="569"/>
      <c r="NH499" s="569"/>
      <c r="NI499" s="569"/>
      <c r="NJ499" s="569"/>
      <c r="NK499" s="569"/>
      <c r="NL499" s="569"/>
      <c r="NM499" s="569"/>
      <c r="NN499" s="569"/>
      <c r="NO499" s="569"/>
      <c r="NP499" s="569"/>
      <c r="NQ499" s="569"/>
      <c r="NR499" s="569"/>
      <c r="NS499" s="569"/>
      <c r="NT499" s="569"/>
      <c r="NU499" s="569"/>
      <c r="NV499" s="569"/>
      <c r="NW499" s="569"/>
      <c r="NX499" s="569"/>
      <c r="NY499" s="569"/>
      <c r="NZ499" s="569"/>
      <c r="OA499" s="569"/>
      <c r="OB499" s="569"/>
      <c r="OC499" s="569"/>
      <c r="OD499" s="569"/>
      <c r="OE499" s="569"/>
      <c r="OF499" s="569"/>
      <c r="OG499" s="569"/>
      <c r="OH499" s="569"/>
      <c r="OI499" s="569"/>
      <c r="OJ499" s="569"/>
      <c r="OK499" s="569"/>
      <c r="OL499" s="569"/>
      <c r="OM499" s="569"/>
      <c r="ON499" s="569"/>
      <c r="OO499" s="569"/>
      <c r="OP499" s="569"/>
      <c r="OQ499" s="569"/>
      <c r="OR499" s="569"/>
      <c r="OS499" s="569"/>
      <c r="OT499" s="569"/>
      <c r="OU499" s="569"/>
      <c r="OV499" s="569"/>
      <c r="OW499" s="569"/>
      <c r="OX499" s="569"/>
      <c r="OY499" s="569"/>
      <c r="OZ499" s="569"/>
      <c r="PA499" s="569"/>
      <c r="PB499" s="569"/>
      <c r="PC499" s="569"/>
      <c r="PD499" s="569"/>
      <c r="PE499" s="569"/>
      <c r="PF499" s="569"/>
      <c r="PG499" s="569"/>
      <c r="PH499" s="569"/>
      <c r="PI499" s="569"/>
      <c r="PJ499" s="569"/>
      <c r="PK499" s="569"/>
      <c r="PL499" s="569"/>
      <c r="PM499" s="569"/>
      <c r="PN499" s="569"/>
      <c r="PO499" s="569"/>
      <c r="PP499" s="569"/>
      <c r="PQ499" s="569"/>
      <c r="PR499" s="569"/>
      <c r="PS499" s="569"/>
      <c r="PT499" s="569"/>
      <c r="PU499" s="569"/>
      <c r="PV499" s="569"/>
      <c r="PW499" s="569"/>
      <c r="PX499" s="569"/>
      <c r="PY499" s="569"/>
      <c r="PZ499" s="569"/>
      <c r="QA499" s="569"/>
      <c r="QB499" s="569"/>
      <c r="QC499" s="569"/>
      <c r="QD499" s="569"/>
      <c r="QE499" s="569"/>
      <c r="QF499" s="569"/>
      <c r="QG499" s="569"/>
      <c r="QH499" s="569"/>
      <c r="QI499" s="569"/>
      <c r="QJ499" s="569"/>
      <c r="QK499" s="569"/>
      <c r="QL499" s="569"/>
    </row>
    <row r="500" spans="1:454" ht="45">
      <c r="D500" s="568"/>
      <c r="E500" s="568"/>
      <c r="F500" s="568"/>
      <c r="G500" s="568"/>
      <c r="H500" s="563" t="str">
        <f>'matrik MISI 6'!N35</f>
        <v>Persentase Jumlah Peraturan Daerah yang Ditetapkan Terhadap Jumlah Raperda</v>
      </c>
      <c r="I500" s="563" t="str">
        <f>'matrik MISI 6'!O35</f>
        <v>%</v>
      </c>
      <c r="J500" s="563">
        <f>'matrik MISI 6'!P35</f>
        <v>100</v>
      </c>
      <c r="K500" s="563">
        <f>'matrik MISI 6'!Q35</f>
        <v>100</v>
      </c>
      <c r="L500" s="563">
        <f>'matrik MISI 6'!R35</f>
        <v>100</v>
      </c>
      <c r="M500" s="604"/>
      <c r="N500" s="563">
        <f>'matrik MISI 6'!S35</f>
        <v>100</v>
      </c>
      <c r="O500" s="564"/>
      <c r="P500" s="563">
        <f>'matrik MISI 6'!T35</f>
        <v>100</v>
      </c>
      <c r="Q500" s="564"/>
      <c r="R500" s="563">
        <f>'matrik MISI 6'!U35</f>
        <v>100</v>
      </c>
      <c r="S500" s="564"/>
      <c r="T500" s="563">
        <f>'matrik MISI 6'!V35</f>
        <v>100</v>
      </c>
      <c r="U500" s="564"/>
      <c r="V500" s="563">
        <f>'matrik MISI 6'!W35</f>
        <v>100</v>
      </c>
      <c r="W500" s="564"/>
      <c r="X500" s="563" t="str">
        <f>'matrik MISI 6'!X35</f>
        <v>Sekretariat DPRD</v>
      </c>
      <c r="Y500" s="563" t="str">
        <f>'matrik MISI 6'!Y35</f>
        <v>Jumlah Peraturan Daerah yang Ditetapkan dibagi Jumlah prolegda  x 100</v>
      </c>
      <c r="Z500" s="563" t="str">
        <f>'matrik MISI 6'!Z35</f>
        <v xml:space="preserve">Usulan prolegda ditetapkan pada tahun sebelumnya </v>
      </c>
    </row>
    <row r="501" spans="1:454" ht="60">
      <c r="G501" s="563"/>
      <c r="H501" s="563" t="str">
        <f>'matrik MISI 6'!N36</f>
        <v>Persentase Jumlah Keputusan DPRD yang Ditindak Lanjuti Terhadap Keputusan DPRD yang Ditetapkan</v>
      </c>
      <c r="I501" s="563" t="str">
        <f>'matrik MISI 6'!O36</f>
        <v>%</v>
      </c>
      <c r="J501" s="563">
        <f>'matrik MISI 6'!P36</f>
        <v>100</v>
      </c>
      <c r="K501" s="563">
        <f>'matrik MISI 6'!Q36</f>
        <v>100</v>
      </c>
      <c r="L501" s="563">
        <f>'matrik MISI 6'!R36</f>
        <v>100</v>
      </c>
      <c r="M501" s="604"/>
      <c r="N501" s="563">
        <f>'matrik MISI 6'!S36</f>
        <v>100</v>
      </c>
      <c r="O501" s="564"/>
      <c r="P501" s="563">
        <f>'matrik MISI 6'!T36</f>
        <v>100</v>
      </c>
      <c r="Q501" s="564"/>
      <c r="R501" s="563">
        <f>'matrik MISI 6'!U36</f>
        <v>100</v>
      </c>
      <c r="S501" s="564"/>
      <c r="T501" s="563">
        <f>'matrik MISI 6'!V36</f>
        <v>100</v>
      </c>
      <c r="U501" s="564"/>
      <c r="V501" s="563">
        <f>'matrik MISI 6'!W36</f>
        <v>100</v>
      </c>
      <c r="W501" s="564"/>
      <c r="X501" s="563" t="str">
        <f>'matrik MISI 6'!X36</f>
        <v>Sekretariat DPRD</v>
      </c>
      <c r="Y501" s="563" t="str">
        <f>'matrik MISI 6'!Y36</f>
        <v>Jumlah Keputusan DPRD yang Ditindaklanjuti  dibagi Keputusan DPRD yang Ditetapkan x 100</v>
      </c>
      <c r="Z501" s="563">
        <f>'matrik MISI 6'!Z36</f>
        <v>0</v>
      </c>
    </row>
    <row r="502" spans="1:454">
      <c r="D502" s="749"/>
      <c r="E502" s="749"/>
      <c r="F502" s="749"/>
      <c r="G502" s="749"/>
      <c r="H502" s="749"/>
      <c r="I502" s="749"/>
      <c r="J502" s="749"/>
      <c r="K502" s="749"/>
      <c r="L502" s="749"/>
      <c r="M502" s="604"/>
      <c r="N502" s="749"/>
      <c r="O502" s="564"/>
      <c r="P502" s="749"/>
      <c r="Q502" s="564"/>
      <c r="R502" s="749"/>
      <c r="S502" s="564"/>
      <c r="T502" s="749"/>
      <c r="U502" s="564"/>
      <c r="V502" s="749"/>
      <c r="W502" s="564"/>
      <c r="X502" s="749"/>
      <c r="Y502" s="749"/>
      <c r="Z502" s="749"/>
    </row>
    <row r="503" spans="1:454" ht="60">
      <c r="D503" s="563" t="str">
        <f>'matrik MISI 6'!J37</f>
        <v>1.20</v>
      </c>
      <c r="E503" s="563" t="str">
        <f>'matrik MISI 6'!K37</f>
        <v>xx</v>
      </c>
      <c r="F503" s="563">
        <f>'matrik MISI 6'!L37</f>
        <v>21</v>
      </c>
      <c r="G503" s="563" t="str">
        <f>'matrik MISI 6'!M37</f>
        <v>Program Peningkatan Profesionalisme Tenaga Pemeriksa dan Aparatur Pengawasan</v>
      </c>
      <c r="H503" s="563" t="str">
        <f>'matrik MISI 6'!N37</f>
        <v>Persentase Penanganan Hasil Temuan Pemeriksaan</v>
      </c>
      <c r="I503" s="563" t="str">
        <f>'matrik MISI 6'!O37</f>
        <v>%</v>
      </c>
      <c r="J503" s="563">
        <f>'matrik MISI 6'!P37</f>
        <v>0</v>
      </c>
      <c r="K503" s="563">
        <f>'matrik MISI 6'!Q37</f>
        <v>64</v>
      </c>
      <c r="L503" s="563">
        <f>'matrik MISI 6'!R37</f>
        <v>70</v>
      </c>
      <c r="M503" s="604"/>
      <c r="N503" s="563">
        <f>'matrik MISI 6'!S37</f>
        <v>75</v>
      </c>
      <c r="O503" s="564"/>
      <c r="P503" s="563">
        <f>'matrik MISI 6'!T37</f>
        <v>80</v>
      </c>
      <c r="Q503" s="564"/>
      <c r="R503" s="563">
        <f>'matrik MISI 6'!U37</f>
        <v>85</v>
      </c>
      <c r="S503" s="564"/>
      <c r="T503" s="563">
        <f>'matrik MISI 6'!V37</f>
        <v>90</v>
      </c>
      <c r="U503" s="564"/>
      <c r="V503" s="563">
        <f>'matrik MISI 6'!W37</f>
        <v>90</v>
      </c>
      <c r="W503" s="564"/>
      <c r="X503" s="563" t="str">
        <f>'matrik MISI 6'!X37</f>
        <v>Inspektorat</v>
      </c>
      <c r="Y503" s="563" t="str">
        <f>'matrik MISI 6'!Y37</f>
        <v>Jumlah Penanganan Temuan dibagi Jumlah Temuan x 100</v>
      </c>
      <c r="Z503" s="563" t="str">
        <f>'matrik MISI 6'!Z37</f>
        <v>Pengawasan dilakukan terhadap semua SKPD pada tiap tahunnya</v>
      </c>
    </row>
    <row r="504" spans="1:454">
      <c r="D504" s="749"/>
      <c r="E504" s="749"/>
      <c r="F504" s="749"/>
      <c r="G504" s="749"/>
      <c r="H504" s="749"/>
      <c r="I504" s="749"/>
      <c r="J504" s="749"/>
      <c r="K504" s="749"/>
      <c r="L504" s="749"/>
      <c r="M504" s="604"/>
      <c r="N504" s="749"/>
      <c r="O504" s="564"/>
      <c r="P504" s="749"/>
      <c r="Q504" s="564"/>
      <c r="R504" s="749"/>
      <c r="S504" s="564"/>
      <c r="T504" s="749"/>
      <c r="U504" s="564"/>
      <c r="V504" s="749"/>
      <c r="W504" s="564"/>
      <c r="X504" s="749"/>
      <c r="Y504" s="749"/>
      <c r="Z504" s="749"/>
    </row>
    <row r="505" spans="1:454" ht="60">
      <c r="D505" s="563" t="str">
        <f>'matrik MISI 6'!J38</f>
        <v>1.20</v>
      </c>
      <c r="E505" s="563" t="str">
        <f>'matrik MISI 6'!K38</f>
        <v>xx</v>
      </c>
      <c r="F505" s="563">
        <f>'matrik MISI 6'!L38</f>
        <v>22</v>
      </c>
      <c r="G505" s="563" t="str">
        <f>'matrik MISI 6'!M38</f>
        <v>Program Penataan dan Penyempurnaan Kebijakan Sistem dan Prosedur Pengawasan</v>
      </c>
      <c r="H505" s="563"/>
      <c r="I505" s="563"/>
      <c r="J505" s="563"/>
      <c r="K505" s="563"/>
      <c r="L505" s="563"/>
      <c r="M505" s="604"/>
      <c r="N505" s="563"/>
      <c r="O505" s="564"/>
      <c r="P505" s="563"/>
      <c r="Q505" s="564"/>
      <c r="R505" s="563"/>
      <c r="S505" s="564"/>
      <c r="T505" s="563"/>
      <c r="U505" s="564"/>
      <c r="V505" s="563"/>
      <c r="W505" s="564"/>
      <c r="X505" s="563"/>
      <c r="Y505" s="563">
        <f>'matrik MISI 6'!Y38</f>
        <v>0</v>
      </c>
      <c r="Z505" s="563">
        <f>'matrik MISI 6'!Z38</f>
        <v>0</v>
      </c>
    </row>
    <row r="506" spans="1:454" ht="60">
      <c r="G506" s="563"/>
      <c r="H506" s="563" t="str">
        <f>'matrik MISI 6'!N39</f>
        <v>Persentase SKPD, Unit Pelayanan, dan Satuan Pendidikan yang Menyusun Standar Pelayanan Publik</v>
      </c>
      <c r="I506" s="563" t="str">
        <f>'matrik MISI 6'!O39</f>
        <v>%</v>
      </c>
      <c r="J506" s="563">
        <f>'matrik MISI 6'!P39</f>
        <v>2.6785714285714284</v>
      </c>
      <c r="K506" s="563">
        <f>'matrik MISI 6'!Q39</f>
        <v>4.1071428571428568</v>
      </c>
      <c r="L506" s="563">
        <f>'matrik MISI 6'!R39</f>
        <v>7</v>
      </c>
      <c r="M506" s="604"/>
      <c r="N506" s="563">
        <f>'matrik MISI 6'!S39</f>
        <v>15</v>
      </c>
      <c r="O506" s="564"/>
      <c r="P506" s="563">
        <f>'matrik MISI 6'!T39</f>
        <v>45</v>
      </c>
      <c r="Q506" s="564"/>
      <c r="R506" s="563">
        <f>'matrik MISI 6'!U39</f>
        <v>70</v>
      </c>
      <c r="S506" s="564"/>
      <c r="T506" s="563">
        <f>'matrik MISI 6'!V39</f>
        <v>100</v>
      </c>
      <c r="U506" s="564"/>
      <c r="V506" s="563">
        <f>'matrik MISI 6'!W39</f>
        <v>100</v>
      </c>
      <c r="W506" s="564"/>
      <c r="X506" s="563" t="str">
        <f>'matrik MISI 6'!X39</f>
        <v>Bagian Organisasi dan Tata Laksana Setda</v>
      </c>
      <c r="Y506" s="563" t="str">
        <f>'matrik MISI 6'!Y39</f>
        <v>Jumlah SKPD yang Menyusun Standar Pelayanan Publik dibagi Jumlah SKPD yang wajib menyusun Standar Pelayanan Publik x 100</v>
      </c>
      <c r="Z506" s="563" t="str">
        <f>'matrik MISI 6'!Z39</f>
        <v>Tahun 2012 Jumlah Unit 560</v>
      </c>
    </row>
    <row r="507" spans="1:454" ht="60">
      <c r="G507" s="563"/>
      <c r="H507" s="563" t="str">
        <f>'matrik MISI 6'!N40</f>
        <v>Persentase SKPD, Unit Pelayanan, dan Satuan Pendidikan yang telah Memiliki SOP</v>
      </c>
      <c r="I507" s="563" t="str">
        <f>'matrik MISI 6'!O40</f>
        <v>%</v>
      </c>
      <c r="J507" s="563">
        <f>'matrik MISI 6'!P40</f>
        <v>1.2403100775193798</v>
      </c>
      <c r="K507" s="563">
        <f>'matrik MISI 6'!Q40</f>
        <v>2.4806201550387597</v>
      </c>
      <c r="L507" s="563">
        <f>'matrik MISI 6'!R40</f>
        <v>8</v>
      </c>
      <c r="M507" s="604"/>
      <c r="N507" s="563">
        <f>'matrik MISI 6'!S40</f>
        <v>25</v>
      </c>
      <c r="O507" s="564"/>
      <c r="P507" s="563">
        <f>'matrik MISI 6'!T40</f>
        <v>50</v>
      </c>
      <c r="Q507" s="564"/>
      <c r="R507" s="563">
        <f>'matrik MISI 6'!U40</f>
        <v>75</v>
      </c>
      <c r="S507" s="564"/>
      <c r="T507" s="563">
        <f>'matrik MISI 6'!V40</f>
        <v>100</v>
      </c>
      <c r="U507" s="564"/>
      <c r="V507" s="563">
        <f>'matrik MISI 6'!W40</f>
        <v>100</v>
      </c>
      <c r="W507" s="564"/>
      <c r="X507" s="563" t="str">
        <f>'matrik MISI 6'!X40</f>
        <v>Bagian Organisasi dan Tata Laksana Setda</v>
      </c>
      <c r="Y507" s="563" t="str">
        <f>'matrik MISI 6'!Y40</f>
        <v>Jumlah SKPD yang Menyusun Standar Operasional Prosedur dibagi Jumlah SKPD x 100</v>
      </c>
      <c r="Z507" s="563" t="str">
        <f>'matrik MISI 6'!Z40</f>
        <v>SOP apa saja yang penetapannya dengan bagian ortala</v>
      </c>
    </row>
    <row r="508" spans="1:454" ht="30">
      <c r="G508" s="563"/>
      <c r="H508" s="563" t="str">
        <f>'matrik MISI 6'!N41</f>
        <v>Meningkatnya Indeks Kepuasan Masyarakat</v>
      </c>
      <c r="I508" s="563" t="str">
        <f>'matrik MISI 6'!O41</f>
        <v>Kriteria</v>
      </c>
      <c r="J508" s="563" t="str">
        <f>'matrik MISI 6'!P41</f>
        <v>B</v>
      </c>
      <c r="K508" s="563" t="str">
        <f>'matrik MISI 6'!Q41</f>
        <v>B</v>
      </c>
      <c r="L508" s="563" t="str">
        <f>'matrik MISI 6'!R41</f>
        <v>B</v>
      </c>
      <c r="M508" s="604"/>
      <c r="N508" s="563" t="str">
        <f>'matrik MISI 6'!S41</f>
        <v>B</v>
      </c>
      <c r="O508" s="564"/>
      <c r="P508" s="563" t="str">
        <f>'matrik MISI 6'!T41</f>
        <v>B</v>
      </c>
      <c r="Q508" s="564"/>
      <c r="R508" s="563" t="str">
        <f>'matrik MISI 6'!U41</f>
        <v>B</v>
      </c>
      <c r="S508" s="564"/>
      <c r="T508" s="563" t="str">
        <f>'matrik MISI 6'!V41</f>
        <v>B</v>
      </c>
      <c r="U508" s="564"/>
      <c r="V508" s="563" t="str">
        <f>'matrik MISI 6'!W41</f>
        <v>B</v>
      </c>
      <c r="W508" s="564"/>
      <c r="X508" s="563" t="str">
        <f>'matrik MISI 6'!X41</f>
        <v>Bagian Organisasi dan Tata Laksana Setda</v>
      </c>
      <c r="Y508" s="563">
        <f>'matrik MISI 6'!Y41</f>
        <v>0</v>
      </c>
      <c r="Z508" s="563">
        <f>'matrik MISI 6'!Z41</f>
        <v>0</v>
      </c>
    </row>
    <row r="509" spans="1:454">
      <c r="D509" s="749"/>
      <c r="E509" s="749"/>
      <c r="F509" s="749"/>
      <c r="G509" s="749"/>
      <c r="H509" s="749"/>
      <c r="I509" s="749"/>
      <c r="J509" s="749"/>
      <c r="K509" s="749"/>
      <c r="L509" s="749"/>
      <c r="M509" s="604"/>
      <c r="N509" s="749"/>
      <c r="O509" s="564"/>
      <c r="P509" s="749"/>
      <c r="Q509" s="564"/>
      <c r="R509" s="749"/>
      <c r="S509" s="564"/>
      <c r="T509" s="749"/>
      <c r="U509" s="564"/>
      <c r="V509" s="749"/>
      <c r="W509" s="564"/>
      <c r="X509" s="749"/>
      <c r="Y509" s="749"/>
      <c r="Z509" s="749"/>
    </row>
    <row r="510" spans="1:454" ht="45">
      <c r="D510" s="563">
        <f>'matrik MISI 6'!J42</f>
        <v>1.06</v>
      </c>
      <c r="E510" s="563" t="str">
        <f>'matrik MISI 6'!K42</f>
        <v>xx</v>
      </c>
      <c r="F510" s="563">
        <f>'matrik MISI 6'!L42</f>
        <v>15</v>
      </c>
      <c r="G510" s="563" t="str">
        <f>'matrik MISI 6'!M42</f>
        <v>Program Perencanaan Pembangunan Daerah</v>
      </c>
      <c r="H510" s="563" t="str">
        <f>'matrik MISI 6'!N42</f>
        <v>Peningkatan Nilai Sistem Akuntabilitas Kinerja Instansi Pemerintah (SAKIP)</v>
      </c>
      <c r="I510" s="563" t="str">
        <f>'matrik MISI 6'!O42</f>
        <v>Kriteria</v>
      </c>
      <c r="J510" s="563" t="str">
        <f>'matrik MISI 6'!P42</f>
        <v>C</v>
      </c>
      <c r="K510" s="563" t="str">
        <f>'matrik MISI 6'!Q42</f>
        <v>CC</v>
      </c>
      <c r="L510" s="563" t="str">
        <f>'matrik MISI 6'!R42</f>
        <v>CC</v>
      </c>
      <c r="M510" s="604"/>
      <c r="N510" s="563" t="str">
        <f>'matrik MISI 6'!S42</f>
        <v>B</v>
      </c>
      <c r="O510" s="564"/>
      <c r="P510" s="563" t="str">
        <f>'matrik MISI 6'!T42</f>
        <v>B</v>
      </c>
      <c r="Q510" s="564"/>
      <c r="R510" s="563" t="str">
        <f>'matrik MISI 6'!U42</f>
        <v>B</v>
      </c>
      <c r="S510" s="564"/>
      <c r="T510" s="563" t="str">
        <f>'matrik MISI 6'!V42</f>
        <v>B</v>
      </c>
      <c r="U510" s="564"/>
      <c r="V510" s="563" t="str">
        <f>'matrik MISI 6'!W42</f>
        <v>B</v>
      </c>
      <c r="W510" s="564"/>
      <c r="X510" s="563" t="str">
        <f>'matrik MISI 6'!X42</f>
        <v>Bagian Organisasi dan Tata Laksana Setda</v>
      </c>
      <c r="Y510" s="563" t="str">
        <f>'matrik MISI 6'!Y42</f>
        <v>Nilai SAKIP oleh Kemenpan dan RB</v>
      </c>
      <c r="Z510" s="563" t="str">
        <f>'matrik MISI 6'!Z42</f>
        <v>Serasa perlu digabungkan indikatornya</v>
      </c>
    </row>
    <row r="511" spans="1:454">
      <c r="D511" s="749"/>
      <c r="E511" s="749"/>
      <c r="F511" s="749"/>
      <c r="G511" s="749"/>
      <c r="H511" s="749"/>
      <c r="I511" s="749"/>
      <c r="J511" s="749"/>
      <c r="K511" s="749"/>
      <c r="L511" s="749"/>
      <c r="M511" s="604"/>
      <c r="N511" s="749"/>
      <c r="O511" s="564"/>
      <c r="P511" s="749"/>
      <c r="Q511" s="564"/>
      <c r="R511" s="749"/>
      <c r="S511" s="564"/>
      <c r="T511" s="749"/>
      <c r="U511" s="564"/>
      <c r="V511" s="749"/>
      <c r="W511" s="564"/>
      <c r="X511" s="749"/>
      <c r="Y511" s="749"/>
      <c r="Z511" s="749"/>
    </row>
    <row r="512" spans="1:454" ht="30">
      <c r="D512" s="563" t="str">
        <f>'matrik MISI 6'!J43</f>
        <v>1.20</v>
      </c>
      <c r="E512" s="563" t="str">
        <f>'matrik MISI 6'!K43</f>
        <v>xx</v>
      </c>
      <c r="F512" s="563">
        <f>'matrik MISI 6'!L43</f>
        <v>27</v>
      </c>
      <c r="G512" s="563" t="str">
        <f>'matrik MISI 6'!M43</f>
        <v>Program Penataan Daerah Otonomi Baru</v>
      </c>
      <c r="H512" s="563"/>
      <c r="I512" s="563"/>
      <c r="J512" s="563"/>
      <c r="K512" s="563"/>
      <c r="L512" s="563"/>
      <c r="M512" s="604"/>
      <c r="N512" s="563"/>
      <c r="O512" s="564"/>
      <c r="P512" s="563"/>
      <c r="Q512" s="564"/>
      <c r="R512" s="563"/>
      <c r="S512" s="564"/>
      <c r="T512" s="563"/>
      <c r="U512" s="564"/>
      <c r="V512" s="563"/>
      <c r="W512" s="564"/>
      <c r="X512" s="563"/>
      <c r="Y512" s="563"/>
      <c r="Z512" s="563"/>
    </row>
    <row r="513" spans="4:26">
      <c r="D513" s="749"/>
      <c r="E513" s="749"/>
      <c r="F513" s="749"/>
      <c r="G513" s="749"/>
      <c r="H513" s="749"/>
      <c r="I513" s="749"/>
      <c r="J513" s="749"/>
      <c r="K513" s="749"/>
      <c r="L513" s="749"/>
      <c r="M513" s="604"/>
      <c r="N513" s="749"/>
      <c r="O513" s="564"/>
      <c r="P513" s="749"/>
      <c r="Q513" s="564"/>
      <c r="R513" s="749"/>
      <c r="S513" s="564"/>
      <c r="T513" s="749"/>
      <c r="U513" s="564"/>
      <c r="V513" s="749"/>
      <c r="W513" s="564"/>
      <c r="X513" s="749"/>
      <c r="Y513" s="749"/>
      <c r="Z513" s="749"/>
    </row>
    <row r="514" spans="4:26" ht="45">
      <c r="D514" s="563" t="str">
        <f>'matrik MISI 6'!J44</f>
        <v>1.20</v>
      </c>
      <c r="E514" s="563" t="str">
        <f>'matrik MISI 6'!K44</f>
        <v>xx</v>
      </c>
      <c r="F514" s="563">
        <f>'matrik MISI 6'!L44</f>
        <v>29</v>
      </c>
      <c r="G514" s="563" t="str">
        <f>'matrik MISI 6'!M44</f>
        <v>Program Pengendalian Pelaksanaan Kegiatan APBD</v>
      </c>
      <c r="H514" s="563"/>
      <c r="I514" s="563"/>
      <c r="J514" s="563"/>
      <c r="K514" s="563"/>
      <c r="L514" s="563"/>
      <c r="M514" s="604"/>
      <c r="N514" s="563"/>
      <c r="O514" s="564"/>
      <c r="P514" s="563"/>
      <c r="Q514" s="564"/>
      <c r="R514" s="563"/>
      <c r="S514" s="564"/>
      <c r="T514" s="563"/>
      <c r="U514" s="564"/>
      <c r="V514" s="563"/>
      <c r="W514" s="564"/>
      <c r="X514" s="563"/>
      <c r="Y514" s="563"/>
      <c r="Z514" s="563"/>
    </row>
    <row r="515" spans="4:26">
      <c r="D515" s="749"/>
      <c r="E515" s="749"/>
      <c r="F515" s="749"/>
      <c r="G515" s="749"/>
      <c r="H515" s="749"/>
      <c r="I515" s="749"/>
      <c r="J515" s="749"/>
      <c r="K515" s="749"/>
      <c r="L515" s="749"/>
      <c r="M515" s="604"/>
      <c r="N515" s="749"/>
      <c r="O515" s="564"/>
      <c r="P515" s="749"/>
      <c r="Q515" s="564"/>
      <c r="R515" s="749"/>
      <c r="S515" s="564"/>
      <c r="T515" s="749"/>
      <c r="U515" s="564"/>
      <c r="V515" s="749"/>
      <c r="W515" s="564"/>
      <c r="X515" s="749"/>
      <c r="Y515" s="749"/>
      <c r="Z515" s="749"/>
    </row>
    <row r="516" spans="4:26" ht="60">
      <c r="D516" s="563" t="str">
        <f>'matrik MISI 6'!J45</f>
        <v>1.20</v>
      </c>
      <c r="E516" s="563" t="str">
        <f>'matrik MISI 6'!K45</f>
        <v>xx</v>
      </c>
      <c r="F516" s="563">
        <f>'matrik MISI 6'!L45</f>
        <v>16</v>
      </c>
      <c r="G516" s="563" t="str">
        <f>'matrik MISI 6'!M45</f>
        <v>Program Peningkatan Pelayanan Kedinasan Kepala Daerah/Wakil Kepala Daerah</v>
      </c>
      <c r="H516" s="563"/>
      <c r="I516" s="563"/>
      <c r="J516" s="563"/>
      <c r="K516" s="563"/>
      <c r="L516" s="563"/>
      <c r="M516" s="604"/>
      <c r="N516" s="563"/>
      <c r="O516" s="564"/>
      <c r="P516" s="563"/>
      <c r="Q516" s="564"/>
      <c r="R516" s="563"/>
      <c r="S516" s="564"/>
      <c r="T516" s="563"/>
      <c r="U516" s="564"/>
      <c r="V516" s="563"/>
      <c r="W516" s="564"/>
      <c r="X516" s="563"/>
      <c r="Y516" s="563"/>
      <c r="Z516" s="563"/>
    </row>
    <row r="517" spans="4:26">
      <c r="D517" s="749"/>
      <c r="E517" s="749"/>
      <c r="F517" s="749"/>
      <c r="G517" s="749"/>
      <c r="H517" s="749"/>
      <c r="I517" s="749"/>
      <c r="J517" s="749"/>
      <c r="K517" s="749"/>
      <c r="L517" s="749"/>
      <c r="M517" s="604"/>
      <c r="N517" s="749"/>
      <c r="O517" s="564"/>
      <c r="P517" s="749"/>
      <c r="Q517" s="564"/>
      <c r="R517" s="749"/>
      <c r="S517" s="564"/>
      <c r="T517" s="749"/>
      <c r="U517" s="564"/>
      <c r="V517" s="749"/>
      <c r="W517" s="564"/>
      <c r="X517" s="749"/>
      <c r="Y517" s="749"/>
      <c r="Z517" s="749"/>
    </row>
    <row r="518" spans="4:26" ht="45">
      <c r="D518" s="563" t="str">
        <f>'matrik MISI 6'!J46</f>
        <v>1.20</v>
      </c>
      <c r="E518" s="563" t="str">
        <f>'matrik MISI 6'!K46</f>
        <v>xx</v>
      </c>
      <c r="F518" s="563">
        <f>'matrik MISI 6'!L46</f>
        <v>34</v>
      </c>
      <c r="G518" s="563" t="str">
        <f>'matrik MISI 6'!M46</f>
        <v>Program Pembinaan dan Pengembangan Aparatur</v>
      </c>
      <c r="H518" s="563"/>
      <c r="I518" s="563"/>
      <c r="J518" s="563"/>
      <c r="K518" s="563"/>
      <c r="L518" s="563"/>
      <c r="M518" s="604"/>
      <c r="N518" s="563"/>
      <c r="O518" s="564"/>
      <c r="P518" s="563"/>
      <c r="Q518" s="564"/>
      <c r="R518" s="563"/>
      <c r="S518" s="564"/>
      <c r="T518" s="563"/>
      <c r="U518" s="564"/>
      <c r="V518" s="563"/>
      <c r="W518" s="564"/>
      <c r="X518" s="563"/>
      <c r="Y518" s="563"/>
      <c r="Z518" s="563"/>
    </row>
    <row r="519" spans="4:26">
      <c r="D519" s="749"/>
      <c r="E519" s="749"/>
      <c r="F519" s="749"/>
      <c r="G519" s="749"/>
      <c r="H519" s="749"/>
      <c r="I519" s="749"/>
      <c r="J519" s="749"/>
      <c r="K519" s="749"/>
      <c r="L519" s="749"/>
      <c r="M519" s="604"/>
      <c r="N519" s="749"/>
      <c r="O519" s="564"/>
      <c r="P519" s="749"/>
      <c r="Q519" s="564"/>
      <c r="R519" s="749"/>
      <c r="S519" s="564"/>
      <c r="T519" s="749"/>
      <c r="U519" s="564"/>
      <c r="V519" s="749"/>
      <c r="W519" s="564"/>
      <c r="X519" s="749"/>
      <c r="Y519" s="749"/>
      <c r="Z519" s="749"/>
    </row>
    <row r="520" spans="4:26" ht="60">
      <c r="D520" s="563">
        <f>'matrik MISI 6'!J47</f>
        <v>1.06</v>
      </c>
      <c r="E520" s="563" t="str">
        <f>'matrik MISI 6'!K47</f>
        <v>xx</v>
      </c>
      <c r="F520" s="563">
        <f>'matrik MISI 6'!L47</f>
        <v>15</v>
      </c>
      <c r="G520" s="563" t="str">
        <f>'matrik MISI 6'!M47</f>
        <v>Program Perencanaan Pembangunan Daerah</v>
      </c>
      <c r="H520" s="563" t="str">
        <f>'matrik MISI 6'!N47</f>
        <v>Persentase Ketepatan Waktu SKPD dalam Penyampaian Laporan Kinerja (LAKIP dan TAPKIN)</v>
      </c>
      <c r="I520" s="563" t="str">
        <f>'matrik MISI 6'!O47</f>
        <v>%</v>
      </c>
      <c r="J520" s="563">
        <f>'matrik MISI 6'!P47</f>
        <v>50</v>
      </c>
      <c r="K520" s="563">
        <f>'matrik MISI 6'!Q47</f>
        <v>60</v>
      </c>
      <c r="L520" s="563">
        <f>'matrik MISI 6'!R47</f>
        <v>70</v>
      </c>
      <c r="M520" s="604"/>
      <c r="N520" s="563">
        <f>'matrik MISI 6'!S47</f>
        <v>80</v>
      </c>
      <c r="O520" s="564"/>
      <c r="P520" s="563">
        <f>'matrik MISI 6'!T47</f>
        <v>90</v>
      </c>
      <c r="Q520" s="564"/>
      <c r="R520" s="563">
        <f>'matrik MISI 6'!U47</f>
        <v>95</v>
      </c>
      <c r="S520" s="564"/>
      <c r="T520" s="563">
        <f>'matrik MISI 6'!V47</f>
        <v>95</v>
      </c>
      <c r="U520" s="564"/>
      <c r="V520" s="563">
        <f>'matrik MISI 6'!W47</f>
        <v>95</v>
      </c>
      <c r="W520" s="564"/>
      <c r="X520" s="563" t="str">
        <f>'matrik MISI 6'!X47</f>
        <v>Bagian Organisasi dan Tata Laksana Setda</v>
      </c>
      <c r="Y520" s="563" t="str">
        <f>'matrik MISI 6'!Y47</f>
        <v>Jumlah SKPD dalam Penyampaian Laporan Kinerja (LAKIP dan TAPKIN) tepat waktu dibagi jumlah SKPD x 100 %</v>
      </c>
      <c r="Z520" s="563">
        <f>'matrik MISI 6'!Z47</f>
        <v>0</v>
      </c>
    </row>
    <row r="521" spans="4:26">
      <c r="D521" s="749"/>
      <c r="E521" s="749"/>
      <c r="F521" s="749"/>
      <c r="G521" s="749"/>
      <c r="H521" s="749"/>
      <c r="I521" s="749"/>
      <c r="J521" s="749"/>
      <c r="K521" s="749"/>
      <c r="L521" s="749"/>
      <c r="M521" s="604"/>
      <c r="N521" s="749"/>
      <c r="O521" s="564"/>
      <c r="P521" s="749"/>
      <c r="Q521" s="564"/>
      <c r="R521" s="749"/>
      <c r="S521" s="564"/>
      <c r="T521" s="749"/>
      <c r="U521" s="564"/>
      <c r="V521" s="749"/>
      <c r="W521" s="564"/>
      <c r="X521" s="749"/>
      <c r="Y521" s="749"/>
      <c r="Z521" s="749"/>
    </row>
    <row r="522" spans="4:26" ht="30">
      <c r="D522" s="563" t="str">
        <f>'matrik MISI 6'!J48</f>
        <v>1.20</v>
      </c>
      <c r="E522" s="563" t="str">
        <f>'matrik MISI 6'!K48</f>
        <v>xx</v>
      </c>
      <c r="F522" s="563">
        <f>'matrik MISI 6'!L48</f>
        <v>27</v>
      </c>
      <c r="G522" s="563" t="str">
        <f>'matrik MISI 6'!M48</f>
        <v>Program Penataan Daerah Otonomi Baru</v>
      </c>
      <c r="H522" s="563"/>
      <c r="I522" s="563"/>
      <c r="J522" s="563"/>
      <c r="K522" s="563"/>
      <c r="L522" s="563"/>
      <c r="M522" s="604"/>
      <c r="N522" s="563"/>
      <c r="O522" s="564"/>
      <c r="P522" s="563"/>
      <c r="Q522" s="564"/>
      <c r="R522" s="563"/>
      <c r="S522" s="564"/>
      <c r="T522" s="563"/>
      <c r="U522" s="564"/>
      <c r="V522" s="563"/>
      <c r="W522" s="564"/>
      <c r="X522" s="563"/>
      <c r="Y522" s="563"/>
      <c r="Z522" s="563"/>
    </row>
    <row r="523" spans="4:26">
      <c r="D523" s="749"/>
      <c r="E523" s="749"/>
      <c r="F523" s="749"/>
      <c r="G523" s="749"/>
      <c r="H523" s="749"/>
      <c r="I523" s="749"/>
      <c r="J523" s="749"/>
      <c r="K523" s="749"/>
      <c r="L523" s="749"/>
      <c r="M523" s="604"/>
      <c r="N523" s="749"/>
      <c r="O523" s="564"/>
      <c r="P523" s="749"/>
      <c r="Q523" s="564"/>
      <c r="R523" s="749"/>
      <c r="S523" s="564"/>
      <c r="T523" s="749"/>
      <c r="U523" s="564"/>
      <c r="V523" s="749"/>
      <c r="W523" s="564"/>
      <c r="X523" s="749"/>
      <c r="Y523" s="749"/>
      <c r="Z523" s="749"/>
    </row>
    <row r="524" spans="4:26" ht="45">
      <c r="D524" s="563" t="str">
        <f>'matrik MISI 6'!J49</f>
        <v>1.20</v>
      </c>
      <c r="E524" s="563" t="str">
        <f>'matrik MISI 6'!K49</f>
        <v>xx</v>
      </c>
      <c r="F524" s="563">
        <f>'matrik MISI 6'!L49</f>
        <v>29</v>
      </c>
      <c r="G524" s="563" t="str">
        <f>'matrik MISI 6'!M49</f>
        <v>Program Pengendalian Pelaksanaan Kegiatan APBD</v>
      </c>
      <c r="H524" s="563"/>
      <c r="I524" s="563"/>
      <c r="J524" s="563"/>
      <c r="K524" s="563"/>
      <c r="L524" s="563"/>
      <c r="M524" s="604"/>
      <c r="N524" s="563"/>
      <c r="O524" s="564"/>
      <c r="P524" s="563"/>
      <c r="Q524" s="564"/>
      <c r="R524" s="563"/>
      <c r="S524" s="564"/>
      <c r="T524" s="563"/>
      <c r="U524" s="564"/>
      <c r="V524" s="563"/>
      <c r="W524" s="564"/>
      <c r="X524" s="563"/>
      <c r="Y524" s="563"/>
      <c r="Z524" s="563"/>
    </row>
    <row r="525" spans="4:26">
      <c r="D525" s="749"/>
      <c r="E525" s="749"/>
      <c r="F525" s="749"/>
      <c r="G525" s="749"/>
      <c r="H525" s="749"/>
      <c r="I525" s="749"/>
      <c r="J525" s="749"/>
      <c r="K525" s="749"/>
      <c r="L525" s="749"/>
      <c r="M525" s="604"/>
      <c r="N525" s="749"/>
      <c r="O525" s="564"/>
      <c r="P525" s="749"/>
      <c r="Q525" s="564"/>
      <c r="R525" s="749"/>
      <c r="S525" s="564"/>
      <c r="T525" s="749"/>
      <c r="U525" s="564"/>
      <c r="V525" s="749"/>
      <c r="W525" s="564"/>
      <c r="X525" s="749"/>
      <c r="Y525" s="749"/>
      <c r="Z525" s="749"/>
    </row>
    <row r="526" spans="4:26" ht="60">
      <c r="D526" s="563" t="str">
        <f>'matrik MISI 6'!J50</f>
        <v>1.20</v>
      </c>
      <c r="E526" s="563" t="str">
        <f>'matrik MISI 6'!K50</f>
        <v>xx</v>
      </c>
      <c r="F526" s="563">
        <f>'matrik MISI 6'!L50</f>
        <v>16</v>
      </c>
      <c r="G526" s="563" t="str">
        <f>'matrik MISI 6'!M50</f>
        <v>Program Peningkatan Pelayanan Kedinasan Kepala Daerah/Wakil Kepala Daerah</v>
      </c>
      <c r="H526" s="563"/>
      <c r="I526" s="563"/>
      <c r="J526" s="563"/>
      <c r="K526" s="563"/>
      <c r="L526" s="563"/>
      <c r="M526" s="604"/>
      <c r="N526" s="563"/>
      <c r="O526" s="564"/>
      <c r="P526" s="563"/>
      <c r="Q526" s="564"/>
      <c r="R526" s="563"/>
      <c r="S526" s="564"/>
      <c r="T526" s="563"/>
      <c r="U526" s="564"/>
      <c r="V526" s="563"/>
      <c r="W526" s="564"/>
      <c r="X526" s="563"/>
      <c r="Y526" s="563"/>
      <c r="Z526" s="563"/>
    </row>
    <row r="527" spans="4:26">
      <c r="D527" s="749"/>
      <c r="E527" s="749"/>
      <c r="F527" s="749"/>
      <c r="G527" s="749"/>
      <c r="H527" s="749"/>
      <c r="I527" s="749"/>
      <c r="J527" s="749"/>
      <c r="K527" s="749"/>
      <c r="L527" s="749"/>
      <c r="M527" s="604"/>
      <c r="N527" s="749"/>
      <c r="O527" s="564"/>
      <c r="P527" s="749"/>
      <c r="Q527" s="564"/>
      <c r="R527" s="749"/>
      <c r="S527" s="564"/>
      <c r="T527" s="749"/>
      <c r="U527" s="564"/>
      <c r="V527" s="749"/>
      <c r="W527" s="564"/>
      <c r="X527" s="749"/>
      <c r="Y527" s="749"/>
      <c r="Z527" s="749"/>
    </row>
    <row r="528" spans="4:26" ht="45">
      <c r="D528" s="563" t="str">
        <f>'matrik MISI 6'!J52</f>
        <v>1.20</v>
      </c>
      <c r="E528" s="563" t="str">
        <f>'matrik MISI 6'!K52</f>
        <v>xx</v>
      </c>
      <c r="F528" s="563">
        <f>'matrik MISI 6'!L52</f>
        <v>29</v>
      </c>
      <c r="G528" s="563" t="str">
        <f>'matrik MISI 6'!M52</f>
        <v>Program Pengendalian Pelaksanaan Kegiatan APBD</v>
      </c>
      <c r="H528" s="563" t="str">
        <f>'matrik MISI 6'!N52</f>
        <v xml:space="preserve">Persentase Keberhasilan pengadaan barang/jasa  </v>
      </c>
      <c r="I528" s="563" t="str">
        <f>'matrik MISI 6'!O52</f>
        <v>%</v>
      </c>
      <c r="J528" s="563">
        <f>'matrik MISI 6'!P52</f>
        <v>0</v>
      </c>
      <c r="K528" s="563">
        <f>'matrik MISI 6'!Q52</f>
        <v>0</v>
      </c>
      <c r="L528" s="563">
        <f>'matrik MISI 6'!R52</f>
        <v>100</v>
      </c>
      <c r="M528" s="604"/>
      <c r="N528" s="563">
        <f>'matrik MISI 6'!S52</f>
        <v>100</v>
      </c>
      <c r="O528" s="564"/>
      <c r="P528" s="563">
        <f>'matrik MISI 6'!T52</f>
        <v>100</v>
      </c>
      <c r="Q528" s="564"/>
      <c r="R528" s="563">
        <f>'matrik MISI 6'!U52</f>
        <v>100</v>
      </c>
      <c r="S528" s="564"/>
      <c r="T528" s="563">
        <f>'matrik MISI 6'!V52</f>
        <v>100</v>
      </c>
      <c r="U528" s="564"/>
      <c r="V528" s="563">
        <f>'matrik MISI 6'!W52</f>
        <v>100</v>
      </c>
      <c r="W528" s="564"/>
      <c r="X528" s="563" t="str">
        <f>'matrik MISI 6'!X52</f>
        <v>Bagian Pembangunan Setda</v>
      </c>
      <c r="Y528" s="563" t="str">
        <f>'matrik MISI 6'!Y52</f>
        <v>Jumlah pengadaan barang/jasa yang Berhasil dibagi jumlah DURP x 100 %</v>
      </c>
      <c r="Z528" s="563">
        <f>'matrik MISI 6'!Z52</f>
        <v>0</v>
      </c>
    </row>
    <row r="529" spans="1:454" ht="45">
      <c r="D529" s="563" t="str">
        <f>'matrik MISI 6'!J53</f>
        <v>1.20</v>
      </c>
      <c r="E529" s="563" t="str">
        <f>'matrik MISI 6'!K53</f>
        <v>xx</v>
      </c>
      <c r="F529" s="563">
        <f>'matrik MISI 6'!L53</f>
        <v>18</v>
      </c>
      <c r="G529" s="563" t="str">
        <f>'matrik MISI 6'!M53</f>
        <v>Program Pembinaan dan Fasilitasi Pengelolaan Keuangan Kabupaten</v>
      </c>
      <c r="H529" s="563" t="str">
        <f>'matrik MISI 6'!N53</f>
        <v>Persentase Kegiatan yang dilaksanakan tepat waktu</v>
      </c>
      <c r="I529" s="563" t="str">
        <f>'matrik MISI 6'!O53</f>
        <v>%</v>
      </c>
      <c r="J529" s="563">
        <f>'matrik MISI 6'!P53</f>
        <v>0</v>
      </c>
      <c r="K529" s="563">
        <f>'matrik MISI 6'!Q53</f>
        <v>0</v>
      </c>
      <c r="L529" s="563">
        <f>'matrik MISI 6'!R53</f>
        <v>100</v>
      </c>
      <c r="M529" s="604"/>
      <c r="N529" s="563">
        <f>'matrik MISI 6'!S53</f>
        <v>100</v>
      </c>
      <c r="O529" s="564"/>
      <c r="P529" s="563">
        <f>'matrik MISI 6'!T53</f>
        <v>100</v>
      </c>
      <c r="Q529" s="564"/>
      <c r="R529" s="563">
        <f>'matrik MISI 6'!U53</f>
        <v>100</v>
      </c>
      <c r="S529" s="564"/>
      <c r="T529" s="563">
        <f>'matrik MISI 6'!V53</f>
        <v>100</v>
      </c>
      <c r="U529" s="564"/>
      <c r="V529" s="563">
        <f>'matrik MISI 6'!W53</f>
        <v>100</v>
      </c>
      <c r="W529" s="564"/>
      <c r="X529" s="563" t="str">
        <f>'matrik MISI 6'!X53</f>
        <v>Bagian Pembangunan Setda</v>
      </c>
      <c r="Y529" s="563" t="str">
        <f>'matrik MISI 6'!Y53</f>
        <v>Jumlah Kegiatan yang dilaksanakan tepat waktu oleh Pihak ketiga dibagi jumlah kegiatan oleh pihak ketiga x 100 %</v>
      </c>
      <c r="Z529" s="563">
        <f>'matrik MISI 6'!Z53</f>
        <v>0</v>
      </c>
    </row>
    <row r="530" spans="1:454">
      <c r="D530" s="749"/>
      <c r="E530" s="749"/>
      <c r="F530" s="749"/>
      <c r="G530" s="749"/>
      <c r="H530" s="749"/>
      <c r="I530" s="749"/>
      <c r="J530" s="749"/>
      <c r="K530" s="749"/>
      <c r="L530" s="749"/>
      <c r="M530" s="604"/>
      <c r="N530" s="749"/>
      <c r="O530" s="564"/>
      <c r="P530" s="749"/>
      <c r="Q530" s="564"/>
      <c r="R530" s="749"/>
      <c r="S530" s="564"/>
      <c r="T530" s="749"/>
      <c r="U530" s="564"/>
      <c r="V530" s="749"/>
      <c r="W530" s="564"/>
      <c r="X530" s="749"/>
      <c r="Y530" s="749"/>
      <c r="Z530" s="749"/>
    </row>
    <row r="531" spans="1:454" ht="60">
      <c r="D531" s="563" t="str">
        <f>'matrik MISI 6'!J54</f>
        <v>1.20</v>
      </c>
      <c r="E531" s="563" t="str">
        <f>'matrik MISI 6'!K54</f>
        <v>xx</v>
      </c>
      <c r="F531" s="563">
        <f>'matrik MISI 6'!L54</f>
        <v>26</v>
      </c>
      <c r="G531" s="563" t="str">
        <f>'matrik MISI 6'!M54</f>
        <v>Program Penataan Peraturan Perundang-undangan</v>
      </c>
      <c r="H531" s="563" t="str">
        <f>'matrik MISI 6'!N54</f>
        <v>Persentase Jumlah Peraturan Daerah yang Ditindaklanjuti Terhadap Jumlah Total Peraturan Daerah dalam 1 (Satu) Tahun</v>
      </c>
      <c r="I531" s="563" t="str">
        <f>'matrik MISI 6'!O54</f>
        <v>%</v>
      </c>
      <c r="J531" s="563" t="str">
        <f>'matrik MISI 6'!P54</f>
        <v>96,6</v>
      </c>
      <c r="K531" s="563">
        <f>'matrik MISI 6'!Q54</f>
        <v>100</v>
      </c>
      <c r="L531" s="563">
        <f>'matrik MISI 6'!R54</f>
        <v>100</v>
      </c>
      <c r="M531" s="604"/>
      <c r="N531" s="563">
        <f>'matrik MISI 6'!S54</f>
        <v>100</v>
      </c>
      <c r="O531" s="564"/>
      <c r="P531" s="563">
        <f>'matrik MISI 6'!T54</f>
        <v>100</v>
      </c>
      <c r="Q531" s="564"/>
      <c r="R531" s="563">
        <f>'matrik MISI 6'!U54</f>
        <v>100</v>
      </c>
      <c r="S531" s="564"/>
      <c r="T531" s="563">
        <f>'matrik MISI 6'!V54</f>
        <v>100</v>
      </c>
      <c r="U531" s="564"/>
      <c r="V531" s="563">
        <f>'matrik MISI 6'!W54</f>
        <v>100</v>
      </c>
      <c r="W531" s="564"/>
      <c r="X531" s="563" t="str">
        <f>'matrik MISI 6'!X54</f>
        <v>Bagian Hukum Setda</v>
      </c>
      <c r="Y531" s="563" t="str">
        <f>'matrik MISI 6'!Y54</f>
        <v>Jumlah Peraturan Daerah yang Ditindaklanjuti dibagi jumlah Total Peraturan Daerah dalam 1 (Satu) Tahun x 100 %</v>
      </c>
      <c r="Z531" s="563" t="str">
        <f>'matrik MISI 6'!Z54</f>
        <v>Kreteria tindak lanjut perda :Perbup,Juklak Juknis untuk diperjelas</v>
      </c>
    </row>
    <row r="532" spans="1:454">
      <c r="D532" s="650"/>
      <c r="E532" s="650"/>
      <c r="F532" s="650"/>
      <c r="G532" s="650"/>
      <c r="H532" s="650"/>
      <c r="I532" s="650"/>
      <c r="J532" s="650"/>
      <c r="K532" s="650"/>
      <c r="L532" s="650"/>
      <c r="M532" s="604"/>
      <c r="N532" s="650"/>
      <c r="O532" s="564"/>
      <c r="P532" s="650"/>
      <c r="Q532" s="564"/>
      <c r="R532" s="650"/>
      <c r="S532" s="564"/>
      <c r="T532" s="650"/>
      <c r="U532" s="564"/>
      <c r="V532" s="650"/>
      <c r="W532" s="564"/>
      <c r="X532" s="650"/>
      <c r="Y532" s="650"/>
      <c r="Z532" s="650"/>
      <c r="AE532" s="569">
        <v>2014</v>
      </c>
      <c r="AG532" s="569">
        <v>15</v>
      </c>
      <c r="AI532" s="569">
        <v>16</v>
      </c>
      <c r="AK532" s="569">
        <v>17</v>
      </c>
      <c r="AM532" s="569">
        <v>18</v>
      </c>
    </row>
    <row r="533" spans="1:454" ht="60" customHeight="1">
      <c r="D533" s="568"/>
      <c r="E533" s="568"/>
      <c r="F533" s="568"/>
      <c r="G533" s="568"/>
      <c r="H533" s="1150" t="str">
        <f>'matrik MISI 6'!N55</f>
        <v>Persentase Anggaran Penata usahaan SKPD terhadap Total Belanja Langsung SKPD dalam 1 (satu) Tahun</v>
      </c>
      <c r="I533" s="563" t="str">
        <f>'matrik MISI 6'!O55</f>
        <v>%</v>
      </c>
      <c r="J533" s="563">
        <f>'matrik MISI 6'!P55</f>
        <v>26</v>
      </c>
      <c r="K533" s="563">
        <f>'matrik MISI 6'!Q55</f>
        <v>26</v>
      </c>
      <c r="L533" s="563">
        <f>'matrik MISI 6'!R55</f>
        <v>26</v>
      </c>
      <c r="M533" s="604"/>
      <c r="N533" s="563">
        <f>'matrik MISI 6'!S55</f>
        <v>25</v>
      </c>
      <c r="O533" s="564"/>
      <c r="P533" s="563">
        <f>'matrik MISI 6'!T55</f>
        <v>25</v>
      </c>
      <c r="Q533" s="564"/>
      <c r="R533" s="563">
        <f>'matrik MISI 6'!U55</f>
        <v>25</v>
      </c>
      <c r="S533" s="564"/>
      <c r="T533" s="563">
        <f>'matrik MISI 6'!V55</f>
        <v>25</v>
      </c>
      <c r="U533" s="564"/>
      <c r="V533" s="563">
        <f>'matrik MISI 6'!W55</f>
        <v>25</v>
      </c>
      <c r="W533" s="564"/>
      <c r="X533" s="563" t="str">
        <f>'matrik MISI 6'!X55</f>
        <v>DPPKAD</v>
      </c>
      <c r="Y533" s="563" t="str">
        <f>'matrik MISI 6'!Y55</f>
        <v xml:space="preserve">Anggaran Penata usahaan SKPD dibagi Total Belanja Langsung SKPD dalam 1 (satu) Tahun x 100 </v>
      </c>
      <c r="Z533" s="563">
        <f>'matrik MISI 6'!Z55</f>
        <v>0</v>
      </c>
    </row>
    <row r="534" spans="1:454">
      <c r="D534" s="568"/>
      <c r="E534" s="568"/>
      <c r="F534" s="568"/>
      <c r="G534" s="568"/>
      <c r="H534" s="1150"/>
      <c r="I534" s="563"/>
      <c r="J534" s="563"/>
      <c r="K534" s="563"/>
      <c r="L534" s="563"/>
      <c r="M534" s="604"/>
      <c r="N534" s="563"/>
      <c r="O534" s="564"/>
      <c r="P534" s="563"/>
      <c r="Q534" s="564"/>
      <c r="R534" s="563"/>
      <c r="S534" s="564"/>
      <c r="T534" s="563"/>
      <c r="U534" s="564"/>
      <c r="V534" s="563"/>
      <c r="W534" s="564"/>
      <c r="X534" s="563"/>
      <c r="Y534" s="563"/>
      <c r="Z534" s="563"/>
    </row>
    <row r="535" spans="1:454">
      <c r="D535" s="568"/>
      <c r="E535" s="568"/>
      <c r="F535" s="568"/>
      <c r="G535" s="568"/>
      <c r="H535" s="1150"/>
      <c r="I535" s="563"/>
      <c r="J535" s="563"/>
      <c r="K535" s="563"/>
      <c r="L535" s="563"/>
      <c r="M535" s="604"/>
      <c r="N535" s="563"/>
      <c r="O535" s="564"/>
      <c r="P535" s="563"/>
      <c r="Q535" s="564"/>
      <c r="R535" s="563"/>
      <c r="S535" s="564"/>
      <c r="T535" s="563"/>
      <c r="U535" s="564"/>
      <c r="V535" s="563"/>
      <c r="W535" s="564"/>
      <c r="X535" s="563"/>
      <c r="Y535" s="563"/>
      <c r="Z535" s="563"/>
    </row>
    <row r="536" spans="1:454" ht="60">
      <c r="D536" s="563" t="str">
        <f>'matrik MISI 6'!J58</f>
        <v>1.20</v>
      </c>
      <c r="E536" s="563" t="str">
        <f>'matrik MISI 6'!K58</f>
        <v>xx</v>
      </c>
      <c r="F536" s="563">
        <f>'matrik MISI 6'!L58</f>
        <v>16</v>
      </c>
      <c r="G536" s="563" t="str">
        <f>'matrik MISI 6'!M58</f>
        <v>Program Peningkatan Pelayanan Kedinasan Kepala Daerah/Wakil Kepala Daerah</v>
      </c>
      <c r="H536" s="563" t="str">
        <f>'matrik MISI 6'!N58</f>
        <v xml:space="preserve">Besaran Ketersediaan sarana dan prasarana kedinasan kepala Daerah/Wakil Kepala Daerah dan Organisasi Perangkat Daerah </v>
      </c>
      <c r="I536" s="563" t="str">
        <f>'matrik MISI 6'!O58</f>
        <v>%</v>
      </c>
      <c r="J536" s="563" t="str">
        <f>'matrik MISI 6'!P58</f>
        <v xml:space="preserve"> - </v>
      </c>
      <c r="K536" s="563" t="str">
        <f>'matrik MISI 6'!Q58</f>
        <v xml:space="preserve"> - </v>
      </c>
      <c r="L536" s="563">
        <f>'matrik MISI 6'!R58</f>
        <v>100</v>
      </c>
      <c r="M536" s="604"/>
      <c r="N536" s="563">
        <f>'matrik MISI 6'!S58</f>
        <v>100</v>
      </c>
      <c r="O536" s="564"/>
      <c r="P536" s="563">
        <f>'matrik MISI 6'!T58</f>
        <v>100</v>
      </c>
      <c r="Q536" s="564"/>
      <c r="R536" s="563">
        <f>'matrik MISI 6'!U58</f>
        <v>100</v>
      </c>
      <c r="S536" s="564"/>
      <c r="T536" s="563">
        <f>'matrik MISI 6'!V58</f>
        <v>100</v>
      </c>
      <c r="U536" s="564"/>
      <c r="V536" s="563">
        <f>'matrik MISI 6'!W58</f>
        <v>100</v>
      </c>
      <c r="W536" s="564"/>
      <c r="X536" s="563" t="str">
        <f>'matrik MISI 6'!X58</f>
        <v>Bagian Umum Setda</v>
      </c>
      <c r="Y536" s="563">
        <f>'matrik MISI 6'!Y58</f>
        <v>0</v>
      </c>
      <c r="Z536" s="563">
        <f>'matrik MISI 6'!Z58</f>
        <v>0</v>
      </c>
    </row>
    <row r="537" spans="1:454">
      <c r="D537" s="749"/>
      <c r="E537" s="749"/>
      <c r="F537" s="749"/>
      <c r="G537" s="749"/>
      <c r="H537" s="749"/>
      <c r="I537" s="749"/>
      <c r="J537" s="749"/>
      <c r="K537" s="749"/>
      <c r="L537" s="749"/>
      <c r="M537" s="604"/>
      <c r="N537" s="749"/>
      <c r="O537" s="564"/>
      <c r="P537" s="749"/>
      <c r="Q537" s="564"/>
      <c r="R537" s="749"/>
      <c r="S537" s="564"/>
      <c r="T537" s="749"/>
      <c r="U537" s="564"/>
      <c r="V537" s="749"/>
      <c r="W537" s="564"/>
      <c r="X537" s="749"/>
      <c r="Y537" s="749"/>
      <c r="Z537" s="749"/>
    </row>
    <row r="538" spans="1:454" ht="30">
      <c r="D538" s="563" t="str">
        <f>'matrik MISI 6'!J59</f>
        <v>1.20</v>
      </c>
      <c r="E538" s="563" t="str">
        <f>'matrik MISI 6'!K59</f>
        <v>xx</v>
      </c>
      <c r="F538" s="563">
        <f>'matrik MISI 6'!L59</f>
        <v>25</v>
      </c>
      <c r="G538" s="563" t="str">
        <f>'matrik MISI 6'!M59</f>
        <v>Program Kerjasama  Daerah</v>
      </c>
      <c r="H538" s="563" t="str">
        <f>'matrik MISI 6'!N59</f>
        <v>Besaran kerjasama daerah</v>
      </c>
      <c r="I538" s="563" t="str">
        <f>'matrik MISI 6'!O59</f>
        <v>Dokumen</v>
      </c>
      <c r="J538" s="563">
        <f>'matrik MISI 6'!P59</f>
        <v>1</v>
      </c>
      <c r="K538" s="563">
        <f>'matrik MISI 6'!Q59</f>
        <v>1</v>
      </c>
      <c r="L538" s="563">
        <f>'matrik MISI 6'!R59</f>
        <v>1</v>
      </c>
      <c r="M538" s="604"/>
      <c r="N538" s="563">
        <f>'matrik MISI 6'!S59</f>
        <v>1</v>
      </c>
      <c r="O538" s="564"/>
      <c r="P538" s="563">
        <f>'matrik MISI 6'!T59</f>
        <v>1</v>
      </c>
      <c r="Q538" s="564"/>
      <c r="R538" s="563">
        <f>'matrik MISI 6'!U59</f>
        <v>1</v>
      </c>
      <c r="S538" s="564"/>
      <c r="T538" s="563">
        <f>'matrik MISI 6'!V59</f>
        <v>1</v>
      </c>
      <c r="U538" s="564"/>
      <c r="V538" s="563">
        <f>'matrik MISI 6'!W59</f>
        <v>1</v>
      </c>
      <c r="W538" s="564"/>
      <c r="X538" s="563" t="str">
        <f>'matrik MISI 6'!X59</f>
        <v>Bagian Pemerintahan Umum Setda</v>
      </c>
      <c r="Y538" s="563" t="str">
        <f>'matrik MISI 6'!Y59</f>
        <v xml:space="preserve">Jumlah kerjasama daerah </v>
      </c>
      <c r="Z538" s="563" t="str">
        <f>'matrik MISI 6'!Z59</f>
        <v>Dokumen Perjanjian Kerjasama</v>
      </c>
    </row>
    <row r="539" spans="1:454">
      <c r="D539" s="749"/>
      <c r="E539" s="749"/>
      <c r="F539" s="749"/>
      <c r="G539" s="749"/>
      <c r="H539" s="749"/>
      <c r="I539" s="749"/>
      <c r="J539" s="749"/>
      <c r="K539" s="749"/>
      <c r="L539" s="749"/>
      <c r="M539" s="604"/>
      <c r="N539" s="749"/>
      <c r="O539" s="564"/>
      <c r="P539" s="749"/>
      <c r="Q539" s="564"/>
      <c r="R539" s="749"/>
      <c r="S539" s="564"/>
      <c r="T539" s="749"/>
      <c r="U539" s="564"/>
      <c r="V539" s="749"/>
      <c r="W539" s="564"/>
      <c r="X539" s="749"/>
      <c r="Y539" s="749"/>
      <c r="Z539" s="749"/>
    </row>
    <row r="540" spans="1:454" s="574" customFormat="1" ht="90">
      <c r="A540" s="569"/>
      <c r="B540" s="575"/>
      <c r="C540" s="576"/>
      <c r="D540" s="577" t="str">
        <f>'matrik MISI 6'!J60</f>
        <v>1.20</v>
      </c>
      <c r="E540" s="577" t="str">
        <f>'matrik MISI 6'!K60</f>
        <v>xx</v>
      </c>
      <c r="F540" s="577">
        <f>'matrik MISI 6'!L60</f>
        <v>20</v>
      </c>
      <c r="G540" s="577" t="str">
        <f>'matrik MISI 6'!M60</f>
        <v>Program Peningkatan Sistem Pengawasan  Internal dan Pengendalian Pelaksanaan Kebijakan Daerah</v>
      </c>
      <c r="H540" s="577" t="str">
        <f>'matrik MISI 6'!N60</f>
        <v xml:space="preserve">Cakupan Pelaksanaan SPM </v>
      </c>
      <c r="I540" s="577" t="str">
        <f>'matrik MISI 6'!O60</f>
        <v>%</v>
      </c>
      <c r="J540" s="577" t="str">
        <f>'matrik MISI 6'!P60</f>
        <v>5,8</v>
      </c>
      <c r="K540" s="577" t="str">
        <f>'matrik MISI 6'!Q60</f>
        <v>8,3</v>
      </c>
      <c r="L540" s="577" t="str">
        <f>'matrik MISI 6'!R60</f>
        <v>72,4</v>
      </c>
      <c r="M540" s="578"/>
      <c r="N540" s="577" t="str">
        <f>'matrik MISI 6'!S60</f>
        <v>91,7</v>
      </c>
      <c r="O540" s="577"/>
      <c r="P540" s="577" t="str">
        <f>'matrik MISI 6'!T60</f>
        <v>96,8</v>
      </c>
      <c r="Q540" s="577"/>
      <c r="R540" s="577" t="str">
        <f>'matrik MISI 6'!U60</f>
        <v>96,8</v>
      </c>
      <c r="S540" s="577"/>
      <c r="T540" s="577" t="str">
        <f>'matrik MISI 6'!V60</f>
        <v>96,8</v>
      </c>
      <c r="U540" s="577"/>
      <c r="V540" s="577" t="str">
        <f>'matrik MISI 6'!W60</f>
        <v>96,8</v>
      </c>
      <c r="W540" s="577"/>
      <c r="X540" s="577" t="str">
        <f>'matrik MISI 6'!X60</f>
        <v>Bagian Pemerintahan Umum Setda</v>
      </c>
      <c r="Y540" s="577" t="str">
        <f>'matrik MISI 6'!Y60</f>
        <v>Jumlah indikator SPM yang tercapai di tahun target dibagi jumlah indikator dalam SPM x 100</v>
      </c>
      <c r="Z540" s="577" t="str">
        <f>'matrik MISI 6'!Z60</f>
        <v>Target SPM menyesuaikan target nasional</v>
      </c>
      <c r="AA540" s="569"/>
      <c r="AB540" s="569"/>
      <c r="AC540" s="569"/>
      <c r="AD540" s="569"/>
      <c r="AE540" s="569"/>
      <c r="AF540" s="569"/>
      <c r="AG540" s="569"/>
      <c r="AH540" s="569"/>
      <c r="AI540" s="569"/>
      <c r="AJ540" s="569"/>
      <c r="AK540" s="569"/>
      <c r="AL540" s="569"/>
      <c r="AM540" s="569"/>
      <c r="AN540" s="569"/>
      <c r="AO540" s="569"/>
      <c r="AP540" s="569"/>
      <c r="AQ540" s="569"/>
      <c r="AR540" s="569"/>
      <c r="AS540" s="569"/>
      <c r="AT540" s="569"/>
      <c r="AU540" s="569"/>
      <c r="AV540" s="569"/>
      <c r="AW540" s="569"/>
      <c r="AX540" s="569"/>
      <c r="AY540" s="569"/>
      <c r="AZ540" s="569"/>
      <c r="BA540" s="569"/>
      <c r="BB540" s="569"/>
      <c r="BC540" s="569"/>
      <c r="BD540" s="569"/>
      <c r="BE540" s="569"/>
      <c r="BF540" s="569"/>
      <c r="BG540" s="569"/>
      <c r="BH540" s="569"/>
      <c r="BI540" s="569"/>
      <c r="BJ540" s="569"/>
      <c r="BK540" s="569"/>
      <c r="BL540" s="569"/>
      <c r="BM540" s="569"/>
      <c r="BN540" s="569"/>
      <c r="BO540" s="569"/>
      <c r="BP540" s="569"/>
      <c r="BQ540" s="569"/>
      <c r="BR540" s="569"/>
      <c r="BS540" s="569"/>
      <c r="BT540" s="569"/>
      <c r="BU540" s="569"/>
      <c r="BV540" s="569"/>
      <c r="BW540" s="569"/>
      <c r="BX540" s="569"/>
      <c r="BY540" s="569"/>
      <c r="BZ540" s="569"/>
      <c r="CA540" s="569"/>
      <c r="CB540" s="569"/>
      <c r="CC540" s="569"/>
      <c r="CD540" s="569"/>
      <c r="CE540" s="569"/>
      <c r="CF540" s="569"/>
      <c r="CG540" s="569"/>
      <c r="CH540" s="569"/>
      <c r="CI540" s="569"/>
      <c r="CJ540" s="569"/>
      <c r="CK540" s="569"/>
      <c r="CL540" s="569"/>
      <c r="CM540" s="569"/>
      <c r="CN540" s="569"/>
      <c r="CO540" s="569"/>
      <c r="CP540" s="569"/>
      <c r="CQ540" s="569"/>
      <c r="CR540" s="569"/>
      <c r="CS540" s="569"/>
      <c r="CT540" s="569"/>
      <c r="CU540" s="569"/>
      <c r="CV540" s="569"/>
      <c r="CW540" s="569"/>
      <c r="CX540" s="569"/>
      <c r="CY540" s="569"/>
      <c r="CZ540" s="569"/>
      <c r="DA540" s="569"/>
      <c r="DB540" s="569"/>
      <c r="DC540" s="569"/>
      <c r="DD540" s="569"/>
      <c r="DE540" s="569"/>
      <c r="DF540" s="569"/>
      <c r="DG540" s="569"/>
      <c r="DH540" s="569"/>
      <c r="DI540" s="569"/>
      <c r="DJ540" s="569"/>
      <c r="DK540" s="569"/>
      <c r="DL540" s="569"/>
      <c r="DM540" s="569"/>
      <c r="DN540" s="569"/>
      <c r="DO540" s="569"/>
      <c r="DP540" s="569"/>
      <c r="DQ540" s="569"/>
      <c r="DR540" s="569"/>
      <c r="DS540" s="569"/>
      <c r="DT540" s="569"/>
      <c r="DU540" s="569"/>
      <c r="DV540" s="569"/>
      <c r="DW540" s="569"/>
      <c r="DX540" s="569"/>
      <c r="DY540" s="569"/>
      <c r="DZ540" s="569"/>
      <c r="EA540" s="569"/>
      <c r="EB540" s="569"/>
      <c r="EC540" s="569"/>
      <c r="ED540" s="569"/>
      <c r="EE540" s="569"/>
      <c r="EF540" s="569"/>
      <c r="EG540" s="569"/>
      <c r="EH540" s="569"/>
      <c r="EI540" s="569"/>
      <c r="EJ540" s="569"/>
      <c r="EK540" s="569"/>
      <c r="EL540" s="569"/>
      <c r="EM540" s="569"/>
      <c r="EN540" s="569"/>
      <c r="EO540" s="569"/>
      <c r="EP540" s="569"/>
      <c r="EQ540" s="569"/>
      <c r="ER540" s="569"/>
      <c r="ES540" s="569"/>
      <c r="ET540" s="569"/>
      <c r="EU540" s="569"/>
      <c r="EV540" s="569"/>
      <c r="EW540" s="569"/>
      <c r="EX540" s="569"/>
      <c r="EY540" s="569"/>
      <c r="EZ540" s="569"/>
      <c r="FA540" s="569"/>
      <c r="FB540" s="569"/>
      <c r="FC540" s="569"/>
      <c r="FD540" s="569"/>
      <c r="FE540" s="569"/>
      <c r="FF540" s="569"/>
      <c r="FG540" s="569"/>
      <c r="FH540" s="569"/>
      <c r="FI540" s="569"/>
      <c r="FJ540" s="569"/>
      <c r="FK540" s="569"/>
      <c r="FL540" s="569"/>
      <c r="FM540" s="569"/>
      <c r="FN540" s="569"/>
      <c r="FO540" s="569"/>
      <c r="FP540" s="569"/>
      <c r="FQ540" s="569"/>
      <c r="FR540" s="569"/>
      <c r="FS540" s="569"/>
      <c r="FT540" s="569"/>
      <c r="FU540" s="569"/>
      <c r="FV540" s="569"/>
      <c r="FW540" s="569"/>
      <c r="FX540" s="569"/>
      <c r="FY540" s="569"/>
      <c r="FZ540" s="569"/>
      <c r="GA540" s="569"/>
      <c r="GB540" s="569"/>
      <c r="GC540" s="569"/>
      <c r="GD540" s="569"/>
      <c r="GE540" s="569"/>
      <c r="GF540" s="569"/>
      <c r="GG540" s="569"/>
      <c r="GH540" s="569"/>
      <c r="GI540" s="569"/>
      <c r="GJ540" s="569"/>
      <c r="GK540" s="569"/>
      <c r="GL540" s="569"/>
      <c r="GM540" s="569"/>
      <c r="GN540" s="569"/>
      <c r="GO540" s="569"/>
      <c r="GP540" s="569"/>
      <c r="GQ540" s="569"/>
      <c r="GR540" s="569"/>
      <c r="GS540" s="569"/>
      <c r="GT540" s="569"/>
      <c r="GU540" s="569"/>
      <c r="GV540" s="569"/>
      <c r="GW540" s="569"/>
      <c r="GX540" s="569"/>
      <c r="GY540" s="569"/>
      <c r="GZ540" s="569"/>
      <c r="HA540" s="569"/>
      <c r="HB540" s="569"/>
      <c r="HC540" s="569"/>
      <c r="HD540" s="569"/>
      <c r="HE540" s="569"/>
      <c r="HF540" s="569"/>
      <c r="HG540" s="569"/>
      <c r="HH540" s="569"/>
      <c r="HI540" s="569"/>
      <c r="HJ540" s="569"/>
      <c r="HK540" s="569"/>
      <c r="HL540" s="569"/>
      <c r="HM540" s="569"/>
      <c r="HN540" s="569"/>
      <c r="HO540" s="569"/>
      <c r="HP540" s="569"/>
      <c r="HQ540" s="569"/>
      <c r="HR540" s="569"/>
      <c r="HS540" s="569"/>
      <c r="HT540" s="569"/>
      <c r="HU540" s="569"/>
      <c r="HV540" s="569"/>
      <c r="HW540" s="569"/>
      <c r="HX540" s="569"/>
      <c r="HY540" s="569"/>
      <c r="HZ540" s="569"/>
      <c r="IA540" s="569"/>
      <c r="IB540" s="569"/>
      <c r="IC540" s="569"/>
      <c r="ID540" s="569"/>
      <c r="IE540" s="569"/>
      <c r="IF540" s="569"/>
      <c r="IG540" s="569"/>
      <c r="IH540" s="569"/>
      <c r="II540" s="569"/>
      <c r="IJ540" s="569"/>
      <c r="IK540" s="569"/>
      <c r="IL540" s="569"/>
      <c r="IM540" s="569"/>
      <c r="IN540" s="569"/>
      <c r="IO540" s="569"/>
      <c r="IP540" s="569"/>
      <c r="IQ540" s="569"/>
      <c r="IR540" s="569"/>
      <c r="IS540" s="569"/>
      <c r="IT540" s="569"/>
      <c r="IU540" s="569"/>
      <c r="IV540" s="569"/>
      <c r="IW540" s="569"/>
      <c r="IX540" s="569"/>
      <c r="IY540" s="569"/>
      <c r="IZ540" s="569"/>
      <c r="JA540" s="569"/>
      <c r="JB540" s="569"/>
      <c r="JC540" s="569"/>
      <c r="JD540" s="569"/>
      <c r="JE540" s="569"/>
      <c r="JF540" s="569"/>
      <c r="JG540" s="569"/>
      <c r="JH540" s="569"/>
      <c r="JI540" s="569"/>
      <c r="JJ540" s="569"/>
      <c r="JK540" s="569"/>
      <c r="JL540" s="569"/>
      <c r="JM540" s="569"/>
      <c r="JN540" s="569"/>
      <c r="JO540" s="569"/>
      <c r="JP540" s="569"/>
      <c r="JQ540" s="569"/>
      <c r="JR540" s="569"/>
      <c r="JS540" s="569"/>
      <c r="JT540" s="569"/>
      <c r="JU540" s="569"/>
      <c r="JV540" s="569"/>
      <c r="JW540" s="569"/>
      <c r="JX540" s="569"/>
      <c r="JY540" s="569"/>
      <c r="JZ540" s="569"/>
      <c r="KA540" s="569"/>
      <c r="KB540" s="569"/>
      <c r="KC540" s="569"/>
      <c r="KD540" s="569"/>
      <c r="KE540" s="569"/>
      <c r="KF540" s="569"/>
      <c r="KG540" s="569"/>
      <c r="KH540" s="569"/>
      <c r="KI540" s="569"/>
      <c r="KJ540" s="569"/>
      <c r="KK540" s="569"/>
      <c r="KL540" s="569"/>
      <c r="KM540" s="569"/>
      <c r="KN540" s="569"/>
      <c r="KO540" s="569"/>
      <c r="KP540" s="569"/>
      <c r="KQ540" s="569"/>
      <c r="KR540" s="569"/>
      <c r="KS540" s="569"/>
      <c r="KT540" s="569"/>
      <c r="KU540" s="569"/>
      <c r="KV540" s="569"/>
      <c r="KW540" s="569"/>
      <c r="KX540" s="569"/>
      <c r="KY540" s="569"/>
      <c r="KZ540" s="569"/>
      <c r="LA540" s="569"/>
      <c r="LB540" s="569"/>
      <c r="LC540" s="569"/>
      <c r="LD540" s="569"/>
      <c r="LE540" s="569"/>
      <c r="LF540" s="569"/>
      <c r="LG540" s="569"/>
      <c r="LH540" s="569"/>
      <c r="LI540" s="569"/>
      <c r="LJ540" s="569"/>
      <c r="LK540" s="569"/>
      <c r="LL540" s="569"/>
      <c r="LM540" s="569"/>
      <c r="LN540" s="569"/>
      <c r="LO540" s="569"/>
      <c r="LP540" s="569"/>
      <c r="LQ540" s="569"/>
      <c r="LR540" s="569"/>
      <c r="LS540" s="569"/>
      <c r="LT540" s="569"/>
      <c r="LU540" s="569"/>
      <c r="LV540" s="569"/>
      <c r="LW540" s="569"/>
      <c r="LX540" s="569"/>
      <c r="LY540" s="569"/>
      <c r="LZ540" s="569"/>
      <c r="MA540" s="569"/>
      <c r="MB540" s="569"/>
      <c r="MC540" s="569"/>
      <c r="MD540" s="569"/>
      <c r="ME540" s="569"/>
      <c r="MF540" s="569"/>
      <c r="MG540" s="569"/>
      <c r="MH540" s="569"/>
      <c r="MI540" s="569"/>
      <c r="MJ540" s="569"/>
      <c r="MK540" s="569"/>
      <c r="ML540" s="569"/>
      <c r="MM540" s="569"/>
      <c r="MN540" s="569"/>
      <c r="MO540" s="569"/>
      <c r="MP540" s="569"/>
      <c r="MQ540" s="569"/>
      <c r="MR540" s="569"/>
      <c r="MS540" s="569"/>
      <c r="MT540" s="569"/>
      <c r="MU540" s="569"/>
      <c r="MV540" s="569"/>
      <c r="MW540" s="569"/>
      <c r="MX540" s="569"/>
      <c r="MY540" s="569"/>
      <c r="MZ540" s="569"/>
      <c r="NA540" s="569"/>
      <c r="NB540" s="569"/>
      <c r="NC540" s="569"/>
      <c r="ND540" s="569"/>
      <c r="NE540" s="569"/>
      <c r="NF540" s="569"/>
      <c r="NG540" s="569"/>
      <c r="NH540" s="569"/>
      <c r="NI540" s="569"/>
      <c r="NJ540" s="569"/>
      <c r="NK540" s="569"/>
      <c r="NL540" s="569"/>
      <c r="NM540" s="569"/>
      <c r="NN540" s="569"/>
      <c r="NO540" s="569"/>
      <c r="NP540" s="569"/>
      <c r="NQ540" s="569"/>
      <c r="NR540" s="569"/>
      <c r="NS540" s="569"/>
      <c r="NT540" s="569"/>
      <c r="NU540" s="569"/>
      <c r="NV540" s="569"/>
      <c r="NW540" s="569"/>
      <c r="NX540" s="569"/>
      <c r="NY540" s="569"/>
      <c r="NZ540" s="569"/>
      <c r="OA540" s="569"/>
      <c r="OB540" s="569"/>
      <c r="OC540" s="569"/>
      <c r="OD540" s="569"/>
      <c r="OE540" s="569"/>
      <c r="OF540" s="569"/>
      <c r="OG540" s="569"/>
      <c r="OH540" s="569"/>
      <c r="OI540" s="569"/>
      <c r="OJ540" s="569"/>
      <c r="OK540" s="569"/>
      <c r="OL540" s="569"/>
      <c r="OM540" s="569"/>
      <c r="ON540" s="569"/>
      <c r="OO540" s="569"/>
      <c r="OP540" s="569"/>
      <c r="OQ540" s="569"/>
      <c r="OR540" s="569"/>
      <c r="OS540" s="569"/>
      <c r="OT540" s="569"/>
      <c r="OU540" s="569"/>
      <c r="OV540" s="569"/>
      <c r="OW540" s="569"/>
      <c r="OX540" s="569"/>
      <c r="OY540" s="569"/>
      <c r="OZ540" s="569"/>
      <c r="PA540" s="569"/>
      <c r="PB540" s="569"/>
      <c r="PC540" s="569"/>
      <c r="PD540" s="569"/>
      <c r="PE540" s="569"/>
      <c r="PF540" s="569"/>
      <c r="PG540" s="569"/>
      <c r="PH540" s="569"/>
      <c r="PI540" s="569"/>
      <c r="PJ540" s="569"/>
      <c r="PK540" s="569"/>
      <c r="PL540" s="569"/>
      <c r="PM540" s="569"/>
      <c r="PN540" s="569"/>
      <c r="PO540" s="569"/>
      <c r="PP540" s="569"/>
      <c r="PQ540" s="569"/>
      <c r="PR540" s="569"/>
      <c r="PS540" s="569"/>
      <c r="PT540" s="569"/>
      <c r="PU540" s="569"/>
      <c r="PV540" s="569"/>
      <c r="PW540" s="569"/>
      <c r="PX540" s="569"/>
      <c r="PY540" s="569"/>
      <c r="PZ540" s="569"/>
      <c r="QA540" s="569"/>
      <c r="QB540" s="569"/>
      <c r="QC540" s="569"/>
      <c r="QD540" s="569"/>
      <c r="QE540" s="569"/>
      <c r="QF540" s="569"/>
      <c r="QG540" s="569"/>
      <c r="QH540" s="569"/>
      <c r="QI540" s="569"/>
      <c r="QJ540" s="569"/>
      <c r="QK540" s="569"/>
      <c r="QL540" s="569"/>
    </row>
    <row r="541" spans="1:454" ht="30">
      <c r="G541" s="563"/>
      <c r="H541" s="563" t="str">
        <f>'matrik MISI 6'!N62</f>
        <v xml:space="preserve">Persentase Tersusunnya dokumen pelaporan daerah </v>
      </c>
      <c r="I541" s="563" t="str">
        <f>'matrik MISI 6'!O62</f>
        <v>%</v>
      </c>
      <c r="J541" s="563">
        <f>'matrik MISI 6'!P62</f>
        <v>100</v>
      </c>
      <c r="K541" s="563">
        <f>'matrik MISI 6'!Q62</f>
        <v>100</v>
      </c>
      <c r="L541" s="563">
        <f>'matrik MISI 6'!R62</f>
        <v>100</v>
      </c>
      <c r="M541" s="604"/>
      <c r="N541" s="563">
        <f>'matrik MISI 6'!S62</f>
        <v>100</v>
      </c>
      <c r="O541" s="564"/>
      <c r="P541" s="563">
        <f>'matrik MISI 6'!T62</f>
        <v>100</v>
      </c>
      <c r="Q541" s="564"/>
      <c r="R541" s="563">
        <f>'matrik MISI 6'!U62</f>
        <v>100</v>
      </c>
      <c r="S541" s="564"/>
      <c r="T541" s="563">
        <f>'matrik MISI 6'!V62</f>
        <v>100</v>
      </c>
      <c r="U541" s="564"/>
      <c r="V541" s="563">
        <f>'matrik MISI 6'!W62</f>
        <v>100</v>
      </c>
      <c r="W541" s="564"/>
      <c r="X541" s="563" t="str">
        <f>'matrik MISI 6'!X62</f>
        <v>Bagian Pemerintahan Umum Setda</v>
      </c>
      <c r="Y541" s="563" t="str">
        <f>'matrik MISI 6'!Y62</f>
        <v>Jumlah dokumen pelaporan daerah dibagi Jumlah dokumen pelaporan yang seharusnya ada</v>
      </c>
      <c r="Z541" s="563" t="str">
        <f>'matrik MISI 6'!Z62</f>
        <v>Dokumen pelaporan Kepala Daerah yang wajib dibuat meliputi LPPD,LKPJ,ILPPD, LPPD AMJ, LKPJ AMJ, Memori Jabatan</v>
      </c>
    </row>
    <row r="542" spans="1:454" ht="45">
      <c r="G542" s="563"/>
      <c r="H542" s="563" t="str">
        <f>'matrik MISI 6'!N51</f>
        <v>Persentase Jumlah SKPD yang Menyampaikan DURP dengan tepat waktu</v>
      </c>
      <c r="I542" s="563" t="str">
        <f>'matrik MISI 6'!O51</f>
        <v>%</v>
      </c>
      <c r="J542" s="563">
        <f>'matrik MISI 6'!P51</f>
        <v>0</v>
      </c>
      <c r="K542" s="563">
        <f>'matrik MISI 6'!Q51</f>
        <v>0</v>
      </c>
      <c r="L542" s="563">
        <f>'matrik MISI 6'!R51</f>
        <v>100</v>
      </c>
      <c r="M542" s="604"/>
      <c r="N542" s="563">
        <f>'matrik MISI 6'!S51</f>
        <v>100</v>
      </c>
      <c r="O542" s="564"/>
      <c r="P542" s="563">
        <f>'matrik MISI 6'!T51</f>
        <v>100</v>
      </c>
      <c r="Q542" s="564"/>
      <c r="R542" s="563">
        <f>'matrik MISI 6'!U51</f>
        <v>100</v>
      </c>
      <c r="S542" s="564"/>
      <c r="T542" s="563">
        <f>'matrik MISI 6'!V51</f>
        <v>100</v>
      </c>
      <c r="U542" s="564"/>
      <c r="V542" s="563">
        <f>'matrik MISI 6'!W51</f>
        <v>100</v>
      </c>
      <c r="W542" s="564"/>
      <c r="X542" s="563" t="str">
        <f>'matrik MISI 6'!X51</f>
        <v>Bagian Pembangunan Setda</v>
      </c>
      <c r="Y542" s="563" t="str">
        <f>'matrik MISI 6'!Y51</f>
        <v>Jumlah SKPD yang melaporkan DURP tepat waktu dibagi jumlah SKPD yang mempunyai DURP x 100 %</v>
      </c>
      <c r="Z542" s="563">
        <f>'matrik MISI 6'!Z51</f>
        <v>0</v>
      </c>
    </row>
    <row r="543" spans="1:454" s="574" customFormat="1" ht="45">
      <c r="A543" s="569"/>
      <c r="B543" s="575"/>
      <c r="C543" s="576"/>
      <c r="D543" s="577" t="str">
        <f>'matrik MISI 6'!J63</f>
        <v>1.20</v>
      </c>
      <c r="E543" s="577" t="str">
        <f>'matrik MISI 6'!K63</f>
        <v>xx</v>
      </c>
      <c r="F543" s="577">
        <f>'matrik MISI 6'!L63</f>
        <v>33</v>
      </c>
      <c r="G543" s="577" t="str">
        <f>'matrik MISI 6'!M63</f>
        <v>Program Peningkatan Kapasitas Sumber Daya Aparatur</v>
      </c>
      <c r="H543" s="577"/>
      <c r="I543" s="577"/>
      <c r="J543" s="577"/>
      <c r="K543" s="577"/>
      <c r="L543" s="577"/>
      <c r="M543" s="578"/>
      <c r="N543" s="577"/>
      <c r="O543" s="577"/>
      <c r="P543" s="577"/>
      <c r="Q543" s="577"/>
      <c r="R543" s="577"/>
      <c r="S543" s="577"/>
      <c r="T543" s="577"/>
      <c r="U543" s="577"/>
      <c r="V543" s="577"/>
      <c r="W543" s="577"/>
      <c r="X543" s="577"/>
      <c r="Y543" s="577"/>
      <c r="Z543" s="577"/>
      <c r="AA543" s="569"/>
      <c r="AB543" s="569"/>
      <c r="AC543" s="569"/>
      <c r="AD543" s="569"/>
      <c r="AE543" s="569"/>
      <c r="AF543" s="569"/>
      <c r="AG543" s="569"/>
      <c r="AH543" s="569"/>
      <c r="AI543" s="569"/>
      <c r="AJ543" s="569"/>
      <c r="AK543" s="569"/>
      <c r="AL543" s="569"/>
      <c r="AM543" s="569"/>
      <c r="AN543" s="569"/>
      <c r="AO543" s="569"/>
      <c r="AP543" s="569"/>
      <c r="AQ543" s="569"/>
      <c r="AR543" s="569"/>
      <c r="AS543" s="569"/>
      <c r="AT543" s="569"/>
      <c r="AU543" s="569"/>
      <c r="AV543" s="569"/>
      <c r="AW543" s="569"/>
      <c r="AX543" s="569"/>
      <c r="AY543" s="569"/>
      <c r="AZ543" s="569"/>
      <c r="BA543" s="569"/>
      <c r="BB543" s="569"/>
      <c r="BC543" s="569"/>
      <c r="BD543" s="569"/>
      <c r="BE543" s="569"/>
      <c r="BF543" s="569"/>
      <c r="BG543" s="569"/>
      <c r="BH543" s="569"/>
      <c r="BI543" s="569"/>
      <c r="BJ543" s="569"/>
      <c r="BK543" s="569"/>
      <c r="BL543" s="569"/>
      <c r="BM543" s="569"/>
      <c r="BN543" s="569"/>
      <c r="BO543" s="569"/>
      <c r="BP543" s="569"/>
      <c r="BQ543" s="569"/>
      <c r="BR543" s="569"/>
      <c r="BS543" s="569"/>
      <c r="BT543" s="569"/>
      <c r="BU543" s="569"/>
      <c r="BV543" s="569"/>
      <c r="BW543" s="569"/>
      <c r="BX543" s="569"/>
      <c r="BY543" s="569"/>
      <c r="BZ543" s="569"/>
      <c r="CA543" s="569"/>
      <c r="CB543" s="569"/>
      <c r="CC543" s="569"/>
      <c r="CD543" s="569"/>
      <c r="CE543" s="569"/>
      <c r="CF543" s="569"/>
      <c r="CG543" s="569"/>
      <c r="CH543" s="569"/>
      <c r="CI543" s="569"/>
      <c r="CJ543" s="569"/>
      <c r="CK543" s="569"/>
      <c r="CL543" s="569"/>
      <c r="CM543" s="569"/>
      <c r="CN543" s="569"/>
      <c r="CO543" s="569"/>
      <c r="CP543" s="569"/>
      <c r="CQ543" s="569"/>
      <c r="CR543" s="569"/>
      <c r="CS543" s="569"/>
      <c r="CT543" s="569"/>
      <c r="CU543" s="569"/>
      <c r="CV543" s="569"/>
      <c r="CW543" s="569"/>
      <c r="CX543" s="569"/>
      <c r="CY543" s="569"/>
      <c r="CZ543" s="569"/>
      <c r="DA543" s="569"/>
      <c r="DB543" s="569"/>
      <c r="DC543" s="569"/>
      <c r="DD543" s="569"/>
      <c r="DE543" s="569"/>
      <c r="DF543" s="569"/>
      <c r="DG543" s="569"/>
      <c r="DH543" s="569"/>
      <c r="DI543" s="569"/>
      <c r="DJ543" s="569"/>
      <c r="DK543" s="569"/>
      <c r="DL543" s="569"/>
      <c r="DM543" s="569"/>
      <c r="DN543" s="569"/>
      <c r="DO543" s="569"/>
      <c r="DP543" s="569"/>
      <c r="DQ543" s="569"/>
      <c r="DR543" s="569"/>
      <c r="DS543" s="569"/>
      <c r="DT543" s="569"/>
      <c r="DU543" s="569"/>
      <c r="DV543" s="569"/>
      <c r="DW543" s="569"/>
      <c r="DX543" s="569"/>
      <c r="DY543" s="569"/>
      <c r="DZ543" s="569"/>
      <c r="EA543" s="569"/>
      <c r="EB543" s="569"/>
      <c r="EC543" s="569"/>
      <c r="ED543" s="569"/>
      <c r="EE543" s="569"/>
      <c r="EF543" s="569"/>
      <c r="EG543" s="569"/>
      <c r="EH543" s="569"/>
      <c r="EI543" s="569"/>
      <c r="EJ543" s="569"/>
      <c r="EK543" s="569"/>
      <c r="EL543" s="569"/>
      <c r="EM543" s="569"/>
      <c r="EN543" s="569"/>
      <c r="EO543" s="569"/>
      <c r="EP543" s="569"/>
      <c r="EQ543" s="569"/>
      <c r="ER543" s="569"/>
      <c r="ES543" s="569"/>
      <c r="ET543" s="569"/>
      <c r="EU543" s="569"/>
      <c r="EV543" s="569"/>
      <c r="EW543" s="569"/>
      <c r="EX543" s="569"/>
      <c r="EY543" s="569"/>
      <c r="EZ543" s="569"/>
      <c r="FA543" s="569"/>
      <c r="FB543" s="569"/>
      <c r="FC543" s="569"/>
      <c r="FD543" s="569"/>
      <c r="FE543" s="569"/>
      <c r="FF543" s="569"/>
      <c r="FG543" s="569"/>
      <c r="FH543" s="569"/>
      <c r="FI543" s="569"/>
      <c r="FJ543" s="569"/>
      <c r="FK543" s="569"/>
      <c r="FL543" s="569"/>
      <c r="FM543" s="569"/>
      <c r="FN543" s="569"/>
      <c r="FO543" s="569"/>
      <c r="FP543" s="569"/>
      <c r="FQ543" s="569"/>
      <c r="FR543" s="569"/>
      <c r="FS543" s="569"/>
      <c r="FT543" s="569"/>
      <c r="FU543" s="569"/>
      <c r="FV543" s="569"/>
      <c r="FW543" s="569"/>
      <c r="FX543" s="569"/>
      <c r="FY543" s="569"/>
      <c r="FZ543" s="569"/>
      <c r="GA543" s="569"/>
      <c r="GB543" s="569"/>
      <c r="GC543" s="569"/>
      <c r="GD543" s="569"/>
      <c r="GE543" s="569"/>
      <c r="GF543" s="569"/>
      <c r="GG543" s="569"/>
      <c r="GH543" s="569"/>
      <c r="GI543" s="569"/>
      <c r="GJ543" s="569"/>
      <c r="GK543" s="569"/>
      <c r="GL543" s="569"/>
      <c r="GM543" s="569"/>
      <c r="GN543" s="569"/>
      <c r="GO543" s="569"/>
      <c r="GP543" s="569"/>
      <c r="GQ543" s="569"/>
      <c r="GR543" s="569"/>
      <c r="GS543" s="569"/>
      <c r="GT543" s="569"/>
      <c r="GU543" s="569"/>
      <c r="GV543" s="569"/>
      <c r="GW543" s="569"/>
      <c r="GX543" s="569"/>
      <c r="GY543" s="569"/>
      <c r="GZ543" s="569"/>
      <c r="HA543" s="569"/>
      <c r="HB543" s="569"/>
      <c r="HC543" s="569"/>
      <c r="HD543" s="569"/>
      <c r="HE543" s="569"/>
      <c r="HF543" s="569"/>
      <c r="HG543" s="569"/>
      <c r="HH543" s="569"/>
      <c r="HI543" s="569"/>
      <c r="HJ543" s="569"/>
      <c r="HK543" s="569"/>
      <c r="HL543" s="569"/>
      <c r="HM543" s="569"/>
      <c r="HN543" s="569"/>
      <c r="HO543" s="569"/>
      <c r="HP543" s="569"/>
      <c r="HQ543" s="569"/>
      <c r="HR543" s="569"/>
      <c r="HS543" s="569"/>
      <c r="HT543" s="569"/>
      <c r="HU543" s="569"/>
      <c r="HV543" s="569"/>
      <c r="HW543" s="569"/>
      <c r="HX543" s="569"/>
      <c r="HY543" s="569"/>
      <c r="HZ543" s="569"/>
      <c r="IA543" s="569"/>
      <c r="IB543" s="569"/>
      <c r="IC543" s="569"/>
      <c r="ID543" s="569"/>
      <c r="IE543" s="569"/>
      <c r="IF543" s="569"/>
      <c r="IG543" s="569"/>
      <c r="IH543" s="569"/>
      <c r="II543" s="569"/>
      <c r="IJ543" s="569"/>
      <c r="IK543" s="569"/>
      <c r="IL543" s="569"/>
      <c r="IM543" s="569"/>
      <c r="IN543" s="569"/>
      <c r="IO543" s="569"/>
      <c r="IP543" s="569"/>
      <c r="IQ543" s="569"/>
      <c r="IR543" s="569"/>
      <c r="IS543" s="569"/>
      <c r="IT543" s="569"/>
      <c r="IU543" s="569"/>
      <c r="IV543" s="569"/>
      <c r="IW543" s="569"/>
      <c r="IX543" s="569"/>
      <c r="IY543" s="569"/>
      <c r="IZ543" s="569"/>
      <c r="JA543" s="569"/>
      <c r="JB543" s="569"/>
      <c r="JC543" s="569"/>
      <c r="JD543" s="569"/>
      <c r="JE543" s="569"/>
      <c r="JF543" s="569"/>
      <c r="JG543" s="569"/>
      <c r="JH543" s="569"/>
      <c r="JI543" s="569"/>
      <c r="JJ543" s="569"/>
      <c r="JK543" s="569"/>
      <c r="JL543" s="569"/>
      <c r="JM543" s="569"/>
      <c r="JN543" s="569"/>
      <c r="JO543" s="569"/>
      <c r="JP543" s="569"/>
      <c r="JQ543" s="569"/>
      <c r="JR543" s="569"/>
      <c r="JS543" s="569"/>
      <c r="JT543" s="569"/>
      <c r="JU543" s="569"/>
      <c r="JV543" s="569"/>
      <c r="JW543" s="569"/>
      <c r="JX543" s="569"/>
      <c r="JY543" s="569"/>
      <c r="JZ543" s="569"/>
      <c r="KA543" s="569"/>
      <c r="KB543" s="569"/>
      <c r="KC543" s="569"/>
      <c r="KD543" s="569"/>
      <c r="KE543" s="569"/>
      <c r="KF543" s="569"/>
      <c r="KG543" s="569"/>
      <c r="KH543" s="569"/>
      <c r="KI543" s="569"/>
      <c r="KJ543" s="569"/>
      <c r="KK543" s="569"/>
      <c r="KL543" s="569"/>
      <c r="KM543" s="569"/>
      <c r="KN543" s="569"/>
      <c r="KO543" s="569"/>
      <c r="KP543" s="569"/>
      <c r="KQ543" s="569"/>
      <c r="KR543" s="569"/>
      <c r="KS543" s="569"/>
      <c r="KT543" s="569"/>
      <c r="KU543" s="569"/>
      <c r="KV543" s="569"/>
      <c r="KW543" s="569"/>
      <c r="KX543" s="569"/>
      <c r="KY543" s="569"/>
      <c r="KZ543" s="569"/>
      <c r="LA543" s="569"/>
      <c r="LB543" s="569"/>
      <c r="LC543" s="569"/>
      <c r="LD543" s="569"/>
      <c r="LE543" s="569"/>
      <c r="LF543" s="569"/>
      <c r="LG543" s="569"/>
      <c r="LH543" s="569"/>
      <c r="LI543" s="569"/>
      <c r="LJ543" s="569"/>
      <c r="LK543" s="569"/>
      <c r="LL543" s="569"/>
      <c r="LM543" s="569"/>
      <c r="LN543" s="569"/>
      <c r="LO543" s="569"/>
      <c r="LP543" s="569"/>
      <c r="LQ543" s="569"/>
      <c r="LR543" s="569"/>
      <c r="LS543" s="569"/>
      <c r="LT543" s="569"/>
      <c r="LU543" s="569"/>
      <c r="LV543" s="569"/>
      <c r="LW543" s="569"/>
      <c r="LX543" s="569"/>
      <c r="LY543" s="569"/>
      <c r="LZ543" s="569"/>
      <c r="MA543" s="569"/>
      <c r="MB543" s="569"/>
      <c r="MC543" s="569"/>
      <c r="MD543" s="569"/>
      <c r="ME543" s="569"/>
      <c r="MF543" s="569"/>
      <c r="MG543" s="569"/>
      <c r="MH543" s="569"/>
      <c r="MI543" s="569"/>
      <c r="MJ543" s="569"/>
      <c r="MK543" s="569"/>
      <c r="ML543" s="569"/>
      <c r="MM543" s="569"/>
      <c r="MN543" s="569"/>
      <c r="MO543" s="569"/>
      <c r="MP543" s="569"/>
      <c r="MQ543" s="569"/>
      <c r="MR543" s="569"/>
      <c r="MS543" s="569"/>
      <c r="MT543" s="569"/>
      <c r="MU543" s="569"/>
      <c r="MV543" s="569"/>
      <c r="MW543" s="569"/>
      <c r="MX543" s="569"/>
      <c r="MY543" s="569"/>
      <c r="MZ543" s="569"/>
      <c r="NA543" s="569"/>
      <c r="NB543" s="569"/>
      <c r="NC543" s="569"/>
      <c r="ND543" s="569"/>
      <c r="NE543" s="569"/>
      <c r="NF543" s="569"/>
      <c r="NG543" s="569"/>
      <c r="NH543" s="569"/>
      <c r="NI543" s="569"/>
      <c r="NJ543" s="569"/>
      <c r="NK543" s="569"/>
      <c r="NL543" s="569"/>
      <c r="NM543" s="569"/>
      <c r="NN543" s="569"/>
      <c r="NO543" s="569"/>
      <c r="NP543" s="569"/>
      <c r="NQ543" s="569"/>
      <c r="NR543" s="569"/>
      <c r="NS543" s="569"/>
      <c r="NT543" s="569"/>
      <c r="NU543" s="569"/>
      <c r="NV543" s="569"/>
      <c r="NW543" s="569"/>
      <c r="NX543" s="569"/>
      <c r="NY543" s="569"/>
      <c r="NZ543" s="569"/>
      <c r="OA543" s="569"/>
      <c r="OB543" s="569"/>
      <c r="OC543" s="569"/>
      <c r="OD543" s="569"/>
      <c r="OE543" s="569"/>
      <c r="OF543" s="569"/>
      <c r="OG543" s="569"/>
      <c r="OH543" s="569"/>
      <c r="OI543" s="569"/>
      <c r="OJ543" s="569"/>
      <c r="OK543" s="569"/>
      <c r="OL543" s="569"/>
      <c r="OM543" s="569"/>
      <c r="ON543" s="569"/>
      <c r="OO543" s="569"/>
      <c r="OP543" s="569"/>
      <c r="OQ543" s="569"/>
      <c r="OR543" s="569"/>
      <c r="OS543" s="569"/>
      <c r="OT543" s="569"/>
      <c r="OU543" s="569"/>
      <c r="OV543" s="569"/>
      <c r="OW543" s="569"/>
      <c r="OX543" s="569"/>
      <c r="OY543" s="569"/>
      <c r="OZ543" s="569"/>
      <c r="PA543" s="569"/>
      <c r="PB543" s="569"/>
      <c r="PC543" s="569"/>
      <c r="PD543" s="569"/>
      <c r="PE543" s="569"/>
      <c r="PF543" s="569"/>
      <c r="PG543" s="569"/>
      <c r="PH543" s="569"/>
      <c r="PI543" s="569"/>
      <c r="PJ543" s="569"/>
      <c r="PK543" s="569"/>
      <c r="PL543" s="569"/>
      <c r="PM543" s="569"/>
      <c r="PN543" s="569"/>
      <c r="PO543" s="569"/>
      <c r="PP543" s="569"/>
      <c r="PQ543" s="569"/>
      <c r="PR543" s="569"/>
      <c r="PS543" s="569"/>
      <c r="PT543" s="569"/>
      <c r="PU543" s="569"/>
      <c r="PV543" s="569"/>
      <c r="PW543" s="569"/>
      <c r="PX543" s="569"/>
      <c r="PY543" s="569"/>
      <c r="PZ543" s="569"/>
      <c r="QA543" s="569"/>
      <c r="QB543" s="569"/>
      <c r="QC543" s="569"/>
      <c r="QD543" s="569"/>
      <c r="QE543" s="569"/>
      <c r="QF543" s="569"/>
      <c r="QG543" s="569"/>
      <c r="QH543" s="569"/>
      <c r="QI543" s="569"/>
      <c r="QJ543" s="569"/>
      <c r="QK543" s="569"/>
      <c r="QL543" s="569"/>
    </row>
    <row r="544" spans="1:454" ht="30">
      <c r="D544" s="568"/>
      <c r="E544" s="568"/>
      <c r="F544" s="568"/>
      <c r="G544" s="568"/>
      <c r="H544" s="563" t="str">
        <f>'matrik MISI 6'!N63</f>
        <v>Persentase Tertib Administrasi di tingkat Kelurahan</v>
      </c>
      <c r="I544" s="563" t="str">
        <f>'matrik MISI 6'!O63</f>
        <v>%</v>
      </c>
      <c r="J544" s="563">
        <f>'matrik MISI 6'!P63</f>
        <v>10</v>
      </c>
      <c r="K544" s="563">
        <f>'matrik MISI 6'!Q63</f>
        <v>10</v>
      </c>
      <c r="L544" s="563">
        <f>'matrik MISI 6'!R63</f>
        <v>10</v>
      </c>
      <c r="M544" s="604"/>
      <c r="N544" s="563">
        <f>'matrik MISI 6'!S63</f>
        <v>25</v>
      </c>
      <c r="O544" s="564"/>
      <c r="P544" s="563">
        <f>'matrik MISI 6'!T63</f>
        <v>50</v>
      </c>
      <c r="Q544" s="564"/>
      <c r="R544" s="563">
        <f>'matrik MISI 6'!U63</f>
        <v>75</v>
      </c>
      <c r="S544" s="564"/>
      <c r="T544" s="563">
        <f>'matrik MISI 6'!V63</f>
        <v>100</v>
      </c>
      <c r="U544" s="564"/>
      <c r="V544" s="563">
        <f>'matrik MISI 6'!W63</f>
        <v>100</v>
      </c>
      <c r="W544" s="564"/>
      <c r="X544" s="563" t="str">
        <f>'matrik MISI 6'!X63</f>
        <v>Bagian Pemerintahan Umum Setda</v>
      </c>
      <c r="Y544" s="563" t="str">
        <f>'matrik MISI 6'!Y63</f>
        <v>Jumlah kecamatan yang melaksanakan tertib administrasi dibagi jumalh Kecamatan kali 100</v>
      </c>
      <c r="Z544" s="563">
        <f>'matrik MISI 6'!Z63</f>
        <v>0</v>
      </c>
    </row>
    <row r="545" spans="1:454" s="574" customFormat="1" ht="45">
      <c r="A545" s="569"/>
      <c r="B545" s="575"/>
      <c r="C545" s="576"/>
      <c r="D545" s="577" t="str">
        <f>'matrik MISI 6'!J64</f>
        <v>1.20</v>
      </c>
      <c r="E545" s="577" t="str">
        <f>'matrik MISI 6'!K64</f>
        <v>xx</v>
      </c>
      <c r="F545" s="577">
        <f>'matrik MISI 6'!L64</f>
        <v>19</v>
      </c>
      <c r="G545" s="577" t="str">
        <f>'matrik MISI 6'!M64</f>
        <v>Program Pembinaan dan Fasilitasi Pengelolaan Keuangan Desa</v>
      </c>
      <c r="H545" s="577"/>
      <c r="I545" s="577"/>
      <c r="J545" s="577"/>
      <c r="K545" s="577"/>
      <c r="L545" s="577"/>
      <c r="M545" s="578"/>
      <c r="N545" s="577"/>
      <c r="O545" s="577"/>
      <c r="P545" s="577"/>
      <c r="Q545" s="577"/>
      <c r="R545" s="577"/>
      <c r="S545" s="577"/>
      <c r="T545" s="577"/>
      <c r="U545" s="577"/>
      <c r="V545" s="577"/>
      <c r="W545" s="577"/>
      <c r="X545" s="577"/>
      <c r="Y545" s="577"/>
      <c r="Z545" s="577"/>
      <c r="AA545" s="569"/>
      <c r="AB545" s="569"/>
      <c r="AC545" s="569"/>
      <c r="AD545" s="569"/>
      <c r="AE545" s="569"/>
      <c r="AF545" s="569"/>
      <c r="AG545" s="569"/>
      <c r="AH545" s="569"/>
      <c r="AI545" s="569"/>
      <c r="AJ545" s="569"/>
      <c r="AK545" s="569"/>
      <c r="AL545" s="569"/>
      <c r="AM545" s="569"/>
      <c r="AN545" s="569"/>
      <c r="AO545" s="569"/>
      <c r="AP545" s="569"/>
      <c r="AQ545" s="569"/>
      <c r="AR545" s="569"/>
      <c r="AS545" s="569"/>
      <c r="AT545" s="569"/>
      <c r="AU545" s="569"/>
      <c r="AV545" s="569"/>
      <c r="AW545" s="569"/>
      <c r="AX545" s="569"/>
      <c r="AY545" s="569"/>
      <c r="AZ545" s="569"/>
      <c r="BA545" s="569"/>
      <c r="BB545" s="569"/>
      <c r="BC545" s="569"/>
      <c r="BD545" s="569"/>
      <c r="BE545" s="569"/>
      <c r="BF545" s="569"/>
      <c r="BG545" s="569"/>
      <c r="BH545" s="569"/>
      <c r="BI545" s="569"/>
      <c r="BJ545" s="569"/>
      <c r="BK545" s="569"/>
      <c r="BL545" s="569"/>
      <c r="BM545" s="569"/>
      <c r="BN545" s="569"/>
      <c r="BO545" s="569"/>
      <c r="BP545" s="569"/>
      <c r="BQ545" s="569"/>
      <c r="BR545" s="569"/>
      <c r="BS545" s="569"/>
      <c r="BT545" s="569"/>
      <c r="BU545" s="569"/>
      <c r="BV545" s="569"/>
      <c r="BW545" s="569"/>
      <c r="BX545" s="569"/>
      <c r="BY545" s="569"/>
      <c r="BZ545" s="569"/>
      <c r="CA545" s="569"/>
      <c r="CB545" s="569"/>
      <c r="CC545" s="569"/>
      <c r="CD545" s="569"/>
      <c r="CE545" s="569"/>
      <c r="CF545" s="569"/>
      <c r="CG545" s="569"/>
      <c r="CH545" s="569"/>
      <c r="CI545" s="569"/>
      <c r="CJ545" s="569"/>
      <c r="CK545" s="569"/>
      <c r="CL545" s="569"/>
      <c r="CM545" s="569"/>
      <c r="CN545" s="569"/>
      <c r="CO545" s="569"/>
      <c r="CP545" s="569"/>
      <c r="CQ545" s="569"/>
      <c r="CR545" s="569"/>
      <c r="CS545" s="569"/>
      <c r="CT545" s="569"/>
      <c r="CU545" s="569"/>
      <c r="CV545" s="569"/>
      <c r="CW545" s="569"/>
      <c r="CX545" s="569"/>
      <c r="CY545" s="569"/>
      <c r="CZ545" s="569"/>
      <c r="DA545" s="569"/>
      <c r="DB545" s="569"/>
      <c r="DC545" s="569"/>
      <c r="DD545" s="569"/>
      <c r="DE545" s="569"/>
      <c r="DF545" s="569"/>
      <c r="DG545" s="569"/>
      <c r="DH545" s="569"/>
      <c r="DI545" s="569"/>
      <c r="DJ545" s="569"/>
      <c r="DK545" s="569"/>
      <c r="DL545" s="569"/>
      <c r="DM545" s="569"/>
      <c r="DN545" s="569"/>
      <c r="DO545" s="569"/>
      <c r="DP545" s="569"/>
      <c r="DQ545" s="569"/>
      <c r="DR545" s="569"/>
      <c r="DS545" s="569"/>
      <c r="DT545" s="569"/>
      <c r="DU545" s="569"/>
      <c r="DV545" s="569"/>
      <c r="DW545" s="569"/>
      <c r="DX545" s="569"/>
      <c r="DY545" s="569"/>
      <c r="DZ545" s="569"/>
      <c r="EA545" s="569"/>
      <c r="EB545" s="569"/>
      <c r="EC545" s="569"/>
      <c r="ED545" s="569"/>
      <c r="EE545" s="569"/>
      <c r="EF545" s="569"/>
      <c r="EG545" s="569"/>
      <c r="EH545" s="569"/>
      <c r="EI545" s="569"/>
      <c r="EJ545" s="569"/>
      <c r="EK545" s="569"/>
      <c r="EL545" s="569"/>
      <c r="EM545" s="569"/>
      <c r="EN545" s="569"/>
      <c r="EO545" s="569"/>
      <c r="EP545" s="569"/>
      <c r="EQ545" s="569"/>
      <c r="ER545" s="569"/>
      <c r="ES545" s="569"/>
      <c r="ET545" s="569"/>
      <c r="EU545" s="569"/>
      <c r="EV545" s="569"/>
      <c r="EW545" s="569"/>
      <c r="EX545" s="569"/>
      <c r="EY545" s="569"/>
      <c r="EZ545" s="569"/>
      <c r="FA545" s="569"/>
      <c r="FB545" s="569"/>
      <c r="FC545" s="569"/>
      <c r="FD545" s="569"/>
      <c r="FE545" s="569"/>
      <c r="FF545" s="569"/>
      <c r="FG545" s="569"/>
      <c r="FH545" s="569"/>
      <c r="FI545" s="569"/>
      <c r="FJ545" s="569"/>
      <c r="FK545" s="569"/>
      <c r="FL545" s="569"/>
      <c r="FM545" s="569"/>
      <c r="FN545" s="569"/>
      <c r="FO545" s="569"/>
      <c r="FP545" s="569"/>
      <c r="FQ545" s="569"/>
      <c r="FR545" s="569"/>
      <c r="FS545" s="569"/>
      <c r="FT545" s="569"/>
      <c r="FU545" s="569"/>
      <c r="FV545" s="569"/>
      <c r="FW545" s="569"/>
      <c r="FX545" s="569"/>
      <c r="FY545" s="569"/>
      <c r="FZ545" s="569"/>
      <c r="GA545" s="569"/>
      <c r="GB545" s="569"/>
      <c r="GC545" s="569"/>
      <c r="GD545" s="569"/>
      <c r="GE545" s="569"/>
      <c r="GF545" s="569"/>
      <c r="GG545" s="569"/>
      <c r="GH545" s="569"/>
      <c r="GI545" s="569"/>
      <c r="GJ545" s="569"/>
      <c r="GK545" s="569"/>
      <c r="GL545" s="569"/>
      <c r="GM545" s="569"/>
      <c r="GN545" s="569"/>
      <c r="GO545" s="569"/>
      <c r="GP545" s="569"/>
      <c r="GQ545" s="569"/>
      <c r="GR545" s="569"/>
      <c r="GS545" s="569"/>
      <c r="GT545" s="569"/>
      <c r="GU545" s="569"/>
      <c r="GV545" s="569"/>
      <c r="GW545" s="569"/>
      <c r="GX545" s="569"/>
      <c r="GY545" s="569"/>
      <c r="GZ545" s="569"/>
      <c r="HA545" s="569"/>
      <c r="HB545" s="569"/>
      <c r="HC545" s="569"/>
      <c r="HD545" s="569"/>
      <c r="HE545" s="569"/>
      <c r="HF545" s="569"/>
      <c r="HG545" s="569"/>
      <c r="HH545" s="569"/>
      <c r="HI545" s="569"/>
      <c r="HJ545" s="569"/>
      <c r="HK545" s="569"/>
      <c r="HL545" s="569"/>
      <c r="HM545" s="569"/>
      <c r="HN545" s="569"/>
      <c r="HO545" s="569"/>
      <c r="HP545" s="569"/>
      <c r="HQ545" s="569"/>
      <c r="HR545" s="569"/>
      <c r="HS545" s="569"/>
      <c r="HT545" s="569"/>
      <c r="HU545" s="569"/>
      <c r="HV545" s="569"/>
      <c r="HW545" s="569"/>
      <c r="HX545" s="569"/>
      <c r="HY545" s="569"/>
      <c r="HZ545" s="569"/>
      <c r="IA545" s="569"/>
      <c r="IB545" s="569"/>
      <c r="IC545" s="569"/>
      <c r="ID545" s="569"/>
      <c r="IE545" s="569"/>
      <c r="IF545" s="569"/>
      <c r="IG545" s="569"/>
      <c r="IH545" s="569"/>
      <c r="II545" s="569"/>
      <c r="IJ545" s="569"/>
      <c r="IK545" s="569"/>
      <c r="IL545" s="569"/>
      <c r="IM545" s="569"/>
      <c r="IN545" s="569"/>
      <c r="IO545" s="569"/>
      <c r="IP545" s="569"/>
      <c r="IQ545" s="569"/>
      <c r="IR545" s="569"/>
      <c r="IS545" s="569"/>
      <c r="IT545" s="569"/>
      <c r="IU545" s="569"/>
      <c r="IV545" s="569"/>
      <c r="IW545" s="569"/>
      <c r="IX545" s="569"/>
      <c r="IY545" s="569"/>
      <c r="IZ545" s="569"/>
      <c r="JA545" s="569"/>
      <c r="JB545" s="569"/>
      <c r="JC545" s="569"/>
      <c r="JD545" s="569"/>
      <c r="JE545" s="569"/>
      <c r="JF545" s="569"/>
      <c r="JG545" s="569"/>
      <c r="JH545" s="569"/>
      <c r="JI545" s="569"/>
      <c r="JJ545" s="569"/>
      <c r="JK545" s="569"/>
      <c r="JL545" s="569"/>
      <c r="JM545" s="569"/>
      <c r="JN545" s="569"/>
      <c r="JO545" s="569"/>
      <c r="JP545" s="569"/>
      <c r="JQ545" s="569"/>
      <c r="JR545" s="569"/>
      <c r="JS545" s="569"/>
      <c r="JT545" s="569"/>
      <c r="JU545" s="569"/>
      <c r="JV545" s="569"/>
      <c r="JW545" s="569"/>
      <c r="JX545" s="569"/>
      <c r="JY545" s="569"/>
      <c r="JZ545" s="569"/>
      <c r="KA545" s="569"/>
      <c r="KB545" s="569"/>
      <c r="KC545" s="569"/>
      <c r="KD545" s="569"/>
      <c r="KE545" s="569"/>
      <c r="KF545" s="569"/>
      <c r="KG545" s="569"/>
      <c r="KH545" s="569"/>
      <c r="KI545" s="569"/>
      <c r="KJ545" s="569"/>
      <c r="KK545" s="569"/>
      <c r="KL545" s="569"/>
      <c r="KM545" s="569"/>
      <c r="KN545" s="569"/>
      <c r="KO545" s="569"/>
      <c r="KP545" s="569"/>
      <c r="KQ545" s="569"/>
      <c r="KR545" s="569"/>
      <c r="KS545" s="569"/>
      <c r="KT545" s="569"/>
      <c r="KU545" s="569"/>
      <c r="KV545" s="569"/>
      <c r="KW545" s="569"/>
      <c r="KX545" s="569"/>
      <c r="KY545" s="569"/>
      <c r="KZ545" s="569"/>
      <c r="LA545" s="569"/>
      <c r="LB545" s="569"/>
      <c r="LC545" s="569"/>
      <c r="LD545" s="569"/>
      <c r="LE545" s="569"/>
      <c r="LF545" s="569"/>
      <c r="LG545" s="569"/>
      <c r="LH545" s="569"/>
      <c r="LI545" s="569"/>
      <c r="LJ545" s="569"/>
      <c r="LK545" s="569"/>
      <c r="LL545" s="569"/>
      <c r="LM545" s="569"/>
      <c r="LN545" s="569"/>
      <c r="LO545" s="569"/>
      <c r="LP545" s="569"/>
      <c r="LQ545" s="569"/>
      <c r="LR545" s="569"/>
      <c r="LS545" s="569"/>
      <c r="LT545" s="569"/>
      <c r="LU545" s="569"/>
      <c r="LV545" s="569"/>
      <c r="LW545" s="569"/>
      <c r="LX545" s="569"/>
      <c r="LY545" s="569"/>
      <c r="LZ545" s="569"/>
      <c r="MA545" s="569"/>
      <c r="MB545" s="569"/>
      <c r="MC545" s="569"/>
      <c r="MD545" s="569"/>
      <c r="ME545" s="569"/>
      <c r="MF545" s="569"/>
      <c r="MG545" s="569"/>
      <c r="MH545" s="569"/>
      <c r="MI545" s="569"/>
      <c r="MJ545" s="569"/>
      <c r="MK545" s="569"/>
      <c r="ML545" s="569"/>
      <c r="MM545" s="569"/>
      <c r="MN545" s="569"/>
      <c r="MO545" s="569"/>
      <c r="MP545" s="569"/>
      <c r="MQ545" s="569"/>
      <c r="MR545" s="569"/>
      <c r="MS545" s="569"/>
      <c r="MT545" s="569"/>
      <c r="MU545" s="569"/>
      <c r="MV545" s="569"/>
      <c r="MW545" s="569"/>
      <c r="MX545" s="569"/>
      <c r="MY545" s="569"/>
      <c r="MZ545" s="569"/>
      <c r="NA545" s="569"/>
      <c r="NB545" s="569"/>
      <c r="NC545" s="569"/>
      <c r="ND545" s="569"/>
      <c r="NE545" s="569"/>
      <c r="NF545" s="569"/>
      <c r="NG545" s="569"/>
      <c r="NH545" s="569"/>
      <c r="NI545" s="569"/>
      <c r="NJ545" s="569"/>
      <c r="NK545" s="569"/>
      <c r="NL545" s="569"/>
      <c r="NM545" s="569"/>
      <c r="NN545" s="569"/>
      <c r="NO545" s="569"/>
      <c r="NP545" s="569"/>
      <c r="NQ545" s="569"/>
      <c r="NR545" s="569"/>
      <c r="NS545" s="569"/>
      <c r="NT545" s="569"/>
      <c r="NU545" s="569"/>
      <c r="NV545" s="569"/>
      <c r="NW545" s="569"/>
      <c r="NX545" s="569"/>
      <c r="NY545" s="569"/>
      <c r="NZ545" s="569"/>
      <c r="OA545" s="569"/>
      <c r="OB545" s="569"/>
      <c r="OC545" s="569"/>
      <c r="OD545" s="569"/>
      <c r="OE545" s="569"/>
      <c r="OF545" s="569"/>
      <c r="OG545" s="569"/>
      <c r="OH545" s="569"/>
      <c r="OI545" s="569"/>
      <c r="OJ545" s="569"/>
      <c r="OK545" s="569"/>
      <c r="OL545" s="569"/>
      <c r="OM545" s="569"/>
      <c r="ON545" s="569"/>
      <c r="OO545" s="569"/>
      <c r="OP545" s="569"/>
      <c r="OQ545" s="569"/>
      <c r="OR545" s="569"/>
      <c r="OS545" s="569"/>
      <c r="OT545" s="569"/>
      <c r="OU545" s="569"/>
      <c r="OV545" s="569"/>
      <c r="OW545" s="569"/>
      <c r="OX545" s="569"/>
      <c r="OY545" s="569"/>
      <c r="OZ545" s="569"/>
      <c r="PA545" s="569"/>
      <c r="PB545" s="569"/>
      <c r="PC545" s="569"/>
      <c r="PD545" s="569"/>
      <c r="PE545" s="569"/>
      <c r="PF545" s="569"/>
      <c r="PG545" s="569"/>
      <c r="PH545" s="569"/>
      <c r="PI545" s="569"/>
      <c r="PJ545" s="569"/>
      <c r="PK545" s="569"/>
      <c r="PL545" s="569"/>
      <c r="PM545" s="569"/>
      <c r="PN545" s="569"/>
      <c r="PO545" s="569"/>
      <c r="PP545" s="569"/>
      <c r="PQ545" s="569"/>
      <c r="PR545" s="569"/>
      <c r="PS545" s="569"/>
      <c r="PT545" s="569"/>
      <c r="PU545" s="569"/>
      <c r="PV545" s="569"/>
      <c r="PW545" s="569"/>
      <c r="PX545" s="569"/>
      <c r="PY545" s="569"/>
      <c r="PZ545" s="569"/>
      <c r="QA545" s="569"/>
      <c r="QB545" s="569"/>
      <c r="QC545" s="569"/>
      <c r="QD545" s="569"/>
      <c r="QE545" s="569"/>
      <c r="QF545" s="569"/>
      <c r="QG545" s="569"/>
      <c r="QH545" s="569"/>
      <c r="QI545" s="569"/>
      <c r="QJ545" s="569"/>
      <c r="QK545" s="569"/>
      <c r="QL545" s="569"/>
    </row>
    <row r="546" spans="1:454" s="574" customFormat="1" ht="45">
      <c r="A546" s="569"/>
      <c r="B546" s="575"/>
      <c r="C546" s="576"/>
      <c r="D546" s="577" t="str">
        <f>'matrik MISI 6'!J65</f>
        <v>1.20</v>
      </c>
      <c r="E546" s="577" t="str">
        <f>'matrik MISI 6'!K65</f>
        <v>xx</v>
      </c>
      <c r="F546" s="577">
        <f>'matrik MISI 6'!L65</f>
        <v>28</v>
      </c>
      <c r="G546" s="577" t="str">
        <f>'matrik MISI 6'!M65</f>
        <v>Program Peningkatan Kapasitas Aparatur Pemerintahan Desa</v>
      </c>
      <c r="H546" s="577"/>
      <c r="I546" s="577"/>
      <c r="J546" s="577"/>
      <c r="K546" s="577"/>
      <c r="L546" s="577"/>
      <c r="M546" s="578"/>
      <c r="N546" s="577"/>
      <c r="O546" s="577"/>
      <c r="P546" s="577"/>
      <c r="Q546" s="577"/>
      <c r="R546" s="577"/>
      <c r="S546" s="577"/>
      <c r="T546" s="577"/>
      <c r="U546" s="577"/>
      <c r="V546" s="577"/>
      <c r="W546" s="577"/>
      <c r="X546" s="577"/>
      <c r="Y546" s="577"/>
      <c r="Z546" s="577"/>
      <c r="AA546" s="569"/>
      <c r="AB546" s="569"/>
      <c r="AC546" s="569"/>
      <c r="AD546" s="569"/>
      <c r="AE546" s="569"/>
      <c r="AF546" s="569"/>
      <c r="AG546" s="569"/>
      <c r="AH546" s="569"/>
      <c r="AI546" s="569"/>
      <c r="AJ546" s="569"/>
      <c r="AK546" s="569"/>
      <c r="AL546" s="569"/>
      <c r="AM546" s="569"/>
      <c r="AN546" s="569"/>
      <c r="AO546" s="569"/>
      <c r="AP546" s="569"/>
      <c r="AQ546" s="569"/>
      <c r="AR546" s="569"/>
      <c r="AS546" s="569"/>
      <c r="AT546" s="569"/>
      <c r="AU546" s="569"/>
      <c r="AV546" s="569"/>
      <c r="AW546" s="569"/>
      <c r="AX546" s="569"/>
      <c r="AY546" s="569"/>
      <c r="AZ546" s="569"/>
      <c r="BA546" s="569"/>
      <c r="BB546" s="569"/>
      <c r="BC546" s="569"/>
      <c r="BD546" s="569"/>
      <c r="BE546" s="569"/>
      <c r="BF546" s="569"/>
      <c r="BG546" s="569"/>
      <c r="BH546" s="569"/>
      <c r="BI546" s="569"/>
      <c r="BJ546" s="569"/>
      <c r="BK546" s="569"/>
      <c r="BL546" s="569"/>
      <c r="BM546" s="569"/>
      <c r="BN546" s="569"/>
      <c r="BO546" s="569"/>
      <c r="BP546" s="569"/>
      <c r="BQ546" s="569"/>
      <c r="BR546" s="569"/>
      <c r="BS546" s="569"/>
      <c r="BT546" s="569"/>
      <c r="BU546" s="569"/>
      <c r="BV546" s="569"/>
      <c r="BW546" s="569"/>
      <c r="BX546" s="569"/>
      <c r="BY546" s="569"/>
      <c r="BZ546" s="569"/>
      <c r="CA546" s="569"/>
      <c r="CB546" s="569"/>
      <c r="CC546" s="569"/>
      <c r="CD546" s="569"/>
      <c r="CE546" s="569"/>
      <c r="CF546" s="569"/>
      <c r="CG546" s="569"/>
      <c r="CH546" s="569"/>
      <c r="CI546" s="569"/>
      <c r="CJ546" s="569"/>
      <c r="CK546" s="569"/>
      <c r="CL546" s="569"/>
      <c r="CM546" s="569"/>
      <c r="CN546" s="569"/>
      <c r="CO546" s="569"/>
      <c r="CP546" s="569"/>
      <c r="CQ546" s="569"/>
      <c r="CR546" s="569"/>
      <c r="CS546" s="569"/>
      <c r="CT546" s="569"/>
      <c r="CU546" s="569"/>
      <c r="CV546" s="569"/>
      <c r="CW546" s="569"/>
      <c r="CX546" s="569"/>
      <c r="CY546" s="569"/>
      <c r="CZ546" s="569"/>
      <c r="DA546" s="569"/>
      <c r="DB546" s="569"/>
      <c r="DC546" s="569"/>
      <c r="DD546" s="569"/>
      <c r="DE546" s="569"/>
      <c r="DF546" s="569"/>
      <c r="DG546" s="569"/>
      <c r="DH546" s="569"/>
      <c r="DI546" s="569"/>
      <c r="DJ546" s="569"/>
      <c r="DK546" s="569"/>
      <c r="DL546" s="569"/>
      <c r="DM546" s="569"/>
      <c r="DN546" s="569"/>
      <c r="DO546" s="569"/>
      <c r="DP546" s="569"/>
      <c r="DQ546" s="569"/>
      <c r="DR546" s="569"/>
      <c r="DS546" s="569"/>
      <c r="DT546" s="569"/>
      <c r="DU546" s="569"/>
      <c r="DV546" s="569"/>
      <c r="DW546" s="569"/>
      <c r="DX546" s="569"/>
      <c r="DY546" s="569"/>
      <c r="DZ546" s="569"/>
      <c r="EA546" s="569"/>
      <c r="EB546" s="569"/>
      <c r="EC546" s="569"/>
      <c r="ED546" s="569"/>
      <c r="EE546" s="569"/>
      <c r="EF546" s="569"/>
      <c r="EG546" s="569"/>
      <c r="EH546" s="569"/>
      <c r="EI546" s="569"/>
      <c r="EJ546" s="569"/>
      <c r="EK546" s="569"/>
      <c r="EL546" s="569"/>
      <c r="EM546" s="569"/>
      <c r="EN546" s="569"/>
      <c r="EO546" s="569"/>
      <c r="EP546" s="569"/>
      <c r="EQ546" s="569"/>
      <c r="ER546" s="569"/>
      <c r="ES546" s="569"/>
      <c r="ET546" s="569"/>
      <c r="EU546" s="569"/>
      <c r="EV546" s="569"/>
      <c r="EW546" s="569"/>
      <c r="EX546" s="569"/>
      <c r="EY546" s="569"/>
      <c r="EZ546" s="569"/>
      <c r="FA546" s="569"/>
      <c r="FB546" s="569"/>
      <c r="FC546" s="569"/>
      <c r="FD546" s="569"/>
      <c r="FE546" s="569"/>
      <c r="FF546" s="569"/>
      <c r="FG546" s="569"/>
      <c r="FH546" s="569"/>
      <c r="FI546" s="569"/>
      <c r="FJ546" s="569"/>
      <c r="FK546" s="569"/>
      <c r="FL546" s="569"/>
      <c r="FM546" s="569"/>
      <c r="FN546" s="569"/>
      <c r="FO546" s="569"/>
      <c r="FP546" s="569"/>
      <c r="FQ546" s="569"/>
      <c r="FR546" s="569"/>
      <c r="FS546" s="569"/>
      <c r="FT546" s="569"/>
      <c r="FU546" s="569"/>
      <c r="FV546" s="569"/>
      <c r="FW546" s="569"/>
      <c r="FX546" s="569"/>
      <c r="FY546" s="569"/>
      <c r="FZ546" s="569"/>
      <c r="GA546" s="569"/>
      <c r="GB546" s="569"/>
      <c r="GC546" s="569"/>
      <c r="GD546" s="569"/>
      <c r="GE546" s="569"/>
      <c r="GF546" s="569"/>
      <c r="GG546" s="569"/>
      <c r="GH546" s="569"/>
      <c r="GI546" s="569"/>
      <c r="GJ546" s="569"/>
      <c r="GK546" s="569"/>
      <c r="GL546" s="569"/>
      <c r="GM546" s="569"/>
      <c r="GN546" s="569"/>
      <c r="GO546" s="569"/>
      <c r="GP546" s="569"/>
      <c r="GQ546" s="569"/>
      <c r="GR546" s="569"/>
      <c r="GS546" s="569"/>
      <c r="GT546" s="569"/>
      <c r="GU546" s="569"/>
      <c r="GV546" s="569"/>
      <c r="GW546" s="569"/>
      <c r="GX546" s="569"/>
      <c r="GY546" s="569"/>
      <c r="GZ546" s="569"/>
      <c r="HA546" s="569"/>
      <c r="HB546" s="569"/>
      <c r="HC546" s="569"/>
      <c r="HD546" s="569"/>
      <c r="HE546" s="569"/>
      <c r="HF546" s="569"/>
      <c r="HG546" s="569"/>
      <c r="HH546" s="569"/>
      <c r="HI546" s="569"/>
      <c r="HJ546" s="569"/>
      <c r="HK546" s="569"/>
      <c r="HL546" s="569"/>
      <c r="HM546" s="569"/>
      <c r="HN546" s="569"/>
      <c r="HO546" s="569"/>
      <c r="HP546" s="569"/>
      <c r="HQ546" s="569"/>
      <c r="HR546" s="569"/>
      <c r="HS546" s="569"/>
      <c r="HT546" s="569"/>
      <c r="HU546" s="569"/>
      <c r="HV546" s="569"/>
      <c r="HW546" s="569"/>
      <c r="HX546" s="569"/>
      <c r="HY546" s="569"/>
      <c r="HZ546" s="569"/>
      <c r="IA546" s="569"/>
      <c r="IB546" s="569"/>
      <c r="IC546" s="569"/>
      <c r="ID546" s="569"/>
      <c r="IE546" s="569"/>
      <c r="IF546" s="569"/>
      <c r="IG546" s="569"/>
      <c r="IH546" s="569"/>
      <c r="II546" s="569"/>
      <c r="IJ546" s="569"/>
      <c r="IK546" s="569"/>
      <c r="IL546" s="569"/>
      <c r="IM546" s="569"/>
      <c r="IN546" s="569"/>
      <c r="IO546" s="569"/>
      <c r="IP546" s="569"/>
      <c r="IQ546" s="569"/>
      <c r="IR546" s="569"/>
      <c r="IS546" s="569"/>
      <c r="IT546" s="569"/>
      <c r="IU546" s="569"/>
      <c r="IV546" s="569"/>
      <c r="IW546" s="569"/>
      <c r="IX546" s="569"/>
      <c r="IY546" s="569"/>
      <c r="IZ546" s="569"/>
      <c r="JA546" s="569"/>
      <c r="JB546" s="569"/>
      <c r="JC546" s="569"/>
      <c r="JD546" s="569"/>
      <c r="JE546" s="569"/>
      <c r="JF546" s="569"/>
      <c r="JG546" s="569"/>
      <c r="JH546" s="569"/>
      <c r="JI546" s="569"/>
      <c r="JJ546" s="569"/>
      <c r="JK546" s="569"/>
      <c r="JL546" s="569"/>
      <c r="JM546" s="569"/>
      <c r="JN546" s="569"/>
      <c r="JO546" s="569"/>
      <c r="JP546" s="569"/>
      <c r="JQ546" s="569"/>
      <c r="JR546" s="569"/>
      <c r="JS546" s="569"/>
      <c r="JT546" s="569"/>
      <c r="JU546" s="569"/>
      <c r="JV546" s="569"/>
      <c r="JW546" s="569"/>
      <c r="JX546" s="569"/>
      <c r="JY546" s="569"/>
      <c r="JZ546" s="569"/>
      <c r="KA546" s="569"/>
      <c r="KB546" s="569"/>
      <c r="KC546" s="569"/>
      <c r="KD546" s="569"/>
      <c r="KE546" s="569"/>
      <c r="KF546" s="569"/>
      <c r="KG546" s="569"/>
      <c r="KH546" s="569"/>
      <c r="KI546" s="569"/>
      <c r="KJ546" s="569"/>
      <c r="KK546" s="569"/>
      <c r="KL546" s="569"/>
      <c r="KM546" s="569"/>
      <c r="KN546" s="569"/>
      <c r="KO546" s="569"/>
      <c r="KP546" s="569"/>
      <c r="KQ546" s="569"/>
      <c r="KR546" s="569"/>
      <c r="KS546" s="569"/>
      <c r="KT546" s="569"/>
      <c r="KU546" s="569"/>
      <c r="KV546" s="569"/>
      <c r="KW546" s="569"/>
      <c r="KX546" s="569"/>
      <c r="KY546" s="569"/>
      <c r="KZ546" s="569"/>
      <c r="LA546" s="569"/>
      <c r="LB546" s="569"/>
      <c r="LC546" s="569"/>
      <c r="LD546" s="569"/>
      <c r="LE546" s="569"/>
      <c r="LF546" s="569"/>
      <c r="LG546" s="569"/>
      <c r="LH546" s="569"/>
      <c r="LI546" s="569"/>
      <c r="LJ546" s="569"/>
      <c r="LK546" s="569"/>
      <c r="LL546" s="569"/>
      <c r="LM546" s="569"/>
      <c r="LN546" s="569"/>
      <c r="LO546" s="569"/>
      <c r="LP546" s="569"/>
      <c r="LQ546" s="569"/>
      <c r="LR546" s="569"/>
      <c r="LS546" s="569"/>
      <c r="LT546" s="569"/>
      <c r="LU546" s="569"/>
      <c r="LV546" s="569"/>
      <c r="LW546" s="569"/>
      <c r="LX546" s="569"/>
      <c r="LY546" s="569"/>
      <c r="LZ546" s="569"/>
      <c r="MA546" s="569"/>
      <c r="MB546" s="569"/>
      <c r="MC546" s="569"/>
      <c r="MD546" s="569"/>
      <c r="ME546" s="569"/>
      <c r="MF546" s="569"/>
      <c r="MG546" s="569"/>
      <c r="MH546" s="569"/>
      <c r="MI546" s="569"/>
      <c r="MJ546" s="569"/>
      <c r="MK546" s="569"/>
      <c r="ML546" s="569"/>
      <c r="MM546" s="569"/>
      <c r="MN546" s="569"/>
      <c r="MO546" s="569"/>
      <c r="MP546" s="569"/>
      <c r="MQ546" s="569"/>
      <c r="MR546" s="569"/>
      <c r="MS546" s="569"/>
      <c r="MT546" s="569"/>
      <c r="MU546" s="569"/>
      <c r="MV546" s="569"/>
      <c r="MW546" s="569"/>
      <c r="MX546" s="569"/>
      <c r="MY546" s="569"/>
      <c r="MZ546" s="569"/>
      <c r="NA546" s="569"/>
      <c r="NB546" s="569"/>
      <c r="NC546" s="569"/>
      <c r="ND546" s="569"/>
      <c r="NE546" s="569"/>
      <c r="NF546" s="569"/>
      <c r="NG546" s="569"/>
      <c r="NH546" s="569"/>
      <c r="NI546" s="569"/>
      <c r="NJ546" s="569"/>
      <c r="NK546" s="569"/>
      <c r="NL546" s="569"/>
      <c r="NM546" s="569"/>
      <c r="NN546" s="569"/>
      <c r="NO546" s="569"/>
      <c r="NP546" s="569"/>
      <c r="NQ546" s="569"/>
      <c r="NR546" s="569"/>
      <c r="NS546" s="569"/>
      <c r="NT546" s="569"/>
      <c r="NU546" s="569"/>
      <c r="NV546" s="569"/>
      <c r="NW546" s="569"/>
      <c r="NX546" s="569"/>
      <c r="NY546" s="569"/>
      <c r="NZ546" s="569"/>
      <c r="OA546" s="569"/>
      <c r="OB546" s="569"/>
      <c r="OC546" s="569"/>
      <c r="OD546" s="569"/>
      <c r="OE546" s="569"/>
      <c r="OF546" s="569"/>
      <c r="OG546" s="569"/>
      <c r="OH546" s="569"/>
      <c r="OI546" s="569"/>
      <c r="OJ546" s="569"/>
      <c r="OK546" s="569"/>
      <c r="OL546" s="569"/>
      <c r="OM546" s="569"/>
      <c r="ON546" s="569"/>
      <c r="OO546" s="569"/>
      <c r="OP546" s="569"/>
      <c r="OQ546" s="569"/>
      <c r="OR546" s="569"/>
      <c r="OS546" s="569"/>
      <c r="OT546" s="569"/>
      <c r="OU546" s="569"/>
      <c r="OV546" s="569"/>
      <c r="OW546" s="569"/>
      <c r="OX546" s="569"/>
      <c r="OY546" s="569"/>
      <c r="OZ546" s="569"/>
      <c r="PA546" s="569"/>
      <c r="PB546" s="569"/>
      <c r="PC546" s="569"/>
      <c r="PD546" s="569"/>
      <c r="PE546" s="569"/>
      <c r="PF546" s="569"/>
      <c r="PG546" s="569"/>
      <c r="PH546" s="569"/>
      <c r="PI546" s="569"/>
      <c r="PJ546" s="569"/>
      <c r="PK546" s="569"/>
      <c r="PL546" s="569"/>
      <c r="PM546" s="569"/>
      <c r="PN546" s="569"/>
      <c r="PO546" s="569"/>
      <c r="PP546" s="569"/>
      <c r="PQ546" s="569"/>
      <c r="PR546" s="569"/>
      <c r="PS546" s="569"/>
      <c r="PT546" s="569"/>
      <c r="PU546" s="569"/>
      <c r="PV546" s="569"/>
      <c r="PW546" s="569"/>
      <c r="PX546" s="569"/>
      <c r="PY546" s="569"/>
      <c r="PZ546" s="569"/>
      <c r="QA546" s="569"/>
      <c r="QB546" s="569"/>
      <c r="QC546" s="569"/>
      <c r="QD546" s="569"/>
      <c r="QE546" s="569"/>
      <c r="QF546" s="569"/>
      <c r="QG546" s="569"/>
      <c r="QH546" s="569"/>
      <c r="QI546" s="569"/>
      <c r="QJ546" s="569"/>
      <c r="QK546" s="569"/>
      <c r="QL546" s="569"/>
    </row>
    <row r="547" spans="1:454" ht="45">
      <c r="D547" s="568"/>
      <c r="E547" s="568"/>
      <c r="F547" s="568"/>
      <c r="G547" s="568"/>
      <c r="H547" s="563" t="str">
        <f>'matrik MISI 6'!N64</f>
        <v>Cakupan Pembinaan Administrasi Desa</v>
      </c>
      <c r="I547" s="563" t="str">
        <f>'matrik MISI 6'!O64</f>
        <v>%</v>
      </c>
      <c r="J547" s="563">
        <f>'matrik MISI 6'!P64</f>
        <v>100</v>
      </c>
      <c r="K547" s="563">
        <f>'matrik MISI 6'!Q64</f>
        <v>100</v>
      </c>
      <c r="L547" s="563">
        <f>'matrik MISI 6'!R64</f>
        <v>100</v>
      </c>
      <c r="M547" s="604"/>
      <c r="N547" s="563">
        <f>'matrik MISI 6'!S64</f>
        <v>100</v>
      </c>
      <c r="O547" s="564"/>
      <c r="P547" s="563">
        <f>'matrik MISI 6'!T64</f>
        <v>100</v>
      </c>
      <c r="Q547" s="564"/>
      <c r="R547" s="563">
        <f>'matrik MISI 6'!U64</f>
        <v>100</v>
      </c>
      <c r="S547" s="564"/>
      <c r="T547" s="563">
        <f>'matrik MISI 6'!V64</f>
        <v>100</v>
      </c>
      <c r="U547" s="564"/>
      <c r="V547" s="563">
        <f>'matrik MISI 6'!W64</f>
        <v>100</v>
      </c>
      <c r="W547" s="564"/>
      <c r="X547" s="563" t="str">
        <f>'matrik MISI 6'!X64</f>
        <v>Bagian Pemerintahan Desa Setda dan Kecamatan</v>
      </c>
      <c r="Y547" s="563" t="str">
        <f>'matrik MISI 6'!Y64</f>
        <v>Jumlah desa yang mengisi buku administrasi secara benar dibagi Jumlah desa</v>
      </c>
      <c r="Z547" s="563">
        <f>'matrik MISI 6'!Z64</f>
        <v>0</v>
      </c>
    </row>
    <row r="548" spans="1:454" s="574" customFormat="1" ht="60">
      <c r="A548" s="569"/>
      <c r="B548" s="575"/>
      <c r="C548" s="576"/>
      <c r="D548" s="577" t="str">
        <f>'matrik MISI 6'!J67</f>
        <v>1.20</v>
      </c>
      <c r="E548" s="577" t="str">
        <f>'matrik MISI 6'!K67</f>
        <v>xx</v>
      </c>
      <c r="F548" s="577">
        <f>'matrik MISI 6'!L67</f>
        <v>17</v>
      </c>
      <c r="G548" s="577" t="str">
        <f>'matrik MISI 6'!M67</f>
        <v>Program Peningkatan dan Pengembangan Pengelolaan Keuangan Daerah</v>
      </c>
      <c r="H548" s="577"/>
      <c r="I548" s="577"/>
      <c r="J548" s="577"/>
      <c r="K548" s="577"/>
      <c r="L548" s="577"/>
      <c r="M548" s="578"/>
      <c r="N548" s="577"/>
      <c r="O548" s="577"/>
      <c r="P548" s="577"/>
      <c r="Q548" s="577"/>
      <c r="R548" s="577"/>
      <c r="S548" s="577"/>
      <c r="T548" s="577"/>
      <c r="U548" s="577"/>
      <c r="V548" s="577"/>
      <c r="W548" s="577"/>
      <c r="X548" s="577"/>
      <c r="Y548" s="577"/>
      <c r="Z548" s="577"/>
      <c r="AA548" s="569"/>
      <c r="AB548" s="569"/>
      <c r="AC548" s="569"/>
      <c r="AD548" s="569"/>
      <c r="AE548" s="569"/>
      <c r="AF548" s="569"/>
      <c r="AG548" s="569"/>
      <c r="AH548" s="569"/>
      <c r="AI548" s="569"/>
      <c r="AJ548" s="569"/>
      <c r="AK548" s="569"/>
      <c r="AL548" s="569"/>
      <c r="AM548" s="569"/>
      <c r="AN548" s="569"/>
      <c r="AO548" s="569"/>
      <c r="AP548" s="569"/>
      <c r="AQ548" s="569"/>
      <c r="AR548" s="569"/>
      <c r="AS548" s="569"/>
      <c r="AT548" s="569"/>
      <c r="AU548" s="569"/>
      <c r="AV548" s="569"/>
      <c r="AW548" s="569"/>
      <c r="AX548" s="569"/>
      <c r="AY548" s="569"/>
      <c r="AZ548" s="569"/>
      <c r="BA548" s="569"/>
      <c r="BB548" s="569"/>
      <c r="BC548" s="569"/>
      <c r="BD548" s="569"/>
      <c r="BE548" s="569"/>
      <c r="BF548" s="569"/>
      <c r="BG548" s="569"/>
      <c r="BH548" s="569"/>
      <c r="BI548" s="569"/>
      <c r="BJ548" s="569"/>
      <c r="BK548" s="569"/>
      <c r="BL548" s="569"/>
      <c r="BM548" s="569"/>
      <c r="BN548" s="569"/>
      <c r="BO548" s="569"/>
      <c r="BP548" s="569"/>
      <c r="BQ548" s="569"/>
      <c r="BR548" s="569"/>
      <c r="BS548" s="569"/>
      <c r="BT548" s="569"/>
      <c r="BU548" s="569"/>
      <c r="BV548" s="569"/>
      <c r="BW548" s="569"/>
      <c r="BX548" s="569"/>
      <c r="BY548" s="569"/>
      <c r="BZ548" s="569"/>
      <c r="CA548" s="569"/>
      <c r="CB548" s="569"/>
      <c r="CC548" s="569"/>
      <c r="CD548" s="569"/>
      <c r="CE548" s="569"/>
      <c r="CF548" s="569"/>
      <c r="CG548" s="569"/>
      <c r="CH548" s="569"/>
      <c r="CI548" s="569"/>
      <c r="CJ548" s="569"/>
      <c r="CK548" s="569"/>
      <c r="CL548" s="569"/>
      <c r="CM548" s="569"/>
      <c r="CN548" s="569"/>
      <c r="CO548" s="569"/>
      <c r="CP548" s="569"/>
      <c r="CQ548" s="569"/>
      <c r="CR548" s="569"/>
      <c r="CS548" s="569"/>
      <c r="CT548" s="569"/>
      <c r="CU548" s="569"/>
      <c r="CV548" s="569"/>
      <c r="CW548" s="569"/>
      <c r="CX548" s="569"/>
      <c r="CY548" s="569"/>
      <c r="CZ548" s="569"/>
      <c r="DA548" s="569"/>
      <c r="DB548" s="569"/>
      <c r="DC548" s="569"/>
      <c r="DD548" s="569"/>
      <c r="DE548" s="569"/>
      <c r="DF548" s="569"/>
      <c r="DG548" s="569"/>
      <c r="DH548" s="569"/>
      <c r="DI548" s="569"/>
      <c r="DJ548" s="569"/>
      <c r="DK548" s="569"/>
      <c r="DL548" s="569"/>
      <c r="DM548" s="569"/>
      <c r="DN548" s="569"/>
      <c r="DO548" s="569"/>
      <c r="DP548" s="569"/>
      <c r="DQ548" s="569"/>
      <c r="DR548" s="569"/>
      <c r="DS548" s="569"/>
      <c r="DT548" s="569"/>
      <c r="DU548" s="569"/>
      <c r="DV548" s="569"/>
      <c r="DW548" s="569"/>
      <c r="DX548" s="569"/>
      <c r="DY548" s="569"/>
      <c r="DZ548" s="569"/>
      <c r="EA548" s="569"/>
      <c r="EB548" s="569"/>
      <c r="EC548" s="569"/>
      <c r="ED548" s="569"/>
      <c r="EE548" s="569"/>
      <c r="EF548" s="569"/>
      <c r="EG548" s="569"/>
      <c r="EH548" s="569"/>
      <c r="EI548" s="569"/>
      <c r="EJ548" s="569"/>
      <c r="EK548" s="569"/>
      <c r="EL548" s="569"/>
      <c r="EM548" s="569"/>
      <c r="EN548" s="569"/>
      <c r="EO548" s="569"/>
      <c r="EP548" s="569"/>
      <c r="EQ548" s="569"/>
      <c r="ER548" s="569"/>
      <c r="ES548" s="569"/>
      <c r="ET548" s="569"/>
      <c r="EU548" s="569"/>
      <c r="EV548" s="569"/>
      <c r="EW548" s="569"/>
      <c r="EX548" s="569"/>
      <c r="EY548" s="569"/>
      <c r="EZ548" s="569"/>
      <c r="FA548" s="569"/>
      <c r="FB548" s="569"/>
      <c r="FC548" s="569"/>
      <c r="FD548" s="569"/>
      <c r="FE548" s="569"/>
      <c r="FF548" s="569"/>
      <c r="FG548" s="569"/>
      <c r="FH548" s="569"/>
      <c r="FI548" s="569"/>
      <c r="FJ548" s="569"/>
      <c r="FK548" s="569"/>
      <c r="FL548" s="569"/>
      <c r="FM548" s="569"/>
      <c r="FN548" s="569"/>
      <c r="FO548" s="569"/>
      <c r="FP548" s="569"/>
      <c r="FQ548" s="569"/>
      <c r="FR548" s="569"/>
      <c r="FS548" s="569"/>
      <c r="FT548" s="569"/>
      <c r="FU548" s="569"/>
      <c r="FV548" s="569"/>
      <c r="FW548" s="569"/>
      <c r="FX548" s="569"/>
      <c r="FY548" s="569"/>
      <c r="FZ548" s="569"/>
      <c r="GA548" s="569"/>
      <c r="GB548" s="569"/>
      <c r="GC548" s="569"/>
      <c r="GD548" s="569"/>
      <c r="GE548" s="569"/>
      <c r="GF548" s="569"/>
      <c r="GG548" s="569"/>
      <c r="GH548" s="569"/>
      <c r="GI548" s="569"/>
      <c r="GJ548" s="569"/>
      <c r="GK548" s="569"/>
      <c r="GL548" s="569"/>
      <c r="GM548" s="569"/>
      <c r="GN548" s="569"/>
      <c r="GO548" s="569"/>
      <c r="GP548" s="569"/>
      <c r="GQ548" s="569"/>
      <c r="GR548" s="569"/>
      <c r="GS548" s="569"/>
      <c r="GT548" s="569"/>
      <c r="GU548" s="569"/>
      <c r="GV548" s="569"/>
      <c r="GW548" s="569"/>
      <c r="GX548" s="569"/>
      <c r="GY548" s="569"/>
      <c r="GZ548" s="569"/>
      <c r="HA548" s="569"/>
      <c r="HB548" s="569"/>
      <c r="HC548" s="569"/>
      <c r="HD548" s="569"/>
      <c r="HE548" s="569"/>
      <c r="HF548" s="569"/>
      <c r="HG548" s="569"/>
      <c r="HH548" s="569"/>
      <c r="HI548" s="569"/>
      <c r="HJ548" s="569"/>
      <c r="HK548" s="569"/>
      <c r="HL548" s="569"/>
      <c r="HM548" s="569"/>
      <c r="HN548" s="569"/>
      <c r="HO548" s="569"/>
      <c r="HP548" s="569"/>
      <c r="HQ548" s="569"/>
      <c r="HR548" s="569"/>
      <c r="HS548" s="569"/>
      <c r="HT548" s="569"/>
      <c r="HU548" s="569"/>
      <c r="HV548" s="569"/>
      <c r="HW548" s="569"/>
      <c r="HX548" s="569"/>
      <c r="HY548" s="569"/>
      <c r="HZ548" s="569"/>
      <c r="IA548" s="569"/>
      <c r="IB548" s="569"/>
      <c r="IC548" s="569"/>
      <c r="ID548" s="569"/>
      <c r="IE548" s="569"/>
      <c r="IF548" s="569"/>
      <c r="IG548" s="569"/>
      <c r="IH548" s="569"/>
      <c r="II548" s="569"/>
      <c r="IJ548" s="569"/>
      <c r="IK548" s="569"/>
      <c r="IL548" s="569"/>
      <c r="IM548" s="569"/>
      <c r="IN548" s="569"/>
      <c r="IO548" s="569"/>
      <c r="IP548" s="569"/>
      <c r="IQ548" s="569"/>
      <c r="IR548" s="569"/>
      <c r="IS548" s="569"/>
      <c r="IT548" s="569"/>
      <c r="IU548" s="569"/>
      <c r="IV548" s="569"/>
      <c r="IW548" s="569"/>
      <c r="IX548" s="569"/>
      <c r="IY548" s="569"/>
      <c r="IZ548" s="569"/>
      <c r="JA548" s="569"/>
      <c r="JB548" s="569"/>
      <c r="JC548" s="569"/>
      <c r="JD548" s="569"/>
      <c r="JE548" s="569"/>
      <c r="JF548" s="569"/>
      <c r="JG548" s="569"/>
      <c r="JH548" s="569"/>
      <c r="JI548" s="569"/>
      <c r="JJ548" s="569"/>
      <c r="JK548" s="569"/>
      <c r="JL548" s="569"/>
      <c r="JM548" s="569"/>
      <c r="JN548" s="569"/>
      <c r="JO548" s="569"/>
      <c r="JP548" s="569"/>
      <c r="JQ548" s="569"/>
      <c r="JR548" s="569"/>
      <c r="JS548" s="569"/>
      <c r="JT548" s="569"/>
      <c r="JU548" s="569"/>
      <c r="JV548" s="569"/>
      <c r="JW548" s="569"/>
      <c r="JX548" s="569"/>
      <c r="JY548" s="569"/>
      <c r="JZ548" s="569"/>
      <c r="KA548" s="569"/>
      <c r="KB548" s="569"/>
      <c r="KC548" s="569"/>
      <c r="KD548" s="569"/>
      <c r="KE548" s="569"/>
      <c r="KF548" s="569"/>
      <c r="KG548" s="569"/>
      <c r="KH548" s="569"/>
      <c r="KI548" s="569"/>
      <c r="KJ548" s="569"/>
      <c r="KK548" s="569"/>
      <c r="KL548" s="569"/>
      <c r="KM548" s="569"/>
      <c r="KN548" s="569"/>
      <c r="KO548" s="569"/>
      <c r="KP548" s="569"/>
      <c r="KQ548" s="569"/>
      <c r="KR548" s="569"/>
      <c r="KS548" s="569"/>
      <c r="KT548" s="569"/>
      <c r="KU548" s="569"/>
      <c r="KV548" s="569"/>
      <c r="KW548" s="569"/>
      <c r="KX548" s="569"/>
      <c r="KY548" s="569"/>
      <c r="KZ548" s="569"/>
      <c r="LA548" s="569"/>
      <c r="LB548" s="569"/>
      <c r="LC548" s="569"/>
      <c r="LD548" s="569"/>
      <c r="LE548" s="569"/>
      <c r="LF548" s="569"/>
      <c r="LG548" s="569"/>
      <c r="LH548" s="569"/>
      <c r="LI548" s="569"/>
      <c r="LJ548" s="569"/>
      <c r="LK548" s="569"/>
      <c r="LL548" s="569"/>
      <c r="LM548" s="569"/>
      <c r="LN548" s="569"/>
      <c r="LO548" s="569"/>
      <c r="LP548" s="569"/>
      <c r="LQ548" s="569"/>
      <c r="LR548" s="569"/>
      <c r="LS548" s="569"/>
      <c r="LT548" s="569"/>
      <c r="LU548" s="569"/>
      <c r="LV548" s="569"/>
      <c r="LW548" s="569"/>
      <c r="LX548" s="569"/>
      <c r="LY548" s="569"/>
      <c r="LZ548" s="569"/>
      <c r="MA548" s="569"/>
      <c r="MB548" s="569"/>
      <c r="MC548" s="569"/>
      <c r="MD548" s="569"/>
      <c r="ME548" s="569"/>
      <c r="MF548" s="569"/>
      <c r="MG548" s="569"/>
      <c r="MH548" s="569"/>
      <c r="MI548" s="569"/>
      <c r="MJ548" s="569"/>
      <c r="MK548" s="569"/>
      <c r="ML548" s="569"/>
      <c r="MM548" s="569"/>
      <c r="MN548" s="569"/>
      <c r="MO548" s="569"/>
      <c r="MP548" s="569"/>
      <c r="MQ548" s="569"/>
      <c r="MR548" s="569"/>
      <c r="MS548" s="569"/>
      <c r="MT548" s="569"/>
      <c r="MU548" s="569"/>
      <c r="MV548" s="569"/>
      <c r="MW548" s="569"/>
      <c r="MX548" s="569"/>
      <c r="MY548" s="569"/>
      <c r="MZ548" s="569"/>
      <c r="NA548" s="569"/>
      <c r="NB548" s="569"/>
      <c r="NC548" s="569"/>
      <c r="ND548" s="569"/>
      <c r="NE548" s="569"/>
      <c r="NF548" s="569"/>
      <c r="NG548" s="569"/>
      <c r="NH548" s="569"/>
      <c r="NI548" s="569"/>
      <c r="NJ548" s="569"/>
      <c r="NK548" s="569"/>
      <c r="NL548" s="569"/>
      <c r="NM548" s="569"/>
      <c r="NN548" s="569"/>
      <c r="NO548" s="569"/>
      <c r="NP548" s="569"/>
      <c r="NQ548" s="569"/>
      <c r="NR548" s="569"/>
      <c r="NS548" s="569"/>
      <c r="NT548" s="569"/>
      <c r="NU548" s="569"/>
      <c r="NV548" s="569"/>
      <c r="NW548" s="569"/>
      <c r="NX548" s="569"/>
      <c r="NY548" s="569"/>
      <c r="NZ548" s="569"/>
      <c r="OA548" s="569"/>
      <c r="OB548" s="569"/>
      <c r="OC548" s="569"/>
      <c r="OD548" s="569"/>
      <c r="OE548" s="569"/>
      <c r="OF548" s="569"/>
      <c r="OG548" s="569"/>
      <c r="OH548" s="569"/>
      <c r="OI548" s="569"/>
      <c r="OJ548" s="569"/>
      <c r="OK548" s="569"/>
      <c r="OL548" s="569"/>
      <c r="OM548" s="569"/>
      <c r="ON548" s="569"/>
      <c r="OO548" s="569"/>
      <c r="OP548" s="569"/>
      <c r="OQ548" s="569"/>
      <c r="OR548" s="569"/>
      <c r="OS548" s="569"/>
      <c r="OT548" s="569"/>
      <c r="OU548" s="569"/>
      <c r="OV548" s="569"/>
      <c r="OW548" s="569"/>
      <c r="OX548" s="569"/>
      <c r="OY548" s="569"/>
      <c r="OZ548" s="569"/>
      <c r="PA548" s="569"/>
      <c r="PB548" s="569"/>
      <c r="PC548" s="569"/>
      <c r="PD548" s="569"/>
      <c r="PE548" s="569"/>
      <c r="PF548" s="569"/>
      <c r="PG548" s="569"/>
      <c r="PH548" s="569"/>
      <c r="PI548" s="569"/>
      <c r="PJ548" s="569"/>
      <c r="PK548" s="569"/>
      <c r="PL548" s="569"/>
      <c r="PM548" s="569"/>
      <c r="PN548" s="569"/>
      <c r="PO548" s="569"/>
      <c r="PP548" s="569"/>
      <c r="PQ548" s="569"/>
      <c r="PR548" s="569"/>
      <c r="PS548" s="569"/>
      <c r="PT548" s="569"/>
      <c r="PU548" s="569"/>
      <c r="PV548" s="569"/>
      <c r="PW548" s="569"/>
      <c r="PX548" s="569"/>
      <c r="PY548" s="569"/>
      <c r="PZ548" s="569"/>
      <c r="QA548" s="569"/>
      <c r="QB548" s="569"/>
      <c r="QC548" s="569"/>
      <c r="QD548" s="569"/>
      <c r="QE548" s="569"/>
      <c r="QF548" s="569"/>
      <c r="QG548" s="569"/>
      <c r="QH548" s="569"/>
      <c r="QI548" s="569"/>
      <c r="QJ548" s="569"/>
      <c r="QK548" s="569"/>
      <c r="QL548" s="569"/>
    </row>
    <row r="549" spans="1:454" ht="45">
      <c r="D549" s="568"/>
      <c r="E549" s="568"/>
      <c r="F549" s="568"/>
      <c r="G549" s="568"/>
      <c r="H549" s="563" t="str">
        <f>'matrik MISI 6'!N67</f>
        <v>Rasio Realisasi Pendapatan Daerah Terhadap Potensi Pendapatan Daerah</v>
      </c>
      <c r="I549" s="563" t="str">
        <f>'matrik MISI 6'!O67</f>
        <v>%</v>
      </c>
      <c r="J549" s="563">
        <f>'matrik MISI 6'!P67</f>
        <v>0.87</v>
      </c>
      <c r="K549" s="563">
        <f>'matrik MISI 6'!Q67</f>
        <v>0.85</v>
      </c>
      <c r="L549" s="563">
        <f>'matrik MISI 6'!R67</f>
        <v>0.87</v>
      </c>
      <c r="M549" s="604"/>
      <c r="N549" s="563">
        <f>'matrik MISI 6'!S67</f>
        <v>0.87</v>
      </c>
      <c r="O549" s="564"/>
      <c r="P549" s="563">
        <f>'matrik MISI 6'!T67</f>
        <v>0.87</v>
      </c>
      <c r="Q549" s="564"/>
      <c r="R549" s="563">
        <f>'matrik MISI 6'!U67</f>
        <v>0.87</v>
      </c>
      <c r="S549" s="564"/>
      <c r="T549" s="563">
        <f>'matrik MISI 6'!V67</f>
        <v>0.87</v>
      </c>
      <c r="U549" s="564"/>
      <c r="V549" s="563">
        <f>'matrik MISI 6'!W67</f>
        <v>0.87</v>
      </c>
      <c r="W549" s="564"/>
      <c r="X549" s="563" t="str">
        <f>'matrik MISI 6'!X67</f>
        <v>DPPKAD</v>
      </c>
      <c r="Y549" s="563" t="str">
        <f>'matrik MISI 6'!Y67</f>
        <v>Jumlah Pendapatan Asli Daerah dibagi Jumlah potensi pendapatan daerah</v>
      </c>
      <c r="Z549" s="563">
        <f>'matrik MISI 6'!Z67</f>
        <v>0</v>
      </c>
    </row>
    <row r="550" spans="1:454" ht="30">
      <c r="G550" s="563"/>
      <c r="H550" s="563" t="str">
        <f>'matrik MISI 6'!N69</f>
        <v>Rasio Pendapatan Asli Daerah Terhadap Pendapatan Daerah</v>
      </c>
      <c r="I550" s="563" t="str">
        <f>'matrik MISI 6'!O69</f>
        <v>%</v>
      </c>
      <c r="J550" s="563" t="str">
        <f>'matrik MISI 6'!P69</f>
        <v>8,75</v>
      </c>
      <c r="K550" s="563" t="str">
        <f>'matrik MISI 6'!Q69</f>
        <v>8,9</v>
      </c>
      <c r="L550" s="563">
        <f>'matrik MISI 6'!R69</f>
        <v>9</v>
      </c>
      <c r="M550" s="604"/>
      <c r="N550" s="563">
        <f>'matrik MISI 6'!S69</f>
        <v>9</v>
      </c>
      <c r="O550" s="564"/>
      <c r="P550" s="563">
        <f>'matrik MISI 6'!T69</f>
        <v>9</v>
      </c>
      <c r="Q550" s="564"/>
      <c r="R550" s="563">
        <f>'matrik MISI 6'!U69</f>
        <v>9</v>
      </c>
      <c r="S550" s="564"/>
      <c r="T550" s="563">
        <f>'matrik MISI 6'!V69</f>
        <v>9</v>
      </c>
      <c r="U550" s="564"/>
      <c r="V550" s="563">
        <f>'matrik MISI 6'!W69</f>
        <v>9</v>
      </c>
      <c r="W550" s="564"/>
      <c r="X550" s="563" t="str">
        <f>'matrik MISI 6'!X69</f>
        <v>DPPKAD</v>
      </c>
      <c r="Y550" s="563" t="str">
        <f>'matrik MISI 6'!Y69</f>
        <v>Jumlah Pendapatan Asli Daerah dibagi Jumlah Anggaran Pendapatan  Daerah kali 100 %</v>
      </c>
      <c r="Z550" s="563">
        <f>'matrik MISI 6'!Z69</f>
        <v>0</v>
      </c>
    </row>
    <row r="551" spans="1:454" ht="30">
      <c r="G551" s="563"/>
      <c r="H551" s="563" t="str">
        <f>'matrik MISI 6'!N72</f>
        <v>Persentase Tertib Administrasi Aset Daerah di SKPD</v>
      </c>
      <c r="I551" s="563" t="str">
        <f>'matrik MISI 6'!O72</f>
        <v>%</v>
      </c>
      <c r="J551" s="563">
        <f>'matrik MISI 6'!P72</f>
        <v>70</v>
      </c>
      <c r="K551" s="563">
        <f>'matrik MISI 6'!Q72</f>
        <v>75</v>
      </c>
      <c r="L551" s="563">
        <f>'matrik MISI 6'!R72</f>
        <v>68</v>
      </c>
      <c r="M551" s="604"/>
      <c r="N551" s="563">
        <f>'matrik MISI 6'!S72</f>
        <v>68</v>
      </c>
      <c r="O551" s="564"/>
      <c r="P551" s="563">
        <f>'matrik MISI 6'!T72</f>
        <v>70</v>
      </c>
      <c r="Q551" s="564"/>
      <c r="R551" s="563">
        <f>'matrik MISI 6'!U72</f>
        <v>75</v>
      </c>
      <c r="S551" s="564"/>
      <c r="T551" s="563">
        <f>'matrik MISI 6'!V72</f>
        <v>80</v>
      </c>
      <c r="U551" s="564"/>
      <c r="V551" s="563">
        <f>'matrik MISI 6'!W72</f>
        <v>80</v>
      </c>
      <c r="W551" s="564"/>
      <c r="X551" s="563" t="str">
        <f>'matrik MISI 6'!X72</f>
        <v>DPPKAD</v>
      </c>
      <c r="Y551" s="563" t="str">
        <f>'matrik MISI 6'!Y72</f>
        <v>Jumlah SKPD yang melaporkan aset daerah yang benar dan tepat waktu dibagi Jumlah SKPD</v>
      </c>
      <c r="Z551" s="563">
        <f>'matrik MISI 6'!Z72</f>
        <v>0</v>
      </c>
    </row>
    <row r="552" spans="1:454" s="574" customFormat="1" ht="60">
      <c r="A552" s="569"/>
      <c r="B552" s="575"/>
      <c r="C552" s="576"/>
      <c r="D552" s="577" t="str">
        <f>'matrik MISI 6'!J68</f>
        <v>1.20</v>
      </c>
      <c r="E552" s="577" t="str">
        <f>'matrik MISI 6'!K68</f>
        <v>xx</v>
      </c>
      <c r="F552" s="577">
        <f>'matrik MISI 6'!L68</f>
        <v>18</v>
      </c>
      <c r="G552" s="577" t="str">
        <f>'matrik MISI 6'!M68</f>
        <v xml:space="preserve">Program Pembinaan dan Fasilitasi Pengelolaan Keuangan Kabupaten/Kota </v>
      </c>
      <c r="H552" s="577"/>
      <c r="I552" s="577"/>
      <c r="J552" s="577"/>
      <c r="K552" s="577"/>
      <c r="L552" s="577"/>
      <c r="M552" s="578"/>
      <c r="N552" s="577"/>
      <c r="O552" s="577"/>
      <c r="P552" s="577"/>
      <c r="Q552" s="577"/>
      <c r="R552" s="577"/>
      <c r="S552" s="577"/>
      <c r="T552" s="577"/>
      <c r="U552" s="577"/>
      <c r="V552" s="577"/>
      <c r="W552" s="577"/>
      <c r="X552" s="577"/>
      <c r="Y552" s="577"/>
      <c r="Z552" s="577"/>
      <c r="AA552" s="569"/>
      <c r="AB552" s="569"/>
      <c r="AC552" s="569"/>
      <c r="AD552" s="569"/>
      <c r="AE552" s="569"/>
      <c r="AF552" s="569"/>
      <c r="AG552" s="569"/>
      <c r="AH552" s="569"/>
      <c r="AI552" s="569"/>
      <c r="AJ552" s="569"/>
      <c r="AK552" s="569"/>
      <c r="AL552" s="569"/>
      <c r="AM552" s="569"/>
      <c r="AN552" s="569"/>
      <c r="AO552" s="569"/>
      <c r="AP552" s="569"/>
      <c r="AQ552" s="569"/>
      <c r="AR552" s="569"/>
      <c r="AS552" s="569"/>
      <c r="AT552" s="569"/>
      <c r="AU552" s="569"/>
      <c r="AV552" s="569"/>
      <c r="AW552" s="569"/>
      <c r="AX552" s="569"/>
      <c r="AY552" s="569"/>
      <c r="AZ552" s="569"/>
      <c r="BA552" s="569"/>
      <c r="BB552" s="569"/>
      <c r="BC552" s="569"/>
      <c r="BD552" s="569"/>
      <c r="BE552" s="569"/>
      <c r="BF552" s="569"/>
      <c r="BG552" s="569"/>
      <c r="BH552" s="569"/>
      <c r="BI552" s="569"/>
      <c r="BJ552" s="569"/>
      <c r="BK552" s="569"/>
      <c r="BL552" s="569"/>
      <c r="BM552" s="569"/>
      <c r="BN552" s="569"/>
      <c r="BO552" s="569"/>
      <c r="BP552" s="569"/>
      <c r="BQ552" s="569"/>
      <c r="BR552" s="569"/>
      <c r="BS552" s="569"/>
      <c r="BT552" s="569"/>
      <c r="BU552" s="569"/>
      <c r="BV552" s="569"/>
      <c r="BW552" s="569"/>
      <c r="BX552" s="569"/>
      <c r="BY552" s="569"/>
      <c r="BZ552" s="569"/>
      <c r="CA552" s="569"/>
      <c r="CB552" s="569"/>
      <c r="CC552" s="569"/>
      <c r="CD552" s="569"/>
      <c r="CE552" s="569"/>
      <c r="CF552" s="569"/>
      <c r="CG552" s="569"/>
      <c r="CH552" s="569"/>
      <c r="CI552" s="569"/>
      <c r="CJ552" s="569"/>
      <c r="CK552" s="569"/>
      <c r="CL552" s="569"/>
      <c r="CM552" s="569"/>
      <c r="CN552" s="569"/>
      <c r="CO552" s="569"/>
      <c r="CP552" s="569"/>
      <c r="CQ552" s="569"/>
      <c r="CR552" s="569"/>
      <c r="CS552" s="569"/>
      <c r="CT552" s="569"/>
      <c r="CU552" s="569"/>
      <c r="CV552" s="569"/>
      <c r="CW552" s="569"/>
      <c r="CX552" s="569"/>
      <c r="CY552" s="569"/>
      <c r="CZ552" s="569"/>
      <c r="DA552" s="569"/>
      <c r="DB552" s="569"/>
      <c r="DC552" s="569"/>
      <c r="DD552" s="569"/>
      <c r="DE552" s="569"/>
      <c r="DF552" s="569"/>
      <c r="DG552" s="569"/>
      <c r="DH552" s="569"/>
      <c r="DI552" s="569"/>
      <c r="DJ552" s="569"/>
      <c r="DK552" s="569"/>
      <c r="DL552" s="569"/>
      <c r="DM552" s="569"/>
      <c r="DN552" s="569"/>
      <c r="DO552" s="569"/>
      <c r="DP552" s="569"/>
      <c r="DQ552" s="569"/>
      <c r="DR552" s="569"/>
      <c r="DS552" s="569"/>
      <c r="DT552" s="569"/>
      <c r="DU552" s="569"/>
      <c r="DV552" s="569"/>
      <c r="DW552" s="569"/>
      <c r="DX552" s="569"/>
      <c r="DY552" s="569"/>
      <c r="DZ552" s="569"/>
      <c r="EA552" s="569"/>
      <c r="EB552" s="569"/>
      <c r="EC552" s="569"/>
      <c r="ED552" s="569"/>
      <c r="EE552" s="569"/>
      <c r="EF552" s="569"/>
      <c r="EG552" s="569"/>
      <c r="EH552" s="569"/>
      <c r="EI552" s="569"/>
      <c r="EJ552" s="569"/>
      <c r="EK552" s="569"/>
      <c r="EL552" s="569"/>
      <c r="EM552" s="569"/>
      <c r="EN552" s="569"/>
      <c r="EO552" s="569"/>
      <c r="EP552" s="569"/>
      <c r="EQ552" s="569"/>
      <c r="ER552" s="569"/>
      <c r="ES552" s="569"/>
      <c r="ET552" s="569"/>
      <c r="EU552" s="569"/>
      <c r="EV552" s="569"/>
      <c r="EW552" s="569"/>
      <c r="EX552" s="569"/>
      <c r="EY552" s="569"/>
      <c r="EZ552" s="569"/>
      <c r="FA552" s="569"/>
      <c r="FB552" s="569"/>
      <c r="FC552" s="569"/>
      <c r="FD552" s="569"/>
      <c r="FE552" s="569"/>
      <c r="FF552" s="569"/>
      <c r="FG552" s="569"/>
      <c r="FH552" s="569"/>
      <c r="FI552" s="569"/>
      <c r="FJ552" s="569"/>
      <c r="FK552" s="569"/>
      <c r="FL552" s="569"/>
      <c r="FM552" s="569"/>
      <c r="FN552" s="569"/>
      <c r="FO552" s="569"/>
      <c r="FP552" s="569"/>
      <c r="FQ552" s="569"/>
      <c r="FR552" s="569"/>
      <c r="FS552" s="569"/>
      <c r="FT552" s="569"/>
      <c r="FU552" s="569"/>
      <c r="FV552" s="569"/>
      <c r="FW552" s="569"/>
      <c r="FX552" s="569"/>
      <c r="FY552" s="569"/>
      <c r="FZ552" s="569"/>
      <c r="GA552" s="569"/>
      <c r="GB552" s="569"/>
      <c r="GC552" s="569"/>
      <c r="GD552" s="569"/>
      <c r="GE552" s="569"/>
      <c r="GF552" s="569"/>
      <c r="GG552" s="569"/>
      <c r="GH552" s="569"/>
      <c r="GI552" s="569"/>
      <c r="GJ552" s="569"/>
      <c r="GK552" s="569"/>
      <c r="GL552" s="569"/>
      <c r="GM552" s="569"/>
      <c r="GN552" s="569"/>
      <c r="GO552" s="569"/>
      <c r="GP552" s="569"/>
      <c r="GQ552" s="569"/>
      <c r="GR552" s="569"/>
      <c r="GS552" s="569"/>
      <c r="GT552" s="569"/>
      <c r="GU552" s="569"/>
      <c r="GV552" s="569"/>
      <c r="GW552" s="569"/>
      <c r="GX552" s="569"/>
      <c r="GY552" s="569"/>
      <c r="GZ552" s="569"/>
      <c r="HA552" s="569"/>
      <c r="HB552" s="569"/>
      <c r="HC552" s="569"/>
      <c r="HD552" s="569"/>
      <c r="HE552" s="569"/>
      <c r="HF552" s="569"/>
      <c r="HG552" s="569"/>
      <c r="HH552" s="569"/>
      <c r="HI552" s="569"/>
      <c r="HJ552" s="569"/>
      <c r="HK552" s="569"/>
      <c r="HL552" s="569"/>
      <c r="HM552" s="569"/>
      <c r="HN552" s="569"/>
      <c r="HO552" s="569"/>
      <c r="HP552" s="569"/>
      <c r="HQ552" s="569"/>
      <c r="HR552" s="569"/>
      <c r="HS552" s="569"/>
      <c r="HT552" s="569"/>
      <c r="HU552" s="569"/>
      <c r="HV552" s="569"/>
      <c r="HW552" s="569"/>
      <c r="HX552" s="569"/>
      <c r="HY552" s="569"/>
      <c r="HZ552" s="569"/>
      <c r="IA552" s="569"/>
      <c r="IB552" s="569"/>
      <c r="IC552" s="569"/>
      <c r="ID552" s="569"/>
      <c r="IE552" s="569"/>
      <c r="IF552" s="569"/>
      <c r="IG552" s="569"/>
      <c r="IH552" s="569"/>
      <c r="II552" s="569"/>
      <c r="IJ552" s="569"/>
      <c r="IK552" s="569"/>
      <c r="IL552" s="569"/>
      <c r="IM552" s="569"/>
      <c r="IN552" s="569"/>
      <c r="IO552" s="569"/>
      <c r="IP552" s="569"/>
      <c r="IQ552" s="569"/>
      <c r="IR552" s="569"/>
      <c r="IS552" s="569"/>
      <c r="IT552" s="569"/>
      <c r="IU552" s="569"/>
      <c r="IV552" s="569"/>
      <c r="IW552" s="569"/>
      <c r="IX552" s="569"/>
      <c r="IY552" s="569"/>
      <c r="IZ552" s="569"/>
      <c r="JA552" s="569"/>
      <c r="JB552" s="569"/>
      <c r="JC552" s="569"/>
      <c r="JD552" s="569"/>
      <c r="JE552" s="569"/>
      <c r="JF552" s="569"/>
      <c r="JG552" s="569"/>
      <c r="JH552" s="569"/>
      <c r="JI552" s="569"/>
      <c r="JJ552" s="569"/>
      <c r="JK552" s="569"/>
      <c r="JL552" s="569"/>
      <c r="JM552" s="569"/>
      <c r="JN552" s="569"/>
      <c r="JO552" s="569"/>
      <c r="JP552" s="569"/>
      <c r="JQ552" s="569"/>
      <c r="JR552" s="569"/>
      <c r="JS552" s="569"/>
      <c r="JT552" s="569"/>
      <c r="JU552" s="569"/>
      <c r="JV552" s="569"/>
      <c r="JW552" s="569"/>
      <c r="JX552" s="569"/>
      <c r="JY552" s="569"/>
      <c r="JZ552" s="569"/>
      <c r="KA552" s="569"/>
      <c r="KB552" s="569"/>
      <c r="KC552" s="569"/>
      <c r="KD552" s="569"/>
      <c r="KE552" s="569"/>
      <c r="KF552" s="569"/>
      <c r="KG552" s="569"/>
      <c r="KH552" s="569"/>
      <c r="KI552" s="569"/>
      <c r="KJ552" s="569"/>
      <c r="KK552" s="569"/>
      <c r="KL552" s="569"/>
      <c r="KM552" s="569"/>
      <c r="KN552" s="569"/>
      <c r="KO552" s="569"/>
      <c r="KP552" s="569"/>
      <c r="KQ552" s="569"/>
      <c r="KR552" s="569"/>
      <c r="KS552" s="569"/>
      <c r="KT552" s="569"/>
      <c r="KU552" s="569"/>
      <c r="KV552" s="569"/>
      <c r="KW552" s="569"/>
      <c r="KX552" s="569"/>
      <c r="KY552" s="569"/>
      <c r="KZ552" s="569"/>
      <c r="LA552" s="569"/>
      <c r="LB552" s="569"/>
      <c r="LC552" s="569"/>
      <c r="LD552" s="569"/>
      <c r="LE552" s="569"/>
      <c r="LF552" s="569"/>
      <c r="LG552" s="569"/>
      <c r="LH552" s="569"/>
      <c r="LI552" s="569"/>
      <c r="LJ552" s="569"/>
      <c r="LK552" s="569"/>
      <c r="LL552" s="569"/>
      <c r="LM552" s="569"/>
      <c r="LN552" s="569"/>
      <c r="LO552" s="569"/>
      <c r="LP552" s="569"/>
      <c r="LQ552" s="569"/>
      <c r="LR552" s="569"/>
      <c r="LS552" s="569"/>
      <c r="LT552" s="569"/>
      <c r="LU552" s="569"/>
      <c r="LV552" s="569"/>
      <c r="LW552" s="569"/>
      <c r="LX552" s="569"/>
      <c r="LY552" s="569"/>
      <c r="LZ552" s="569"/>
      <c r="MA552" s="569"/>
      <c r="MB552" s="569"/>
      <c r="MC552" s="569"/>
      <c r="MD552" s="569"/>
      <c r="ME552" s="569"/>
      <c r="MF552" s="569"/>
      <c r="MG552" s="569"/>
      <c r="MH552" s="569"/>
      <c r="MI552" s="569"/>
      <c r="MJ552" s="569"/>
      <c r="MK552" s="569"/>
      <c r="ML552" s="569"/>
      <c r="MM552" s="569"/>
      <c r="MN552" s="569"/>
      <c r="MO552" s="569"/>
      <c r="MP552" s="569"/>
      <c r="MQ552" s="569"/>
      <c r="MR552" s="569"/>
      <c r="MS552" s="569"/>
      <c r="MT552" s="569"/>
      <c r="MU552" s="569"/>
      <c r="MV552" s="569"/>
      <c r="MW552" s="569"/>
      <c r="MX552" s="569"/>
      <c r="MY552" s="569"/>
      <c r="MZ552" s="569"/>
      <c r="NA552" s="569"/>
      <c r="NB552" s="569"/>
      <c r="NC552" s="569"/>
      <c r="ND552" s="569"/>
      <c r="NE552" s="569"/>
      <c r="NF552" s="569"/>
      <c r="NG552" s="569"/>
      <c r="NH552" s="569"/>
      <c r="NI552" s="569"/>
      <c r="NJ552" s="569"/>
      <c r="NK552" s="569"/>
      <c r="NL552" s="569"/>
      <c r="NM552" s="569"/>
      <c r="NN552" s="569"/>
      <c r="NO552" s="569"/>
      <c r="NP552" s="569"/>
      <c r="NQ552" s="569"/>
      <c r="NR552" s="569"/>
      <c r="NS552" s="569"/>
      <c r="NT552" s="569"/>
      <c r="NU552" s="569"/>
      <c r="NV552" s="569"/>
      <c r="NW552" s="569"/>
      <c r="NX552" s="569"/>
      <c r="NY552" s="569"/>
      <c r="NZ552" s="569"/>
      <c r="OA552" s="569"/>
      <c r="OB552" s="569"/>
      <c r="OC552" s="569"/>
      <c r="OD552" s="569"/>
      <c r="OE552" s="569"/>
      <c r="OF552" s="569"/>
      <c r="OG552" s="569"/>
      <c r="OH552" s="569"/>
      <c r="OI552" s="569"/>
      <c r="OJ552" s="569"/>
      <c r="OK552" s="569"/>
      <c r="OL552" s="569"/>
      <c r="OM552" s="569"/>
      <c r="ON552" s="569"/>
      <c r="OO552" s="569"/>
      <c r="OP552" s="569"/>
      <c r="OQ552" s="569"/>
      <c r="OR552" s="569"/>
      <c r="OS552" s="569"/>
      <c r="OT552" s="569"/>
      <c r="OU552" s="569"/>
      <c r="OV552" s="569"/>
      <c r="OW552" s="569"/>
      <c r="OX552" s="569"/>
      <c r="OY552" s="569"/>
      <c r="OZ552" s="569"/>
      <c r="PA552" s="569"/>
      <c r="PB552" s="569"/>
      <c r="PC552" s="569"/>
      <c r="PD552" s="569"/>
      <c r="PE552" s="569"/>
      <c r="PF552" s="569"/>
      <c r="PG552" s="569"/>
      <c r="PH552" s="569"/>
      <c r="PI552" s="569"/>
      <c r="PJ552" s="569"/>
      <c r="PK552" s="569"/>
      <c r="PL552" s="569"/>
      <c r="PM552" s="569"/>
      <c r="PN552" s="569"/>
      <c r="PO552" s="569"/>
      <c r="PP552" s="569"/>
      <c r="PQ552" s="569"/>
      <c r="PR552" s="569"/>
      <c r="PS552" s="569"/>
      <c r="PT552" s="569"/>
      <c r="PU552" s="569"/>
      <c r="PV552" s="569"/>
      <c r="PW552" s="569"/>
      <c r="PX552" s="569"/>
      <c r="PY552" s="569"/>
      <c r="PZ552" s="569"/>
      <c r="QA552" s="569"/>
      <c r="QB552" s="569"/>
      <c r="QC552" s="569"/>
      <c r="QD552" s="569"/>
      <c r="QE552" s="569"/>
      <c r="QF552" s="569"/>
      <c r="QG552" s="569"/>
      <c r="QH552" s="569"/>
      <c r="QI552" s="569"/>
      <c r="QJ552" s="569"/>
      <c r="QK552" s="569"/>
      <c r="QL552" s="569"/>
    </row>
    <row r="553" spans="1:454" ht="30">
      <c r="D553" s="568"/>
      <c r="E553" s="568"/>
      <c r="F553" s="568"/>
      <c r="G553" s="568"/>
      <c r="H553" s="563" t="str">
        <f>'matrik MISI 6'!N68</f>
        <v>Akuntabilitas Pengelolaan Keuangan Daerah</v>
      </c>
      <c r="I553" s="563" t="str">
        <f>'matrik MISI 6'!O68</f>
        <v>Kriteria</v>
      </c>
      <c r="J553" s="563" t="str">
        <f>'matrik MISI 6'!P68</f>
        <v>WTP</v>
      </c>
      <c r="K553" s="563" t="str">
        <f>'matrik MISI 6'!Q68</f>
        <v>WTP</v>
      </c>
      <c r="L553" s="563" t="str">
        <f>'matrik MISI 6'!R68</f>
        <v>WTP</v>
      </c>
      <c r="M553" s="604"/>
      <c r="N553" s="563" t="str">
        <f>'matrik MISI 6'!S68</f>
        <v>WTP</v>
      </c>
      <c r="O553" s="564"/>
      <c r="P553" s="563" t="str">
        <f>'matrik MISI 6'!T68</f>
        <v>WTP</v>
      </c>
      <c r="Q553" s="564"/>
      <c r="R553" s="563" t="str">
        <f>'matrik MISI 6'!U68</f>
        <v>WTP</v>
      </c>
      <c r="S553" s="564"/>
      <c r="T553" s="563" t="str">
        <f>'matrik MISI 6'!V68</f>
        <v>WTP</v>
      </c>
      <c r="U553" s="564"/>
      <c r="V553" s="563" t="str">
        <f>'matrik MISI 6'!W68</f>
        <v>WTP</v>
      </c>
      <c r="W553" s="564"/>
      <c r="X553" s="563" t="str">
        <f>'matrik MISI 6'!X68</f>
        <v>DPPKAD</v>
      </c>
      <c r="Y553" s="563">
        <f>'matrik MISI 6'!Y68</f>
        <v>0</v>
      </c>
      <c r="Z553" s="563">
        <f>'matrik MISI 6'!Z68</f>
        <v>0</v>
      </c>
    </row>
    <row r="554" spans="1:454">
      <c r="D554" s="749"/>
      <c r="E554" s="749"/>
      <c r="F554" s="749"/>
      <c r="G554" s="749"/>
      <c r="H554" s="749"/>
      <c r="I554" s="749"/>
      <c r="J554" s="749"/>
      <c r="K554" s="749"/>
      <c r="L554" s="749"/>
      <c r="M554" s="604"/>
      <c r="N554" s="749"/>
      <c r="O554" s="564"/>
      <c r="P554" s="749"/>
      <c r="Q554" s="564"/>
      <c r="R554" s="749"/>
      <c r="S554" s="564"/>
      <c r="T554" s="749"/>
      <c r="U554" s="564"/>
      <c r="V554" s="749"/>
      <c r="W554" s="564"/>
      <c r="X554" s="749"/>
      <c r="Y554" s="749"/>
      <c r="Z554" s="749"/>
    </row>
    <row r="555" spans="1:454">
      <c r="D555" s="749"/>
      <c r="E555" s="749"/>
      <c r="F555" s="749"/>
      <c r="G555" s="749"/>
      <c r="H555" s="749"/>
      <c r="I555" s="749"/>
      <c r="J555" s="749"/>
      <c r="K555" s="749"/>
      <c r="L555" s="749"/>
      <c r="M555" s="604"/>
      <c r="N555" s="749"/>
      <c r="O555" s="564"/>
      <c r="P555" s="749"/>
      <c r="Q555" s="564"/>
      <c r="R555" s="749"/>
      <c r="S555" s="564"/>
      <c r="T555" s="749"/>
      <c r="U555" s="564"/>
      <c r="V555" s="749"/>
      <c r="W555" s="564"/>
      <c r="X555" s="749"/>
      <c r="Y555" s="749"/>
      <c r="Z555" s="749"/>
    </row>
    <row r="556" spans="1:454">
      <c r="D556" s="749"/>
      <c r="E556" s="749"/>
      <c r="F556" s="749"/>
      <c r="G556" s="749"/>
      <c r="H556" s="749"/>
      <c r="I556" s="749"/>
      <c r="J556" s="749"/>
      <c r="K556" s="749"/>
      <c r="L556" s="749"/>
      <c r="M556" s="604"/>
      <c r="N556" s="749"/>
      <c r="O556" s="564"/>
      <c r="P556" s="749"/>
      <c r="Q556" s="564"/>
      <c r="R556" s="749"/>
      <c r="S556" s="564"/>
      <c r="T556" s="749"/>
      <c r="U556" s="564"/>
      <c r="V556" s="749"/>
      <c r="W556" s="564"/>
      <c r="X556" s="749"/>
      <c r="Y556" s="749"/>
      <c r="Z556" s="749"/>
    </row>
    <row r="557" spans="1:454" s="570" customFormat="1">
      <c r="A557" s="569"/>
      <c r="B557" s="571"/>
      <c r="C557" s="572"/>
      <c r="D557" s="573"/>
      <c r="E557" s="573"/>
      <c r="F557" s="573"/>
      <c r="G557" s="571"/>
      <c r="H557" s="571"/>
      <c r="I557" s="571"/>
      <c r="J557" s="580"/>
      <c r="K557" s="580"/>
      <c r="L557" s="580"/>
      <c r="M557" s="606"/>
      <c r="N557" s="580"/>
      <c r="O557" s="581"/>
      <c r="P557" s="580"/>
      <c r="Q557" s="581"/>
      <c r="R557" s="580"/>
      <c r="S557" s="581"/>
      <c r="T557" s="580"/>
      <c r="U557" s="581"/>
      <c r="V557" s="580"/>
      <c r="W557" s="581"/>
      <c r="X557" s="571"/>
      <c r="Y557" s="580"/>
      <c r="Z557" s="580"/>
      <c r="AA557" s="569"/>
      <c r="AB557" s="569"/>
      <c r="AC557" s="569"/>
      <c r="AD557" s="569"/>
      <c r="AE557" s="569"/>
      <c r="AF557" s="569"/>
      <c r="AG557" s="569"/>
      <c r="AH557" s="569"/>
      <c r="AI557" s="569"/>
      <c r="AJ557" s="569"/>
      <c r="AK557" s="569"/>
      <c r="AL557" s="569"/>
      <c r="AM557" s="569"/>
      <c r="AN557" s="569"/>
      <c r="AO557" s="569"/>
      <c r="AP557" s="569"/>
      <c r="AQ557" s="569"/>
      <c r="AR557" s="569"/>
      <c r="AS557" s="569"/>
      <c r="AT557" s="569"/>
      <c r="AU557" s="569"/>
      <c r="AV557" s="569"/>
      <c r="AW557" s="569"/>
      <c r="AX557" s="569"/>
      <c r="AY557" s="569"/>
      <c r="AZ557" s="569"/>
      <c r="BA557" s="569"/>
      <c r="BB557" s="569"/>
      <c r="BC557" s="569"/>
      <c r="BD557" s="569"/>
      <c r="BE557" s="569"/>
      <c r="BF557" s="569"/>
      <c r="BG557" s="569"/>
      <c r="BH557" s="569"/>
      <c r="BI557" s="569"/>
      <c r="BJ557" s="569"/>
      <c r="BK557" s="569"/>
      <c r="BL557" s="569"/>
      <c r="BM557" s="569"/>
      <c r="BN557" s="569"/>
      <c r="BO557" s="569"/>
      <c r="BP557" s="569"/>
      <c r="BQ557" s="569"/>
      <c r="BR557" s="569"/>
      <c r="BS557" s="569"/>
      <c r="BT557" s="569"/>
      <c r="BU557" s="569"/>
      <c r="BV557" s="569"/>
      <c r="BW557" s="569"/>
      <c r="BX557" s="569"/>
      <c r="BY557" s="569"/>
      <c r="BZ557" s="569"/>
      <c r="CA557" s="569"/>
      <c r="CB557" s="569"/>
      <c r="CC557" s="569"/>
      <c r="CD557" s="569"/>
      <c r="CE557" s="569"/>
      <c r="CF557" s="569"/>
      <c r="CG557" s="569"/>
      <c r="CH557" s="569"/>
      <c r="CI557" s="569"/>
      <c r="CJ557" s="569"/>
      <c r="CK557" s="569"/>
      <c r="CL557" s="569"/>
      <c r="CM557" s="569"/>
      <c r="CN557" s="569"/>
      <c r="CO557" s="569"/>
      <c r="CP557" s="569"/>
      <c r="CQ557" s="569"/>
      <c r="CR557" s="569"/>
      <c r="CS557" s="569"/>
      <c r="CT557" s="569"/>
      <c r="CU557" s="569"/>
      <c r="CV557" s="569"/>
      <c r="CW557" s="569"/>
      <c r="CX557" s="569"/>
      <c r="CY557" s="569"/>
      <c r="CZ557" s="569"/>
      <c r="DA557" s="569"/>
      <c r="DB557" s="569"/>
      <c r="DC557" s="569"/>
      <c r="DD557" s="569"/>
      <c r="DE557" s="569"/>
      <c r="DF557" s="569"/>
      <c r="DG557" s="569"/>
      <c r="DH557" s="569"/>
      <c r="DI557" s="569"/>
      <c r="DJ557" s="569"/>
      <c r="DK557" s="569"/>
      <c r="DL557" s="569"/>
      <c r="DM557" s="569"/>
      <c r="DN557" s="569"/>
      <c r="DO557" s="569"/>
      <c r="DP557" s="569"/>
      <c r="DQ557" s="569"/>
      <c r="DR557" s="569"/>
      <c r="DS557" s="569"/>
      <c r="DT557" s="569"/>
      <c r="DU557" s="569"/>
      <c r="DV557" s="569"/>
      <c r="DW557" s="569"/>
      <c r="DX557" s="569"/>
      <c r="DY557" s="569"/>
      <c r="DZ557" s="569"/>
      <c r="EA557" s="569"/>
      <c r="EB557" s="569"/>
      <c r="EC557" s="569"/>
      <c r="ED557" s="569"/>
      <c r="EE557" s="569"/>
      <c r="EF557" s="569"/>
      <c r="EG557" s="569"/>
      <c r="EH557" s="569"/>
      <c r="EI557" s="569"/>
      <c r="EJ557" s="569"/>
      <c r="EK557" s="569"/>
      <c r="EL557" s="569"/>
      <c r="EM557" s="569"/>
      <c r="EN557" s="569"/>
      <c r="EO557" s="569"/>
      <c r="EP557" s="569"/>
      <c r="EQ557" s="569"/>
      <c r="ER557" s="569"/>
      <c r="ES557" s="569"/>
      <c r="ET557" s="569"/>
      <c r="EU557" s="569"/>
      <c r="EV557" s="569"/>
      <c r="EW557" s="569"/>
      <c r="EX557" s="569"/>
      <c r="EY557" s="569"/>
      <c r="EZ557" s="569"/>
      <c r="FA557" s="569"/>
      <c r="FB557" s="569"/>
      <c r="FC557" s="569"/>
      <c r="FD557" s="569"/>
      <c r="FE557" s="569"/>
      <c r="FF557" s="569"/>
      <c r="FG557" s="569"/>
      <c r="FH557" s="569"/>
      <c r="FI557" s="569"/>
      <c r="FJ557" s="569"/>
      <c r="FK557" s="569"/>
      <c r="FL557" s="569"/>
      <c r="FM557" s="569"/>
      <c r="FN557" s="569"/>
      <c r="FO557" s="569"/>
      <c r="FP557" s="569"/>
      <c r="FQ557" s="569"/>
      <c r="FR557" s="569"/>
      <c r="FS557" s="569"/>
      <c r="FT557" s="569"/>
      <c r="FU557" s="569"/>
      <c r="FV557" s="569"/>
      <c r="FW557" s="569"/>
      <c r="FX557" s="569"/>
      <c r="FY557" s="569"/>
      <c r="FZ557" s="569"/>
      <c r="GA557" s="569"/>
      <c r="GB557" s="569"/>
      <c r="GC557" s="569"/>
      <c r="GD557" s="569"/>
      <c r="GE557" s="569"/>
      <c r="GF557" s="569"/>
      <c r="GG557" s="569"/>
      <c r="GH557" s="569"/>
      <c r="GI557" s="569"/>
      <c r="GJ557" s="569"/>
      <c r="GK557" s="569"/>
      <c r="GL557" s="569"/>
      <c r="GM557" s="569"/>
      <c r="GN557" s="569"/>
      <c r="GO557" s="569"/>
      <c r="GP557" s="569"/>
      <c r="GQ557" s="569"/>
      <c r="GR557" s="569"/>
      <c r="GS557" s="569"/>
      <c r="GT557" s="569"/>
      <c r="GU557" s="569"/>
      <c r="GV557" s="569"/>
      <c r="GW557" s="569"/>
      <c r="GX557" s="569"/>
      <c r="GY557" s="569"/>
      <c r="GZ557" s="569"/>
      <c r="HA557" s="569"/>
      <c r="HB557" s="569"/>
      <c r="HC557" s="569"/>
      <c r="HD557" s="569"/>
      <c r="HE557" s="569"/>
      <c r="HF557" s="569"/>
      <c r="HG557" s="569"/>
      <c r="HH557" s="569"/>
      <c r="HI557" s="569"/>
      <c r="HJ557" s="569"/>
      <c r="HK557" s="569"/>
      <c r="HL557" s="569"/>
      <c r="HM557" s="569"/>
      <c r="HN557" s="569"/>
      <c r="HO557" s="569"/>
      <c r="HP557" s="569"/>
      <c r="HQ557" s="569"/>
      <c r="HR557" s="569"/>
      <c r="HS557" s="569"/>
      <c r="HT557" s="569"/>
      <c r="HU557" s="569"/>
      <c r="HV557" s="569"/>
      <c r="HW557" s="569"/>
      <c r="HX557" s="569"/>
      <c r="HY557" s="569"/>
      <c r="HZ557" s="569"/>
      <c r="IA557" s="569"/>
      <c r="IB557" s="569"/>
      <c r="IC557" s="569"/>
      <c r="ID557" s="569"/>
      <c r="IE557" s="569"/>
      <c r="IF557" s="569"/>
      <c r="IG557" s="569"/>
      <c r="IH557" s="569"/>
      <c r="II557" s="569"/>
      <c r="IJ557" s="569"/>
      <c r="IK557" s="569"/>
      <c r="IL557" s="569"/>
      <c r="IM557" s="569"/>
      <c r="IN557" s="569"/>
      <c r="IO557" s="569"/>
      <c r="IP557" s="569"/>
      <c r="IQ557" s="569"/>
      <c r="IR557" s="569"/>
      <c r="IS557" s="569"/>
      <c r="IT557" s="569"/>
      <c r="IU557" s="569"/>
      <c r="IV557" s="569"/>
      <c r="IW557" s="569"/>
      <c r="IX557" s="569"/>
      <c r="IY557" s="569"/>
      <c r="IZ557" s="569"/>
      <c r="JA557" s="569"/>
      <c r="JB557" s="569"/>
      <c r="JC557" s="569"/>
      <c r="JD557" s="569"/>
      <c r="JE557" s="569"/>
      <c r="JF557" s="569"/>
      <c r="JG557" s="569"/>
      <c r="JH557" s="569"/>
      <c r="JI557" s="569"/>
      <c r="JJ557" s="569"/>
      <c r="JK557" s="569"/>
      <c r="JL557" s="569"/>
      <c r="JM557" s="569"/>
      <c r="JN557" s="569"/>
      <c r="JO557" s="569"/>
      <c r="JP557" s="569"/>
      <c r="JQ557" s="569"/>
      <c r="JR557" s="569"/>
      <c r="JS557" s="569"/>
      <c r="JT557" s="569"/>
      <c r="JU557" s="569"/>
      <c r="JV557" s="569"/>
      <c r="JW557" s="569"/>
      <c r="JX557" s="569"/>
      <c r="JY557" s="569"/>
      <c r="JZ557" s="569"/>
      <c r="KA557" s="569"/>
      <c r="KB557" s="569"/>
      <c r="KC557" s="569"/>
      <c r="KD557" s="569"/>
      <c r="KE557" s="569"/>
      <c r="KF557" s="569"/>
      <c r="KG557" s="569"/>
      <c r="KH557" s="569"/>
      <c r="KI557" s="569"/>
      <c r="KJ557" s="569"/>
      <c r="KK557" s="569"/>
      <c r="KL557" s="569"/>
      <c r="KM557" s="569"/>
      <c r="KN557" s="569"/>
      <c r="KO557" s="569"/>
      <c r="KP557" s="569"/>
      <c r="KQ557" s="569"/>
      <c r="KR557" s="569"/>
      <c r="KS557" s="569"/>
      <c r="KT557" s="569"/>
      <c r="KU557" s="569"/>
      <c r="KV557" s="569"/>
      <c r="KW557" s="569"/>
      <c r="KX557" s="569"/>
      <c r="KY557" s="569"/>
      <c r="KZ557" s="569"/>
      <c r="LA557" s="569"/>
      <c r="LB557" s="569"/>
      <c r="LC557" s="569"/>
      <c r="LD557" s="569"/>
      <c r="LE557" s="569"/>
      <c r="LF557" s="569"/>
      <c r="LG557" s="569"/>
      <c r="LH557" s="569"/>
      <c r="LI557" s="569"/>
      <c r="LJ557" s="569"/>
      <c r="LK557" s="569"/>
      <c r="LL557" s="569"/>
      <c r="LM557" s="569"/>
      <c r="LN557" s="569"/>
      <c r="LO557" s="569"/>
      <c r="LP557" s="569"/>
      <c r="LQ557" s="569"/>
      <c r="LR557" s="569"/>
      <c r="LS557" s="569"/>
      <c r="LT557" s="569"/>
      <c r="LU557" s="569"/>
      <c r="LV557" s="569"/>
      <c r="LW557" s="569"/>
      <c r="LX557" s="569"/>
      <c r="LY557" s="569"/>
      <c r="LZ557" s="569"/>
      <c r="MA557" s="569"/>
      <c r="MB557" s="569"/>
      <c r="MC557" s="569"/>
      <c r="MD557" s="569"/>
      <c r="ME557" s="569"/>
      <c r="MF557" s="569"/>
      <c r="MG557" s="569"/>
      <c r="MH557" s="569"/>
      <c r="MI557" s="569"/>
      <c r="MJ557" s="569"/>
      <c r="MK557" s="569"/>
      <c r="ML557" s="569"/>
      <c r="MM557" s="569"/>
      <c r="MN557" s="569"/>
      <c r="MO557" s="569"/>
      <c r="MP557" s="569"/>
      <c r="MQ557" s="569"/>
      <c r="MR557" s="569"/>
      <c r="MS557" s="569"/>
      <c r="MT557" s="569"/>
      <c r="MU557" s="569"/>
      <c r="MV557" s="569"/>
      <c r="MW557" s="569"/>
      <c r="MX557" s="569"/>
      <c r="MY557" s="569"/>
      <c r="MZ557" s="569"/>
      <c r="NA557" s="569"/>
      <c r="NB557" s="569"/>
      <c r="NC557" s="569"/>
      <c r="ND557" s="569"/>
      <c r="NE557" s="569"/>
      <c r="NF557" s="569"/>
      <c r="NG557" s="569"/>
      <c r="NH557" s="569"/>
      <c r="NI557" s="569"/>
      <c r="NJ557" s="569"/>
      <c r="NK557" s="569"/>
      <c r="NL557" s="569"/>
      <c r="NM557" s="569"/>
      <c r="NN557" s="569"/>
      <c r="NO557" s="569"/>
      <c r="NP557" s="569"/>
      <c r="NQ557" s="569"/>
      <c r="NR557" s="569"/>
      <c r="NS557" s="569"/>
      <c r="NT557" s="569"/>
      <c r="NU557" s="569"/>
      <c r="NV557" s="569"/>
      <c r="NW557" s="569"/>
      <c r="NX557" s="569"/>
      <c r="NY557" s="569"/>
      <c r="NZ557" s="569"/>
      <c r="OA557" s="569"/>
      <c r="OB557" s="569"/>
      <c r="OC557" s="569"/>
      <c r="OD557" s="569"/>
      <c r="OE557" s="569"/>
      <c r="OF557" s="569"/>
      <c r="OG557" s="569"/>
      <c r="OH557" s="569"/>
      <c r="OI557" s="569"/>
      <c r="OJ557" s="569"/>
      <c r="OK557" s="569"/>
      <c r="OL557" s="569"/>
      <c r="OM557" s="569"/>
      <c r="ON557" s="569"/>
      <c r="OO557" s="569"/>
      <c r="OP557" s="569"/>
      <c r="OQ557" s="569"/>
      <c r="OR557" s="569"/>
      <c r="OS557" s="569"/>
      <c r="OT557" s="569"/>
      <c r="OU557" s="569"/>
      <c r="OV557" s="569"/>
      <c r="OW557" s="569"/>
      <c r="OX557" s="569"/>
      <c r="OY557" s="569"/>
      <c r="OZ557" s="569"/>
      <c r="PA557" s="569"/>
      <c r="PB557" s="569"/>
      <c r="PC557" s="569"/>
      <c r="PD557" s="569"/>
      <c r="PE557" s="569"/>
      <c r="PF557" s="569"/>
      <c r="PG557" s="569"/>
      <c r="PH557" s="569"/>
      <c r="PI557" s="569"/>
      <c r="PJ557" s="569"/>
      <c r="PK557" s="569"/>
      <c r="PL557" s="569"/>
      <c r="PM557" s="569"/>
      <c r="PN557" s="569"/>
      <c r="PO557" s="569"/>
      <c r="PP557" s="569"/>
      <c r="PQ557" s="569"/>
      <c r="PR557" s="569"/>
      <c r="PS557" s="569"/>
      <c r="PT557" s="569"/>
      <c r="PU557" s="569"/>
      <c r="PV557" s="569"/>
      <c r="PW557" s="569"/>
      <c r="PX557" s="569"/>
      <c r="PY557" s="569"/>
      <c r="PZ557" s="569"/>
      <c r="QA557" s="569"/>
      <c r="QB557" s="569"/>
      <c r="QC557" s="569"/>
      <c r="QD557" s="569"/>
      <c r="QE557" s="569"/>
      <c r="QF557" s="569"/>
      <c r="QG557" s="569"/>
      <c r="QH557" s="569"/>
      <c r="QI557" s="569"/>
      <c r="QJ557" s="569"/>
      <c r="QK557" s="569"/>
      <c r="QL557" s="569"/>
    </row>
    <row r="558" spans="1:454" s="574" customFormat="1" ht="30">
      <c r="A558" s="569"/>
      <c r="B558" s="575">
        <v>21</v>
      </c>
      <c r="C558" s="576" t="str">
        <f>'matrik MISI 1'!B59</f>
        <v>KETAHANAN PANGAN</v>
      </c>
      <c r="D558" s="577" t="str">
        <f>'matrik MISI 1'!J60</f>
        <v>1.21</v>
      </c>
      <c r="E558" s="577" t="str">
        <f>'matrik MISI 1'!K60</f>
        <v>xx</v>
      </c>
      <c r="F558" s="577">
        <f>'matrik MISI 1'!L60</f>
        <v>16</v>
      </c>
      <c r="G558" s="577" t="str">
        <f>'matrik MISI 1'!M60</f>
        <v>Program peningkatan ketahanan pangan</v>
      </c>
      <c r="H558" s="575"/>
      <c r="I558" s="575"/>
      <c r="J558" s="596"/>
      <c r="K558" s="596"/>
      <c r="L558" s="596"/>
      <c r="M558" s="600">
        <f>'jangan di hapus 1'!K1109</f>
        <v>321997000</v>
      </c>
      <c r="N558" s="600">
        <f>'jangan di hapus 1'!L1109</f>
        <v>0</v>
      </c>
      <c r="O558" s="600">
        <f>'jangan di hapus 1'!M1109</f>
        <v>604000000</v>
      </c>
      <c r="P558" s="600">
        <f>'jangan di hapus 1'!N1109</f>
        <v>0</v>
      </c>
      <c r="Q558" s="600">
        <f>'jangan di hapus 1'!O1109</f>
        <v>646500000</v>
      </c>
      <c r="R558" s="600">
        <f>'jangan di hapus 1'!P1109</f>
        <v>0</v>
      </c>
      <c r="S558" s="600">
        <f>'jangan di hapus 1'!Q1109</f>
        <v>692500000</v>
      </c>
      <c r="T558" s="600">
        <f>'jangan di hapus 1'!R1109</f>
        <v>0</v>
      </c>
      <c r="U558" s="600">
        <f>'jangan di hapus 1'!S1109</f>
        <v>720000000</v>
      </c>
      <c r="V558" s="600"/>
      <c r="W558" s="578">
        <f>SUM(M558:U558)</f>
        <v>2984997000</v>
      </c>
      <c r="X558" s="600"/>
      <c r="Y558" s="600"/>
      <c r="Z558" s="600"/>
      <c r="AA558" s="793"/>
      <c r="AB558" s="793"/>
      <c r="AC558" s="793"/>
      <c r="AD558" s="793"/>
      <c r="AE558" s="569"/>
      <c r="AF558" s="569"/>
      <c r="AG558" s="569"/>
      <c r="AH558" s="569"/>
      <c r="AI558" s="569"/>
      <c r="AJ558" s="569"/>
      <c r="AK558" s="569"/>
      <c r="AL558" s="569"/>
      <c r="AM558" s="569"/>
      <c r="AN558" s="569"/>
      <c r="AO558" s="569"/>
      <c r="AP558" s="569"/>
      <c r="AQ558" s="569"/>
      <c r="AR558" s="569"/>
      <c r="AS558" s="569"/>
      <c r="AT558" s="569"/>
      <c r="AU558" s="569"/>
      <c r="AV558" s="569"/>
      <c r="AW558" s="569"/>
      <c r="AX558" s="569"/>
      <c r="AY558" s="569"/>
      <c r="AZ558" s="569"/>
      <c r="BA558" s="569"/>
      <c r="BB558" s="569"/>
      <c r="BC558" s="569"/>
      <c r="BD558" s="569"/>
      <c r="BE558" s="569"/>
      <c r="BF558" s="569"/>
      <c r="BG558" s="569"/>
      <c r="BH558" s="569"/>
      <c r="BI558" s="569"/>
      <c r="BJ558" s="569"/>
      <c r="BK558" s="569"/>
      <c r="BL558" s="569"/>
      <c r="BM558" s="569"/>
      <c r="BN558" s="569"/>
      <c r="BO558" s="569"/>
      <c r="BP558" s="569"/>
      <c r="BQ558" s="569"/>
      <c r="BR558" s="569"/>
      <c r="BS558" s="569"/>
      <c r="BT558" s="569"/>
      <c r="BU558" s="569"/>
      <c r="BV558" s="569"/>
      <c r="BW558" s="569"/>
      <c r="BX558" s="569"/>
      <c r="BY558" s="569"/>
      <c r="BZ558" s="569"/>
      <c r="CA558" s="569"/>
      <c r="CB558" s="569"/>
      <c r="CC558" s="569"/>
      <c r="CD558" s="569"/>
      <c r="CE558" s="569"/>
      <c r="CF558" s="569"/>
      <c r="CG558" s="569"/>
      <c r="CH558" s="569"/>
      <c r="CI558" s="569"/>
      <c r="CJ558" s="569"/>
      <c r="CK558" s="569"/>
      <c r="CL558" s="569"/>
      <c r="CM558" s="569"/>
      <c r="CN558" s="569"/>
      <c r="CO558" s="569"/>
      <c r="CP558" s="569"/>
      <c r="CQ558" s="569"/>
      <c r="CR558" s="569"/>
      <c r="CS558" s="569"/>
      <c r="CT558" s="569"/>
      <c r="CU558" s="569"/>
      <c r="CV558" s="569"/>
      <c r="CW558" s="569"/>
      <c r="CX558" s="569"/>
      <c r="CY558" s="569"/>
      <c r="CZ558" s="569"/>
      <c r="DA558" s="569"/>
      <c r="DB558" s="569"/>
      <c r="DC558" s="569"/>
      <c r="DD558" s="569"/>
      <c r="DE558" s="569"/>
      <c r="DF558" s="569"/>
      <c r="DG558" s="569"/>
      <c r="DH558" s="569"/>
      <c r="DI558" s="569"/>
      <c r="DJ558" s="569"/>
      <c r="DK558" s="569"/>
      <c r="DL558" s="569"/>
      <c r="DM558" s="569"/>
      <c r="DN558" s="569"/>
      <c r="DO558" s="569"/>
      <c r="DP558" s="569"/>
      <c r="DQ558" s="569"/>
      <c r="DR558" s="569"/>
      <c r="DS558" s="569"/>
      <c r="DT558" s="569"/>
      <c r="DU558" s="569"/>
      <c r="DV558" s="569"/>
      <c r="DW558" s="569"/>
      <c r="DX558" s="569"/>
      <c r="DY558" s="569"/>
      <c r="DZ558" s="569"/>
      <c r="EA558" s="569"/>
      <c r="EB558" s="569"/>
      <c r="EC558" s="569"/>
      <c r="ED558" s="569"/>
      <c r="EE558" s="569"/>
      <c r="EF558" s="569"/>
      <c r="EG558" s="569"/>
      <c r="EH558" s="569"/>
      <c r="EI558" s="569"/>
      <c r="EJ558" s="569"/>
      <c r="EK558" s="569"/>
      <c r="EL558" s="569"/>
      <c r="EM558" s="569"/>
      <c r="EN558" s="569"/>
      <c r="EO558" s="569"/>
      <c r="EP558" s="569"/>
      <c r="EQ558" s="569"/>
      <c r="ER558" s="569"/>
      <c r="ES558" s="569"/>
      <c r="ET558" s="569"/>
      <c r="EU558" s="569"/>
      <c r="EV558" s="569"/>
      <c r="EW558" s="569"/>
      <c r="EX558" s="569"/>
      <c r="EY558" s="569"/>
      <c r="EZ558" s="569"/>
      <c r="FA558" s="569"/>
      <c r="FB558" s="569"/>
      <c r="FC558" s="569"/>
      <c r="FD558" s="569"/>
      <c r="FE558" s="569"/>
      <c r="FF558" s="569"/>
      <c r="FG558" s="569"/>
      <c r="FH558" s="569"/>
      <c r="FI558" s="569"/>
      <c r="FJ558" s="569"/>
      <c r="FK558" s="569"/>
      <c r="FL558" s="569"/>
      <c r="FM558" s="569"/>
      <c r="FN558" s="569"/>
      <c r="FO558" s="569"/>
      <c r="FP558" s="569"/>
      <c r="FQ558" s="569"/>
      <c r="FR558" s="569"/>
      <c r="FS558" s="569"/>
      <c r="FT558" s="569"/>
      <c r="FU558" s="569"/>
      <c r="FV558" s="569"/>
      <c r="FW558" s="569"/>
      <c r="FX558" s="569"/>
      <c r="FY558" s="569"/>
      <c r="FZ558" s="569"/>
      <c r="GA558" s="569"/>
      <c r="GB558" s="569"/>
      <c r="GC558" s="569"/>
      <c r="GD558" s="569"/>
      <c r="GE558" s="569"/>
      <c r="GF558" s="569"/>
      <c r="GG558" s="569"/>
      <c r="GH558" s="569"/>
      <c r="GI558" s="569"/>
      <c r="GJ558" s="569"/>
      <c r="GK558" s="569"/>
      <c r="GL558" s="569"/>
      <c r="GM558" s="569"/>
      <c r="GN558" s="569"/>
      <c r="GO558" s="569"/>
      <c r="GP558" s="569"/>
      <c r="GQ558" s="569"/>
      <c r="GR558" s="569"/>
      <c r="GS558" s="569"/>
      <c r="GT558" s="569"/>
      <c r="GU558" s="569"/>
      <c r="GV558" s="569"/>
      <c r="GW558" s="569"/>
      <c r="GX558" s="569"/>
      <c r="GY558" s="569"/>
      <c r="GZ558" s="569"/>
      <c r="HA558" s="569"/>
      <c r="HB558" s="569"/>
      <c r="HC558" s="569"/>
      <c r="HD558" s="569"/>
      <c r="HE558" s="569"/>
      <c r="HF558" s="569"/>
      <c r="HG558" s="569"/>
      <c r="HH558" s="569"/>
      <c r="HI558" s="569"/>
      <c r="HJ558" s="569"/>
      <c r="HK558" s="569"/>
      <c r="HL558" s="569"/>
      <c r="HM558" s="569"/>
      <c r="HN558" s="569"/>
      <c r="HO558" s="569"/>
      <c r="HP558" s="569"/>
      <c r="HQ558" s="569"/>
      <c r="HR558" s="569"/>
      <c r="HS558" s="569"/>
      <c r="HT558" s="569"/>
      <c r="HU558" s="569"/>
      <c r="HV558" s="569"/>
      <c r="HW558" s="569"/>
      <c r="HX558" s="569"/>
      <c r="HY558" s="569"/>
      <c r="HZ558" s="569"/>
      <c r="IA558" s="569"/>
      <c r="IB558" s="569"/>
      <c r="IC558" s="569"/>
      <c r="ID558" s="569"/>
      <c r="IE558" s="569"/>
      <c r="IF558" s="569"/>
      <c r="IG558" s="569"/>
      <c r="IH558" s="569"/>
      <c r="II558" s="569"/>
      <c r="IJ558" s="569"/>
      <c r="IK558" s="569"/>
      <c r="IL558" s="569"/>
      <c r="IM558" s="569"/>
      <c r="IN558" s="569"/>
      <c r="IO558" s="569"/>
      <c r="IP558" s="569"/>
      <c r="IQ558" s="569"/>
      <c r="IR558" s="569"/>
      <c r="IS558" s="569"/>
      <c r="IT558" s="569"/>
      <c r="IU558" s="569"/>
      <c r="IV558" s="569"/>
      <c r="IW558" s="569"/>
      <c r="IX558" s="569"/>
      <c r="IY558" s="569"/>
      <c r="IZ558" s="569"/>
      <c r="JA558" s="569"/>
      <c r="JB558" s="569"/>
      <c r="JC558" s="569"/>
      <c r="JD558" s="569"/>
      <c r="JE558" s="569"/>
      <c r="JF558" s="569"/>
      <c r="JG558" s="569"/>
      <c r="JH558" s="569"/>
      <c r="JI558" s="569"/>
      <c r="JJ558" s="569"/>
      <c r="JK558" s="569"/>
      <c r="JL558" s="569"/>
      <c r="JM558" s="569"/>
      <c r="JN558" s="569"/>
      <c r="JO558" s="569"/>
      <c r="JP558" s="569"/>
      <c r="JQ558" s="569"/>
      <c r="JR558" s="569"/>
      <c r="JS558" s="569"/>
      <c r="JT558" s="569"/>
      <c r="JU558" s="569"/>
      <c r="JV558" s="569"/>
      <c r="JW558" s="569"/>
      <c r="JX558" s="569"/>
      <c r="JY558" s="569"/>
      <c r="JZ558" s="569"/>
      <c r="KA558" s="569"/>
      <c r="KB558" s="569"/>
      <c r="KC558" s="569"/>
      <c r="KD558" s="569"/>
      <c r="KE558" s="569"/>
      <c r="KF558" s="569"/>
      <c r="KG558" s="569"/>
      <c r="KH558" s="569"/>
      <c r="KI558" s="569"/>
      <c r="KJ558" s="569"/>
      <c r="KK558" s="569"/>
      <c r="KL558" s="569"/>
      <c r="KM558" s="569"/>
      <c r="KN558" s="569"/>
      <c r="KO558" s="569"/>
      <c r="KP558" s="569"/>
      <c r="KQ558" s="569"/>
      <c r="KR558" s="569"/>
      <c r="KS558" s="569"/>
      <c r="KT558" s="569"/>
      <c r="KU558" s="569"/>
      <c r="KV558" s="569"/>
      <c r="KW558" s="569"/>
      <c r="KX558" s="569"/>
      <c r="KY558" s="569"/>
      <c r="KZ558" s="569"/>
      <c r="LA558" s="569"/>
      <c r="LB558" s="569"/>
      <c r="LC558" s="569"/>
      <c r="LD558" s="569"/>
      <c r="LE558" s="569"/>
      <c r="LF558" s="569"/>
      <c r="LG558" s="569"/>
      <c r="LH558" s="569"/>
      <c r="LI558" s="569"/>
      <c r="LJ558" s="569"/>
      <c r="LK558" s="569"/>
      <c r="LL558" s="569"/>
      <c r="LM558" s="569"/>
      <c r="LN558" s="569"/>
      <c r="LO558" s="569"/>
      <c r="LP558" s="569"/>
      <c r="LQ558" s="569"/>
      <c r="LR558" s="569"/>
      <c r="LS558" s="569"/>
      <c r="LT558" s="569"/>
      <c r="LU558" s="569"/>
      <c r="LV558" s="569"/>
      <c r="LW558" s="569"/>
      <c r="LX558" s="569"/>
      <c r="LY558" s="569"/>
      <c r="LZ558" s="569"/>
      <c r="MA558" s="569"/>
      <c r="MB558" s="569"/>
      <c r="MC558" s="569"/>
      <c r="MD558" s="569"/>
      <c r="ME558" s="569"/>
      <c r="MF558" s="569"/>
      <c r="MG558" s="569"/>
      <c r="MH558" s="569"/>
      <c r="MI558" s="569"/>
      <c r="MJ558" s="569"/>
      <c r="MK558" s="569"/>
      <c r="ML558" s="569"/>
      <c r="MM558" s="569"/>
      <c r="MN558" s="569"/>
      <c r="MO558" s="569"/>
      <c r="MP558" s="569"/>
      <c r="MQ558" s="569"/>
      <c r="MR558" s="569"/>
      <c r="MS558" s="569"/>
      <c r="MT558" s="569"/>
      <c r="MU558" s="569"/>
      <c r="MV558" s="569"/>
      <c r="MW558" s="569"/>
      <c r="MX558" s="569"/>
      <c r="MY558" s="569"/>
      <c r="MZ558" s="569"/>
      <c r="NA558" s="569"/>
      <c r="NB558" s="569"/>
      <c r="NC558" s="569"/>
      <c r="ND558" s="569"/>
      <c r="NE558" s="569"/>
      <c r="NF558" s="569"/>
      <c r="NG558" s="569"/>
      <c r="NH558" s="569"/>
      <c r="NI558" s="569"/>
      <c r="NJ558" s="569"/>
      <c r="NK558" s="569"/>
      <c r="NL558" s="569"/>
      <c r="NM558" s="569"/>
      <c r="NN558" s="569"/>
      <c r="NO558" s="569"/>
      <c r="NP558" s="569"/>
      <c r="NQ558" s="569"/>
      <c r="NR558" s="569"/>
      <c r="NS558" s="569"/>
      <c r="NT558" s="569"/>
      <c r="NU558" s="569"/>
      <c r="NV558" s="569"/>
      <c r="NW558" s="569"/>
      <c r="NX558" s="569"/>
      <c r="NY558" s="569"/>
      <c r="NZ558" s="569"/>
      <c r="OA558" s="569"/>
      <c r="OB558" s="569"/>
      <c r="OC558" s="569"/>
      <c r="OD558" s="569"/>
      <c r="OE558" s="569"/>
      <c r="OF558" s="569"/>
      <c r="OG558" s="569"/>
      <c r="OH558" s="569"/>
      <c r="OI558" s="569"/>
      <c r="OJ558" s="569"/>
      <c r="OK558" s="569"/>
      <c r="OL558" s="569"/>
      <c r="OM558" s="569"/>
      <c r="ON558" s="569"/>
      <c r="OO558" s="569"/>
      <c r="OP558" s="569"/>
      <c r="OQ558" s="569"/>
      <c r="OR558" s="569"/>
      <c r="OS558" s="569"/>
      <c r="OT558" s="569"/>
      <c r="OU558" s="569"/>
      <c r="OV558" s="569"/>
      <c r="OW558" s="569"/>
      <c r="OX558" s="569"/>
      <c r="OY558" s="569"/>
      <c r="OZ558" s="569"/>
      <c r="PA558" s="569"/>
      <c r="PB558" s="569"/>
      <c r="PC558" s="569"/>
      <c r="PD558" s="569"/>
      <c r="PE558" s="569"/>
      <c r="PF558" s="569"/>
      <c r="PG558" s="569"/>
      <c r="PH558" s="569"/>
      <c r="PI558" s="569"/>
      <c r="PJ558" s="569"/>
      <c r="PK558" s="569"/>
      <c r="PL558" s="569"/>
      <c r="PM558" s="569"/>
      <c r="PN558" s="569"/>
      <c r="PO558" s="569"/>
      <c r="PP558" s="569"/>
      <c r="PQ558" s="569"/>
      <c r="PR558" s="569"/>
      <c r="PS558" s="569"/>
      <c r="PT558" s="569"/>
      <c r="PU558" s="569"/>
      <c r="PV558" s="569"/>
      <c r="PW558" s="569"/>
      <c r="PX558" s="569"/>
      <c r="PY558" s="569"/>
      <c r="PZ558" s="569"/>
      <c r="QA558" s="569"/>
      <c r="QB558" s="569"/>
      <c r="QC558" s="569"/>
      <c r="QD558" s="569"/>
      <c r="QE558" s="569"/>
      <c r="QF558" s="569"/>
      <c r="QG558" s="569"/>
      <c r="QH558" s="569"/>
      <c r="QI558" s="569"/>
      <c r="QJ558" s="569"/>
      <c r="QK558" s="569"/>
      <c r="QL558" s="569"/>
    </row>
    <row r="559" spans="1:454" ht="45">
      <c r="B559" s="568"/>
      <c r="C559" s="568"/>
      <c r="D559" s="568"/>
      <c r="E559" s="568"/>
      <c r="F559" s="568"/>
      <c r="G559" s="568"/>
      <c r="H559" s="563" t="str">
        <f>'matrik MISI 1'!N60</f>
        <v>Cakupan Ketersediaan Energi per Kapita</v>
      </c>
      <c r="I559" s="563" t="str">
        <f>'matrik MISI 1'!O60</f>
        <v>kkal/kap/hr</v>
      </c>
      <c r="J559" s="563">
        <f>'matrik MISI 1'!P60</f>
        <v>2846.55</v>
      </c>
      <c r="K559" s="563">
        <f>'matrik MISI 1'!Q60</f>
        <v>2794.62</v>
      </c>
      <c r="L559" s="563">
        <f>'matrik MISI 1'!R60</f>
        <v>2800</v>
      </c>
      <c r="M559" s="604"/>
      <c r="N559" s="563">
        <f>'matrik MISI 1'!S60</f>
        <v>2850</v>
      </c>
      <c r="O559" s="564"/>
      <c r="P559" s="563">
        <f>'matrik MISI 1'!T60</f>
        <v>2900</v>
      </c>
      <c r="Q559" s="564"/>
      <c r="R559" s="563">
        <f>'matrik MISI 1'!U60</f>
        <v>2940</v>
      </c>
      <c r="S559" s="564"/>
      <c r="T559" s="563">
        <f>'matrik MISI 1'!V60</f>
        <v>2980</v>
      </c>
      <c r="U559" s="564"/>
      <c r="V559" s="563">
        <f>'matrik MISI 1'!W60</f>
        <v>2980</v>
      </c>
      <c r="W559" s="564"/>
      <c r="X559" s="563" t="str">
        <f>'matrik MISI 1'!X60</f>
        <v>KKP</v>
      </c>
      <c r="Y559" s="563" t="str">
        <f>'matrik MISI 1'!Y60</f>
        <v>Ketersediaan pangan per kapita per hari dibagi 100, kali kandungan kalori, kali bagian yang dapat dimakan</v>
      </c>
      <c r="Z559" s="563" t="str">
        <f>'matrik MISI 1'!Z60</f>
        <v>ketersediaan pangan dihitung berdasarkan neraca bahan makanan (NBM) yang menunjukkan ketersediaan seluruh bahan pangan daerah sebagai sumber energi  dalam satuan kkal/kap/hr</v>
      </c>
    </row>
    <row r="560" spans="1:454" ht="45">
      <c r="G560" s="563"/>
      <c r="H560" s="563" t="str">
        <f>'matrik MISI 1'!N61</f>
        <v>Cakupan Ketersediaan protein per Kapita</v>
      </c>
      <c r="I560" s="563" t="str">
        <f>'matrik MISI 1'!O61</f>
        <v>gr/kap/hr</v>
      </c>
      <c r="J560" s="563">
        <f>'matrik MISI 1'!P61</f>
        <v>74.989999999999995</v>
      </c>
      <c r="K560" s="563">
        <f>'matrik MISI 1'!Q61</f>
        <v>70.88</v>
      </c>
      <c r="L560" s="563">
        <f>'matrik MISI 1'!R61</f>
        <v>73.540000000000006</v>
      </c>
      <c r="M560" s="604"/>
      <c r="N560" s="563">
        <f>'matrik MISI 1'!S61</f>
        <v>74</v>
      </c>
      <c r="O560" s="564"/>
      <c r="P560" s="563">
        <f>'matrik MISI 1'!T61</f>
        <v>74.75</v>
      </c>
      <c r="Q560" s="564"/>
      <c r="R560" s="563">
        <f>'matrik MISI 1'!U61</f>
        <v>75.5</v>
      </c>
      <c r="S560" s="564"/>
      <c r="T560" s="563" t="str">
        <f>'matrik MISI 1'!V61</f>
        <v>75,99</v>
      </c>
      <c r="U560" s="564"/>
      <c r="V560" s="563" t="str">
        <f>'matrik MISI 1'!W61</f>
        <v>75,99</v>
      </c>
      <c r="W560" s="564"/>
      <c r="X560" s="563" t="str">
        <f>'matrik MISI 1'!X61</f>
        <v>KKP</v>
      </c>
      <c r="Y560" s="563" t="str">
        <f>'matrik MISI 1'!Y61</f>
        <v>Ketersediaan pangan per kapita per hari dibagi 100, kali kandungan kalori, kali bagian yang dapat dimakan</v>
      </c>
      <c r="Z560" s="563" t="str">
        <f>'matrik MISI 1'!Z61</f>
        <v>ketersediaan pangan dihitung berdasarkan neraca bahan makanan (NBM) yang menunjukkan ketersediaan seluruh bahan pangan daerah sebagai sumber protein dalam satuan gr/kap/hr</v>
      </c>
    </row>
    <row r="561" spans="1:454" ht="30">
      <c r="G561" s="563"/>
      <c r="H561" s="563" t="str">
        <f>'matrik MISI 1'!N62</f>
        <v>Peningkatan cadangan pangan masyarakat</v>
      </c>
      <c r="I561" s="563" t="str">
        <f>'matrik MISI 1'!O62</f>
        <v>unit</v>
      </c>
      <c r="J561" s="563">
        <f>'matrik MISI 1'!P62</f>
        <v>29</v>
      </c>
      <c r="K561" s="563">
        <f>'matrik MISI 1'!Q62</f>
        <v>35</v>
      </c>
      <c r="L561" s="563">
        <f>'matrik MISI 1'!R62</f>
        <v>43</v>
      </c>
      <c r="M561" s="604"/>
      <c r="N561" s="563">
        <f>'matrik MISI 1'!S62</f>
        <v>51</v>
      </c>
      <c r="O561" s="564"/>
      <c r="P561" s="563">
        <f>'matrik MISI 1'!T62</f>
        <v>59</v>
      </c>
      <c r="Q561" s="564"/>
      <c r="R561" s="563">
        <f>'matrik MISI 1'!U62</f>
        <v>67</v>
      </c>
      <c r="S561" s="564"/>
      <c r="T561" s="563">
        <f>'matrik MISI 1'!V62</f>
        <v>75</v>
      </c>
      <c r="U561" s="564"/>
      <c r="V561" s="563">
        <f>'matrik MISI 1'!W62</f>
        <v>75</v>
      </c>
      <c r="W561" s="564"/>
      <c r="X561" s="563" t="str">
        <f>'matrik MISI 1'!X62</f>
        <v>KKP</v>
      </c>
      <c r="Y561" s="563" t="str">
        <f>'matrik MISI 1'!Y62</f>
        <v>Jumlah akumulatif pembinaan/pengembangan kelembagaan cadangan pangan yang telah dilaksanakan pada tahun yang bersangkutan</v>
      </c>
      <c r="Z561" s="563" t="str">
        <f>'matrik MISI 1'!Z62</f>
        <v>sudah jelas</v>
      </c>
    </row>
    <row r="562" spans="1:454" ht="30">
      <c r="G562" s="563"/>
      <c r="H562" s="563" t="str">
        <f>'matrik MISI 1'!N63</f>
        <v>Persentase penguatan cadangan pangan pemerintah</v>
      </c>
      <c r="I562" s="563" t="str">
        <f>'matrik MISI 1'!O63</f>
        <v>%</v>
      </c>
      <c r="J562" s="563">
        <f>'matrik MISI 1'!P63</f>
        <v>2.6</v>
      </c>
      <c r="K562" s="563" t="str">
        <f>'matrik MISI 1'!Q63</f>
        <v>8,8</v>
      </c>
      <c r="L562" s="563">
        <f>'matrik MISI 1'!R63</f>
        <v>10</v>
      </c>
      <c r="M562" s="604"/>
      <c r="N562" s="563">
        <f>'matrik MISI 1'!S63</f>
        <v>10</v>
      </c>
      <c r="O562" s="564"/>
      <c r="P562" s="563">
        <f>'matrik MISI 1'!T63</f>
        <v>10</v>
      </c>
      <c r="Q562" s="564"/>
      <c r="R562" s="563">
        <f>'matrik MISI 1'!U63</f>
        <v>10</v>
      </c>
      <c r="S562" s="564"/>
      <c r="T562" s="563">
        <f>'matrik MISI 1'!V63</f>
        <v>10</v>
      </c>
      <c r="U562" s="564"/>
      <c r="V562" s="563">
        <f>'matrik MISI 1'!W63</f>
        <v>10</v>
      </c>
      <c r="W562" s="564"/>
      <c r="X562" s="563" t="str">
        <f>'matrik MISI 1'!X63</f>
        <v>KKP</v>
      </c>
      <c r="Y562" s="563" t="str">
        <f>'matrik MISI 1'!Y63</f>
        <v>Jumlah cadangan pangan pemerintah per 100 ton kali 100%</v>
      </c>
      <c r="Z562" s="563">
        <f>'matrik MISI 1'!Z63</f>
        <v>0</v>
      </c>
    </row>
    <row r="563" spans="1:454" ht="60">
      <c r="G563" s="563"/>
      <c r="H563" s="563" t="str">
        <f>'matrik MISI 1'!N64</f>
        <v>Cakupan Penanganan Kerawanan Pangan</v>
      </c>
      <c r="I563" s="563" t="str">
        <f>'matrik MISI 1'!O64</f>
        <v>%</v>
      </c>
      <c r="J563" s="563">
        <f>'matrik MISI 1'!P64</f>
        <v>50</v>
      </c>
      <c r="K563" s="563">
        <f>'matrik MISI 1'!Q64</f>
        <v>50</v>
      </c>
      <c r="L563" s="563">
        <f>'matrik MISI 1'!R64</f>
        <v>60</v>
      </c>
      <c r="M563" s="604"/>
      <c r="N563" s="563">
        <f>'matrik MISI 1'!S64</f>
        <v>60</v>
      </c>
      <c r="O563" s="564"/>
      <c r="P563" s="563">
        <f>'matrik MISI 1'!T64</f>
        <v>75</v>
      </c>
      <c r="Q563" s="564"/>
      <c r="R563" s="563">
        <f>'matrik MISI 1'!U64</f>
        <v>75</v>
      </c>
      <c r="S563" s="564"/>
      <c r="T563" s="563">
        <f>'matrik MISI 1'!V64</f>
        <v>85</v>
      </c>
      <c r="U563" s="564"/>
      <c r="V563" s="563">
        <f>'matrik MISI 1'!W64</f>
        <v>85</v>
      </c>
      <c r="W563" s="564"/>
      <c r="X563" s="563" t="str">
        <f>'matrik MISI 1'!X64</f>
        <v>KKP</v>
      </c>
      <c r="Y563" s="563" t="str">
        <f>'matrik MISI 1'!Y64</f>
        <v>Penanganan Kerawanan pangan dibagi jumlah kerawanan pangan yang terjadi kali 100%</v>
      </c>
      <c r="Z563" s="563"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64" spans="1:454" ht="30">
      <c r="G564" s="563"/>
      <c r="H564" s="563" t="str">
        <f>'matrik MISI 1'!N65</f>
        <v>Persentase Meningkatnya Skor Pola Pangan Harapan</v>
      </c>
      <c r="I564" s="563" t="str">
        <f>'matrik MISI 1'!O65</f>
        <v>%</v>
      </c>
      <c r="J564" s="563">
        <f>'matrik MISI 1'!P65</f>
        <v>88</v>
      </c>
      <c r="K564" s="563">
        <f>'matrik MISI 1'!Q65</f>
        <v>88.5</v>
      </c>
      <c r="L564" s="563">
        <f>'matrik MISI 1'!R65</f>
        <v>89</v>
      </c>
      <c r="M564" s="604"/>
      <c r="N564" s="563">
        <f>'matrik MISI 1'!S65</f>
        <v>90</v>
      </c>
      <c r="O564" s="564"/>
      <c r="P564" s="563">
        <f>'matrik MISI 1'!T65</f>
        <v>90.45</v>
      </c>
      <c r="Q564" s="564"/>
      <c r="R564" s="563">
        <f>'matrik MISI 1'!U65</f>
        <v>90.85</v>
      </c>
      <c r="S564" s="564"/>
      <c r="T564" s="563">
        <f>'matrik MISI 1'!V65</f>
        <v>91</v>
      </c>
      <c r="U564" s="564"/>
      <c r="V564" s="563">
        <f>'matrik MISI 1'!W65</f>
        <v>91</v>
      </c>
      <c r="W564" s="564"/>
      <c r="X564" s="563" t="str">
        <f>'matrik MISI 1'!X65</f>
        <v>KKP</v>
      </c>
      <c r="Y564" s="563" t="str">
        <f>'matrik MISI 1'!Y65</f>
        <v>Energi masing-masing komoditas dibagi angka kecukupan gizi kali 100%</v>
      </c>
      <c r="Z564" s="563" t="str">
        <f>'matrik MISI 1'!Z65</f>
        <v>angka dasar adalah capaian skor PPH pada tahun 2013</v>
      </c>
    </row>
    <row r="565" spans="1:454" ht="30">
      <c r="G565" s="563"/>
      <c r="H565" s="563" t="str">
        <f>'matrik MISI 1'!N66</f>
        <v>Cakupan Pengawasan dan Pembinaan Keamanan Pangan</v>
      </c>
      <c r="I565" s="563" t="str">
        <f>'matrik MISI 1'!O66</f>
        <v>%</v>
      </c>
      <c r="J565" s="563" t="str">
        <f>'matrik MISI 1'!P66</f>
        <v>-</v>
      </c>
      <c r="K565" s="563" t="str">
        <f>'matrik MISI 1'!Q66</f>
        <v>-</v>
      </c>
      <c r="L565" s="563">
        <f>'matrik MISI 1'!R66</f>
        <v>60</v>
      </c>
      <c r="M565" s="604"/>
      <c r="N565" s="563">
        <f>'matrik MISI 1'!S66</f>
        <v>80</v>
      </c>
      <c r="O565" s="564"/>
      <c r="P565" s="563">
        <f>'matrik MISI 1'!T66</f>
        <v>80</v>
      </c>
      <c r="Q565" s="564"/>
      <c r="R565" s="563">
        <f>'matrik MISI 1'!U66</f>
        <v>85</v>
      </c>
      <c r="S565" s="564"/>
      <c r="T565" s="563">
        <f>'matrik MISI 1'!V66</f>
        <v>90</v>
      </c>
      <c r="U565" s="564"/>
      <c r="V565" s="563">
        <f>'matrik MISI 1'!W66</f>
        <v>90</v>
      </c>
      <c r="W565" s="564"/>
      <c r="X565" s="563" t="str">
        <f>'matrik MISI 1'!X66</f>
        <v>KKP</v>
      </c>
      <c r="Y565" s="563" t="str">
        <f>'matrik MISI 1'!Y66</f>
        <v xml:space="preserve">jumlah sampel aman dibagi jumlah sampel yang dianalisa kali 100% </v>
      </c>
      <c r="Z565" s="563" t="str">
        <f>'matrik MISI 1'!Z66</f>
        <v>sudah jelas</v>
      </c>
    </row>
    <row r="566" spans="1:454">
      <c r="G566" s="563"/>
      <c r="H566" s="563" t="str">
        <f>'matrik MISI 1'!N67</f>
        <v>Besaran Desa Mandiri Pangan</v>
      </c>
      <c r="I566" s="563" t="str">
        <f>'matrik MISI 1'!O67</f>
        <v>Desa</v>
      </c>
      <c r="J566" s="563">
        <f>'matrik MISI 1'!P67</f>
        <v>6</v>
      </c>
      <c r="K566" s="563">
        <f>'matrik MISI 1'!Q67</f>
        <v>8</v>
      </c>
      <c r="L566" s="563">
        <f>'matrik MISI 1'!R67</f>
        <v>8</v>
      </c>
      <c r="M566" s="604"/>
      <c r="N566" s="563">
        <f>'matrik MISI 1'!S67</f>
        <v>9</v>
      </c>
      <c r="O566" s="564"/>
      <c r="P566" s="563">
        <f>'matrik MISI 1'!T67</f>
        <v>9</v>
      </c>
      <c r="Q566" s="564"/>
      <c r="R566" s="563">
        <f>'matrik MISI 1'!U67</f>
        <v>10</v>
      </c>
      <c r="S566" s="564"/>
      <c r="T566" s="563">
        <f>'matrik MISI 1'!V67</f>
        <v>10</v>
      </c>
      <c r="U566" s="564"/>
      <c r="V566" s="563">
        <f>'matrik MISI 1'!W67</f>
        <v>10</v>
      </c>
      <c r="W566" s="564"/>
      <c r="X566" s="563" t="str">
        <f>'matrik MISI 1'!X67</f>
        <v>KKP</v>
      </c>
      <c r="Y566" s="563" t="str">
        <f>'matrik MISI 1'!Y67</f>
        <v>jumlah desa mandiri pangan</v>
      </c>
      <c r="Z566" s="563">
        <f>'matrik MISI 1'!Z67</f>
        <v>0</v>
      </c>
    </row>
    <row r="567" spans="1:454" ht="45">
      <c r="G567" s="563"/>
      <c r="H567" s="563" t="str">
        <f>'matrik MISI 1'!N68</f>
        <v>Besaran percepatan penganekaragaman konsumsi pangan</v>
      </c>
      <c r="I567" s="563" t="str">
        <f>'matrik MISI 1'!O68</f>
        <v>lokasi</v>
      </c>
      <c r="J567" s="563" t="str">
        <f>'matrik MISI 1'!P68</f>
        <v>-</v>
      </c>
      <c r="K567" s="563">
        <f>'matrik MISI 1'!Q68</f>
        <v>2</v>
      </c>
      <c r="L567" s="563">
        <f>'matrik MISI 1'!R68</f>
        <v>3</v>
      </c>
      <c r="M567" s="604"/>
      <c r="N567" s="563">
        <f>'matrik MISI 1'!S68</f>
        <v>4</v>
      </c>
      <c r="O567" s="564"/>
      <c r="P567" s="563">
        <f>'matrik MISI 1'!T68</f>
        <v>4</v>
      </c>
      <c r="Q567" s="564"/>
      <c r="R567" s="563">
        <f>'matrik MISI 1'!U68</f>
        <v>5</v>
      </c>
      <c r="S567" s="564"/>
      <c r="T567" s="563">
        <f>'matrik MISI 1'!V68</f>
        <v>5</v>
      </c>
      <c r="U567" s="564"/>
      <c r="V567" s="563">
        <f>'matrik MISI 1'!W68</f>
        <v>5</v>
      </c>
      <c r="W567" s="564"/>
      <c r="X567" s="563" t="str">
        <f>'matrik MISI 1'!X68</f>
        <v>KKP</v>
      </c>
      <c r="Y567" s="563" t="str">
        <f>'matrik MISI 1'!Y68</f>
        <v>jumlah lokasi pengembangan</v>
      </c>
      <c r="Z567" s="563">
        <f>'matrik MISI 1'!Z68</f>
        <v>0</v>
      </c>
    </row>
    <row r="568" spans="1:454" ht="45">
      <c r="G568" s="563"/>
      <c r="H568" s="563" t="str">
        <f>'matrik MISI 1'!N69</f>
        <v>Persentase Ketersediaan Informasi Pasokan,  Harga, dan Akses Pangan</v>
      </c>
      <c r="I568" s="563" t="str">
        <f>'matrik MISI 1'!O69</f>
        <v>%</v>
      </c>
      <c r="J568" s="563">
        <f>'matrik MISI 1'!P69</f>
        <v>66.67</v>
      </c>
      <c r="K568" s="563">
        <f>'matrik MISI 1'!Q69</f>
        <v>66.67</v>
      </c>
      <c r="L568" s="563">
        <f>'matrik MISI 1'!R69</f>
        <v>70</v>
      </c>
      <c r="M568" s="604"/>
      <c r="N568" s="563">
        <f>'matrik MISI 1'!S69</f>
        <v>90</v>
      </c>
      <c r="O568" s="564"/>
      <c r="P568" s="563">
        <f>'matrik MISI 1'!T69</f>
        <v>95</v>
      </c>
      <c r="Q568" s="564"/>
      <c r="R568" s="563">
        <f>'matrik MISI 1'!U69</f>
        <v>100</v>
      </c>
      <c r="S568" s="564"/>
      <c r="T568" s="563">
        <f>'matrik MISI 1'!V69</f>
        <v>100</v>
      </c>
      <c r="U568" s="564"/>
      <c r="V568" s="563">
        <f>'matrik MISI 1'!W69</f>
        <v>100</v>
      </c>
      <c r="W568" s="564"/>
      <c r="X568" s="563" t="str">
        <f>'matrik MISI 1'!X69</f>
        <v>KKP</v>
      </c>
      <c r="Y568" s="563" t="str">
        <f>'matrik MISI 1'!Y69</f>
        <v>Jumlah komoditas yang tersedia informasinya dibagi jumlah komoditas yang ditargetkan kali 100%</v>
      </c>
      <c r="Z568" s="563">
        <f>'matrik MISI 1'!Z69</f>
        <v>0</v>
      </c>
    </row>
    <row r="569" spans="1:454" s="570" customFormat="1">
      <c r="A569" s="569"/>
      <c r="B569" s="571"/>
      <c r="C569" s="572"/>
      <c r="D569" s="573"/>
      <c r="E569" s="573"/>
      <c r="F569" s="573"/>
      <c r="G569" s="573"/>
      <c r="H569" s="573"/>
      <c r="I569" s="573"/>
      <c r="J569" s="573"/>
      <c r="K569" s="573"/>
      <c r="L569" s="573"/>
      <c r="M569" s="604"/>
      <c r="N569" s="573"/>
      <c r="O569" s="564"/>
      <c r="P569" s="573"/>
      <c r="Q569" s="564"/>
      <c r="R569" s="573"/>
      <c r="S569" s="564"/>
      <c r="T569" s="573"/>
      <c r="U569" s="564"/>
      <c r="V569" s="573"/>
      <c r="W569" s="564"/>
      <c r="X569" s="573"/>
      <c r="Y569" s="573"/>
      <c r="Z569" s="573"/>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T569" s="569"/>
      <c r="BU569" s="569"/>
      <c r="BV569" s="569"/>
      <c r="BW569" s="569"/>
      <c r="BX569" s="569"/>
      <c r="BY569" s="569"/>
      <c r="BZ569" s="569"/>
      <c r="CA569" s="569"/>
      <c r="CB569" s="569"/>
      <c r="CC569" s="569"/>
      <c r="CD569" s="569"/>
      <c r="CE569" s="569"/>
      <c r="CF569" s="569"/>
      <c r="CG569" s="569"/>
      <c r="CH569" s="569"/>
      <c r="CI569" s="569"/>
      <c r="CJ569" s="569"/>
      <c r="CK569" s="569"/>
      <c r="CL569" s="569"/>
      <c r="CM569" s="569"/>
      <c r="CN569" s="569"/>
      <c r="CO569" s="569"/>
      <c r="CP569" s="569"/>
      <c r="CQ569" s="569"/>
      <c r="CR569" s="569"/>
      <c r="CS569" s="569"/>
      <c r="CT569" s="569"/>
      <c r="CU569" s="569"/>
      <c r="CV569" s="569"/>
      <c r="CW569" s="569"/>
      <c r="CX569" s="569"/>
      <c r="CY569" s="569"/>
      <c r="CZ569" s="569"/>
      <c r="DA569" s="569"/>
      <c r="DB569" s="569"/>
      <c r="DC569" s="569"/>
      <c r="DD569" s="569"/>
      <c r="DE569" s="569"/>
      <c r="DF569" s="569"/>
      <c r="DG569" s="569"/>
      <c r="DH569" s="569"/>
      <c r="DI569" s="569"/>
      <c r="DJ569" s="569"/>
      <c r="DK569" s="569"/>
      <c r="DL569" s="569"/>
      <c r="DM569" s="569"/>
      <c r="DN569" s="569"/>
      <c r="DO569" s="569"/>
      <c r="DP569" s="569"/>
      <c r="DQ569" s="569"/>
      <c r="DR569" s="569"/>
      <c r="DS569" s="569"/>
      <c r="DT569" s="569"/>
      <c r="DU569" s="569"/>
      <c r="DV569" s="569"/>
      <c r="DW569" s="569"/>
      <c r="DX569" s="569"/>
      <c r="DY569" s="569"/>
      <c r="DZ569" s="569"/>
      <c r="EA569" s="569"/>
      <c r="EB569" s="569"/>
      <c r="EC569" s="569"/>
      <c r="ED569" s="569"/>
      <c r="EE569" s="569"/>
      <c r="EF569" s="569"/>
      <c r="EG569" s="569"/>
      <c r="EH569" s="569"/>
      <c r="EI569" s="569"/>
      <c r="EJ569" s="569"/>
      <c r="EK569" s="569"/>
      <c r="EL569" s="569"/>
      <c r="EM569" s="569"/>
      <c r="EN569" s="569"/>
      <c r="EO569" s="569"/>
      <c r="EP569" s="569"/>
      <c r="EQ569" s="569"/>
      <c r="ER569" s="569"/>
      <c r="ES569" s="569"/>
      <c r="ET569" s="569"/>
      <c r="EU569" s="569"/>
      <c r="EV569" s="569"/>
      <c r="EW569" s="569"/>
      <c r="EX569" s="569"/>
      <c r="EY569" s="569"/>
      <c r="EZ569" s="569"/>
      <c r="FA569" s="569"/>
      <c r="FB569" s="569"/>
      <c r="FC569" s="569"/>
      <c r="FD569" s="569"/>
      <c r="FE569" s="569"/>
      <c r="FF569" s="569"/>
      <c r="FG569" s="569"/>
      <c r="FH569" s="569"/>
      <c r="FI569" s="569"/>
      <c r="FJ569" s="569"/>
      <c r="FK569" s="569"/>
      <c r="FL569" s="569"/>
      <c r="FM569" s="569"/>
      <c r="FN569" s="569"/>
      <c r="FO569" s="569"/>
      <c r="FP569" s="569"/>
      <c r="FQ569" s="569"/>
      <c r="FR569" s="569"/>
      <c r="FS569" s="569"/>
      <c r="FT569" s="569"/>
      <c r="FU569" s="569"/>
      <c r="FV569" s="569"/>
      <c r="FW569" s="569"/>
      <c r="FX569" s="569"/>
      <c r="FY569" s="569"/>
      <c r="FZ569" s="569"/>
      <c r="GA569" s="569"/>
      <c r="GB569" s="569"/>
      <c r="GC569" s="569"/>
      <c r="GD569" s="569"/>
      <c r="GE569" s="569"/>
      <c r="GF569" s="569"/>
      <c r="GG569" s="569"/>
      <c r="GH569" s="569"/>
      <c r="GI569" s="569"/>
      <c r="GJ569" s="569"/>
      <c r="GK569" s="569"/>
      <c r="GL569" s="569"/>
      <c r="GM569" s="569"/>
      <c r="GN569" s="569"/>
      <c r="GO569" s="569"/>
      <c r="GP569" s="569"/>
      <c r="GQ569" s="569"/>
      <c r="GR569" s="569"/>
      <c r="GS569" s="569"/>
      <c r="GT569" s="569"/>
      <c r="GU569" s="569"/>
      <c r="GV569" s="569"/>
      <c r="GW569" s="569"/>
      <c r="GX569" s="569"/>
      <c r="GY569" s="569"/>
      <c r="GZ569" s="569"/>
      <c r="HA569" s="569"/>
      <c r="HB569" s="569"/>
      <c r="HC569" s="569"/>
      <c r="HD569" s="569"/>
      <c r="HE569" s="569"/>
      <c r="HF569" s="569"/>
      <c r="HG569" s="569"/>
      <c r="HH569" s="569"/>
      <c r="HI569" s="569"/>
      <c r="HJ569" s="569"/>
      <c r="HK569" s="569"/>
      <c r="HL569" s="569"/>
      <c r="HM569" s="569"/>
      <c r="HN569" s="569"/>
      <c r="HO569" s="569"/>
      <c r="HP569" s="569"/>
      <c r="HQ569" s="569"/>
      <c r="HR569" s="569"/>
      <c r="HS569" s="569"/>
      <c r="HT569" s="569"/>
      <c r="HU569" s="569"/>
      <c r="HV569" s="569"/>
      <c r="HW569" s="569"/>
      <c r="HX569" s="569"/>
      <c r="HY569" s="569"/>
      <c r="HZ569" s="569"/>
      <c r="IA569" s="569"/>
      <c r="IB569" s="569"/>
      <c r="IC569" s="569"/>
      <c r="ID569" s="569"/>
      <c r="IE569" s="569"/>
      <c r="IF569" s="569"/>
      <c r="IG569" s="569"/>
      <c r="IH569" s="569"/>
      <c r="II569" s="569"/>
      <c r="IJ569" s="569"/>
      <c r="IK569" s="569"/>
      <c r="IL569" s="569"/>
      <c r="IM569" s="569"/>
      <c r="IN569" s="569"/>
      <c r="IO569" s="569"/>
      <c r="IP569" s="569"/>
      <c r="IQ569" s="569"/>
      <c r="IR569" s="569"/>
      <c r="IS569" s="569"/>
      <c r="IT569" s="569"/>
      <c r="IU569" s="569"/>
      <c r="IV569" s="569"/>
      <c r="IW569" s="569"/>
      <c r="IX569" s="569"/>
      <c r="IY569" s="569"/>
      <c r="IZ569" s="569"/>
      <c r="JA569" s="569"/>
      <c r="JB569" s="569"/>
      <c r="JC569" s="569"/>
      <c r="JD569" s="569"/>
      <c r="JE569" s="569"/>
      <c r="JF569" s="569"/>
      <c r="JG569" s="569"/>
      <c r="JH569" s="569"/>
      <c r="JI569" s="569"/>
      <c r="JJ569" s="569"/>
      <c r="JK569" s="569"/>
      <c r="JL569" s="569"/>
      <c r="JM569" s="569"/>
      <c r="JN569" s="569"/>
      <c r="JO569" s="569"/>
      <c r="JP569" s="569"/>
      <c r="JQ569" s="569"/>
      <c r="JR569" s="569"/>
      <c r="JS569" s="569"/>
      <c r="JT569" s="569"/>
      <c r="JU569" s="569"/>
      <c r="JV569" s="569"/>
      <c r="JW569" s="569"/>
      <c r="JX569" s="569"/>
      <c r="JY569" s="569"/>
      <c r="JZ569" s="569"/>
      <c r="KA569" s="569"/>
      <c r="KB569" s="569"/>
      <c r="KC569" s="569"/>
      <c r="KD569" s="569"/>
      <c r="KE569" s="569"/>
      <c r="KF569" s="569"/>
      <c r="KG569" s="569"/>
      <c r="KH569" s="569"/>
      <c r="KI569" s="569"/>
      <c r="KJ569" s="569"/>
      <c r="KK569" s="569"/>
      <c r="KL569" s="569"/>
      <c r="KM569" s="569"/>
      <c r="KN569" s="569"/>
      <c r="KO569" s="569"/>
      <c r="KP569" s="569"/>
      <c r="KQ569" s="569"/>
      <c r="KR569" s="569"/>
      <c r="KS569" s="569"/>
      <c r="KT569" s="569"/>
      <c r="KU569" s="569"/>
      <c r="KV569" s="569"/>
      <c r="KW569" s="569"/>
      <c r="KX569" s="569"/>
      <c r="KY569" s="569"/>
      <c r="KZ569" s="569"/>
      <c r="LA569" s="569"/>
      <c r="LB569" s="569"/>
      <c r="LC569" s="569"/>
      <c r="LD569" s="569"/>
      <c r="LE569" s="569"/>
      <c r="LF569" s="569"/>
      <c r="LG569" s="569"/>
      <c r="LH569" s="569"/>
      <c r="LI569" s="569"/>
      <c r="LJ569" s="569"/>
      <c r="LK569" s="569"/>
      <c r="LL569" s="569"/>
      <c r="LM569" s="569"/>
      <c r="LN569" s="569"/>
      <c r="LO569" s="569"/>
      <c r="LP569" s="569"/>
      <c r="LQ569" s="569"/>
      <c r="LR569" s="569"/>
      <c r="LS569" s="569"/>
      <c r="LT569" s="569"/>
      <c r="LU569" s="569"/>
      <c r="LV569" s="569"/>
      <c r="LW569" s="569"/>
      <c r="LX569" s="569"/>
      <c r="LY569" s="569"/>
      <c r="LZ569" s="569"/>
      <c r="MA569" s="569"/>
      <c r="MB569" s="569"/>
      <c r="MC569" s="569"/>
      <c r="MD569" s="569"/>
      <c r="ME569" s="569"/>
      <c r="MF569" s="569"/>
      <c r="MG569" s="569"/>
      <c r="MH569" s="569"/>
      <c r="MI569" s="569"/>
      <c r="MJ569" s="569"/>
      <c r="MK569" s="569"/>
      <c r="ML569" s="569"/>
      <c r="MM569" s="569"/>
      <c r="MN569" s="569"/>
      <c r="MO569" s="569"/>
      <c r="MP569" s="569"/>
      <c r="MQ569" s="569"/>
      <c r="MR569" s="569"/>
      <c r="MS569" s="569"/>
      <c r="MT569" s="569"/>
      <c r="MU569" s="569"/>
      <c r="MV569" s="569"/>
      <c r="MW569" s="569"/>
      <c r="MX569" s="569"/>
      <c r="MY569" s="569"/>
      <c r="MZ569" s="569"/>
      <c r="NA569" s="569"/>
      <c r="NB569" s="569"/>
      <c r="NC569" s="569"/>
      <c r="ND569" s="569"/>
      <c r="NE569" s="569"/>
      <c r="NF569" s="569"/>
      <c r="NG569" s="569"/>
      <c r="NH569" s="569"/>
      <c r="NI569" s="569"/>
      <c r="NJ569" s="569"/>
      <c r="NK569" s="569"/>
      <c r="NL569" s="569"/>
      <c r="NM569" s="569"/>
      <c r="NN569" s="569"/>
      <c r="NO569" s="569"/>
      <c r="NP569" s="569"/>
      <c r="NQ569" s="569"/>
      <c r="NR569" s="569"/>
      <c r="NS569" s="569"/>
      <c r="NT569" s="569"/>
      <c r="NU569" s="569"/>
      <c r="NV569" s="569"/>
      <c r="NW569" s="569"/>
      <c r="NX569" s="569"/>
      <c r="NY569" s="569"/>
      <c r="NZ569" s="569"/>
      <c r="OA569" s="569"/>
      <c r="OB569" s="569"/>
      <c r="OC569" s="569"/>
      <c r="OD569" s="569"/>
      <c r="OE569" s="569"/>
      <c r="OF569" s="569"/>
      <c r="OG569" s="569"/>
      <c r="OH569" s="569"/>
      <c r="OI569" s="569"/>
      <c r="OJ569" s="569"/>
      <c r="OK569" s="569"/>
      <c r="OL569" s="569"/>
      <c r="OM569" s="569"/>
      <c r="ON569" s="569"/>
      <c r="OO569" s="569"/>
      <c r="OP569" s="569"/>
      <c r="OQ569" s="569"/>
      <c r="OR569" s="569"/>
      <c r="OS569" s="569"/>
      <c r="OT569" s="569"/>
      <c r="OU569" s="569"/>
      <c r="OV569" s="569"/>
      <c r="OW569" s="569"/>
      <c r="OX569" s="569"/>
      <c r="OY569" s="569"/>
      <c r="OZ569" s="569"/>
      <c r="PA569" s="569"/>
      <c r="PB569" s="569"/>
      <c r="PC569" s="569"/>
      <c r="PD569" s="569"/>
      <c r="PE569" s="569"/>
      <c r="PF569" s="569"/>
      <c r="PG569" s="569"/>
      <c r="PH569" s="569"/>
      <c r="PI569" s="569"/>
      <c r="PJ569" s="569"/>
      <c r="PK569" s="569"/>
      <c r="PL569" s="569"/>
      <c r="PM569" s="569"/>
      <c r="PN569" s="569"/>
      <c r="PO569" s="569"/>
      <c r="PP569" s="569"/>
      <c r="PQ569" s="569"/>
      <c r="PR569" s="569"/>
      <c r="PS569" s="569"/>
      <c r="PT569" s="569"/>
      <c r="PU569" s="569"/>
      <c r="PV569" s="569"/>
      <c r="PW569" s="569"/>
      <c r="PX569" s="569"/>
      <c r="PY569" s="569"/>
      <c r="PZ569" s="569"/>
      <c r="QA569" s="569"/>
      <c r="QB569" s="569"/>
      <c r="QC569" s="569"/>
      <c r="QD569" s="569"/>
      <c r="QE569" s="569"/>
      <c r="QF569" s="569"/>
      <c r="QG569" s="569"/>
      <c r="QH569" s="569"/>
      <c r="QI569" s="569"/>
      <c r="QJ569" s="569"/>
      <c r="QK569" s="569"/>
      <c r="QL569" s="569"/>
    </row>
    <row r="570" spans="1:454" s="574" customFormat="1" ht="45">
      <c r="A570" s="569"/>
      <c r="B570" s="575">
        <v>22</v>
      </c>
      <c r="C570" s="576" t="str">
        <f>'matrik MISI 2'!B43</f>
        <v>PEMBERDAYAAN MASYARAKAT DAN DESA</v>
      </c>
      <c r="D570" s="577">
        <f>'matrik MISI 2'!J44</f>
        <v>1.22</v>
      </c>
      <c r="E570" s="577" t="str">
        <f>'matrik MISI 2'!K44</f>
        <v>xx</v>
      </c>
      <c r="F570" s="577">
        <f>'matrik MISI 2'!L44</f>
        <v>22</v>
      </c>
      <c r="G570" s="577" t="str">
        <f>'matrik MISI 2'!M44</f>
        <v>Program Peningkatan Ketahanan Masyarakat Desa</v>
      </c>
      <c r="H570" s="577"/>
      <c r="I570" s="577"/>
      <c r="J570" s="577"/>
      <c r="K570" s="577"/>
      <c r="L570" s="577"/>
      <c r="M570" s="578">
        <f>'jangan di hapus 1'!K1169</f>
        <v>194000000</v>
      </c>
      <c r="N570" s="578"/>
      <c r="O570" s="578">
        <f>'jangan di hapus 1'!M1169</f>
        <v>194000000</v>
      </c>
      <c r="P570" s="578"/>
      <c r="Q570" s="578">
        <f>'jangan di hapus 1'!O1169</f>
        <v>194000000</v>
      </c>
      <c r="R570" s="578"/>
      <c r="S570" s="578">
        <f>'jangan di hapus 1'!Q1169</f>
        <v>194000000</v>
      </c>
      <c r="T570" s="578"/>
      <c r="U570" s="578">
        <f>'jangan di hapus 1'!S1169</f>
        <v>194000000</v>
      </c>
      <c r="V570" s="578"/>
      <c r="W570" s="578">
        <f>SUM(M570:U570)</f>
        <v>970000000</v>
      </c>
      <c r="X570" s="577"/>
      <c r="Y570" s="577"/>
      <c r="Z570" s="577"/>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T570" s="569"/>
      <c r="BU570" s="569"/>
      <c r="BV570" s="569"/>
      <c r="BW570" s="569"/>
      <c r="BX570" s="569"/>
      <c r="BY570" s="569"/>
      <c r="BZ570" s="569"/>
      <c r="CA570" s="569"/>
      <c r="CB570" s="569"/>
      <c r="CC570" s="569"/>
      <c r="CD570" s="569"/>
      <c r="CE570" s="569"/>
      <c r="CF570" s="569"/>
      <c r="CG570" s="569"/>
      <c r="CH570" s="569"/>
      <c r="CI570" s="569"/>
      <c r="CJ570" s="569"/>
      <c r="CK570" s="569"/>
      <c r="CL570" s="569"/>
      <c r="CM570" s="569"/>
      <c r="CN570" s="569"/>
      <c r="CO570" s="569"/>
      <c r="CP570" s="569"/>
      <c r="CQ570" s="569"/>
      <c r="CR570" s="569"/>
      <c r="CS570" s="569"/>
      <c r="CT570" s="569"/>
      <c r="CU570" s="569"/>
      <c r="CV570" s="569"/>
      <c r="CW570" s="569"/>
      <c r="CX570" s="569"/>
      <c r="CY570" s="569"/>
      <c r="CZ570" s="569"/>
      <c r="DA570" s="569"/>
      <c r="DB570" s="569"/>
      <c r="DC570" s="569"/>
      <c r="DD570" s="569"/>
      <c r="DE570" s="569"/>
      <c r="DF570" s="569"/>
      <c r="DG570" s="569"/>
      <c r="DH570" s="569"/>
      <c r="DI570" s="569"/>
      <c r="DJ570" s="569"/>
      <c r="DK570" s="569"/>
      <c r="DL570" s="569"/>
      <c r="DM570" s="569"/>
      <c r="DN570" s="569"/>
      <c r="DO570" s="569"/>
      <c r="DP570" s="569"/>
      <c r="DQ570" s="569"/>
      <c r="DR570" s="569"/>
      <c r="DS570" s="569"/>
      <c r="DT570" s="569"/>
      <c r="DU570" s="569"/>
      <c r="DV570" s="569"/>
      <c r="DW570" s="569"/>
      <c r="DX570" s="569"/>
      <c r="DY570" s="569"/>
      <c r="DZ570" s="569"/>
      <c r="EA570" s="569"/>
      <c r="EB570" s="569"/>
      <c r="EC570" s="569"/>
      <c r="ED570" s="569"/>
      <c r="EE570" s="569"/>
      <c r="EF570" s="569"/>
      <c r="EG570" s="569"/>
      <c r="EH570" s="569"/>
      <c r="EI570" s="569"/>
      <c r="EJ570" s="569"/>
      <c r="EK570" s="569"/>
      <c r="EL570" s="569"/>
      <c r="EM570" s="569"/>
      <c r="EN570" s="569"/>
      <c r="EO570" s="569"/>
      <c r="EP570" s="569"/>
      <c r="EQ570" s="569"/>
      <c r="ER570" s="569"/>
      <c r="ES570" s="569"/>
      <c r="ET570" s="569"/>
      <c r="EU570" s="569"/>
      <c r="EV570" s="569"/>
      <c r="EW570" s="569"/>
      <c r="EX570" s="569"/>
      <c r="EY570" s="569"/>
      <c r="EZ570" s="569"/>
      <c r="FA570" s="569"/>
      <c r="FB570" s="569"/>
      <c r="FC570" s="569"/>
      <c r="FD570" s="569"/>
      <c r="FE570" s="569"/>
      <c r="FF570" s="569"/>
      <c r="FG570" s="569"/>
      <c r="FH570" s="569"/>
      <c r="FI570" s="569"/>
      <c r="FJ570" s="569"/>
      <c r="FK570" s="569"/>
      <c r="FL570" s="569"/>
      <c r="FM570" s="569"/>
      <c r="FN570" s="569"/>
      <c r="FO570" s="569"/>
      <c r="FP570" s="569"/>
      <c r="FQ570" s="569"/>
      <c r="FR570" s="569"/>
      <c r="FS570" s="569"/>
      <c r="FT570" s="569"/>
      <c r="FU570" s="569"/>
      <c r="FV570" s="569"/>
      <c r="FW570" s="569"/>
      <c r="FX570" s="569"/>
      <c r="FY570" s="569"/>
      <c r="FZ570" s="569"/>
      <c r="GA570" s="569"/>
      <c r="GB570" s="569"/>
      <c r="GC570" s="569"/>
      <c r="GD570" s="569"/>
      <c r="GE570" s="569"/>
      <c r="GF570" s="569"/>
      <c r="GG570" s="569"/>
      <c r="GH570" s="569"/>
      <c r="GI570" s="569"/>
      <c r="GJ570" s="569"/>
      <c r="GK570" s="569"/>
      <c r="GL570" s="569"/>
      <c r="GM570" s="569"/>
      <c r="GN570" s="569"/>
      <c r="GO570" s="569"/>
      <c r="GP570" s="569"/>
      <c r="GQ570" s="569"/>
      <c r="GR570" s="569"/>
      <c r="GS570" s="569"/>
      <c r="GT570" s="569"/>
      <c r="GU570" s="569"/>
      <c r="GV570" s="569"/>
      <c r="GW570" s="569"/>
      <c r="GX570" s="569"/>
      <c r="GY570" s="569"/>
      <c r="GZ570" s="569"/>
      <c r="HA570" s="569"/>
      <c r="HB570" s="569"/>
      <c r="HC570" s="569"/>
      <c r="HD570" s="569"/>
      <c r="HE570" s="569"/>
      <c r="HF570" s="569"/>
      <c r="HG570" s="569"/>
      <c r="HH570" s="569"/>
      <c r="HI570" s="569"/>
      <c r="HJ570" s="569"/>
      <c r="HK570" s="569"/>
      <c r="HL570" s="569"/>
      <c r="HM570" s="569"/>
      <c r="HN570" s="569"/>
      <c r="HO570" s="569"/>
      <c r="HP570" s="569"/>
      <c r="HQ570" s="569"/>
      <c r="HR570" s="569"/>
      <c r="HS570" s="569"/>
      <c r="HT570" s="569"/>
      <c r="HU570" s="569"/>
      <c r="HV570" s="569"/>
      <c r="HW570" s="569"/>
      <c r="HX570" s="569"/>
      <c r="HY570" s="569"/>
      <c r="HZ570" s="569"/>
      <c r="IA570" s="569"/>
      <c r="IB570" s="569"/>
      <c r="IC570" s="569"/>
      <c r="ID570" s="569"/>
      <c r="IE570" s="569"/>
      <c r="IF570" s="569"/>
      <c r="IG570" s="569"/>
      <c r="IH570" s="569"/>
      <c r="II570" s="569"/>
      <c r="IJ570" s="569"/>
      <c r="IK570" s="569"/>
      <c r="IL570" s="569"/>
      <c r="IM570" s="569"/>
      <c r="IN570" s="569"/>
      <c r="IO570" s="569"/>
      <c r="IP570" s="569"/>
      <c r="IQ570" s="569"/>
      <c r="IR570" s="569"/>
      <c r="IS570" s="569"/>
      <c r="IT570" s="569"/>
      <c r="IU570" s="569"/>
      <c r="IV570" s="569"/>
      <c r="IW570" s="569"/>
      <c r="IX570" s="569"/>
      <c r="IY570" s="569"/>
      <c r="IZ570" s="569"/>
      <c r="JA570" s="569"/>
      <c r="JB570" s="569"/>
      <c r="JC570" s="569"/>
      <c r="JD570" s="569"/>
      <c r="JE570" s="569"/>
      <c r="JF570" s="569"/>
      <c r="JG570" s="569"/>
      <c r="JH570" s="569"/>
      <c r="JI570" s="569"/>
      <c r="JJ570" s="569"/>
      <c r="JK570" s="569"/>
      <c r="JL570" s="569"/>
      <c r="JM570" s="569"/>
      <c r="JN570" s="569"/>
      <c r="JO570" s="569"/>
      <c r="JP570" s="569"/>
      <c r="JQ570" s="569"/>
      <c r="JR570" s="569"/>
      <c r="JS570" s="569"/>
      <c r="JT570" s="569"/>
      <c r="JU570" s="569"/>
      <c r="JV570" s="569"/>
      <c r="JW570" s="569"/>
      <c r="JX570" s="569"/>
      <c r="JY570" s="569"/>
      <c r="JZ570" s="569"/>
      <c r="KA570" s="569"/>
      <c r="KB570" s="569"/>
      <c r="KC570" s="569"/>
      <c r="KD570" s="569"/>
      <c r="KE570" s="569"/>
      <c r="KF570" s="569"/>
      <c r="KG570" s="569"/>
      <c r="KH570" s="569"/>
      <c r="KI570" s="569"/>
      <c r="KJ570" s="569"/>
      <c r="KK570" s="569"/>
      <c r="KL570" s="569"/>
      <c r="KM570" s="569"/>
      <c r="KN570" s="569"/>
      <c r="KO570" s="569"/>
      <c r="KP570" s="569"/>
      <c r="KQ570" s="569"/>
      <c r="KR570" s="569"/>
      <c r="KS570" s="569"/>
      <c r="KT570" s="569"/>
      <c r="KU570" s="569"/>
      <c r="KV570" s="569"/>
      <c r="KW570" s="569"/>
      <c r="KX570" s="569"/>
      <c r="KY570" s="569"/>
      <c r="KZ570" s="569"/>
      <c r="LA570" s="569"/>
      <c r="LB570" s="569"/>
      <c r="LC570" s="569"/>
      <c r="LD570" s="569"/>
      <c r="LE570" s="569"/>
      <c r="LF570" s="569"/>
      <c r="LG570" s="569"/>
      <c r="LH570" s="569"/>
      <c r="LI570" s="569"/>
      <c r="LJ570" s="569"/>
      <c r="LK570" s="569"/>
      <c r="LL570" s="569"/>
      <c r="LM570" s="569"/>
      <c r="LN570" s="569"/>
      <c r="LO570" s="569"/>
      <c r="LP570" s="569"/>
      <c r="LQ570" s="569"/>
      <c r="LR570" s="569"/>
      <c r="LS570" s="569"/>
      <c r="LT570" s="569"/>
      <c r="LU570" s="569"/>
      <c r="LV570" s="569"/>
      <c r="LW570" s="569"/>
      <c r="LX570" s="569"/>
      <c r="LY570" s="569"/>
      <c r="LZ570" s="569"/>
      <c r="MA570" s="569"/>
      <c r="MB570" s="569"/>
      <c r="MC570" s="569"/>
      <c r="MD570" s="569"/>
      <c r="ME570" s="569"/>
      <c r="MF570" s="569"/>
      <c r="MG570" s="569"/>
      <c r="MH570" s="569"/>
      <c r="MI570" s="569"/>
      <c r="MJ570" s="569"/>
      <c r="MK570" s="569"/>
      <c r="ML570" s="569"/>
      <c r="MM570" s="569"/>
      <c r="MN570" s="569"/>
      <c r="MO570" s="569"/>
      <c r="MP570" s="569"/>
      <c r="MQ570" s="569"/>
      <c r="MR570" s="569"/>
      <c r="MS570" s="569"/>
      <c r="MT570" s="569"/>
      <c r="MU570" s="569"/>
      <c r="MV570" s="569"/>
      <c r="MW570" s="569"/>
      <c r="MX570" s="569"/>
      <c r="MY570" s="569"/>
      <c r="MZ570" s="569"/>
      <c r="NA570" s="569"/>
      <c r="NB570" s="569"/>
      <c r="NC570" s="569"/>
      <c r="ND570" s="569"/>
      <c r="NE570" s="569"/>
      <c r="NF570" s="569"/>
      <c r="NG570" s="569"/>
      <c r="NH570" s="569"/>
      <c r="NI570" s="569"/>
      <c r="NJ570" s="569"/>
      <c r="NK570" s="569"/>
      <c r="NL570" s="569"/>
      <c r="NM570" s="569"/>
      <c r="NN570" s="569"/>
      <c r="NO570" s="569"/>
      <c r="NP570" s="569"/>
      <c r="NQ570" s="569"/>
      <c r="NR570" s="569"/>
      <c r="NS570" s="569"/>
      <c r="NT570" s="569"/>
      <c r="NU570" s="569"/>
      <c r="NV570" s="569"/>
      <c r="NW570" s="569"/>
      <c r="NX570" s="569"/>
      <c r="NY570" s="569"/>
      <c r="NZ570" s="569"/>
      <c r="OA570" s="569"/>
      <c r="OB570" s="569"/>
      <c r="OC570" s="569"/>
      <c r="OD570" s="569"/>
      <c r="OE570" s="569"/>
      <c r="OF570" s="569"/>
      <c r="OG570" s="569"/>
      <c r="OH570" s="569"/>
      <c r="OI570" s="569"/>
      <c r="OJ570" s="569"/>
      <c r="OK570" s="569"/>
      <c r="OL570" s="569"/>
      <c r="OM570" s="569"/>
      <c r="ON570" s="569"/>
      <c r="OO570" s="569"/>
      <c r="OP570" s="569"/>
      <c r="OQ570" s="569"/>
      <c r="OR570" s="569"/>
      <c r="OS570" s="569"/>
      <c r="OT570" s="569"/>
      <c r="OU570" s="569"/>
      <c r="OV570" s="569"/>
      <c r="OW570" s="569"/>
      <c r="OX570" s="569"/>
      <c r="OY570" s="569"/>
      <c r="OZ570" s="569"/>
      <c r="PA570" s="569"/>
      <c r="PB570" s="569"/>
      <c r="PC570" s="569"/>
      <c r="PD570" s="569"/>
      <c r="PE570" s="569"/>
      <c r="PF570" s="569"/>
      <c r="PG570" s="569"/>
      <c r="PH570" s="569"/>
      <c r="PI570" s="569"/>
      <c r="PJ570" s="569"/>
      <c r="PK570" s="569"/>
      <c r="PL570" s="569"/>
      <c r="PM570" s="569"/>
      <c r="PN570" s="569"/>
      <c r="PO570" s="569"/>
      <c r="PP570" s="569"/>
      <c r="PQ570" s="569"/>
      <c r="PR570" s="569"/>
      <c r="PS570" s="569"/>
      <c r="PT570" s="569"/>
      <c r="PU570" s="569"/>
      <c r="PV570" s="569"/>
      <c r="PW570" s="569"/>
      <c r="PX570" s="569"/>
      <c r="PY570" s="569"/>
      <c r="PZ570" s="569"/>
      <c r="QA570" s="569"/>
      <c r="QB570" s="569"/>
      <c r="QC570" s="569"/>
      <c r="QD570" s="569"/>
      <c r="QE570" s="569"/>
      <c r="QF570" s="569"/>
      <c r="QG570" s="569"/>
      <c r="QH570" s="569"/>
      <c r="QI570" s="569"/>
      <c r="QJ570" s="569"/>
      <c r="QK570" s="569"/>
      <c r="QL570" s="569"/>
    </row>
    <row r="571" spans="1:454" ht="30">
      <c r="B571" s="568"/>
      <c r="C571" s="568"/>
      <c r="D571" s="568"/>
      <c r="E571" s="568"/>
      <c r="F571" s="568"/>
      <c r="G571" s="568"/>
      <c r="H571" s="563" t="str">
        <f>'matrik MISI 2'!N44</f>
        <v xml:space="preserve">Cakupan peningkatan klasifikasi tipe desa </v>
      </c>
      <c r="I571" s="563" t="str">
        <f>'matrik MISI 2'!O44</f>
        <v>%</v>
      </c>
      <c r="J571" s="563" t="str">
        <f>'matrik MISI 2'!P44</f>
        <v>n.a</v>
      </c>
      <c r="K571" s="563" t="str">
        <f>'matrik MISI 2'!Q44</f>
        <v>n.a</v>
      </c>
      <c r="L571" s="563">
        <f>'matrik MISI 2'!R44</f>
        <v>10</v>
      </c>
      <c r="M571" s="604"/>
      <c r="N571" s="563">
        <f>'matrik MISI 2'!S44</f>
        <v>15</v>
      </c>
      <c r="O571" s="564"/>
      <c r="P571" s="563">
        <f>'matrik MISI 2'!T44</f>
        <v>20</v>
      </c>
      <c r="Q571" s="564"/>
      <c r="R571" s="563">
        <f>'matrik MISI 2'!U44</f>
        <v>25</v>
      </c>
      <c r="S571" s="564"/>
      <c r="T571" s="563">
        <f>'matrik MISI 2'!V44</f>
        <v>30</v>
      </c>
      <c r="U571" s="564"/>
      <c r="V571" s="563">
        <f>'matrik MISI 2'!W44</f>
        <v>30</v>
      </c>
      <c r="W571" s="564"/>
      <c r="X571" s="563" t="str">
        <f>'matrik MISI 2'!X44</f>
        <v>BAPERMADES</v>
      </c>
      <c r="Y571" s="563" t="str">
        <f>'matrik MISI 2'!Y44</f>
        <v>Jumlah peningkatan klasifikasi desa dibagi Jumlah Desa x 100</v>
      </c>
      <c r="Z571" s="563">
        <f>'matrik MISI 2'!Z44</f>
        <v>0</v>
      </c>
    </row>
    <row r="572" spans="1:454" s="574" customFormat="1" ht="60">
      <c r="A572" s="569"/>
      <c r="B572" s="575"/>
      <c r="C572" s="576"/>
      <c r="D572" s="577">
        <f>'matrik MISI 2'!J45</f>
        <v>1.22</v>
      </c>
      <c r="E572" s="577" t="str">
        <f>'matrik MISI 2'!K45</f>
        <v>xx</v>
      </c>
      <c r="F572" s="577">
        <f>'matrik MISI 2'!L45</f>
        <v>17</v>
      </c>
      <c r="G572" s="577" t="str">
        <f>'matrik MISI 2'!M45</f>
        <v>Program Peningkatan Partisipasi Masyarakat dalam Membangun Desa/Kelurahan</v>
      </c>
      <c r="H572" s="577"/>
      <c r="I572" s="577"/>
      <c r="J572" s="577"/>
      <c r="K572" s="577"/>
      <c r="L572" s="577"/>
      <c r="M572" s="578">
        <f>'jangan di hapus 1'!K1156</f>
        <v>9587000000</v>
      </c>
      <c r="N572" s="578"/>
      <c r="O572" s="578">
        <f>'jangan di hapus 1'!M1156</f>
        <v>9567500000</v>
      </c>
      <c r="P572" s="578"/>
      <c r="Q572" s="578">
        <f>'jangan di hapus 1'!O1156</f>
        <v>9567500000</v>
      </c>
      <c r="R572" s="578"/>
      <c r="S572" s="578">
        <f>'jangan di hapus 1'!Q1156</f>
        <v>9567500000</v>
      </c>
      <c r="T572" s="578"/>
      <c r="U572" s="578">
        <f>'jangan di hapus 1'!S1156</f>
        <v>9567500000</v>
      </c>
      <c r="V572" s="577"/>
      <c r="W572" s="578">
        <f>SUM(M572:U572)</f>
        <v>47857000000</v>
      </c>
      <c r="X572" s="577"/>
      <c r="Y572" s="577"/>
      <c r="Z572" s="577"/>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T572" s="569"/>
      <c r="BU572" s="569"/>
      <c r="BV572" s="569"/>
      <c r="BW572" s="569"/>
      <c r="BX572" s="569"/>
      <c r="BY572" s="569"/>
      <c r="BZ572" s="569"/>
      <c r="CA572" s="569"/>
      <c r="CB572" s="569"/>
      <c r="CC572" s="569"/>
      <c r="CD572" s="569"/>
      <c r="CE572" s="569"/>
      <c r="CF572" s="569"/>
      <c r="CG572" s="569"/>
      <c r="CH572" s="569"/>
      <c r="CI572" s="569"/>
      <c r="CJ572" s="569"/>
      <c r="CK572" s="569"/>
      <c r="CL572" s="569"/>
      <c r="CM572" s="569"/>
      <c r="CN572" s="569"/>
      <c r="CO572" s="569"/>
      <c r="CP572" s="569"/>
      <c r="CQ572" s="569"/>
      <c r="CR572" s="569"/>
      <c r="CS572" s="569"/>
      <c r="CT572" s="569"/>
      <c r="CU572" s="569"/>
      <c r="CV572" s="569"/>
      <c r="CW572" s="569"/>
      <c r="CX572" s="569"/>
      <c r="CY572" s="569"/>
      <c r="CZ572" s="569"/>
      <c r="DA572" s="569"/>
      <c r="DB572" s="569"/>
      <c r="DC572" s="569"/>
      <c r="DD572" s="569"/>
      <c r="DE572" s="569"/>
      <c r="DF572" s="569"/>
      <c r="DG572" s="569"/>
      <c r="DH572" s="569"/>
      <c r="DI572" s="569"/>
      <c r="DJ572" s="569"/>
      <c r="DK572" s="569"/>
      <c r="DL572" s="569"/>
      <c r="DM572" s="569"/>
      <c r="DN572" s="569"/>
      <c r="DO572" s="569"/>
      <c r="DP572" s="569"/>
      <c r="DQ572" s="569"/>
      <c r="DR572" s="569"/>
      <c r="DS572" s="569"/>
      <c r="DT572" s="569"/>
      <c r="DU572" s="569"/>
      <c r="DV572" s="569"/>
      <c r="DW572" s="569"/>
      <c r="DX572" s="569"/>
      <c r="DY572" s="569"/>
      <c r="DZ572" s="569"/>
      <c r="EA572" s="569"/>
      <c r="EB572" s="569"/>
      <c r="EC572" s="569"/>
      <c r="ED572" s="569"/>
      <c r="EE572" s="569"/>
      <c r="EF572" s="569"/>
      <c r="EG572" s="569"/>
      <c r="EH572" s="569"/>
      <c r="EI572" s="569"/>
      <c r="EJ572" s="569"/>
      <c r="EK572" s="569"/>
      <c r="EL572" s="569"/>
      <c r="EM572" s="569"/>
      <c r="EN572" s="569"/>
      <c r="EO572" s="569"/>
      <c r="EP572" s="569"/>
      <c r="EQ572" s="569"/>
      <c r="ER572" s="569"/>
      <c r="ES572" s="569"/>
      <c r="ET572" s="569"/>
      <c r="EU572" s="569"/>
      <c r="EV572" s="569"/>
      <c r="EW572" s="569"/>
      <c r="EX572" s="569"/>
      <c r="EY572" s="569"/>
      <c r="EZ572" s="569"/>
      <c r="FA572" s="569"/>
      <c r="FB572" s="569"/>
      <c r="FC572" s="569"/>
      <c r="FD572" s="569"/>
      <c r="FE572" s="569"/>
      <c r="FF572" s="569"/>
      <c r="FG572" s="569"/>
      <c r="FH572" s="569"/>
      <c r="FI572" s="569"/>
      <c r="FJ572" s="569"/>
      <c r="FK572" s="569"/>
      <c r="FL572" s="569"/>
      <c r="FM572" s="569"/>
      <c r="FN572" s="569"/>
      <c r="FO572" s="569"/>
      <c r="FP572" s="569"/>
      <c r="FQ572" s="569"/>
      <c r="FR572" s="569"/>
      <c r="FS572" s="569"/>
      <c r="FT572" s="569"/>
      <c r="FU572" s="569"/>
      <c r="FV572" s="569"/>
      <c r="FW572" s="569"/>
      <c r="FX572" s="569"/>
      <c r="FY572" s="569"/>
      <c r="FZ572" s="569"/>
      <c r="GA572" s="569"/>
      <c r="GB572" s="569"/>
      <c r="GC572" s="569"/>
      <c r="GD572" s="569"/>
      <c r="GE572" s="569"/>
      <c r="GF572" s="569"/>
      <c r="GG572" s="569"/>
      <c r="GH572" s="569"/>
      <c r="GI572" s="569"/>
      <c r="GJ572" s="569"/>
      <c r="GK572" s="569"/>
      <c r="GL572" s="569"/>
      <c r="GM572" s="569"/>
      <c r="GN572" s="569"/>
      <c r="GO572" s="569"/>
      <c r="GP572" s="569"/>
      <c r="GQ572" s="569"/>
      <c r="GR572" s="569"/>
      <c r="GS572" s="569"/>
      <c r="GT572" s="569"/>
      <c r="GU572" s="569"/>
      <c r="GV572" s="569"/>
      <c r="GW572" s="569"/>
      <c r="GX572" s="569"/>
      <c r="GY572" s="569"/>
      <c r="GZ572" s="569"/>
      <c r="HA572" s="569"/>
      <c r="HB572" s="569"/>
      <c r="HC572" s="569"/>
      <c r="HD572" s="569"/>
      <c r="HE572" s="569"/>
      <c r="HF572" s="569"/>
      <c r="HG572" s="569"/>
      <c r="HH572" s="569"/>
      <c r="HI572" s="569"/>
      <c r="HJ572" s="569"/>
      <c r="HK572" s="569"/>
      <c r="HL572" s="569"/>
      <c r="HM572" s="569"/>
      <c r="HN572" s="569"/>
      <c r="HO572" s="569"/>
      <c r="HP572" s="569"/>
      <c r="HQ572" s="569"/>
      <c r="HR572" s="569"/>
      <c r="HS572" s="569"/>
      <c r="HT572" s="569"/>
      <c r="HU572" s="569"/>
      <c r="HV572" s="569"/>
      <c r="HW572" s="569"/>
      <c r="HX572" s="569"/>
      <c r="HY572" s="569"/>
      <c r="HZ572" s="569"/>
      <c r="IA572" s="569"/>
      <c r="IB572" s="569"/>
      <c r="IC572" s="569"/>
      <c r="ID572" s="569"/>
      <c r="IE572" s="569"/>
      <c r="IF572" s="569"/>
      <c r="IG572" s="569"/>
      <c r="IH572" s="569"/>
      <c r="II572" s="569"/>
      <c r="IJ572" s="569"/>
      <c r="IK572" s="569"/>
      <c r="IL572" s="569"/>
      <c r="IM572" s="569"/>
      <c r="IN572" s="569"/>
      <c r="IO572" s="569"/>
      <c r="IP572" s="569"/>
      <c r="IQ572" s="569"/>
      <c r="IR572" s="569"/>
      <c r="IS572" s="569"/>
      <c r="IT572" s="569"/>
      <c r="IU572" s="569"/>
      <c r="IV572" s="569"/>
      <c r="IW572" s="569"/>
      <c r="IX572" s="569"/>
      <c r="IY572" s="569"/>
      <c r="IZ572" s="569"/>
      <c r="JA572" s="569"/>
      <c r="JB572" s="569"/>
      <c r="JC572" s="569"/>
      <c r="JD572" s="569"/>
      <c r="JE572" s="569"/>
      <c r="JF572" s="569"/>
      <c r="JG572" s="569"/>
      <c r="JH572" s="569"/>
      <c r="JI572" s="569"/>
      <c r="JJ572" s="569"/>
      <c r="JK572" s="569"/>
      <c r="JL572" s="569"/>
      <c r="JM572" s="569"/>
      <c r="JN572" s="569"/>
      <c r="JO572" s="569"/>
      <c r="JP572" s="569"/>
      <c r="JQ572" s="569"/>
      <c r="JR572" s="569"/>
      <c r="JS572" s="569"/>
      <c r="JT572" s="569"/>
      <c r="JU572" s="569"/>
      <c r="JV572" s="569"/>
      <c r="JW572" s="569"/>
      <c r="JX572" s="569"/>
      <c r="JY572" s="569"/>
      <c r="JZ572" s="569"/>
      <c r="KA572" s="569"/>
      <c r="KB572" s="569"/>
      <c r="KC572" s="569"/>
      <c r="KD572" s="569"/>
      <c r="KE572" s="569"/>
      <c r="KF572" s="569"/>
      <c r="KG572" s="569"/>
      <c r="KH572" s="569"/>
      <c r="KI572" s="569"/>
      <c r="KJ572" s="569"/>
      <c r="KK572" s="569"/>
      <c r="KL572" s="569"/>
      <c r="KM572" s="569"/>
      <c r="KN572" s="569"/>
      <c r="KO572" s="569"/>
      <c r="KP572" s="569"/>
      <c r="KQ572" s="569"/>
      <c r="KR572" s="569"/>
      <c r="KS572" s="569"/>
      <c r="KT572" s="569"/>
      <c r="KU572" s="569"/>
      <c r="KV572" s="569"/>
      <c r="KW572" s="569"/>
      <c r="KX572" s="569"/>
      <c r="KY572" s="569"/>
      <c r="KZ572" s="569"/>
      <c r="LA572" s="569"/>
      <c r="LB572" s="569"/>
      <c r="LC572" s="569"/>
      <c r="LD572" s="569"/>
      <c r="LE572" s="569"/>
      <c r="LF572" s="569"/>
      <c r="LG572" s="569"/>
      <c r="LH572" s="569"/>
      <c r="LI572" s="569"/>
      <c r="LJ572" s="569"/>
      <c r="LK572" s="569"/>
      <c r="LL572" s="569"/>
      <c r="LM572" s="569"/>
      <c r="LN572" s="569"/>
      <c r="LO572" s="569"/>
      <c r="LP572" s="569"/>
      <c r="LQ572" s="569"/>
      <c r="LR572" s="569"/>
      <c r="LS572" s="569"/>
      <c r="LT572" s="569"/>
      <c r="LU572" s="569"/>
      <c r="LV572" s="569"/>
      <c r="LW572" s="569"/>
      <c r="LX572" s="569"/>
      <c r="LY572" s="569"/>
      <c r="LZ572" s="569"/>
      <c r="MA572" s="569"/>
      <c r="MB572" s="569"/>
      <c r="MC572" s="569"/>
      <c r="MD572" s="569"/>
      <c r="ME572" s="569"/>
      <c r="MF572" s="569"/>
      <c r="MG572" s="569"/>
      <c r="MH572" s="569"/>
      <c r="MI572" s="569"/>
      <c r="MJ572" s="569"/>
      <c r="MK572" s="569"/>
      <c r="ML572" s="569"/>
      <c r="MM572" s="569"/>
      <c r="MN572" s="569"/>
      <c r="MO572" s="569"/>
      <c r="MP572" s="569"/>
      <c r="MQ572" s="569"/>
      <c r="MR572" s="569"/>
      <c r="MS572" s="569"/>
      <c r="MT572" s="569"/>
      <c r="MU572" s="569"/>
      <c r="MV572" s="569"/>
      <c r="MW572" s="569"/>
      <c r="MX572" s="569"/>
      <c r="MY572" s="569"/>
      <c r="MZ572" s="569"/>
      <c r="NA572" s="569"/>
      <c r="NB572" s="569"/>
      <c r="NC572" s="569"/>
      <c r="ND572" s="569"/>
      <c r="NE572" s="569"/>
      <c r="NF572" s="569"/>
      <c r="NG572" s="569"/>
      <c r="NH572" s="569"/>
      <c r="NI572" s="569"/>
      <c r="NJ572" s="569"/>
      <c r="NK572" s="569"/>
      <c r="NL572" s="569"/>
      <c r="NM572" s="569"/>
      <c r="NN572" s="569"/>
      <c r="NO572" s="569"/>
      <c r="NP572" s="569"/>
      <c r="NQ572" s="569"/>
      <c r="NR572" s="569"/>
      <c r="NS572" s="569"/>
      <c r="NT572" s="569"/>
      <c r="NU572" s="569"/>
      <c r="NV572" s="569"/>
      <c r="NW572" s="569"/>
      <c r="NX572" s="569"/>
      <c r="NY572" s="569"/>
      <c r="NZ572" s="569"/>
      <c r="OA572" s="569"/>
      <c r="OB572" s="569"/>
      <c r="OC572" s="569"/>
      <c r="OD572" s="569"/>
      <c r="OE572" s="569"/>
      <c r="OF572" s="569"/>
      <c r="OG572" s="569"/>
      <c r="OH572" s="569"/>
      <c r="OI572" s="569"/>
      <c r="OJ572" s="569"/>
      <c r="OK572" s="569"/>
      <c r="OL572" s="569"/>
      <c r="OM572" s="569"/>
      <c r="ON572" s="569"/>
      <c r="OO572" s="569"/>
      <c r="OP572" s="569"/>
      <c r="OQ572" s="569"/>
      <c r="OR572" s="569"/>
      <c r="OS572" s="569"/>
      <c r="OT572" s="569"/>
      <c r="OU572" s="569"/>
      <c r="OV572" s="569"/>
      <c r="OW572" s="569"/>
      <c r="OX572" s="569"/>
      <c r="OY572" s="569"/>
      <c r="OZ572" s="569"/>
      <c r="PA572" s="569"/>
      <c r="PB572" s="569"/>
      <c r="PC572" s="569"/>
      <c r="PD572" s="569"/>
      <c r="PE572" s="569"/>
      <c r="PF572" s="569"/>
      <c r="PG572" s="569"/>
      <c r="PH572" s="569"/>
      <c r="PI572" s="569"/>
      <c r="PJ572" s="569"/>
      <c r="PK572" s="569"/>
      <c r="PL572" s="569"/>
      <c r="PM572" s="569"/>
      <c r="PN572" s="569"/>
      <c r="PO572" s="569"/>
      <c r="PP572" s="569"/>
      <c r="PQ572" s="569"/>
      <c r="PR572" s="569"/>
      <c r="PS572" s="569"/>
      <c r="PT572" s="569"/>
      <c r="PU572" s="569"/>
      <c r="PV572" s="569"/>
      <c r="PW572" s="569"/>
      <c r="PX572" s="569"/>
      <c r="PY572" s="569"/>
      <c r="PZ572" s="569"/>
      <c r="QA572" s="569"/>
      <c r="QB572" s="569"/>
      <c r="QC572" s="569"/>
      <c r="QD572" s="569"/>
      <c r="QE572" s="569"/>
      <c r="QF572" s="569"/>
      <c r="QG572" s="569"/>
      <c r="QH572" s="569"/>
      <c r="QI572" s="569"/>
      <c r="QJ572" s="569"/>
      <c r="QK572" s="569"/>
      <c r="QL572" s="569"/>
    </row>
    <row r="573" spans="1:454" ht="45">
      <c r="D573" s="568"/>
      <c r="E573" s="568"/>
      <c r="F573" s="568"/>
      <c r="G573" s="568"/>
      <c r="H573" s="563" t="str">
        <f>'matrik MISI 2'!N45</f>
        <v xml:space="preserve">Cakupan Perencanaan Pembangunan Desa yang Partisipatif </v>
      </c>
      <c r="I573" s="563" t="str">
        <f>'matrik MISI 2'!O45</f>
        <v>%</v>
      </c>
      <c r="J573" s="563">
        <f>'matrik MISI 2'!P45</f>
        <v>100</v>
      </c>
      <c r="K573" s="563">
        <f>'matrik MISI 2'!Q45</f>
        <v>100</v>
      </c>
      <c r="L573" s="563">
        <f>'matrik MISI 2'!R45</f>
        <v>100</v>
      </c>
      <c r="M573" s="604"/>
      <c r="N573" s="563">
        <f>'matrik MISI 2'!S45</f>
        <v>100</v>
      </c>
      <c r="O573" s="564"/>
      <c r="P573" s="563">
        <f>'matrik MISI 2'!T45</f>
        <v>100</v>
      </c>
      <c r="Q573" s="564"/>
      <c r="R573" s="563">
        <f>'matrik MISI 2'!U45</f>
        <v>100</v>
      </c>
      <c r="S573" s="564"/>
      <c r="T573" s="563">
        <f>'matrik MISI 2'!V45</f>
        <v>100</v>
      </c>
      <c r="U573" s="564"/>
      <c r="V573" s="563">
        <f>'matrik MISI 2'!W45</f>
        <v>100</v>
      </c>
      <c r="W573" s="564"/>
      <c r="X573" s="563" t="str">
        <f>'matrik MISI 2'!X45</f>
        <v>BAPERMADES</v>
      </c>
      <c r="Y573" s="563" t="str">
        <f>'matrik MISI 2'!Y45</f>
        <v>Jumlah Desa yang melaksanakan perencanaan pembangunan desa secara partisipatif dibagi jumlah desa x 100</v>
      </c>
      <c r="Z573" s="563" t="str">
        <f>'matrik MISI 2'!Z45</f>
        <v>Perencanaan Partisipatif adalah melibatkan seluruh kelembagaan dan perwakilan masyarakat yang ada di Desa.</v>
      </c>
    </row>
    <row r="574" spans="1:454" ht="60">
      <c r="G574" s="563"/>
      <c r="H574" s="563" t="str">
        <f>'matrik MISI 2'!N50</f>
        <v>Persentase Partisipasi Rumah Tangga Sasaran dalam Musyawarah Perencanaan Pembangunan Desa</v>
      </c>
      <c r="I574" s="563" t="str">
        <f>'matrik MISI 2'!O50</f>
        <v>%</v>
      </c>
      <c r="J574" s="563">
        <f>'matrik MISI 2'!P50</f>
        <v>20</v>
      </c>
      <c r="K574" s="563">
        <f>'matrik MISI 2'!Q50</f>
        <v>20</v>
      </c>
      <c r="L574" s="563">
        <f>'matrik MISI 2'!R50</f>
        <v>20</v>
      </c>
      <c r="M574" s="604"/>
      <c r="N574" s="563">
        <f>'matrik MISI 2'!S50</f>
        <v>20</v>
      </c>
      <c r="O574" s="564"/>
      <c r="P574" s="563">
        <f>'matrik MISI 2'!T50</f>
        <v>20</v>
      </c>
      <c r="Q574" s="564"/>
      <c r="R574" s="563">
        <f>'matrik MISI 2'!U50</f>
        <v>20</v>
      </c>
      <c r="S574" s="564"/>
      <c r="T574" s="563">
        <f>'matrik MISI 2'!V50</f>
        <v>20</v>
      </c>
      <c r="U574" s="564"/>
      <c r="V574" s="563">
        <f>'matrik MISI 2'!W50</f>
        <v>20</v>
      </c>
      <c r="W574" s="564"/>
      <c r="X574" s="563" t="str">
        <f>'matrik MISI 2'!X50</f>
        <v>BAPERMADES</v>
      </c>
      <c r="Y574" s="563" t="str">
        <f>'matrik MISI 2'!Y50</f>
        <v>Jumlah Rumah Tangga Sasaran  yang hadir pada Musrenbang Desa dibagi Jumlah Rumah Tangga Sasaran x 100</v>
      </c>
      <c r="Z574" s="563">
        <f>'matrik MISI 2'!Z50</f>
        <v>0</v>
      </c>
    </row>
    <row r="575" spans="1:454" s="574" customFormat="1" ht="45">
      <c r="A575" s="569"/>
      <c r="B575" s="575"/>
      <c r="C575" s="576"/>
      <c r="D575" s="577">
        <f>'matrik MISI 2'!J46</f>
        <v>1.22</v>
      </c>
      <c r="E575" s="577" t="str">
        <f>'matrik MISI 2'!K46</f>
        <v>xx</v>
      </c>
      <c r="F575" s="577">
        <f>'matrik MISI 2'!L46</f>
        <v>16</v>
      </c>
      <c r="G575" s="577" t="str">
        <f>'matrik MISI 2'!M46</f>
        <v>Program Pengembangan Lembaga Ekonomi Pedesaan</v>
      </c>
      <c r="H575" s="577"/>
      <c r="I575" s="577"/>
      <c r="J575" s="577"/>
      <c r="K575" s="577"/>
      <c r="L575" s="577"/>
      <c r="M575" s="578">
        <f>'jangan di hapus 1'!K1153</f>
        <v>146500000</v>
      </c>
      <c r="N575" s="578"/>
      <c r="O575" s="578">
        <f>'jangan di hapus 1'!M1153</f>
        <v>153000000</v>
      </c>
      <c r="P575" s="578"/>
      <c r="Q575" s="578">
        <f>'jangan di hapus 1'!O1153</f>
        <v>167500000</v>
      </c>
      <c r="R575" s="578"/>
      <c r="S575" s="578">
        <f>'jangan di hapus 1'!Q1153</f>
        <v>167500000</v>
      </c>
      <c r="T575" s="578"/>
      <c r="U575" s="578">
        <f>'jangan di hapus 1'!S1153</f>
        <v>167500000</v>
      </c>
      <c r="V575" s="577"/>
      <c r="W575" s="578">
        <f>SUM(M575:U575)</f>
        <v>802000000</v>
      </c>
      <c r="X575" s="577"/>
      <c r="Y575" s="577"/>
      <c r="Z575" s="577"/>
      <c r="AA575" s="569"/>
      <c r="AB575" s="569"/>
      <c r="AC575" s="569"/>
      <c r="AD575" s="569"/>
      <c r="AE575" s="569"/>
      <c r="AF575" s="569"/>
      <c r="AG575" s="569"/>
      <c r="AH575" s="569"/>
      <c r="AI575" s="569"/>
      <c r="AJ575" s="569"/>
      <c r="AK575" s="569"/>
      <c r="AL575" s="569"/>
      <c r="AM575" s="569"/>
      <c r="AN575" s="569"/>
      <c r="AO575" s="569"/>
      <c r="AP575" s="569"/>
      <c r="AQ575" s="569"/>
      <c r="AR575" s="569"/>
      <c r="AS575" s="569"/>
      <c r="AT575" s="569"/>
      <c r="AU575" s="569"/>
      <c r="AV575" s="569"/>
      <c r="AW575" s="569"/>
      <c r="AX575" s="569"/>
      <c r="AY575" s="569"/>
      <c r="AZ575" s="569"/>
      <c r="BA575" s="569"/>
      <c r="BB575" s="569"/>
      <c r="BC575" s="569"/>
      <c r="BD575" s="569"/>
      <c r="BE575" s="569"/>
      <c r="BF575" s="569"/>
      <c r="BG575" s="569"/>
      <c r="BH575" s="569"/>
      <c r="BI575" s="569"/>
      <c r="BJ575" s="569"/>
      <c r="BK575" s="569"/>
      <c r="BL575" s="569"/>
      <c r="BM575" s="569"/>
      <c r="BN575" s="569"/>
      <c r="BO575" s="569"/>
      <c r="BP575" s="569"/>
      <c r="BQ575" s="569"/>
      <c r="BR575" s="569"/>
      <c r="BS575" s="569"/>
      <c r="BT575" s="569"/>
      <c r="BU575" s="569"/>
      <c r="BV575" s="569"/>
      <c r="BW575" s="569"/>
      <c r="BX575" s="569"/>
      <c r="BY575" s="569"/>
      <c r="BZ575" s="569"/>
      <c r="CA575" s="569"/>
      <c r="CB575" s="569"/>
      <c r="CC575" s="569"/>
      <c r="CD575" s="569"/>
      <c r="CE575" s="569"/>
      <c r="CF575" s="569"/>
      <c r="CG575" s="569"/>
      <c r="CH575" s="569"/>
      <c r="CI575" s="569"/>
      <c r="CJ575" s="569"/>
      <c r="CK575" s="569"/>
      <c r="CL575" s="569"/>
      <c r="CM575" s="569"/>
      <c r="CN575" s="569"/>
      <c r="CO575" s="569"/>
      <c r="CP575" s="569"/>
      <c r="CQ575" s="569"/>
      <c r="CR575" s="569"/>
      <c r="CS575" s="569"/>
      <c r="CT575" s="569"/>
      <c r="CU575" s="569"/>
      <c r="CV575" s="569"/>
      <c r="CW575" s="569"/>
      <c r="CX575" s="569"/>
      <c r="CY575" s="569"/>
      <c r="CZ575" s="569"/>
      <c r="DA575" s="569"/>
      <c r="DB575" s="569"/>
      <c r="DC575" s="569"/>
      <c r="DD575" s="569"/>
      <c r="DE575" s="569"/>
      <c r="DF575" s="569"/>
      <c r="DG575" s="569"/>
      <c r="DH575" s="569"/>
      <c r="DI575" s="569"/>
      <c r="DJ575" s="569"/>
      <c r="DK575" s="569"/>
      <c r="DL575" s="569"/>
      <c r="DM575" s="569"/>
      <c r="DN575" s="569"/>
      <c r="DO575" s="569"/>
      <c r="DP575" s="569"/>
      <c r="DQ575" s="569"/>
      <c r="DR575" s="569"/>
      <c r="DS575" s="569"/>
      <c r="DT575" s="569"/>
      <c r="DU575" s="569"/>
      <c r="DV575" s="569"/>
      <c r="DW575" s="569"/>
      <c r="DX575" s="569"/>
      <c r="DY575" s="569"/>
      <c r="DZ575" s="569"/>
      <c r="EA575" s="569"/>
      <c r="EB575" s="569"/>
      <c r="EC575" s="569"/>
      <c r="ED575" s="569"/>
      <c r="EE575" s="569"/>
      <c r="EF575" s="569"/>
      <c r="EG575" s="569"/>
      <c r="EH575" s="569"/>
      <c r="EI575" s="569"/>
      <c r="EJ575" s="569"/>
      <c r="EK575" s="569"/>
      <c r="EL575" s="569"/>
      <c r="EM575" s="569"/>
      <c r="EN575" s="569"/>
      <c r="EO575" s="569"/>
      <c r="EP575" s="569"/>
      <c r="EQ575" s="569"/>
      <c r="ER575" s="569"/>
      <c r="ES575" s="569"/>
      <c r="ET575" s="569"/>
      <c r="EU575" s="569"/>
      <c r="EV575" s="569"/>
      <c r="EW575" s="569"/>
      <c r="EX575" s="569"/>
      <c r="EY575" s="569"/>
      <c r="EZ575" s="569"/>
      <c r="FA575" s="569"/>
      <c r="FB575" s="569"/>
      <c r="FC575" s="569"/>
      <c r="FD575" s="569"/>
      <c r="FE575" s="569"/>
      <c r="FF575" s="569"/>
      <c r="FG575" s="569"/>
      <c r="FH575" s="569"/>
      <c r="FI575" s="569"/>
      <c r="FJ575" s="569"/>
      <c r="FK575" s="569"/>
      <c r="FL575" s="569"/>
      <c r="FM575" s="569"/>
      <c r="FN575" s="569"/>
      <c r="FO575" s="569"/>
      <c r="FP575" s="569"/>
      <c r="FQ575" s="569"/>
      <c r="FR575" s="569"/>
      <c r="FS575" s="569"/>
      <c r="FT575" s="569"/>
      <c r="FU575" s="569"/>
      <c r="FV575" s="569"/>
      <c r="FW575" s="569"/>
      <c r="FX575" s="569"/>
      <c r="FY575" s="569"/>
      <c r="FZ575" s="569"/>
      <c r="GA575" s="569"/>
      <c r="GB575" s="569"/>
      <c r="GC575" s="569"/>
      <c r="GD575" s="569"/>
      <c r="GE575" s="569"/>
      <c r="GF575" s="569"/>
      <c r="GG575" s="569"/>
      <c r="GH575" s="569"/>
      <c r="GI575" s="569"/>
      <c r="GJ575" s="569"/>
      <c r="GK575" s="569"/>
      <c r="GL575" s="569"/>
      <c r="GM575" s="569"/>
      <c r="GN575" s="569"/>
      <c r="GO575" s="569"/>
      <c r="GP575" s="569"/>
      <c r="GQ575" s="569"/>
      <c r="GR575" s="569"/>
      <c r="GS575" s="569"/>
      <c r="GT575" s="569"/>
      <c r="GU575" s="569"/>
      <c r="GV575" s="569"/>
      <c r="GW575" s="569"/>
      <c r="GX575" s="569"/>
      <c r="GY575" s="569"/>
      <c r="GZ575" s="569"/>
      <c r="HA575" s="569"/>
      <c r="HB575" s="569"/>
      <c r="HC575" s="569"/>
      <c r="HD575" s="569"/>
      <c r="HE575" s="569"/>
      <c r="HF575" s="569"/>
      <c r="HG575" s="569"/>
      <c r="HH575" s="569"/>
      <c r="HI575" s="569"/>
      <c r="HJ575" s="569"/>
      <c r="HK575" s="569"/>
      <c r="HL575" s="569"/>
      <c r="HM575" s="569"/>
      <c r="HN575" s="569"/>
      <c r="HO575" s="569"/>
      <c r="HP575" s="569"/>
      <c r="HQ575" s="569"/>
      <c r="HR575" s="569"/>
      <c r="HS575" s="569"/>
      <c r="HT575" s="569"/>
      <c r="HU575" s="569"/>
      <c r="HV575" s="569"/>
      <c r="HW575" s="569"/>
      <c r="HX575" s="569"/>
      <c r="HY575" s="569"/>
      <c r="HZ575" s="569"/>
      <c r="IA575" s="569"/>
      <c r="IB575" s="569"/>
      <c r="IC575" s="569"/>
      <c r="ID575" s="569"/>
      <c r="IE575" s="569"/>
      <c r="IF575" s="569"/>
      <c r="IG575" s="569"/>
      <c r="IH575" s="569"/>
      <c r="II575" s="569"/>
      <c r="IJ575" s="569"/>
      <c r="IK575" s="569"/>
      <c r="IL575" s="569"/>
      <c r="IM575" s="569"/>
      <c r="IN575" s="569"/>
      <c r="IO575" s="569"/>
      <c r="IP575" s="569"/>
      <c r="IQ575" s="569"/>
      <c r="IR575" s="569"/>
      <c r="IS575" s="569"/>
      <c r="IT575" s="569"/>
      <c r="IU575" s="569"/>
      <c r="IV575" s="569"/>
      <c r="IW575" s="569"/>
      <c r="IX575" s="569"/>
      <c r="IY575" s="569"/>
      <c r="IZ575" s="569"/>
      <c r="JA575" s="569"/>
      <c r="JB575" s="569"/>
      <c r="JC575" s="569"/>
      <c r="JD575" s="569"/>
      <c r="JE575" s="569"/>
      <c r="JF575" s="569"/>
      <c r="JG575" s="569"/>
      <c r="JH575" s="569"/>
      <c r="JI575" s="569"/>
      <c r="JJ575" s="569"/>
      <c r="JK575" s="569"/>
      <c r="JL575" s="569"/>
      <c r="JM575" s="569"/>
      <c r="JN575" s="569"/>
      <c r="JO575" s="569"/>
      <c r="JP575" s="569"/>
      <c r="JQ575" s="569"/>
      <c r="JR575" s="569"/>
      <c r="JS575" s="569"/>
      <c r="JT575" s="569"/>
      <c r="JU575" s="569"/>
      <c r="JV575" s="569"/>
      <c r="JW575" s="569"/>
      <c r="JX575" s="569"/>
      <c r="JY575" s="569"/>
      <c r="JZ575" s="569"/>
      <c r="KA575" s="569"/>
      <c r="KB575" s="569"/>
      <c r="KC575" s="569"/>
      <c r="KD575" s="569"/>
      <c r="KE575" s="569"/>
      <c r="KF575" s="569"/>
      <c r="KG575" s="569"/>
      <c r="KH575" s="569"/>
      <c r="KI575" s="569"/>
      <c r="KJ575" s="569"/>
      <c r="KK575" s="569"/>
      <c r="KL575" s="569"/>
      <c r="KM575" s="569"/>
      <c r="KN575" s="569"/>
      <c r="KO575" s="569"/>
      <c r="KP575" s="569"/>
      <c r="KQ575" s="569"/>
      <c r="KR575" s="569"/>
      <c r="KS575" s="569"/>
      <c r="KT575" s="569"/>
      <c r="KU575" s="569"/>
      <c r="KV575" s="569"/>
      <c r="KW575" s="569"/>
      <c r="KX575" s="569"/>
      <c r="KY575" s="569"/>
      <c r="KZ575" s="569"/>
      <c r="LA575" s="569"/>
      <c r="LB575" s="569"/>
      <c r="LC575" s="569"/>
      <c r="LD575" s="569"/>
      <c r="LE575" s="569"/>
      <c r="LF575" s="569"/>
      <c r="LG575" s="569"/>
      <c r="LH575" s="569"/>
      <c r="LI575" s="569"/>
      <c r="LJ575" s="569"/>
      <c r="LK575" s="569"/>
      <c r="LL575" s="569"/>
      <c r="LM575" s="569"/>
      <c r="LN575" s="569"/>
      <c r="LO575" s="569"/>
      <c r="LP575" s="569"/>
      <c r="LQ575" s="569"/>
      <c r="LR575" s="569"/>
      <c r="LS575" s="569"/>
      <c r="LT575" s="569"/>
      <c r="LU575" s="569"/>
      <c r="LV575" s="569"/>
      <c r="LW575" s="569"/>
      <c r="LX575" s="569"/>
      <c r="LY575" s="569"/>
      <c r="LZ575" s="569"/>
      <c r="MA575" s="569"/>
      <c r="MB575" s="569"/>
      <c r="MC575" s="569"/>
      <c r="MD575" s="569"/>
      <c r="ME575" s="569"/>
      <c r="MF575" s="569"/>
      <c r="MG575" s="569"/>
      <c r="MH575" s="569"/>
      <c r="MI575" s="569"/>
      <c r="MJ575" s="569"/>
      <c r="MK575" s="569"/>
      <c r="ML575" s="569"/>
      <c r="MM575" s="569"/>
      <c r="MN575" s="569"/>
      <c r="MO575" s="569"/>
      <c r="MP575" s="569"/>
      <c r="MQ575" s="569"/>
      <c r="MR575" s="569"/>
      <c r="MS575" s="569"/>
      <c r="MT575" s="569"/>
      <c r="MU575" s="569"/>
      <c r="MV575" s="569"/>
      <c r="MW575" s="569"/>
      <c r="MX575" s="569"/>
      <c r="MY575" s="569"/>
      <c r="MZ575" s="569"/>
      <c r="NA575" s="569"/>
      <c r="NB575" s="569"/>
      <c r="NC575" s="569"/>
      <c r="ND575" s="569"/>
      <c r="NE575" s="569"/>
      <c r="NF575" s="569"/>
      <c r="NG575" s="569"/>
      <c r="NH575" s="569"/>
      <c r="NI575" s="569"/>
      <c r="NJ575" s="569"/>
      <c r="NK575" s="569"/>
      <c r="NL575" s="569"/>
      <c r="NM575" s="569"/>
      <c r="NN575" s="569"/>
      <c r="NO575" s="569"/>
      <c r="NP575" s="569"/>
      <c r="NQ575" s="569"/>
      <c r="NR575" s="569"/>
      <c r="NS575" s="569"/>
      <c r="NT575" s="569"/>
      <c r="NU575" s="569"/>
      <c r="NV575" s="569"/>
      <c r="NW575" s="569"/>
      <c r="NX575" s="569"/>
      <c r="NY575" s="569"/>
      <c r="NZ575" s="569"/>
      <c r="OA575" s="569"/>
      <c r="OB575" s="569"/>
      <c r="OC575" s="569"/>
      <c r="OD575" s="569"/>
      <c r="OE575" s="569"/>
      <c r="OF575" s="569"/>
      <c r="OG575" s="569"/>
      <c r="OH575" s="569"/>
      <c r="OI575" s="569"/>
      <c r="OJ575" s="569"/>
      <c r="OK575" s="569"/>
      <c r="OL575" s="569"/>
      <c r="OM575" s="569"/>
      <c r="ON575" s="569"/>
      <c r="OO575" s="569"/>
      <c r="OP575" s="569"/>
      <c r="OQ575" s="569"/>
      <c r="OR575" s="569"/>
      <c r="OS575" s="569"/>
      <c r="OT575" s="569"/>
      <c r="OU575" s="569"/>
      <c r="OV575" s="569"/>
      <c r="OW575" s="569"/>
      <c r="OX575" s="569"/>
      <c r="OY575" s="569"/>
      <c r="OZ575" s="569"/>
      <c r="PA575" s="569"/>
      <c r="PB575" s="569"/>
      <c r="PC575" s="569"/>
      <c r="PD575" s="569"/>
      <c r="PE575" s="569"/>
      <c r="PF575" s="569"/>
      <c r="PG575" s="569"/>
      <c r="PH575" s="569"/>
      <c r="PI575" s="569"/>
      <c r="PJ575" s="569"/>
      <c r="PK575" s="569"/>
      <c r="PL575" s="569"/>
      <c r="PM575" s="569"/>
      <c r="PN575" s="569"/>
      <c r="PO575" s="569"/>
      <c r="PP575" s="569"/>
      <c r="PQ575" s="569"/>
      <c r="PR575" s="569"/>
      <c r="PS575" s="569"/>
      <c r="PT575" s="569"/>
      <c r="PU575" s="569"/>
      <c r="PV575" s="569"/>
      <c r="PW575" s="569"/>
      <c r="PX575" s="569"/>
      <c r="PY575" s="569"/>
      <c r="PZ575" s="569"/>
      <c r="QA575" s="569"/>
      <c r="QB575" s="569"/>
      <c r="QC575" s="569"/>
      <c r="QD575" s="569"/>
      <c r="QE575" s="569"/>
      <c r="QF575" s="569"/>
      <c r="QG575" s="569"/>
      <c r="QH575" s="569"/>
      <c r="QI575" s="569"/>
      <c r="QJ575" s="569"/>
      <c r="QK575" s="569"/>
      <c r="QL575" s="569"/>
    </row>
    <row r="576" spans="1:454" ht="60">
      <c r="D576" s="568"/>
      <c r="E576" s="568"/>
      <c r="F576" s="568"/>
      <c r="G576" s="568"/>
      <c r="H576" s="563" t="str">
        <f>'matrik MISI 2'!N46</f>
        <v xml:space="preserve">Cakupan Lembaga Ekonomi Masyarakat Desa yang Aktif ( BUMDes, Pasar Desa , UED-SP, Lumbung Pangan ) </v>
      </c>
      <c r="I576" s="563" t="str">
        <f>'matrik MISI 2'!O46</f>
        <v>%</v>
      </c>
      <c r="J576" s="563">
        <f>'matrik MISI 2'!P46</f>
        <v>12</v>
      </c>
      <c r="K576" s="563">
        <f>'matrik MISI 2'!Q46</f>
        <v>12</v>
      </c>
      <c r="L576" s="563">
        <f>'matrik MISI 2'!R46</f>
        <v>28</v>
      </c>
      <c r="M576" s="604"/>
      <c r="N576" s="563">
        <f>'matrik MISI 2'!S46</f>
        <v>34</v>
      </c>
      <c r="O576" s="564"/>
      <c r="P576" s="563">
        <f>'matrik MISI 2'!T46</f>
        <v>50</v>
      </c>
      <c r="Q576" s="564"/>
      <c r="R576" s="563">
        <f>'matrik MISI 2'!U46</f>
        <v>65</v>
      </c>
      <c r="S576" s="564"/>
      <c r="T576" s="563">
        <f>'matrik MISI 2'!V46</f>
        <v>80</v>
      </c>
      <c r="U576" s="564"/>
      <c r="V576" s="563">
        <f>'matrik MISI 2'!W46</f>
        <v>80</v>
      </c>
      <c r="W576" s="564"/>
      <c r="X576" s="563" t="str">
        <f>'matrik MISI 2'!X46</f>
        <v>BAPERMADES</v>
      </c>
      <c r="Y576" s="563" t="str">
        <f>'matrik MISI 2'!Y46</f>
        <v>Jumlah lembaga ekonomi masyarakat desa yang aktif dibagi jumlah lembaga ekonomi masyarakat desa yang ada x 100</v>
      </c>
      <c r="Z576" s="563">
        <f>'matrik MISI 2'!Z46</f>
        <v>0</v>
      </c>
    </row>
    <row r="577" spans="1:454" s="574" customFormat="1" ht="45">
      <c r="A577" s="569"/>
      <c r="B577" s="575"/>
      <c r="C577" s="576"/>
      <c r="D577" s="577">
        <f>'matrik MISI 2'!J47</f>
        <v>1.22</v>
      </c>
      <c r="E577" s="577" t="str">
        <f>'matrik MISI 2'!K47</f>
        <v>xx</v>
      </c>
      <c r="F577" s="577">
        <f>'matrik MISI 2'!L47</f>
        <v>15</v>
      </c>
      <c r="G577" s="577" t="str">
        <f>'matrik MISI 2'!M47</f>
        <v>Program Peningkatan Keberdayaan Masyarakat Desa</v>
      </c>
      <c r="H577" s="577"/>
      <c r="I577" s="577"/>
      <c r="J577" s="577"/>
      <c r="K577" s="577"/>
      <c r="L577" s="577"/>
      <c r="M577" s="578">
        <f>'jangan di hapus 1'!K1140</f>
        <v>3752000000</v>
      </c>
      <c r="N577" s="578"/>
      <c r="O577" s="578">
        <f>'jangan di hapus 1'!M1140</f>
        <v>1374000000</v>
      </c>
      <c r="P577" s="578"/>
      <c r="Q577" s="578">
        <f>'jangan di hapus 1'!O1140</f>
        <v>1394200000</v>
      </c>
      <c r="R577" s="578"/>
      <c r="S577" s="578">
        <f>'jangan di hapus 1'!Q1140</f>
        <v>1437920000</v>
      </c>
      <c r="T577" s="578"/>
      <c r="U577" s="578">
        <f>'jangan di hapus 1'!S1140</f>
        <v>1480512000</v>
      </c>
      <c r="V577" s="578"/>
      <c r="W577" s="578">
        <f>SUM(M577:U577)</f>
        <v>9438632000</v>
      </c>
      <c r="X577" s="577"/>
      <c r="Y577" s="577"/>
      <c r="Z577" s="577"/>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T577" s="569"/>
      <c r="BU577" s="569"/>
      <c r="BV577" s="569"/>
      <c r="BW577" s="569"/>
      <c r="BX577" s="569"/>
      <c r="BY577" s="569"/>
      <c r="BZ577" s="569"/>
      <c r="CA577" s="569"/>
      <c r="CB577" s="569"/>
      <c r="CC577" s="569"/>
      <c r="CD577" s="569"/>
      <c r="CE577" s="569"/>
      <c r="CF577" s="569"/>
      <c r="CG577" s="569"/>
      <c r="CH577" s="569"/>
      <c r="CI577" s="569"/>
      <c r="CJ577" s="569"/>
      <c r="CK577" s="569"/>
      <c r="CL577" s="569"/>
      <c r="CM577" s="569"/>
      <c r="CN577" s="569"/>
      <c r="CO577" s="569"/>
      <c r="CP577" s="569"/>
      <c r="CQ577" s="569"/>
      <c r="CR577" s="569"/>
      <c r="CS577" s="569"/>
      <c r="CT577" s="569"/>
      <c r="CU577" s="569"/>
      <c r="CV577" s="569"/>
      <c r="CW577" s="569"/>
      <c r="CX577" s="569"/>
      <c r="CY577" s="569"/>
      <c r="CZ577" s="569"/>
      <c r="DA577" s="569"/>
      <c r="DB577" s="569"/>
      <c r="DC577" s="569"/>
      <c r="DD577" s="569"/>
      <c r="DE577" s="569"/>
      <c r="DF577" s="569"/>
      <c r="DG577" s="569"/>
      <c r="DH577" s="569"/>
      <c r="DI577" s="569"/>
      <c r="DJ577" s="569"/>
      <c r="DK577" s="569"/>
      <c r="DL577" s="569"/>
      <c r="DM577" s="569"/>
      <c r="DN577" s="569"/>
      <c r="DO577" s="569"/>
      <c r="DP577" s="569"/>
      <c r="DQ577" s="569"/>
      <c r="DR577" s="569"/>
      <c r="DS577" s="569"/>
      <c r="DT577" s="569"/>
      <c r="DU577" s="569"/>
      <c r="DV577" s="569"/>
      <c r="DW577" s="569"/>
      <c r="DX577" s="569"/>
      <c r="DY577" s="569"/>
      <c r="DZ577" s="569"/>
      <c r="EA577" s="569"/>
      <c r="EB577" s="569"/>
      <c r="EC577" s="569"/>
      <c r="ED577" s="569"/>
      <c r="EE577" s="569"/>
      <c r="EF577" s="569"/>
      <c r="EG577" s="569"/>
      <c r="EH577" s="569"/>
      <c r="EI577" s="569"/>
      <c r="EJ577" s="569"/>
      <c r="EK577" s="569"/>
      <c r="EL577" s="569"/>
      <c r="EM577" s="569"/>
      <c r="EN577" s="569"/>
      <c r="EO577" s="569"/>
      <c r="EP577" s="569"/>
      <c r="EQ577" s="569"/>
      <c r="ER577" s="569"/>
      <c r="ES577" s="569"/>
      <c r="ET577" s="569"/>
      <c r="EU577" s="569"/>
      <c r="EV577" s="569"/>
      <c r="EW577" s="569"/>
      <c r="EX577" s="569"/>
      <c r="EY577" s="569"/>
      <c r="EZ577" s="569"/>
      <c r="FA577" s="569"/>
      <c r="FB577" s="569"/>
      <c r="FC577" s="569"/>
      <c r="FD577" s="569"/>
      <c r="FE577" s="569"/>
      <c r="FF577" s="569"/>
      <c r="FG577" s="569"/>
      <c r="FH577" s="569"/>
      <c r="FI577" s="569"/>
      <c r="FJ577" s="569"/>
      <c r="FK577" s="569"/>
      <c r="FL577" s="569"/>
      <c r="FM577" s="569"/>
      <c r="FN577" s="569"/>
      <c r="FO577" s="569"/>
      <c r="FP577" s="569"/>
      <c r="FQ577" s="569"/>
      <c r="FR577" s="569"/>
      <c r="FS577" s="569"/>
      <c r="FT577" s="569"/>
      <c r="FU577" s="569"/>
      <c r="FV577" s="569"/>
      <c r="FW577" s="569"/>
      <c r="FX577" s="569"/>
      <c r="FY577" s="569"/>
      <c r="FZ577" s="569"/>
      <c r="GA577" s="569"/>
      <c r="GB577" s="569"/>
      <c r="GC577" s="569"/>
      <c r="GD577" s="569"/>
      <c r="GE577" s="569"/>
      <c r="GF577" s="569"/>
      <c r="GG577" s="569"/>
      <c r="GH577" s="569"/>
      <c r="GI577" s="569"/>
      <c r="GJ577" s="569"/>
      <c r="GK577" s="569"/>
      <c r="GL577" s="569"/>
      <c r="GM577" s="569"/>
      <c r="GN577" s="569"/>
      <c r="GO577" s="569"/>
      <c r="GP577" s="569"/>
      <c r="GQ577" s="569"/>
      <c r="GR577" s="569"/>
      <c r="GS577" s="569"/>
      <c r="GT577" s="569"/>
      <c r="GU577" s="569"/>
      <c r="GV577" s="569"/>
      <c r="GW577" s="569"/>
      <c r="GX577" s="569"/>
      <c r="GY577" s="569"/>
      <c r="GZ577" s="569"/>
      <c r="HA577" s="569"/>
      <c r="HB577" s="569"/>
      <c r="HC577" s="569"/>
      <c r="HD577" s="569"/>
      <c r="HE577" s="569"/>
      <c r="HF577" s="569"/>
      <c r="HG577" s="569"/>
      <c r="HH577" s="569"/>
      <c r="HI577" s="569"/>
      <c r="HJ577" s="569"/>
      <c r="HK577" s="569"/>
      <c r="HL577" s="569"/>
      <c r="HM577" s="569"/>
      <c r="HN577" s="569"/>
      <c r="HO577" s="569"/>
      <c r="HP577" s="569"/>
      <c r="HQ577" s="569"/>
      <c r="HR577" s="569"/>
      <c r="HS577" s="569"/>
      <c r="HT577" s="569"/>
      <c r="HU577" s="569"/>
      <c r="HV577" s="569"/>
      <c r="HW577" s="569"/>
      <c r="HX577" s="569"/>
      <c r="HY577" s="569"/>
      <c r="HZ577" s="569"/>
      <c r="IA577" s="569"/>
      <c r="IB577" s="569"/>
      <c r="IC577" s="569"/>
      <c r="ID577" s="569"/>
      <c r="IE577" s="569"/>
      <c r="IF577" s="569"/>
      <c r="IG577" s="569"/>
      <c r="IH577" s="569"/>
      <c r="II577" s="569"/>
      <c r="IJ577" s="569"/>
      <c r="IK577" s="569"/>
      <c r="IL577" s="569"/>
      <c r="IM577" s="569"/>
      <c r="IN577" s="569"/>
      <c r="IO577" s="569"/>
      <c r="IP577" s="569"/>
      <c r="IQ577" s="569"/>
      <c r="IR577" s="569"/>
      <c r="IS577" s="569"/>
      <c r="IT577" s="569"/>
      <c r="IU577" s="569"/>
      <c r="IV577" s="569"/>
      <c r="IW577" s="569"/>
      <c r="IX577" s="569"/>
      <c r="IY577" s="569"/>
      <c r="IZ577" s="569"/>
      <c r="JA577" s="569"/>
      <c r="JB577" s="569"/>
      <c r="JC577" s="569"/>
      <c r="JD577" s="569"/>
      <c r="JE577" s="569"/>
      <c r="JF577" s="569"/>
      <c r="JG577" s="569"/>
      <c r="JH577" s="569"/>
      <c r="JI577" s="569"/>
      <c r="JJ577" s="569"/>
      <c r="JK577" s="569"/>
      <c r="JL577" s="569"/>
      <c r="JM577" s="569"/>
      <c r="JN577" s="569"/>
      <c r="JO577" s="569"/>
      <c r="JP577" s="569"/>
      <c r="JQ577" s="569"/>
      <c r="JR577" s="569"/>
      <c r="JS577" s="569"/>
      <c r="JT577" s="569"/>
      <c r="JU577" s="569"/>
      <c r="JV577" s="569"/>
      <c r="JW577" s="569"/>
      <c r="JX577" s="569"/>
      <c r="JY577" s="569"/>
      <c r="JZ577" s="569"/>
      <c r="KA577" s="569"/>
      <c r="KB577" s="569"/>
      <c r="KC577" s="569"/>
      <c r="KD577" s="569"/>
      <c r="KE577" s="569"/>
      <c r="KF577" s="569"/>
      <c r="KG577" s="569"/>
      <c r="KH577" s="569"/>
      <c r="KI577" s="569"/>
      <c r="KJ577" s="569"/>
      <c r="KK577" s="569"/>
      <c r="KL577" s="569"/>
      <c r="KM577" s="569"/>
      <c r="KN577" s="569"/>
      <c r="KO577" s="569"/>
      <c r="KP577" s="569"/>
      <c r="KQ577" s="569"/>
      <c r="KR577" s="569"/>
      <c r="KS577" s="569"/>
      <c r="KT577" s="569"/>
      <c r="KU577" s="569"/>
      <c r="KV577" s="569"/>
      <c r="KW577" s="569"/>
      <c r="KX577" s="569"/>
      <c r="KY577" s="569"/>
      <c r="KZ577" s="569"/>
      <c r="LA577" s="569"/>
      <c r="LB577" s="569"/>
      <c r="LC577" s="569"/>
      <c r="LD577" s="569"/>
      <c r="LE577" s="569"/>
      <c r="LF577" s="569"/>
      <c r="LG577" s="569"/>
      <c r="LH577" s="569"/>
      <c r="LI577" s="569"/>
      <c r="LJ577" s="569"/>
      <c r="LK577" s="569"/>
      <c r="LL577" s="569"/>
      <c r="LM577" s="569"/>
      <c r="LN577" s="569"/>
      <c r="LO577" s="569"/>
      <c r="LP577" s="569"/>
      <c r="LQ577" s="569"/>
      <c r="LR577" s="569"/>
      <c r="LS577" s="569"/>
      <c r="LT577" s="569"/>
      <c r="LU577" s="569"/>
      <c r="LV577" s="569"/>
      <c r="LW577" s="569"/>
      <c r="LX577" s="569"/>
      <c r="LY577" s="569"/>
      <c r="LZ577" s="569"/>
      <c r="MA577" s="569"/>
      <c r="MB577" s="569"/>
      <c r="MC577" s="569"/>
      <c r="MD577" s="569"/>
      <c r="ME577" s="569"/>
      <c r="MF577" s="569"/>
      <c r="MG577" s="569"/>
      <c r="MH577" s="569"/>
      <c r="MI577" s="569"/>
      <c r="MJ577" s="569"/>
      <c r="MK577" s="569"/>
      <c r="ML577" s="569"/>
      <c r="MM577" s="569"/>
      <c r="MN577" s="569"/>
      <c r="MO577" s="569"/>
      <c r="MP577" s="569"/>
      <c r="MQ577" s="569"/>
      <c r="MR577" s="569"/>
      <c r="MS577" s="569"/>
      <c r="MT577" s="569"/>
      <c r="MU577" s="569"/>
      <c r="MV577" s="569"/>
      <c r="MW577" s="569"/>
      <c r="MX577" s="569"/>
      <c r="MY577" s="569"/>
      <c r="MZ577" s="569"/>
      <c r="NA577" s="569"/>
      <c r="NB577" s="569"/>
      <c r="NC577" s="569"/>
      <c r="ND577" s="569"/>
      <c r="NE577" s="569"/>
      <c r="NF577" s="569"/>
      <c r="NG577" s="569"/>
      <c r="NH577" s="569"/>
      <c r="NI577" s="569"/>
      <c r="NJ577" s="569"/>
      <c r="NK577" s="569"/>
      <c r="NL577" s="569"/>
      <c r="NM577" s="569"/>
      <c r="NN577" s="569"/>
      <c r="NO577" s="569"/>
      <c r="NP577" s="569"/>
      <c r="NQ577" s="569"/>
      <c r="NR577" s="569"/>
      <c r="NS577" s="569"/>
      <c r="NT577" s="569"/>
      <c r="NU577" s="569"/>
      <c r="NV577" s="569"/>
      <c r="NW577" s="569"/>
      <c r="NX577" s="569"/>
      <c r="NY577" s="569"/>
      <c r="NZ577" s="569"/>
      <c r="OA577" s="569"/>
      <c r="OB577" s="569"/>
      <c r="OC577" s="569"/>
      <c r="OD577" s="569"/>
      <c r="OE577" s="569"/>
      <c r="OF577" s="569"/>
      <c r="OG577" s="569"/>
      <c r="OH577" s="569"/>
      <c r="OI577" s="569"/>
      <c r="OJ577" s="569"/>
      <c r="OK577" s="569"/>
      <c r="OL577" s="569"/>
      <c r="OM577" s="569"/>
      <c r="ON577" s="569"/>
      <c r="OO577" s="569"/>
      <c r="OP577" s="569"/>
      <c r="OQ577" s="569"/>
      <c r="OR577" s="569"/>
      <c r="OS577" s="569"/>
      <c r="OT577" s="569"/>
      <c r="OU577" s="569"/>
      <c r="OV577" s="569"/>
      <c r="OW577" s="569"/>
      <c r="OX577" s="569"/>
      <c r="OY577" s="569"/>
      <c r="OZ577" s="569"/>
      <c r="PA577" s="569"/>
      <c r="PB577" s="569"/>
      <c r="PC577" s="569"/>
      <c r="PD577" s="569"/>
      <c r="PE577" s="569"/>
      <c r="PF577" s="569"/>
      <c r="PG577" s="569"/>
      <c r="PH577" s="569"/>
      <c r="PI577" s="569"/>
      <c r="PJ577" s="569"/>
      <c r="PK577" s="569"/>
      <c r="PL577" s="569"/>
      <c r="PM577" s="569"/>
      <c r="PN577" s="569"/>
      <c r="PO577" s="569"/>
      <c r="PP577" s="569"/>
      <c r="PQ577" s="569"/>
      <c r="PR577" s="569"/>
      <c r="PS577" s="569"/>
      <c r="PT577" s="569"/>
      <c r="PU577" s="569"/>
      <c r="PV577" s="569"/>
      <c r="PW577" s="569"/>
      <c r="PX577" s="569"/>
      <c r="PY577" s="569"/>
      <c r="PZ577" s="569"/>
      <c r="QA577" s="569"/>
      <c r="QB577" s="569"/>
      <c r="QC577" s="569"/>
      <c r="QD577" s="569"/>
      <c r="QE577" s="569"/>
      <c r="QF577" s="569"/>
      <c r="QG577" s="569"/>
      <c r="QH577" s="569"/>
      <c r="QI577" s="569"/>
      <c r="QJ577" s="569"/>
      <c r="QK577" s="569"/>
      <c r="QL577" s="569"/>
    </row>
    <row r="578" spans="1:454" ht="45">
      <c r="D578" s="568"/>
      <c r="E578" s="568"/>
      <c r="F578" s="568"/>
      <c r="G578" s="568"/>
      <c r="H578" s="563" t="str">
        <f>'matrik MISI 2'!N47</f>
        <v>Persentase Menurunnya Rumah Tangga Sasaran (Angka Kemiskinan)</v>
      </c>
      <c r="I578" s="563" t="str">
        <f>'matrik MISI 2'!O47</f>
        <v>%</v>
      </c>
      <c r="J578" s="563">
        <f>'matrik MISI 2'!P47</f>
        <v>17.79</v>
      </c>
      <c r="K578" s="563" t="str">
        <f>'matrik MISI 2'!Q47</f>
        <v>17,27</v>
      </c>
      <c r="L578" s="563">
        <f>'matrik MISI 2'!R47</f>
        <v>15.6</v>
      </c>
      <c r="M578" s="604"/>
      <c r="N578" s="563">
        <f>'matrik MISI 2'!S47</f>
        <v>14.4</v>
      </c>
      <c r="O578" s="564"/>
      <c r="P578" s="563">
        <f>'matrik MISI 2'!T47</f>
        <v>13.3</v>
      </c>
      <c r="Q578" s="564"/>
      <c r="R578" s="563">
        <f>'matrik MISI 2'!U47</f>
        <v>12.2</v>
      </c>
      <c r="S578" s="564"/>
      <c r="T578" s="563">
        <f>'matrik MISI 2'!V47</f>
        <v>11</v>
      </c>
      <c r="U578" s="564"/>
      <c r="V578" s="563">
        <f>'matrik MISI 2'!W47</f>
        <v>11</v>
      </c>
      <c r="W578" s="564"/>
      <c r="X578" s="563" t="str">
        <f>'matrik MISI 2'!X47</f>
        <v>BAPERMADES</v>
      </c>
      <c r="Y578" s="563" t="str">
        <f>'matrik MISI 2'!Y47</f>
        <v xml:space="preserve">Jumlah Rumah Tangga Sasaran dibagi Jumlah Rumah Tangga X 100 </v>
      </c>
      <c r="Z578" s="563" t="str">
        <f>'matrik MISI 2'!Z47</f>
        <v>Rumah tangga sasaran adalah RT hasil pendataan tahun 2012 hasil PPLS BPS tahun 2008</v>
      </c>
    </row>
    <row r="579" spans="1:454" ht="45">
      <c r="G579" s="563"/>
      <c r="H579" s="563" t="str">
        <f>'matrik MISI 2'!N48</f>
        <v>Cakupan Pemberdayaan masyarakat dalam Teknologi Tepat Guna</v>
      </c>
      <c r="I579" s="563" t="str">
        <f>'matrik MISI 2'!O48</f>
        <v>%</v>
      </c>
      <c r="J579" s="563">
        <f>'matrik MISI 2'!P48</f>
        <v>5</v>
      </c>
      <c r="K579" s="563">
        <f>'matrik MISI 2'!Q48</f>
        <v>9</v>
      </c>
      <c r="L579" s="563">
        <f>'matrik MISI 2'!R48</f>
        <v>14</v>
      </c>
      <c r="M579" s="604"/>
      <c r="N579" s="563">
        <f>'matrik MISI 2'!S48</f>
        <v>19</v>
      </c>
      <c r="O579" s="564"/>
      <c r="P579" s="563">
        <f>'matrik MISI 2'!T48</f>
        <v>23</v>
      </c>
      <c r="Q579" s="564"/>
      <c r="R579" s="563">
        <f>'matrik MISI 2'!U48</f>
        <v>28</v>
      </c>
      <c r="S579" s="564"/>
      <c r="T579" s="563">
        <f>'matrik MISI 2'!V48</f>
        <v>33</v>
      </c>
      <c r="U579" s="564"/>
      <c r="V579" s="563">
        <f>'matrik MISI 2'!W48</f>
        <v>37</v>
      </c>
      <c r="W579" s="564"/>
      <c r="X579" s="563" t="str">
        <f>'matrik MISI 2'!X48</f>
        <v>BAPERMADES</v>
      </c>
      <c r="Y579" s="563" t="str">
        <f>'matrik MISI 2'!Y48</f>
        <v>Jumlah kelompok yang menerapkan  Teknologi Tepat Guna dibagi jumlah kelompok TTG yang ada x 100</v>
      </c>
      <c r="Z579" s="563">
        <f>'matrik MISI 2'!Z48</f>
        <v>0</v>
      </c>
    </row>
    <row r="580" spans="1:454" ht="30">
      <c r="G580" s="563"/>
      <c r="H580" s="563" t="str">
        <f>'matrik MISI 2'!N49</f>
        <v xml:space="preserve">Cakupan bantuan Rumah Layak Huni bagi Rumah Tangga Sasaran </v>
      </c>
      <c r="I580" s="563" t="str">
        <f>'matrik MISI 2'!O49</f>
        <v>%</v>
      </c>
      <c r="J580" s="563">
        <f>'matrik MISI 2'!P49</f>
        <v>0.12</v>
      </c>
      <c r="K580" s="563">
        <f>'matrik MISI 2'!Q49</f>
        <v>0.24</v>
      </c>
      <c r="L580" s="563">
        <f>'matrik MISI 2'!R49</f>
        <v>0.26</v>
      </c>
      <c r="M580" s="604"/>
      <c r="N580" s="563">
        <f>'matrik MISI 2'!S49</f>
        <v>0.26</v>
      </c>
      <c r="O580" s="564"/>
      <c r="P580" s="563">
        <f>'matrik MISI 2'!T49</f>
        <v>0.26</v>
      </c>
      <c r="Q580" s="564"/>
      <c r="R580" s="563">
        <f>'matrik MISI 2'!U49</f>
        <v>0.26</v>
      </c>
      <c r="S580" s="564"/>
      <c r="T580" s="563">
        <f>'matrik MISI 2'!V49</f>
        <v>1.26</v>
      </c>
      <c r="U580" s="564"/>
      <c r="V580" s="563">
        <f>'matrik MISI 2'!W49</f>
        <v>1.35</v>
      </c>
      <c r="W580" s="564"/>
      <c r="X580" s="563" t="str">
        <f>'matrik MISI 2'!X49</f>
        <v>BAPERMADES</v>
      </c>
      <c r="Y580" s="563" t="str">
        <f>'matrik MISI 2'!Y49</f>
        <v>Jumlah  bantuan Rumah Layak Huni dibagi jumlah rumah tangga sasaran x 100</v>
      </c>
      <c r="Z580" s="563" t="str">
        <f>'matrik MISI 2'!Z49</f>
        <v>Rumah tangga sasaran adalah rumah tangga yang mempunyai rumah tipe B dan C</v>
      </c>
    </row>
    <row r="581" spans="1:454" s="574" customFormat="1" ht="45">
      <c r="A581" s="569"/>
      <c r="B581" s="575"/>
      <c r="C581" s="576"/>
      <c r="D581" s="577">
        <f>'matrik MISI 2'!J51</f>
        <v>1.22</v>
      </c>
      <c r="E581" s="577" t="str">
        <f>'matrik MISI 2'!K51</f>
        <v>xx</v>
      </c>
      <c r="F581" s="577">
        <f>'matrik MISI 2'!L51</f>
        <v>18</v>
      </c>
      <c r="G581" s="577" t="str">
        <f>'matrik MISI 2'!M51</f>
        <v>Program Peningkatan Kapasitas Aparatur Pemerintah Desa</v>
      </c>
      <c r="H581" s="575"/>
      <c r="I581" s="575"/>
      <c r="J581" s="596"/>
      <c r="K581" s="596"/>
      <c r="L581" s="596"/>
      <c r="M581" s="600">
        <f>'jangan di hapus 1'!K1165</f>
        <v>180000000</v>
      </c>
      <c r="N581" s="600"/>
      <c r="O581" s="600">
        <f>'jangan di hapus 1'!M1165</f>
        <v>182500000</v>
      </c>
      <c r="P581" s="600"/>
      <c r="Q581" s="600">
        <f>'jangan di hapus 1'!O1165</f>
        <v>115000000</v>
      </c>
      <c r="R581" s="600"/>
      <c r="S581" s="600">
        <f>'jangan di hapus 1'!Q1165</f>
        <v>137500000</v>
      </c>
      <c r="T581" s="600"/>
      <c r="U581" s="600">
        <f>'jangan di hapus 1'!S1165</f>
        <v>90000000</v>
      </c>
      <c r="V581" s="600"/>
      <c r="W581" s="578">
        <f>SUM(M581:U581)</f>
        <v>705000000</v>
      </c>
      <c r="X581" s="575"/>
      <c r="Y581" s="596"/>
      <c r="Z581" s="596"/>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T581" s="569"/>
      <c r="BU581" s="569"/>
      <c r="BV581" s="569"/>
      <c r="BW581" s="569"/>
      <c r="BX581" s="569"/>
      <c r="BY581" s="569"/>
      <c r="BZ581" s="569"/>
      <c r="CA581" s="569"/>
      <c r="CB581" s="569"/>
      <c r="CC581" s="569"/>
      <c r="CD581" s="569"/>
      <c r="CE581" s="569"/>
      <c r="CF581" s="569"/>
      <c r="CG581" s="569"/>
      <c r="CH581" s="569"/>
      <c r="CI581" s="569"/>
      <c r="CJ581" s="569"/>
      <c r="CK581" s="569"/>
      <c r="CL581" s="569"/>
      <c r="CM581" s="569"/>
      <c r="CN581" s="569"/>
      <c r="CO581" s="569"/>
      <c r="CP581" s="569"/>
      <c r="CQ581" s="569"/>
      <c r="CR581" s="569"/>
      <c r="CS581" s="569"/>
      <c r="CT581" s="569"/>
      <c r="CU581" s="569"/>
      <c r="CV581" s="569"/>
      <c r="CW581" s="569"/>
      <c r="CX581" s="569"/>
      <c r="CY581" s="569"/>
      <c r="CZ581" s="569"/>
      <c r="DA581" s="569"/>
      <c r="DB581" s="569"/>
      <c r="DC581" s="569"/>
      <c r="DD581" s="569"/>
      <c r="DE581" s="569"/>
      <c r="DF581" s="569"/>
      <c r="DG581" s="569"/>
      <c r="DH581" s="569"/>
      <c r="DI581" s="569"/>
      <c r="DJ581" s="569"/>
      <c r="DK581" s="569"/>
      <c r="DL581" s="569"/>
      <c r="DM581" s="569"/>
      <c r="DN581" s="569"/>
      <c r="DO581" s="569"/>
      <c r="DP581" s="569"/>
      <c r="DQ581" s="569"/>
      <c r="DR581" s="569"/>
      <c r="DS581" s="569"/>
      <c r="DT581" s="569"/>
      <c r="DU581" s="569"/>
      <c r="DV581" s="569"/>
      <c r="DW581" s="569"/>
      <c r="DX581" s="569"/>
      <c r="DY581" s="569"/>
      <c r="DZ581" s="569"/>
      <c r="EA581" s="569"/>
      <c r="EB581" s="569"/>
      <c r="EC581" s="569"/>
      <c r="ED581" s="569"/>
      <c r="EE581" s="569"/>
      <c r="EF581" s="569"/>
      <c r="EG581" s="569"/>
      <c r="EH581" s="569"/>
      <c r="EI581" s="569"/>
      <c r="EJ581" s="569"/>
      <c r="EK581" s="569"/>
      <c r="EL581" s="569"/>
      <c r="EM581" s="569"/>
      <c r="EN581" s="569"/>
      <c r="EO581" s="569"/>
      <c r="EP581" s="569"/>
      <c r="EQ581" s="569"/>
      <c r="ER581" s="569"/>
      <c r="ES581" s="569"/>
      <c r="ET581" s="569"/>
      <c r="EU581" s="569"/>
      <c r="EV581" s="569"/>
      <c r="EW581" s="569"/>
      <c r="EX581" s="569"/>
      <c r="EY581" s="569"/>
      <c r="EZ581" s="569"/>
      <c r="FA581" s="569"/>
      <c r="FB581" s="569"/>
      <c r="FC581" s="569"/>
      <c r="FD581" s="569"/>
      <c r="FE581" s="569"/>
      <c r="FF581" s="569"/>
      <c r="FG581" s="569"/>
      <c r="FH581" s="569"/>
      <c r="FI581" s="569"/>
      <c r="FJ581" s="569"/>
      <c r="FK581" s="569"/>
      <c r="FL581" s="569"/>
      <c r="FM581" s="569"/>
      <c r="FN581" s="569"/>
      <c r="FO581" s="569"/>
      <c r="FP581" s="569"/>
      <c r="FQ581" s="569"/>
      <c r="FR581" s="569"/>
      <c r="FS581" s="569"/>
      <c r="FT581" s="569"/>
      <c r="FU581" s="569"/>
      <c r="FV581" s="569"/>
      <c r="FW581" s="569"/>
      <c r="FX581" s="569"/>
      <c r="FY581" s="569"/>
      <c r="FZ581" s="569"/>
      <c r="GA581" s="569"/>
      <c r="GB581" s="569"/>
      <c r="GC581" s="569"/>
      <c r="GD581" s="569"/>
      <c r="GE581" s="569"/>
      <c r="GF581" s="569"/>
      <c r="GG581" s="569"/>
      <c r="GH581" s="569"/>
      <c r="GI581" s="569"/>
      <c r="GJ581" s="569"/>
      <c r="GK581" s="569"/>
      <c r="GL581" s="569"/>
      <c r="GM581" s="569"/>
      <c r="GN581" s="569"/>
      <c r="GO581" s="569"/>
      <c r="GP581" s="569"/>
      <c r="GQ581" s="569"/>
      <c r="GR581" s="569"/>
      <c r="GS581" s="569"/>
      <c r="GT581" s="569"/>
      <c r="GU581" s="569"/>
      <c r="GV581" s="569"/>
      <c r="GW581" s="569"/>
      <c r="GX581" s="569"/>
      <c r="GY581" s="569"/>
      <c r="GZ581" s="569"/>
      <c r="HA581" s="569"/>
      <c r="HB581" s="569"/>
      <c r="HC581" s="569"/>
      <c r="HD581" s="569"/>
      <c r="HE581" s="569"/>
      <c r="HF581" s="569"/>
      <c r="HG581" s="569"/>
      <c r="HH581" s="569"/>
      <c r="HI581" s="569"/>
      <c r="HJ581" s="569"/>
      <c r="HK581" s="569"/>
      <c r="HL581" s="569"/>
      <c r="HM581" s="569"/>
      <c r="HN581" s="569"/>
      <c r="HO581" s="569"/>
      <c r="HP581" s="569"/>
      <c r="HQ581" s="569"/>
      <c r="HR581" s="569"/>
      <c r="HS581" s="569"/>
      <c r="HT581" s="569"/>
      <c r="HU581" s="569"/>
      <c r="HV581" s="569"/>
      <c r="HW581" s="569"/>
      <c r="HX581" s="569"/>
      <c r="HY581" s="569"/>
      <c r="HZ581" s="569"/>
      <c r="IA581" s="569"/>
      <c r="IB581" s="569"/>
      <c r="IC581" s="569"/>
      <c r="ID581" s="569"/>
      <c r="IE581" s="569"/>
      <c r="IF581" s="569"/>
      <c r="IG581" s="569"/>
      <c r="IH581" s="569"/>
      <c r="II581" s="569"/>
      <c r="IJ581" s="569"/>
      <c r="IK581" s="569"/>
      <c r="IL581" s="569"/>
      <c r="IM581" s="569"/>
      <c r="IN581" s="569"/>
      <c r="IO581" s="569"/>
      <c r="IP581" s="569"/>
      <c r="IQ581" s="569"/>
      <c r="IR581" s="569"/>
      <c r="IS581" s="569"/>
      <c r="IT581" s="569"/>
      <c r="IU581" s="569"/>
      <c r="IV581" s="569"/>
      <c r="IW581" s="569"/>
      <c r="IX581" s="569"/>
      <c r="IY581" s="569"/>
      <c r="IZ581" s="569"/>
      <c r="JA581" s="569"/>
      <c r="JB581" s="569"/>
      <c r="JC581" s="569"/>
      <c r="JD581" s="569"/>
      <c r="JE581" s="569"/>
      <c r="JF581" s="569"/>
      <c r="JG581" s="569"/>
      <c r="JH581" s="569"/>
      <c r="JI581" s="569"/>
      <c r="JJ581" s="569"/>
      <c r="JK581" s="569"/>
      <c r="JL581" s="569"/>
      <c r="JM581" s="569"/>
      <c r="JN581" s="569"/>
      <c r="JO581" s="569"/>
      <c r="JP581" s="569"/>
      <c r="JQ581" s="569"/>
      <c r="JR581" s="569"/>
      <c r="JS581" s="569"/>
      <c r="JT581" s="569"/>
      <c r="JU581" s="569"/>
      <c r="JV581" s="569"/>
      <c r="JW581" s="569"/>
      <c r="JX581" s="569"/>
      <c r="JY581" s="569"/>
      <c r="JZ581" s="569"/>
      <c r="KA581" s="569"/>
      <c r="KB581" s="569"/>
      <c r="KC581" s="569"/>
      <c r="KD581" s="569"/>
      <c r="KE581" s="569"/>
      <c r="KF581" s="569"/>
      <c r="KG581" s="569"/>
      <c r="KH581" s="569"/>
      <c r="KI581" s="569"/>
      <c r="KJ581" s="569"/>
      <c r="KK581" s="569"/>
      <c r="KL581" s="569"/>
      <c r="KM581" s="569"/>
      <c r="KN581" s="569"/>
      <c r="KO581" s="569"/>
      <c r="KP581" s="569"/>
      <c r="KQ581" s="569"/>
      <c r="KR581" s="569"/>
      <c r="KS581" s="569"/>
      <c r="KT581" s="569"/>
      <c r="KU581" s="569"/>
      <c r="KV581" s="569"/>
      <c r="KW581" s="569"/>
      <c r="KX581" s="569"/>
      <c r="KY581" s="569"/>
      <c r="KZ581" s="569"/>
      <c r="LA581" s="569"/>
      <c r="LB581" s="569"/>
      <c r="LC581" s="569"/>
      <c r="LD581" s="569"/>
      <c r="LE581" s="569"/>
      <c r="LF581" s="569"/>
      <c r="LG581" s="569"/>
      <c r="LH581" s="569"/>
      <c r="LI581" s="569"/>
      <c r="LJ581" s="569"/>
      <c r="LK581" s="569"/>
      <c r="LL581" s="569"/>
      <c r="LM581" s="569"/>
      <c r="LN581" s="569"/>
      <c r="LO581" s="569"/>
      <c r="LP581" s="569"/>
      <c r="LQ581" s="569"/>
      <c r="LR581" s="569"/>
      <c r="LS581" s="569"/>
      <c r="LT581" s="569"/>
      <c r="LU581" s="569"/>
      <c r="LV581" s="569"/>
      <c r="LW581" s="569"/>
      <c r="LX581" s="569"/>
      <c r="LY581" s="569"/>
      <c r="LZ581" s="569"/>
      <c r="MA581" s="569"/>
      <c r="MB581" s="569"/>
      <c r="MC581" s="569"/>
      <c r="MD581" s="569"/>
      <c r="ME581" s="569"/>
      <c r="MF581" s="569"/>
      <c r="MG581" s="569"/>
      <c r="MH581" s="569"/>
      <c r="MI581" s="569"/>
      <c r="MJ581" s="569"/>
      <c r="MK581" s="569"/>
      <c r="ML581" s="569"/>
      <c r="MM581" s="569"/>
      <c r="MN581" s="569"/>
      <c r="MO581" s="569"/>
      <c r="MP581" s="569"/>
      <c r="MQ581" s="569"/>
      <c r="MR581" s="569"/>
      <c r="MS581" s="569"/>
      <c r="MT581" s="569"/>
      <c r="MU581" s="569"/>
      <c r="MV581" s="569"/>
      <c r="MW581" s="569"/>
      <c r="MX581" s="569"/>
      <c r="MY581" s="569"/>
      <c r="MZ581" s="569"/>
      <c r="NA581" s="569"/>
      <c r="NB581" s="569"/>
      <c r="NC581" s="569"/>
      <c r="ND581" s="569"/>
      <c r="NE581" s="569"/>
      <c r="NF581" s="569"/>
      <c r="NG581" s="569"/>
      <c r="NH581" s="569"/>
      <c r="NI581" s="569"/>
      <c r="NJ581" s="569"/>
      <c r="NK581" s="569"/>
      <c r="NL581" s="569"/>
      <c r="NM581" s="569"/>
      <c r="NN581" s="569"/>
      <c r="NO581" s="569"/>
      <c r="NP581" s="569"/>
      <c r="NQ581" s="569"/>
      <c r="NR581" s="569"/>
      <c r="NS581" s="569"/>
      <c r="NT581" s="569"/>
      <c r="NU581" s="569"/>
      <c r="NV581" s="569"/>
      <c r="NW581" s="569"/>
      <c r="NX581" s="569"/>
      <c r="NY581" s="569"/>
      <c r="NZ581" s="569"/>
      <c r="OA581" s="569"/>
      <c r="OB581" s="569"/>
      <c r="OC581" s="569"/>
      <c r="OD581" s="569"/>
      <c r="OE581" s="569"/>
      <c r="OF581" s="569"/>
      <c r="OG581" s="569"/>
      <c r="OH581" s="569"/>
      <c r="OI581" s="569"/>
      <c r="OJ581" s="569"/>
      <c r="OK581" s="569"/>
      <c r="OL581" s="569"/>
      <c r="OM581" s="569"/>
      <c r="ON581" s="569"/>
      <c r="OO581" s="569"/>
      <c r="OP581" s="569"/>
      <c r="OQ581" s="569"/>
      <c r="OR581" s="569"/>
      <c r="OS581" s="569"/>
      <c r="OT581" s="569"/>
      <c r="OU581" s="569"/>
      <c r="OV581" s="569"/>
      <c r="OW581" s="569"/>
      <c r="OX581" s="569"/>
      <c r="OY581" s="569"/>
      <c r="OZ581" s="569"/>
      <c r="PA581" s="569"/>
      <c r="PB581" s="569"/>
      <c r="PC581" s="569"/>
      <c r="PD581" s="569"/>
      <c r="PE581" s="569"/>
      <c r="PF581" s="569"/>
      <c r="PG581" s="569"/>
      <c r="PH581" s="569"/>
      <c r="PI581" s="569"/>
      <c r="PJ581" s="569"/>
      <c r="PK581" s="569"/>
      <c r="PL581" s="569"/>
      <c r="PM581" s="569"/>
      <c r="PN581" s="569"/>
      <c r="PO581" s="569"/>
      <c r="PP581" s="569"/>
      <c r="PQ581" s="569"/>
      <c r="PR581" s="569"/>
      <c r="PS581" s="569"/>
      <c r="PT581" s="569"/>
      <c r="PU581" s="569"/>
      <c r="PV581" s="569"/>
      <c r="PW581" s="569"/>
      <c r="PX581" s="569"/>
      <c r="PY581" s="569"/>
      <c r="PZ581" s="569"/>
      <c r="QA581" s="569"/>
      <c r="QB581" s="569"/>
      <c r="QC581" s="569"/>
      <c r="QD581" s="569"/>
      <c r="QE581" s="569"/>
      <c r="QF581" s="569"/>
      <c r="QG581" s="569"/>
      <c r="QH581" s="569"/>
      <c r="QI581" s="569"/>
      <c r="QJ581" s="569"/>
      <c r="QK581" s="569"/>
      <c r="QL581" s="569"/>
    </row>
    <row r="582" spans="1:454" ht="30">
      <c r="D582" s="568"/>
      <c r="E582" s="568"/>
      <c r="F582" s="568"/>
      <c r="G582" s="568"/>
      <c r="H582" s="563" t="str">
        <f>'matrik MISI 2'!N51</f>
        <v>Cakupan Penyusunan Profil Desa/Kelurahan</v>
      </c>
      <c r="I582" s="563" t="str">
        <f>'matrik MISI 2'!O51</f>
        <v>%</v>
      </c>
      <c r="J582" s="563">
        <f>'matrik MISI 2'!P51</f>
        <v>0</v>
      </c>
      <c r="K582" s="563">
        <f>'matrik MISI 2'!Q51</f>
        <v>48</v>
      </c>
      <c r="L582" s="563">
        <f>'matrik MISI 2'!R51</f>
        <v>69</v>
      </c>
      <c r="M582" s="604"/>
      <c r="N582" s="563">
        <f>'matrik MISI 2'!S51</f>
        <v>87</v>
      </c>
      <c r="O582" s="564"/>
      <c r="P582" s="563">
        <f>'matrik MISI 2'!T51</f>
        <v>100</v>
      </c>
      <c r="Q582" s="564"/>
      <c r="R582" s="563">
        <f>'matrik MISI 2'!U51</f>
        <v>100</v>
      </c>
      <c r="S582" s="564"/>
      <c r="T582" s="563">
        <f>'matrik MISI 2'!V51</f>
        <v>100</v>
      </c>
      <c r="U582" s="564"/>
      <c r="V582" s="563">
        <f>'matrik MISI 2'!W51</f>
        <v>100</v>
      </c>
      <c r="W582" s="564"/>
      <c r="X582" s="563" t="str">
        <f>'matrik MISI 2'!X51</f>
        <v>BAPERMADES</v>
      </c>
      <c r="Y582" s="563" t="str">
        <f>'matrik MISI 2'!Y51</f>
        <v>Jumlah Desa dan Kelurahan yang telah menyusun profil secara lengkap dan benar dibagi Jumlah Desa dan Kelurahan x 100</v>
      </c>
      <c r="Z582" s="563">
        <f>'matrik MISI 2'!Z51</f>
        <v>0</v>
      </c>
    </row>
    <row r="583" spans="1:454" s="570" customFormat="1">
      <c r="A583" s="569"/>
      <c r="B583" s="571"/>
      <c r="C583" s="572"/>
      <c r="D583" s="573"/>
      <c r="E583" s="573"/>
      <c r="F583" s="573"/>
      <c r="G583" s="573"/>
      <c r="H583" s="573"/>
      <c r="I583" s="573"/>
      <c r="J583" s="573"/>
      <c r="K583" s="573"/>
      <c r="L583" s="573"/>
      <c r="M583" s="604"/>
      <c r="N583" s="573"/>
      <c r="O583" s="564"/>
      <c r="P583" s="573"/>
      <c r="Q583" s="564"/>
      <c r="R583" s="573"/>
      <c r="S583" s="564"/>
      <c r="T583" s="573"/>
      <c r="U583" s="564"/>
      <c r="V583" s="573"/>
      <c r="W583" s="564"/>
      <c r="X583" s="573"/>
      <c r="Y583" s="573"/>
      <c r="Z583" s="573"/>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T583" s="569"/>
      <c r="BU583" s="569"/>
      <c r="BV583" s="569"/>
      <c r="BW583" s="569"/>
      <c r="BX583" s="569"/>
      <c r="BY583" s="569"/>
      <c r="BZ583" s="569"/>
      <c r="CA583" s="569"/>
      <c r="CB583" s="569"/>
      <c r="CC583" s="569"/>
      <c r="CD583" s="569"/>
      <c r="CE583" s="569"/>
      <c r="CF583" s="569"/>
      <c r="CG583" s="569"/>
      <c r="CH583" s="569"/>
      <c r="CI583" s="569"/>
      <c r="CJ583" s="569"/>
      <c r="CK583" s="569"/>
      <c r="CL583" s="569"/>
      <c r="CM583" s="569"/>
      <c r="CN583" s="569"/>
      <c r="CO583" s="569"/>
      <c r="CP583" s="569"/>
      <c r="CQ583" s="569"/>
      <c r="CR583" s="569"/>
      <c r="CS583" s="569"/>
      <c r="CT583" s="569"/>
      <c r="CU583" s="569"/>
      <c r="CV583" s="569"/>
      <c r="CW583" s="569"/>
      <c r="CX583" s="569"/>
      <c r="CY583" s="569"/>
      <c r="CZ583" s="569"/>
      <c r="DA583" s="569"/>
      <c r="DB583" s="569"/>
      <c r="DC583" s="569"/>
      <c r="DD583" s="569"/>
      <c r="DE583" s="569"/>
      <c r="DF583" s="569"/>
      <c r="DG583" s="569"/>
      <c r="DH583" s="569"/>
      <c r="DI583" s="569"/>
      <c r="DJ583" s="569"/>
      <c r="DK583" s="569"/>
      <c r="DL583" s="569"/>
      <c r="DM583" s="569"/>
      <c r="DN583" s="569"/>
      <c r="DO583" s="569"/>
      <c r="DP583" s="569"/>
      <c r="DQ583" s="569"/>
      <c r="DR583" s="569"/>
      <c r="DS583" s="569"/>
      <c r="DT583" s="569"/>
      <c r="DU583" s="569"/>
      <c r="DV583" s="569"/>
      <c r="DW583" s="569"/>
      <c r="DX583" s="569"/>
      <c r="DY583" s="569"/>
      <c r="DZ583" s="569"/>
      <c r="EA583" s="569"/>
      <c r="EB583" s="569"/>
      <c r="EC583" s="569"/>
      <c r="ED583" s="569"/>
      <c r="EE583" s="569"/>
      <c r="EF583" s="569"/>
      <c r="EG583" s="569"/>
      <c r="EH583" s="569"/>
      <c r="EI583" s="569"/>
      <c r="EJ583" s="569"/>
      <c r="EK583" s="569"/>
      <c r="EL583" s="569"/>
      <c r="EM583" s="569"/>
      <c r="EN583" s="569"/>
      <c r="EO583" s="569"/>
      <c r="EP583" s="569"/>
      <c r="EQ583" s="569"/>
      <c r="ER583" s="569"/>
      <c r="ES583" s="569"/>
      <c r="ET583" s="569"/>
      <c r="EU583" s="569"/>
      <c r="EV583" s="569"/>
      <c r="EW583" s="569"/>
      <c r="EX583" s="569"/>
      <c r="EY583" s="569"/>
      <c r="EZ583" s="569"/>
      <c r="FA583" s="569"/>
      <c r="FB583" s="569"/>
      <c r="FC583" s="569"/>
      <c r="FD583" s="569"/>
      <c r="FE583" s="569"/>
      <c r="FF583" s="569"/>
      <c r="FG583" s="569"/>
      <c r="FH583" s="569"/>
      <c r="FI583" s="569"/>
      <c r="FJ583" s="569"/>
      <c r="FK583" s="569"/>
      <c r="FL583" s="569"/>
      <c r="FM583" s="569"/>
      <c r="FN583" s="569"/>
      <c r="FO583" s="569"/>
      <c r="FP583" s="569"/>
      <c r="FQ583" s="569"/>
      <c r="FR583" s="569"/>
      <c r="FS583" s="569"/>
      <c r="FT583" s="569"/>
      <c r="FU583" s="569"/>
      <c r="FV583" s="569"/>
      <c r="FW583" s="569"/>
      <c r="FX583" s="569"/>
      <c r="FY583" s="569"/>
      <c r="FZ583" s="569"/>
      <c r="GA583" s="569"/>
      <c r="GB583" s="569"/>
      <c r="GC583" s="569"/>
      <c r="GD583" s="569"/>
      <c r="GE583" s="569"/>
      <c r="GF583" s="569"/>
      <c r="GG583" s="569"/>
      <c r="GH583" s="569"/>
      <c r="GI583" s="569"/>
      <c r="GJ583" s="569"/>
      <c r="GK583" s="569"/>
      <c r="GL583" s="569"/>
      <c r="GM583" s="569"/>
      <c r="GN583" s="569"/>
      <c r="GO583" s="569"/>
      <c r="GP583" s="569"/>
      <c r="GQ583" s="569"/>
      <c r="GR583" s="569"/>
      <c r="GS583" s="569"/>
      <c r="GT583" s="569"/>
      <c r="GU583" s="569"/>
      <c r="GV583" s="569"/>
      <c r="GW583" s="569"/>
      <c r="GX583" s="569"/>
      <c r="GY583" s="569"/>
      <c r="GZ583" s="569"/>
      <c r="HA583" s="569"/>
      <c r="HB583" s="569"/>
      <c r="HC583" s="569"/>
      <c r="HD583" s="569"/>
      <c r="HE583" s="569"/>
      <c r="HF583" s="569"/>
      <c r="HG583" s="569"/>
      <c r="HH583" s="569"/>
      <c r="HI583" s="569"/>
      <c r="HJ583" s="569"/>
      <c r="HK583" s="569"/>
      <c r="HL583" s="569"/>
      <c r="HM583" s="569"/>
      <c r="HN583" s="569"/>
      <c r="HO583" s="569"/>
      <c r="HP583" s="569"/>
      <c r="HQ583" s="569"/>
      <c r="HR583" s="569"/>
      <c r="HS583" s="569"/>
      <c r="HT583" s="569"/>
      <c r="HU583" s="569"/>
      <c r="HV583" s="569"/>
      <c r="HW583" s="569"/>
      <c r="HX583" s="569"/>
      <c r="HY583" s="569"/>
      <c r="HZ583" s="569"/>
      <c r="IA583" s="569"/>
      <c r="IB583" s="569"/>
      <c r="IC583" s="569"/>
      <c r="ID583" s="569"/>
      <c r="IE583" s="569"/>
      <c r="IF583" s="569"/>
      <c r="IG583" s="569"/>
      <c r="IH583" s="569"/>
      <c r="II583" s="569"/>
      <c r="IJ583" s="569"/>
      <c r="IK583" s="569"/>
      <c r="IL583" s="569"/>
      <c r="IM583" s="569"/>
      <c r="IN583" s="569"/>
      <c r="IO583" s="569"/>
      <c r="IP583" s="569"/>
      <c r="IQ583" s="569"/>
      <c r="IR583" s="569"/>
      <c r="IS583" s="569"/>
      <c r="IT583" s="569"/>
      <c r="IU583" s="569"/>
      <c r="IV583" s="569"/>
      <c r="IW583" s="569"/>
      <c r="IX583" s="569"/>
      <c r="IY583" s="569"/>
      <c r="IZ583" s="569"/>
      <c r="JA583" s="569"/>
      <c r="JB583" s="569"/>
      <c r="JC583" s="569"/>
      <c r="JD583" s="569"/>
      <c r="JE583" s="569"/>
      <c r="JF583" s="569"/>
      <c r="JG583" s="569"/>
      <c r="JH583" s="569"/>
      <c r="JI583" s="569"/>
      <c r="JJ583" s="569"/>
      <c r="JK583" s="569"/>
      <c r="JL583" s="569"/>
      <c r="JM583" s="569"/>
      <c r="JN583" s="569"/>
      <c r="JO583" s="569"/>
      <c r="JP583" s="569"/>
      <c r="JQ583" s="569"/>
      <c r="JR583" s="569"/>
      <c r="JS583" s="569"/>
      <c r="JT583" s="569"/>
      <c r="JU583" s="569"/>
      <c r="JV583" s="569"/>
      <c r="JW583" s="569"/>
      <c r="JX583" s="569"/>
      <c r="JY583" s="569"/>
      <c r="JZ583" s="569"/>
      <c r="KA583" s="569"/>
      <c r="KB583" s="569"/>
      <c r="KC583" s="569"/>
      <c r="KD583" s="569"/>
      <c r="KE583" s="569"/>
      <c r="KF583" s="569"/>
      <c r="KG583" s="569"/>
      <c r="KH583" s="569"/>
      <c r="KI583" s="569"/>
      <c r="KJ583" s="569"/>
      <c r="KK583" s="569"/>
      <c r="KL583" s="569"/>
      <c r="KM583" s="569"/>
      <c r="KN583" s="569"/>
      <c r="KO583" s="569"/>
      <c r="KP583" s="569"/>
      <c r="KQ583" s="569"/>
      <c r="KR583" s="569"/>
      <c r="KS583" s="569"/>
      <c r="KT583" s="569"/>
      <c r="KU583" s="569"/>
      <c r="KV583" s="569"/>
      <c r="KW583" s="569"/>
      <c r="KX583" s="569"/>
      <c r="KY583" s="569"/>
      <c r="KZ583" s="569"/>
      <c r="LA583" s="569"/>
      <c r="LB583" s="569"/>
      <c r="LC583" s="569"/>
      <c r="LD583" s="569"/>
      <c r="LE583" s="569"/>
      <c r="LF583" s="569"/>
      <c r="LG583" s="569"/>
      <c r="LH583" s="569"/>
      <c r="LI583" s="569"/>
      <c r="LJ583" s="569"/>
      <c r="LK583" s="569"/>
      <c r="LL583" s="569"/>
      <c r="LM583" s="569"/>
      <c r="LN583" s="569"/>
      <c r="LO583" s="569"/>
      <c r="LP583" s="569"/>
      <c r="LQ583" s="569"/>
      <c r="LR583" s="569"/>
      <c r="LS583" s="569"/>
      <c r="LT583" s="569"/>
      <c r="LU583" s="569"/>
      <c r="LV583" s="569"/>
      <c r="LW583" s="569"/>
      <c r="LX583" s="569"/>
      <c r="LY583" s="569"/>
      <c r="LZ583" s="569"/>
      <c r="MA583" s="569"/>
      <c r="MB583" s="569"/>
      <c r="MC583" s="569"/>
      <c r="MD583" s="569"/>
      <c r="ME583" s="569"/>
      <c r="MF583" s="569"/>
      <c r="MG583" s="569"/>
      <c r="MH583" s="569"/>
      <c r="MI583" s="569"/>
      <c r="MJ583" s="569"/>
      <c r="MK583" s="569"/>
      <c r="ML583" s="569"/>
      <c r="MM583" s="569"/>
      <c r="MN583" s="569"/>
      <c r="MO583" s="569"/>
      <c r="MP583" s="569"/>
      <c r="MQ583" s="569"/>
      <c r="MR583" s="569"/>
      <c r="MS583" s="569"/>
      <c r="MT583" s="569"/>
      <c r="MU583" s="569"/>
      <c r="MV583" s="569"/>
      <c r="MW583" s="569"/>
      <c r="MX583" s="569"/>
      <c r="MY583" s="569"/>
      <c r="MZ583" s="569"/>
      <c r="NA583" s="569"/>
      <c r="NB583" s="569"/>
      <c r="NC583" s="569"/>
      <c r="ND583" s="569"/>
      <c r="NE583" s="569"/>
      <c r="NF583" s="569"/>
      <c r="NG583" s="569"/>
      <c r="NH583" s="569"/>
      <c r="NI583" s="569"/>
      <c r="NJ583" s="569"/>
      <c r="NK583" s="569"/>
      <c r="NL583" s="569"/>
      <c r="NM583" s="569"/>
      <c r="NN583" s="569"/>
      <c r="NO583" s="569"/>
      <c r="NP583" s="569"/>
      <c r="NQ583" s="569"/>
      <c r="NR583" s="569"/>
      <c r="NS583" s="569"/>
      <c r="NT583" s="569"/>
      <c r="NU583" s="569"/>
      <c r="NV583" s="569"/>
      <c r="NW583" s="569"/>
      <c r="NX583" s="569"/>
      <c r="NY583" s="569"/>
      <c r="NZ583" s="569"/>
      <c r="OA583" s="569"/>
      <c r="OB583" s="569"/>
      <c r="OC583" s="569"/>
      <c r="OD583" s="569"/>
      <c r="OE583" s="569"/>
      <c r="OF583" s="569"/>
      <c r="OG583" s="569"/>
      <c r="OH583" s="569"/>
      <c r="OI583" s="569"/>
      <c r="OJ583" s="569"/>
      <c r="OK583" s="569"/>
      <c r="OL583" s="569"/>
      <c r="OM583" s="569"/>
      <c r="ON583" s="569"/>
      <c r="OO583" s="569"/>
      <c r="OP583" s="569"/>
      <c r="OQ583" s="569"/>
      <c r="OR583" s="569"/>
      <c r="OS583" s="569"/>
      <c r="OT583" s="569"/>
      <c r="OU583" s="569"/>
      <c r="OV583" s="569"/>
      <c r="OW583" s="569"/>
      <c r="OX583" s="569"/>
      <c r="OY583" s="569"/>
      <c r="OZ583" s="569"/>
      <c r="PA583" s="569"/>
      <c r="PB583" s="569"/>
      <c r="PC583" s="569"/>
      <c r="PD583" s="569"/>
      <c r="PE583" s="569"/>
      <c r="PF583" s="569"/>
      <c r="PG583" s="569"/>
      <c r="PH583" s="569"/>
      <c r="PI583" s="569"/>
      <c r="PJ583" s="569"/>
      <c r="PK583" s="569"/>
      <c r="PL583" s="569"/>
      <c r="PM583" s="569"/>
      <c r="PN583" s="569"/>
      <c r="PO583" s="569"/>
      <c r="PP583" s="569"/>
      <c r="PQ583" s="569"/>
      <c r="PR583" s="569"/>
      <c r="PS583" s="569"/>
      <c r="PT583" s="569"/>
      <c r="PU583" s="569"/>
      <c r="PV583" s="569"/>
      <c r="PW583" s="569"/>
      <c r="PX583" s="569"/>
      <c r="PY583" s="569"/>
      <c r="PZ583" s="569"/>
      <c r="QA583" s="569"/>
      <c r="QB583" s="569"/>
      <c r="QC583" s="569"/>
      <c r="QD583" s="569"/>
      <c r="QE583" s="569"/>
      <c r="QF583" s="569"/>
      <c r="QG583" s="569"/>
      <c r="QH583" s="569"/>
      <c r="QI583" s="569"/>
      <c r="QJ583" s="569"/>
      <c r="QK583" s="569"/>
      <c r="QL583" s="569"/>
    </row>
    <row r="584" spans="1:454" s="574" customFormat="1" ht="45">
      <c r="A584" s="569"/>
      <c r="B584" s="575">
        <v>23</v>
      </c>
      <c r="C584" s="576" t="str">
        <f>'matrik MISI 6'!B104</f>
        <v>STATISTIK</v>
      </c>
      <c r="D584" s="577">
        <f>'matrik MISI 6'!J105</f>
        <v>1.23</v>
      </c>
      <c r="E584" s="577" t="str">
        <f>'matrik MISI 6'!K105</f>
        <v>xx</v>
      </c>
      <c r="F584" s="577">
        <f>'matrik MISI 6'!L105</f>
        <v>15</v>
      </c>
      <c r="G584" s="577" t="str">
        <f>'matrik MISI 6'!M105</f>
        <v>Program Pengembangan Data/Informasi/Statistik Daerah</v>
      </c>
      <c r="H584" s="577"/>
      <c r="I584" s="577"/>
      <c r="J584" s="577"/>
      <c r="K584" s="577"/>
      <c r="L584" s="577"/>
      <c r="M584" s="578">
        <f>'jangan di hapus 1'!K1175</f>
        <v>761542000</v>
      </c>
      <c r="N584" s="578">
        <f>'jangan di hapus 1'!L1175</f>
        <v>0</v>
      </c>
      <c r="O584" s="578">
        <f>'jangan di hapus 1'!M1175</f>
        <v>641029000</v>
      </c>
      <c r="P584" s="578">
        <f>'jangan di hapus 1'!N1175</f>
        <v>0</v>
      </c>
      <c r="Q584" s="578">
        <f>'jangan di hapus 1'!O1175</f>
        <v>688632000</v>
      </c>
      <c r="R584" s="578">
        <f>'jangan di hapus 1'!P1175</f>
        <v>0</v>
      </c>
      <c r="S584" s="578">
        <f>'jangan di hapus 1'!Q1175</f>
        <v>1017995000</v>
      </c>
      <c r="T584" s="578">
        <f>'jangan di hapus 1'!R1175</f>
        <v>0</v>
      </c>
      <c r="U584" s="578">
        <f>'jangan di hapus 1'!S1175</f>
        <v>884294000</v>
      </c>
      <c r="V584" s="578"/>
      <c r="W584" s="578">
        <f>SUM(M584:U584)</f>
        <v>3993492000</v>
      </c>
      <c r="X584" s="577"/>
      <c r="Y584" s="577"/>
      <c r="Z584" s="577"/>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T584" s="569"/>
      <c r="BU584" s="569"/>
      <c r="BV584" s="569"/>
      <c r="BW584" s="569"/>
      <c r="BX584" s="569"/>
      <c r="BY584" s="569"/>
      <c r="BZ584" s="569"/>
      <c r="CA584" s="569"/>
      <c r="CB584" s="569"/>
      <c r="CC584" s="569"/>
      <c r="CD584" s="569"/>
      <c r="CE584" s="569"/>
      <c r="CF584" s="569"/>
      <c r="CG584" s="569"/>
      <c r="CH584" s="569"/>
      <c r="CI584" s="569"/>
      <c r="CJ584" s="569"/>
      <c r="CK584" s="569"/>
      <c r="CL584" s="569"/>
      <c r="CM584" s="569"/>
      <c r="CN584" s="569"/>
      <c r="CO584" s="569"/>
      <c r="CP584" s="569"/>
      <c r="CQ584" s="569"/>
      <c r="CR584" s="569"/>
      <c r="CS584" s="569"/>
      <c r="CT584" s="569"/>
      <c r="CU584" s="569"/>
      <c r="CV584" s="569"/>
      <c r="CW584" s="569"/>
      <c r="CX584" s="569"/>
      <c r="CY584" s="569"/>
      <c r="CZ584" s="569"/>
      <c r="DA584" s="569"/>
      <c r="DB584" s="569"/>
      <c r="DC584" s="569"/>
      <c r="DD584" s="569"/>
      <c r="DE584" s="569"/>
      <c r="DF584" s="569"/>
      <c r="DG584" s="569"/>
      <c r="DH584" s="569"/>
      <c r="DI584" s="569"/>
      <c r="DJ584" s="569"/>
      <c r="DK584" s="569"/>
      <c r="DL584" s="569"/>
      <c r="DM584" s="569"/>
      <c r="DN584" s="569"/>
      <c r="DO584" s="569"/>
      <c r="DP584" s="569"/>
      <c r="DQ584" s="569"/>
      <c r="DR584" s="569"/>
      <c r="DS584" s="569"/>
      <c r="DT584" s="569"/>
      <c r="DU584" s="569"/>
      <c r="DV584" s="569"/>
      <c r="DW584" s="569"/>
      <c r="DX584" s="569"/>
      <c r="DY584" s="569"/>
      <c r="DZ584" s="569"/>
      <c r="EA584" s="569"/>
      <c r="EB584" s="569"/>
      <c r="EC584" s="569"/>
      <c r="ED584" s="569"/>
      <c r="EE584" s="569"/>
      <c r="EF584" s="569"/>
      <c r="EG584" s="569"/>
      <c r="EH584" s="569"/>
      <c r="EI584" s="569"/>
      <c r="EJ584" s="569"/>
      <c r="EK584" s="569"/>
      <c r="EL584" s="569"/>
      <c r="EM584" s="569"/>
      <c r="EN584" s="569"/>
      <c r="EO584" s="569"/>
      <c r="EP584" s="569"/>
      <c r="EQ584" s="569"/>
      <c r="ER584" s="569"/>
      <c r="ES584" s="569"/>
      <c r="ET584" s="569"/>
      <c r="EU584" s="569"/>
      <c r="EV584" s="569"/>
      <c r="EW584" s="569"/>
      <c r="EX584" s="569"/>
      <c r="EY584" s="569"/>
      <c r="EZ584" s="569"/>
      <c r="FA584" s="569"/>
      <c r="FB584" s="569"/>
      <c r="FC584" s="569"/>
      <c r="FD584" s="569"/>
      <c r="FE584" s="569"/>
      <c r="FF584" s="569"/>
      <c r="FG584" s="569"/>
      <c r="FH584" s="569"/>
      <c r="FI584" s="569"/>
      <c r="FJ584" s="569"/>
      <c r="FK584" s="569"/>
      <c r="FL584" s="569"/>
      <c r="FM584" s="569"/>
      <c r="FN584" s="569"/>
      <c r="FO584" s="569"/>
      <c r="FP584" s="569"/>
      <c r="FQ584" s="569"/>
      <c r="FR584" s="569"/>
      <c r="FS584" s="569"/>
      <c r="FT584" s="569"/>
      <c r="FU584" s="569"/>
      <c r="FV584" s="569"/>
      <c r="FW584" s="569"/>
      <c r="FX584" s="569"/>
      <c r="FY584" s="569"/>
      <c r="FZ584" s="569"/>
      <c r="GA584" s="569"/>
      <c r="GB584" s="569"/>
      <c r="GC584" s="569"/>
      <c r="GD584" s="569"/>
      <c r="GE584" s="569"/>
      <c r="GF584" s="569"/>
      <c r="GG584" s="569"/>
      <c r="GH584" s="569"/>
      <c r="GI584" s="569"/>
      <c r="GJ584" s="569"/>
      <c r="GK584" s="569"/>
      <c r="GL584" s="569"/>
      <c r="GM584" s="569"/>
      <c r="GN584" s="569"/>
      <c r="GO584" s="569"/>
      <c r="GP584" s="569"/>
      <c r="GQ584" s="569"/>
      <c r="GR584" s="569"/>
      <c r="GS584" s="569"/>
      <c r="GT584" s="569"/>
      <c r="GU584" s="569"/>
      <c r="GV584" s="569"/>
      <c r="GW584" s="569"/>
      <c r="GX584" s="569"/>
      <c r="GY584" s="569"/>
      <c r="GZ584" s="569"/>
      <c r="HA584" s="569"/>
      <c r="HB584" s="569"/>
      <c r="HC584" s="569"/>
      <c r="HD584" s="569"/>
      <c r="HE584" s="569"/>
      <c r="HF584" s="569"/>
      <c r="HG584" s="569"/>
      <c r="HH584" s="569"/>
      <c r="HI584" s="569"/>
      <c r="HJ584" s="569"/>
      <c r="HK584" s="569"/>
      <c r="HL584" s="569"/>
      <c r="HM584" s="569"/>
      <c r="HN584" s="569"/>
      <c r="HO584" s="569"/>
      <c r="HP584" s="569"/>
      <c r="HQ584" s="569"/>
      <c r="HR584" s="569"/>
      <c r="HS584" s="569"/>
      <c r="HT584" s="569"/>
      <c r="HU584" s="569"/>
      <c r="HV584" s="569"/>
      <c r="HW584" s="569"/>
      <c r="HX584" s="569"/>
      <c r="HY584" s="569"/>
      <c r="HZ584" s="569"/>
      <c r="IA584" s="569"/>
      <c r="IB584" s="569"/>
      <c r="IC584" s="569"/>
      <c r="ID584" s="569"/>
      <c r="IE584" s="569"/>
      <c r="IF584" s="569"/>
      <c r="IG584" s="569"/>
      <c r="IH584" s="569"/>
      <c r="II584" s="569"/>
      <c r="IJ584" s="569"/>
      <c r="IK584" s="569"/>
      <c r="IL584" s="569"/>
      <c r="IM584" s="569"/>
      <c r="IN584" s="569"/>
      <c r="IO584" s="569"/>
      <c r="IP584" s="569"/>
      <c r="IQ584" s="569"/>
      <c r="IR584" s="569"/>
      <c r="IS584" s="569"/>
      <c r="IT584" s="569"/>
      <c r="IU584" s="569"/>
      <c r="IV584" s="569"/>
      <c r="IW584" s="569"/>
      <c r="IX584" s="569"/>
      <c r="IY584" s="569"/>
      <c r="IZ584" s="569"/>
      <c r="JA584" s="569"/>
      <c r="JB584" s="569"/>
      <c r="JC584" s="569"/>
      <c r="JD584" s="569"/>
      <c r="JE584" s="569"/>
      <c r="JF584" s="569"/>
      <c r="JG584" s="569"/>
      <c r="JH584" s="569"/>
      <c r="JI584" s="569"/>
      <c r="JJ584" s="569"/>
      <c r="JK584" s="569"/>
      <c r="JL584" s="569"/>
      <c r="JM584" s="569"/>
      <c r="JN584" s="569"/>
      <c r="JO584" s="569"/>
      <c r="JP584" s="569"/>
      <c r="JQ584" s="569"/>
      <c r="JR584" s="569"/>
      <c r="JS584" s="569"/>
      <c r="JT584" s="569"/>
      <c r="JU584" s="569"/>
      <c r="JV584" s="569"/>
      <c r="JW584" s="569"/>
      <c r="JX584" s="569"/>
      <c r="JY584" s="569"/>
      <c r="JZ584" s="569"/>
      <c r="KA584" s="569"/>
      <c r="KB584" s="569"/>
      <c r="KC584" s="569"/>
      <c r="KD584" s="569"/>
      <c r="KE584" s="569"/>
      <c r="KF584" s="569"/>
      <c r="KG584" s="569"/>
      <c r="KH584" s="569"/>
      <c r="KI584" s="569"/>
      <c r="KJ584" s="569"/>
      <c r="KK584" s="569"/>
      <c r="KL584" s="569"/>
      <c r="KM584" s="569"/>
      <c r="KN584" s="569"/>
      <c r="KO584" s="569"/>
      <c r="KP584" s="569"/>
      <c r="KQ584" s="569"/>
      <c r="KR584" s="569"/>
      <c r="KS584" s="569"/>
      <c r="KT584" s="569"/>
      <c r="KU584" s="569"/>
      <c r="KV584" s="569"/>
      <c r="KW584" s="569"/>
      <c r="KX584" s="569"/>
      <c r="KY584" s="569"/>
      <c r="KZ584" s="569"/>
      <c r="LA584" s="569"/>
      <c r="LB584" s="569"/>
      <c r="LC584" s="569"/>
      <c r="LD584" s="569"/>
      <c r="LE584" s="569"/>
      <c r="LF584" s="569"/>
      <c r="LG584" s="569"/>
      <c r="LH584" s="569"/>
      <c r="LI584" s="569"/>
      <c r="LJ584" s="569"/>
      <c r="LK584" s="569"/>
      <c r="LL584" s="569"/>
      <c r="LM584" s="569"/>
      <c r="LN584" s="569"/>
      <c r="LO584" s="569"/>
      <c r="LP584" s="569"/>
      <c r="LQ584" s="569"/>
      <c r="LR584" s="569"/>
      <c r="LS584" s="569"/>
      <c r="LT584" s="569"/>
      <c r="LU584" s="569"/>
      <c r="LV584" s="569"/>
      <c r="LW584" s="569"/>
      <c r="LX584" s="569"/>
      <c r="LY584" s="569"/>
      <c r="LZ584" s="569"/>
      <c r="MA584" s="569"/>
      <c r="MB584" s="569"/>
      <c r="MC584" s="569"/>
      <c r="MD584" s="569"/>
      <c r="ME584" s="569"/>
      <c r="MF584" s="569"/>
      <c r="MG584" s="569"/>
      <c r="MH584" s="569"/>
      <c r="MI584" s="569"/>
      <c r="MJ584" s="569"/>
      <c r="MK584" s="569"/>
      <c r="ML584" s="569"/>
      <c r="MM584" s="569"/>
      <c r="MN584" s="569"/>
      <c r="MO584" s="569"/>
      <c r="MP584" s="569"/>
      <c r="MQ584" s="569"/>
      <c r="MR584" s="569"/>
      <c r="MS584" s="569"/>
      <c r="MT584" s="569"/>
      <c r="MU584" s="569"/>
      <c r="MV584" s="569"/>
      <c r="MW584" s="569"/>
      <c r="MX584" s="569"/>
      <c r="MY584" s="569"/>
      <c r="MZ584" s="569"/>
      <c r="NA584" s="569"/>
      <c r="NB584" s="569"/>
      <c r="NC584" s="569"/>
      <c r="ND584" s="569"/>
      <c r="NE584" s="569"/>
      <c r="NF584" s="569"/>
      <c r="NG584" s="569"/>
      <c r="NH584" s="569"/>
      <c r="NI584" s="569"/>
      <c r="NJ584" s="569"/>
      <c r="NK584" s="569"/>
      <c r="NL584" s="569"/>
      <c r="NM584" s="569"/>
      <c r="NN584" s="569"/>
      <c r="NO584" s="569"/>
      <c r="NP584" s="569"/>
      <c r="NQ584" s="569"/>
      <c r="NR584" s="569"/>
      <c r="NS584" s="569"/>
      <c r="NT584" s="569"/>
      <c r="NU584" s="569"/>
      <c r="NV584" s="569"/>
      <c r="NW584" s="569"/>
      <c r="NX584" s="569"/>
      <c r="NY584" s="569"/>
      <c r="NZ584" s="569"/>
      <c r="OA584" s="569"/>
      <c r="OB584" s="569"/>
      <c r="OC584" s="569"/>
      <c r="OD584" s="569"/>
      <c r="OE584" s="569"/>
      <c r="OF584" s="569"/>
      <c r="OG584" s="569"/>
      <c r="OH584" s="569"/>
      <c r="OI584" s="569"/>
      <c r="OJ584" s="569"/>
      <c r="OK584" s="569"/>
      <c r="OL584" s="569"/>
      <c r="OM584" s="569"/>
      <c r="ON584" s="569"/>
      <c r="OO584" s="569"/>
      <c r="OP584" s="569"/>
      <c r="OQ584" s="569"/>
      <c r="OR584" s="569"/>
      <c r="OS584" s="569"/>
      <c r="OT584" s="569"/>
      <c r="OU584" s="569"/>
      <c r="OV584" s="569"/>
      <c r="OW584" s="569"/>
      <c r="OX584" s="569"/>
      <c r="OY584" s="569"/>
      <c r="OZ584" s="569"/>
      <c r="PA584" s="569"/>
      <c r="PB584" s="569"/>
      <c r="PC584" s="569"/>
      <c r="PD584" s="569"/>
      <c r="PE584" s="569"/>
      <c r="PF584" s="569"/>
      <c r="PG584" s="569"/>
      <c r="PH584" s="569"/>
      <c r="PI584" s="569"/>
      <c r="PJ584" s="569"/>
      <c r="PK584" s="569"/>
      <c r="PL584" s="569"/>
      <c r="PM584" s="569"/>
      <c r="PN584" s="569"/>
      <c r="PO584" s="569"/>
      <c r="PP584" s="569"/>
      <c r="PQ584" s="569"/>
      <c r="PR584" s="569"/>
      <c r="PS584" s="569"/>
      <c r="PT584" s="569"/>
      <c r="PU584" s="569"/>
      <c r="PV584" s="569"/>
      <c r="PW584" s="569"/>
      <c r="PX584" s="569"/>
      <c r="PY584" s="569"/>
      <c r="PZ584" s="569"/>
      <c r="QA584" s="569"/>
      <c r="QB584" s="569"/>
      <c r="QC584" s="569"/>
      <c r="QD584" s="569"/>
      <c r="QE584" s="569"/>
      <c r="QF584" s="569"/>
      <c r="QG584" s="569"/>
      <c r="QH584" s="569"/>
      <c r="QI584" s="569"/>
      <c r="QJ584" s="569"/>
      <c r="QK584" s="569"/>
      <c r="QL584" s="569"/>
    </row>
    <row r="585" spans="1:454" ht="30">
      <c r="B585" s="568"/>
      <c r="C585" s="568"/>
      <c r="D585" s="568"/>
      <c r="E585" s="568"/>
      <c r="F585" s="568"/>
      <c r="G585" s="568"/>
      <c r="H585" s="563" t="str">
        <f>'matrik MISI 6'!N105</f>
        <v xml:space="preserve">Besaran ketersediaan data statistik </v>
      </c>
      <c r="I585" s="563" t="str">
        <f>'matrik MISI 6'!O105</f>
        <v>dokumen</v>
      </c>
      <c r="J585" s="563">
        <f>'matrik MISI 6'!P105</f>
        <v>9</v>
      </c>
      <c r="K585" s="563">
        <f>'matrik MISI 6'!Q105</f>
        <v>9</v>
      </c>
      <c r="L585" s="563">
        <f>'matrik MISI 6'!R105</f>
        <v>8</v>
      </c>
      <c r="M585" s="604"/>
      <c r="N585" s="563">
        <f>'matrik MISI 6'!S105</f>
        <v>8</v>
      </c>
      <c r="O585" s="564"/>
      <c r="P585" s="563">
        <f>'matrik MISI 6'!T105</f>
        <v>8</v>
      </c>
      <c r="Q585" s="564"/>
      <c r="R585" s="563">
        <f>'matrik MISI 6'!U105</f>
        <v>9</v>
      </c>
      <c r="S585" s="564"/>
      <c r="T585" s="563">
        <f>'matrik MISI 6'!V105</f>
        <v>9</v>
      </c>
      <c r="U585" s="564"/>
      <c r="V585" s="563">
        <f>'matrik MISI 6'!W105</f>
        <v>9</v>
      </c>
      <c r="W585" s="564"/>
      <c r="X585" s="563" t="str">
        <f>'matrik MISI 6'!X105</f>
        <v>Bappeda</v>
      </c>
      <c r="Y585" s="563" t="str">
        <f>'matrik MISI 6'!Y105</f>
        <v xml:space="preserve">Jumlah dokumen data statistik </v>
      </c>
      <c r="Z585" s="563" t="str">
        <f>'matrik MISI 6'!Z105</f>
        <v>meliputi data statistik dasar, sektoral, khusus, dan data daerah</v>
      </c>
    </row>
    <row r="586" spans="1:454" s="570" customFormat="1">
      <c r="A586" s="569"/>
      <c r="B586" s="571"/>
      <c r="C586" s="572"/>
      <c r="D586" s="573"/>
      <c r="E586" s="573"/>
      <c r="F586" s="573"/>
      <c r="G586" s="573"/>
      <c r="H586" s="573"/>
      <c r="I586" s="573"/>
      <c r="J586" s="573"/>
      <c r="K586" s="573"/>
      <c r="L586" s="573"/>
      <c r="M586" s="604"/>
      <c r="N586" s="573"/>
      <c r="O586" s="564"/>
      <c r="P586" s="573"/>
      <c r="Q586" s="564"/>
      <c r="R586" s="573"/>
      <c r="S586" s="564"/>
      <c r="T586" s="573"/>
      <c r="U586" s="564"/>
      <c r="V586" s="573"/>
      <c r="W586" s="564"/>
      <c r="X586" s="573"/>
      <c r="Y586" s="573"/>
      <c r="Z586" s="573"/>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T586" s="569"/>
      <c r="BU586" s="569"/>
      <c r="BV586" s="569"/>
      <c r="BW586" s="569"/>
      <c r="BX586" s="569"/>
      <c r="BY586" s="569"/>
      <c r="BZ586" s="569"/>
      <c r="CA586" s="569"/>
      <c r="CB586" s="569"/>
      <c r="CC586" s="569"/>
      <c r="CD586" s="569"/>
      <c r="CE586" s="569"/>
      <c r="CF586" s="569"/>
      <c r="CG586" s="569"/>
      <c r="CH586" s="569"/>
      <c r="CI586" s="569"/>
      <c r="CJ586" s="569"/>
      <c r="CK586" s="569"/>
      <c r="CL586" s="569"/>
      <c r="CM586" s="569"/>
      <c r="CN586" s="569"/>
      <c r="CO586" s="569"/>
      <c r="CP586" s="569"/>
      <c r="CQ586" s="569"/>
      <c r="CR586" s="569"/>
      <c r="CS586" s="569"/>
      <c r="CT586" s="569"/>
      <c r="CU586" s="569"/>
      <c r="CV586" s="569"/>
      <c r="CW586" s="569"/>
      <c r="CX586" s="569"/>
      <c r="CY586" s="569"/>
      <c r="CZ586" s="569"/>
      <c r="DA586" s="569"/>
      <c r="DB586" s="569"/>
      <c r="DC586" s="569"/>
      <c r="DD586" s="569"/>
      <c r="DE586" s="569"/>
      <c r="DF586" s="569"/>
      <c r="DG586" s="569"/>
      <c r="DH586" s="569"/>
      <c r="DI586" s="569"/>
      <c r="DJ586" s="569"/>
      <c r="DK586" s="569"/>
      <c r="DL586" s="569"/>
      <c r="DM586" s="569"/>
      <c r="DN586" s="569"/>
      <c r="DO586" s="569"/>
      <c r="DP586" s="569"/>
      <c r="DQ586" s="569"/>
      <c r="DR586" s="569"/>
      <c r="DS586" s="569"/>
      <c r="DT586" s="569"/>
      <c r="DU586" s="569"/>
      <c r="DV586" s="569"/>
      <c r="DW586" s="569"/>
      <c r="DX586" s="569"/>
      <c r="DY586" s="569"/>
      <c r="DZ586" s="569"/>
      <c r="EA586" s="569"/>
      <c r="EB586" s="569"/>
      <c r="EC586" s="569"/>
      <c r="ED586" s="569"/>
      <c r="EE586" s="569"/>
      <c r="EF586" s="569"/>
      <c r="EG586" s="569"/>
      <c r="EH586" s="569"/>
      <c r="EI586" s="569"/>
      <c r="EJ586" s="569"/>
      <c r="EK586" s="569"/>
      <c r="EL586" s="569"/>
      <c r="EM586" s="569"/>
      <c r="EN586" s="569"/>
      <c r="EO586" s="569"/>
      <c r="EP586" s="569"/>
      <c r="EQ586" s="569"/>
      <c r="ER586" s="569"/>
      <c r="ES586" s="569"/>
      <c r="ET586" s="569"/>
      <c r="EU586" s="569"/>
      <c r="EV586" s="569"/>
      <c r="EW586" s="569"/>
      <c r="EX586" s="569"/>
      <c r="EY586" s="569"/>
      <c r="EZ586" s="569"/>
      <c r="FA586" s="569"/>
      <c r="FB586" s="569"/>
      <c r="FC586" s="569"/>
      <c r="FD586" s="569"/>
      <c r="FE586" s="569"/>
      <c r="FF586" s="569"/>
      <c r="FG586" s="569"/>
      <c r="FH586" s="569"/>
      <c r="FI586" s="569"/>
      <c r="FJ586" s="569"/>
      <c r="FK586" s="569"/>
      <c r="FL586" s="569"/>
      <c r="FM586" s="569"/>
      <c r="FN586" s="569"/>
      <c r="FO586" s="569"/>
      <c r="FP586" s="569"/>
      <c r="FQ586" s="569"/>
      <c r="FR586" s="569"/>
      <c r="FS586" s="569"/>
      <c r="FT586" s="569"/>
      <c r="FU586" s="569"/>
      <c r="FV586" s="569"/>
      <c r="FW586" s="569"/>
      <c r="FX586" s="569"/>
      <c r="FY586" s="569"/>
      <c r="FZ586" s="569"/>
      <c r="GA586" s="569"/>
      <c r="GB586" s="569"/>
      <c r="GC586" s="569"/>
      <c r="GD586" s="569"/>
      <c r="GE586" s="569"/>
      <c r="GF586" s="569"/>
      <c r="GG586" s="569"/>
      <c r="GH586" s="569"/>
      <c r="GI586" s="569"/>
      <c r="GJ586" s="569"/>
      <c r="GK586" s="569"/>
      <c r="GL586" s="569"/>
      <c r="GM586" s="569"/>
      <c r="GN586" s="569"/>
      <c r="GO586" s="569"/>
      <c r="GP586" s="569"/>
      <c r="GQ586" s="569"/>
      <c r="GR586" s="569"/>
      <c r="GS586" s="569"/>
      <c r="GT586" s="569"/>
      <c r="GU586" s="569"/>
      <c r="GV586" s="569"/>
      <c r="GW586" s="569"/>
      <c r="GX586" s="569"/>
      <c r="GY586" s="569"/>
      <c r="GZ586" s="569"/>
      <c r="HA586" s="569"/>
      <c r="HB586" s="569"/>
      <c r="HC586" s="569"/>
      <c r="HD586" s="569"/>
      <c r="HE586" s="569"/>
      <c r="HF586" s="569"/>
      <c r="HG586" s="569"/>
      <c r="HH586" s="569"/>
      <c r="HI586" s="569"/>
      <c r="HJ586" s="569"/>
      <c r="HK586" s="569"/>
      <c r="HL586" s="569"/>
      <c r="HM586" s="569"/>
      <c r="HN586" s="569"/>
      <c r="HO586" s="569"/>
      <c r="HP586" s="569"/>
      <c r="HQ586" s="569"/>
      <c r="HR586" s="569"/>
      <c r="HS586" s="569"/>
      <c r="HT586" s="569"/>
      <c r="HU586" s="569"/>
      <c r="HV586" s="569"/>
      <c r="HW586" s="569"/>
      <c r="HX586" s="569"/>
      <c r="HY586" s="569"/>
      <c r="HZ586" s="569"/>
      <c r="IA586" s="569"/>
      <c r="IB586" s="569"/>
      <c r="IC586" s="569"/>
      <c r="ID586" s="569"/>
      <c r="IE586" s="569"/>
      <c r="IF586" s="569"/>
      <c r="IG586" s="569"/>
      <c r="IH586" s="569"/>
      <c r="II586" s="569"/>
      <c r="IJ586" s="569"/>
      <c r="IK586" s="569"/>
      <c r="IL586" s="569"/>
      <c r="IM586" s="569"/>
      <c r="IN586" s="569"/>
      <c r="IO586" s="569"/>
      <c r="IP586" s="569"/>
      <c r="IQ586" s="569"/>
      <c r="IR586" s="569"/>
      <c r="IS586" s="569"/>
      <c r="IT586" s="569"/>
      <c r="IU586" s="569"/>
      <c r="IV586" s="569"/>
      <c r="IW586" s="569"/>
      <c r="IX586" s="569"/>
      <c r="IY586" s="569"/>
      <c r="IZ586" s="569"/>
      <c r="JA586" s="569"/>
      <c r="JB586" s="569"/>
      <c r="JC586" s="569"/>
      <c r="JD586" s="569"/>
      <c r="JE586" s="569"/>
      <c r="JF586" s="569"/>
      <c r="JG586" s="569"/>
      <c r="JH586" s="569"/>
      <c r="JI586" s="569"/>
      <c r="JJ586" s="569"/>
      <c r="JK586" s="569"/>
      <c r="JL586" s="569"/>
      <c r="JM586" s="569"/>
      <c r="JN586" s="569"/>
      <c r="JO586" s="569"/>
      <c r="JP586" s="569"/>
      <c r="JQ586" s="569"/>
      <c r="JR586" s="569"/>
      <c r="JS586" s="569"/>
      <c r="JT586" s="569"/>
      <c r="JU586" s="569"/>
      <c r="JV586" s="569"/>
      <c r="JW586" s="569"/>
      <c r="JX586" s="569"/>
      <c r="JY586" s="569"/>
      <c r="JZ586" s="569"/>
      <c r="KA586" s="569"/>
      <c r="KB586" s="569"/>
      <c r="KC586" s="569"/>
      <c r="KD586" s="569"/>
      <c r="KE586" s="569"/>
      <c r="KF586" s="569"/>
      <c r="KG586" s="569"/>
      <c r="KH586" s="569"/>
      <c r="KI586" s="569"/>
      <c r="KJ586" s="569"/>
      <c r="KK586" s="569"/>
      <c r="KL586" s="569"/>
      <c r="KM586" s="569"/>
      <c r="KN586" s="569"/>
      <c r="KO586" s="569"/>
      <c r="KP586" s="569"/>
      <c r="KQ586" s="569"/>
      <c r="KR586" s="569"/>
      <c r="KS586" s="569"/>
      <c r="KT586" s="569"/>
      <c r="KU586" s="569"/>
      <c r="KV586" s="569"/>
      <c r="KW586" s="569"/>
      <c r="KX586" s="569"/>
      <c r="KY586" s="569"/>
      <c r="KZ586" s="569"/>
      <c r="LA586" s="569"/>
      <c r="LB586" s="569"/>
      <c r="LC586" s="569"/>
      <c r="LD586" s="569"/>
      <c r="LE586" s="569"/>
      <c r="LF586" s="569"/>
      <c r="LG586" s="569"/>
      <c r="LH586" s="569"/>
      <c r="LI586" s="569"/>
      <c r="LJ586" s="569"/>
      <c r="LK586" s="569"/>
      <c r="LL586" s="569"/>
      <c r="LM586" s="569"/>
      <c r="LN586" s="569"/>
      <c r="LO586" s="569"/>
      <c r="LP586" s="569"/>
      <c r="LQ586" s="569"/>
      <c r="LR586" s="569"/>
      <c r="LS586" s="569"/>
      <c r="LT586" s="569"/>
      <c r="LU586" s="569"/>
      <c r="LV586" s="569"/>
      <c r="LW586" s="569"/>
      <c r="LX586" s="569"/>
      <c r="LY586" s="569"/>
      <c r="LZ586" s="569"/>
      <c r="MA586" s="569"/>
      <c r="MB586" s="569"/>
      <c r="MC586" s="569"/>
      <c r="MD586" s="569"/>
      <c r="ME586" s="569"/>
      <c r="MF586" s="569"/>
      <c r="MG586" s="569"/>
      <c r="MH586" s="569"/>
      <c r="MI586" s="569"/>
      <c r="MJ586" s="569"/>
      <c r="MK586" s="569"/>
      <c r="ML586" s="569"/>
      <c r="MM586" s="569"/>
      <c r="MN586" s="569"/>
      <c r="MO586" s="569"/>
      <c r="MP586" s="569"/>
      <c r="MQ586" s="569"/>
      <c r="MR586" s="569"/>
      <c r="MS586" s="569"/>
      <c r="MT586" s="569"/>
      <c r="MU586" s="569"/>
      <c r="MV586" s="569"/>
      <c r="MW586" s="569"/>
      <c r="MX586" s="569"/>
      <c r="MY586" s="569"/>
      <c r="MZ586" s="569"/>
      <c r="NA586" s="569"/>
      <c r="NB586" s="569"/>
      <c r="NC586" s="569"/>
      <c r="ND586" s="569"/>
      <c r="NE586" s="569"/>
      <c r="NF586" s="569"/>
      <c r="NG586" s="569"/>
      <c r="NH586" s="569"/>
      <c r="NI586" s="569"/>
      <c r="NJ586" s="569"/>
      <c r="NK586" s="569"/>
      <c r="NL586" s="569"/>
      <c r="NM586" s="569"/>
      <c r="NN586" s="569"/>
      <c r="NO586" s="569"/>
      <c r="NP586" s="569"/>
      <c r="NQ586" s="569"/>
      <c r="NR586" s="569"/>
      <c r="NS586" s="569"/>
      <c r="NT586" s="569"/>
      <c r="NU586" s="569"/>
      <c r="NV586" s="569"/>
      <c r="NW586" s="569"/>
      <c r="NX586" s="569"/>
      <c r="NY586" s="569"/>
      <c r="NZ586" s="569"/>
      <c r="OA586" s="569"/>
      <c r="OB586" s="569"/>
      <c r="OC586" s="569"/>
      <c r="OD586" s="569"/>
      <c r="OE586" s="569"/>
      <c r="OF586" s="569"/>
      <c r="OG586" s="569"/>
      <c r="OH586" s="569"/>
      <c r="OI586" s="569"/>
      <c r="OJ586" s="569"/>
      <c r="OK586" s="569"/>
      <c r="OL586" s="569"/>
      <c r="OM586" s="569"/>
      <c r="ON586" s="569"/>
      <c r="OO586" s="569"/>
      <c r="OP586" s="569"/>
      <c r="OQ586" s="569"/>
      <c r="OR586" s="569"/>
      <c r="OS586" s="569"/>
      <c r="OT586" s="569"/>
      <c r="OU586" s="569"/>
      <c r="OV586" s="569"/>
      <c r="OW586" s="569"/>
      <c r="OX586" s="569"/>
      <c r="OY586" s="569"/>
      <c r="OZ586" s="569"/>
      <c r="PA586" s="569"/>
      <c r="PB586" s="569"/>
      <c r="PC586" s="569"/>
      <c r="PD586" s="569"/>
      <c r="PE586" s="569"/>
      <c r="PF586" s="569"/>
      <c r="PG586" s="569"/>
      <c r="PH586" s="569"/>
      <c r="PI586" s="569"/>
      <c r="PJ586" s="569"/>
      <c r="PK586" s="569"/>
      <c r="PL586" s="569"/>
      <c r="PM586" s="569"/>
      <c r="PN586" s="569"/>
      <c r="PO586" s="569"/>
      <c r="PP586" s="569"/>
      <c r="PQ586" s="569"/>
      <c r="PR586" s="569"/>
      <c r="PS586" s="569"/>
      <c r="PT586" s="569"/>
      <c r="PU586" s="569"/>
      <c r="PV586" s="569"/>
      <c r="PW586" s="569"/>
      <c r="PX586" s="569"/>
      <c r="PY586" s="569"/>
      <c r="PZ586" s="569"/>
      <c r="QA586" s="569"/>
      <c r="QB586" s="569"/>
      <c r="QC586" s="569"/>
      <c r="QD586" s="569"/>
      <c r="QE586" s="569"/>
      <c r="QF586" s="569"/>
      <c r="QG586" s="569"/>
      <c r="QH586" s="569"/>
      <c r="QI586" s="569"/>
      <c r="QJ586" s="569"/>
      <c r="QK586" s="569"/>
      <c r="QL586" s="569"/>
    </row>
    <row r="587" spans="1:454" s="574" customFormat="1" ht="45">
      <c r="A587" s="569"/>
      <c r="B587" s="575">
        <v>24</v>
      </c>
      <c r="C587" s="576" t="str">
        <f>'matrik MISI 6'!B74</f>
        <v>KEARSIPAN</v>
      </c>
      <c r="D587" s="577">
        <f>'matrik MISI 6'!J75</f>
        <v>1.24</v>
      </c>
      <c r="E587" s="577" t="str">
        <f>'matrik MISI 6'!K75</f>
        <v>xx</v>
      </c>
      <c r="F587" s="577">
        <f>'matrik MISI 6'!L75</f>
        <v>15</v>
      </c>
      <c r="G587" s="577" t="str">
        <f>'matrik MISI 6'!M75</f>
        <v>Program Perbaikan Sistem Administrasi Kearsipan Daerah</v>
      </c>
      <c r="H587" s="577"/>
      <c r="I587" s="577"/>
      <c r="J587" s="577"/>
      <c r="K587" s="577"/>
      <c r="L587" s="577"/>
      <c r="M587" s="578">
        <f>'jangan di hapus 1'!K1182</f>
        <v>80000000</v>
      </c>
      <c r="N587" s="578">
        <f>'jangan di hapus 1'!L1182</f>
        <v>0</v>
      </c>
      <c r="O587" s="578">
        <f>'jangan di hapus 1'!M1182</f>
        <v>80000000</v>
      </c>
      <c r="P587" s="578">
        <f>'jangan di hapus 1'!N1182</f>
        <v>0</v>
      </c>
      <c r="Q587" s="578">
        <f>'jangan di hapus 1'!O1182</f>
        <v>80000000</v>
      </c>
      <c r="R587" s="578">
        <f>'jangan di hapus 1'!P1182</f>
        <v>0</v>
      </c>
      <c r="S587" s="578">
        <f>'jangan di hapus 1'!Q1182</f>
        <v>80000000</v>
      </c>
      <c r="T587" s="578">
        <f>'jangan di hapus 1'!R1182</f>
        <v>0</v>
      </c>
      <c r="U587" s="578">
        <f>'jangan di hapus 1'!S1182</f>
        <v>80000000</v>
      </c>
      <c r="V587" s="578"/>
      <c r="W587" s="578">
        <f>SUM(M587:U587)</f>
        <v>400000000</v>
      </c>
      <c r="X587" s="578"/>
      <c r="Y587" s="578"/>
      <c r="Z587" s="578"/>
      <c r="AA587" s="677"/>
      <c r="AB587" s="677"/>
      <c r="AC587" s="677"/>
      <c r="AD587" s="677"/>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T587" s="569"/>
      <c r="BU587" s="569"/>
      <c r="BV587" s="569"/>
      <c r="BW587" s="569"/>
      <c r="BX587" s="569"/>
      <c r="BY587" s="569"/>
      <c r="BZ587" s="569"/>
      <c r="CA587" s="569"/>
      <c r="CB587" s="569"/>
      <c r="CC587" s="569"/>
      <c r="CD587" s="569"/>
      <c r="CE587" s="569"/>
      <c r="CF587" s="569"/>
      <c r="CG587" s="569"/>
      <c r="CH587" s="569"/>
      <c r="CI587" s="569"/>
      <c r="CJ587" s="569"/>
      <c r="CK587" s="569"/>
      <c r="CL587" s="569"/>
      <c r="CM587" s="569"/>
      <c r="CN587" s="569"/>
      <c r="CO587" s="569"/>
      <c r="CP587" s="569"/>
      <c r="CQ587" s="569"/>
      <c r="CR587" s="569"/>
      <c r="CS587" s="569"/>
      <c r="CT587" s="569"/>
      <c r="CU587" s="569"/>
      <c r="CV587" s="569"/>
      <c r="CW587" s="569"/>
      <c r="CX587" s="569"/>
      <c r="CY587" s="569"/>
      <c r="CZ587" s="569"/>
      <c r="DA587" s="569"/>
      <c r="DB587" s="569"/>
      <c r="DC587" s="569"/>
      <c r="DD587" s="569"/>
      <c r="DE587" s="569"/>
      <c r="DF587" s="569"/>
      <c r="DG587" s="569"/>
      <c r="DH587" s="569"/>
      <c r="DI587" s="569"/>
      <c r="DJ587" s="569"/>
      <c r="DK587" s="569"/>
      <c r="DL587" s="569"/>
      <c r="DM587" s="569"/>
      <c r="DN587" s="569"/>
      <c r="DO587" s="569"/>
      <c r="DP587" s="569"/>
      <c r="DQ587" s="569"/>
      <c r="DR587" s="569"/>
      <c r="DS587" s="569"/>
      <c r="DT587" s="569"/>
      <c r="DU587" s="569"/>
      <c r="DV587" s="569"/>
      <c r="DW587" s="569"/>
      <c r="DX587" s="569"/>
      <c r="DY587" s="569"/>
      <c r="DZ587" s="569"/>
      <c r="EA587" s="569"/>
      <c r="EB587" s="569"/>
      <c r="EC587" s="569"/>
      <c r="ED587" s="569"/>
      <c r="EE587" s="569"/>
      <c r="EF587" s="569"/>
      <c r="EG587" s="569"/>
      <c r="EH587" s="569"/>
      <c r="EI587" s="569"/>
      <c r="EJ587" s="569"/>
      <c r="EK587" s="569"/>
      <c r="EL587" s="569"/>
      <c r="EM587" s="569"/>
      <c r="EN587" s="569"/>
      <c r="EO587" s="569"/>
      <c r="EP587" s="569"/>
      <c r="EQ587" s="569"/>
      <c r="ER587" s="569"/>
      <c r="ES587" s="569"/>
      <c r="ET587" s="569"/>
      <c r="EU587" s="569"/>
      <c r="EV587" s="569"/>
      <c r="EW587" s="569"/>
      <c r="EX587" s="569"/>
      <c r="EY587" s="569"/>
      <c r="EZ587" s="569"/>
      <c r="FA587" s="569"/>
      <c r="FB587" s="569"/>
      <c r="FC587" s="569"/>
      <c r="FD587" s="569"/>
      <c r="FE587" s="569"/>
      <c r="FF587" s="569"/>
      <c r="FG587" s="569"/>
      <c r="FH587" s="569"/>
      <c r="FI587" s="569"/>
      <c r="FJ587" s="569"/>
      <c r="FK587" s="569"/>
      <c r="FL587" s="569"/>
      <c r="FM587" s="569"/>
      <c r="FN587" s="569"/>
      <c r="FO587" s="569"/>
      <c r="FP587" s="569"/>
      <c r="FQ587" s="569"/>
      <c r="FR587" s="569"/>
      <c r="FS587" s="569"/>
      <c r="FT587" s="569"/>
      <c r="FU587" s="569"/>
      <c r="FV587" s="569"/>
      <c r="FW587" s="569"/>
      <c r="FX587" s="569"/>
      <c r="FY587" s="569"/>
      <c r="FZ587" s="569"/>
      <c r="GA587" s="569"/>
      <c r="GB587" s="569"/>
      <c r="GC587" s="569"/>
      <c r="GD587" s="569"/>
      <c r="GE587" s="569"/>
      <c r="GF587" s="569"/>
      <c r="GG587" s="569"/>
      <c r="GH587" s="569"/>
      <c r="GI587" s="569"/>
      <c r="GJ587" s="569"/>
      <c r="GK587" s="569"/>
      <c r="GL587" s="569"/>
      <c r="GM587" s="569"/>
      <c r="GN587" s="569"/>
      <c r="GO587" s="569"/>
      <c r="GP587" s="569"/>
      <c r="GQ587" s="569"/>
      <c r="GR587" s="569"/>
      <c r="GS587" s="569"/>
      <c r="GT587" s="569"/>
      <c r="GU587" s="569"/>
      <c r="GV587" s="569"/>
      <c r="GW587" s="569"/>
      <c r="GX587" s="569"/>
      <c r="GY587" s="569"/>
      <c r="GZ587" s="569"/>
      <c r="HA587" s="569"/>
      <c r="HB587" s="569"/>
      <c r="HC587" s="569"/>
      <c r="HD587" s="569"/>
      <c r="HE587" s="569"/>
      <c r="HF587" s="569"/>
      <c r="HG587" s="569"/>
      <c r="HH587" s="569"/>
      <c r="HI587" s="569"/>
      <c r="HJ587" s="569"/>
      <c r="HK587" s="569"/>
      <c r="HL587" s="569"/>
      <c r="HM587" s="569"/>
      <c r="HN587" s="569"/>
      <c r="HO587" s="569"/>
      <c r="HP587" s="569"/>
      <c r="HQ587" s="569"/>
      <c r="HR587" s="569"/>
      <c r="HS587" s="569"/>
      <c r="HT587" s="569"/>
      <c r="HU587" s="569"/>
      <c r="HV587" s="569"/>
      <c r="HW587" s="569"/>
      <c r="HX587" s="569"/>
      <c r="HY587" s="569"/>
      <c r="HZ587" s="569"/>
      <c r="IA587" s="569"/>
      <c r="IB587" s="569"/>
      <c r="IC587" s="569"/>
      <c r="ID587" s="569"/>
      <c r="IE587" s="569"/>
      <c r="IF587" s="569"/>
      <c r="IG587" s="569"/>
      <c r="IH587" s="569"/>
      <c r="II587" s="569"/>
      <c r="IJ587" s="569"/>
      <c r="IK587" s="569"/>
      <c r="IL587" s="569"/>
      <c r="IM587" s="569"/>
      <c r="IN587" s="569"/>
      <c r="IO587" s="569"/>
      <c r="IP587" s="569"/>
      <c r="IQ587" s="569"/>
      <c r="IR587" s="569"/>
      <c r="IS587" s="569"/>
      <c r="IT587" s="569"/>
      <c r="IU587" s="569"/>
      <c r="IV587" s="569"/>
      <c r="IW587" s="569"/>
      <c r="IX587" s="569"/>
      <c r="IY587" s="569"/>
      <c r="IZ587" s="569"/>
      <c r="JA587" s="569"/>
      <c r="JB587" s="569"/>
      <c r="JC587" s="569"/>
      <c r="JD587" s="569"/>
      <c r="JE587" s="569"/>
      <c r="JF587" s="569"/>
      <c r="JG587" s="569"/>
      <c r="JH587" s="569"/>
      <c r="JI587" s="569"/>
      <c r="JJ587" s="569"/>
      <c r="JK587" s="569"/>
      <c r="JL587" s="569"/>
      <c r="JM587" s="569"/>
      <c r="JN587" s="569"/>
      <c r="JO587" s="569"/>
      <c r="JP587" s="569"/>
      <c r="JQ587" s="569"/>
      <c r="JR587" s="569"/>
      <c r="JS587" s="569"/>
      <c r="JT587" s="569"/>
      <c r="JU587" s="569"/>
      <c r="JV587" s="569"/>
      <c r="JW587" s="569"/>
      <c r="JX587" s="569"/>
      <c r="JY587" s="569"/>
      <c r="JZ587" s="569"/>
      <c r="KA587" s="569"/>
      <c r="KB587" s="569"/>
      <c r="KC587" s="569"/>
      <c r="KD587" s="569"/>
      <c r="KE587" s="569"/>
      <c r="KF587" s="569"/>
      <c r="KG587" s="569"/>
      <c r="KH587" s="569"/>
      <c r="KI587" s="569"/>
      <c r="KJ587" s="569"/>
      <c r="KK587" s="569"/>
      <c r="KL587" s="569"/>
      <c r="KM587" s="569"/>
      <c r="KN587" s="569"/>
      <c r="KO587" s="569"/>
      <c r="KP587" s="569"/>
      <c r="KQ587" s="569"/>
      <c r="KR587" s="569"/>
      <c r="KS587" s="569"/>
      <c r="KT587" s="569"/>
      <c r="KU587" s="569"/>
      <c r="KV587" s="569"/>
      <c r="KW587" s="569"/>
      <c r="KX587" s="569"/>
      <c r="KY587" s="569"/>
      <c r="KZ587" s="569"/>
      <c r="LA587" s="569"/>
      <c r="LB587" s="569"/>
      <c r="LC587" s="569"/>
      <c r="LD587" s="569"/>
      <c r="LE587" s="569"/>
      <c r="LF587" s="569"/>
      <c r="LG587" s="569"/>
      <c r="LH587" s="569"/>
      <c r="LI587" s="569"/>
      <c r="LJ587" s="569"/>
      <c r="LK587" s="569"/>
      <c r="LL587" s="569"/>
      <c r="LM587" s="569"/>
      <c r="LN587" s="569"/>
      <c r="LO587" s="569"/>
      <c r="LP587" s="569"/>
      <c r="LQ587" s="569"/>
      <c r="LR587" s="569"/>
      <c r="LS587" s="569"/>
      <c r="LT587" s="569"/>
      <c r="LU587" s="569"/>
      <c r="LV587" s="569"/>
      <c r="LW587" s="569"/>
      <c r="LX587" s="569"/>
      <c r="LY587" s="569"/>
      <c r="LZ587" s="569"/>
      <c r="MA587" s="569"/>
      <c r="MB587" s="569"/>
      <c r="MC587" s="569"/>
      <c r="MD587" s="569"/>
      <c r="ME587" s="569"/>
      <c r="MF587" s="569"/>
      <c r="MG587" s="569"/>
      <c r="MH587" s="569"/>
      <c r="MI587" s="569"/>
      <c r="MJ587" s="569"/>
      <c r="MK587" s="569"/>
      <c r="ML587" s="569"/>
      <c r="MM587" s="569"/>
      <c r="MN587" s="569"/>
      <c r="MO587" s="569"/>
      <c r="MP587" s="569"/>
      <c r="MQ587" s="569"/>
      <c r="MR587" s="569"/>
      <c r="MS587" s="569"/>
      <c r="MT587" s="569"/>
      <c r="MU587" s="569"/>
      <c r="MV587" s="569"/>
      <c r="MW587" s="569"/>
      <c r="MX587" s="569"/>
      <c r="MY587" s="569"/>
      <c r="MZ587" s="569"/>
      <c r="NA587" s="569"/>
      <c r="NB587" s="569"/>
      <c r="NC587" s="569"/>
      <c r="ND587" s="569"/>
      <c r="NE587" s="569"/>
      <c r="NF587" s="569"/>
      <c r="NG587" s="569"/>
      <c r="NH587" s="569"/>
      <c r="NI587" s="569"/>
      <c r="NJ587" s="569"/>
      <c r="NK587" s="569"/>
      <c r="NL587" s="569"/>
      <c r="NM587" s="569"/>
      <c r="NN587" s="569"/>
      <c r="NO587" s="569"/>
      <c r="NP587" s="569"/>
      <c r="NQ587" s="569"/>
      <c r="NR587" s="569"/>
      <c r="NS587" s="569"/>
      <c r="NT587" s="569"/>
      <c r="NU587" s="569"/>
      <c r="NV587" s="569"/>
      <c r="NW587" s="569"/>
      <c r="NX587" s="569"/>
      <c r="NY587" s="569"/>
      <c r="NZ587" s="569"/>
      <c r="OA587" s="569"/>
      <c r="OB587" s="569"/>
      <c r="OC587" s="569"/>
      <c r="OD587" s="569"/>
      <c r="OE587" s="569"/>
      <c r="OF587" s="569"/>
      <c r="OG587" s="569"/>
      <c r="OH587" s="569"/>
      <c r="OI587" s="569"/>
      <c r="OJ587" s="569"/>
      <c r="OK587" s="569"/>
      <c r="OL587" s="569"/>
      <c r="OM587" s="569"/>
      <c r="ON587" s="569"/>
      <c r="OO587" s="569"/>
      <c r="OP587" s="569"/>
      <c r="OQ587" s="569"/>
      <c r="OR587" s="569"/>
      <c r="OS587" s="569"/>
      <c r="OT587" s="569"/>
      <c r="OU587" s="569"/>
      <c r="OV587" s="569"/>
      <c r="OW587" s="569"/>
      <c r="OX587" s="569"/>
      <c r="OY587" s="569"/>
      <c r="OZ587" s="569"/>
      <c r="PA587" s="569"/>
      <c r="PB587" s="569"/>
      <c r="PC587" s="569"/>
      <c r="PD587" s="569"/>
      <c r="PE587" s="569"/>
      <c r="PF587" s="569"/>
      <c r="PG587" s="569"/>
      <c r="PH587" s="569"/>
      <c r="PI587" s="569"/>
      <c r="PJ587" s="569"/>
      <c r="PK587" s="569"/>
      <c r="PL587" s="569"/>
      <c r="PM587" s="569"/>
      <c r="PN587" s="569"/>
      <c r="PO587" s="569"/>
      <c r="PP587" s="569"/>
      <c r="PQ587" s="569"/>
      <c r="PR587" s="569"/>
      <c r="PS587" s="569"/>
      <c r="PT587" s="569"/>
      <c r="PU587" s="569"/>
      <c r="PV587" s="569"/>
      <c r="PW587" s="569"/>
      <c r="PX587" s="569"/>
      <c r="PY587" s="569"/>
      <c r="PZ587" s="569"/>
      <c r="QA587" s="569"/>
      <c r="QB587" s="569"/>
      <c r="QC587" s="569"/>
      <c r="QD587" s="569"/>
      <c r="QE587" s="569"/>
      <c r="QF587" s="569"/>
      <c r="QG587" s="569"/>
      <c r="QH587" s="569"/>
      <c r="QI587" s="569"/>
      <c r="QJ587" s="569"/>
      <c r="QK587" s="569"/>
      <c r="QL587" s="569"/>
    </row>
    <row r="588" spans="1:454" s="574" customFormat="1" ht="45">
      <c r="A588" s="569"/>
      <c r="B588" s="575"/>
      <c r="C588" s="576"/>
      <c r="D588" s="577">
        <f>'matrik MISI 6'!J76</f>
        <v>1.24</v>
      </c>
      <c r="E588" s="577" t="str">
        <f>'matrik MISI 6'!K76</f>
        <v>xx</v>
      </c>
      <c r="F588" s="577">
        <f>'matrik MISI 6'!L76</f>
        <v>16</v>
      </c>
      <c r="G588" s="577" t="str">
        <f>'matrik MISI 6'!M76</f>
        <v>Program Penyelamatan dan Pelestarian Dokumen/Arsip Daerah</v>
      </c>
      <c r="H588" s="577"/>
      <c r="I588" s="577"/>
      <c r="J588" s="577"/>
      <c r="K588" s="577"/>
      <c r="L588" s="577"/>
      <c r="M588" s="578">
        <f>'jangan di hapus 1'!K1185</f>
        <v>50000000</v>
      </c>
      <c r="N588" s="578"/>
      <c r="O588" s="578">
        <f>'jangan di hapus 1'!M1185</f>
        <v>90000000</v>
      </c>
      <c r="P588" s="578"/>
      <c r="Q588" s="578">
        <f>'jangan di hapus 1'!O1185</f>
        <v>40000000</v>
      </c>
      <c r="R588" s="578"/>
      <c r="S588" s="578">
        <f>'jangan di hapus 1'!Q1185</f>
        <v>95000000</v>
      </c>
      <c r="T588" s="578"/>
      <c r="U588" s="578">
        <f>'jangan di hapus 1'!S1185</f>
        <v>40000000</v>
      </c>
      <c r="V588" s="578"/>
      <c r="W588" s="578">
        <f>SUM(M588:U588)</f>
        <v>315000000</v>
      </c>
      <c r="X588" s="578"/>
      <c r="Y588" s="578"/>
      <c r="Z588" s="578"/>
      <c r="AA588" s="677"/>
      <c r="AB588" s="677"/>
      <c r="AC588" s="677"/>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T588" s="569"/>
      <c r="BU588" s="569"/>
      <c r="BV588" s="569"/>
      <c r="BW588" s="569"/>
      <c r="BX588" s="569"/>
      <c r="BY588" s="569"/>
      <c r="BZ588" s="569"/>
      <c r="CA588" s="569"/>
      <c r="CB588" s="569"/>
      <c r="CC588" s="569"/>
      <c r="CD588" s="569"/>
      <c r="CE588" s="569"/>
      <c r="CF588" s="569"/>
      <c r="CG588" s="569"/>
      <c r="CH588" s="569"/>
      <c r="CI588" s="569"/>
      <c r="CJ588" s="569"/>
      <c r="CK588" s="569"/>
      <c r="CL588" s="569"/>
      <c r="CM588" s="569"/>
      <c r="CN588" s="569"/>
      <c r="CO588" s="569"/>
      <c r="CP588" s="569"/>
      <c r="CQ588" s="569"/>
      <c r="CR588" s="569"/>
      <c r="CS588" s="569"/>
      <c r="CT588" s="569"/>
      <c r="CU588" s="569"/>
      <c r="CV588" s="569"/>
      <c r="CW588" s="569"/>
      <c r="CX588" s="569"/>
      <c r="CY588" s="569"/>
      <c r="CZ588" s="569"/>
      <c r="DA588" s="569"/>
      <c r="DB588" s="569"/>
      <c r="DC588" s="569"/>
      <c r="DD588" s="569"/>
      <c r="DE588" s="569"/>
      <c r="DF588" s="569"/>
      <c r="DG588" s="569"/>
      <c r="DH588" s="569"/>
      <c r="DI588" s="569"/>
      <c r="DJ588" s="569"/>
      <c r="DK588" s="569"/>
      <c r="DL588" s="569"/>
      <c r="DM588" s="569"/>
      <c r="DN588" s="569"/>
      <c r="DO588" s="569"/>
      <c r="DP588" s="569"/>
      <c r="DQ588" s="569"/>
      <c r="DR588" s="569"/>
      <c r="DS588" s="569"/>
      <c r="DT588" s="569"/>
      <c r="DU588" s="569"/>
      <c r="DV588" s="569"/>
      <c r="DW588" s="569"/>
      <c r="DX588" s="569"/>
      <c r="DY588" s="569"/>
      <c r="DZ588" s="569"/>
      <c r="EA588" s="569"/>
      <c r="EB588" s="569"/>
      <c r="EC588" s="569"/>
      <c r="ED588" s="569"/>
      <c r="EE588" s="569"/>
      <c r="EF588" s="569"/>
      <c r="EG588" s="569"/>
      <c r="EH588" s="569"/>
      <c r="EI588" s="569"/>
      <c r="EJ588" s="569"/>
      <c r="EK588" s="569"/>
      <c r="EL588" s="569"/>
      <c r="EM588" s="569"/>
      <c r="EN588" s="569"/>
      <c r="EO588" s="569"/>
      <c r="EP588" s="569"/>
      <c r="EQ588" s="569"/>
      <c r="ER588" s="569"/>
      <c r="ES588" s="569"/>
      <c r="ET588" s="569"/>
      <c r="EU588" s="569"/>
      <c r="EV588" s="569"/>
      <c r="EW588" s="569"/>
      <c r="EX588" s="569"/>
      <c r="EY588" s="569"/>
      <c r="EZ588" s="569"/>
      <c r="FA588" s="569"/>
      <c r="FB588" s="569"/>
      <c r="FC588" s="569"/>
      <c r="FD588" s="569"/>
      <c r="FE588" s="569"/>
      <c r="FF588" s="569"/>
      <c r="FG588" s="569"/>
      <c r="FH588" s="569"/>
      <c r="FI588" s="569"/>
      <c r="FJ588" s="569"/>
      <c r="FK588" s="569"/>
      <c r="FL588" s="569"/>
      <c r="FM588" s="569"/>
      <c r="FN588" s="569"/>
      <c r="FO588" s="569"/>
      <c r="FP588" s="569"/>
      <c r="FQ588" s="569"/>
      <c r="FR588" s="569"/>
      <c r="FS588" s="569"/>
      <c r="FT588" s="569"/>
      <c r="FU588" s="569"/>
      <c r="FV588" s="569"/>
      <c r="FW588" s="569"/>
      <c r="FX588" s="569"/>
      <c r="FY588" s="569"/>
      <c r="FZ588" s="569"/>
      <c r="GA588" s="569"/>
      <c r="GB588" s="569"/>
      <c r="GC588" s="569"/>
      <c r="GD588" s="569"/>
      <c r="GE588" s="569"/>
      <c r="GF588" s="569"/>
      <c r="GG588" s="569"/>
      <c r="GH588" s="569"/>
      <c r="GI588" s="569"/>
      <c r="GJ588" s="569"/>
      <c r="GK588" s="569"/>
      <c r="GL588" s="569"/>
      <c r="GM588" s="569"/>
      <c r="GN588" s="569"/>
      <c r="GO588" s="569"/>
      <c r="GP588" s="569"/>
      <c r="GQ588" s="569"/>
      <c r="GR588" s="569"/>
      <c r="GS588" s="569"/>
      <c r="GT588" s="569"/>
      <c r="GU588" s="569"/>
      <c r="GV588" s="569"/>
      <c r="GW588" s="569"/>
      <c r="GX588" s="569"/>
      <c r="GY588" s="569"/>
      <c r="GZ588" s="569"/>
      <c r="HA588" s="569"/>
      <c r="HB588" s="569"/>
      <c r="HC588" s="569"/>
      <c r="HD588" s="569"/>
      <c r="HE588" s="569"/>
      <c r="HF588" s="569"/>
      <c r="HG588" s="569"/>
      <c r="HH588" s="569"/>
      <c r="HI588" s="569"/>
      <c r="HJ588" s="569"/>
      <c r="HK588" s="569"/>
      <c r="HL588" s="569"/>
      <c r="HM588" s="569"/>
      <c r="HN588" s="569"/>
      <c r="HO588" s="569"/>
      <c r="HP588" s="569"/>
      <c r="HQ588" s="569"/>
      <c r="HR588" s="569"/>
      <c r="HS588" s="569"/>
      <c r="HT588" s="569"/>
      <c r="HU588" s="569"/>
      <c r="HV588" s="569"/>
      <c r="HW588" s="569"/>
      <c r="HX588" s="569"/>
      <c r="HY588" s="569"/>
      <c r="HZ588" s="569"/>
      <c r="IA588" s="569"/>
      <c r="IB588" s="569"/>
      <c r="IC588" s="569"/>
      <c r="ID588" s="569"/>
      <c r="IE588" s="569"/>
      <c r="IF588" s="569"/>
      <c r="IG588" s="569"/>
      <c r="IH588" s="569"/>
      <c r="II588" s="569"/>
      <c r="IJ588" s="569"/>
      <c r="IK588" s="569"/>
      <c r="IL588" s="569"/>
      <c r="IM588" s="569"/>
      <c r="IN588" s="569"/>
      <c r="IO588" s="569"/>
      <c r="IP588" s="569"/>
      <c r="IQ588" s="569"/>
      <c r="IR588" s="569"/>
      <c r="IS588" s="569"/>
      <c r="IT588" s="569"/>
      <c r="IU588" s="569"/>
      <c r="IV588" s="569"/>
      <c r="IW588" s="569"/>
      <c r="IX588" s="569"/>
      <c r="IY588" s="569"/>
      <c r="IZ588" s="569"/>
      <c r="JA588" s="569"/>
      <c r="JB588" s="569"/>
      <c r="JC588" s="569"/>
      <c r="JD588" s="569"/>
      <c r="JE588" s="569"/>
      <c r="JF588" s="569"/>
      <c r="JG588" s="569"/>
      <c r="JH588" s="569"/>
      <c r="JI588" s="569"/>
      <c r="JJ588" s="569"/>
      <c r="JK588" s="569"/>
      <c r="JL588" s="569"/>
      <c r="JM588" s="569"/>
      <c r="JN588" s="569"/>
      <c r="JO588" s="569"/>
      <c r="JP588" s="569"/>
      <c r="JQ588" s="569"/>
      <c r="JR588" s="569"/>
      <c r="JS588" s="569"/>
      <c r="JT588" s="569"/>
      <c r="JU588" s="569"/>
      <c r="JV588" s="569"/>
      <c r="JW588" s="569"/>
      <c r="JX588" s="569"/>
      <c r="JY588" s="569"/>
      <c r="JZ588" s="569"/>
      <c r="KA588" s="569"/>
      <c r="KB588" s="569"/>
      <c r="KC588" s="569"/>
      <c r="KD588" s="569"/>
      <c r="KE588" s="569"/>
      <c r="KF588" s="569"/>
      <c r="KG588" s="569"/>
      <c r="KH588" s="569"/>
      <c r="KI588" s="569"/>
      <c r="KJ588" s="569"/>
      <c r="KK588" s="569"/>
      <c r="KL588" s="569"/>
      <c r="KM588" s="569"/>
      <c r="KN588" s="569"/>
      <c r="KO588" s="569"/>
      <c r="KP588" s="569"/>
      <c r="KQ588" s="569"/>
      <c r="KR588" s="569"/>
      <c r="KS588" s="569"/>
      <c r="KT588" s="569"/>
      <c r="KU588" s="569"/>
      <c r="KV588" s="569"/>
      <c r="KW588" s="569"/>
      <c r="KX588" s="569"/>
      <c r="KY588" s="569"/>
      <c r="KZ588" s="569"/>
      <c r="LA588" s="569"/>
      <c r="LB588" s="569"/>
      <c r="LC588" s="569"/>
      <c r="LD588" s="569"/>
      <c r="LE588" s="569"/>
      <c r="LF588" s="569"/>
      <c r="LG588" s="569"/>
      <c r="LH588" s="569"/>
      <c r="LI588" s="569"/>
      <c r="LJ588" s="569"/>
      <c r="LK588" s="569"/>
      <c r="LL588" s="569"/>
      <c r="LM588" s="569"/>
      <c r="LN588" s="569"/>
      <c r="LO588" s="569"/>
      <c r="LP588" s="569"/>
      <c r="LQ588" s="569"/>
      <c r="LR588" s="569"/>
      <c r="LS588" s="569"/>
      <c r="LT588" s="569"/>
      <c r="LU588" s="569"/>
      <c r="LV588" s="569"/>
      <c r="LW588" s="569"/>
      <c r="LX588" s="569"/>
      <c r="LY588" s="569"/>
      <c r="LZ588" s="569"/>
      <c r="MA588" s="569"/>
      <c r="MB588" s="569"/>
      <c r="MC588" s="569"/>
      <c r="MD588" s="569"/>
      <c r="ME588" s="569"/>
      <c r="MF588" s="569"/>
      <c r="MG588" s="569"/>
      <c r="MH588" s="569"/>
      <c r="MI588" s="569"/>
      <c r="MJ588" s="569"/>
      <c r="MK588" s="569"/>
      <c r="ML588" s="569"/>
      <c r="MM588" s="569"/>
      <c r="MN588" s="569"/>
      <c r="MO588" s="569"/>
      <c r="MP588" s="569"/>
      <c r="MQ588" s="569"/>
      <c r="MR588" s="569"/>
      <c r="MS588" s="569"/>
      <c r="MT588" s="569"/>
      <c r="MU588" s="569"/>
      <c r="MV588" s="569"/>
      <c r="MW588" s="569"/>
      <c r="MX588" s="569"/>
      <c r="MY588" s="569"/>
      <c r="MZ588" s="569"/>
      <c r="NA588" s="569"/>
      <c r="NB588" s="569"/>
      <c r="NC588" s="569"/>
      <c r="ND588" s="569"/>
      <c r="NE588" s="569"/>
      <c r="NF588" s="569"/>
      <c r="NG588" s="569"/>
      <c r="NH588" s="569"/>
      <c r="NI588" s="569"/>
      <c r="NJ588" s="569"/>
      <c r="NK588" s="569"/>
      <c r="NL588" s="569"/>
      <c r="NM588" s="569"/>
      <c r="NN588" s="569"/>
      <c r="NO588" s="569"/>
      <c r="NP588" s="569"/>
      <c r="NQ588" s="569"/>
      <c r="NR588" s="569"/>
      <c r="NS588" s="569"/>
      <c r="NT588" s="569"/>
      <c r="NU588" s="569"/>
      <c r="NV588" s="569"/>
      <c r="NW588" s="569"/>
      <c r="NX588" s="569"/>
      <c r="NY588" s="569"/>
      <c r="NZ588" s="569"/>
      <c r="OA588" s="569"/>
      <c r="OB588" s="569"/>
      <c r="OC588" s="569"/>
      <c r="OD588" s="569"/>
      <c r="OE588" s="569"/>
      <c r="OF588" s="569"/>
      <c r="OG588" s="569"/>
      <c r="OH588" s="569"/>
      <c r="OI588" s="569"/>
      <c r="OJ588" s="569"/>
      <c r="OK588" s="569"/>
      <c r="OL588" s="569"/>
      <c r="OM588" s="569"/>
      <c r="ON588" s="569"/>
      <c r="OO588" s="569"/>
      <c r="OP588" s="569"/>
      <c r="OQ588" s="569"/>
      <c r="OR588" s="569"/>
      <c r="OS588" s="569"/>
      <c r="OT588" s="569"/>
      <c r="OU588" s="569"/>
      <c r="OV588" s="569"/>
      <c r="OW588" s="569"/>
      <c r="OX588" s="569"/>
      <c r="OY588" s="569"/>
      <c r="OZ588" s="569"/>
      <c r="PA588" s="569"/>
      <c r="PB588" s="569"/>
      <c r="PC588" s="569"/>
      <c r="PD588" s="569"/>
      <c r="PE588" s="569"/>
      <c r="PF588" s="569"/>
      <c r="PG588" s="569"/>
      <c r="PH588" s="569"/>
      <c r="PI588" s="569"/>
      <c r="PJ588" s="569"/>
      <c r="PK588" s="569"/>
      <c r="PL588" s="569"/>
      <c r="PM588" s="569"/>
      <c r="PN588" s="569"/>
      <c r="PO588" s="569"/>
      <c r="PP588" s="569"/>
      <c r="PQ588" s="569"/>
      <c r="PR588" s="569"/>
      <c r="PS588" s="569"/>
      <c r="PT588" s="569"/>
      <c r="PU588" s="569"/>
      <c r="PV588" s="569"/>
      <c r="PW588" s="569"/>
      <c r="PX588" s="569"/>
      <c r="PY588" s="569"/>
      <c r="PZ588" s="569"/>
      <c r="QA588" s="569"/>
      <c r="QB588" s="569"/>
      <c r="QC588" s="569"/>
      <c r="QD588" s="569"/>
      <c r="QE588" s="569"/>
      <c r="QF588" s="569"/>
      <c r="QG588" s="569"/>
      <c r="QH588" s="569"/>
      <c r="QI588" s="569"/>
      <c r="QJ588" s="569"/>
      <c r="QK588" s="569"/>
      <c r="QL588" s="569"/>
    </row>
    <row r="589" spans="1:454" s="574" customFormat="1" ht="45">
      <c r="A589" s="569"/>
      <c r="B589" s="575"/>
      <c r="C589" s="576"/>
      <c r="D589" s="577">
        <f>'matrik MISI 6'!J77</f>
        <v>1.24</v>
      </c>
      <c r="E589" s="577" t="str">
        <f>'matrik MISI 6'!K77</f>
        <v>xx</v>
      </c>
      <c r="F589" s="577">
        <f>'matrik MISI 6'!L77</f>
        <v>17</v>
      </c>
      <c r="G589" s="577" t="str">
        <f>'matrik MISI 6'!M77</f>
        <v>Program Pemeliharaan Rutin/Berkala Sarana dan Prasarana Kearsipan</v>
      </c>
      <c r="H589" s="577"/>
      <c r="I589" s="577"/>
      <c r="J589" s="577"/>
      <c r="K589" s="577"/>
      <c r="L589" s="577"/>
      <c r="M589" s="578">
        <f>'jangan di hapus 1'!K1186</f>
        <v>4200000</v>
      </c>
      <c r="N589" s="578">
        <f>'jangan di hapus 1'!L1186</f>
        <v>0</v>
      </c>
      <c r="O589" s="578">
        <f>'jangan di hapus 1'!M1186</f>
        <v>4200000</v>
      </c>
      <c r="P589" s="578">
        <f>'jangan di hapus 1'!N1186</f>
        <v>0</v>
      </c>
      <c r="Q589" s="578">
        <f>'jangan di hapus 1'!O1186</f>
        <v>4200000</v>
      </c>
      <c r="R589" s="578">
        <f>'jangan di hapus 1'!P1186</f>
        <v>0</v>
      </c>
      <c r="S589" s="578">
        <f>'jangan di hapus 1'!Q1186</f>
        <v>4200000</v>
      </c>
      <c r="T589" s="578">
        <f>'jangan di hapus 1'!R1186</f>
        <v>0</v>
      </c>
      <c r="U589" s="578">
        <f>'jangan di hapus 1'!S1186</f>
        <v>4200000</v>
      </c>
      <c r="V589" s="577"/>
      <c r="W589" s="578">
        <f>SUM(M589:U589)</f>
        <v>21000000</v>
      </c>
      <c r="X589" s="577"/>
      <c r="Y589" s="577"/>
      <c r="Z589" s="577"/>
      <c r="AA589" s="569"/>
      <c r="AB589" s="569"/>
      <c r="AC589" s="569"/>
      <c r="AD589" s="569"/>
      <c r="AE589" s="569"/>
      <c r="AF589" s="569"/>
      <c r="AG589" s="569"/>
      <c r="AH589" s="569"/>
      <c r="AI589" s="569"/>
      <c r="AJ589" s="569"/>
      <c r="AK589" s="569"/>
      <c r="AL589" s="569"/>
      <c r="AM589" s="569"/>
      <c r="AN589" s="569"/>
      <c r="AO589" s="569"/>
      <c r="AP589" s="569"/>
      <c r="AQ589" s="569"/>
      <c r="AR589" s="569"/>
      <c r="AS589" s="569"/>
      <c r="AT589" s="569"/>
      <c r="AU589" s="569"/>
      <c r="AV589" s="569"/>
      <c r="AW589" s="569"/>
      <c r="AX589" s="569"/>
      <c r="AY589" s="569"/>
      <c r="AZ589" s="569"/>
      <c r="BA589" s="569"/>
      <c r="BB589" s="569"/>
      <c r="BC589" s="569"/>
      <c r="BD589" s="569"/>
      <c r="BE589" s="569"/>
      <c r="BF589" s="569"/>
      <c r="BG589" s="569"/>
      <c r="BH589" s="569"/>
      <c r="BI589" s="569"/>
      <c r="BJ589" s="569"/>
      <c r="BK589" s="569"/>
      <c r="BL589" s="569"/>
      <c r="BM589" s="569"/>
      <c r="BN589" s="569"/>
      <c r="BO589" s="569"/>
      <c r="BP589" s="569"/>
      <c r="BQ589" s="569"/>
      <c r="BR589" s="569"/>
      <c r="BS589" s="569"/>
      <c r="BT589" s="569"/>
      <c r="BU589" s="569"/>
      <c r="BV589" s="569"/>
      <c r="BW589" s="569"/>
      <c r="BX589" s="569"/>
      <c r="BY589" s="569"/>
      <c r="BZ589" s="569"/>
      <c r="CA589" s="569"/>
      <c r="CB589" s="569"/>
      <c r="CC589" s="569"/>
      <c r="CD589" s="569"/>
      <c r="CE589" s="569"/>
      <c r="CF589" s="569"/>
      <c r="CG589" s="569"/>
      <c r="CH589" s="569"/>
      <c r="CI589" s="569"/>
      <c r="CJ589" s="569"/>
      <c r="CK589" s="569"/>
      <c r="CL589" s="569"/>
      <c r="CM589" s="569"/>
      <c r="CN589" s="569"/>
      <c r="CO589" s="569"/>
      <c r="CP589" s="569"/>
      <c r="CQ589" s="569"/>
      <c r="CR589" s="569"/>
      <c r="CS589" s="569"/>
      <c r="CT589" s="569"/>
      <c r="CU589" s="569"/>
      <c r="CV589" s="569"/>
      <c r="CW589" s="569"/>
      <c r="CX589" s="569"/>
      <c r="CY589" s="569"/>
      <c r="CZ589" s="569"/>
      <c r="DA589" s="569"/>
      <c r="DB589" s="569"/>
      <c r="DC589" s="569"/>
      <c r="DD589" s="569"/>
      <c r="DE589" s="569"/>
      <c r="DF589" s="569"/>
      <c r="DG589" s="569"/>
      <c r="DH589" s="569"/>
      <c r="DI589" s="569"/>
      <c r="DJ589" s="569"/>
      <c r="DK589" s="569"/>
      <c r="DL589" s="569"/>
      <c r="DM589" s="569"/>
      <c r="DN589" s="569"/>
      <c r="DO589" s="569"/>
      <c r="DP589" s="569"/>
      <c r="DQ589" s="569"/>
      <c r="DR589" s="569"/>
      <c r="DS589" s="569"/>
      <c r="DT589" s="569"/>
      <c r="DU589" s="569"/>
      <c r="DV589" s="569"/>
      <c r="DW589" s="569"/>
      <c r="DX589" s="569"/>
      <c r="DY589" s="569"/>
      <c r="DZ589" s="569"/>
      <c r="EA589" s="569"/>
      <c r="EB589" s="569"/>
      <c r="EC589" s="569"/>
      <c r="ED589" s="569"/>
      <c r="EE589" s="569"/>
      <c r="EF589" s="569"/>
      <c r="EG589" s="569"/>
      <c r="EH589" s="569"/>
      <c r="EI589" s="569"/>
      <c r="EJ589" s="569"/>
      <c r="EK589" s="569"/>
      <c r="EL589" s="569"/>
      <c r="EM589" s="569"/>
      <c r="EN589" s="569"/>
      <c r="EO589" s="569"/>
      <c r="EP589" s="569"/>
      <c r="EQ589" s="569"/>
      <c r="ER589" s="569"/>
      <c r="ES589" s="569"/>
      <c r="ET589" s="569"/>
      <c r="EU589" s="569"/>
      <c r="EV589" s="569"/>
      <c r="EW589" s="569"/>
      <c r="EX589" s="569"/>
      <c r="EY589" s="569"/>
      <c r="EZ589" s="569"/>
      <c r="FA589" s="569"/>
      <c r="FB589" s="569"/>
      <c r="FC589" s="569"/>
      <c r="FD589" s="569"/>
      <c r="FE589" s="569"/>
      <c r="FF589" s="569"/>
      <c r="FG589" s="569"/>
      <c r="FH589" s="569"/>
      <c r="FI589" s="569"/>
      <c r="FJ589" s="569"/>
      <c r="FK589" s="569"/>
      <c r="FL589" s="569"/>
      <c r="FM589" s="569"/>
      <c r="FN589" s="569"/>
      <c r="FO589" s="569"/>
      <c r="FP589" s="569"/>
      <c r="FQ589" s="569"/>
      <c r="FR589" s="569"/>
      <c r="FS589" s="569"/>
      <c r="FT589" s="569"/>
      <c r="FU589" s="569"/>
      <c r="FV589" s="569"/>
      <c r="FW589" s="569"/>
      <c r="FX589" s="569"/>
      <c r="FY589" s="569"/>
      <c r="FZ589" s="569"/>
      <c r="GA589" s="569"/>
      <c r="GB589" s="569"/>
      <c r="GC589" s="569"/>
      <c r="GD589" s="569"/>
      <c r="GE589" s="569"/>
      <c r="GF589" s="569"/>
      <c r="GG589" s="569"/>
      <c r="GH589" s="569"/>
      <c r="GI589" s="569"/>
      <c r="GJ589" s="569"/>
      <c r="GK589" s="569"/>
      <c r="GL589" s="569"/>
      <c r="GM589" s="569"/>
      <c r="GN589" s="569"/>
      <c r="GO589" s="569"/>
      <c r="GP589" s="569"/>
      <c r="GQ589" s="569"/>
      <c r="GR589" s="569"/>
      <c r="GS589" s="569"/>
      <c r="GT589" s="569"/>
      <c r="GU589" s="569"/>
      <c r="GV589" s="569"/>
      <c r="GW589" s="569"/>
      <c r="GX589" s="569"/>
      <c r="GY589" s="569"/>
      <c r="GZ589" s="569"/>
      <c r="HA589" s="569"/>
      <c r="HB589" s="569"/>
      <c r="HC589" s="569"/>
      <c r="HD589" s="569"/>
      <c r="HE589" s="569"/>
      <c r="HF589" s="569"/>
      <c r="HG589" s="569"/>
      <c r="HH589" s="569"/>
      <c r="HI589" s="569"/>
      <c r="HJ589" s="569"/>
      <c r="HK589" s="569"/>
      <c r="HL589" s="569"/>
      <c r="HM589" s="569"/>
      <c r="HN589" s="569"/>
      <c r="HO589" s="569"/>
      <c r="HP589" s="569"/>
      <c r="HQ589" s="569"/>
      <c r="HR589" s="569"/>
      <c r="HS589" s="569"/>
      <c r="HT589" s="569"/>
      <c r="HU589" s="569"/>
      <c r="HV589" s="569"/>
      <c r="HW589" s="569"/>
      <c r="HX589" s="569"/>
      <c r="HY589" s="569"/>
      <c r="HZ589" s="569"/>
      <c r="IA589" s="569"/>
      <c r="IB589" s="569"/>
      <c r="IC589" s="569"/>
      <c r="ID589" s="569"/>
      <c r="IE589" s="569"/>
      <c r="IF589" s="569"/>
      <c r="IG589" s="569"/>
      <c r="IH589" s="569"/>
      <c r="II589" s="569"/>
      <c r="IJ589" s="569"/>
      <c r="IK589" s="569"/>
      <c r="IL589" s="569"/>
      <c r="IM589" s="569"/>
      <c r="IN589" s="569"/>
      <c r="IO589" s="569"/>
      <c r="IP589" s="569"/>
      <c r="IQ589" s="569"/>
      <c r="IR589" s="569"/>
      <c r="IS589" s="569"/>
      <c r="IT589" s="569"/>
      <c r="IU589" s="569"/>
      <c r="IV589" s="569"/>
      <c r="IW589" s="569"/>
      <c r="IX589" s="569"/>
      <c r="IY589" s="569"/>
      <c r="IZ589" s="569"/>
      <c r="JA589" s="569"/>
      <c r="JB589" s="569"/>
      <c r="JC589" s="569"/>
      <c r="JD589" s="569"/>
      <c r="JE589" s="569"/>
      <c r="JF589" s="569"/>
      <c r="JG589" s="569"/>
      <c r="JH589" s="569"/>
      <c r="JI589" s="569"/>
      <c r="JJ589" s="569"/>
      <c r="JK589" s="569"/>
      <c r="JL589" s="569"/>
      <c r="JM589" s="569"/>
      <c r="JN589" s="569"/>
      <c r="JO589" s="569"/>
      <c r="JP589" s="569"/>
      <c r="JQ589" s="569"/>
      <c r="JR589" s="569"/>
      <c r="JS589" s="569"/>
      <c r="JT589" s="569"/>
      <c r="JU589" s="569"/>
      <c r="JV589" s="569"/>
      <c r="JW589" s="569"/>
      <c r="JX589" s="569"/>
      <c r="JY589" s="569"/>
      <c r="JZ589" s="569"/>
      <c r="KA589" s="569"/>
      <c r="KB589" s="569"/>
      <c r="KC589" s="569"/>
      <c r="KD589" s="569"/>
      <c r="KE589" s="569"/>
      <c r="KF589" s="569"/>
      <c r="KG589" s="569"/>
      <c r="KH589" s="569"/>
      <c r="KI589" s="569"/>
      <c r="KJ589" s="569"/>
      <c r="KK589" s="569"/>
      <c r="KL589" s="569"/>
      <c r="KM589" s="569"/>
      <c r="KN589" s="569"/>
      <c r="KO589" s="569"/>
      <c r="KP589" s="569"/>
      <c r="KQ589" s="569"/>
      <c r="KR589" s="569"/>
      <c r="KS589" s="569"/>
      <c r="KT589" s="569"/>
      <c r="KU589" s="569"/>
      <c r="KV589" s="569"/>
      <c r="KW589" s="569"/>
      <c r="KX589" s="569"/>
      <c r="KY589" s="569"/>
      <c r="KZ589" s="569"/>
      <c r="LA589" s="569"/>
      <c r="LB589" s="569"/>
      <c r="LC589" s="569"/>
      <c r="LD589" s="569"/>
      <c r="LE589" s="569"/>
      <c r="LF589" s="569"/>
      <c r="LG589" s="569"/>
      <c r="LH589" s="569"/>
      <c r="LI589" s="569"/>
      <c r="LJ589" s="569"/>
      <c r="LK589" s="569"/>
      <c r="LL589" s="569"/>
      <c r="LM589" s="569"/>
      <c r="LN589" s="569"/>
      <c r="LO589" s="569"/>
      <c r="LP589" s="569"/>
      <c r="LQ589" s="569"/>
      <c r="LR589" s="569"/>
      <c r="LS589" s="569"/>
      <c r="LT589" s="569"/>
      <c r="LU589" s="569"/>
      <c r="LV589" s="569"/>
      <c r="LW589" s="569"/>
      <c r="LX589" s="569"/>
      <c r="LY589" s="569"/>
      <c r="LZ589" s="569"/>
      <c r="MA589" s="569"/>
      <c r="MB589" s="569"/>
      <c r="MC589" s="569"/>
      <c r="MD589" s="569"/>
      <c r="ME589" s="569"/>
      <c r="MF589" s="569"/>
      <c r="MG589" s="569"/>
      <c r="MH589" s="569"/>
      <c r="MI589" s="569"/>
      <c r="MJ589" s="569"/>
      <c r="MK589" s="569"/>
      <c r="ML589" s="569"/>
      <c r="MM589" s="569"/>
      <c r="MN589" s="569"/>
      <c r="MO589" s="569"/>
      <c r="MP589" s="569"/>
      <c r="MQ589" s="569"/>
      <c r="MR589" s="569"/>
      <c r="MS589" s="569"/>
      <c r="MT589" s="569"/>
      <c r="MU589" s="569"/>
      <c r="MV589" s="569"/>
      <c r="MW589" s="569"/>
      <c r="MX589" s="569"/>
      <c r="MY589" s="569"/>
      <c r="MZ589" s="569"/>
      <c r="NA589" s="569"/>
      <c r="NB589" s="569"/>
      <c r="NC589" s="569"/>
      <c r="ND589" s="569"/>
      <c r="NE589" s="569"/>
      <c r="NF589" s="569"/>
      <c r="NG589" s="569"/>
      <c r="NH589" s="569"/>
      <c r="NI589" s="569"/>
      <c r="NJ589" s="569"/>
      <c r="NK589" s="569"/>
      <c r="NL589" s="569"/>
      <c r="NM589" s="569"/>
      <c r="NN589" s="569"/>
      <c r="NO589" s="569"/>
      <c r="NP589" s="569"/>
      <c r="NQ589" s="569"/>
      <c r="NR589" s="569"/>
      <c r="NS589" s="569"/>
      <c r="NT589" s="569"/>
      <c r="NU589" s="569"/>
      <c r="NV589" s="569"/>
      <c r="NW589" s="569"/>
      <c r="NX589" s="569"/>
      <c r="NY589" s="569"/>
      <c r="NZ589" s="569"/>
      <c r="OA589" s="569"/>
      <c r="OB589" s="569"/>
      <c r="OC589" s="569"/>
      <c r="OD589" s="569"/>
      <c r="OE589" s="569"/>
      <c r="OF589" s="569"/>
      <c r="OG589" s="569"/>
      <c r="OH589" s="569"/>
      <c r="OI589" s="569"/>
      <c r="OJ589" s="569"/>
      <c r="OK589" s="569"/>
      <c r="OL589" s="569"/>
      <c r="OM589" s="569"/>
      <c r="ON589" s="569"/>
      <c r="OO589" s="569"/>
      <c r="OP589" s="569"/>
      <c r="OQ589" s="569"/>
      <c r="OR589" s="569"/>
      <c r="OS589" s="569"/>
      <c r="OT589" s="569"/>
      <c r="OU589" s="569"/>
      <c r="OV589" s="569"/>
      <c r="OW589" s="569"/>
      <c r="OX589" s="569"/>
      <c r="OY589" s="569"/>
      <c r="OZ589" s="569"/>
      <c r="PA589" s="569"/>
      <c r="PB589" s="569"/>
      <c r="PC589" s="569"/>
      <c r="PD589" s="569"/>
      <c r="PE589" s="569"/>
      <c r="PF589" s="569"/>
      <c r="PG589" s="569"/>
      <c r="PH589" s="569"/>
      <c r="PI589" s="569"/>
      <c r="PJ589" s="569"/>
      <c r="PK589" s="569"/>
      <c r="PL589" s="569"/>
      <c r="PM589" s="569"/>
      <c r="PN589" s="569"/>
      <c r="PO589" s="569"/>
      <c r="PP589" s="569"/>
      <c r="PQ589" s="569"/>
      <c r="PR589" s="569"/>
      <c r="PS589" s="569"/>
      <c r="PT589" s="569"/>
      <c r="PU589" s="569"/>
      <c r="PV589" s="569"/>
      <c r="PW589" s="569"/>
      <c r="PX589" s="569"/>
      <c r="PY589" s="569"/>
      <c r="PZ589" s="569"/>
      <c r="QA589" s="569"/>
      <c r="QB589" s="569"/>
      <c r="QC589" s="569"/>
      <c r="QD589" s="569"/>
      <c r="QE589" s="569"/>
      <c r="QF589" s="569"/>
      <c r="QG589" s="569"/>
      <c r="QH589" s="569"/>
      <c r="QI589" s="569"/>
      <c r="QJ589" s="569"/>
      <c r="QK589" s="569"/>
      <c r="QL589" s="569"/>
    </row>
    <row r="590" spans="1:454" ht="45">
      <c r="B590" s="568"/>
      <c r="C590" s="568"/>
      <c r="D590" s="568"/>
      <c r="E590" s="568"/>
      <c r="F590" s="568"/>
      <c r="G590" s="568"/>
      <c r="H590" s="563" t="str">
        <f>'matrik MISI 6'!N75</f>
        <v>Persentase Pengelolaan Arsip Secara Baku</v>
      </c>
      <c r="I590" s="563" t="str">
        <f>'matrik MISI 6'!O75</f>
        <v>%</v>
      </c>
      <c r="J590" s="563">
        <f>'matrik MISI 6'!P75</f>
        <v>63</v>
      </c>
      <c r="K590" s="563">
        <f>'matrik MISI 6'!Q75</f>
        <v>86</v>
      </c>
      <c r="L590" s="563">
        <f>'matrik MISI 6'!R75</f>
        <v>100</v>
      </c>
      <c r="M590" s="604"/>
      <c r="N590" s="563">
        <f>'matrik MISI 6'!S75</f>
        <v>100</v>
      </c>
      <c r="O590" s="564"/>
      <c r="P590" s="563">
        <f>'matrik MISI 6'!T75</f>
        <v>100</v>
      </c>
      <c r="Q590" s="564"/>
      <c r="R590" s="563">
        <f>'matrik MISI 6'!U75</f>
        <v>100</v>
      </c>
      <c r="S590" s="564"/>
      <c r="T590" s="563">
        <f>'matrik MISI 6'!V75</f>
        <v>100</v>
      </c>
      <c r="U590" s="564"/>
      <c r="V590" s="563">
        <f>'matrik MISI 6'!W75</f>
        <v>100</v>
      </c>
      <c r="W590" s="564"/>
      <c r="X590" s="563" t="str">
        <f>'matrik MISI 6'!X75</f>
        <v>Kantor Arsip, Perpustakaan, dan Dokumentasi</v>
      </c>
      <c r="Y590" s="563" t="str">
        <f>'matrik MISI 6'!Y75</f>
        <v>Jumlah SKPD yang melaksanakan arsip secara baku dibagi Jumlah SKPD x 100</v>
      </c>
      <c r="Z590" s="563">
        <f>'matrik MISI 6'!Z75</f>
        <v>0</v>
      </c>
    </row>
    <row r="591" spans="1:454" s="570" customFormat="1">
      <c r="A591" s="569"/>
      <c r="B591" s="571"/>
      <c r="C591" s="572"/>
      <c r="D591" s="573"/>
      <c r="E591" s="573"/>
      <c r="F591" s="573"/>
      <c r="G591" s="573"/>
      <c r="H591" s="573"/>
      <c r="I591" s="573"/>
      <c r="J591" s="573"/>
      <c r="K591" s="573"/>
      <c r="L591" s="573"/>
      <c r="M591" s="604"/>
      <c r="N591" s="573"/>
      <c r="O591" s="564"/>
      <c r="P591" s="573"/>
      <c r="Q591" s="564"/>
      <c r="R591" s="573"/>
      <c r="S591" s="564"/>
      <c r="T591" s="573"/>
      <c r="U591" s="564"/>
      <c r="V591" s="573"/>
      <c r="W591" s="564"/>
      <c r="X591" s="573"/>
      <c r="Y591" s="573"/>
      <c r="Z591" s="573"/>
      <c r="AA591" s="569"/>
      <c r="AB591" s="569"/>
      <c r="AC591" s="569"/>
      <c r="AD591" s="569"/>
      <c r="AE591" s="569"/>
      <c r="AF591" s="569"/>
      <c r="AG591" s="569"/>
      <c r="AH591" s="569"/>
      <c r="AI591" s="569"/>
      <c r="AJ591" s="569"/>
      <c r="AK591" s="569"/>
      <c r="AL591" s="569"/>
      <c r="AM591" s="569"/>
      <c r="AN591" s="569"/>
      <c r="AO591" s="569"/>
      <c r="AP591" s="569"/>
      <c r="AQ591" s="569"/>
      <c r="AR591" s="569"/>
      <c r="AS591" s="569"/>
      <c r="AT591" s="569"/>
      <c r="AU591" s="569"/>
      <c r="AV591" s="569"/>
      <c r="AW591" s="569"/>
      <c r="AX591" s="569"/>
      <c r="AY591" s="569"/>
      <c r="AZ591" s="569"/>
      <c r="BA591" s="569"/>
      <c r="BB591" s="569"/>
      <c r="BC591" s="569"/>
      <c r="BD591" s="569"/>
      <c r="BE591" s="569"/>
      <c r="BF591" s="569"/>
      <c r="BG591" s="569"/>
      <c r="BH591" s="569"/>
      <c r="BI591" s="569"/>
      <c r="BJ591" s="569"/>
      <c r="BK591" s="569"/>
      <c r="BL591" s="569"/>
      <c r="BM591" s="569"/>
      <c r="BN591" s="569"/>
      <c r="BO591" s="569"/>
      <c r="BP591" s="569"/>
      <c r="BQ591" s="569"/>
      <c r="BR591" s="569"/>
      <c r="BS591" s="569"/>
      <c r="BT591" s="569"/>
      <c r="BU591" s="569"/>
      <c r="BV591" s="569"/>
      <c r="BW591" s="569"/>
      <c r="BX591" s="569"/>
      <c r="BY591" s="569"/>
      <c r="BZ591" s="569"/>
      <c r="CA591" s="569"/>
      <c r="CB591" s="569"/>
      <c r="CC591" s="569"/>
      <c r="CD591" s="569"/>
      <c r="CE591" s="569"/>
      <c r="CF591" s="569"/>
      <c r="CG591" s="569"/>
      <c r="CH591" s="569"/>
      <c r="CI591" s="569"/>
      <c r="CJ591" s="569"/>
      <c r="CK591" s="569"/>
      <c r="CL591" s="569"/>
      <c r="CM591" s="569"/>
      <c r="CN591" s="569"/>
      <c r="CO591" s="569"/>
      <c r="CP591" s="569"/>
      <c r="CQ591" s="569"/>
      <c r="CR591" s="569"/>
      <c r="CS591" s="569"/>
      <c r="CT591" s="569"/>
      <c r="CU591" s="569"/>
      <c r="CV591" s="569"/>
      <c r="CW591" s="569"/>
      <c r="CX591" s="569"/>
      <c r="CY591" s="569"/>
      <c r="CZ591" s="569"/>
      <c r="DA591" s="569"/>
      <c r="DB591" s="569"/>
      <c r="DC591" s="569"/>
      <c r="DD591" s="569"/>
      <c r="DE591" s="569"/>
      <c r="DF591" s="569"/>
      <c r="DG591" s="569"/>
      <c r="DH591" s="569"/>
      <c r="DI591" s="569"/>
      <c r="DJ591" s="569"/>
      <c r="DK591" s="569"/>
      <c r="DL591" s="569"/>
      <c r="DM591" s="569"/>
      <c r="DN591" s="569"/>
      <c r="DO591" s="569"/>
      <c r="DP591" s="569"/>
      <c r="DQ591" s="569"/>
      <c r="DR591" s="569"/>
      <c r="DS591" s="569"/>
      <c r="DT591" s="569"/>
      <c r="DU591" s="569"/>
      <c r="DV591" s="569"/>
      <c r="DW591" s="569"/>
      <c r="DX591" s="569"/>
      <c r="DY591" s="569"/>
      <c r="DZ591" s="569"/>
      <c r="EA591" s="569"/>
      <c r="EB591" s="569"/>
      <c r="EC591" s="569"/>
      <c r="ED591" s="569"/>
      <c r="EE591" s="569"/>
      <c r="EF591" s="569"/>
      <c r="EG591" s="569"/>
      <c r="EH591" s="569"/>
      <c r="EI591" s="569"/>
      <c r="EJ591" s="569"/>
      <c r="EK591" s="569"/>
      <c r="EL591" s="569"/>
      <c r="EM591" s="569"/>
      <c r="EN591" s="569"/>
      <c r="EO591" s="569"/>
      <c r="EP591" s="569"/>
      <c r="EQ591" s="569"/>
      <c r="ER591" s="569"/>
      <c r="ES591" s="569"/>
      <c r="ET591" s="569"/>
      <c r="EU591" s="569"/>
      <c r="EV591" s="569"/>
      <c r="EW591" s="569"/>
      <c r="EX591" s="569"/>
      <c r="EY591" s="569"/>
      <c r="EZ591" s="569"/>
      <c r="FA591" s="569"/>
      <c r="FB591" s="569"/>
      <c r="FC591" s="569"/>
      <c r="FD591" s="569"/>
      <c r="FE591" s="569"/>
      <c r="FF591" s="569"/>
      <c r="FG591" s="569"/>
      <c r="FH591" s="569"/>
      <c r="FI591" s="569"/>
      <c r="FJ591" s="569"/>
      <c r="FK591" s="569"/>
      <c r="FL591" s="569"/>
      <c r="FM591" s="569"/>
      <c r="FN591" s="569"/>
      <c r="FO591" s="569"/>
      <c r="FP591" s="569"/>
      <c r="FQ591" s="569"/>
      <c r="FR591" s="569"/>
      <c r="FS591" s="569"/>
      <c r="FT591" s="569"/>
      <c r="FU591" s="569"/>
      <c r="FV591" s="569"/>
      <c r="FW591" s="569"/>
      <c r="FX591" s="569"/>
      <c r="FY591" s="569"/>
      <c r="FZ591" s="569"/>
      <c r="GA591" s="569"/>
      <c r="GB591" s="569"/>
      <c r="GC591" s="569"/>
      <c r="GD591" s="569"/>
      <c r="GE591" s="569"/>
      <c r="GF591" s="569"/>
      <c r="GG591" s="569"/>
      <c r="GH591" s="569"/>
      <c r="GI591" s="569"/>
      <c r="GJ591" s="569"/>
      <c r="GK591" s="569"/>
      <c r="GL591" s="569"/>
      <c r="GM591" s="569"/>
      <c r="GN591" s="569"/>
      <c r="GO591" s="569"/>
      <c r="GP591" s="569"/>
      <c r="GQ591" s="569"/>
      <c r="GR591" s="569"/>
      <c r="GS591" s="569"/>
      <c r="GT591" s="569"/>
      <c r="GU591" s="569"/>
      <c r="GV591" s="569"/>
      <c r="GW591" s="569"/>
      <c r="GX591" s="569"/>
      <c r="GY591" s="569"/>
      <c r="GZ591" s="569"/>
      <c r="HA591" s="569"/>
      <c r="HB591" s="569"/>
      <c r="HC591" s="569"/>
      <c r="HD591" s="569"/>
      <c r="HE591" s="569"/>
      <c r="HF591" s="569"/>
      <c r="HG591" s="569"/>
      <c r="HH591" s="569"/>
      <c r="HI591" s="569"/>
      <c r="HJ591" s="569"/>
      <c r="HK591" s="569"/>
      <c r="HL591" s="569"/>
      <c r="HM591" s="569"/>
      <c r="HN591" s="569"/>
      <c r="HO591" s="569"/>
      <c r="HP591" s="569"/>
      <c r="HQ591" s="569"/>
      <c r="HR591" s="569"/>
      <c r="HS591" s="569"/>
      <c r="HT591" s="569"/>
      <c r="HU591" s="569"/>
      <c r="HV591" s="569"/>
      <c r="HW591" s="569"/>
      <c r="HX591" s="569"/>
      <c r="HY591" s="569"/>
      <c r="HZ591" s="569"/>
      <c r="IA591" s="569"/>
      <c r="IB591" s="569"/>
      <c r="IC591" s="569"/>
      <c r="ID591" s="569"/>
      <c r="IE591" s="569"/>
      <c r="IF591" s="569"/>
      <c r="IG591" s="569"/>
      <c r="IH591" s="569"/>
      <c r="II591" s="569"/>
      <c r="IJ591" s="569"/>
      <c r="IK591" s="569"/>
      <c r="IL591" s="569"/>
      <c r="IM591" s="569"/>
      <c r="IN591" s="569"/>
      <c r="IO591" s="569"/>
      <c r="IP591" s="569"/>
      <c r="IQ591" s="569"/>
      <c r="IR591" s="569"/>
      <c r="IS591" s="569"/>
      <c r="IT591" s="569"/>
      <c r="IU591" s="569"/>
      <c r="IV591" s="569"/>
      <c r="IW591" s="569"/>
      <c r="IX591" s="569"/>
      <c r="IY591" s="569"/>
      <c r="IZ591" s="569"/>
      <c r="JA591" s="569"/>
      <c r="JB591" s="569"/>
      <c r="JC591" s="569"/>
      <c r="JD591" s="569"/>
      <c r="JE591" s="569"/>
      <c r="JF591" s="569"/>
      <c r="JG591" s="569"/>
      <c r="JH591" s="569"/>
      <c r="JI591" s="569"/>
      <c r="JJ591" s="569"/>
      <c r="JK591" s="569"/>
      <c r="JL591" s="569"/>
      <c r="JM591" s="569"/>
      <c r="JN591" s="569"/>
      <c r="JO591" s="569"/>
      <c r="JP591" s="569"/>
      <c r="JQ591" s="569"/>
      <c r="JR591" s="569"/>
      <c r="JS591" s="569"/>
      <c r="JT591" s="569"/>
      <c r="JU591" s="569"/>
      <c r="JV591" s="569"/>
      <c r="JW591" s="569"/>
      <c r="JX591" s="569"/>
      <c r="JY591" s="569"/>
      <c r="JZ591" s="569"/>
      <c r="KA591" s="569"/>
      <c r="KB591" s="569"/>
      <c r="KC591" s="569"/>
      <c r="KD591" s="569"/>
      <c r="KE591" s="569"/>
      <c r="KF591" s="569"/>
      <c r="KG591" s="569"/>
      <c r="KH591" s="569"/>
      <c r="KI591" s="569"/>
      <c r="KJ591" s="569"/>
      <c r="KK591" s="569"/>
      <c r="KL591" s="569"/>
      <c r="KM591" s="569"/>
      <c r="KN591" s="569"/>
      <c r="KO591" s="569"/>
      <c r="KP591" s="569"/>
      <c r="KQ591" s="569"/>
      <c r="KR591" s="569"/>
      <c r="KS591" s="569"/>
      <c r="KT591" s="569"/>
      <c r="KU591" s="569"/>
      <c r="KV591" s="569"/>
      <c r="KW591" s="569"/>
      <c r="KX591" s="569"/>
      <c r="KY591" s="569"/>
      <c r="KZ591" s="569"/>
      <c r="LA591" s="569"/>
      <c r="LB591" s="569"/>
      <c r="LC591" s="569"/>
      <c r="LD591" s="569"/>
      <c r="LE591" s="569"/>
      <c r="LF591" s="569"/>
      <c r="LG591" s="569"/>
      <c r="LH591" s="569"/>
      <c r="LI591" s="569"/>
      <c r="LJ591" s="569"/>
      <c r="LK591" s="569"/>
      <c r="LL591" s="569"/>
      <c r="LM591" s="569"/>
      <c r="LN591" s="569"/>
      <c r="LO591" s="569"/>
      <c r="LP591" s="569"/>
      <c r="LQ591" s="569"/>
      <c r="LR591" s="569"/>
      <c r="LS591" s="569"/>
      <c r="LT591" s="569"/>
      <c r="LU591" s="569"/>
      <c r="LV591" s="569"/>
      <c r="LW591" s="569"/>
      <c r="LX591" s="569"/>
      <c r="LY591" s="569"/>
      <c r="LZ591" s="569"/>
      <c r="MA591" s="569"/>
      <c r="MB591" s="569"/>
      <c r="MC591" s="569"/>
      <c r="MD591" s="569"/>
      <c r="ME591" s="569"/>
      <c r="MF591" s="569"/>
      <c r="MG591" s="569"/>
      <c r="MH591" s="569"/>
      <c r="MI591" s="569"/>
      <c r="MJ591" s="569"/>
      <c r="MK591" s="569"/>
      <c r="ML591" s="569"/>
      <c r="MM591" s="569"/>
      <c r="MN591" s="569"/>
      <c r="MO591" s="569"/>
      <c r="MP591" s="569"/>
      <c r="MQ591" s="569"/>
      <c r="MR591" s="569"/>
      <c r="MS591" s="569"/>
      <c r="MT591" s="569"/>
      <c r="MU591" s="569"/>
      <c r="MV591" s="569"/>
      <c r="MW591" s="569"/>
      <c r="MX591" s="569"/>
      <c r="MY591" s="569"/>
      <c r="MZ591" s="569"/>
      <c r="NA591" s="569"/>
      <c r="NB591" s="569"/>
      <c r="NC591" s="569"/>
      <c r="ND591" s="569"/>
      <c r="NE591" s="569"/>
      <c r="NF591" s="569"/>
      <c r="NG591" s="569"/>
      <c r="NH591" s="569"/>
      <c r="NI591" s="569"/>
      <c r="NJ591" s="569"/>
      <c r="NK591" s="569"/>
      <c r="NL591" s="569"/>
      <c r="NM591" s="569"/>
      <c r="NN591" s="569"/>
      <c r="NO591" s="569"/>
      <c r="NP591" s="569"/>
      <c r="NQ591" s="569"/>
      <c r="NR591" s="569"/>
      <c r="NS591" s="569"/>
      <c r="NT591" s="569"/>
      <c r="NU591" s="569"/>
      <c r="NV591" s="569"/>
      <c r="NW591" s="569"/>
      <c r="NX591" s="569"/>
      <c r="NY591" s="569"/>
      <c r="NZ591" s="569"/>
      <c r="OA591" s="569"/>
      <c r="OB591" s="569"/>
      <c r="OC591" s="569"/>
      <c r="OD591" s="569"/>
      <c r="OE591" s="569"/>
      <c r="OF591" s="569"/>
      <c r="OG591" s="569"/>
      <c r="OH591" s="569"/>
      <c r="OI591" s="569"/>
      <c r="OJ591" s="569"/>
      <c r="OK591" s="569"/>
      <c r="OL591" s="569"/>
      <c r="OM591" s="569"/>
      <c r="ON591" s="569"/>
      <c r="OO591" s="569"/>
      <c r="OP591" s="569"/>
      <c r="OQ591" s="569"/>
      <c r="OR591" s="569"/>
      <c r="OS591" s="569"/>
      <c r="OT591" s="569"/>
      <c r="OU591" s="569"/>
      <c r="OV591" s="569"/>
      <c r="OW591" s="569"/>
      <c r="OX591" s="569"/>
      <c r="OY591" s="569"/>
      <c r="OZ591" s="569"/>
      <c r="PA591" s="569"/>
      <c r="PB591" s="569"/>
      <c r="PC591" s="569"/>
      <c r="PD591" s="569"/>
      <c r="PE591" s="569"/>
      <c r="PF591" s="569"/>
      <c r="PG591" s="569"/>
      <c r="PH591" s="569"/>
      <c r="PI591" s="569"/>
      <c r="PJ591" s="569"/>
      <c r="PK591" s="569"/>
      <c r="PL591" s="569"/>
      <c r="PM591" s="569"/>
      <c r="PN591" s="569"/>
      <c r="PO591" s="569"/>
      <c r="PP591" s="569"/>
      <c r="PQ591" s="569"/>
      <c r="PR591" s="569"/>
      <c r="PS591" s="569"/>
      <c r="PT591" s="569"/>
      <c r="PU591" s="569"/>
      <c r="PV591" s="569"/>
      <c r="PW591" s="569"/>
      <c r="PX591" s="569"/>
      <c r="PY591" s="569"/>
      <c r="PZ591" s="569"/>
      <c r="QA591" s="569"/>
      <c r="QB591" s="569"/>
      <c r="QC591" s="569"/>
      <c r="QD591" s="569"/>
      <c r="QE591" s="569"/>
      <c r="QF591" s="569"/>
      <c r="QG591" s="569"/>
      <c r="QH591" s="569"/>
      <c r="QI591" s="569"/>
      <c r="QJ591" s="569"/>
      <c r="QK591" s="569"/>
      <c r="QL591" s="569"/>
    </row>
    <row r="592" spans="1:454" s="574" customFormat="1" ht="45">
      <c r="A592" s="569"/>
      <c r="B592" s="575">
        <v>25</v>
      </c>
      <c r="C592" s="576" t="str">
        <f>'matrik MISI 6'!B106</f>
        <v>KOMUNIKASI DAN INFORMATIKA</v>
      </c>
      <c r="D592" s="577">
        <f>'matrik MISI 6'!J107</f>
        <v>1.25</v>
      </c>
      <c r="E592" s="577" t="str">
        <f>'matrik MISI 6'!K107</f>
        <v>xx</v>
      </c>
      <c r="F592" s="577">
        <f>'matrik MISI 6'!L107</f>
        <v>20</v>
      </c>
      <c r="G592" s="577" t="str">
        <f>'matrik MISI 6'!M107</f>
        <v>program pengembangan informasi dan komunikasi</v>
      </c>
      <c r="H592" s="577"/>
      <c r="I592" s="577"/>
      <c r="J592" s="577"/>
      <c r="K592" s="577"/>
      <c r="L592" s="577"/>
      <c r="M592" s="578">
        <f>'jangan di hapus 1'!K1237</f>
        <v>9460000</v>
      </c>
      <c r="N592" s="578">
        <f>'jangan di hapus 1'!L1237</f>
        <v>0</v>
      </c>
      <c r="O592" s="578">
        <f>'jangan di hapus 1'!M1237</f>
        <v>250000000</v>
      </c>
      <c r="P592" s="578">
        <f>'jangan di hapus 1'!N1237</f>
        <v>0</v>
      </c>
      <c r="Q592" s="578">
        <f>'jangan di hapus 1'!O1237</f>
        <v>170000000</v>
      </c>
      <c r="R592" s="578">
        <f>'jangan di hapus 1'!P1237</f>
        <v>0</v>
      </c>
      <c r="S592" s="578">
        <f>'jangan di hapus 1'!Q1237</f>
        <v>175000000</v>
      </c>
      <c r="T592" s="578">
        <f>'jangan di hapus 1'!R1237</f>
        <v>0</v>
      </c>
      <c r="U592" s="578">
        <f>'jangan di hapus 1'!S1237</f>
        <v>180000000</v>
      </c>
      <c r="V592" s="577"/>
      <c r="W592" s="578">
        <f>SUM(M592:U592)</f>
        <v>784460000</v>
      </c>
      <c r="X592" s="577"/>
      <c r="Y592" s="577"/>
      <c r="Z592" s="577"/>
      <c r="AA592" s="569"/>
      <c r="AB592" s="569"/>
      <c r="AC592" s="569"/>
      <c r="AD592" s="569"/>
      <c r="AE592" s="569"/>
      <c r="AF592" s="569"/>
      <c r="AG592" s="569"/>
      <c r="AH592" s="569"/>
      <c r="AI592" s="569"/>
      <c r="AJ592" s="569"/>
      <c r="AK592" s="569"/>
      <c r="AL592" s="569"/>
      <c r="AM592" s="569"/>
      <c r="AN592" s="569"/>
      <c r="AO592" s="569"/>
      <c r="AP592" s="569"/>
      <c r="AQ592" s="569"/>
      <c r="AR592" s="569"/>
      <c r="AS592" s="569"/>
      <c r="AT592" s="569"/>
      <c r="AU592" s="569"/>
      <c r="AV592" s="569"/>
      <c r="AW592" s="569"/>
      <c r="AX592" s="569"/>
      <c r="AY592" s="569"/>
      <c r="AZ592" s="569"/>
      <c r="BA592" s="569"/>
      <c r="BB592" s="569"/>
      <c r="BC592" s="569"/>
      <c r="BD592" s="569"/>
      <c r="BE592" s="569"/>
      <c r="BF592" s="569"/>
      <c r="BG592" s="569"/>
      <c r="BH592" s="569"/>
      <c r="BI592" s="569"/>
      <c r="BJ592" s="569"/>
      <c r="BK592" s="569"/>
      <c r="BL592" s="569"/>
      <c r="BM592" s="569"/>
      <c r="BN592" s="569"/>
      <c r="BO592" s="569"/>
      <c r="BP592" s="569"/>
      <c r="BQ592" s="569"/>
      <c r="BR592" s="569"/>
      <c r="BS592" s="569"/>
      <c r="BT592" s="569"/>
      <c r="BU592" s="569"/>
      <c r="BV592" s="569"/>
      <c r="BW592" s="569"/>
      <c r="BX592" s="569"/>
      <c r="BY592" s="569"/>
      <c r="BZ592" s="569"/>
      <c r="CA592" s="569"/>
      <c r="CB592" s="569"/>
      <c r="CC592" s="569"/>
      <c r="CD592" s="569"/>
      <c r="CE592" s="569"/>
      <c r="CF592" s="569"/>
      <c r="CG592" s="569"/>
      <c r="CH592" s="569"/>
      <c r="CI592" s="569"/>
      <c r="CJ592" s="569"/>
      <c r="CK592" s="569"/>
      <c r="CL592" s="569"/>
      <c r="CM592" s="569"/>
      <c r="CN592" s="569"/>
      <c r="CO592" s="569"/>
      <c r="CP592" s="569"/>
      <c r="CQ592" s="569"/>
      <c r="CR592" s="569"/>
      <c r="CS592" s="569"/>
      <c r="CT592" s="569"/>
      <c r="CU592" s="569"/>
      <c r="CV592" s="569"/>
      <c r="CW592" s="569"/>
      <c r="CX592" s="569"/>
      <c r="CY592" s="569"/>
      <c r="CZ592" s="569"/>
      <c r="DA592" s="569"/>
      <c r="DB592" s="569"/>
      <c r="DC592" s="569"/>
      <c r="DD592" s="569"/>
      <c r="DE592" s="569"/>
      <c r="DF592" s="569"/>
      <c r="DG592" s="569"/>
      <c r="DH592" s="569"/>
      <c r="DI592" s="569"/>
      <c r="DJ592" s="569"/>
      <c r="DK592" s="569"/>
      <c r="DL592" s="569"/>
      <c r="DM592" s="569"/>
      <c r="DN592" s="569"/>
      <c r="DO592" s="569"/>
      <c r="DP592" s="569"/>
      <c r="DQ592" s="569"/>
      <c r="DR592" s="569"/>
      <c r="DS592" s="569"/>
      <c r="DT592" s="569"/>
      <c r="DU592" s="569"/>
      <c r="DV592" s="569"/>
      <c r="DW592" s="569"/>
      <c r="DX592" s="569"/>
      <c r="DY592" s="569"/>
      <c r="DZ592" s="569"/>
      <c r="EA592" s="569"/>
      <c r="EB592" s="569"/>
      <c r="EC592" s="569"/>
      <c r="ED592" s="569"/>
      <c r="EE592" s="569"/>
      <c r="EF592" s="569"/>
      <c r="EG592" s="569"/>
      <c r="EH592" s="569"/>
      <c r="EI592" s="569"/>
      <c r="EJ592" s="569"/>
      <c r="EK592" s="569"/>
      <c r="EL592" s="569"/>
      <c r="EM592" s="569"/>
      <c r="EN592" s="569"/>
      <c r="EO592" s="569"/>
      <c r="EP592" s="569"/>
      <c r="EQ592" s="569"/>
      <c r="ER592" s="569"/>
      <c r="ES592" s="569"/>
      <c r="ET592" s="569"/>
      <c r="EU592" s="569"/>
      <c r="EV592" s="569"/>
      <c r="EW592" s="569"/>
      <c r="EX592" s="569"/>
      <c r="EY592" s="569"/>
      <c r="EZ592" s="569"/>
      <c r="FA592" s="569"/>
      <c r="FB592" s="569"/>
      <c r="FC592" s="569"/>
      <c r="FD592" s="569"/>
      <c r="FE592" s="569"/>
      <c r="FF592" s="569"/>
      <c r="FG592" s="569"/>
      <c r="FH592" s="569"/>
      <c r="FI592" s="569"/>
      <c r="FJ592" s="569"/>
      <c r="FK592" s="569"/>
      <c r="FL592" s="569"/>
      <c r="FM592" s="569"/>
      <c r="FN592" s="569"/>
      <c r="FO592" s="569"/>
      <c r="FP592" s="569"/>
      <c r="FQ592" s="569"/>
      <c r="FR592" s="569"/>
      <c r="FS592" s="569"/>
      <c r="FT592" s="569"/>
      <c r="FU592" s="569"/>
      <c r="FV592" s="569"/>
      <c r="FW592" s="569"/>
      <c r="FX592" s="569"/>
      <c r="FY592" s="569"/>
      <c r="FZ592" s="569"/>
      <c r="GA592" s="569"/>
      <c r="GB592" s="569"/>
      <c r="GC592" s="569"/>
      <c r="GD592" s="569"/>
      <c r="GE592" s="569"/>
      <c r="GF592" s="569"/>
      <c r="GG592" s="569"/>
      <c r="GH592" s="569"/>
      <c r="GI592" s="569"/>
      <c r="GJ592" s="569"/>
      <c r="GK592" s="569"/>
      <c r="GL592" s="569"/>
      <c r="GM592" s="569"/>
      <c r="GN592" s="569"/>
      <c r="GO592" s="569"/>
      <c r="GP592" s="569"/>
      <c r="GQ592" s="569"/>
      <c r="GR592" s="569"/>
      <c r="GS592" s="569"/>
      <c r="GT592" s="569"/>
      <c r="GU592" s="569"/>
      <c r="GV592" s="569"/>
      <c r="GW592" s="569"/>
      <c r="GX592" s="569"/>
      <c r="GY592" s="569"/>
      <c r="GZ592" s="569"/>
      <c r="HA592" s="569"/>
      <c r="HB592" s="569"/>
      <c r="HC592" s="569"/>
      <c r="HD592" s="569"/>
      <c r="HE592" s="569"/>
      <c r="HF592" s="569"/>
      <c r="HG592" s="569"/>
      <c r="HH592" s="569"/>
      <c r="HI592" s="569"/>
      <c r="HJ592" s="569"/>
      <c r="HK592" s="569"/>
      <c r="HL592" s="569"/>
      <c r="HM592" s="569"/>
      <c r="HN592" s="569"/>
      <c r="HO592" s="569"/>
      <c r="HP592" s="569"/>
      <c r="HQ592" s="569"/>
      <c r="HR592" s="569"/>
      <c r="HS592" s="569"/>
      <c r="HT592" s="569"/>
      <c r="HU592" s="569"/>
      <c r="HV592" s="569"/>
      <c r="HW592" s="569"/>
      <c r="HX592" s="569"/>
      <c r="HY592" s="569"/>
      <c r="HZ592" s="569"/>
      <c r="IA592" s="569"/>
      <c r="IB592" s="569"/>
      <c r="IC592" s="569"/>
      <c r="ID592" s="569"/>
      <c r="IE592" s="569"/>
      <c r="IF592" s="569"/>
      <c r="IG592" s="569"/>
      <c r="IH592" s="569"/>
      <c r="II592" s="569"/>
      <c r="IJ592" s="569"/>
      <c r="IK592" s="569"/>
      <c r="IL592" s="569"/>
      <c r="IM592" s="569"/>
      <c r="IN592" s="569"/>
      <c r="IO592" s="569"/>
      <c r="IP592" s="569"/>
      <c r="IQ592" s="569"/>
      <c r="IR592" s="569"/>
      <c r="IS592" s="569"/>
      <c r="IT592" s="569"/>
      <c r="IU592" s="569"/>
      <c r="IV592" s="569"/>
      <c r="IW592" s="569"/>
      <c r="IX592" s="569"/>
      <c r="IY592" s="569"/>
      <c r="IZ592" s="569"/>
      <c r="JA592" s="569"/>
      <c r="JB592" s="569"/>
      <c r="JC592" s="569"/>
      <c r="JD592" s="569"/>
      <c r="JE592" s="569"/>
      <c r="JF592" s="569"/>
      <c r="JG592" s="569"/>
      <c r="JH592" s="569"/>
      <c r="JI592" s="569"/>
      <c r="JJ592" s="569"/>
      <c r="JK592" s="569"/>
      <c r="JL592" s="569"/>
      <c r="JM592" s="569"/>
      <c r="JN592" s="569"/>
      <c r="JO592" s="569"/>
      <c r="JP592" s="569"/>
      <c r="JQ592" s="569"/>
      <c r="JR592" s="569"/>
      <c r="JS592" s="569"/>
      <c r="JT592" s="569"/>
      <c r="JU592" s="569"/>
      <c r="JV592" s="569"/>
      <c r="JW592" s="569"/>
      <c r="JX592" s="569"/>
      <c r="JY592" s="569"/>
      <c r="JZ592" s="569"/>
      <c r="KA592" s="569"/>
      <c r="KB592" s="569"/>
      <c r="KC592" s="569"/>
      <c r="KD592" s="569"/>
      <c r="KE592" s="569"/>
      <c r="KF592" s="569"/>
      <c r="KG592" s="569"/>
      <c r="KH592" s="569"/>
      <c r="KI592" s="569"/>
      <c r="KJ592" s="569"/>
      <c r="KK592" s="569"/>
      <c r="KL592" s="569"/>
      <c r="KM592" s="569"/>
      <c r="KN592" s="569"/>
      <c r="KO592" s="569"/>
      <c r="KP592" s="569"/>
      <c r="KQ592" s="569"/>
      <c r="KR592" s="569"/>
      <c r="KS592" s="569"/>
      <c r="KT592" s="569"/>
      <c r="KU592" s="569"/>
      <c r="KV592" s="569"/>
      <c r="KW592" s="569"/>
      <c r="KX592" s="569"/>
      <c r="KY592" s="569"/>
      <c r="KZ592" s="569"/>
      <c r="LA592" s="569"/>
      <c r="LB592" s="569"/>
      <c r="LC592" s="569"/>
      <c r="LD592" s="569"/>
      <c r="LE592" s="569"/>
      <c r="LF592" s="569"/>
      <c r="LG592" s="569"/>
      <c r="LH592" s="569"/>
      <c r="LI592" s="569"/>
      <c r="LJ592" s="569"/>
      <c r="LK592" s="569"/>
      <c r="LL592" s="569"/>
      <c r="LM592" s="569"/>
      <c r="LN592" s="569"/>
      <c r="LO592" s="569"/>
      <c r="LP592" s="569"/>
      <c r="LQ592" s="569"/>
      <c r="LR592" s="569"/>
      <c r="LS592" s="569"/>
      <c r="LT592" s="569"/>
      <c r="LU592" s="569"/>
      <c r="LV592" s="569"/>
      <c r="LW592" s="569"/>
      <c r="LX592" s="569"/>
      <c r="LY592" s="569"/>
      <c r="LZ592" s="569"/>
      <c r="MA592" s="569"/>
      <c r="MB592" s="569"/>
      <c r="MC592" s="569"/>
      <c r="MD592" s="569"/>
      <c r="ME592" s="569"/>
      <c r="MF592" s="569"/>
      <c r="MG592" s="569"/>
      <c r="MH592" s="569"/>
      <c r="MI592" s="569"/>
      <c r="MJ592" s="569"/>
      <c r="MK592" s="569"/>
      <c r="ML592" s="569"/>
      <c r="MM592" s="569"/>
      <c r="MN592" s="569"/>
      <c r="MO592" s="569"/>
      <c r="MP592" s="569"/>
      <c r="MQ592" s="569"/>
      <c r="MR592" s="569"/>
      <c r="MS592" s="569"/>
      <c r="MT592" s="569"/>
      <c r="MU592" s="569"/>
      <c r="MV592" s="569"/>
      <c r="MW592" s="569"/>
      <c r="MX592" s="569"/>
      <c r="MY592" s="569"/>
      <c r="MZ592" s="569"/>
      <c r="NA592" s="569"/>
      <c r="NB592" s="569"/>
      <c r="NC592" s="569"/>
      <c r="ND592" s="569"/>
      <c r="NE592" s="569"/>
      <c r="NF592" s="569"/>
      <c r="NG592" s="569"/>
      <c r="NH592" s="569"/>
      <c r="NI592" s="569"/>
      <c r="NJ592" s="569"/>
      <c r="NK592" s="569"/>
      <c r="NL592" s="569"/>
      <c r="NM592" s="569"/>
      <c r="NN592" s="569"/>
      <c r="NO592" s="569"/>
      <c r="NP592" s="569"/>
      <c r="NQ592" s="569"/>
      <c r="NR592" s="569"/>
      <c r="NS592" s="569"/>
      <c r="NT592" s="569"/>
      <c r="NU592" s="569"/>
      <c r="NV592" s="569"/>
      <c r="NW592" s="569"/>
      <c r="NX592" s="569"/>
      <c r="NY592" s="569"/>
      <c r="NZ592" s="569"/>
      <c r="OA592" s="569"/>
      <c r="OB592" s="569"/>
      <c r="OC592" s="569"/>
      <c r="OD592" s="569"/>
      <c r="OE592" s="569"/>
      <c r="OF592" s="569"/>
      <c r="OG592" s="569"/>
      <c r="OH592" s="569"/>
      <c r="OI592" s="569"/>
      <c r="OJ592" s="569"/>
      <c r="OK592" s="569"/>
      <c r="OL592" s="569"/>
      <c r="OM592" s="569"/>
      <c r="ON592" s="569"/>
      <c r="OO592" s="569"/>
      <c r="OP592" s="569"/>
      <c r="OQ592" s="569"/>
      <c r="OR592" s="569"/>
      <c r="OS592" s="569"/>
      <c r="OT592" s="569"/>
      <c r="OU592" s="569"/>
      <c r="OV592" s="569"/>
      <c r="OW592" s="569"/>
      <c r="OX592" s="569"/>
      <c r="OY592" s="569"/>
      <c r="OZ592" s="569"/>
      <c r="PA592" s="569"/>
      <c r="PB592" s="569"/>
      <c r="PC592" s="569"/>
      <c r="PD592" s="569"/>
      <c r="PE592" s="569"/>
      <c r="PF592" s="569"/>
      <c r="PG592" s="569"/>
      <c r="PH592" s="569"/>
      <c r="PI592" s="569"/>
      <c r="PJ592" s="569"/>
      <c r="PK592" s="569"/>
      <c r="PL592" s="569"/>
      <c r="PM592" s="569"/>
      <c r="PN592" s="569"/>
      <c r="PO592" s="569"/>
      <c r="PP592" s="569"/>
      <c r="PQ592" s="569"/>
      <c r="PR592" s="569"/>
      <c r="PS592" s="569"/>
      <c r="PT592" s="569"/>
      <c r="PU592" s="569"/>
      <c r="PV592" s="569"/>
      <c r="PW592" s="569"/>
      <c r="PX592" s="569"/>
      <c r="PY592" s="569"/>
      <c r="PZ592" s="569"/>
      <c r="QA592" s="569"/>
      <c r="QB592" s="569"/>
      <c r="QC592" s="569"/>
      <c r="QD592" s="569"/>
      <c r="QE592" s="569"/>
      <c r="QF592" s="569"/>
      <c r="QG592" s="569"/>
      <c r="QH592" s="569"/>
      <c r="QI592" s="569"/>
      <c r="QJ592" s="569"/>
      <c r="QK592" s="569"/>
      <c r="QL592" s="569"/>
    </row>
    <row r="593" spans="1:454" ht="30">
      <c r="B593" s="568"/>
      <c r="C593" s="568"/>
      <c r="D593" s="568"/>
      <c r="E593" s="568"/>
      <c r="F593" s="568"/>
      <c r="G593" s="568"/>
      <c r="H593" s="563" t="str">
        <f>'matrik MISI 6'!N107</f>
        <v>Rasio Akses Internet di Ruang Publik</v>
      </c>
      <c r="I593" s="563" t="str">
        <f>'matrik MISI 6'!O107</f>
        <v>rasio</v>
      </c>
      <c r="J593" s="563">
        <f>'matrik MISI 6'!P107</f>
        <v>5</v>
      </c>
      <c r="K593" s="563">
        <f>'matrik MISI 6'!Q107</f>
        <v>9</v>
      </c>
      <c r="L593" s="563">
        <f>'matrik MISI 6'!R107</f>
        <v>15</v>
      </c>
      <c r="M593" s="604"/>
      <c r="N593" s="563">
        <f>'matrik MISI 6'!S107</f>
        <v>35</v>
      </c>
      <c r="O593" s="564"/>
      <c r="P593" s="563">
        <f>'matrik MISI 6'!T107</f>
        <v>55</v>
      </c>
      <c r="Q593" s="564"/>
      <c r="R593" s="563">
        <f>'matrik MISI 6'!U107</f>
        <v>75</v>
      </c>
      <c r="S593" s="564"/>
      <c r="T593" s="563">
        <f>'matrik MISI 6'!V107</f>
        <v>100</v>
      </c>
      <c r="U593" s="564"/>
      <c r="V593" s="563">
        <f>'matrik MISI 6'!W107</f>
        <v>100</v>
      </c>
      <c r="W593" s="564"/>
      <c r="X593" s="563" t="str">
        <f>'matrik MISI 6'!X107</f>
        <v>DISHUBKOMINFO</v>
      </c>
      <c r="Y593" s="563" t="str">
        <f>'matrik MISI 6'!Y107</f>
        <v>jumlah akses internet yang ada di ruang publik dibagi jumlah ruang publik</v>
      </c>
      <c r="Z593" s="563">
        <f>'matrik MISI 6'!Z107</f>
        <v>0</v>
      </c>
    </row>
    <row r="594" spans="1:454" ht="60">
      <c r="D594" s="568"/>
      <c r="E594" s="568"/>
      <c r="F594" s="568"/>
      <c r="G594" s="568"/>
      <c r="H594" s="563" t="str">
        <f>'matrik MISI 6'!N113</f>
        <v>Cakupan Pengembangan dan Pemberdayaan Kelompok Informasi Masyarakat di Tingkat Kecamatan</v>
      </c>
      <c r="I594" s="563" t="str">
        <f>'matrik MISI 6'!O113</f>
        <v>%</v>
      </c>
      <c r="J594" s="563">
        <f>'matrik MISI 6'!P113</f>
        <v>5</v>
      </c>
      <c r="K594" s="563">
        <f>'matrik MISI 6'!Q113</f>
        <v>10</v>
      </c>
      <c r="L594" s="563">
        <f>'matrik MISI 6'!R113</f>
        <v>15</v>
      </c>
      <c r="M594" s="604"/>
      <c r="N594" s="563">
        <f>'matrik MISI 6'!S113</f>
        <v>25</v>
      </c>
      <c r="O594" s="564"/>
      <c r="P594" s="563">
        <f>'matrik MISI 6'!T113</f>
        <v>35</v>
      </c>
      <c r="Q594" s="564"/>
      <c r="R594" s="563">
        <f>'matrik MISI 6'!U113</f>
        <v>45</v>
      </c>
      <c r="S594" s="564"/>
      <c r="T594" s="563">
        <f>'matrik MISI 6'!V113</f>
        <v>55</v>
      </c>
      <c r="U594" s="564"/>
      <c r="V594" s="563">
        <f>'matrik MISI 6'!W113</f>
        <v>55</v>
      </c>
      <c r="W594" s="564"/>
      <c r="X594" s="563" t="str">
        <f>'matrik MISI 6'!X113</f>
        <v>DISHUBKOMINFO</v>
      </c>
      <c r="Y594" s="563" t="str">
        <f>'matrik MISI 6'!Y113</f>
        <v>Jumlah Kelompok Informasi Masyarakat di Tingkat Kecamatan dibagi jumlah kecamatan kali 100</v>
      </c>
      <c r="Z594" s="563"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95" spans="1:454" ht="30">
      <c r="G595" s="563"/>
      <c r="H595" s="563" t="str">
        <f>'matrik MISI 6'!N114</f>
        <v>Tersedianya Informasi Jasa Konstruksi setiap Tahun</v>
      </c>
      <c r="I595" s="563" t="str">
        <f>'matrik MISI 6'!O114</f>
        <v>%</v>
      </c>
      <c r="J595" s="563">
        <f>'matrik MISI 6'!P114</f>
        <v>100</v>
      </c>
      <c r="K595" s="563">
        <f>'matrik MISI 6'!Q114</f>
        <v>100</v>
      </c>
      <c r="L595" s="563">
        <f>'matrik MISI 6'!R114</f>
        <v>100</v>
      </c>
      <c r="M595" s="604"/>
      <c r="N595" s="563">
        <f>'matrik MISI 6'!S114</f>
        <v>100</v>
      </c>
      <c r="O595" s="564"/>
      <c r="P595" s="563">
        <f>'matrik MISI 6'!T114</f>
        <v>100</v>
      </c>
      <c r="Q595" s="564"/>
      <c r="R595" s="563">
        <f>'matrik MISI 6'!U114</f>
        <v>100</v>
      </c>
      <c r="S595" s="564"/>
      <c r="T595" s="563">
        <f>'matrik MISI 6'!V114</f>
        <v>100</v>
      </c>
      <c r="U595" s="564"/>
      <c r="V595" s="563">
        <f>'matrik MISI 6'!W114</f>
        <v>100</v>
      </c>
      <c r="W595" s="564"/>
      <c r="X595" s="563" t="str">
        <f>'matrik MISI 6'!X114</f>
        <v>D P U</v>
      </c>
      <c r="Y595" s="563" t="str">
        <f>'matrik MISI 6'!Y114</f>
        <v>jumlah layanan minimal  sistem informasi jasa konstruksi yang terupdate  dibagi jumlah layanan minimal sistem informasi jasa konstruksi x 100</v>
      </c>
      <c r="Z595" s="563" t="str">
        <f>'matrik MISI 6'!Z114</f>
        <v>Layanan minimal sistem informasi jasa konstruksi sesuai Standar Pelayanan Minimal bidang Pekerjaan Umum dan Penataan Ruang</v>
      </c>
    </row>
    <row r="596" spans="1:454" ht="75">
      <c r="G596" s="563"/>
      <c r="H596" s="563" t="str">
        <f>'matrik MISI 6'!N115</f>
        <v xml:space="preserve">Tersedianya Informasi Mengenai Rencana Tata Ruang (RTR) Wilayah Kabupaten Beserta Rencana Rincinya Melalui Peta Analog </v>
      </c>
      <c r="I596" s="563" t="str">
        <f>'matrik MISI 6'!O115</f>
        <v>%</v>
      </c>
      <c r="J596" s="563" t="str">
        <f>'matrik MISI 6'!P115</f>
        <v xml:space="preserve"> - </v>
      </c>
      <c r="K596" s="563" t="str">
        <f>'matrik MISI 6'!Q115</f>
        <v xml:space="preserve"> - </v>
      </c>
      <c r="L596" s="563" t="str">
        <f>'matrik MISI 6'!R115</f>
        <v xml:space="preserve"> - </v>
      </c>
      <c r="M596" s="604"/>
      <c r="N596" s="563" t="str">
        <f>'matrik MISI 6'!S115</f>
        <v xml:space="preserve"> - </v>
      </c>
      <c r="O596" s="564"/>
      <c r="P596" s="563">
        <f>'matrik MISI 6'!T115</f>
        <v>100</v>
      </c>
      <c r="Q596" s="564"/>
      <c r="R596" s="563" t="str">
        <f>'matrik MISI 6'!U115</f>
        <v xml:space="preserve"> - </v>
      </c>
      <c r="S596" s="564"/>
      <c r="T596" s="563" t="str">
        <f>'matrik MISI 6'!V115</f>
        <v xml:space="preserve"> - </v>
      </c>
      <c r="U596" s="564"/>
      <c r="V596" s="563" t="str">
        <f>'matrik MISI 6'!W115</f>
        <v xml:space="preserve"> - </v>
      </c>
      <c r="W596" s="564"/>
      <c r="X596" s="563" t="str">
        <f>'matrik MISI 6'!X115</f>
        <v>Bappeda</v>
      </c>
      <c r="Y596" s="563" t="str">
        <f>'matrik MISI 6'!Y115</f>
        <v>jumlah peta analog yang tersedia dibagi jumlah kumulatif peta analog yang seharusnya tersedia di Kabupaten, Kecamatan, dan Kelurahan</v>
      </c>
      <c r="Z596" s="563" t="str">
        <f>'matrik MISI 6'!Z115</f>
        <v>Peta analog dimaksud adalah informasi tentang Rencana Tata Ruang Wilayah Kabupaten serta rencana rincinya dalam bentuk cetakan</v>
      </c>
    </row>
    <row r="597" spans="1:454" ht="75">
      <c r="G597" s="563"/>
      <c r="H597" s="563" t="str">
        <f>'matrik MISI 6'!N116</f>
        <v>Tersedianya Informasi Mengenai Rencana Tata Ruang (RTR) Wilayah Kabupaten Beserta Rencana Rincinya Melalui Peta Digital</v>
      </c>
      <c r="I597" s="563" t="str">
        <f>'matrik MISI 6'!O116</f>
        <v>%</v>
      </c>
      <c r="J597" s="563" t="str">
        <f>'matrik MISI 6'!P116</f>
        <v xml:space="preserve"> - </v>
      </c>
      <c r="K597" s="563" t="str">
        <f>'matrik MISI 6'!Q116</f>
        <v xml:space="preserve"> - </v>
      </c>
      <c r="L597" s="563" t="str">
        <f>'matrik MISI 6'!R116</f>
        <v xml:space="preserve"> - </v>
      </c>
      <c r="M597" s="604"/>
      <c r="N597" s="563">
        <f>'matrik MISI 6'!S116</f>
        <v>100</v>
      </c>
      <c r="O597" s="564"/>
      <c r="P597" s="563" t="str">
        <f>'matrik MISI 6'!T116</f>
        <v xml:space="preserve"> - </v>
      </c>
      <c r="Q597" s="564"/>
      <c r="R597" s="563" t="str">
        <f>'matrik MISI 6'!U116</f>
        <v xml:space="preserve"> - </v>
      </c>
      <c r="S597" s="564"/>
      <c r="T597" s="563" t="str">
        <f>'matrik MISI 6'!V116</f>
        <v xml:space="preserve"> - </v>
      </c>
      <c r="U597" s="564"/>
      <c r="V597" s="563" t="str">
        <f>'matrik MISI 6'!W116</f>
        <v xml:space="preserve"> - </v>
      </c>
      <c r="W597" s="564"/>
      <c r="X597" s="563" t="str">
        <f>'matrik MISI 6'!X116</f>
        <v>Bappeda</v>
      </c>
      <c r="Y597" s="563" t="str">
        <f>'matrik MISI 6'!Y116</f>
        <v>jumlah peta digital yang tersedia dibagi jumlah kumulatif peta digital yang seharusnya tersedia Kabupaten, Kecamatan, dan Kelurahan</v>
      </c>
      <c r="Z597" s="563" t="str">
        <f>'matrik MISI 6'!Z116</f>
        <v>Peta digital dimaksud adalah informasi tentang Rencana Tata Ruang Wilayah Kabupaten serta rencana rincinya dalam bentuk JPEG</v>
      </c>
    </row>
    <row r="598" spans="1:454" s="574" customFormat="1" ht="45">
      <c r="A598" s="569"/>
      <c r="D598" s="577">
        <f>'matrik MISI 6'!J108</f>
        <v>1.25</v>
      </c>
      <c r="E598" s="577" t="str">
        <f>'matrik MISI 6'!K108</f>
        <v>xx</v>
      </c>
      <c r="F598" s="577">
        <f>'matrik MISI 6'!L108</f>
        <v>15</v>
      </c>
      <c r="G598" s="577" t="str">
        <f>'matrik MISI 6'!M108</f>
        <v>program pengembangan  komunikasi, informasi dan media massa</v>
      </c>
      <c r="H598" s="577"/>
      <c r="I598" s="577"/>
      <c r="J598" s="577"/>
      <c r="K598" s="577"/>
      <c r="L598" s="577"/>
      <c r="M598" s="578">
        <f>'jangan di hapus 1'!K1190</f>
        <v>1818651040</v>
      </c>
      <c r="N598" s="578"/>
      <c r="O598" s="578">
        <f>'jangan di hapus 1'!M1190</f>
        <v>2384983000</v>
      </c>
      <c r="P598" s="578"/>
      <c r="Q598" s="578">
        <f>'jangan di hapus 1'!O1190</f>
        <v>4202300000</v>
      </c>
      <c r="R598" s="578"/>
      <c r="S598" s="578">
        <f>'jangan di hapus 1'!Q1190</f>
        <v>4769800000</v>
      </c>
      <c r="T598" s="578"/>
      <c r="U598" s="578">
        <f>'jangan di hapus 1'!S1190</f>
        <v>4847300000</v>
      </c>
      <c r="V598" s="577"/>
      <c r="W598" s="578">
        <f>SUM(M598:U598)</f>
        <v>18023034040</v>
      </c>
      <c r="X598" s="577"/>
      <c r="Y598" s="577"/>
      <c r="Z598" s="577"/>
      <c r="AA598" s="569"/>
      <c r="AB598" s="569"/>
      <c r="AC598" s="569"/>
      <c r="AD598" s="569"/>
      <c r="AE598" s="569"/>
      <c r="AF598" s="569"/>
      <c r="AG598" s="569"/>
      <c r="AH598" s="569"/>
      <c r="AI598" s="569"/>
      <c r="AJ598" s="569"/>
      <c r="AK598" s="569"/>
      <c r="AL598" s="569"/>
      <c r="AM598" s="569"/>
      <c r="AN598" s="569"/>
      <c r="AO598" s="569"/>
      <c r="AP598" s="569"/>
      <c r="AQ598" s="569"/>
      <c r="AR598" s="569"/>
      <c r="AS598" s="569"/>
      <c r="AT598" s="569"/>
      <c r="AU598" s="569"/>
      <c r="AV598" s="569"/>
      <c r="AW598" s="569"/>
      <c r="AX598" s="569"/>
      <c r="AY598" s="569"/>
      <c r="AZ598" s="569"/>
      <c r="BA598" s="569"/>
      <c r="BB598" s="569"/>
      <c r="BC598" s="569"/>
      <c r="BD598" s="569"/>
      <c r="BE598" s="569"/>
      <c r="BF598" s="569"/>
      <c r="BG598" s="569"/>
      <c r="BH598" s="569"/>
      <c r="BI598" s="569"/>
      <c r="BJ598" s="569"/>
      <c r="BK598" s="569"/>
      <c r="BL598" s="569"/>
      <c r="BM598" s="569"/>
      <c r="BN598" s="569"/>
      <c r="BO598" s="569"/>
      <c r="BP598" s="569"/>
      <c r="BQ598" s="569"/>
      <c r="BR598" s="569"/>
      <c r="BS598" s="569"/>
      <c r="BT598" s="569"/>
      <c r="BU598" s="569"/>
      <c r="BV598" s="569"/>
      <c r="BW598" s="569"/>
      <c r="BX598" s="569"/>
      <c r="BY598" s="569"/>
      <c r="BZ598" s="569"/>
      <c r="CA598" s="569"/>
      <c r="CB598" s="569"/>
      <c r="CC598" s="569"/>
      <c r="CD598" s="569"/>
      <c r="CE598" s="569"/>
      <c r="CF598" s="569"/>
      <c r="CG598" s="569"/>
      <c r="CH598" s="569"/>
      <c r="CI598" s="569"/>
      <c r="CJ598" s="569"/>
      <c r="CK598" s="569"/>
      <c r="CL598" s="569"/>
      <c r="CM598" s="569"/>
      <c r="CN598" s="569"/>
      <c r="CO598" s="569"/>
      <c r="CP598" s="569"/>
      <c r="CQ598" s="569"/>
      <c r="CR598" s="569"/>
      <c r="CS598" s="569"/>
      <c r="CT598" s="569"/>
      <c r="CU598" s="569"/>
      <c r="CV598" s="569"/>
      <c r="CW598" s="569"/>
      <c r="CX598" s="569"/>
      <c r="CY598" s="569"/>
      <c r="CZ598" s="569"/>
      <c r="DA598" s="569"/>
      <c r="DB598" s="569"/>
      <c r="DC598" s="569"/>
      <c r="DD598" s="569"/>
      <c r="DE598" s="569"/>
      <c r="DF598" s="569"/>
      <c r="DG598" s="569"/>
      <c r="DH598" s="569"/>
      <c r="DI598" s="569"/>
      <c r="DJ598" s="569"/>
      <c r="DK598" s="569"/>
      <c r="DL598" s="569"/>
      <c r="DM598" s="569"/>
      <c r="DN598" s="569"/>
      <c r="DO598" s="569"/>
      <c r="DP598" s="569"/>
      <c r="DQ598" s="569"/>
      <c r="DR598" s="569"/>
      <c r="DS598" s="569"/>
      <c r="DT598" s="569"/>
      <c r="DU598" s="569"/>
      <c r="DV598" s="569"/>
      <c r="DW598" s="569"/>
      <c r="DX598" s="569"/>
      <c r="DY598" s="569"/>
      <c r="DZ598" s="569"/>
      <c r="EA598" s="569"/>
      <c r="EB598" s="569"/>
      <c r="EC598" s="569"/>
      <c r="ED598" s="569"/>
      <c r="EE598" s="569"/>
      <c r="EF598" s="569"/>
      <c r="EG598" s="569"/>
      <c r="EH598" s="569"/>
      <c r="EI598" s="569"/>
      <c r="EJ598" s="569"/>
      <c r="EK598" s="569"/>
      <c r="EL598" s="569"/>
      <c r="EM598" s="569"/>
      <c r="EN598" s="569"/>
      <c r="EO598" s="569"/>
      <c r="EP598" s="569"/>
      <c r="EQ598" s="569"/>
      <c r="ER598" s="569"/>
      <c r="ES598" s="569"/>
      <c r="ET598" s="569"/>
      <c r="EU598" s="569"/>
      <c r="EV598" s="569"/>
      <c r="EW598" s="569"/>
      <c r="EX598" s="569"/>
      <c r="EY598" s="569"/>
      <c r="EZ598" s="569"/>
      <c r="FA598" s="569"/>
      <c r="FB598" s="569"/>
      <c r="FC598" s="569"/>
      <c r="FD598" s="569"/>
      <c r="FE598" s="569"/>
      <c r="FF598" s="569"/>
      <c r="FG598" s="569"/>
      <c r="FH598" s="569"/>
      <c r="FI598" s="569"/>
      <c r="FJ598" s="569"/>
      <c r="FK598" s="569"/>
      <c r="FL598" s="569"/>
      <c r="FM598" s="569"/>
      <c r="FN598" s="569"/>
      <c r="FO598" s="569"/>
      <c r="FP598" s="569"/>
      <c r="FQ598" s="569"/>
      <c r="FR598" s="569"/>
      <c r="FS598" s="569"/>
      <c r="FT598" s="569"/>
      <c r="FU598" s="569"/>
      <c r="FV598" s="569"/>
      <c r="FW598" s="569"/>
      <c r="FX598" s="569"/>
      <c r="FY598" s="569"/>
      <c r="FZ598" s="569"/>
      <c r="GA598" s="569"/>
      <c r="GB598" s="569"/>
      <c r="GC598" s="569"/>
      <c r="GD598" s="569"/>
      <c r="GE598" s="569"/>
      <c r="GF598" s="569"/>
      <c r="GG598" s="569"/>
      <c r="GH598" s="569"/>
      <c r="GI598" s="569"/>
      <c r="GJ598" s="569"/>
      <c r="GK598" s="569"/>
      <c r="GL598" s="569"/>
      <c r="GM598" s="569"/>
      <c r="GN598" s="569"/>
      <c r="GO598" s="569"/>
      <c r="GP598" s="569"/>
      <c r="GQ598" s="569"/>
      <c r="GR598" s="569"/>
      <c r="GS598" s="569"/>
      <c r="GT598" s="569"/>
      <c r="GU598" s="569"/>
      <c r="GV598" s="569"/>
      <c r="GW598" s="569"/>
      <c r="GX598" s="569"/>
      <c r="GY598" s="569"/>
      <c r="GZ598" s="569"/>
      <c r="HA598" s="569"/>
      <c r="HB598" s="569"/>
      <c r="HC598" s="569"/>
      <c r="HD598" s="569"/>
      <c r="HE598" s="569"/>
      <c r="HF598" s="569"/>
      <c r="HG598" s="569"/>
      <c r="HH598" s="569"/>
      <c r="HI598" s="569"/>
      <c r="HJ598" s="569"/>
      <c r="HK598" s="569"/>
      <c r="HL598" s="569"/>
      <c r="HM598" s="569"/>
      <c r="HN598" s="569"/>
      <c r="HO598" s="569"/>
      <c r="HP598" s="569"/>
      <c r="HQ598" s="569"/>
      <c r="HR598" s="569"/>
      <c r="HS598" s="569"/>
      <c r="HT598" s="569"/>
      <c r="HU598" s="569"/>
      <c r="HV598" s="569"/>
      <c r="HW598" s="569"/>
      <c r="HX598" s="569"/>
      <c r="HY598" s="569"/>
      <c r="HZ598" s="569"/>
      <c r="IA598" s="569"/>
      <c r="IB598" s="569"/>
      <c r="IC598" s="569"/>
      <c r="ID598" s="569"/>
      <c r="IE598" s="569"/>
      <c r="IF598" s="569"/>
      <c r="IG598" s="569"/>
      <c r="IH598" s="569"/>
      <c r="II598" s="569"/>
      <c r="IJ598" s="569"/>
      <c r="IK598" s="569"/>
      <c r="IL598" s="569"/>
      <c r="IM598" s="569"/>
      <c r="IN598" s="569"/>
      <c r="IO598" s="569"/>
      <c r="IP598" s="569"/>
      <c r="IQ598" s="569"/>
      <c r="IR598" s="569"/>
      <c r="IS598" s="569"/>
      <c r="IT598" s="569"/>
      <c r="IU598" s="569"/>
      <c r="IV598" s="569"/>
      <c r="IW598" s="569"/>
      <c r="IX598" s="569"/>
      <c r="IY598" s="569"/>
      <c r="IZ598" s="569"/>
      <c r="JA598" s="569"/>
      <c r="JB598" s="569"/>
      <c r="JC598" s="569"/>
      <c r="JD598" s="569"/>
      <c r="JE598" s="569"/>
      <c r="JF598" s="569"/>
      <c r="JG598" s="569"/>
      <c r="JH598" s="569"/>
      <c r="JI598" s="569"/>
      <c r="JJ598" s="569"/>
      <c r="JK598" s="569"/>
      <c r="JL598" s="569"/>
      <c r="JM598" s="569"/>
      <c r="JN598" s="569"/>
      <c r="JO598" s="569"/>
      <c r="JP598" s="569"/>
      <c r="JQ598" s="569"/>
      <c r="JR598" s="569"/>
      <c r="JS598" s="569"/>
      <c r="JT598" s="569"/>
      <c r="JU598" s="569"/>
      <c r="JV598" s="569"/>
      <c r="JW598" s="569"/>
      <c r="JX598" s="569"/>
      <c r="JY598" s="569"/>
      <c r="JZ598" s="569"/>
      <c r="KA598" s="569"/>
      <c r="KB598" s="569"/>
      <c r="KC598" s="569"/>
      <c r="KD598" s="569"/>
      <c r="KE598" s="569"/>
      <c r="KF598" s="569"/>
      <c r="KG598" s="569"/>
      <c r="KH598" s="569"/>
      <c r="KI598" s="569"/>
      <c r="KJ598" s="569"/>
      <c r="KK598" s="569"/>
      <c r="KL598" s="569"/>
      <c r="KM598" s="569"/>
      <c r="KN598" s="569"/>
      <c r="KO598" s="569"/>
      <c r="KP598" s="569"/>
      <c r="KQ598" s="569"/>
      <c r="KR598" s="569"/>
      <c r="KS598" s="569"/>
      <c r="KT598" s="569"/>
      <c r="KU598" s="569"/>
      <c r="KV598" s="569"/>
      <c r="KW598" s="569"/>
      <c r="KX598" s="569"/>
      <c r="KY598" s="569"/>
      <c r="KZ598" s="569"/>
      <c r="LA598" s="569"/>
      <c r="LB598" s="569"/>
      <c r="LC598" s="569"/>
      <c r="LD598" s="569"/>
      <c r="LE598" s="569"/>
      <c r="LF598" s="569"/>
      <c r="LG598" s="569"/>
      <c r="LH598" s="569"/>
      <c r="LI598" s="569"/>
      <c r="LJ598" s="569"/>
      <c r="LK598" s="569"/>
      <c r="LL598" s="569"/>
      <c r="LM598" s="569"/>
      <c r="LN598" s="569"/>
      <c r="LO598" s="569"/>
      <c r="LP598" s="569"/>
      <c r="LQ598" s="569"/>
      <c r="LR598" s="569"/>
      <c r="LS598" s="569"/>
      <c r="LT598" s="569"/>
      <c r="LU598" s="569"/>
      <c r="LV598" s="569"/>
      <c r="LW598" s="569"/>
      <c r="LX598" s="569"/>
      <c r="LY598" s="569"/>
      <c r="LZ598" s="569"/>
      <c r="MA598" s="569"/>
      <c r="MB598" s="569"/>
      <c r="MC598" s="569"/>
      <c r="MD598" s="569"/>
      <c r="ME598" s="569"/>
      <c r="MF598" s="569"/>
      <c r="MG598" s="569"/>
      <c r="MH598" s="569"/>
      <c r="MI598" s="569"/>
      <c r="MJ598" s="569"/>
      <c r="MK598" s="569"/>
      <c r="ML598" s="569"/>
      <c r="MM598" s="569"/>
      <c r="MN598" s="569"/>
      <c r="MO598" s="569"/>
      <c r="MP598" s="569"/>
      <c r="MQ598" s="569"/>
      <c r="MR598" s="569"/>
      <c r="MS598" s="569"/>
      <c r="MT598" s="569"/>
      <c r="MU598" s="569"/>
      <c r="MV598" s="569"/>
      <c r="MW598" s="569"/>
      <c r="MX598" s="569"/>
      <c r="MY598" s="569"/>
      <c r="MZ598" s="569"/>
      <c r="NA598" s="569"/>
      <c r="NB598" s="569"/>
      <c r="NC598" s="569"/>
      <c r="ND598" s="569"/>
      <c r="NE598" s="569"/>
      <c r="NF598" s="569"/>
      <c r="NG598" s="569"/>
      <c r="NH598" s="569"/>
      <c r="NI598" s="569"/>
      <c r="NJ598" s="569"/>
      <c r="NK598" s="569"/>
      <c r="NL598" s="569"/>
      <c r="NM598" s="569"/>
      <c r="NN598" s="569"/>
      <c r="NO598" s="569"/>
      <c r="NP598" s="569"/>
      <c r="NQ598" s="569"/>
      <c r="NR598" s="569"/>
      <c r="NS598" s="569"/>
      <c r="NT598" s="569"/>
      <c r="NU598" s="569"/>
      <c r="NV598" s="569"/>
      <c r="NW598" s="569"/>
      <c r="NX598" s="569"/>
      <c r="NY598" s="569"/>
      <c r="NZ598" s="569"/>
      <c r="OA598" s="569"/>
      <c r="OB598" s="569"/>
      <c r="OC598" s="569"/>
      <c r="OD598" s="569"/>
      <c r="OE598" s="569"/>
      <c r="OF598" s="569"/>
      <c r="OG598" s="569"/>
      <c r="OH598" s="569"/>
      <c r="OI598" s="569"/>
      <c r="OJ598" s="569"/>
      <c r="OK598" s="569"/>
      <c r="OL598" s="569"/>
      <c r="OM598" s="569"/>
      <c r="ON598" s="569"/>
      <c r="OO598" s="569"/>
      <c r="OP598" s="569"/>
      <c r="OQ598" s="569"/>
      <c r="OR598" s="569"/>
      <c r="OS598" s="569"/>
      <c r="OT598" s="569"/>
      <c r="OU598" s="569"/>
      <c r="OV598" s="569"/>
      <c r="OW598" s="569"/>
      <c r="OX598" s="569"/>
      <c r="OY598" s="569"/>
      <c r="OZ598" s="569"/>
      <c r="PA598" s="569"/>
      <c r="PB598" s="569"/>
      <c r="PC598" s="569"/>
      <c r="PD598" s="569"/>
      <c r="PE598" s="569"/>
      <c r="PF598" s="569"/>
      <c r="PG598" s="569"/>
      <c r="PH598" s="569"/>
      <c r="PI598" s="569"/>
      <c r="PJ598" s="569"/>
      <c r="PK598" s="569"/>
      <c r="PL598" s="569"/>
      <c r="PM598" s="569"/>
      <c r="PN598" s="569"/>
      <c r="PO598" s="569"/>
      <c r="PP598" s="569"/>
      <c r="PQ598" s="569"/>
      <c r="PR598" s="569"/>
      <c r="PS598" s="569"/>
      <c r="PT598" s="569"/>
      <c r="PU598" s="569"/>
      <c r="PV598" s="569"/>
      <c r="PW598" s="569"/>
      <c r="PX598" s="569"/>
      <c r="PY598" s="569"/>
      <c r="PZ598" s="569"/>
      <c r="QA598" s="569"/>
      <c r="QB598" s="569"/>
      <c r="QC598" s="569"/>
      <c r="QD598" s="569"/>
      <c r="QE598" s="569"/>
      <c r="QF598" s="569"/>
      <c r="QG598" s="569"/>
      <c r="QH598" s="569"/>
      <c r="QI598" s="569"/>
      <c r="QJ598" s="569"/>
      <c r="QK598" s="569"/>
      <c r="QL598" s="569"/>
    </row>
    <row r="599" spans="1:454" ht="45">
      <c r="D599" s="568"/>
      <c r="E599" s="568"/>
      <c r="F599" s="568"/>
      <c r="G599" s="568"/>
      <c r="H599" s="563" t="str">
        <f>'matrik MISI 6'!N108</f>
        <v>Pelaksanaan Diseminasi dan Pendistribusian Informasi melalui Media Tradisional</v>
      </c>
      <c r="I599" s="563" t="str">
        <f>'matrik MISI 6'!O108</f>
        <v>kali</v>
      </c>
      <c r="J599" s="563">
        <f>'matrik MISI 6'!P108</f>
        <v>1</v>
      </c>
      <c r="K599" s="563">
        <f>'matrik MISI 6'!Q108</f>
        <v>2</v>
      </c>
      <c r="L599" s="563">
        <f>'matrik MISI 6'!R108</f>
        <v>2</v>
      </c>
      <c r="M599" s="604"/>
      <c r="N599" s="563">
        <f>'matrik MISI 6'!S108</f>
        <v>3</v>
      </c>
      <c r="O599" s="564"/>
      <c r="P599" s="563">
        <f>'matrik MISI 6'!T108</f>
        <v>4</v>
      </c>
      <c r="Q599" s="564"/>
      <c r="R599" s="563">
        <f>'matrik MISI 6'!U108</f>
        <v>5</v>
      </c>
      <c r="S599" s="564"/>
      <c r="T599" s="563">
        <f>'matrik MISI 6'!V108</f>
        <v>6</v>
      </c>
      <c r="U599" s="564"/>
      <c r="V599" s="563">
        <f>'matrik MISI 6'!W108</f>
        <v>6</v>
      </c>
      <c r="W599" s="564"/>
      <c r="X599" s="563" t="str">
        <f>'matrik MISI 6'!X108</f>
        <v>DISHUBKOMINFO</v>
      </c>
      <c r="Y599" s="563" t="str">
        <f>'matrik MISI 6'!Y108</f>
        <v>Jumlah Pelaksanaan Diseminasi dan Pendistribusian Informasi melalui Media Tradisional pada tahun berjalan</v>
      </c>
      <c r="Z599" s="563" t="str">
        <f>'matrik MISI 6'!Z108</f>
        <v>Contoh media tradisional adalah pertunjukan rakyat</v>
      </c>
    </row>
    <row r="600" spans="1:454" ht="45">
      <c r="G600" s="563"/>
      <c r="H600" s="563" t="str">
        <f>'matrik MISI 6'!N109</f>
        <v>Pelaksanaan Diseminasi dan Pendistribusian Informasi melalui Media Interpersonal</v>
      </c>
      <c r="I600" s="563" t="str">
        <f>'matrik MISI 6'!O109</f>
        <v>kali</v>
      </c>
      <c r="J600" s="563">
        <f>'matrik MISI 6'!P109</f>
        <v>1</v>
      </c>
      <c r="K600" s="563">
        <f>'matrik MISI 6'!Q109</f>
        <v>1</v>
      </c>
      <c r="L600" s="563">
        <f>'matrik MISI 6'!R109</f>
        <v>2</v>
      </c>
      <c r="M600" s="604"/>
      <c r="N600" s="563">
        <f>'matrik MISI 6'!S109</f>
        <v>4</v>
      </c>
      <c r="O600" s="564"/>
      <c r="P600" s="563">
        <f>'matrik MISI 6'!T109</f>
        <v>6</v>
      </c>
      <c r="Q600" s="564"/>
      <c r="R600" s="563">
        <f>'matrik MISI 6'!U109</f>
        <v>8</v>
      </c>
      <c r="S600" s="564"/>
      <c r="T600" s="563">
        <f>'matrik MISI 6'!V109</f>
        <v>10</v>
      </c>
      <c r="U600" s="564"/>
      <c r="V600" s="563">
        <f>'matrik MISI 6'!W109</f>
        <v>10</v>
      </c>
      <c r="W600" s="564"/>
      <c r="X600" s="563" t="str">
        <f>'matrik MISI 6'!X109</f>
        <v>DISHUBKOMINFO</v>
      </c>
      <c r="Y600" s="563" t="str">
        <f>'matrik MISI 6'!Y109</f>
        <v>jumlah Pelaksanaan Diseminasi dan Pendistribusian Informasi melalui Media Interpersonal pada tahun berjalan</v>
      </c>
      <c r="Z600" s="563" t="str">
        <f>'matrik MISI 6'!Z109</f>
        <v>Contoh media interpersonal adalah sarasehan, ceramah, diskusi, lokakarya</v>
      </c>
    </row>
    <row r="601" spans="1:454" ht="45">
      <c r="G601" s="563"/>
      <c r="H601" s="563" t="str">
        <f>'matrik MISI 6'!N110</f>
        <v>Pelaksanaan Diseminasi dan Pendistribusian Informasi melalui Media Luar Ruang</v>
      </c>
      <c r="I601" s="563" t="str">
        <f>'matrik MISI 6'!O110</f>
        <v>kali</v>
      </c>
      <c r="J601" s="563">
        <f>'matrik MISI 6'!P110</f>
        <v>1</v>
      </c>
      <c r="K601" s="563">
        <f>'matrik MISI 6'!Q110</f>
        <v>1</v>
      </c>
      <c r="L601" s="563">
        <f>'matrik MISI 6'!R110</f>
        <v>2</v>
      </c>
      <c r="M601" s="604"/>
      <c r="N601" s="563">
        <f>'matrik MISI 6'!S110</f>
        <v>4</v>
      </c>
      <c r="O601" s="564"/>
      <c r="P601" s="563">
        <f>'matrik MISI 6'!T110</f>
        <v>6</v>
      </c>
      <c r="Q601" s="564"/>
      <c r="R601" s="563">
        <f>'matrik MISI 6'!U110</f>
        <v>8</v>
      </c>
      <c r="S601" s="564"/>
      <c r="T601" s="563">
        <f>'matrik MISI 6'!V110</f>
        <v>10</v>
      </c>
      <c r="U601" s="564"/>
      <c r="V601" s="563">
        <f>'matrik MISI 6'!W110</f>
        <v>10</v>
      </c>
      <c r="W601" s="564"/>
      <c r="X601" s="563" t="str">
        <f>'matrik MISI 6'!X110</f>
        <v>DISHUBKOMINFO / Bagian Humas</v>
      </c>
      <c r="Y601" s="563" t="str">
        <f>'matrik MISI 6'!Y110</f>
        <v>jumlah Pelaksanaan Diseminasi dan Pendistribusian Informasi melalui Media Luar Ruang pada tahun berjalan</v>
      </c>
      <c r="Z601" s="563" t="str">
        <f>'matrik MISI 6'!Z110</f>
        <v>Contoh media luar ruang adalah media buletin, leafleat, bookleat, brosur, spanduk, baliho</v>
      </c>
    </row>
    <row r="602" spans="1:454" ht="45">
      <c r="G602" s="563"/>
      <c r="H602" s="563" t="str">
        <f>'matrik MISI 6'!N111</f>
        <v>Pelaksanaan Diseminasi dan Pendistribusian Informasi melalui Media Masa</v>
      </c>
      <c r="I602" s="563" t="str">
        <f>'matrik MISI 6'!O111</f>
        <v>kali</v>
      </c>
      <c r="J602" s="563">
        <f>'matrik MISI 6'!P111</f>
        <v>1</v>
      </c>
      <c r="K602" s="563">
        <f>'matrik MISI 6'!Q111</f>
        <v>1</v>
      </c>
      <c r="L602" s="563">
        <f>'matrik MISI 6'!R111</f>
        <v>2</v>
      </c>
      <c r="M602" s="604"/>
      <c r="N602" s="563">
        <f>'matrik MISI 6'!S111</f>
        <v>4</v>
      </c>
      <c r="O602" s="564"/>
      <c r="P602" s="563">
        <f>'matrik MISI 6'!T111</f>
        <v>6</v>
      </c>
      <c r="Q602" s="564"/>
      <c r="R602" s="563">
        <f>'matrik MISI 6'!U111</f>
        <v>8</v>
      </c>
      <c r="S602" s="564"/>
      <c r="T602" s="563">
        <f>'matrik MISI 6'!V111</f>
        <v>10</v>
      </c>
      <c r="U602" s="564"/>
      <c r="V602" s="563">
        <f>'matrik MISI 6'!W111</f>
        <v>10</v>
      </c>
      <c r="W602" s="564"/>
      <c r="X602" s="563" t="str">
        <f>'matrik MISI 6'!X111</f>
        <v>DISHUBKOMINFO / Bagian Humas</v>
      </c>
      <c r="Y602" s="563" t="str">
        <f>'matrik MISI 6'!Y111</f>
        <v>jumlah Pelaksanaan Diseminasi dan Pendistribusian Informasi melalui Media Massa pada tahun berjalan</v>
      </c>
      <c r="Z602" s="563" t="str">
        <f>'matrik MISI 6'!Z111</f>
        <v>Contoh media massa adalah majalah, radio, dan televisi</v>
      </c>
    </row>
    <row r="603" spans="1:454" ht="45">
      <c r="G603" s="563"/>
      <c r="H603" s="563" t="str">
        <f>'matrik MISI 6'!N112</f>
        <v xml:space="preserve">Pelaksanaan Diseminasi dan Pendistribusian Informasi melalui media baru </v>
      </c>
      <c r="I603" s="563" t="str">
        <f>'matrik MISI 6'!O112</f>
        <v>hari</v>
      </c>
      <c r="J603" s="563">
        <f>'matrik MISI 6'!P112</f>
        <v>1</v>
      </c>
      <c r="K603" s="563">
        <f>'matrik MISI 6'!Q112</f>
        <v>1</v>
      </c>
      <c r="L603" s="563">
        <f>'matrik MISI 6'!R112</f>
        <v>2</v>
      </c>
      <c r="M603" s="604"/>
      <c r="N603" s="563">
        <f>'matrik MISI 6'!S112</f>
        <v>4</v>
      </c>
      <c r="O603" s="564"/>
      <c r="P603" s="563">
        <f>'matrik MISI 6'!T112</f>
        <v>6</v>
      </c>
      <c r="Q603" s="564"/>
      <c r="R603" s="563">
        <f>'matrik MISI 6'!U112</f>
        <v>8</v>
      </c>
      <c r="S603" s="564"/>
      <c r="T603" s="563">
        <f>'matrik MISI 6'!V112</f>
        <v>10</v>
      </c>
      <c r="U603" s="564"/>
      <c r="V603" s="563">
        <f>'matrik MISI 6'!W112</f>
        <v>10</v>
      </c>
      <c r="W603" s="564"/>
      <c r="X603" s="563" t="str">
        <f>'matrik MISI 6'!X112</f>
        <v>Bagian Humas</v>
      </c>
      <c r="Y603" s="563" t="str">
        <f>'matrik MISI 6'!Y112</f>
        <v>jumlah Pelaksanaan Diseminasi dan Pendistribusian Informasi melalui media baru dalam tahun berjalan</v>
      </c>
      <c r="Z603" s="563" t="str">
        <f>'matrik MISI 6'!Z112</f>
        <v>Media baru adalah Website Daerah</v>
      </c>
    </row>
    <row r="604" spans="1:454" ht="45">
      <c r="D604" s="568"/>
      <c r="E604" s="568"/>
      <c r="F604" s="568"/>
      <c r="G604" s="568"/>
      <c r="H604" s="563" t="str">
        <f>'matrik MISI 6'!N118</f>
        <v>Cakupan Jaringan Sistem Informasi e-Government</v>
      </c>
      <c r="I604" s="563" t="str">
        <f>'matrik MISI 6'!O118</f>
        <v>%</v>
      </c>
      <c r="J604" s="563">
        <f>'matrik MISI 6'!P118</f>
        <v>5</v>
      </c>
      <c r="K604" s="563">
        <f>'matrik MISI 6'!Q118</f>
        <v>9</v>
      </c>
      <c r="L604" s="563">
        <f>'matrik MISI 6'!R118</f>
        <v>15</v>
      </c>
      <c r="M604" s="604"/>
      <c r="N604" s="563">
        <f>'matrik MISI 6'!S118</f>
        <v>35</v>
      </c>
      <c r="O604" s="564"/>
      <c r="P604" s="563">
        <f>'matrik MISI 6'!T118</f>
        <v>55</v>
      </c>
      <c r="Q604" s="564"/>
      <c r="R604" s="563">
        <f>'matrik MISI 6'!U118</f>
        <v>75</v>
      </c>
      <c r="S604" s="564"/>
      <c r="T604" s="563">
        <f>'matrik MISI 6'!V118</f>
        <v>100</v>
      </c>
      <c r="U604" s="564"/>
      <c r="V604" s="563">
        <f>'matrik MISI 6'!W118</f>
        <v>100</v>
      </c>
      <c r="W604" s="564"/>
      <c r="X604" s="563" t="str">
        <f>'matrik MISI 6'!X118</f>
        <v>Bagian Santel dan PDE, Dishubkominfo dan Bappeda</v>
      </c>
      <c r="Y604" s="563" t="str">
        <f>'matrik MISI 6'!Y118</f>
        <v>Jumlah Sistem Informasi e-Government yang tersedia dibagi jumlah organisasi perangkat daerah kali 100</v>
      </c>
      <c r="Z604" s="563" t="str">
        <f>'matrik MISI 6'!Z118</f>
        <v>meliputi pemerintah kabupaten dan pemerintah desa</v>
      </c>
    </row>
    <row r="605" spans="1:454" s="574" customFormat="1" ht="60">
      <c r="A605" s="569"/>
      <c r="B605" s="575"/>
      <c r="C605" s="576"/>
      <c r="D605" s="577">
        <f>'matrik MISI 6'!J121</f>
        <v>1.25</v>
      </c>
      <c r="E605" s="577" t="str">
        <f>'matrik MISI 6'!K121</f>
        <v>xx</v>
      </c>
      <c r="F605" s="577">
        <f>'matrik MISI 6'!L121</f>
        <v>16</v>
      </c>
      <c r="G605" s="577" t="str">
        <f>'matrik MISI 6'!M121</f>
        <v>program pengkajian dan penelitian bidang informasi dan komunikasi</v>
      </c>
      <c r="H605" s="577"/>
      <c r="I605" s="577"/>
      <c r="J605" s="577"/>
      <c r="K605" s="577"/>
      <c r="L605" s="577"/>
      <c r="M605" s="578">
        <f>'jangan di hapus 1'!K1223</f>
        <v>38845000</v>
      </c>
      <c r="N605" s="578"/>
      <c r="O605" s="578">
        <f>'jangan di hapus 1'!M1223</f>
        <v>703460000</v>
      </c>
      <c r="P605" s="578"/>
      <c r="Q605" s="578">
        <f>'jangan di hapus 1'!O1223</f>
        <v>149000000</v>
      </c>
      <c r="R605" s="578"/>
      <c r="S605" s="578">
        <f>'jangan di hapus 1'!Q1223</f>
        <v>180000000</v>
      </c>
      <c r="T605" s="578"/>
      <c r="U605" s="578">
        <f>'jangan di hapus 1'!S1223</f>
        <v>215000000</v>
      </c>
      <c r="V605" s="577"/>
      <c r="W605" s="578">
        <f>SUM(M605:U605)</f>
        <v>1286305000</v>
      </c>
      <c r="X605" s="577"/>
      <c r="Y605" s="577"/>
      <c r="Z605" s="577"/>
      <c r="AA605" s="569"/>
      <c r="AB605" s="569"/>
      <c r="AC605" s="569"/>
      <c r="AD605" s="569"/>
      <c r="AE605" s="569"/>
      <c r="AF605" s="569"/>
      <c r="AG605" s="569"/>
      <c r="AH605" s="569"/>
      <c r="AI605" s="569"/>
      <c r="AJ605" s="569"/>
      <c r="AK605" s="569"/>
      <c r="AL605" s="569"/>
      <c r="AM605" s="569"/>
      <c r="AN605" s="569"/>
      <c r="AO605" s="569"/>
      <c r="AP605" s="569"/>
      <c r="AQ605" s="569"/>
      <c r="AR605" s="569"/>
      <c r="AS605" s="569"/>
      <c r="AT605" s="569"/>
      <c r="AU605" s="569"/>
      <c r="AV605" s="569"/>
      <c r="AW605" s="569"/>
      <c r="AX605" s="569"/>
      <c r="AY605" s="569"/>
      <c r="AZ605" s="569"/>
      <c r="BA605" s="569"/>
      <c r="BB605" s="569"/>
      <c r="BC605" s="569"/>
      <c r="BD605" s="569"/>
      <c r="BE605" s="569"/>
      <c r="BF605" s="569"/>
      <c r="BG605" s="569"/>
      <c r="BH605" s="569"/>
      <c r="BI605" s="569"/>
      <c r="BJ605" s="569"/>
      <c r="BK605" s="569"/>
      <c r="BL605" s="569"/>
      <c r="BM605" s="569"/>
      <c r="BN605" s="569"/>
      <c r="BO605" s="569"/>
      <c r="BP605" s="569"/>
      <c r="BQ605" s="569"/>
      <c r="BR605" s="569"/>
      <c r="BS605" s="569"/>
      <c r="BT605" s="569"/>
      <c r="BU605" s="569"/>
      <c r="BV605" s="569"/>
      <c r="BW605" s="569"/>
      <c r="BX605" s="569"/>
      <c r="BY605" s="569"/>
      <c r="BZ605" s="569"/>
      <c r="CA605" s="569"/>
      <c r="CB605" s="569"/>
      <c r="CC605" s="569"/>
      <c r="CD605" s="569"/>
      <c r="CE605" s="569"/>
      <c r="CF605" s="569"/>
      <c r="CG605" s="569"/>
      <c r="CH605" s="569"/>
      <c r="CI605" s="569"/>
      <c r="CJ605" s="569"/>
      <c r="CK605" s="569"/>
      <c r="CL605" s="569"/>
      <c r="CM605" s="569"/>
      <c r="CN605" s="569"/>
      <c r="CO605" s="569"/>
      <c r="CP605" s="569"/>
      <c r="CQ605" s="569"/>
      <c r="CR605" s="569"/>
      <c r="CS605" s="569"/>
      <c r="CT605" s="569"/>
      <c r="CU605" s="569"/>
      <c r="CV605" s="569"/>
      <c r="CW605" s="569"/>
      <c r="CX605" s="569"/>
      <c r="CY605" s="569"/>
      <c r="CZ605" s="569"/>
      <c r="DA605" s="569"/>
      <c r="DB605" s="569"/>
      <c r="DC605" s="569"/>
      <c r="DD605" s="569"/>
      <c r="DE605" s="569"/>
      <c r="DF605" s="569"/>
      <c r="DG605" s="569"/>
      <c r="DH605" s="569"/>
      <c r="DI605" s="569"/>
      <c r="DJ605" s="569"/>
      <c r="DK605" s="569"/>
      <c r="DL605" s="569"/>
      <c r="DM605" s="569"/>
      <c r="DN605" s="569"/>
      <c r="DO605" s="569"/>
      <c r="DP605" s="569"/>
      <c r="DQ605" s="569"/>
      <c r="DR605" s="569"/>
      <c r="DS605" s="569"/>
      <c r="DT605" s="569"/>
      <c r="DU605" s="569"/>
      <c r="DV605" s="569"/>
      <c r="DW605" s="569"/>
      <c r="DX605" s="569"/>
      <c r="DY605" s="569"/>
      <c r="DZ605" s="569"/>
      <c r="EA605" s="569"/>
      <c r="EB605" s="569"/>
      <c r="EC605" s="569"/>
      <c r="ED605" s="569"/>
      <c r="EE605" s="569"/>
      <c r="EF605" s="569"/>
      <c r="EG605" s="569"/>
      <c r="EH605" s="569"/>
      <c r="EI605" s="569"/>
      <c r="EJ605" s="569"/>
      <c r="EK605" s="569"/>
      <c r="EL605" s="569"/>
      <c r="EM605" s="569"/>
      <c r="EN605" s="569"/>
      <c r="EO605" s="569"/>
      <c r="EP605" s="569"/>
      <c r="EQ605" s="569"/>
      <c r="ER605" s="569"/>
      <c r="ES605" s="569"/>
      <c r="ET605" s="569"/>
      <c r="EU605" s="569"/>
      <c r="EV605" s="569"/>
      <c r="EW605" s="569"/>
      <c r="EX605" s="569"/>
      <c r="EY605" s="569"/>
      <c r="EZ605" s="569"/>
      <c r="FA605" s="569"/>
      <c r="FB605" s="569"/>
      <c r="FC605" s="569"/>
      <c r="FD605" s="569"/>
      <c r="FE605" s="569"/>
      <c r="FF605" s="569"/>
      <c r="FG605" s="569"/>
      <c r="FH605" s="569"/>
      <c r="FI605" s="569"/>
      <c r="FJ605" s="569"/>
      <c r="FK605" s="569"/>
      <c r="FL605" s="569"/>
      <c r="FM605" s="569"/>
      <c r="FN605" s="569"/>
      <c r="FO605" s="569"/>
      <c r="FP605" s="569"/>
      <c r="FQ605" s="569"/>
      <c r="FR605" s="569"/>
      <c r="FS605" s="569"/>
      <c r="FT605" s="569"/>
      <c r="FU605" s="569"/>
      <c r="FV605" s="569"/>
      <c r="FW605" s="569"/>
      <c r="FX605" s="569"/>
      <c r="FY605" s="569"/>
      <c r="FZ605" s="569"/>
      <c r="GA605" s="569"/>
      <c r="GB605" s="569"/>
      <c r="GC605" s="569"/>
      <c r="GD605" s="569"/>
      <c r="GE605" s="569"/>
      <c r="GF605" s="569"/>
      <c r="GG605" s="569"/>
      <c r="GH605" s="569"/>
      <c r="GI605" s="569"/>
      <c r="GJ605" s="569"/>
      <c r="GK605" s="569"/>
      <c r="GL605" s="569"/>
      <c r="GM605" s="569"/>
      <c r="GN605" s="569"/>
      <c r="GO605" s="569"/>
      <c r="GP605" s="569"/>
      <c r="GQ605" s="569"/>
      <c r="GR605" s="569"/>
      <c r="GS605" s="569"/>
      <c r="GT605" s="569"/>
      <c r="GU605" s="569"/>
      <c r="GV605" s="569"/>
      <c r="GW605" s="569"/>
      <c r="GX605" s="569"/>
      <c r="GY605" s="569"/>
      <c r="GZ605" s="569"/>
      <c r="HA605" s="569"/>
      <c r="HB605" s="569"/>
      <c r="HC605" s="569"/>
      <c r="HD605" s="569"/>
      <c r="HE605" s="569"/>
      <c r="HF605" s="569"/>
      <c r="HG605" s="569"/>
      <c r="HH605" s="569"/>
      <c r="HI605" s="569"/>
      <c r="HJ605" s="569"/>
      <c r="HK605" s="569"/>
      <c r="HL605" s="569"/>
      <c r="HM605" s="569"/>
      <c r="HN605" s="569"/>
      <c r="HO605" s="569"/>
      <c r="HP605" s="569"/>
      <c r="HQ605" s="569"/>
      <c r="HR605" s="569"/>
      <c r="HS605" s="569"/>
      <c r="HT605" s="569"/>
      <c r="HU605" s="569"/>
      <c r="HV605" s="569"/>
      <c r="HW605" s="569"/>
      <c r="HX605" s="569"/>
      <c r="HY605" s="569"/>
      <c r="HZ605" s="569"/>
      <c r="IA605" s="569"/>
      <c r="IB605" s="569"/>
      <c r="IC605" s="569"/>
      <c r="ID605" s="569"/>
      <c r="IE605" s="569"/>
      <c r="IF605" s="569"/>
      <c r="IG605" s="569"/>
      <c r="IH605" s="569"/>
      <c r="II605" s="569"/>
      <c r="IJ605" s="569"/>
      <c r="IK605" s="569"/>
      <c r="IL605" s="569"/>
      <c r="IM605" s="569"/>
      <c r="IN605" s="569"/>
      <c r="IO605" s="569"/>
      <c r="IP605" s="569"/>
      <c r="IQ605" s="569"/>
      <c r="IR605" s="569"/>
      <c r="IS605" s="569"/>
      <c r="IT605" s="569"/>
      <c r="IU605" s="569"/>
      <c r="IV605" s="569"/>
      <c r="IW605" s="569"/>
      <c r="IX605" s="569"/>
      <c r="IY605" s="569"/>
      <c r="IZ605" s="569"/>
      <c r="JA605" s="569"/>
      <c r="JB605" s="569"/>
      <c r="JC605" s="569"/>
      <c r="JD605" s="569"/>
      <c r="JE605" s="569"/>
      <c r="JF605" s="569"/>
      <c r="JG605" s="569"/>
      <c r="JH605" s="569"/>
      <c r="JI605" s="569"/>
      <c r="JJ605" s="569"/>
      <c r="JK605" s="569"/>
      <c r="JL605" s="569"/>
      <c r="JM605" s="569"/>
      <c r="JN605" s="569"/>
      <c r="JO605" s="569"/>
      <c r="JP605" s="569"/>
      <c r="JQ605" s="569"/>
      <c r="JR605" s="569"/>
      <c r="JS605" s="569"/>
      <c r="JT605" s="569"/>
      <c r="JU605" s="569"/>
      <c r="JV605" s="569"/>
      <c r="JW605" s="569"/>
      <c r="JX605" s="569"/>
      <c r="JY605" s="569"/>
      <c r="JZ605" s="569"/>
      <c r="KA605" s="569"/>
      <c r="KB605" s="569"/>
      <c r="KC605" s="569"/>
      <c r="KD605" s="569"/>
      <c r="KE605" s="569"/>
      <c r="KF605" s="569"/>
      <c r="KG605" s="569"/>
      <c r="KH605" s="569"/>
      <c r="KI605" s="569"/>
      <c r="KJ605" s="569"/>
      <c r="KK605" s="569"/>
      <c r="KL605" s="569"/>
      <c r="KM605" s="569"/>
      <c r="KN605" s="569"/>
      <c r="KO605" s="569"/>
      <c r="KP605" s="569"/>
      <c r="KQ605" s="569"/>
      <c r="KR605" s="569"/>
      <c r="KS605" s="569"/>
      <c r="KT605" s="569"/>
      <c r="KU605" s="569"/>
      <c r="KV605" s="569"/>
      <c r="KW605" s="569"/>
      <c r="KX605" s="569"/>
      <c r="KY605" s="569"/>
      <c r="KZ605" s="569"/>
      <c r="LA605" s="569"/>
      <c r="LB605" s="569"/>
      <c r="LC605" s="569"/>
      <c r="LD605" s="569"/>
      <c r="LE605" s="569"/>
      <c r="LF605" s="569"/>
      <c r="LG605" s="569"/>
      <c r="LH605" s="569"/>
      <c r="LI605" s="569"/>
      <c r="LJ605" s="569"/>
      <c r="LK605" s="569"/>
      <c r="LL605" s="569"/>
      <c r="LM605" s="569"/>
      <c r="LN605" s="569"/>
      <c r="LO605" s="569"/>
      <c r="LP605" s="569"/>
      <c r="LQ605" s="569"/>
      <c r="LR605" s="569"/>
      <c r="LS605" s="569"/>
      <c r="LT605" s="569"/>
      <c r="LU605" s="569"/>
      <c r="LV605" s="569"/>
      <c r="LW605" s="569"/>
      <c r="LX605" s="569"/>
      <c r="LY605" s="569"/>
      <c r="LZ605" s="569"/>
      <c r="MA605" s="569"/>
      <c r="MB605" s="569"/>
      <c r="MC605" s="569"/>
      <c r="MD605" s="569"/>
      <c r="ME605" s="569"/>
      <c r="MF605" s="569"/>
      <c r="MG605" s="569"/>
      <c r="MH605" s="569"/>
      <c r="MI605" s="569"/>
      <c r="MJ605" s="569"/>
      <c r="MK605" s="569"/>
      <c r="ML605" s="569"/>
      <c r="MM605" s="569"/>
      <c r="MN605" s="569"/>
      <c r="MO605" s="569"/>
      <c r="MP605" s="569"/>
      <c r="MQ605" s="569"/>
      <c r="MR605" s="569"/>
      <c r="MS605" s="569"/>
      <c r="MT605" s="569"/>
      <c r="MU605" s="569"/>
      <c r="MV605" s="569"/>
      <c r="MW605" s="569"/>
      <c r="MX605" s="569"/>
      <c r="MY605" s="569"/>
      <c r="MZ605" s="569"/>
      <c r="NA605" s="569"/>
      <c r="NB605" s="569"/>
      <c r="NC605" s="569"/>
      <c r="ND605" s="569"/>
      <c r="NE605" s="569"/>
      <c r="NF605" s="569"/>
      <c r="NG605" s="569"/>
      <c r="NH605" s="569"/>
      <c r="NI605" s="569"/>
      <c r="NJ605" s="569"/>
      <c r="NK605" s="569"/>
      <c r="NL605" s="569"/>
      <c r="NM605" s="569"/>
      <c r="NN605" s="569"/>
      <c r="NO605" s="569"/>
      <c r="NP605" s="569"/>
      <c r="NQ605" s="569"/>
      <c r="NR605" s="569"/>
      <c r="NS605" s="569"/>
      <c r="NT605" s="569"/>
      <c r="NU605" s="569"/>
      <c r="NV605" s="569"/>
      <c r="NW605" s="569"/>
      <c r="NX605" s="569"/>
      <c r="NY605" s="569"/>
      <c r="NZ605" s="569"/>
      <c r="OA605" s="569"/>
      <c r="OB605" s="569"/>
      <c r="OC605" s="569"/>
      <c r="OD605" s="569"/>
      <c r="OE605" s="569"/>
      <c r="OF605" s="569"/>
      <c r="OG605" s="569"/>
      <c r="OH605" s="569"/>
      <c r="OI605" s="569"/>
      <c r="OJ605" s="569"/>
      <c r="OK605" s="569"/>
      <c r="OL605" s="569"/>
      <c r="OM605" s="569"/>
      <c r="ON605" s="569"/>
      <c r="OO605" s="569"/>
      <c r="OP605" s="569"/>
      <c r="OQ605" s="569"/>
      <c r="OR605" s="569"/>
      <c r="OS605" s="569"/>
      <c r="OT605" s="569"/>
      <c r="OU605" s="569"/>
      <c r="OV605" s="569"/>
      <c r="OW605" s="569"/>
      <c r="OX605" s="569"/>
      <c r="OY605" s="569"/>
      <c r="OZ605" s="569"/>
      <c r="PA605" s="569"/>
      <c r="PB605" s="569"/>
      <c r="PC605" s="569"/>
      <c r="PD605" s="569"/>
      <c r="PE605" s="569"/>
      <c r="PF605" s="569"/>
      <c r="PG605" s="569"/>
      <c r="PH605" s="569"/>
      <c r="PI605" s="569"/>
      <c r="PJ605" s="569"/>
      <c r="PK605" s="569"/>
      <c r="PL605" s="569"/>
      <c r="PM605" s="569"/>
      <c r="PN605" s="569"/>
      <c r="PO605" s="569"/>
      <c r="PP605" s="569"/>
      <c r="PQ605" s="569"/>
      <c r="PR605" s="569"/>
      <c r="PS605" s="569"/>
      <c r="PT605" s="569"/>
      <c r="PU605" s="569"/>
      <c r="PV605" s="569"/>
      <c r="PW605" s="569"/>
      <c r="PX605" s="569"/>
      <c r="PY605" s="569"/>
      <c r="PZ605" s="569"/>
      <c r="QA605" s="569"/>
      <c r="QB605" s="569"/>
      <c r="QC605" s="569"/>
      <c r="QD605" s="569"/>
      <c r="QE605" s="569"/>
      <c r="QF605" s="569"/>
      <c r="QG605" s="569"/>
      <c r="QH605" s="569"/>
      <c r="QI605" s="569"/>
      <c r="QJ605" s="569"/>
      <c r="QK605" s="569"/>
      <c r="QL605" s="569"/>
    </row>
    <row r="606" spans="1:454" ht="45">
      <c r="D606" s="568"/>
      <c r="E606" s="568"/>
      <c r="F606" s="568"/>
      <c r="G606" s="568"/>
      <c r="H606" s="563" t="str">
        <f>'matrik MISI 6'!N121</f>
        <v>Cakupan terbangunnya Integrasi Jaringan Informasi dan Komunikasi</v>
      </c>
      <c r="I606" s="563" t="str">
        <f>'matrik MISI 6'!O121</f>
        <v>%</v>
      </c>
      <c r="J606" s="563">
        <f>'matrik MISI 6'!P121</f>
        <v>5</v>
      </c>
      <c r="K606" s="563">
        <f>'matrik MISI 6'!Q121</f>
        <v>9</v>
      </c>
      <c r="L606" s="563">
        <f>'matrik MISI 6'!R121</f>
        <v>15</v>
      </c>
      <c r="M606" s="604"/>
      <c r="N606" s="563">
        <f>'matrik MISI 6'!S121</f>
        <v>35</v>
      </c>
      <c r="O606" s="564"/>
      <c r="P606" s="563">
        <f>'matrik MISI 6'!T121</f>
        <v>55</v>
      </c>
      <c r="Q606" s="564"/>
      <c r="R606" s="563">
        <f>'matrik MISI 6'!U121</f>
        <v>75</v>
      </c>
      <c r="S606" s="564"/>
      <c r="T606" s="563">
        <f>'matrik MISI 6'!V121</f>
        <v>100</v>
      </c>
      <c r="U606" s="564"/>
      <c r="V606" s="563">
        <f>'matrik MISI 6'!W121</f>
        <v>100</v>
      </c>
      <c r="W606" s="564"/>
      <c r="X606" s="563" t="str">
        <f>'matrik MISI 6'!X121</f>
        <v>DISHUBKOMINFO / Bagian Santel dan PDE</v>
      </c>
      <c r="Y606" s="563" t="str">
        <f>'matrik MISI 6'!Y121</f>
        <v>Jumlah organisasi perangkat daerah yang jaringannya terintegrasi dibagi jumlah organisasi perangkat daerah kali 100</v>
      </c>
      <c r="Z606" s="563" t="str">
        <f>'matrik MISI 6'!Z121</f>
        <v>meliputi pemerintah kabupaten dan pemerintah desa</v>
      </c>
    </row>
    <row r="607" spans="1:454" s="570" customFormat="1">
      <c r="A607" s="569"/>
      <c r="B607" s="571"/>
      <c r="C607" s="572"/>
      <c r="D607" s="573"/>
      <c r="E607" s="573"/>
      <c r="F607" s="573"/>
      <c r="G607" s="571"/>
      <c r="H607" s="571"/>
      <c r="I607" s="571"/>
      <c r="J607" s="580"/>
      <c r="K607" s="580"/>
      <c r="L607" s="580"/>
      <c r="M607" s="606"/>
      <c r="N607" s="580"/>
      <c r="O607" s="581"/>
      <c r="P607" s="580"/>
      <c r="Q607" s="581"/>
      <c r="R607" s="580"/>
      <c r="S607" s="581"/>
      <c r="T607" s="580"/>
      <c r="U607" s="581"/>
      <c r="V607" s="580"/>
      <c r="W607" s="581"/>
      <c r="X607" s="571"/>
      <c r="Y607" s="580"/>
      <c r="Z607" s="580"/>
      <c r="AA607" s="569"/>
      <c r="AB607" s="569"/>
      <c r="AC607" s="569"/>
      <c r="AD607" s="569"/>
      <c r="AE607" s="569"/>
      <c r="AF607" s="569"/>
      <c r="AG607" s="569"/>
      <c r="AH607" s="569"/>
      <c r="AI607" s="569"/>
      <c r="AJ607" s="569"/>
      <c r="AK607" s="569"/>
      <c r="AL607" s="569"/>
      <c r="AM607" s="569"/>
      <c r="AN607" s="569"/>
      <c r="AO607" s="569"/>
      <c r="AP607" s="569"/>
      <c r="AQ607" s="569"/>
      <c r="AR607" s="569"/>
      <c r="AS607" s="569"/>
      <c r="AT607" s="569"/>
      <c r="AU607" s="569"/>
      <c r="AV607" s="569"/>
      <c r="AW607" s="569"/>
      <c r="AX607" s="569"/>
      <c r="AY607" s="569"/>
      <c r="AZ607" s="569"/>
      <c r="BA607" s="569"/>
      <c r="BB607" s="569"/>
      <c r="BC607" s="569"/>
      <c r="BD607" s="569"/>
      <c r="BE607" s="569"/>
      <c r="BF607" s="569"/>
      <c r="BG607" s="569"/>
      <c r="BH607" s="569"/>
      <c r="BI607" s="569"/>
      <c r="BJ607" s="569"/>
      <c r="BK607" s="569"/>
      <c r="BL607" s="569"/>
      <c r="BM607" s="569"/>
      <c r="BN607" s="569"/>
      <c r="BO607" s="569"/>
      <c r="BP607" s="569"/>
      <c r="BQ607" s="569"/>
      <c r="BR607" s="569"/>
      <c r="BS607" s="569"/>
      <c r="BT607" s="569"/>
      <c r="BU607" s="569"/>
      <c r="BV607" s="569"/>
      <c r="BW607" s="569"/>
      <c r="BX607" s="569"/>
      <c r="BY607" s="569"/>
      <c r="BZ607" s="569"/>
      <c r="CA607" s="569"/>
      <c r="CB607" s="569"/>
      <c r="CC607" s="569"/>
      <c r="CD607" s="569"/>
      <c r="CE607" s="569"/>
      <c r="CF607" s="569"/>
      <c r="CG607" s="569"/>
      <c r="CH607" s="569"/>
      <c r="CI607" s="569"/>
      <c r="CJ607" s="569"/>
      <c r="CK607" s="569"/>
      <c r="CL607" s="569"/>
      <c r="CM607" s="569"/>
      <c r="CN607" s="569"/>
      <c r="CO607" s="569"/>
      <c r="CP607" s="569"/>
      <c r="CQ607" s="569"/>
      <c r="CR607" s="569"/>
      <c r="CS607" s="569"/>
      <c r="CT607" s="569"/>
      <c r="CU607" s="569"/>
      <c r="CV607" s="569"/>
      <c r="CW607" s="569"/>
      <c r="CX607" s="569"/>
      <c r="CY607" s="569"/>
      <c r="CZ607" s="569"/>
      <c r="DA607" s="569"/>
      <c r="DB607" s="569"/>
      <c r="DC607" s="569"/>
      <c r="DD607" s="569"/>
      <c r="DE607" s="569"/>
      <c r="DF607" s="569"/>
      <c r="DG607" s="569"/>
      <c r="DH607" s="569"/>
      <c r="DI607" s="569"/>
      <c r="DJ607" s="569"/>
      <c r="DK607" s="569"/>
      <c r="DL607" s="569"/>
      <c r="DM607" s="569"/>
      <c r="DN607" s="569"/>
      <c r="DO607" s="569"/>
      <c r="DP607" s="569"/>
      <c r="DQ607" s="569"/>
      <c r="DR607" s="569"/>
      <c r="DS607" s="569"/>
      <c r="DT607" s="569"/>
      <c r="DU607" s="569"/>
      <c r="DV607" s="569"/>
      <c r="DW607" s="569"/>
      <c r="DX607" s="569"/>
      <c r="DY607" s="569"/>
      <c r="DZ607" s="569"/>
      <c r="EA607" s="569"/>
      <c r="EB607" s="569"/>
      <c r="EC607" s="569"/>
      <c r="ED607" s="569"/>
      <c r="EE607" s="569"/>
      <c r="EF607" s="569"/>
      <c r="EG607" s="569"/>
      <c r="EH607" s="569"/>
      <c r="EI607" s="569"/>
      <c r="EJ607" s="569"/>
      <c r="EK607" s="569"/>
      <c r="EL607" s="569"/>
      <c r="EM607" s="569"/>
      <c r="EN607" s="569"/>
      <c r="EO607" s="569"/>
      <c r="EP607" s="569"/>
      <c r="EQ607" s="569"/>
      <c r="ER607" s="569"/>
      <c r="ES607" s="569"/>
      <c r="ET607" s="569"/>
      <c r="EU607" s="569"/>
      <c r="EV607" s="569"/>
      <c r="EW607" s="569"/>
      <c r="EX607" s="569"/>
      <c r="EY607" s="569"/>
      <c r="EZ607" s="569"/>
      <c r="FA607" s="569"/>
      <c r="FB607" s="569"/>
      <c r="FC607" s="569"/>
      <c r="FD607" s="569"/>
      <c r="FE607" s="569"/>
      <c r="FF607" s="569"/>
      <c r="FG607" s="569"/>
      <c r="FH607" s="569"/>
      <c r="FI607" s="569"/>
      <c r="FJ607" s="569"/>
      <c r="FK607" s="569"/>
      <c r="FL607" s="569"/>
      <c r="FM607" s="569"/>
      <c r="FN607" s="569"/>
      <c r="FO607" s="569"/>
      <c r="FP607" s="569"/>
      <c r="FQ607" s="569"/>
      <c r="FR607" s="569"/>
      <c r="FS607" s="569"/>
      <c r="FT607" s="569"/>
      <c r="FU607" s="569"/>
      <c r="FV607" s="569"/>
      <c r="FW607" s="569"/>
      <c r="FX607" s="569"/>
      <c r="FY607" s="569"/>
      <c r="FZ607" s="569"/>
      <c r="GA607" s="569"/>
      <c r="GB607" s="569"/>
      <c r="GC607" s="569"/>
      <c r="GD607" s="569"/>
      <c r="GE607" s="569"/>
      <c r="GF607" s="569"/>
      <c r="GG607" s="569"/>
      <c r="GH607" s="569"/>
      <c r="GI607" s="569"/>
      <c r="GJ607" s="569"/>
      <c r="GK607" s="569"/>
      <c r="GL607" s="569"/>
      <c r="GM607" s="569"/>
      <c r="GN607" s="569"/>
      <c r="GO607" s="569"/>
      <c r="GP607" s="569"/>
      <c r="GQ607" s="569"/>
      <c r="GR607" s="569"/>
      <c r="GS607" s="569"/>
      <c r="GT607" s="569"/>
      <c r="GU607" s="569"/>
      <c r="GV607" s="569"/>
      <c r="GW607" s="569"/>
      <c r="GX607" s="569"/>
      <c r="GY607" s="569"/>
      <c r="GZ607" s="569"/>
      <c r="HA607" s="569"/>
      <c r="HB607" s="569"/>
      <c r="HC607" s="569"/>
      <c r="HD607" s="569"/>
      <c r="HE607" s="569"/>
      <c r="HF607" s="569"/>
      <c r="HG607" s="569"/>
      <c r="HH607" s="569"/>
      <c r="HI607" s="569"/>
      <c r="HJ607" s="569"/>
      <c r="HK607" s="569"/>
      <c r="HL607" s="569"/>
      <c r="HM607" s="569"/>
      <c r="HN607" s="569"/>
      <c r="HO607" s="569"/>
      <c r="HP607" s="569"/>
      <c r="HQ607" s="569"/>
      <c r="HR607" s="569"/>
      <c r="HS607" s="569"/>
      <c r="HT607" s="569"/>
      <c r="HU607" s="569"/>
      <c r="HV607" s="569"/>
      <c r="HW607" s="569"/>
      <c r="HX607" s="569"/>
      <c r="HY607" s="569"/>
      <c r="HZ607" s="569"/>
      <c r="IA607" s="569"/>
      <c r="IB607" s="569"/>
      <c r="IC607" s="569"/>
      <c r="ID607" s="569"/>
      <c r="IE607" s="569"/>
      <c r="IF607" s="569"/>
      <c r="IG607" s="569"/>
      <c r="IH607" s="569"/>
      <c r="II607" s="569"/>
      <c r="IJ607" s="569"/>
      <c r="IK607" s="569"/>
      <c r="IL607" s="569"/>
      <c r="IM607" s="569"/>
      <c r="IN607" s="569"/>
      <c r="IO607" s="569"/>
      <c r="IP607" s="569"/>
      <c r="IQ607" s="569"/>
      <c r="IR607" s="569"/>
      <c r="IS607" s="569"/>
      <c r="IT607" s="569"/>
      <c r="IU607" s="569"/>
      <c r="IV607" s="569"/>
      <c r="IW607" s="569"/>
      <c r="IX607" s="569"/>
      <c r="IY607" s="569"/>
      <c r="IZ607" s="569"/>
      <c r="JA607" s="569"/>
      <c r="JB607" s="569"/>
      <c r="JC607" s="569"/>
      <c r="JD607" s="569"/>
      <c r="JE607" s="569"/>
      <c r="JF607" s="569"/>
      <c r="JG607" s="569"/>
      <c r="JH607" s="569"/>
      <c r="JI607" s="569"/>
      <c r="JJ607" s="569"/>
      <c r="JK607" s="569"/>
      <c r="JL607" s="569"/>
      <c r="JM607" s="569"/>
      <c r="JN607" s="569"/>
      <c r="JO607" s="569"/>
      <c r="JP607" s="569"/>
      <c r="JQ607" s="569"/>
      <c r="JR607" s="569"/>
      <c r="JS607" s="569"/>
      <c r="JT607" s="569"/>
      <c r="JU607" s="569"/>
      <c r="JV607" s="569"/>
      <c r="JW607" s="569"/>
      <c r="JX607" s="569"/>
      <c r="JY607" s="569"/>
      <c r="JZ607" s="569"/>
      <c r="KA607" s="569"/>
      <c r="KB607" s="569"/>
      <c r="KC607" s="569"/>
      <c r="KD607" s="569"/>
      <c r="KE607" s="569"/>
      <c r="KF607" s="569"/>
      <c r="KG607" s="569"/>
      <c r="KH607" s="569"/>
      <c r="KI607" s="569"/>
      <c r="KJ607" s="569"/>
      <c r="KK607" s="569"/>
      <c r="KL607" s="569"/>
      <c r="KM607" s="569"/>
      <c r="KN607" s="569"/>
      <c r="KO607" s="569"/>
      <c r="KP607" s="569"/>
      <c r="KQ607" s="569"/>
      <c r="KR607" s="569"/>
      <c r="KS607" s="569"/>
      <c r="KT607" s="569"/>
      <c r="KU607" s="569"/>
      <c r="KV607" s="569"/>
      <c r="KW607" s="569"/>
      <c r="KX607" s="569"/>
      <c r="KY607" s="569"/>
      <c r="KZ607" s="569"/>
      <c r="LA607" s="569"/>
      <c r="LB607" s="569"/>
      <c r="LC607" s="569"/>
      <c r="LD607" s="569"/>
      <c r="LE607" s="569"/>
      <c r="LF607" s="569"/>
      <c r="LG607" s="569"/>
      <c r="LH607" s="569"/>
      <c r="LI607" s="569"/>
      <c r="LJ607" s="569"/>
      <c r="LK607" s="569"/>
      <c r="LL607" s="569"/>
      <c r="LM607" s="569"/>
      <c r="LN607" s="569"/>
      <c r="LO607" s="569"/>
      <c r="LP607" s="569"/>
      <c r="LQ607" s="569"/>
      <c r="LR607" s="569"/>
      <c r="LS607" s="569"/>
      <c r="LT607" s="569"/>
      <c r="LU607" s="569"/>
      <c r="LV607" s="569"/>
      <c r="LW607" s="569"/>
      <c r="LX607" s="569"/>
      <c r="LY607" s="569"/>
      <c r="LZ607" s="569"/>
      <c r="MA607" s="569"/>
      <c r="MB607" s="569"/>
      <c r="MC607" s="569"/>
      <c r="MD607" s="569"/>
      <c r="ME607" s="569"/>
      <c r="MF607" s="569"/>
      <c r="MG607" s="569"/>
      <c r="MH607" s="569"/>
      <c r="MI607" s="569"/>
      <c r="MJ607" s="569"/>
      <c r="MK607" s="569"/>
      <c r="ML607" s="569"/>
      <c r="MM607" s="569"/>
      <c r="MN607" s="569"/>
      <c r="MO607" s="569"/>
      <c r="MP607" s="569"/>
      <c r="MQ607" s="569"/>
      <c r="MR607" s="569"/>
      <c r="MS607" s="569"/>
      <c r="MT607" s="569"/>
      <c r="MU607" s="569"/>
      <c r="MV607" s="569"/>
      <c r="MW607" s="569"/>
      <c r="MX607" s="569"/>
      <c r="MY607" s="569"/>
      <c r="MZ607" s="569"/>
      <c r="NA607" s="569"/>
      <c r="NB607" s="569"/>
      <c r="NC607" s="569"/>
      <c r="ND607" s="569"/>
      <c r="NE607" s="569"/>
      <c r="NF607" s="569"/>
      <c r="NG607" s="569"/>
      <c r="NH607" s="569"/>
      <c r="NI607" s="569"/>
      <c r="NJ607" s="569"/>
      <c r="NK607" s="569"/>
      <c r="NL607" s="569"/>
      <c r="NM607" s="569"/>
      <c r="NN607" s="569"/>
      <c r="NO607" s="569"/>
      <c r="NP607" s="569"/>
      <c r="NQ607" s="569"/>
      <c r="NR607" s="569"/>
      <c r="NS607" s="569"/>
      <c r="NT607" s="569"/>
      <c r="NU607" s="569"/>
      <c r="NV607" s="569"/>
      <c r="NW607" s="569"/>
      <c r="NX607" s="569"/>
      <c r="NY607" s="569"/>
      <c r="NZ607" s="569"/>
      <c r="OA607" s="569"/>
      <c r="OB607" s="569"/>
      <c r="OC607" s="569"/>
      <c r="OD607" s="569"/>
      <c r="OE607" s="569"/>
      <c r="OF607" s="569"/>
      <c r="OG607" s="569"/>
      <c r="OH607" s="569"/>
      <c r="OI607" s="569"/>
      <c r="OJ607" s="569"/>
      <c r="OK607" s="569"/>
      <c r="OL607" s="569"/>
      <c r="OM607" s="569"/>
      <c r="ON607" s="569"/>
      <c r="OO607" s="569"/>
      <c r="OP607" s="569"/>
      <c r="OQ607" s="569"/>
      <c r="OR607" s="569"/>
      <c r="OS607" s="569"/>
      <c r="OT607" s="569"/>
      <c r="OU607" s="569"/>
      <c r="OV607" s="569"/>
      <c r="OW607" s="569"/>
      <c r="OX607" s="569"/>
      <c r="OY607" s="569"/>
      <c r="OZ607" s="569"/>
      <c r="PA607" s="569"/>
      <c r="PB607" s="569"/>
      <c r="PC607" s="569"/>
      <c r="PD607" s="569"/>
      <c r="PE607" s="569"/>
      <c r="PF607" s="569"/>
      <c r="PG607" s="569"/>
      <c r="PH607" s="569"/>
      <c r="PI607" s="569"/>
      <c r="PJ607" s="569"/>
      <c r="PK607" s="569"/>
      <c r="PL607" s="569"/>
      <c r="PM607" s="569"/>
      <c r="PN607" s="569"/>
      <c r="PO607" s="569"/>
      <c r="PP607" s="569"/>
      <c r="PQ607" s="569"/>
      <c r="PR607" s="569"/>
      <c r="PS607" s="569"/>
      <c r="PT607" s="569"/>
      <c r="PU607" s="569"/>
      <c r="PV607" s="569"/>
      <c r="PW607" s="569"/>
      <c r="PX607" s="569"/>
      <c r="PY607" s="569"/>
      <c r="PZ607" s="569"/>
      <c r="QA607" s="569"/>
      <c r="QB607" s="569"/>
      <c r="QC607" s="569"/>
      <c r="QD607" s="569"/>
      <c r="QE607" s="569"/>
      <c r="QF607" s="569"/>
      <c r="QG607" s="569"/>
      <c r="QH607" s="569"/>
      <c r="QI607" s="569"/>
      <c r="QJ607" s="569"/>
      <c r="QK607" s="569"/>
      <c r="QL607" s="569"/>
    </row>
    <row r="608" spans="1:454" s="574" customFormat="1" ht="60">
      <c r="A608" s="569"/>
      <c r="B608" s="575">
        <v>26</v>
      </c>
      <c r="C608" s="576" t="str">
        <f>'matrik MISI 6'!B100</f>
        <v>PERPUSTAKAAN</v>
      </c>
      <c r="D608" s="577" t="str">
        <f>'matrik MISI 6'!J101</f>
        <v>1.26</v>
      </c>
      <c r="E608" s="577" t="str">
        <f>'matrik MISI 6'!K101</f>
        <v>xx</v>
      </c>
      <c r="F608" s="577">
        <f>'matrik MISI 6'!L101</f>
        <v>21</v>
      </c>
      <c r="G608" s="577" t="str">
        <f>'matrik MISI 6'!M101</f>
        <v>Program Pengembangan Budaya Baca dan Pembinaan Perpustakaan</v>
      </c>
      <c r="H608" s="575"/>
      <c r="I608" s="575"/>
      <c r="J608" s="596"/>
      <c r="K608" s="596"/>
      <c r="L608" s="596"/>
      <c r="M608" s="600">
        <f>'jangan di hapus 1'!K1244</f>
        <v>694000000</v>
      </c>
      <c r="N608" s="596"/>
      <c r="O608" s="600">
        <f>'jangan di hapus 1'!M1244</f>
        <v>988500000</v>
      </c>
      <c r="P608" s="596"/>
      <c r="Q608" s="600">
        <f>'jangan di hapus 1'!O1244</f>
        <v>1174000000</v>
      </c>
      <c r="R608" s="596"/>
      <c r="S608" s="600">
        <f>'jangan di hapus 1'!Q1244</f>
        <v>1330000000</v>
      </c>
      <c r="T608" s="596"/>
      <c r="U608" s="600">
        <f>'jangan di hapus 1'!S1244</f>
        <v>1482500000</v>
      </c>
      <c r="V608" s="596"/>
      <c r="W608" s="578">
        <f>SUM(M608:U608)</f>
        <v>5669000000</v>
      </c>
      <c r="X608" s="575"/>
      <c r="Y608" s="596"/>
      <c r="Z608" s="596"/>
      <c r="AA608" s="569"/>
      <c r="AB608" s="569"/>
      <c r="AC608" s="569"/>
      <c r="AD608" s="569"/>
      <c r="AE608" s="569"/>
      <c r="AF608" s="569"/>
      <c r="AG608" s="569"/>
      <c r="AH608" s="569"/>
      <c r="AI608" s="569"/>
      <c r="AJ608" s="569"/>
      <c r="AK608" s="569"/>
      <c r="AL608" s="569"/>
      <c r="AM608" s="569"/>
      <c r="AN608" s="569"/>
      <c r="AO608" s="569"/>
      <c r="AP608" s="569"/>
      <c r="AQ608" s="569"/>
      <c r="AR608" s="569"/>
      <c r="AS608" s="569"/>
      <c r="AT608" s="569"/>
      <c r="AU608" s="569"/>
      <c r="AV608" s="569"/>
      <c r="AW608" s="569"/>
      <c r="AX608" s="569"/>
      <c r="AY608" s="569"/>
      <c r="AZ608" s="569"/>
      <c r="BA608" s="569"/>
      <c r="BB608" s="569"/>
      <c r="BC608" s="569"/>
      <c r="BD608" s="569"/>
      <c r="BE608" s="569"/>
      <c r="BF608" s="569"/>
      <c r="BG608" s="569"/>
      <c r="BH608" s="569"/>
      <c r="BI608" s="569"/>
      <c r="BJ608" s="569"/>
      <c r="BK608" s="569"/>
      <c r="BL608" s="569"/>
      <c r="BM608" s="569"/>
      <c r="BN608" s="569"/>
      <c r="BO608" s="569"/>
      <c r="BP608" s="569"/>
      <c r="BQ608" s="569"/>
      <c r="BR608" s="569"/>
      <c r="BS608" s="569"/>
      <c r="BT608" s="569"/>
      <c r="BU608" s="569"/>
      <c r="BV608" s="569"/>
      <c r="BW608" s="569"/>
      <c r="BX608" s="569"/>
      <c r="BY608" s="569"/>
      <c r="BZ608" s="569"/>
      <c r="CA608" s="569"/>
      <c r="CB608" s="569"/>
      <c r="CC608" s="569"/>
      <c r="CD608" s="569"/>
      <c r="CE608" s="569"/>
      <c r="CF608" s="569"/>
      <c r="CG608" s="569"/>
      <c r="CH608" s="569"/>
      <c r="CI608" s="569"/>
      <c r="CJ608" s="569"/>
      <c r="CK608" s="569"/>
      <c r="CL608" s="569"/>
      <c r="CM608" s="569"/>
      <c r="CN608" s="569"/>
      <c r="CO608" s="569"/>
      <c r="CP608" s="569"/>
      <c r="CQ608" s="569"/>
      <c r="CR608" s="569"/>
      <c r="CS608" s="569"/>
      <c r="CT608" s="569"/>
      <c r="CU608" s="569"/>
      <c r="CV608" s="569"/>
      <c r="CW608" s="569"/>
      <c r="CX608" s="569"/>
      <c r="CY608" s="569"/>
      <c r="CZ608" s="569"/>
      <c r="DA608" s="569"/>
      <c r="DB608" s="569"/>
      <c r="DC608" s="569"/>
      <c r="DD608" s="569"/>
      <c r="DE608" s="569"/>
      <c r="DF608" s="569"/>
      <c r="DG608" s="569"/>
      <c r="DH608" s="569"/>
      <c r="DI608" s="569"/>
      <c r="DJ608" s="569"/>
      <c r="DK608" s="569"/>
      <c r="DL608" s="569"/>
      <c r="DM608" s="569"/>
      <c r="DN608" s="569"/>
      <c r="DO608" s="569"/>
      <c r="DP608" s="569"/>
      <c r="DQ608" s="569"/>
      <c r="DR608" s="569"/>
      <c r="DS608" s="569"/>
      <c r="DT608" s="569"/>
      <c r="DU608" s="569"/>
      <c r="DV608" s="569"/>
      <c r="DW608" s="569"/>
      <c r="DX608" s="569"/>
      <c r="DY608" s="569"/>
      <c r="DZ608" s="569"/>
      <c r="EA608" s="569"/>
      <c r="EB608" s="569"/>
      <c r="EC608" s="569"/>
      <c r="ED608" s="569"/>
      <c r="EE608" s="569"/>
      <c r="EF608" s="569"/>
      <c r="EG608" s="569"/>
      <c r="EH608" s="569"/>
      <c r="EI608" s="569"/>
      <c r="EJ608" s="569"/>
      <c r="EK608" s="569"/>
      <c r="EL608" s="569"/>
      <c r="EM608" s="569"/>
      <c r="EN608" s="569"/>
      <c r="EO608" s="569"/>
      <c r="EP608" s="569"/>
      <c r="EQ608" s="569"/>
      <c r="ER608" s="569"/>
      <c r="ES608" s="569"/>
      <c r="ET608" s="569"/>
      <c r="EU608" s="569"/>
      <c r="EV608" s="569"/>
      <c r="EW608" s="569"/>
      <c r="EX608" s="569"/>
      <c r="EY608" s="569"/>
      <c r="EZ608" s="569"/>
      <c r="FA608" s="569"/>
      <c r="FB608" s="569"/>
      <c r="FC608" s="569"/>
      <c r="FD608" s="569"/>
      <c r="FE608" s="569"/>
      <c r="FF608" s="569"/>
      <c r="FG608" s="569"/>
      <c r="FH608" s="569"/>
      <c r="FI608" s="569"/>
      <c r="FJ608" s="569"/>
      <c r="FK608" s="569"/>
      <c r="FL608" s="569"/>
      <c r="FM608" s="569"/>
      <c r="FN608" s="569"/>
      <c r="FO608" s="569"/>
      <c r="FP608" s="569"/>
      <c r="FQ608" s="569"/>
      <c r="FR608" s="569"/>
      <c r="FS608" s="569"/>
      <c r="FT608" s="569"/>
      <c r="FU608" s="569"/>
      <c r="FV608" s="569"/>
      <c r="FW608" s="569"/>
      <c r="FX608" s="569"/>
      <c r="FY608" s="569"/>
      <c r="FZ608" s="569"/>
      <c r="GA608" s="569"/>
      <c r="GB608" s="569"/>
      <c r="GC608" s="569"/>
      <c r="GD608" s="569"/>
      <c r="GE608" s="569"/>
      <c r="GF608" s="569"/>
      <c r="GG608" s="569"/>
      <c r="GH608" s="569"/>
      <c r="GI608" s="569"/>
      <c r="GJ608" s="569"/>
      <c r="GK608" s="569"/>
      <c r="GL608" s="569"/>
      <c r="GM608" s="569"/>
      <c r="GN608" s="569"/>
      <c r="GO608" s="569"/>
      <c r="GP608" s="569"/>
      <c r="GQ608" s="569"/>
      <c r="GR608" s="569"/>
      <c r="GS608" s="569"/>
      <c r="GT608" s="569"/>
      <c r="GU608" s="569"/>
      <c r="GV608" s="569"/>
      <c r="GW608" s="569"/>
      <c r="GX608" s="569"/>
      <c r="GY608" s="569"/>
      <c r="GZ608" s="569"/>
      <c r="HA608" s="569"/>
      <c r="HB608" s="569"/>
      <c r="HC608" s="569"/>
      <c r="HD608" s="569"/>
      <c r="HE608" s="569"/>
      <c r="HF608" s="569"/>
      <c r="HG608" s="569"/>
      <c r="HH608" s="569"/>
      <c r="HI608" s="569"/>
      <c r="HJ608" s="569"/>
      <c r="HK608" s="569"/>
      <c r="HL608" s="569"/>
      <c r="HM608" s="569"/>
      <c r="HN608" s="569"/>
      <c r="HO608" s="569"/>
      <c r="HP608" s="569"/>
      <c r="HQ608" s="569"/>
      <c r="HR608" s="569"/>
      <c r="HS608" s="569"/>
      <c r="HT608" s="569"/>
      <c r="HU608" s="569"/>
      <c r="HV608" s="569"/>
      <c r="HW608" s="569"/>
      <c r="HX608" s="569"/>
      <c r="HY608" s="569"/>
      <c r="HZ608" s="569"/>
      <c r="IA608" s="569"/>
      <c r="IB608" s="569"/>
      <c r="IC608" s="569"/>
      <c r="ID608" s="569"/>
      <c r="IE608" s="569"/>
      <c r="IF608" s="569"/>
      <c r="IG608" s="569"/>
      <c r="IH608" s="569"/>
      <c r="II608" s="569"/>
      <c r="IJ608" s="569"/>
      <c r="IK608" s="569"/>
      <c r="IL608" s="569"/>
      <c r="IM608" s="569"/>
      <c r="IN608" s="569"/>
      <c r="IO608" s="569"/>
      <c r="IP608" s="569"/>
      <c r="IQ608" s="569"/>
      <c r="IR608" s="569"/>
      <c r="IS608" s="569"/>
      <c r="IT608" s="569"/>
      <c r="IU608" s="569"/>
      <c r="IV608" s="569"/>
      <c r="IW608" s="569"/>
      <c r="IX608" s="569"/>
      <c r="IY608" s="569"/>
      <c r="IZ608" s="569"/>
      <c r="JA608" s="569"/>
      <c r="JB608" s="569"/>
      <c r="JC608" s="569"/>
      <c r="JD608" s="569"/>
      <c r="JE608" s="569"/>
      <c r="JF608" s="569"/>
      <c r="JG608" s="569"/>
      <c r="JH608" s="569"/>
      <c r="JI608" s="569"/>
      <c r="JJ608" s="569"/>
      <c r="JK608" s="569"/>
      <c r="JL608" s="569"/>
      <c r="JM608" s="569"/>
      <c r="JN608" s="569"/>
      <c r="JO608" s="569"/>
      <c r="JP608" s="569"/>
      <c r="JQ608" s="569"/>
      <c r="JR608" s="569"/>
      <c r="JS608" s="569"/>
      <c r="JT608" s="569"/>
      <c r="JU608" s="569"/>
      <c r="JV608" s="569"/>
      <c r="JW608" s="569"/>
      <c r="JX608" s="569"/>
      <c r="JY608" s="569"/>
      <c r="JZ608" s="569"/>
      <c r="KA608" s="569"/>
      <c r="KB608" s="569"/>
      <c r="KC608" s="569"/>
      <c r="KD608" s="569"/>
      <c r="KE608" s="569"/>
      <c r="KF608" s="569"/>
      <c r="KG608" s="569"/>
      <c r="KH608" s="569"/>
      <c r="KI608" s="569"/>
      <c r="KJ608" s="569"/>
      <c r="KK608" s="569"/>
      <c r="KL608" s="569"/>
      <c r="KM608" s="569"/>
      <c r="KN608" s="569"/>
      <c r="KO608" s="569"/>
      <c r="KP608" s="569"/>
      <c r="KQ608" s="569"/>
      <c r="KR608" s="569"/>
      <c r="KS608" s="569"/>
      <c r="KT608" s="569"/>
      <c r="KU608" s="569"/>
      <c r="KV608" s="569"/>
      <c r="KW608" s="569"/>
      <c r="KX608" s="569"/>
      <c r="KY608" s="569"/>
      <c r="KZ608" s="569"/>
      <c r="LA608" s="569"/>
      <c r="LB608" s="569"/>
      <c r="LC608" s="569"/>
      <c r="LD608" s="569"/>
      <c r="LE608" s="569"/>
      <c r="LF608" s="569"/>
      <c r="LG608" s="569"/>
      <c r="LH608" s="569"/>
      <c r="LI608" s="569"/>
      <c r="LJ608" s="569"/>
      <c r="LK608" s="569"/>
      <c r="LL608" s="569"/>
      <c r="LM608" s="569"/>
      <c r="LN608" s="569"/>
      <c r="LO608" s="569"/>
      <c r="LP608" s="569"/>
      <c r="LQ608" s="569"/>
      <c r="LR608" s="569"/>
      <c r="LS608" s="569"/>
      <c r="LT608" s="569"/>
      <c r="LU608" s="569"/>
      <c r="LV608" s="569"/>
      <c r="LW608" s="569"/>
      <c r="LX608" s="569"/>
      <c r="LY608" s="569"/>
      <c r="LZ608" s="569"/>
      <c r="MA608" s="569"/>
      <c r="MB608" s="569"/>
      <c r="MC608" s="569"/>
      <c r="MD608" s="569"/>
      <c r="ME608" s="569"/>
      <c r="MF608" s="569"/>
      <c r="MG608" s="569"/>
      <c r="MH608" s="569"/>
      <c r="MI608" s="569"/>
      <c r="MJ608" s="569"/>
      <c r="MK608" s="569"/>
      <c r="ML608" s="569"/>
      <c r="MM608" s="569"/>
      <c r="MN608" s="569"/>
      <c r="MO608" s="569"/>
      <c r="MP608" s="569"/>
      <c r="MQ608" s="569"/>
      <c r="MR608" s="569"/>
      <c r="MS608" s="569"/>
      <c r="MT608" s="569"/>
      <c r="MU608" s="569"/>
      <c r="MV608" s="569"/>
      <c r="MW608" s="569"/>
      <c r="MX608" s="569"/>
      <c r="MY608" s="569"/>
      <c r="MZ608" s="569"/>
      <c r="NA608" s="569"/>
      <c r="NB608" s="569"/>
      <c r="NC608" s="569"/>
      <c r="ND608" s="569"/>
      <c r="NE608" s="569"/>
      <c r="NF608" s="569"/>
      <c r="NG608" s="569"/>
      <c r="NH608" s="569"/>
      <c r="NI608" s="569"/>
      <c r="NJ608" s="569"/>
      <c r="NK608" s="569"/>
      <c r="NL608" s="569"/>
      <c r="NM608" s="569"/>
      <c r="NN608" s="569"/>
      <c r="NO608" s="569"/>
      <c r="NP608" s="569"/>
      <c r="NQ608" s="569"/>
      <c r="NR608" s="569"/>
      <c r="NS608" s="569"/>
      <c r="NT608" s="569"/>
      <c r="NU608" s="569"/>
      <c r="NV608" s="569"/>
      <c r="NW608" s="569"/>
      <c r="NX608" s="569"/>
      <c r="NY608" s="569"/>
      <c r="NZ608" s="569"/>
      <c r="OA608" s="569"/>
      <c r="OB608" s="569"/>
      <c r="OC608" s="569"/>
      <c r="OD608" s="569"/>
      <c r="OE608" s="569"/>
      <c r="OF608" s="569"/>
      <c r="OG608" s="569"/>
      <c r="OH608" s="569"/>
      <c r="OI608" s="569"/>
      <c r="OJ608" s="569"/>
      <c r="OK608" s="569"/>
      <c r="OL608" s="569"/>
      <c r="OM608" s="569"/>
      <c r="ON608" s="569"/>
      <c r="OO608" s="569"/>
      <c r="OP608" s="569"/>
      <c r="OQ608" s="569"/>
      <c r="OR608" s="569"/>
      <c r="OS608" s="569"/>
      <c r="OT608" s="569"/>
      <c r="OU608" s="569"/>
      <c r="OV608" s="569"/>
      <c r="OW608" s="569"/>
      <c r="OX608" s="569"/>
      <c r="OY608" s="569"/>
      <c r="OZ608" s="569"/>
      <c r="PA608" s="569"/>
      <c r="PB608" s="569"/>
      <c r="PC608" s="569"/>
      <c r="PD608" s="569"/>
      <c r="PE608" s="569"/>
      <c r="PF608" s="569"/>
      <c r="PG608" s="569"/>
      <c r="PH608" s="569"/>
      <c r="PI608" s="569"/>
      <c r="PJ608" s="569"/>
      <c r="PK608" s="569"/>
      <c r="PL608" s="569"/>
      <c r="PM608" s="569"/>
      <c r="PN608" s="569"/>
      <c r="PO608" s="569"/>
      <c r="PP608" s="569"/>
      <c r="PQ608" s="569"/>
      <c r="PR608" s="569"/>
      <c r="PS608" s="569"/>
      <c r="PT608" s="569"/>
      <c r="PU608" s="569"/>
      <c r="PV608" s="569"/>
      <c r="PW608" s="569"/>
      <c r="PX608" s="569"/>
      <c r="PY608" s="569"/>
      <c r="PZ608" s="569"/>
      <c r="QA608" s="569"/>
      <c r="QB608" s="569"/>
      <c r="QC608" s="569"/>
      <c r="QD608" s="569"/>
      <c r="QE608" s="569"/>
      <c r="QF608" s="569"/>
      <c r="QG608" s="569"/>
      <c r="QH608" s="569"/>
      <c r="QI608" s="569"/>
      <c r="QJ608" s="569"/>
      <c r="QK608" s="569"/>
      <c r="QL608" s="569"/>
    </row>
    <row r="609" spans="1:454" ht="45">
      <c r="B609" s="568"/>
      <c r="C609" s="568"/>
      <c r="D609" s="568"/>
      <c r="E609" s="568"/>
      <c r="F609" s="568"/>
      <c r="G609" s="568"/>
      <c r="H609" s="563" t="str">
        <f>'matrik MISI 6'!N101</f>
        <v>Rasio Pengunjung Perpustakaan Terhadap Jumlah Penduduk</v>
      </c>
      <c r="I609" s="563" t="str">
        <f>'matrik MISI 6'!O101</f>
        <v>Rasio</v>
      </c>
      <c r="J609" s="563">
        <f>'matrik MISI 6'!P101</f>
        <v>55</v>
      </c>
      <c r="K609" s="563">
        <f>'matrik MISI 6'!Q101</f>
        <v>60</v>
      </c>
      <c r="L609" s="563">
        <f>'matrik MISI 6'!R101</f>
        <v>64</v>
      </c>
      <c r="M609" s="604"/>
      <c r="N609" s="563">
        <f>'matrik MISI 6'!S101</f>
        <v>72</v>
      </c>
      <c r="O609" s="564"/>
      <c r="P609" s="563">
        <f>'matrik MISI 6'!T101</f>
        <v>76</v>
      </c>
      <c r="Q609" s="564"/>
      <c r="R609" s="563">
        <f>'matrik MISI 6'!U101</f>
        <v>80</v>
      </c>
      <c r="S609" s="564"/>
      <c r="T609" s="563">
        <f>'matrik MISI 6'!V101</f>
        <v>82</v>
      </c>
      <c r="U609" s="564"/>
      <c r="V609" s="563">
        <f>'matrik MISI 6'!W101</f>
        <v>84</v>
      </c>
      <c r="W609" s="564"/>
      <c r="X609" s="563" t="str">
        <f>'matrik MISI 6'!X101</f>
        <v>Kantor Arsip, Perpustakaan, dan Dokumentasi</v>
      </c>
      <c r="Y609" s="563" t="str">
        <f>'matrik MISI 6'!Y101</f>
        <v>Jumlah pengunjung perpustakaan dibagi jumlah penduduk yang harus dilayani</v>
      </c>
      <c r="Z609" s="563" t="str">
        <f>'matrik MISI 6'!Z101</f>
        <v>Pengunjung perpustakaan dihitung berdasarkan pengunjung yang mengisi daftar kehadiran atau berdasarkan data yang diperoleh melalui sistem pendataan pengunjung</v>
      </c>
    </row>
    <row r="610" spans="1:454" ht="45">
      <c r="G610" s="563"/>
      <c r="H610" s="563" t="str">
        <f>'matrik MISI 6'!N102</f>
        <v>Persentase Peminjam Buku Perpustakaan Terhadap Jumlah Pengunjung</v>
      </c>
      <c r="I610" s="563" t="str">
        <f>'matrik MISI 6'!O102</f>
        <v>%</v>
      </c>
      <c r="J610" s="563">
        <f>'matrik MISI 6'!P102</f>
        <v>35</v>
      </c>
      <c r="K610" s="563">
        <f>'matrik MISI 6'!Q102</f>
        <v>65</v>
      </c>
      <c r="L610" s="563">
        <f>'matrik MISI 6'!R102</f>
        <v>70</v>
      </c>
      <c r="M610" s="604"/>
      <c r="N610" s="563">
        <f>'matrik MISI 6'!S102</f>
        <v>73</v>
      </c>
      <c r="O610" s="564"/>
      <c r="P610" s="563">
        <f>'matrik MISI 6'!T102</f>
        <v>79</v>
      </c>
      <c r="Q610" s="564"/>
      <c r="R610" s="563">
        <f>'matrik MISI 6'!U102</f>
        <v>83</v>
      </c>
      <c r="S610" s="564"/>
      <c r="T610" s="563">
        <f>'matrik MISI 6'!V102</f>
        <v>87</v>
      </c>
      <c r="U610" s="564"/>
      <c r="V610" s="563">
        <f>'matrik MISI 6'!W102</f>
        <v>90</v>
      </c>
      <c r="W610" s="564"/>
      <c r="X610" s="563" t="str">
        <f>'matrik MISI 6'!X102</f>
        <v>Kantor Arsip, Perpustakaan, dan Dokumentasi</v>
      </c>
      <c r="Y610" s="563" t="str">
        <f>'matrik MISI 6'!Y102</f>
        <v>Jumlah peminjam buku perpustakaan dibagi jumlah pengunjung perpustakaan</v>
      </c>
      <c r="Z610" s="563" t="str">
        <f>'matrik MISI 6'!Z102</f>
        <v>Pengunjung perpustakaan dihitung berdasarkan pengunjung yang mengisi daftar kehadiran atau berdasarkan data yang diperoleh melalui sistem pendataan pengunjung</v>
      </c>
    </row>
    <row r="611" spans="1:454" s="570" customFormat="1">
      <c r="A611" s="569"/>
      <c r="B611" s="571"/>
      <c r="C611" s="572"/>
      <c r="D611" s="573"/>
      <c r="E611" s="573"/>
      <c r="F611" s="573"/>
      <c r="G611" s="571"/>
      <c r="H611" s="571"/>
      <c r="I611" s="571"/>
      <c r="J611" s="580"/>
      <c r="K611" s="580"/>
      <c r="L611" s="580"/>
      <c r="M611" s="606"/>
      <c r="N611" s="580"/>
      <c r="O611" s="581"/>
      <c r="P611" s="580"/>
      <c r="Q611" s="581"/>
      <c r="R611" s="580"/>
      <c r="S611" s="581"/>
      <c r="T611" s="580"/>
      <c r="U611" s="581"/>
      <c r="V611" s="580"/>
      <c r="W611" s="581"/>
      <c r="X611" s="571"/>
      <c r="Y611" s="580"/>
      <c r="Z611" s="580"/>
      <c r="AA611" s="569"/>
      <c r="AB611" s="569"/>
      <c r="AC611" s="569"/>
      <c r="AD611" s="569"/>
      <c r="AE611" s="569"/>
      <c r="AF611" s="569"/>
      <c r="AG611" s="569"/>
      <c r="AH611" s="569"/>
      <c r="AI611" s="569"/>
      <c r="AJ611" s="569"/>
      <c r="AK611" s="569"/>
      <c r="AL611" s="569"/>
      <c r="AM611" s="569"/>
      <c r="AN611" s="569"/>
      <c r="AO611" s="569"/>
      <c r="AP611" s="569"/>
      <c r="AQ611" s="569"/>
      <c r="AR611" s="569"/>
      <c r="AS611" s="569"/>
      <c r="AT611" s="569"/>
      <c r="AU611" s="569"/>
      <c r="AV611" s="569"/>
      <c r="AW611" s="569"/>
      <c r="AX611" s="569"/>
      <c r="AY611" s="569"/>
      <c r="AZ611" s="569"/>
      <c r="BA611" s="569"/>
      <c r="BB611" s="569"/>
      <c r="BC611" s="569"/>
      <c r="BD611" s="569"/>
      <c r="BE611" s="569"/>
      <c r="BF611" s="569"/>
      <c r="BG611" s="569"/>
      <c r="BH611" s="569"/>
      <c r="BI611" s="569"/>
      <c r="BJ611" s="569"/>
      <c r="BK611" s="569"/>
      <c r="BL611" s="569"/>
      <c r="BM611" s="569"/>
      <c r="BN611" s="569"/>
      <c r="BO611" s="569"/>
      <c r="BP611" s="569"/>
      <c r="BQ611" s="569"/>
      <c r="BR611" s="569"/>
      <c r="BS611" s="569"/>
      <c r="BT611" s="569"/>
      <c r="BU611" s="569"/>
      <c r="BV611" s="569"/>
      <c r="BW611" s="569"/>
      <c r="BX611" s="569"/>
      <c r="BY611" s="569"/>
      <c r="BZ611" s="569"/>
      <c r="CA611" s="569"/>
      <c r="CB611" s="569"/>
      <c r="CC611" s="569"/>
      <c r="CD611" s="569"/>
      <c r="CE611" s="569"/>
      <c r="CF611" s="569"/>
      <c r="CG611" s="569"/>
      <c r="CH611" s="569"/>
      <c r="CI611" s="569"/>
      <c r="CJ611" s="569"/>
      <c r="CK611" s="569"/>
      <c r="CL611" s="569"/>
      <c r="CM611" s="569"/>
      <c r="CN611" s="569"/>
      <c r="CO611" s="569"/>
      <c r="CP611" s="569"/>
      <c r="CQ611" s="569"/>
      <c r="CR611" s="569"/>
      <c r="CS611" s="569"/>
      <c r="CT611" s="569"/>
      <c r="CU611" s="569"/>
      <c r="CV611" s="569"/>
      <c r="CW611" s="569"/>
      <c r="CX611" s="569"/>
      <c r="CY611" s="569"/>
      <c r="CZ611" s="569"/>
      <c r="DA611" s="569"/>
      <c r="DB611" s="569"/>
      <c r="DC611" s="569"/>
      <c r="DD611" s="569"/>
      <c r="DE611" s="569"/>
      <c r="DF611" s="569"/>
      <c r="DG611" s="569"/>
      <c r="DH611" s="569"/>
      <c r="DI611" s="569"/>
      <c r="DJ611" s="569"/>
      <c r="DK611" s="569"/>
      <c r="DL611" s="569"/>
      <c r="DM611" s="569"/>
      <c r="DN611" s="569"/>
      <c r="DO611" s="569"/>
      <c r="DP611" s="569"/>
      <c r="DQ611" s="569"/>
      <c r="DR611" s="569"/>
      <c r="DS611" s="569"/>
      <c r="DT611" s="569"/>
      <c r="DU611" s="569"/>
      <c r="DV611" s="569"/>
      <c r="DW611" s="569"/>
      <c r="DX611" s="569"/>
      <c r="DY611" s="569"/>
      <c r="DZ611" s="569"/>
      <c r="EA611" s="569"/>
      <c r="EB611" s="569"/>
      <c r="EC611" s="569"/>
      <c r="ED611" s="569"/>
      <c r="EE611" s="569"/>
      <c r="EF611" s="569"/>
      <c r="EG611" s="569"/>
      <c r="EH611" s="569"/>
      <c r="EI611" s="569"/>
      <c r="EJ611" s="569"/>
      <c r="EK611" s="569"/>
      <c r="EL611" s="569"/>
      <c r="EM611" s="569"/>
      <c r="EN611" s="569"/>
      <c r="EO611" s="569"/>
      <c r="EP611" s="569"/>
      <c r="EQ611" s="569"/>
      <c r="ER611" s="569"/>
      <c r="ES611" s="569"/>
      <c r="ET611" s="569"/>
      <c r="EU611" s="569"/>
      <c r="EV611" s="569"/>
      <c r="EW611" s="569"/>
      <c r="EX611" s="569"/>
      <c r="EY611" s="569"/>
      <c r="EZ611" s="569"/>
      <c r="FA611" s="569"/>
      <c r="FB611" s="569"/>
      <c r="FC611" s="569"/>
      <c r="FD611" s="569"/>
      <c r="FE611" s="569"/>
      <c r="FF611" s="569"/>
      <c r="FG611" s="569"/>
      <c r="FH611" s="569"/>
      <c r="FI611" s="569"/>
      <c r="FJ611" s="569"/>
      <c r="FK611" s="569"/>
      <c r="FL611" s="569"/>
      <c r="FM611" s="569"/>
      <c r="FN611" s="569"/>
      <c r="FO611" s="569"/>
      <c r="FP611" s="569"/>
      <c r="FQ611" s="569"/>
      <c r="FR611" s="569"/>
      <c r="FS611" s="569"/>
      <c r="FT611" s="569"/>
      <c r="FU611" s="569"/>
      <c r="FV611" s="569"/>
      <c r="FW611" s="569"/>
      <c r="FX611" s="569"/>
      <c r="FY611" s="569"/>
      <c r="FZ611" s="569"/>
      <c r="GA611" s="569"/>
      <c r="GB611" s="569"/>
      <c r="GC611" s="569"/>
      <c r="GD611" s="569"/>
      <c r="GE611" s="569"/>
      <c r="GF611" s="569"/>
      <c r="GG611" s="569"/>
      <c r="GH611" s="569"/>
      <c r="GI611" s="569"/>
      <c r="GJ611" s="569"/>
      <c r="GK611" s="569"/>
      <c r="GL611" s="569"/>
      <c r="GM611" s="569"/>
      <c r="GN611" s="569"/>
      <c r="GO611" s="569"/>
      <c r="GP611" s="569"/>
      <c r="GQ611" s="569"/>
      <c r="GR611" s="569"/>
      <c r="GS611" s="569"/>
      <c r="GT611" s="569"/>
      <c r="GU611" s="569"/>
      <c r="GV611" s="569"/>
      <c r="GW611" s="569"/>
      <c r="GX611" s="569"/>
      <c r="GY611" s="569"/>
      <c r="GZ611" s="569"/>
      <c r="HA611" s="569"/>
      <c r="HB611" s="569"/>
      <c r="HC611" s="569"/>
      <c r="HD611" s="569"/>
      <c r="HE611" s="569"/>
      <c r="HF611" s="569"/>
      <c r="HG611" s="569"/>
      <c r="HH611" s="569"/>
      <c r="HI611" s="569"/>
      <c r="HJ611" s="569"/>
      <c r="HK611" s="569"/>
      <c r="HL611" s="569"/>
      <c r="HM611" s="569"/>
      <c r="HN611" s="569"/>
      <c r="HO611" s="569"/>
      <c r="HP611" s="569"/>
      <c r="HQ611" s="569"/>
      <c r="HR611" s="569"/>
      <c r="HS611" s="569"/>
      <c r="HT611" s="569"/>
      <c r="HU611" s="569"/>
      <c r="HV611" s="569"/>
      <c r="HW611" s="569"/>
      <c r="HX611" s="569"/>
      <c r="HY611" s="569"/>
      <c r="HZ611" s="569"/>
      <c r="IA611" s="569"/>
      <c r="IB611" s="569"/>
      <c r="IC611" s="569"/>
      <c r="ID611" s="569"/>
      <c r="IE611" s="569"/>
      <c r="IF611" s="569"/>
      <c r="IG611" s="569"/>
      <c r="IH611" s="569"/>
      <c r="II611" s="569"/>
      <c r="IJ611" s="569"/>
      <c r="IK611" s="569"/>
      <c r="IL611" s="569"/>
      <c r="IM611" s="569"/>
      <c r="IN611" s="569"/>
      <c r="IO611" s="569"/>
      <c r="IP611" s="569"/>
      <c r="IQ611" s="569"/>
      <c r="IR611" s="569"/>
      <c r="IS611" s="569"/>
      <c r="IT611" s="569"/>
      <c r="IU611" s="569"/>
      <c r="IV611" s="569"/>
      <c r="IW611" s="569"/>
      <c r="IX611" s="569"/>
      <c r="IY611" s="569"/>
      <c r="IZ611" s="569"/>
      <c r="JA611" s="569"/>
      <c r="JB611" s="569"/>
      <c r="JC611" s="569"/>
      <c r="JD611" s="569"/>
      <c r="JE611" s="569"/>
      <c r="JF611" s="569"/>
      <c r="JG611" s="569"/>
      <c r="JH611" s="569"/>
      <c r="JI611" s="569"/>
      <c r="JJ611" s="569"/>
      <c r="JK611" s="569"/>
      <c r="JL611" s="569"/>
      <c r="JM611" s="569"/>
      <c r="JN611" s="569"/>
      <c r="JO611" s="569"/>
      <c r="JP611" s="569"/>
      <c r="JQ611" s="569"/>
      <c r="JR611" s="569"/>
      <c r="JS611" s="569"/>
      <c r="JT611" s="569"/>
      <c r="JU611" s="569"/>
      <c r="JV611" s="569"/>
      <c r="JW611" s="569"/>
      <c r="JX611" s="569"/>
      <c r="JY611" s="569"/>
      <c r="JZ611" s="569"/>
      <c r="KA611" s="569"/>
      <c r="KB611" s="569"/>
      <c r="KC611" s="569"/>
      <c r="KD611" s="569"/>
      <c r="KE611" s="569"/>
      <c r="KF611" s="569"/>
      <c r="KG611" s="569"/>
      <c r="KH611" s="569"/>
      <c r="KI611" s="569"/>
      <c r="KJ611" s="569"/>
      <c r="KK611" s="569"/>
      <c r="KL611" s="569"/>
      <c r="KM611" s="569"/>
      <c r="KN611" s="569"/>
      <c r="KO611" s="569"/>
      <c r="KP611" s="569"/>
      <c r="KQ611" s="569"/>
      <c r="KR611" s="569"/>
      <c r="KS611" s="569"/>
      <c r="KT611" s="569"/>
      <c r="KU611" s="569"/>
      <c r="KV611" s="569"/>
      <c r="KW611" s="569"/>
      <c r="KX611" s="569"/>
      <c r="KY611" s="569"/>
      <c r="KZ611" s="569"/>
      <c r="LA611" s="569"/>
      <c r="LB611" s="569"/>
      <c r="LC611" s="569"/>
      <c r="LD611" s="569"/>
      <c r="LE611" s="569"/>
      <c r="LF611" s="569"/>
      <c r="LG611" s="569"/>
      <c r="LH611" s="569"/>
      <c r="LI611" s="569"/>
      <c r="LJ611" s="569"/>
      <c r="LK611" s="569"/>
      <c r="LL611" s="569"/>
      <c r="LM611" s="569"/>
      <c r="LN611" s="569"/>
      <c r="LO611" s="569"/>
      <c r="LP611" s="569"/>
      <c r="LQ611" s="569"/>
      <c r="LR611" s="569"/>
      <c r="LS611" s="569"/>
      <c r="LT611" s="569"/>
      <c r="LU611" s="569"/>
      <c r="LV611" s="569"/>
      <c r="LW611" s="569"/>
      <c r="LX611" s="569"/>
      <c r="LY611" s="569"/>
      <c r="LZ611" s="569"/>
      <c r="MA611" s="569"/>
      <c r="MB611" s="569"/>
      <c r="MC611" s="569"/>
      <c r="MD611" s="569"/>
      <c r="ME611" s="569"/>
      <c r="MF611" s="569"/>
      <c r="MG611" s="569"/>
      <c r="MH611" s="569"/>
      <c r="MI611" s="569"/>
      <c r="MJ611" s="569"/>
      <c r="MK611" s="569"/>
      <c r="ML611" s="569"/>
      <c r="MM611" s="569"/>
      <c r="MN611" s="569"/>
      <c r="MO611" s="569"/>
      <c r="MP611" s="569"/>
      <c r="MQ611" s="569"/>
      <c r="MR611" s="569"/>
      <c r="MS611" s="569"/>
      <c r="MT611" s="569"/>
      <c r="MU611" s="569"/>
      <c r="MV611" s="569"/>
      <c r="MW611" s="569"/>
      <c r="MX611" s="569"/>
      <c r="MY611" s="569"/>
      <c r="MZ611" s="569"/>
      <c r="NA611" s="569"/>
      <c r="NB611" s="569"/>
      <c r="NC611" s="569"/>
      <c r="ND611" s="569"/>
      <c r="NE611" s="569"/>
      <c r="NF611" s="569"/>
      <c r="NG611" s="569"/>
      <c r="NH611" s="569"/>
      <c r="NI611" s="569"/>
      <c r="NJ611" s="569"/>
      <c r="NK611" s="569"/>
      <c r="NL611" s="569"/>
      <c r="NM611" s="569"/>
      <c r="NN611" s="569"/>
      <c r="NO611" s="569"/>
      <c r="NP611" s="569"/>
      <c r="NQ611" s="569"/>
      <c r="NR611" s="569"/>
      <c r="NS611" s="569"/>
      <c r="NT611" s="569"/>
      <c r="NU611" s="569"/>
      <c r="NV611" s="569"/>
      <c r="NW611" s="569"/>
      <c r="NX611" s="569"/>
      <c r="NY611" s="569"/>
      <c r="NZ611" s="569"/>
      <c r="OA611" s="569"/>
      <c r="OB611" s="569"/>
      <c r="OC611" s="569"/>
      <c r="OD611" s="569"/>
      <c r="OE611" s="569"/>
      <c r="OF611" s="569"/>
      <c r="OG611" s="569"/>
      <c r="OH611" s="569"/>
      <c r="OI611" s="569"/>
      <c r="OJ611" s="569"/>
      <c r="OK611" s="569"/>
      <c r="OL611" s="569"/>
      <c r="OM611" s="569"/>
      <c r="ON611" s="569"/>
      <c r="OO611" s="569"/>
      <c r="OP611" s="569"/>
      <c r="OQ611" s="569"/>
      <c r="OR611" s="569"/>
      <c r="OS611" s="569"/>
      <c r="OT611" s="569"/>
      <c r="OU611" s="569"/>
      <c r="OV611" s="569"/>
      <c r="OW611" s="569"/>
      <c r="OX611" s="569"/>
      <c r="OY611" s="569"/>
      <c r="OZ611" s="569"/>
      <c r="PA611" s="569"/>
      <c r="PB611" s="569"/>
      <c r="PC611" s="569"/>
      <c r="PD611" s="569"/>
      <c r="PE611" s="569"/>
      <c r="PF611" s="569"/>
      <c r="PG611" s="569"/>
      <c r="PH611" s="569"/>
      <c r="PI611" s="569"/>
      <c r="PJ611" s="569"/>
      <c r="PK611" s="569"/>
      <c r="PL611" s="569"/>
      <c r="PM611" s="569"/>
      <c r="PN611" s="569"/>
      <c r="PO611" s="569"/>
      <c r="PP611" s="569"/>
      <c r="PQ611" s="569"/>
      <c r="PR611" s="569"/>
      <c r="PS611" s="569"/>
      <c r="PT611" s="569"/>
      <c r="PU611" s="569"/>
      <c r="PV611" s="569"/>
      <c r="PW611" s="569"/>
      <c r="PX611" s="569"/>
      <c r="PY611" s="569"/>
      <c r="PZ611" s="569"/>
      <c r="QA611" s="569"/>
      <c r="QB611" s="569"/>
      <c r="QC611" s="569"/>
      <c r="QD611" s="569"/>
      <c r="QE611" s="569"/>
      <c r="QF611" s="569"/>
      <c r="QG611" s="569"/>
      <c r="QH611" s="569"/>
      <c r="QI611" s="569"/>
      <c r="QJ611" s="569"/>
      <c r="QK611" s="569"/>
      <c r="QL611" s="569"/>
    </row>
    <row r="612" spans="1:454" s="585" customFormat="1">
      <c r="A612" s="569"/>
      <c r="C612" s="586" t="s">
        <v>1801</v>
      </c>
      <c r="D612" s="587"/>
      <c r="E612" s="587"/>
      <c r="F612" s="587"/>
      <c r="G612" s="588"/>
      <c r="H612" s="588"/>
      <c r="I612" s="588"/>
      <c r="J612" s="589"/>
      <c r="K612" s="589"/>
      <c r="L612" s="589"/>
      <c r="M612" s="606"/>
      <c r="N612" s="589"/>
      <c r="O612" s="581"/>
      <c r="P612" s="589"/>
      <c r="Q612" s="581"/>
      <c r="R612" s="589"/>
      <c r="S612" s="581"/>
      <c r="T612" s="589"/>
      <c r="U612" s="581"/>
      <c r="V612" s="589"/>
      <c r="W612" s="581"/>
      <c r="X612" s="588"/>
      <c r="Y612" s="589"/>
      <c r="Z612" s="589"/>
      <c r="AA612" s="569"/>
      <c r="AB612" s="569"/>
      <c r="AC612" s="569"/>
      <c r="AD612" s="569"/>
      <c r="AE612" s="569"/>
      <c r="AF612" s="569"/>
      <c r="AG612" s="569"/>
      <c r="AH612" s="569"/>
      <c r="AI612" s="569"/>
      <c r="AJ612" s="569"/>
      <c r="AK612" s="569"/>
      <c r="AL612" s="569"/>
      <c r="AM612" s="569"/>
      <c r="AN612" s="569"/>
      <c r="AO612" s="569"/>
      <c r="AP612" s="569"/>
      <c r="AQ612" s="569"/>
      <c r="AR612" s="569"/>
      <c r="AS612" s="569"/>
      <c r="AT612" s="569"/>
      <c r="AU612" s="569"/>
      <c r="AV612" s="569"/>
      <c r="AW612" s="569"/>
      <c r="AX612" s="569"/>
      <c r="AY612" s="569"/>
      <c r="AZ612" s="569"/>
      <c r="BA612" s="569"/>
      <c r="BB612" s="569"/>
      <c r="BC612" s="569"/>
      <c r="BD612" s="569"/>
      <c r="BE612" s="569"/>
      <c r="BF612" s="569"/>
      <c r="BG612" s="569"/>
      <c r="BH612" s="569"/>
      <c r="BI612" s="569"/>
      <c r="BJ612" s="569"/>
      <c r="BK612" s="569"/>
      <c r="BL612" s="569"/>
      <c r="BM612" s="569"/>
      <c r="BN612" s="569"/>
      <c r="BO612" s="569"/>
      <c r="BP612" s="569"/>
      <c r="BQ612" s="569"/>
      <c r="BR612" s="569"/>
      <c r="BS612" s="569"/>
      <c r="BT612" s="569"/>
      <c r="BU612" s="569"/>
      <c r="BV612" s="569"/>
      <c r="BW612" s="569"/>
      <c r="BX612" s="569"/>
      <c r="BY612" s="569"/>
      <c r="BZ612" s="569"/>
      <c r="CA612" s="569"/>
      <c r="CB612" s="569"/>
      <c r="CC612" s="569"/>
      <c r="CD612" s="569"/>
      <c r="CE612" s="569"/>
      <c r="CF612" s="569"/>
      <c r="CG612" s="569"/>
      <c r="CH612" s="569"/>
      <c r="CI612" s="569"/>
      <c r="CJ612" s="569"/>
      <c r="CK612" s="569"/>
      <c r="CL612" s="569"/>
      <c r="CM612" s="569"/>
      <c r="CN612" s="569"/>
      <c r="CO612" s="569"/>
      <c r="CP612" s="569"/>
      <c r="CQ612" s="569"/>
      <c r="CR612" s="569"/>
      <c r="CS612" s="569"/>
      <c r="CT612" s="569"/>
      <c r="CU612" s="569"/>
      <c r="CV612" s="569"/>
      <c r="CW612" s="569"/>
      <c r="CX612" s="569"/>
      <c r="CY612" s="569"/>
      <c r="CZ612" s="569"/>
      <c r="DA612" s="569"/>
      <c r="DB612" s="569"/>
      <c r="DC612" s="569"/>
      <c r="DD612" s="569"/>
      <c r="DE612" s="569"/>
      <c r="DF612" s="569"/>
      <c r="DG612" s="569"/>
      <c r="DH612" s="569"/>
      <c r="DI612" s="569"/>
      <c r="DJ612" s="569"/>
      <c r="DK612" s="569"/>
      <c r="DL612" s="569"/>
      <c r="DM612" s="569"/>
      <c r="DN612" s="569"/>
      <c r="DO612" s="569"/>
      <c r="DP612" s="569"/>
      <c r="DQ612" s="569"/>
      <c r="DR612" s="569"/>
      <c r="DS612" s="569"/>
      <c r="DT612" s="569"/>
      <c r="DU612" s="569"/>
      <c r="DV612" s="569"/>
      <c r="DW612" s="569"/>
      <c r="DX612" s="569"/>
      <c r="DY612" s="569"/>
      <c r="DZ612" s="569"/>
      <c r="EA612" s="569"/>
      <c r="EB612" s="569"/>
      <c r="EC612" s="569"/>
      <c r="ED612" s="569"/>
      <c r="EE612" s="569"/>
      <c r="EF612" s="569"/>
      <c r="EG612" s="569"/>
      <c r="EH612" s="569"/>
      <c r="EI612" s="569"/>
      <c r="EJ612" s="569"/>
      <c r="EK612" s="569"/>
      <c r="EL612" s="569"/>
      <c r="EM612" s="569"/>
      <c r="EN612" s="569"/>
      <c r="EO612" s="569"/>
      <c r="EP612" s="569"/>
      <c r="EQ612" s="569"/>
      <c r="ER612" s="569"/>
      <c r="ES612" s="569"/>
      <c r="ET612" s="569"/>
      <c r="EU612" s="569"/>
      <c r="EV612" s="569"/>
      <c r="EW612" s="569"/>
      <c r="EX612" s="569"/>
      <c r="EY612" s="569"/>
      <c r="EZ612" s="569"/>
      <c r="FA612" s="569"/>
      <c r="FB612" s="569"/>
      <c r="FC612" s="569"/>
      <c r="FD612" s="569"/>
      <c r="FE612" s="569"/>
      <c r="FF612" s="569"/>
      <c r="FG612" s="569"/>
      <c r="FH612" s="569"/>
      <c r="FI612" s="569"/>
      <c r="FJ612" s="569"/>
      <c r="FK612" s="569"/>
      <c r="FL612" s="569"/>
      <c r="FM612" s="569"/>
      <c r="FN612" s="569"/>
      <c r="FO612" s="569"/>
      <c r="FP612" s="569"/>
      <c r="FQ612" s="569"/>
      <c r="FR612" s="569"/>
      <c r="FS612" s="569"/>
      <c r="FT612" s="569"/>
      <c r="FU612" s="569"/>
      <c r="FV612" s="569"/>
      <c r="FW612" s="569"/>
      <c r="FX612" s="569"/>
      <c r="FY612" s="569"/>
      <c r="FZ612" s="569"/>
      <c r="GA612" s="569"/>
      <c r="GB612" s="569"/>
      <c r="GC612" s="569"/>
      <c r="GD612" s="569"/>
      <c r="GE612" s="569"/>
      <c r="GF612" s="569"/>
      <c r="GG612" s="569"/>
      <c r="GH612" s="569"/>
      <c r="GI612" s="569"/>
      <c r="GJ612" s="569"/>
      <c r="GK612" s="569"/>
      <c r="GL612" s="569"/>
      <c r="GM612" s="569"/>
      <c r="GN612" s="569"/>
      <c r="GO612" s="569"/>
      <c r="GP612" s="569"/>
      <c r="GQ612" s="569"/>
      <c r="GR612" s="569"/>
      <c r="GS612" s="569"/>
      <c r="GT612" s="569"/>
      <c r="GU612" s="569"/>
      <c r="GV612" s="569"/>
      <c r="GW612" s="569"/>
      <c r="GX612" s="569"/>
      <c r="GY612" s="569"/>
      <c r="GZ612" s="569"/>
      <c r="HA612" s="569"/>
      <c r="HB612" s="569"/>
      <c r="HC612" s="569"/>
      <c r="HD612" s="569"/>
      <c r="HE612" s="569"/>
      <c r="HF612" s="569"/>
      <c r="HG612" s="569"/>
      <c r="HH612" s="569"/>
      <c r="HI612" s="569"/>
      <c r="HJ612" s="569"/>
      <c r="HK612" s="569"/>
      <c r="HL612" s="569"/>
      <c r="HM612" s="569"/>
      <c r="HN612" s="569"/>
      <c r="HO612" s="569"/>
      <c r="HP612" s="569"/>
      <c r="HQ612" s="569"/>
      <c r="HR612" s="569"/>
      <c r="HS612" s="569"/>
      <c r="HT612" s="569"/>
      <c r="HU612" s="569"/>
      <c r="HV612" s="569"/>
      <c r="HW612" s="569"/>
      <c r="HX612" s="569"/>
      <c r="HY612" s="569"/>
      <c r="HZ612" s="569"/>
      <c r="IA612" s="569"/>
      <c r="IB612" s="569"/>
      <c r="IC612" s="569"/>
      <c r="ID612" s="569"/>
      <c r="IE612" s="569"/>
      <c r="IF612" s="569"/>
      <c r="IG612" s="569"/>
      <c r="IH612" s="569"/>
      <c r="II612" s="569"/>
      <c r="IJ612" s="569"/>
      <c r="IK612" s="569"/>
      <c r="IL612" s="569"/>
      <c r="IM612" s="569"/>
      <c r="IN612" s="569"/>
      <c r="IO612" s="569"/>
      <c r="IP612" s="569"/>
      <c r="IQ612" s="569"/>
      <c r="IR612" s="569"/>
      <c r="IS612" s="569"/>
      <c r="IT612" s="569"/>
      <c r="IU612" s="569"/>
      <c r="IV612" s="569"/>
      <c r="IW612" s="569"/>
      <c r="IX612" s="569"/>
      <c r="IY612" s="569"/>
      <c r="IZ612" s="569"/>
      <c r="JA612" s="569"/>
      <c r="JB612" s="569"/>
      <c r="JC612" s="569"/>
      <c r="JD612" s="569"/>
      <c r="JE612" s="569"/>
      <c r="JF612" s="569"/>
      <c r="JG612" s="569"/>
      <c r="JH612" s="569"/>
      <c r="JI612" s="569"/>
      <c r="JJ612" s="569"/>
      <c r="JK612" s="569"/>
      <c r="JL612" s="569"/>
      <c r="JM612" s="569"/>
      <c r="JN612" s="569"/>
      <c r="JO612" s="569"/>
      <c r="JP612" s="569"/>
      <c r="JQ612" s="569"/>
      <c r="JR612" s="569"/>
      <c r="JS612" s="569"/>
      <c r="JT612" s="569"/>
      <c r="JU612" s="569"/>
      <c r="JV612" s="569"/>
      <c r="JW612" s="569"/>
      <c r="JX612" s="569"/>
      <c r="JY612" s="569"/>
      <c r="JZ612" s="569"/>
      <c r="KA612" s="569"/>
      <c r="KB612" s="569"/>
      <c r="KC612" s="569"/>
      <c r="KD612" s="569"/>
      <c r="KE612" s="569"/>
      <c r="KF612" s="569"/>
      <c r="KG612" s="569"/>
      <c r="KH612" s="569"/>
      <c r="KI612" s="569"/>
      <c r="KJ612" s="569"/>
      <c r="KK612" s="569"/>
      <c r="KL612" s="569"/>
      <c r="KM612" s="569"/>
      <c r="KN612" s="569"/>
      <c r="KO612" s="569"/>
      <c r="KP612" s="569"/>
      <c r="KQ612" s="569"/>
      <c r="KR612" s="569"/>
      <c r="KS612" s="569"/>
      <c r="KT612" s="569"/>
      <c r="KU612" s="569"/>
      <c r="KV612" s="569"/>
      <c r="KW612" s="569"/>
      <c r="KX612" s="569"/>
      <c r="KY612" s="569"/>
      <c r="KZ612" s="569"/>
      <c r="LA612" s="569"/>
      <c r="LB612" s="569"/>
      <c r="LC612" s="569"/>
      <c r="LD612" s="569"/>
      <c r="LE612" s="569"/>
      <c r="LF612" s="569"/>
      <c r="LG612" s="569"/>
      <c r="LH612" s="569"/>
      <c r="LI612" s="569"/>
      <c r="LJ612" s="569"/>
      <c r="LK612" s="569"/>
      <c r="LL612" s="569"/>
      <c r="LM612" s="569"/>
      <c r="LN612" s="569"/>
      <c r="LO612" s="569"/>
      <c r="LP612" s="569"/>
      <c r="LQ612" s="569"/>
      <c r="LR612" s="569"/>
      <c r="LS612" s="569"/>
      <c r="LT612" s="569"/>
      <c r="LU612" s="569"/>
      <c r="LV612" s="569"/>
      <c r="LW612" s="569"/>
      <c r="LX612" s="569"/>
      <c r="LY612" s="569"/>
      <c r="LZ612" s="569"/>
      <c r="MA612" s="569"/>
      <c r="MB612" s="569"/>
      <c r="MC612" s="569"/>
      <c r="MD612" s="569"/>
      <c r="ME612" s="569"/>
      <c r="MF612" s="569"/>
      <c r="MG612" s="569"/>
      <c r="MH612" s="569"/>
      <c r="MI612" s="569"/>
      <c r="MJ612" s="569"/>
      <c r="MK612" s="569"/>
      <c r="ML612" s="569"/>
      <c r="MM612" s="569"/>
      <c r="MN612" s="569"/>
      <c r="MO612" s="569"/>
      <c r="MP612" s="569"/>
      <c r="MQ612" s="569"/>
      <c r="MR612" s="569"/>
      <c r="MS612" s="569"/>
      <c r="MT612" s="569"/>
      <c r="MU612" s="569"/>
      <c r="MV612" s="569"/>
      <c r="MW612" s="569"/>
      <c r="MX612" s="569"/>
      <c r="MY612" s="569"/>
      <c r="MZ612" s="569"/>
      <c r="NA612" s="569"/>
      <c r="NB612" s="569"/>
      <c r="NC612" s="569"/>
      <c r="ND612" s="569"/>
      <c r="NE612" s="569"/>
      <c r="NF612" s="569"/>
      <c r="NG612" s="569"/>
      <c r="NH612" s="569"/>
      <c r="NI612" s="569"/>
      <c r="NJ612" s="569"/>
      <c r="NK612" s="569"/>
      <c r="NL612" s="569"/>
      <c r="NM612" s="569"/>
      <c r="NN612" s="569"/>
      <c r="NO612" s="569"/>
      <c r="NP612" s="569"/>
      <c r="NQ612" s="569"/>
      <c r="NR612" s="569"/>
      <c r="NS612" s="569"/>
      <c r="NT612" s="569"/>
      <c r="NU612" s="569"/>
      <c r="NV612" s="569"/>
      <c r="NW612" s="569"/>
      <c r="NX612" s="569"/>
      <c r="NY612" s="569"/>
      <c r="NZ612" s="569"/>
      <c r="OA612" s="569"/>
      <c r="OB612" s="569"/>
      <c r="OC612" s="569"/>
      <c r="OD612" s="569"/>
      <c r="OE612" s="569"/>
      <c r="OF612" s="569"/>
      <c r="OG612" s="569"/>
      <c r="OH612" s="569"/>
      <c r="OI612" s="569"/>
      <c r="OJ612" s="569"/>
      <c r="OK612" s="569"/>
      <c r="OL612" s="569"/>
      <c r="OM612" s="569"/>
      <c r="ON612" s="569"/>
      <c r="OO612" s="569"/>
      <c r="OP612" s="569"/>
      <c r="OQ612" s="569"/>
      <c r="OR612" s="569"/>
      <c r="OS612" s="569"/>
      <c r="OT612" s="569"/>
      <c r="OU612" s="569"/>
      <c r="OV612" s="569"/>
      <c r="OW612" s="569"/>
      <c r="OX612" s="569"/>
      <c r="OY612" s="569"/>
      <c r="OZ612" s="569"/>
      <c r="PA612" s="569"/>
      <c r="PB612" s="569"/>
      <c r="PC612" s="569"/>
      <c r="PD612" s="569"/>
      <c r="PE612" s="569"/>
      <c r="PF612" s="569"/>
      <c r="PG612" s="569"/>
      <c r="PH612" s="569"/>
      <c r="PI612" s="569"/>
      <c r="PJ612" s="569"/>
      <c r="PK612" s="569"/>
      <c r="PL612" s="569"/>
      <c r="PM612" s="569"/>
      <c r="PN612" s="569"/>
      <c r="PO612" s="569"/>
      <c r="PP612" s="569"/>
      <c r="PQ612" s="569"/>
      <c r="PR612" s="569"/>
      <c r="PS612" s="569"/>
      <c r="PT612" s="569"/>
      <c r="PU612" s="569"/>
      <c r="PV612" s="569"/>
      <c r="PW612" s="569"/>
      <c r="PX612" s="569"/>
      <c r="PY612" s="569"/>
      <c r="PZ612" s="569"/>
      <c r="QA612" s="569"/>
      <c r="QB612" s="569"/>
      <c r="QC612" s="569"/>
      <c r="QD612" s="569"/>
      <c r="QE612" s="569"/>
      <c r="QF612" s="569"/>
      <c r="QG612" s="569"/>
      <c r="QH612" s="569"/>
      <c r="QI612" s="569"/>
      <c r="QJ612" s="569"/>
      <c r="QK612" s="569"/>
      <c r="QL612" s="569"/>
    </row>
    <row r="613" spans="1:454" s="574" customFormat="1" ht="60">
      <c r="A613" s="569"/>
      <c r="B613" s="575">
        <v>1</v>
      </c>
      <c r="C613" s="576" t="str">
        <f>'matrik MISI 1'!B6</f>
        <v>PERTANIAN</v>
      </c>
      <c r="D613" s="577" t="str">
        <f>'matrik MISI 1'!J7</f>
        <v>2.01.</v>
      </c>
      <c r="E613" s="577" t="str">
        <f>'matrik MISI 1'!K7</f>
        <v>xx</v>
      </c>
      <c r="F613" s="577">
        <f>'matrik MISI 1'!L7</f>
        <v>18</v>
      </c>
      <c r="G613" s="577" t="str">
        <f>'matrik MISI 1'!M7</f>
        <v>Program Peningkatan Penerapan Teknologi Pertanian / Peternakan / Perkebunan</v>
      </c>
      <c r="H613" s="575"/>
      <c r="I613" s="575"/>
      <c r="J613" s="596"/>
      <c r="K613" s="596"/>
      <c r="L613" s="596"/>
      <c r="M613" s="600">
        <f>'jangan dihapus 2'!K502</f>
        <v>3060120000</v>
      </c>
      <c r="N613" s="600"/>
      <c r="O613" s="600">
        <f>'jangan dihapus 2'!M502</f>
        <v>2400000000</v>
      </c>
      <c r="P613" s="600"/>
      <c r="Q613" s="600">
        <f>'jangan dihapus 2'!O502</f>
        <v>2420000000</v>
      </c>
      <c r="R613" s="600"/>
      <c r="S613" s="600">
        <f>'jangan dihapus 2'!Q502</f>
        <v>2445000000</v>
      </c>
      <c r="T613" s="600"/>
      <c r="U613" s="600">
        <f>'jangan dihapus 2'!S502</f>
        <v>2465000000</v>
      </c>
      <c r="V613" s="596"/>
      <c r="W613" s="578">
        <f>SUM(M613:U613)</f>
        <v>12790120000</v>
      </c>
      <c r="X613" s="575"/>
      <c r="Y613" s="596"/>
      <c r="Z613" s="596"/>
      <c r="AA613" s="569"/>
      <c r="AB613" s="569"/>
      <c r="AC613" s="569"/>
      <c r="AD613" s="569"/>
      <c r="AE613" s="569"/>
      <c r="AF613" s="569"/>
      <c r="AG613" s="569"/>
      <c r="AH613" s="569"/>
      <c r="AI613" s="569"/>
      <c r="AJ613" s="569"/>
      <c r="AK613" s="569"/>
      <c r="AL613" s="569"/>
      <c r="AM613" s="569"/>
      <c r="AN613" s="569"/>
      <c r="AO613" s="569"/>
      <c r="AP613" s="569"/>
      <c r="AQ613" s="569"/>
      <c r="AR613" s="569"/>
      <c r="AS613" s="569"/>
      <c r="AT613" s="569"/>
      <c r="AU613" s="569"/>
      <c r="AV613" s="569"/>
      <c r="AW613" s="569"/>
      <c r="AX613" s="569"/>
      <c r="AY613" s="569"/>
      <c r="AZ613" s="569"/>
      <c r="BA613" s="569"/>
      <c r="BB613" s="569"/>
      <c r="BC613" s="569"/>
      <c r="BD613" s="569"/>
      <c r="BE613" s="569"/>
      <c r="BF613" s="569"/>
      <c r="BG613" s="569"/>
      <c r="BH613" s="569"/>
      <c r="BI613" s="569"/>
      <c r="BJ613" s="569"/>
      <c r="BK613" s="569"/>
      <c r="BL613" s="569"/>
      <c r="BM613" s="569"/>
      <c r="BN613" s="569"/>
      <c r="BO613" s="569"/>
      <c r="BP613" s="569"/>
      <c r="BQ613" s="569"/>
      <c r="BR613" s="569"/>
      <c r="BS613" s="569"/>
      <c r="BT613" s="569"/>
      <c r="BU613" s="569"/>
      <c r="BV613" s="569"/>
      <c r="BW613" s="569"/>
      <c r="BX613" s="569"/>
      <c r="BY613" s="569"/>
      <c r="BZ613" s="569"/>
      <c r="CA613" s="569"/>
      <c r="CB613" s="569"/>
      <c r="CC613" s="569"/>
      <c r="CD613" s="569"/>
      <c r="CE613" s="569"/>
      <c r="CF613" s="569"/>
      <c r="CG613" s="569"/>
      <c r="CH613" s="569"/>
      <c r="CI613" s="569"/>
      <c r="CJ613" s="569"/>
      <c r="CK613" s="569"/>
      <c r="CL613" s="569"/>
      <c r="CM613" s="569"/>
      <c r="CN613" s="569"/>
      <c r="CO613" s="569"/>
      <c r="CP613" s="569"/>
      <c r="CQ613" s="569"/>
      <c r="CR613" s="569"/>
      <c r="CS613" s="569"/>
      <c r="CT613" s="569"/>
      <c r="CU613" s="569"/>
      <c r="CV613" s="569"/>
      <c r="CW613" s="569"/>
      <c r="CX613" s="569"/>
      <c r="CY613" s="569"/>
      <c r="CZ613" s="569"/>
      <c r="DA613" s="569"/>
      <c r="DB613" s="569"/>
      <c r="DC613" s="569"/>
      <c r="DD613" s="569"/>
      <c r="DE613" s="569"/>
      <c r="DF613" s="569"/>
      <c r="DG613" s="569"/>
      <c r="DH613" s="569"/>
      <c r="DI613" s="569"/>
      <c r="DJ613" s="569"/>
      <c r="DK613" s="569"/>
      <c r="DL613" s="569"/>
      <c r="DM613" s="569"/>
      <c r="DN613" s="569"/>
      <c r="DO613" s="569"/>
      <c r="DP613" s="569"/>
      <c r="DQ613" s="569"/>
      <c r="DR613" s="569"/>
      <c r="DS613" s="569"/>
      <c r="DT613" s="569"/>
      <c r="DU613" s="569"/>
      <c r="DV613" s="569"/>
      <c r="DW613" s="569"/>
      <c r="DX613" s="569"/>
      <c r="DY613" s="569"/>
      <c r="DZ613" s="569"/>
      <c r="EA613" s="569"/>
      <c r="EB613" s="569"/>
      <c r="EC613" s="569"/>
      <c r="ED613" s="569"/>
      <c r="EE613" s="569"/>
      <c r="EF613" s="569"/>
      <c r="EG613" s="569"/>
      <c r="EH613" s="569"/>
      <c r="EI613" s="569"/>
      <c r="EJ613" s="569"/>
      <c r="EK613" s="569"/>
      <c r="EL613" s="569"/>
      <c r="EM613" s="569"/>
      <c r="EN613" s="569"/>
      <c r="EO613" s="569"/>
      <c r="EP613" s="569"/>
      <c r="EQ613" s="569"/>
      <c r="ER613" s="569"/>
      <c r="ES613" s="569"/>
      <c r="ET613" s="569"/>
      <c r="EU613" s="569"/>
      <c r="EV613" s="569"/>
      <c r="EW613" s="569"/>
      <c r="EX613" s="569"/>
      <c r="EY613" s="569"/>
      <c r="EZ613" s="569"/>
      <c r="FA613" s="569"/>
      <c r="FB613" s="569"/>
      <c r="FC613" s="569"/>
      <c r="FD613" s="569"/>
      <c r="FE613" s="569"/>
      <c r="FF613" s="569"/>
      <c r="FG613" s="569"/>
      <c r="FH613" s="569"/>
      <c r="FI613" s="569"/>
      <c r="FJ613" s="569"/>
      <c r="FK613" s="569"/>
      <c r="FL613" s="569"/>
      <c r="FM613" s="569"/>
      <c r="FN613" s="569"/>
      <c r="FO613" s="569"/>
      <c r="FP613" s="569"/>
      <c r="FQ613" s="569"/>
      <c r="FR613" s="569"/>
      <c r="FS613" s="569"/>
      <c r="FT613" s="569"/>
      <c r="FU613" s="569"/>
      <c r="FV613" s="569"/>
      <c r="FW613" s="569"/>
      <c r="FX613" s="569"/>
      <c r="FY613" s="569"/>
      <c r="FZ613" s="569"/>
      <c r="GA613" s="569"/>
      <c r="GB613" s="569"/>
      <c r="GC613" s="569"/>
      <c r="GD613" s="569"/>
      <c r="GE613" s="569"/>
      <c r="GF613" s="569"/>
      <c r="GG613" s="569"/>
      <c r="GH613" s="569"/>
      <c r="GI613" s="569"/>
      <c r="GJ613" s="569"/>
      <c r="GK613" s="569"/>
      <c r="GL613" s="569"/>
      <c r="GM613" s="569"/>
      <c r="GN613" s="569"/>
      <c r="GO613" s="569"/>
      <c r="GP613" s="569"/>
      <c r="GQ613" s="569"/>
      <c r="GR613" s="569"/>
      <c r="GS613" s="569"/>
      <c r="GT613" s="569"/>
      <c r="GU613" s="569"/>
      <c r="GV613" s="569"/>
      <c r="GW613" s="569"/>
      <c r="GX613" s="569"/>
      <c r="GY613" s="569"/>
      <c r="GZ613" s="569"/>
      <c r="HA613" s="569"/>
      <c r="HB613" s="569"/>
      <c r="HC613" s="569"/>
      <c r="HD613" s="569"/>
      <c r="HE613" s="569"/>
      <c r="HF613" s="569"/>
      <c r="HG613" s="569"/>
      <c r="HH613" s="569"/>
      <c r="HI613" s="569"/>
      <c r="HJ613" s="569"/>
      <c r="HK613" s="569"/>
      <c r="HL613" s="569"/>
      <c r="HM613" s="569"/>
      <c r="HN613" s="569"/>
      <c r="HO613" s="569"/>
      <c r="HP613" s="569"/>
      <c r="HQ613" s="569"/>
      <c r="HR613" s="569"/>
      <c r="HS613" s="569"/>
      <c r="HT613" s="569"/>
      <c r="HU613" s="569"/>
      <c r="HV613" s="569"/>
      <c r="HW613" s="569"/>
      <c r="HX613" s="569"/>
      <c r="HY613" s="569"/>
      <c r="HZ613" s="569"/>
      <c r="IA613" s="569"/>
      <c r="IB613" s="569"/>
      <c r="IC613" s="569"/>
      <c r="ID613" s="569"/>
      <c r="IE613" s="569"/>
      <c r="IF613" s="569"/>
      <c r="IG613" s="569"/>
      <c r="IH613" s="569"/>
      <c r="II613" s="569"/>
      <c r="IJ613" s="569"/>
      <c r="IK613" s="569"/>
      <c r="IL613" s="569"/>
      <c r="IM613" s="569"/>
      <c r="IN613" s="569"/>
      <c r="IO613" s="569"/>
      <c r="IP613" s="569"/>
      <c r="IQ613" s="569"/>
      <c r="IR613" s="569"/>
      <c r="IS613" s="569"/>
      <c r="IT613" s="569"/>
      <c r="IU613" s="569"/>
      <c r="IV613" s="569"/>
      <c r="IW613" s="569"/>
      <c r="IX613" s="569"/>
      <c r="IY613" s="569"/>
      <c r="IZ613" s="569"/>
      <c r="JA613" s="569"/>
      <c r="JB613" s="569"/>
      <c r="JC613" s="569"/>
      <c r="JD613" s="569"/>
      <c r="JE613" s="569"/>
      <c r="JF613" s="569"/>
      <c r="JG613" s="569"/>
      <c r="JH613" s="569"/>
      <c r="JI613" s="569"/>
      <c r="JJ613" s="569"/>
      <c r="JK613" s="569"/>
      <c r="JL613" s="569"/>
      <c r="JM613" s="569"/>
      <c r="JN613" s="569"/>
      <c r="JO613" s="569"/>
      <c r="JP613" s="569"/>
      <c r="JQ613" s="569"/>
      <c r="JR613" s="569"/>
      <c r="JS613" s="569"/>
      <c r="JT613" s="569"/>
      <c r="JU613" s="569"/>
      <c r="JV613" s="569"/>
      <c r="JW613" s="569"/>
      <c r="JX613" s="569"/>
      <c r="JY613" s="569"/>
      <c r="JZ613" s="569"/>
      <c r="KA613" s="569"/>
      <c r="KB613" s="569"/>
      <c r="KC613" s="569"/>
      <c r="KD613" s="569"/>
      <c r="KE613" s="569"/>
      <c r="KF613" s="569"/>
      <c r="KG613" s="569"/>
      <c r="KH613" s="569"/>
      <c r="KI613" s="569"/>
      <c r="KJ613" s="569"/>
      <c r="KK613" s="569"/>
      <c r="KL613" s="569"/>
      <c r="KM613" s="569"/>
      <c r="KN613" s="569"/>
      <c r="KO613" s="569"/>
      <c r="KP613" s="569"/>
      <c r="KQ613" s="569"/>
      <c r="KR613" s="569"/>
      <c r="KS613" s="569"/>
      <c r="KT613" s="569"/>
      <c r="KU613" s="569"/>
      <c r="KV613" s="569"/>
      <c r="KW613" s="569"/>
      <c r="KX613" s="569"/>
      <c r="KY613" s="569"/>
      <c r="KZ613" s="569"/>
      <c r="LA613" s="569"/>
      <c r="LB613" s="569"/>
      <c r="LC613" s="569"/>
      <c r="LD613" s="569"/>
      <c r="LE613" s="569"/>
      <c r="LF613" s="569"/>
      <c r="LG613" s="569"/>
      <c r="LH613" s="569"/>
      <c r="LI613" s="569"/>
      <c r="LJ613" s="569"/>
      <c r="LK613" s="569"/>
      <c r="LL613" s="569"/>
      <c r="LM613" s="569"/>
      <c r="LN613" s="569"/>
      <c r="LO613" s="569"/>
      <c r="LP613" s="569"/>
      <c r="LQ613" s="569"/>
      <c r="LR613" s="569"/>
      <c r="LS613" s="569"/>
      <c r="LT613" s="569"/>
      <c r="LU613" s="569"/>
      <c r="LV613" s="569"/>
      <c r="LW613" s="569"/>
      <c r="LX613" s="569"/>
      <c r="LY613" s="569"/>
      <c r="LZ613" s="569"/>
      <c r="MA613" s="569"/>
      <c r="MB613" s="569"/>
      <c r="MC613" s="569"/>
      <c r="MD613" s="569"/>
      <c r="ME613" s="569"/>
      <c r="MF613" s="569"/>
      <c r="MG613" s="569"/>
      <c r="MH613" s="569"/>
      <c r="MI613" s="569"/>
      <c r="MJ613" s="569"/>
      <c r="MK613" s="569"/>
      <c r="ML613" s="569"/>
      <c r="MM613" s="569"/>
      <c r="MN613" s="569"/>
      <c r="MO613" s="569"/>
      <c r="MP613" s="569"/>
      <c r="MQ613" s="569"/>
      <c r="MR613" s="569"/>
      <c r="MS613" s="569"/>
      <c r="MT613" s="569"/>
      <c r="MU613" s="569"/>
      <c r="MV613" s="569"/>
      <c r="MW613" s="569"/>
      <c r="MX613" s="569"/>
      <c r="MY613" s="569"/>
      <c r="MZ613" s="569"/>
      <c r="NA613" s="569"/>
      <c r="NB613" s="569"/>
      <c r="NC613" s="569"/>
      <c r="ND613" s="569"/>
      <c r="NE613" s="569"/>
      <c r="NF613" s="569"/>
      <c r="NG613" s="569"/>
      <c r="NH613" s="569"/>
      <c r="NI613" s="569"/>
      <c r="NJ613" s="569"/>
      <c r="NK613" s="569"/>
      <c r="NL613" s="569"/>
      <c r="NM613" s="569"/>
      <c r="NN613" s="569"/>
      <c r="NO613" s="569"/>
      <c r="NP613" s="569"/>
      <c r="NQ613" s="569"/>
      <c r="NR613" s="569"/>
      <c r="NS613" s="569"/>
      <c r="NT613" s="569"/>
      <c r="NU613" s="569"/>
      <c r="NV613" s="569"/>
      <c r="NW613" s="569"/>
      <c r="NX613" s="569"/>
      <c r="NY613" s="569"/>
      <c r="NZ613" s="569"/>
      <c r="OA613" s="569"/>
      <c r="OB613" s="569"/>
      <c r="OC613" s="569"/>
      <c r="OD613" s="569"/>
      <c r="OE613" s="569"/>
      <c r="OF613" s="569"/>
      <c r="OG613" s="569"/>
      <c r="OH613" s="569"/>
      <c r="OI613" s="569"/>
      <c r="OJ613" s="569"/>
      <c r="OK613" s="569"/>
      <c r="OL613" s="569"/>
      <c r="OM613" s="569"/>
      <c r="ON613" s="569"/>
      <c r="OO613" s="569"/>
      <c r="OP613" s="569"/>
      <c r="OQ613" s="569"/>
      <c r="OR613" s="569"/>
      <c r="OS613" s="569"/>
      <c r="OT613" s="569"/>
      <c r="OU613" s="569"/>
      <c r="OV613" s="569"/>
      <c r="OW613" s="569"/>
      <c r="OX613" s="569"/>
      <c r="OY613" s="569"/>
      <c r="OZ613" s="569"/>
      <c r="PA613" s="569"/>
      <c r="PB613" s="569"/>
      <c r="PC613" s="569"/>
      <c r="PD613" s="569"/>
      <c r="PE613" s="569"/>
      <c r="PF613" s="569"/>
      <c r="PG613" s="569"/>
      <c r="PH613" s="569"/>
      <c r="PI613" s="569"/>
      <c r="PJ613" s="569"/>
      <c r="PK613" s="569"/>
      <c r="PL613" s="569"/>
      <c r="PM613" s="569"/>
      <c r="PN613" s="569"/>
      <c r="PO613" s="569"/>
      <c r="PP613" s="569"/>
      <c r="PQ613" s="569"/>
      <c r="PR613" s="569"/>
      <c r="PS613" s="569"/>
      <c r="PT613" s="569"/>
      <c r="PU613" s="569"/>
      <c r="PV613" s="569"/>
      <c r="PW613" s="569"/>
      <c r="PX613" s="569"/>
      <c r="PY613" s="569"/>
      <c r="PZ613" s="569"/>
      <c r="QA613" s="569"/>
      <c r="QB613" s="569"/>
      <c r="QC613" s="569"/>
      <c r="QD613" s="569"/>
      <c r="QE613" s="569"/>
      <c r="QF613" s="569"/>
      <c r="QG613" s="569"/>
      <c r="QH613" s="569"/>
      <c r="QI613" s="569"/>
      <c r="QJ613" s="569"/>
      <c r="QK613" s="569"/>
      <c r="QL613" s="569"/>
    </row>
    <row r="614" spans="1:454" ht="75">
      <c r="B614" s="568"/>
      <c r="C614" s="568"/>
      <c r="D614" s="568"/>
      <c r="E614" s="568"/>
      <c r="F614" s="568"/>
      <c r="G614" s="568"/>
      <c r="H614" s="563" t="str">
        <f>'matrik MISI 1'!N7</f>
        <v xml:space="preserve">Besaran Kelompok Tani yang menerapkan teknologi dan informasi pertanian dan perkebunan melalui sekolah lapang </v>
      </c>
      <c r="I614" s="563" t="str">
        <f>'matrik MISI 1'!O7</f>
        <v>Kelompok</v>
      </c>
      <c r="J614" s="563">
        <f>'matrik MISI 1'!P7</f>
        <v>500</v>
      </c>
      <c r="K614" s="563">
        <f>'matrik MISI 1'!Q7</f>
        <v>600</v>
      </c>
      <c r="L614" s="563">
        <f>'matrik MISI 1'!R7</f>
        <v>720</v>
      </c>
      <c r="M614" s="604"/>
      <c r="N614" s="563">
        <f>'matrik MISI 1'!S7</f>
        <v>850</v>
      </c>
      <c r="O614" s="564"/>
      <c r="P614" s="563">
        <f>'matrik MISI 1'!T7</f>
        <v>990</v>
      </c>
      <c r="Q614" s="564"/>
      <c r="R614" s="563">
        <f>'matrik MISI 1'!U7</f>
        <v>1140</v>
      </c>
      <c r="S614" s="564"/>
      <c r="T614" s="563">
        <f>'matrik MISI 1'!V7</f>
        <v>1300</v>
      </c>
      <c r="U614" s="564"/>
      <c r="V614" s="563">
        <f>'matrik MISI 1'!W7</f>
        <v>1300</v>
      </c>
      <c r="W614" s="564"/>
      <c r="X614" s="563" t="str">
        <f>'matrik MISI 1'!X7</f>
        <v>DINTANBUNHUT</v>
      </c>
      <c r="Y614" s="563" t="str">
        <f>'matrik MISI 1'!Y7</f>
        <v>Cukup Jelas</v>
      </c>
      <c r="Z614" s="563" t="str">
        <f>'matrik MISI 1'!Z7</f>
        <v>Penyelenggaraan SLGHP, SLGAP, SL sayuran ekspor, SLPTT Padi, SL SRI, SLPHT, SL iklim, SLPPHP</v>
      </c>
    </row>
    <row r="615" spans="1:454" ht="45">
      <c r="G615" s="563"/>
      <c r="H615" s="563" t="str">
        <f>'matrik MISI 1'!N8</f>
        <v>Besaran Penerapan Pertanian dan Perkebunan Mengarah Organik untuk Komoditas Utama</v>
      </c>
      <c r="I615" s="563" t="str">
        <f>'matrik MISI 1'!O8</f>
        <v>Ha</v>
      </c>
      <c r="J615" s="563">
        <f>'matrik MISI 1'!P8</f>
        <v>200</v>
      </c>
      <c r="K615" s="563">
        <f>'matrik MISI 1'!Q8</f>
        <v>300</v>
      </c>
      <c r="L615" s="563">
        <f>'matrik MISI 1'!R8</f>
        <v>400</v>
      </c>
      <c r="M615" s="604"/>
      <c r="N615" s="563">
        <f>'matrik MISI 1'!S8</f>
        <v>550</v>
      </c>
      <c r="O615" s="564"/>
      <c r="P615" s="563">
        <f>'matrik MISI 1'!T8</f>
        <v>750</v>
      </c>
      <c r="Q615" s="564"/>
      <c r="R615" s="563">
        <f>'matrik MISI 1'!U8</f>
        <v>1000</v>
      </c>
      <c r="S615" s="564"/>
      <c r="T615" s="563">
        <f>'matrik MISI 1'!V8</f>
        <v>1300</v>
      </c>
      <c r="U615" s="564"/>
      <c r="V615" s="563">
        <f>'matrik MISI 1'!W8</f>
        <v>1300</v>
      </c>
      <c r="W615" s="564"/>
      <c r="X615" s="563" t="str">
        <f>'matrik MISI 1'!X8</f>
        <v>DINTANBUNHUT</v>
      </c>
      <c r="Y615" s="563" t="str">
        <f>'matrik MISI 1'!Y8</f>
        <v>Cukup Jelas</v>
      </c>
      <c r="Z615" s="563" t="str">
        <f>'matrik MISI 1'!Z8</f>
        <v>Luas baku lahan yang siap digunakan untuk pertanian organik untuk komoditas padi, jagung dan kopi</v>
      </c>
    </row>
    <row r="616" spans="1:454" ht="45">
      <c r="G616" s="563"/>
      <c r="H616" s="563" t="str">
        <f>'matrik MISI 1'!N9</f>
        <v>Besaran Peningkatan Jumlah Alat Mesin Pertanian dan Perkebunan</v>
      </c>
      <c r="I616" s="563" t="str">
        <f>'matrik MISI 1'!O9</f>
        <v>Unit</v>
      </c>
      <c r="J616" s="563">
        <f>'matrik MISI 1'!P9</f>
        <v>882</v>
      </c>
      <c r="K616" s="563">
        <f>'matrik MISI 1'!Q9</f>
        <v>1022</v>
      </c>
      <c r="L616" s="563">
        <f>'matrik MISI 1'!R9</f>
        <v>1072</v>
      </c>
      <c r="M616" s="604"/>
      <c r="N616" s="563">
        <f>'matrik MISI 1'!S9</f>
        <v>1122</v>
      </c>
      <c r="O616" s="564"/>
      <c r="P616" s="563">
        <f>'matrik MISI 1'!T9</f>
        <v>1172</v>
      </c>
      <c r="Q616" s="564"/>
      <c r="R616" s="563">
        <f>'matrik MISI 1'!U9</f>
        <v>1222</v>
      </c>
      <c r="S616" s="564"/>
      <c r="T616" s="563">
        <f>'matrik MISI 1'!V9</f>
        <v>1272</v>
      </c>
      <c r="U616" s="564"/>
      <c r="V616" s="563">
        <f>'matrik MISI 1'!W9</f>
        <v>1272</v>
      </c>
      <c r="W616" s="564"/>
      <c r="X616" s="563" t="str">
        <f>'matrik MISI 1'!X9</f>
        <v>DINTANBUNHUT</v>
      </c>
      <c r="Y616" s="563" t="str">
        <f>'matrik MISI 1'!Y9</f>
        <v>Cukup Jelas</v>
      </c>
      <c r="Z616" s="563" t="str">
        <f>'matrik MISI 1'!Z9</f>
        <v xml:space="preserve">*Jenis alat mesin pertanian perkebunan yang dihitung : handtraktor, kultivator, pompa air, pemipil jagung, pengupas kopi, perajang tembakau </v>
      </c>
    </row>
    <row r="617" spans="1:454" ht="45">
      <c r="G617" s="563"/>
      <c r="H617" s="563" t="str">
        <f>'matrik MISI 1'!N10</f>
        <v>Angka Kelahiran anak sapi (pedet)  melalui Inseminasi Buatan</v>
      </c>
      <c r="I617" s="563" t="str">
        <f>'matrik MISI 1'!O10</f>
        <v>%</v>
      </c>
      <c r="J617" s="563" t="str">
        <f>'matrik MISI 1'!P10</f>
        <v>59,76</v>
      </c>
      <c r="K617" s="563">
        <f>'matrik MISI 1'!Q10</f>
        <v>60</v>
      </c>
      <c r="L617" s="563">
        <f>'matrik MISI 1'!R10</f>
        <v>62</v>
      </c>
      <c r="M617" s="604"/>
      <c r="N617" s="563">
        <f>'matrik MISI 1'!S10</f>
        <v>64</v>
      </c>
      <c r="O617" s="564"/>
      <c r="P617" s="563">
        <f>'matrik MISI 1'!T10</f>
        <v>66</v>
      </c>
      <c r="Q617" s="564"/>
      <c r="R617" s="563">
        <f>'matrik MISI 1'!U10</f>
        <v>68</v>
      </c>
      <c r="S617" s="564"/>
      <c r="T617" s="563">
        <f>'matrik MISI 1'!V10</f>
        <v>70</v>
      </c>
      <c r="U617" s="564"/>
      <c r="V617" s="563">
        <f>'matrik MISI 1'!W10</f>
        <v>70</v>
      </c>
      <c r="W617" s="564"/>
      <c r="X617" s="563" t="str">
        <f>'matrik MISI 1'!X10</f>
        <v>DINAKAN</v>
      </c>
      <c r="Y617" s="563" t="str">
        <f>'matrik MISI 1'!Y10</f>
        <v>Jumlah kelahiran anak sapi (pedet) dibagi jumlah penggunaan straw  kali 100%</v>
      </c>
      <c r="Z617" s="563">
        <f>'matrik MISI 1'!Z10</f>
        <v>0</v>
      </c>
    </row>
    <row r="618" spans="1:454" ht="45">
      <c r="G618" s="563"/>
      <c r="H618" s="563" t="str">
        <f>'matrik MISI 1'!N11</f>
        <v>Persentase Peningkatan Penggunaan Bibit dan benih unggul</v>
      </c>
      <c r="I618" s="563" t="str">
        <f>'matrik MISI 1'!O11</f>
        <v>%</v>
      </c>
      <c r="J618" s="563">
        <f>'matrik MISI 1'!P11</f>
        <v>55</v>
      </c>
      <c r="K618" s="563">
        <f>'matrik MISI 1'!Q11</f>
        <v>60</v>
      </c>
      <c r="L618" s="563">
        <f>'matrik MISI 1'!R11</f>
        <v>60</v>
      </c>
      <c r="M618" s="604"/>
      <c r="N618" s="563">
        <f>'matrik MISI 1'!S11</f>
        <v>65</v>
      </c>
      <c r="O618" s="564"/>
      <c r="P618" s="563">
        <f>'matrik MISI 1'!T11</f>
        <v>65</v>
      </c>
      <c r="Q618" s="564"/>
      <c r="R618" s="563">
        <f>'matrik MISI 1'!U11</f>
        <v>70</v>
      </c>
      <c r="S618" s="564"/>
      <c r="T618" s="563">
        <f>'matrik MISI 1'!V11</f>
        <v>70</v>
      </c>
      <c r="U618" s="564"/>
      <c r="V618" s="563">
        <f>'matrik MISI 1'!W11</f>
        <v>70</v>
      </c>
      <c r="W618" s="564"/>
      <c r="X618" s="563" t="str">
        <f>'matrik MISI 1'!X11</f>
        <v>DINTANBUNHUT</v>
      </c>
      <c r="Y618" s="563" t="str">
        <f>'matrik MISI 1'!Y11</f>
        <v>Luas Areal tanam komoditi yang menggunakan benih unggul dibagi total luas tanam komoditi kali 100%</v>
      </c>
      <c r="Z618" s="563" t="str">
        <f>'matrik MISI 1'!Z11</f>
        <v>komoditi padi, jagung, kopi, tembakau</v>
      </c>
    </row>
    <row r="619" spans="1:454" s="574" customFormat="1" ht="60">
      <c r="A619" s="569"/>
      <c r="B619" s="575"/>
      <c r="C619" s="576"/>
      <c r="D619" s="577" t="str">
        <f>'matrik MISI 1'!J12</f>
        <v>2.01</v>
      </c>
      <c r="E619" s="577" t="str">
        <f>'matrik MISI 1'!K12</f>
        <v>xx</v>
      </c>
      <c r="F619" s="577">
        <f>'matrik MISI 1'!L12</f>
        <v>17</v>
      </c>
      <c r="G619" s="577" t="str">
        <f>'matrik MISI 1'!M12</f>
        <v>Program Peningkatan Pemasaran hasil produksi pertanian/perkebunan</v>
      </c>
      <c r="H619" s="577"/>
      <c r="I619" s="577"/>
      <c r="J619" s="577"/>
      <c r="K619" s="577"/>
      <c r="L619" s="577"/>
      <c r="M619" s="578">
        <f>'jangan dihapus 2'!K498</f>
        <v>340000000</v>
      </c>
      <c r="N619" s="578"/>
      <c r="O619" s="578">
        <f>'jangan dihapus 2'!M498</f>
        <v>370000000</v>
      </c>
      <c r="P619" s="578"/>
      <c r="Q619" s="578">
        <f>'jangan dihapus 2'!O498</f>
        <v>405000000</v>
      </c>
      <c r="R619" s="578"/>
      <c r="S619" s="578">
        <f>'jangan dihapus 2'!Q498</f>
        <v>415000000</v>
      </c>
      <c r="T619" s="578"/>
      <c r="U619" s="578">
        <f>'jangan dihapus 2'!S498</f>
        <v>420000000</v>
      </c>
      <c r="V619" s="578"/>
      <c r="W619" s="578">
        <f>SUM(M619:U619)</f>
        <v>1950000000</v>
      </c>
      <c r="X619" s="577"/>
      <c r="Y619" s="577"/>
      <c r="Z619" s="577"/>
      <c r="AA619" s="569"/>
      <c r="AB619" s="569"/>
      <c r="AC619" s="569"/>
      <c r="AD619" s="569"/>
      <c r="AE619" s="569"/>
      <c r="AF619" s="569"/>
      <c r="AG619" s="569"/>
      <c r="AH619" s="569"/>
      <c r="AI619" s="569"/>
      <c r="AJ619" s="569"/>
      <c r="AK619" s="569"/>
      <c r="AL619" s="569"/>
      <c r="AM619" s="569"/>
      <c r="AN619" s="569"/>
      <c r="AO619" s="569"/>
      <c r="AP619" s="569"/>
      <c r="AQ619" s="569"/>
      <c r="AR619" s="569"/>
      <c r="AS619" s="569"/>
      <c r="AT619" s="569"/>
      <c r="AU619" s="569"/>
      <c r="AV619" s="569"/>
      <c r="AW619" s="569"/>
      <c r="AX619" s="569"/>
      <c r="AY619" s="569"/>
      <c r="AZ619" s="569"/>
      <c r="BA619" s="569"/>
      <c r="BB619" s="569"/>
      <c r="BC619" s="569"/>
      <c r="BD619" s="569"/>
      <c r="BE619" s="569"/>
      <c r="BF619" s="569"/>
      <c r="BG619" s="569"/>
      <c r="BH619" s="569"/>
      <c r="BI619" s="569"/>
      <c r="BJ619" s="569"/>
      <c r="BK619" s="569"/>
      <c r="BL619" s="569"/>
      <c r="BM619" s="569"/>
      <c r="BN619" s="569"/>
      <c r="BO619" s="569"/>
      <c r="BP619" s="569"/>
      <c r="BQ619" s="569"/>
      <c r="BR619" s="569"/>
      <c r="BS619" s="569"/>
      <c r="BT619" s="569"/>
      <c r="BU619" s="569"/>
      <c r="BV619" s="569"/>
      <c r="BW619" s="569"/>
      <c r="BX619" s="569"/>
      <c r="BY619" s="569"/>
      <c r="BZ619" s="569"/>
      <c r="CA619" s="569"/>
      <c r="CB619" s="569"/>
      <c r="CC619" s="569"/>
      <c r="CD619" s="569"/>
      <c r="CE619" s="569"/>
      <c r="CF619" s="569"/>
      <c r="CG619" s="569"/>
      <c r="CH619" s="569"/>
      <c r="CI619" s="569"/>
      <c r="CJ619" s="569"/>
      <c r="CK619" s="569"/>
      <c r="CL619" s="569"/>
      <c r="CM619" s="569"/>
      <c r="CN619" s="569"/>
      <c r="CO619" s="569"/>
      <c r="CP619" s="569"/>
      <c r="CQ619" s="569"/>
      <c r="CR619" s="569"/>
      <c r="CS619" s="569"/>
      <c r="CT619" s="569"/>
      <c r="CU619" s="569"/>
      <c r="CV619" s="569"/>
      <c r="CW619" s="569"/>
      <c r="CX619" s="569"/>
      <c r="CY619" s="569"/>
      <c r="CZ619" s="569"/>
      <c r="DA619" s="569"/>
      <c r="DB619" s="569"/>
      <c r="DC619" s="569"/>
      <c r="DD619" s="569"/>
      <c r="DE619" s="569"/>
      <c r="DF619" s="569"/>
      <c r="DG619" s="569"/>
      <c r="DH619" s="569"/>
      <c r="DI619" s="569"/>
      <c r="DJ619" s="569"/>
      <c r="DK619" s="569"/>
      <c r="DL619" s="569"/>
      <c r="DM619" s="569"/>
      <c r="DN619" s="569"/>
      <c r="DO619" s="569"/>
      <c r="DP619" s="569"/>
      <c r="DQ619" s="569"/>
      <c r="DR619" s="569"/>
      <c r="DS619" s="569"/>
      <c r="DT619" s="569"/>
      <c r="DU619" s="569"/>
      <c r="DV619" s="569"/>
      <c r="DW619" s="569"/>
      <c r="DX619" s="569"/>
      <c r="DY619" s="569"/>
      <c r="DZ619" s="569"/>
      <c r="EA619" s="569"/>
      <c r="EB619" s="569"/>
      <c r="EC619" s="569"/>
      <c r="ED619" s="569"/>
      <c r="EE619" s="569"/>
      <c r="EF619" s="569"/>
      <c r="EG619" s="569"/>
      <c r="EH619" s="569"/>
      <c r="EI619" s="569"/>
      <c r="EJ619" s="569"/>
      <c r="EK619" s="569"/>
      <c r="EL619" s="569"/>
      <c r="EM619" s="569"/>
      <c r="EN619" s="569"/>
      <c r="EO619" s="569"/>
      <c r="EP619" s="569"/>
      <c r="EQ619" s="569"/>
      <c r="ER619" s="569"/>
      <c r="ES619" s="569"/>
      <c r="ET619" s="569"/>
      <c r="EU619" s="569"/>
      <c r="EV619" s="569"/>
      <c r="EW619" s="569"/>
      <c r="EX619" s="569"/>
      <c r="EY619" s="569"/>
      <c r="EZ619" s="569"/>
      <c r="FA619" s="569"/>
      <c r="FB619" s="569"/>
      <c r="FC619" s="569"/>
      <c r="FD619" s="569"/>
      <c r="FE619" s="569"/>
      <c r="FF619" s="569"/>
      <c r="FG619" s="569"/>
      <c r="FH619" s="569"/>
      <c r="FI619" s="569"/>
      <c r="FJ619" s="569"/>
      <c r="FK619" s="569"/>
      <c r="FL619" s="569"/>
      <c r="FM619" s="569"/>
      <c r="FN619" s="569"/>
      <c r="FO619" s="569"/>
      <c r="FP619" s="569"/>
      <c r="FQ619" s="569"/>
      <c r="FR619" s="569"/>
      <c r="FS619" s="569"/>
      <c r="FT619" s="569"/>
      <c r="FU619" s="569"/>
      <c r="FV619" s="569"/>
      <c r="FW619" s="569"/>
      <c r="FX619" s="569"/>
      <c r="FY619" s="569"/>
      <c r="FZ619" s="569"/>
      <c r="GA619" s="569"/>
      <c r="GB619" s="569"/>
      <c r="GC619" s="569"/>
      <c r="GD619" s="569"/>
      <c r="GE619" s="569"/>
      <c r="GF619" s="569"/>
      <c r="GG619" s="569"/>
      <c r="GH619" s="569"/>
      <c r="GI619" s="569"/>
      <c r="GJ619" s="569"/>
      <c r="GK619" s="569"/>
      <c r="GL619" s="569"/>
      <c r="GM619" s="569"/>
      <c r="GN619" s="569"/>
      <c r="GO619" s="569"/>
      <c r="GP619" s="569"/>
      <c r="GQ619" s="569"/>
      <c r="GR619" s="569"/>
      <c r="GS619" s="569"/>
      <c r="GT619" s="569"/>
      <c r="GU619" s="569"/>
      <c r="GV619" s="569"/>
      <c r="GW619" s="569"/>
      <c r="GX619" s="569"/>
      <c r="GY619" s="569"/>
      <c r="GZ619" s="569"/>
      <c r="HA619" s="569"/>
      <c r="HB619" s="569"/>
      <c r="HC619" s="569"/>
      <c r="HD619" s="569"/>
      <c r="HE619" s="569"/>
      <c r="HF619" s="569"/>
      <c r="HG619" s="569"/>
      <c r="HH619" s="569"/>
      <c r="HI619" s="569"/>
      <c r="HJ619" s="569"/>
      <c r="HK619" s="569"/>
      <c r="HL619" s="569"/>
      <c r="HM619" s="569"/>
      <c r="HN619" s="569"/>
      <c r="HO619" s="569"/>
      <c r="HP619" s="569"/>
      <c r="HQ619" s="569"/>
      <c r="HR619" s="569"/>
      <c r="HS619" s="569"/>
      <c r="HT619" s="569"/>
      <c r="HU619" s="569"/>
      <c r="HV619" s="569"/>
      <c r="HW619" s="569"/>
      <c r="HX619" s="569"/>
      <c r="HY619" s="569"/>
      <c r="HZ619" s="569"/>
      <c r="IA619" s="569"/>
      <c r="IB619" s="569"/>
      <c r="IC619" s="569"/>
      <c r="ID619" s="569"/>
      <c r="IE619" s="569"/>
      <c r="IF619" s="569"/>
      <c r="IG619" s="569"/>
      <c r="IH619" s="569"/>
      <c r="II619" s="569"/>
      <c r="IJ619" s="569"/>
      <c r="IK619" s="569"/>
      <c r="IL619" s="569"/>
      <c r="IM619" s="569"/>
      <c r="IN619" s="569"/>
      <c r="IO619" s="569"/>
      <c r="IP619" s="569"/>
      <c r="IQ619" s="569"/>
      <c r="IR619" s="569"/>
      <c r="IS619" s="569"/>
      <c r="IT619" s="569"/>
      <c r="IU619" s="569"/>
      <c r="IV619" s="569"/>
      <c r="IW619" s="569"/>
      <c r="IX619" s="569"/>
      <c r="IY619" s="569"/>
      <c r="IZ619" s="569"/>
      <c r="JA619" s="569"/>
      <c r="JB619" s="569"/>
      <c r="JC619" s="569"/>
      <c r="JD619" s="569"/>
      <c r="JE619" s="569"/>
      <c r="JF619" s="569"/>
      <c r="JG619" s="569"/>
      <c r="JH619" s="569"/>
      <c r="JI619" s="569"/>
      <c r="JJ619" s="569"/>
      <c r="JK619" s="569"/>
      <c r="JL619" s="569"/>
      <c r="JM619" s="569"/>
      <c r="JN619" s="569"/>
      <c r="JO619" s="569"/>
      <c r="JP619" s="569"/>
      <c r="JQ619" s="569"/>
      <c r="JR619" s="569"/>
      <c r="JS619" s="569"/>
      <c r="JT619" s="569"/>
      <c r="JU619" s="569"/>
      <c r="JV619" s="569"/>
      <c r="JW619" s="569"/>
      <c r="JX619" s="569"/>
      <c r="JY619" s="569"/>
      <c r="JZ619" s="569"/>
      <c r="KA619" s="569"/>
      <c r="KB619" s="569"/>
      <c r="KC619" s="569"/>
      <c r="KD619" s="569"/>
      <c r="KE619" s="569"/>
      <c r="KF619" s="569"/>
      <c r="KG619" s="569"/>
      <c r="KH619" s="569"/>
      <c r="KI619" s="569"/>
      <c r="KJ619" s="569"/>
      <c r="KK619" s="569"/>
      <c r="KL619" s="569"/>
      <c r="KM619" s="569"/>
      <c r="KN619" s="569"/>
      <c r="KO619" s="569"/>
      <c r="KP619" s="569"/>
      <c r="KQ619" s="569"/>
      <c r="KR619" s="569"/>
      <c r="KS619" s="569"/>
      <c r="KT619" s="569"/>
      <c r="KU619" s="569"/>
      <c r="KV619" s="569"/>
      <c r="KW619" s="569"/>
      <c r="KX619" s="569"/>
      <c r="KY619" s="569"/>
      <c r="KZ619" s="569"/>
      <c r="LA619" s="569"/>
      <c r="LB619" s="569"/>
      <c r="LC619" s="569"/>
      <c r="LD619" s="569"/>
      <c r="LE619" s="569"/>
      <c r="LF619" s="569"/>
      <c r="LG619" s="569"/>
      <c r="LH619" s="569"/>
      <c r="LI619" s="569"/>
      <c r="LJ619" s="569"/>
      <c r="LK619" s="569"/>
      <c r="LL619" s="569"/>
      <c r="LM619" s="569"/>
      <c r="LN619" s="569"/>
      <c r="LO619" s="569"/>
      <c r="LP619" s="569"/>
      <c r="LQ619" s="569"/>
      <c r="LR619" s="569"/>
      <c r="LS619" s="569"/>
      <c r="LT619" s="569"/>
      <c r="LU619" s="569"/>
      <c r="LV619" s="569"/>
      <c r="LW619" s="569"/>
      <c r="LX619" s="569"/>
      <c r="LY619" s="569"/>
      <c r="LZ619" s="569"/>
      <c r="MA619" s="569"/>
      <c r="MB619" s="569"/>
      <c r="MC619" s="569"/>
      <c r="MD619" s="569"/>
      <c r="ME619" s="569"/>
      <c r="MF619" s="569"/>
      <c r="MG619" s="569"/>
      <c r="MH619" s="569"/>
      <c r="MI619" s="569"/>
      <c r="MJ619" s="569"/>
      <c r="MK619" s="569"/>
      <c r="ML619" s="569"/>
      <c r="MM619" s="569"/>
      <c r="MN619" s="569"/>
      <c r="MO619" s="569"/>
      <c r="MP619" s="569"/>
      <c r="MQ619" s="569"/>
      <c r="MR619" s="569"/>
      <c r="MS619" s="569"/>
      <c r="MT619" s="569"/>
      <c r="MU619" s="569"/>
      <c r="MV619" s="569"/>
      <c r="MW619" s="569"/>
      <c r="MX619" s="569"/>
      <c r="MY619" s="569"/>
      <c r="MZ619" s="569"/>
      <c r="NA619" s="569"/>
      <c r="NB619" s="569"/>
      <c r="NC619" s="569"/>
      <c r="ND619" s="569"/>
      <c r="NE619" s="569"/>
      <c r="NF619" s="569"/>
      <c r="NG619" s="569"/>
      <c r="NH619" s="569"/>
      <c r="NI619" s="569"/>
      <c r="NJ619" s="569"/>
      <c r="NK619" s="569"/>
      <c r="NL619" s="569"/>
      <c r="NM619" s="569"/>
      <c r="NN619" s="569"/>
      <c r="NO619" s="569"/>
      <c r="NP619" s="569"/>
      <c r="NQ619" s="569"/>
      <c r="NR619" s="569"/>
      <c r="NS619" s="569"/>
      <c r="NT619" s="569"/>
      <c r="NU619" s="569"/>
      <c r="NV619" s="569"/>
      <c r="NW619" s="569"/>
      <c r="NX619" s="569"/>
      <c r="NY619" s="569"/>
      <c r="NZ619" s="569"/>
      <c r="OA619" s="569"/>
      <c r="OB619" s="569"/>
      <c r="OC619" s="569"/>
      <c r="OD619" s="569"/>
      <c r="OE619" s="569"/>
      <c r="OF619" s="569"/>
      <c r="OG619" s="569"/>
      <c r="OH619" s="569"/>
      <c r="OI619" s="569"/>
      <c r="OJ619" s="569"/>
      <c r="OK619" s="569"/>
      <c r="OL619" s="569"/>
      <c r="OM619" s="569"/>
      <c r="ON619" s="569"/>
      <c r="OO619" s="569"/>
      <c r="OP619" s="569"/>
      <c r="OQ619" s="569"/>
      <c r="OR619" s="569"/>
      <c r="OS619" s="569"/>
      <c r="OT619" s="569"/>
      <c r="OU619" s="569"/>
      <c r="OV619" s="569"/>
      <c r="OW619" s="569"/>
      <c r="OX619" s="569"/>
      <c r="OY619" s="569"/>
      <c r="OZ619" s="569"/>
      <c r="PA619" s="569"/>
      <c r="PB619" s="569"/>
      <c r="PC619" s="569"/>
      <c r="PD619" s="569"/>
      <c r="PE619" s="569"/>
      <c r="PF619" s="569"/>
      <c r="PG619" s="569"/>
      <c r="PH619" s="569"/>
      <c r="PI619" s="569"/>
      <c r="PJ619" s="569"/>
      <c r="PK619" s="569"/>
      <c r="PL619" s="569"/>
      <c r="PM619" s="569"/>
      <c r="PN619" s="569"/>
      <c r="PO619" s="569"/>
      <c r="PP619" s="569"/>
      <c r="PQ619" s="569"/>
      <c r="PR619" s="569"/>
      <c r="PS619" s="569"/>
      <c r="PT619" s="569"/>
      <c r="PU619" s="569"/>
      <c r="PV619" s="569"/>
      <c r="PW619" s="569"/>
      <c r="PX619" s="569"/>
      <c r="PY619" s="569"/>
      <c r="PZ619" s="569"/>
      <c r="QA619" s="569"/>
      <c r="QB619" s="569"/>
      <c r="QC619" s="569"/>
      <c r="QD619" s="569"/>
      <c r="QE619" s="569"/>
      <c r="QF619" s="569"/>
      <c r="QG619" s="569"/>
      <c r="QH619" s="569"/>
      <c r="QI619" s="569"/>
      <c r="QJ619" s="569"/>
      <c r="QK619" s="569"/>
      <c r="QL619" s="569"/>
    </row>
    <row r="620" spans="1:454" s="569" customFormat="1" ht="30">
      <c r="B620" s="267"/>
      <c r="C620" s="561"/>
      <c r="H620" s="565" t="str">
        <f>'matrik MISI 1'!N12</f>
        <v>Besaran Peningkatan Pemasaran Hasil Pertanian</v>
      </c>
      <c r="I620" s="565" t="str">
        <f>'matrik MISI 1'!O12</f>
        <v>Kelompok</v>
      </c>
      <c r="J620" s="565">
        <f>'matrik MISI 1'!P12</f>
        <v>1</v>
      </c>
      <c r="K620" s="565">
        <f>'matrik MISI 1'!Q12</f>
        <v>2</v>
      </c>
      <c r="L620" s="565">
        <f>'matrik MISI 1'!R12</f>
        <v>4</v>
      </c>
      <c r="M620" s="677"/>
      <c r="N620" s="565">
        <f>'matrik MISI 1'!S12</f>
        <v>6</v>
      </c>
      <c r="O620" s="565"/>
      <c r="P620" s="565">
        <f>'matrik MISI 1'!T12</f>
        <v>8</v>
      </c>
      <c r="Q620" s="565"/>
      <c r="R620" s="565">
        <f>'matrik MISI 1'!U12</f>
        <v>10</v>
      </c>
      <c r="S620" s="565"/>
      <c r="T620" s="565">
        <f>'matrik MISI 1'!V12</f>
        <v>12</v>
      </c>
      <c r="U620" s="565"/>
      <c r="V620" s="565">
        <f>'matrik MISI 1'!W12</f>
        <v>12</v>
      </c>
      <c r="W620" s="565"/>
      <c r="X620" s="565" t="str">
        <f>'matrik MISI 1'!X12</f>
        <v>DINTANBUNHUT</v>
      </c>
      <c r="Y620" s="565">
        <f>'matrik MISI 1'!Y12</f>
        <v>0</v>
      </c>
      <c r="Z620" s="565" t="str">
        <f>'matrik MISI 1'!Z12</f>
        <v xml:space="preserve">Komoditas unggulan :  buncis, cabai, sayuran daun, labu siam, kopi, jahe, salak; </v>
      </c>
    </row>
    <row r="621" spans="1:454" s="574" customFormat="1" ht="45">
      <c r="A621" s="569"/>
      <c r="B621" s="575"/>
      <c r="C621" s="576"/>
      <c r="D621" s="577" t="str">
        <f>'matrik MISI 1'!J13</f>
        <v>2.01</v>
      </c>
      <c r="E621" s="577" t="str">
        <f>'matrik MISI 1'!K13</f>
        <v>xx</v>
      </c>
      <c r="F621" s="577">
        <f>'matrik MISI 1'!L13</f>
        <v>19</v>
      </c>
      <c r="G621" s="577" t="str">
        <f>'matrik MISI 1'!M13</f>
        <v>Program peningkatan produksi pertanian/perkebunan</v>
      </c>
      <c r="H621" s="577"/>
      <c r="I621" s="577"/>
      <c r="J621" s="577"/>
      <c r="K621" s="577"/>
      <c r="L621" s="577"/>
      <c r="M621" s="578">
        <f>'jangan dihapus 2'!K553</f>
        <v>150000000</v>
      </c>
      <c r="N621" s="578"/>
      <c r="O621" s="578">
        <f>'jangan dihapus 2'!M553</f>
        <v>150000000</v>
      </c>
      <c r="P621" s="578"/>
      <c r="Q621" s="578">
        <f>'jangan dihapus 2'!O553</f>
        <v>150000000</v>
      </c>
      <c r="R621" s="578"/>
      <c r="S621" s="578">
        <f>'jangan dihapus 2'!Q553</f>
        <v>150000000</v>
      </c>
      <c r="T621" s="578"/>
      <c r="U621" s="578">
        <f>'jangan dihapus 2'!S553</f>
        <v>150000000</v>
      </c>
      <c r="V621" s="577"/>
      <c r="W621" s="578">
        <f>SUM(M621:U621)</f>
        <v>750000000</v>
      </c>
      <c r="X621" s="577"/>
      <c r="Y621" s="577"/>
      <c r="Z621" s="577"/>
      <c r="AA621" s="569"/>
      <c r="AB621" s="569"/>
      <c r="AC621" s="569"/>
      <c r="AD621" s="569"/>
      <c r="AE621" s="569"/>
      <c r="AF621" s="569"/>
      <c r="AG621" s="569"/>
      <c r="AH621" s="569"/>
      <c r="AI621" s="569"/>
      <c r="AJ621" s="569"/>
      <c r="AK621" s="569"/>
      <c r="AL621" s="569"/>
      <c r="AM621" s="569"/>
      <c r="AN621" s="569"/>
      <c r="AO621" s="569"/>
      <c r="AP621" s="569"/>
      <c r="AQ621" s="569"/>
      <c r="AR621" s="569"/>
      <c r="AS621" s="569"/>
      <c r="AT621" s="569"/>
      <c r="AU621" s="569"/>
      <c r="AV621" s="569"/>
      <c r="AW621" s="569"/>
      <c r="AX621" s="569"/>
      <c r="AY621" s="569"/>
      <c r="AZ621" s="569"/>
      <c r="BA621" s="569"/>
      <c r="BB621" s="569"/>
      <c r="BC621" s="569"/>
      <c r="BD621" s="569"/>
      <c r="BE621" s="569"/>
      <c r="BF621" s="569"/>
      <c r="BG621" s="569"/>
      <c r="BH621" s="569"/>
      <c r="BI621" s="569"/>
      <c r="BJ621" s="569"/>
      <c r="BK621" s="569"/>
      <c r="BL621" s="569"/>
      <c r="BM621" s="569"/>
      <c r="BN621" s="569"/>
      <c r="BO621" s="569"/>
      <c r="BP621" s="569"/>
      <c r="BQ621" s="569"/>
      <c r="BR621" s="569"/>
      <c r="BS621" s="569"/>
      <c r="BT621" s="569"/>
      <c r="BU621" s="569"/>
      <c r="BV621" s="569"/>
      <c r="BW621" s="569"/>
      <c r="BX621" s="569"/>
      <c r="BY621" s="569"/>
      <c r="BZ621" s="569"/>
      <c r="CA621" s="569"/>
      <c r="CB621" s="569"/>
      <c r="CC621" s="569"/>
      <c r="CD621" s="569"/>
      <c r="CE621" s="569"/>
      <c r="CF621" s="569"/>
      <c r="CG621" s="569"/>
      <c r="CH621" s="569"/>
      <c r="CI621" s="569"/>
      <c r="CJ621" s="569"/>
      <c r="CK621" s="569"/>
      <c r="CL621" s="569"/>
      <c r="CM621" s="569"/>
      <c r="CN621" s="569"/>
      <c r="CO621" s="569"/>
      <c r="CP621" s="569"/>
      <c r="CQ621" s="569"/>
      <c r="CR621" s="569"/>
      <c r="CS621" s="569"/>
      <c r="CT621" s="569"/>
      <c r="CU621" s="569"/>
      <c r="CV621" s="569"/>
      <c r="CW621" s="569"/>
      <c r="CX621" s="569"/>
      <c r="CY621" s="569"/>
      <c r="CZ621" s="569"/>
      <c r="DA621" s="569"/>
      <c r="DB621" s="569"/>
      <c r="DC621" s="569"/>
      <c r="DD621" s="569"/>
      <c r="DE621" s="569"/>
      <c r="DF621" s="569"/>
      <c r="DG621" s="569"/>
      <c r="DH621" s="569"/>
      <c r="DI621" s="569"/>
      <c r="DJ621" s="569"/>
      <c r="DK621" s="569"/>
      <c r="DL621" s="569"/>
      <c r="DM621" s="569"/>
      <c r="DN621" s="569"/>
      <c r="DO621" s="569"/>
      <c r="DP621" s="569"/>
      <c r="DQ621" s="569"/>
      <c r="DR621" s="569"/>
      <c r="DS621" s="569"/>
      <c r="DT621" s="569"/>
      <c r="DU621" s="569"/>
      <c r="DV621" s="569"/>
      <c r="DW621" s="569"/>
      <c r="DX621" s="569"/>
      <c r="DY621" s="569"/>
      <c r="DZ621" s="569"/>
      <c r="EA621" s="569"/>
      <c r="EB621" s="569"/>
      <c r="EC621" s="569"/>
      <c r="ED621" s="569"/>
      <c r="EE621" s="569"/>
      <c r="EF621" s="569"/>
      <c r="EG621" s="569"/>
      <c r="EH621" s="569"/>
      <c r="EI621" s="569"/>
      <c r="EJ621" s="569"/>
      <c r="EK621" s="569"/>
      <c r="EL621" s="569"/>
      <c r="EM621" s="569"/>
      <c r="EN621" s="569"/>
      <c r="EO621" s="569"/>
      <c r="EP621" s="569"/>
      <c r="EQ621" s="569"/>
      <c r="ER621" s="569"/>
      <c r="ES621" s="569"/>
      <c r="ET621" s="569"/>
      <c r="EU621" s="569"/>
      <c r="EV621" s="569"/>
      <c r="EW621" s="569"/>
      <c r="EX621" s="569"/>
      <c r="EY621" s="569"/>
      <c r="EZ621" s="569"/>
      <c r="FA621" s="569"/>
      <c r="FB621" s="569"/>
      <c r="FC621" s="569"/>
      <c r="FD621" s="569"/>
      <c r="FE621" s="569"/>
      <c r="FF621" s="569"/>
      <c r="FG621" s="569"/>
      <c r="FH621" s="569"/>
      <c r="FI621" s="569"/>
      <c r="FJ621" s="569"/>
      <c r="FK621" s="569"/>
      <c r="FL621" s="569"/>
      <c r="FM621" s="569"/>
      <c r="FN621" s="569"/>
      <c r="FO621" s="569"/>
      <c r="FP621" s="569"/>
      <c r="FQ621" s="569"/>
      <c r="FR621" s="569"/>
      <c r="FS621" s="569"/>
      <c r="FT621" s="569"/>
      <c r="FU621" s="569"/>
      <c r="FV621" s="569"/>
      <c r="FW621" s="569"/>
      <c r="FX621" s="569"/>
      <c r="FY621" s="569"/>
      <c r="FZ621" s="569"/>
      <c r="GA621" s="569"/>
      <c r="GB621" s="569"/>
      <c r="GC621" s="569"/>
      <c r="GD621" s="569"/>
      <c r="GE621" s="569"/>
      <c r="GF621" s="569"/>
      <c r="GG621" s="569"/>
      <c r="GH621" s="569"/>
      <c r="GI621" s="569"/>
      <c r="GJ621" s="569"/>
      <c r="GK621" s="569"/>
      <c r="GL621" s="569"/>
      <c r="GM621" s="569"/>
      <c r="GN621" s="569"/>
      <c r="GO621" s="569"/>
      <c r="GP621" s="569"/>
      <c r="GQ621" s="569"/>
      <c r="GR621" s="569"/>
      <c r="GS621" s="569"/>
      <c r="GT621" s="569"/>
      <c r="GU621" s="569"/>
      <c r="GV621" s="569"/>
      <c r="GW621" s="569"/>
      <c r="GX621" s="569"/>
      <c r="GY621" s="569"/>
      <c r="GZ621" s="569"/>
      <c r="HA621" s="569"/>
      <c r="HB621" s="569"/>
      <c r="HC621" s="569"/>
      <c r="HD621" s="569"/>
      <c r="HE621" s="569"/>
      <c r="HF621" s="569"/>
      <c r="HG621" s="569"/>
      <c r="HH621" s="569"/>
      <c r="HI621" s="569"/>
      <c r="HJ621" s="569"/>
      <c r="HK621" s="569"/>
      <c r="HL621" s="569"/>
      <c r="HM621" s="569"/>
      <c r="HN621" s="569"/>
      <c r="HO621" s="569"/>
      <c r="HP621" s="569"/>
      <c r="HQ621" s="569"/>
      <c r="HR621" s="569"/>
      <c r="HS621" s="569"/>
      <c r="HT621" s="569"/>
      <c r="HU621" s="569"/>
      <c r="HV621" s="569"/>
      <c r="HW621" s="569"/>
      <c r="HX621" s="569"/>
      <c r="HY621" s="569"/>
      <c r="HZ621" s="569"/>
      <c r="IA621" s="569"/>
      <c r="IB621" s="569"/>
      <c r="IC621" s="569"/>
      <c r="ID621" s="569"/>
      <c r="IE621" s="569"/>
      <c r="IF621" s="569"/>
      <c r="IG621" s="569"/>
      <c r="IH621" s="569"/>
      <c r="II621" s="569"/>
      <c r="IJ621" s="569"/>
      <c r="IK621" s="569"/>
      <c r="IL621" s="569"/>
      <c r="IM621" s="569"/>
      <c r="IN621" s="569"/>
      <c r="IO621" s="569"/>
      <c r="IP621" s="569"/>
      <c r="IQ621" s="569"/>
      <c r="IR621" s="569"/>
      <c r="IS621" s="569"/>
      <c r="IT621" s="569"/>
      <c r="IU621" s="569"/>
      <c r="IV621" s="569"/>
      <c r="IW621" s="569"/>
      <c r="IX621" s="569"/>
      <c r="IY621" s="569"/>
      <c r="IZ621" s="569"/>
      <c r="JA621" s="569"/>
      <c r="JB621" s="569"/>
      <c r="JC621" s="569"/>
      <c r="JD621" s="569"/>
      <c r="JE621" s="569"/>
      <c r="JF621" s="569"/>
      <c r="JG621" s="569"/>
      <c r="JH621" s="569"/>
      <c r="JI621" s="569"/>
      <c r="JJ621" s="569"/>
      <c r="JK621" s="569"/>
      <c r="JL621" s="569"/>
      <c r="JM621" s="569"/>
      <c r="JN621" s="569"/>
      <c r="JO621" s="569"/>
      <c r="JP621" s="569"/>
      <c r="JQ621" s="569"/>
      <c r="JR621" s="569"/>
      <c r="JS621" s="569"/>
      <c r="JT621" s="569"/>
      <c r="JU621" s="569"/>
      <c r="JV621" s="569"/>
      <c r="JW621" s="569"/>
      <c r="JX621" s="569"/>
      <c r="JY621" s="569"/>
      <c r="JZ621" s="569"/>
      <c r="KA621" s="569"/>
      <c r="KB621" s="569"/>
      <c r="KC621" s="569"/>
      <c r="KD621" s="569"/>
      <c r="KE621" s="569"/>
      <c r="KF621" s="569"/>
      <c r="KG621" s="569"/>
      <c r="KH621" s="569"/>
      <c r="KI621" s="569"/>
      <c r="KJ621" s="569"/>
      <c r="KK621" s="569"/>
      <c r="KL621" s="569"/>
      <c r="KM621" s="569"/>
      <c r="KN621" s="569"/>
      <c r="KO621" s="569"/>
      <c r="KP621" s="569"/>
      <c r="KQ621" s="569"/>
      <c r="KR621" s="569"/>
      <c r="KS621" s="569"/>
      <c r="KT621" s="569"/>
      <c r="KU621" s="569"/>
      <c r="KV621" s="569"/>
      <c r="KW621" s="569"/>
      <c r="KX621" s="569"/>
      <c r="KY621" s="569"/>
      <c r="KZ621" s="569"/>
      <c r="LA621" s="569"/>
      <c r="LB621" s="569"/>
      <c r="LC621" s="569"/>
      <c r="LD621" s="569"/>
      <c r="LE621" s="569"/>
      <c r="LF621" s="569"/>
      <c r="LG621" s="569"/>
      <c r="LH621" s="569"/>
      <c r="LI621" s="569"/>
      <c r="LJ621" s="569"/>
      <c r="LK621" s="569"/>
      <c r="LL621" s="569"/>
      <c r="LM621" s="569"/>
      <c r="LN621" s="569"/>
      <c r="LO621" s="569"/>
      <c r="LP621" s="569"/>
      <c r="LQ621" s="569"/>
      <c r="LR621" s="569"/>
      <c r="LS621" s="569"/>
      <c r="LT621" s="569"/>
      <c r="LU621" s="569"/>
      <c r="LV621" s="569"/>
      <c r="LW621" s="569"/>
      <c r="LX621" s="569"/>
      <c r="LY621" s="569"/>
      <c r="LZ621" s="569"/>
      <c r="MA621" s="569"/>
      <c r="MB621" s="569"/>
      <c r="MC621" s="569"/>
      <c r="MD621" s="569"/>
      <c r="ME621" s="569"/>
      <c r="MF621" s="569"/>
      <c r="MG621" s="569"/>
      <c r="MH621" s="569"/>
      <c r="MI621" s="569"/>
      <c r="MJ621" s="569"/>
      <c r="MK621" s="569"/>
      <c r="ML621" s="569"/>
      <c r="MM621" s="569"/>
      <c r="MN621" s="569"/>
      <c r="MO621" s="569"/>
      <c r="MP621" s="569"/>
      <c r="MQ621" s="569"/>
      <c r="MR621" s="569"/>
      <c r="MS621" s="569"/>
      <c r="MT621" s="569"/>
      <c r="MU621" s="569"/>
      <c r="MV621" s="569"/>
      <c r="MW621" s="569"/>
      <c r="MX621" s="569"/>
      <c r="MY621" s="569"/>
      <c r="MZ621" s="569"/>
      <c r="NA621" s="569"/>
      <c r="NB621" s="569"/>
      <c r="NC621" s="569"/>
      <c r="ND621" s="569"/>
      <c r="NE621" s="569"/>
      <c r="NF621" s="569"/>
      <c r="NG621" s="569"/>
      <c r="NH621" s="569"/>
      <c r="NI621" s="569"/>
      <c r="NJ621" s="569"/>
      <c r="NK621" s="569"/>
      <c r="NL621" s="569"/>
      <c r="NM621" s="569"/>
      <c r="NN621" s="569"/>
      <c r="NO621" s="569"/>
      <c r="NP621" s="569"/>
      <c r="NQ621" s="569"/>
      <c r="NR621" s="569"/>
      <c r="NS621" s="569"/>
      <c r="NT621" s="569"/>
      <c r="NU621" s="569"/>
      <c r="NV621" s="569"/>
      <c r="NW621" s="569"/>
      <c r="NX621" s="569"/>
      <c r="NY621" s="569"/>
      <c r="NZ621" s="569"/>
      <c r="OA621" s="569"/>
      <c r="OB621" s="569"/>
      <c r="OC621" s="569"/>
      <c r="OD621" s="569"/>
      <c r="OE621" s="569"/>
      <c r="OF621" s="569"/>
      <c r="OG621" s="569"/>
      <c r="OH621" s="569"/>
      <c r="OI621" s="569"/>
      <c r="OJ621" s="569"/>
      <c r="OK621" s="569"/>
      <c r="OL621" s="569"/>
      <c r="OM621" s="569"/>
      <c r="ON621" s="569"/>
      <c r="OO621" s="569"/>
      <c r="OP621" s="569"/>
      <c r="OQ621" s="569"/>
      <c r="OR621" s="569"/>
      <c r="OS621" s="569"/>
      <c r="OT621" s="569"/>
      <c r="OU621" s="569"/>
      <c r="OV621" s="569"/>
      <c r="OW621" s="569"/>
      <c r="OX621" s="569"/>
      <c r="OY621" s="569"/>
      <c r="OZ621" s="569"/>
      <c r="PA621" s="569"/>
      <c r="PB621" s="569"/>
      <c r="PC621" s="569"/>
      <c r="PD621" s="569"/>
      <c r="PE621" s="569"/>
      <c r="PF621" s="569"/>
      <c r="PG621" s="569"/>
      <c r="PH621" s="569"/>
      <c r="PI621" s="569"/>
      <c r="PJ621" s="569"/>
      <c r="PK621" s="569"/>
      <c r="PL621" s="569"/>
      <c r="PM621" s="569"/>
      <c r="PN621" s="569"/>
      <c r="PO621" s="569"/>
      <c r="PP621" s="569"/>
      <c r="PQ621" s="569"/>
      <c r="PR621" s="569"/>
      <c r="PS621" s="569"/>
      <c r="PT621" s="569"/>
      <c r="PU621" s="569"/>
      <c r="PV621" s="569"/>
      <c r="PW621" s="569"/>
      <c r="PX621" s="569"/>
      <c r="PY621" s="569"/>
      <c r="PZ621" s="569"/>
      <c r="QA621" s="569"/>
      <c r="QB621" s="569"/>
      <c r="QC621" s="569"/>
      <c r="QD621" s="569"/>
      <c r="QE621" s="569"/>
      <c r="QF621" s="569"/>
      <c r="QG621" s="569"/>
      <c r="QH621" s="569"/>
      <c r="QI621" s="569"/>
      <c r="QJ621" s="569"/>
      <c r="QK621" s="569"/>
      <c r="QL621" s="569"/>
    </row>
    <row r="622" spans="1:454" ht="30">
      <c r="D622" s="568"/>
      <c r="E622" s="568"/>
      <c r="F622" s="568"/>
      <c r="G622" s="568"/>
      <c r="H622" s="563" t="str">
        <f>'matrik MISI 1'!N13</f>
        <v>Persentase Penanganan Serangan Hama Penyakit</v>
      </c>
      <c r="I622" s="563" t="str">
        <f>'matrik MISI 1'!O13</f>
        <v>%</v>
      </c>
      <c r="J622" s="563">
        <f>'matrik MISI 1'!P13</f>
        <v>60</v>
      </c>
      <c r="K622" s="563">
        <f>'matrik MISI 1'!Q13</f>
        <v>60</v>
      </c>
      <c r="L622" s="563">
        <f>'matrik MISI 1'!R13</f>
        <v>75</v>
      </c>
      <c r="M622" s="604"/>
      <c r="N622" s="563">
        <f>'matrik MISI 1'!S13</f>
        <v>75</v>
      </c>
      <c r="O622" s="564"/>
      <c r="P622" s="563">
        <f>'matrik MISI 1'!T13</f>
        <v>80</v>
      </c>
      <c r="Q622" s="564"/>
      <c r="R622" s="563">
        <f>'matrik MISI 1'!U13</f>
        <v>80</v>
      </c>
      <c r="S622" s="564"/>
      <c r="T622" s="563">
        <f>'matrik MISI 1'!V13</f>
        <v>85</v>
      </c>
      <c r="U622" s="564"/>
      <c r="V622" s="563">
        <f>'matrik MISI 1'!W13</f>
        <v>85</v>
      </c>
      <c r="W622" s="564"/>
      <c r="X622" s="563" t="str">
        <f>'matrik MISI 1'!X13</f>
        <v>DINTANBUNHUT</v>
      </c>
      <c r="Y622" s="563" t="str">
        <f>'matrik MISI 1'!Y13</f>
        <v>Luas serangan hama dan penyakit yang tertangani dibagi Luas serangan hama dan penyakit kali 100%</v>
      </c>
      <c r="Z622" s="563" t="str">
        <f>'matrik MISI 1'!Z13</f>
        <v>komoditi padi, jagung</v>
      </c>
    </row>
    <row r="623" spans="1:454" s="574" customFormat="1" ht="45">
      <c r="A623" s="569"/>
      <c r="B623" s="575"/>
      <c r="C623" s="576"/>
      <c r="D623" s="577" t="str">
        <f>'matrik MISI 1'!J14</f>
        <v>2.01</v>
      </c>
      <c r="E623" s="577" t="str">
        <f>'matrik MISI 1'!K14</f>
        <v>xx</v>
      </c>
      <c r="F623" s="577">
        <f>'matrik MISI 1'!L14</f>
        <v>21</v>
      </c>
      <c r="G623" s="577" t="str">
        <f>'matrik MISI 1'!M14</f>
        <v>Program pencegahan dan penanggulangan penyakit ternak</v>
      </c>
      <c r="H623" s="577"/>
      <c r="I623" s="577"/>
      <c r="J623" s="577"/>
      <c r="K623" s="577"/>
      <c r="L623" s="577"/>
      <c r="M623" s="578">
        <f>'jangan dihapus 2'!K561</f>
        <v>307670000</v>
      </c>
      <c r="N623" s="578"/>
      <c r="O623" s="578">
        <f>'jangan dihapus 2'!M561</f>
        <v>365000000</v>
      </c>
      <c r="P623" s="578"/>
      <c r="Q623" s="578">
        <f>'jangan dihapus 2'!O561</f>
        <v>420000000</v>
      </c>
      <c r="R623" s="578"/>
      <c r="S623" s="578">
        <f>'jangan dihapus 2'!Q561</f>
        <v>470000000</v>
      </c>
      <c r="T623" s="578"/>
      <c r="U623" s="578">
        <f>'jangan dihapus 2'!S561</f>
        <v>525000000</v>
      </c>
      <c r="V623" s="577"/>
      <c r="W623" s="578">
        <f>SUM(M623:U623)</f>
        <v>2087670000</v>
      </c>
      <c r="X623" s="577"/>
      <c r="Y623" s="577"/>
      <c r="Z623" s="577"/>
      <c r="AA623" s="569"/>
      <c r="AB623" s="569"/>
      <c r="AC623" s="569"/>
      <c r="AD623" s="569"/>
      <c r="AE623" s="569"/>
      <c r="AF623" s="569"/>
      <c r="AG623" s="569"/>
      <c r="AH623" s="569"/>
      <c r="AI623" s="569"/>
      <c r="AJ623" s="569"/>
      <c r="AK623" s="569"/>
      <c r="AL623" s="569"/>
      <c r="AM623" s="569"/>
      <c r="AN623" s="569"/>
      <c r="AO623" s="569"/>
      <c r="AP623" s="569"/>
      <c r="AQ623" s="569"/>
      <c r="AR623" s="569"/>
      <c r="AS623" s="569"/>
      <c r="AT623" s="569"/>
      <c r="AU623" s="569"/>
      <c r="AV623" s="569"/>
      <c r="AW623" s="569"/>
      <c r="AX623" s="569"/>
      <c r="AY623" s="569"/>
      <c r="AZ623" s="569"/>
      <c r="BA623" s="569"/>
      <c r="BB623" s="569"/>
      <c r="BC623" s="569"/>
      <c r="BD623" s="569"/>
      <c r="BE623" s="569"/>
      <c r="BF623" s="569"/>
      <c r="BG623" s="569"/>
      <c r="BH623" s="569"/>
      <c r="BI623" s="569"/>
      <c r="BJ623" s="569"/>
      <c r="BK623" s="569"/>
      <c r="BL623" s="569"/>
      <c r="BM623" s="569"/>
      <c r="BN623" s="569"/>
      <c r="BO623" s="569"/>
      <c r="BP623" s="569"/>
      <c r="BQ623" s="569"/>
      <c r="BR623" s="569"/>
      <c r="BS623" s="569"/>
      <c r="BT623" s="569"/>
      <c r="BU623" s="569"/>
      <c r="BV623" s="569"/>
      <c r="BW623" s="569"/>
      <c r="BX623" s="569"/>
      <c r="BY623" s="569"/>
      <c r="BZ623" s="569"/>
      <c r="CA623" s="569"/>
      <c r="CB623" s="569"/>
      <c r="CC623" s="569"/>
      <c r="CD623" s="569"/>
      <c r="CE623" s="569"/>
      <c r="CF623" s="569"/>
      <c r="CG623" s="569"/>
      <c r="CH623" s="569"/>
      <c r="CI623" s="569"/>
      <c r="CJ623" s="569"/>
      <c r="CK623" s="569"/>
      <c r="CL623" s="569"/>
      <c r="CM623" s="569"/>
      <c r="CN623" s="569"/>
      <c r="CO623" s="569"/>
      <c r="CP623" s="569"/>
      <c r="CQ623" s="569"/>
      <c r="CR623" s="569"/>
      <c r="CS623" s="569"/>
      <c r="CT623" s="569"/>
      <c r="CU623" s="569"/>
      <c r="CV623" s="569"/>
      <c r="CW623" s="569"/>
      <c r="CX623" s="569"/>
      <c r="CY623" s="569"/>
      <c r="CZ623" s="569"/>
      <c r="DA623" s="569"/>
      <c r="DB623" s="569"/>
      <c r="DC623" s="569"/>
      <c r="DD623" s="569"/>
      <c r="DE623" s="569"/>
      <c r="DF623" s="569"/>
      <c r="DG623" s="569"/>
      <c r="DH623" s="569"/>
      <c r="DI623" s="569"/>
      <c r="DJ623" s="569"/>
      <c r="DK623" s="569"/>
      <c r="DL623" s="569"/>
      <c r="DM623" s="569"/>
      <c r="DN623" s="569"/>
      <c r="DO623" s="569"/>
      <c r="DP623" s="569"/>
      <c r="DQ623" s="569"/>
      <c r="DR623" s="569"/>
      <c r="DS623" s="569"/>
      <c r="DT623" s="569"/>
      <c r="DU623" s="569"/>
      <c r="DV623" s="569"/>
      <c r="DW623" s="569"/>
      <c r="DX623" s="569"/>
      <c r="DY623" s="569"/>
      <c r="DZ623" s="569"/>
      <c r="EA623" s="569"/>
      <c r="EB623" s="569"/>
      <c r="EC623" s="569"/>
      <c r="ED623" s="569"/>
      <c r="EE623" s="569"/>
      <c r="EF623" s="569"/>
      <c r="EG623" s="569"/>
      <c r="EH623" s="569"/>
      <c r="EI623" s="569"/>
      <c r="EJ623" s="569"/>
      <c r="EK623" s="569"/>
      <c r="EL623" s="569"/>
      <c r="EM623" s="569"/>
      <c r="EN623" s="569"/>
      <c r="EO623" s="569"/>
      <c r="EP623" s="569"/>
      <c r="EQ623" s="569"/>
      <c r="ER623" s="569"/>
      <c r="ES623" s="569"/>
      <c r="ET623" s="569"/>
      <c r="EU623" s="569"/>
      <c r="EV623" s="569"/>
      <c r="EW623" s="569"/>
      <c r="EX623" s="569"/>
      <c r="EY623" s="569"/>
      <c r="EZ623" s="569"/>
      <c r="FA623" s="569"/>
      <c r="FB623" s="569"/>
      <c r="FC623" s="569"/>
      <c r="FD623" s="569"/>
      <c r="FE623" s="569"/>
      <c r="FF623" s="569"/>
      <c r="FG623" s="569"/>
      <c r="FH623" s="569"/>
      <c r="FI623" s="569"/>
      <c r="FJ623" s="569"/>
      <c r="FK623" s="569"/>
      <c r="FL623" s="569"/>
      <c r="FM623" s="569"/>
      <c r="FN623" s="569"/>
      <c r="FO623" s="569"/>
      <c r="FP623" s="569"/>
      <c r="FQ623" s="569"/>
      <c r="FR623" s="569"/>
      <c r="FS623" s="569"/>
      <c r="FT623" s="569"/>
      <c r="FU623" s="569"/>
      <c r="FV623" s="569"/>
      <c r="FW623" s="569"/>
      <c r="FX623" s="569"/>
      <c r="FY623" s="569"/>
      <c r="FZ623" s="569"/>
      <c r="GA623" s="569"/>
      <c r="GB623" s="569"/>
      <c r="GC623" s="569"/>
      <c r="GD623" s="569"/>
      <c r="GE623" s="569"/>
      <c r="GF623" s="569"/>
      <c r="GG623" s="569"/>
      <c r="GH623" s="569"/>
      <c r="GI623" s="569"/>
      <c r="GJ623" s="569"/>
      <c r="GK623" s="569"/>
      <c r="GL623" s="569"/>
      <c r="GM623" s="569"/>
      <c r="GN623" s="569"/>
      <c r="GO623" s="569"/>
      <c r="GP623" s="569"/>
      <c r="GQ623" s="569"/>
      <c r="GR623" s="569"/>
      <c r="GS623" s="569"/>
      <c r="GT623" s="569"/>
      <c r="GU623" s="569"/>
      <c r="GV623" s="569"/>
      <c r="GW623" s="569"/>
      <c r="GX623" s="569"/>
      <c r="GY623" s="569"/>
      <c r="GZ623" s="569"/>
      <c r="HA623" s="569"/>
      <c r="HB623" s="569"/>
      <c r="HC623" s="569"/>
      <c r="HD623" s="569"/>
      <c r="HE623" s="569"/>
      <c r="HF623" s="569"/>
      <c r="HG623" s="569"/>
      <c r="HH623" s="569"/>
      <c r="HI623" s="569"/>
      <c r="HJ623" s="569"/>
      <c r="HK623" s="569"/>
      <c r="HL623" s="569"/>
      <c r="HM623" s="569"/>
      <c r="HN623" s="569"/>
      <c r="HO623" s="569"/>
      <c r="HP623" s="569"/>
      <c r="HQ623" s="569"/>
      <c r="HR623" s="569"/>
      <c r="HS623" s="569"/>
      <c r="HT623" s="569"/>
      <c r="HU623" s="569"/>
      <c r="HV623" s="569"/>
      <c r="HW623" s="569"/>
      <c r="HX623" s="569"/>
      <c r="HY623" s="569"/>
      <c r="HZ623" s="569"/>
      <c r="IA623" s="569"/>
      <c r="IB623" s="569"/>
      <c r="IC623" s="569"/>
      <c r="ID623" s="569"/>
      <c r="IE623" s="569"/>
      <c r="IF623" s="569"/>
      <c r="IG623" s="569"/>
      <c r="IH623" s="569"/>
      <c r="II623" s="569"/>
      <c r="IJ623" s="569"/>
      <c r="IK623" s="569"/>
      <c r="IL623" s="569"/>
      <c r="IM623" s="569"/>
      <c r="IN623" s="569"/>
      <c r="IO623" s="569"/>
      <c r="IP623" s="569"/>
      <c r="IQ623" s="569"/>
      <c r="IR623" s="569"/>
      <c r="IS623" s="569"/>
      <c r="IT623" s="569"/>
      <c r="IU623" s="569"/>
      <c r="IV623" s="569"/>
      <c r="IW623" s="569"/>
      <c r="IX623" s="569"/>
      <c r="IY623" s="569"/>
      <c r="IZ623" s="569"/>
      <c r="JA623" s="569"/>
      <c r="JB623" s="569"/>
      <c r="JC623" s="569"/>
      <c r="JD623" s="569"/>
      <c r="JE623" s="569"/>
      <c r="JF623" s="569"/>
      <c r="JG623" s="569"/>
      <c r="JH623" s="569"/>
      <c r="JI623" s="569"/>
      <c r="JJ623" s="569"/>
      <c r="JK623" s="569"/>
      <c r="JL623" s="569"/>
      <c r="JM623" s="569"/>
      <c r="JN623" s="569"/>
      <c r="JO623" s="569"/>
      <c r="JP623" s="569"/>
      <c r="JQ623" s="569"/>
      <c r="JR623" s="569"/>
      <c r="JS623" s="569"/>
      <c r="JT623" s="569"/>
      <c r="JU623" s="569"/>
      <c r="JV623" s="569"/>
      <c r="JW623" s="569"/>
      <c r="JX623" s="569"/>
      <c r="JY623" s="569"/>
      <c r="JZ623" s="569"/>
      <c r="KA623" s="569"/>
      <c r="KB623" s="569"/>
      <c r="KC623" s="569"/>
      <c r="KD623" s="569"/>
      <c r="KE623" s="569"/>
      <c r="KF623" s="569"/>
      <c r="KG623" s="569"/>
      <c r="KH623" s="569"/>
      <c r="KI623" s="569"/>
      <c r="KJ623" s="569"/>
      <c r="KK623" s="569"/>
      <c r="KL623" s="569"/>
      <c r="KM623" s="569"/>
      <c r="KN623" s="569"/>
      <c r="KO623" s="569"/>
      <c r="KP623" s="569"/>
      <c r="KQ623" s="569"/>
      <c r="KR623" s="569"/>
      <c r="KS623" s="569"/>
      <c r="KT623" s="569"/>
      <c r="KU623" s="569"/>
      <c r="KV623" s="569"/>
      <c r="KW623" s="569"/>
      <c r="KX623" s="569"/>
      <c r="KY623" s="569"/>
      <c r="KZ623" s="569"/>
      <c r="LA623" s="569"/>
      <c r="LB623" s="569"/>
      <c r="LC623" s="569"/>
      <c r="LD623" s="569"/>
      <c r="LE623" s="569"/>
      <c r="LF623" s="569"/>
      <c r="LG623" s="569"/>
      <c r="LH623" s="569"/>
      <c r="LI623" s="569"/>
      <c r="LJ623" s="569"/>
      <c r="LK623" s="569"/>
      <c r="LL623" s="569"/>
      <c r="LM623" s="569"/>
      <c r="LN623" s="569"/>
      <c r="LO623" s="569"/>
      <c r="LP623" s="569"/>
      <c r="LQ623" s="569"/>
      <c r="LR623" s="569"/>
      <c r="LS623" s="569"/>
      <c r="LT623" s="569"/>
      <c r="LU623" s="569"/>
      <c r="LV623" s="569"/>
      <c r="LW623" s="569"/>
      <c r="LX623" s="569"/>
      <c r="LY623" s="569"/>
      <c r="LZ623" s="569"/>
      <c r="MA623" s="569"/>
      <c r="MB623" s="569"/>
      <c r="MC623" s="569"/>
      <c r="MD623" s="569"/>
      <c r="ME623" s="569"/>
      <c r="MF623" s="569"/>
      <c r="MG623" s="569"/>
      <c r="MH623" s="569"/>
      <c r="MI623" s="569"/>
      <c r="MJ623" s="569"/>
      <c r="MK623" s="569"/>
      <c r="ML623" s="569"/>
      <c r="MM623" s="569"/>
      <c r="MN623" s="569"/>
      <c r="MO623" s="569"/>
      <c r="MP623" s="569"/>
      <c r="MQ623" s="569"/>
      <c r="MR623" s="569"/>
      <c r="MS623" s="569"/>
      <c r="MT623" s="569"/>
      <c r="MU623" s="569"/>
      <c r="MV623" s="569"/>
      <c r="MW623" s="569"/>
      <c r="MX623" s="569"/>
      <c r="MY623" s="569"/>
      <c r="MZ623" s="569"/>
      <c r="NA623" s="569"/>
      <c r="NB623" s="569"/>
      <c r="NC623" s="569"/>
      <c r="ND623" s="569"/>
      <c r="NE623" s="569"/>
      <c r="NF623" s="569"/>
      <c r="NG623" s="569"/>
      <c r="NH623" s="569"/>
      <c r="NI623" s="569"/>
      <c r="NJ623" s="569"/>
      <c r="NK623" s="569"/>
      <c r="NL623" s="569"/>
      <c r="NM623" s="569"/>
      <c r="NN623" s="569"/>
      <c r="NO623" s="569"/>
      <c r="NP623" s="569"/>
      <c r="NQ623" s="569"/>
      <c r="NR623" s="569"/>
      <c r="NS623" s="569"/>
      <c r="NT623" s="569"/>
      <c r="NU623" s="569"/>
      <c r="NV623" s="569"/>
      <c r="NW623" s="569"/>
      <c r="NX623" s="569"/>
      <c r="NY623" s="569"/>
      <c r="NZ623" s="569"/>
      <c r="OA623" s="569"/>
      <c r="OB623" s="569"/>
      <c r="OC623" s="569"/>
      <c r="OD623" s="569"/>
      <c r="OE623" s="569"/>
      <c r="OF623" s="569"/>
      <c r="OG623" s="569"/>
      <c r="OH623" s="569"/>
      <c r="OI623" s="569"/>
      <c r="OJ623" s="569"/>
      <c r="OK623" s="569"/>
      <c r="OL623" s="569"/>
      <c r="OM623" s="569"/>
      <c r="ON623" s="569"/>
      <c r="OO623" s="569"/>
      <c r="OP623" s="569"/>
      <c r="OQ623" s="569"/>
      <c r="OR623" s="569"/>
      <c r="OS623" s="569"/>
      <c r="OT623" s="569"/>
      <c r="OU623" s="569"/>
      <c r="OV623" s="569"/>
      <c r="OW623" s="569"/>
      <c r="OX623" s="569"/>
      <c r="OY623" s="569"/>
      <c r="OZ623" s="569"/>
      <c r="PA623" s="569"/>
      <c r="PB623" s="569"/>
      <c r="PC623" s="569"/>
      <c r="PD623" s="569"/>
      <c r="PE623" s="569"/>
      <c r="PF623" s="569"/>
      <c r="PG623" s="569"/>
      <c r="PH623" s="569"/>
      <c r="PI623" s="569"/>
      <c r="PJ623" s="569"/>
      <c r="PK623" s="569"/>
      <c r="PL623" s="569"/>
      <c r="PM623" s="569"/>
      <c r="PN623" s="569"/>
      <c r="PO623" s="569"/>
      <c r="PP623" s="569"/>
      <c r="PQ623" s="569"/>
      <c r="PR623" s="569"/>
      <c r="PS623" s="569"/>
      <c r="PT623" s="569"/>
      <c r="PU623" s="569"/>
      <c r="PV623" s="569"/>
      <c r="PW623" s="569"/>
      <c r="PX623" s="569"/>
      <c r="PY623" s="569"/>
      <c r="PZ623" s="569"/>
      <c r="QA623" s="569"/>
      <c r="QB623" s="569"/>
      <c r="QC623" s="569"/>
      <c r="QD623" s="569"/>
      <c r="QE623" s="569"/>
      <c r="QF623" s="569"/>
      <c r="QG623" s="569"/>
      <c r="QH623" s="569"/>
      <c r="QI623" s="569"/>
      <c r="QJ623" s="569"/>
      <c r="QK623" s="569"/>
      <c r="QL623" s="569"/>
    </row>
    <row r="624" spans="1:454" ht="30">
      <c r="D624" s="568"/>
      <c r="E624" s="568"/>
      <c r="F624" s="568"/>
      <c r="G624" s="568"/>
      <c r="H624" s="563" t="str">
        <f>'matrik MISI 1'!N14</f>
        <v>Angka Kematian Ternak unggas</v>
      </c>
      <c r="I624" s="563" t="str">
        <f>'matrik MISI 1'!O14</f>
        <v>%</v>
      </c>
      <c r="J624" s="563">
        <f>'matrik MISI 1'!P14</f>
        <v>2</v>
      </c>
      <c r="K624" s="563">
        <f>'matrik MISI 1'!Q14</f>
        <v>2</v>
      </c>
      <c r="L624" s="563">
        <f>'matrik MISI 1'!R14</f>
        <v>2</v>
      </c>
      <c r="M624" s="604"/>
      <c r="N624" s="563">
        <f>'matrik MISI 1'!S14</f>
        <v>2</v>
      </c>
      <c r="O624" s="564"/>
      <c r="P624" s="563">
        <f>'matrik MISI 1'!T14</f>
        <v>2</v>
      </c>
      <c r="Q624" s="564"/>
      <c r="R624" s="563">
        <f>'matrik MISI 1'!U14</f>
        <v>2</v>
      </c>
      <c r="S624" s="564"/>
      <c r="T624" s="563">
        <f>'matrik MISI 1'!V14</f>
        <v>2</v>
      </c>
      <c r="U624" s="564"/>
      <c r="V624" s="563">
        <f>'matrik MISI 1'!W14</f>
        <v>2</v>
      </c>
      <c r="W624" s="564"/>
      <c r="X624" s="563" t="str">
        <f>'matrik MISI 1'!X14</f>
        <v>DINAKAN</v>
      </c>
      <c r="Y624" s="563" t="str">
        <f>'matrik MISI 1'!Y14</f>
        <v>Jumlah hewan yang mati karena penyakit dibagi jumlah total populasi yang bersangkutan kali 100%</v>
      </c>
      <c r="Z624" s="563" t="str">
        <f>'matrik MISI 1'!Z14</f>
        <v>menurunnya angka kematian (unggas, ternak kecil, ternak besar)</v>
      </c>
    </row>
    <row r="625" spans="1:454">
      <c r="G625" s="563"/>
      <c r="H625" s="563" t="str">
        <f>'matrik MISI 1'!N15</f>
        <v>Angka Kematian Ternak kecil</v>
      </c>
      <c r="I625" s="563" t="str">
        <f>'matrik MISI 1'!O15</f>
        <v>%</v>
      </c>
      <c r="J625" s="563">
        <f>'matrik MISI 1'!P15</f>
        <v>0.1</v>
      </c>
      <c r="K625" s="563">
        <f>'matrik MISI 1'!Q15</f>
        <v>0.1</v>
      </c>
      <c r="L625" s="563">
        <f>'matrik MISI 1'!R15</f>
        <v>0.1</v>
      </c>
      <c r="M625" s="604"/>
      <c r="N625" s="563">
        <f>'matrik MISI 1'!S15</f>
        <v>0.1</v>
      </c>
      <c r="O625" s="564"/>
      <c r="P625" s="563">
        <f>'matrik MISI 1'!T15</f>
        <v>0.1</v>
      </c>
      <c r="Q625" s="564"/>
      <c r="R625" s="563">
        <f>'matrik MISI 1'!U15</f>
        <v>0.1</v>
      </c>
      <c r="S625" s="564"/>
      <c r="T625" s="563">
        <f>'matrik MISI 1'!V15</f>
        <v>0.1</v>
      </c>
      <c r="U625" s="564"/>
      <c r="V625" s="563">
        <f>'matrik MISI 1'!W15</f>
        <v>0.1</v>
      </c>
      <c r="W625" s="564"/>
      <c r="X625" s="563">
        <f>'matrik MISI 1'!X15</f>
        <v>0</v>
      </c>
      <c r="Y625" s="563">
        <f>'matrik MISI 1'!Y15</f>
        <v>0</v>
      </c>
      <c r="Z625" s="563">
        <f>'matrik MISI 1'!Z15</f>
        <v>0</v>
      </c>
    </row>
    <row r="626" spans="1:454">
      <c r="G626" s="563"/>
      <c r="H626" s="563" t="str">
        <f>'matrik MISI 1'!N16</f>
        <v>Angka Kematian Ternak besar</v>
      </c>
      <c r="I626" s="563" t="str">
        <f>'matrik MISI 1'!O16</f>
        <v>%</v>
      </c>
      <c r="J626" s="563">
        <f>'matrik MISI 1'!P16</f>
        <v>0.1</v>
      </c>
      <c r="K626" s="563">
        <f>'matrik MISI 1'!Q16</f>
        <v>0.1</v>
      </c>
      <c r="L626" s="563">
        <f>'matrik MISI 1'!R16</f>
        <v>0.1</v>
      </c>
      <c r="M626" s="604"/>
      <c r="N626" s="563">
        <f>'matrik MISI 1'!S16</f>
        <v>0.1</v>
      </c>
      <c r="O626" s="564"/>
      <c r="P626" s="563">
        <f>'matrik MISI 1'!T16</f>
        <v>0.1</v>
      </c>
      <c r="Q626" s="564"/>
      <c r="R626" s="563">
        <f>'matrik MISI 1'!U16</f>
        <v>0.1</v>
      </c>
      <c r="S626" s="564"/>
      <c r="T626" s="563">
        <f>'matrik MISI 1'!V16</f>
        <v>0.1</v>
      </c>
      <c r="U626" s="564"/>
      <c r="V626" s="563">
        <f>'matrik MISI 1'!W16</f>
        <v>0.1</v>
      </c>
      <c r="W626" s="564"/>
      <c r="X626" s="563">
        <f>'matrik MISI 1'!X16</f>
        <v>0</v>
      </c>
      <c r="Y626" s="563">
        <f>'matrik MISI 1'!Y16</f>
        <v>0</v>
      </c>
      <c r="Z626" s="563">
        <f>'matrik MISI 1'!Z16</f>
        <v>0</v>
      </c>
    </row>
    <row r="627" spans="1:454" s="574" customFormat="1" ht="60">
      <c r="A627" s="569"/>
      <c r="B627" s="575"/>
      <c r="C627" s="576"/>
      <c r="D627" s="577" t="str">
        <f>'matrik MISI 1'!J18</f>
        <v>2.01</v>
      </c>
      <c r="E627" s="577" t="str">
        <f>'matrik MISI 1'!K18</f>
        <v>xx</v>
      </c>
      <c r="F627" s="577">
        <f>'matrik MISI 1'!L18</f>
        <v>19</v>
      </c>
      <c r="G627" s="577" t="str">
        <f>'matrik MISI 1'!M18</f>
        <v>Program Peningkatan Produksi Pertanian/Perkebunan/peternakan</v>
      </c>
      <c r="H627" s="577"/>
      <c r="I627" s="577"/>
      <c r="J627" s="577"/>
      <c r="K627" s="577"/>
      <c r="L627" s="577"/>
      <c r="M627" s="578">
        <f>'jangan dihapus 2'!K524-'IKD dan anggaran'!M653-'IKD dan anggaran'!M621</f>
        <v>5256000000</v>
      </c>
      <c r="N627" s="578"/>
      <c r="O627" s="578">
        <f>'jangan dihapus 2'!M524-'IKD dan anggaran'!O653-'IKD dan anggaran'!O621</f>
        <v>6040000000</v>
      </c>
      <c r="P627" s="578"/>
      <c r="Q627" s="578">
        <f>'jangan dihapus 2'!O524-'IKD dan anggaran'!Q653-'IKD dan anggaran'!Q621</f>
        <v>6192500000</v>
      </c>
      <c r="R627" s="578">
        <f>'jangan dihapus 2'!P524</f>
        <v>0</v>
      </c>
      <c r="S627" s="578">
        <f>'jangan dihapus 2'!Q524-'IKD dan anggaran'!S653-'IKD dan anggaran'!S621</f>
        <v>6482500000</v>
      </c>
      <c r="T627" s="578">
        <f>'jangan dihapus 2'!R524</f>
        <v>0</v>
      </c>
      <c r="U627" s="578">
        <f>'jangan dihapus 2'!S524-'IKD dan anggaran'!U653-'IKD dan anggaran'!U621</f>
        <v>6587500000</v>
      </c>
      <c r="V627" s="577"/>
      <c r="W627" s="578">
        <f>SUM(M627:U627)</f>
        <v>30558500000</v>
      </c>
      <c r="X627" s="577"/>
      <c r="Y627" s="577"/>
      <c r="Z627" s="577"/>
      <c r="AA627" s="569"/>
      <c r="AB627" s="569"/>
      <c r="AC627" s="569"/>
      <c r="AD627" s="569"/>
      <c r="AE627" s="569"/>
      <c r="AF627" s="569"/>
      <c r="AG627" s="569"/>
      <c r="AH627" s="569"/>
      <c r="AI627" s="569"/>
      <c r="AJ627" s="569"/>
      <c r="AK627" s="569"/>
      <c r="AL627" s="569"/>
      <c r="AM627" s="569"/>
      <c r="AN627" s="569"/>
      <c r="AO627" s="569"/>
      <c r="AP627" s="569"/>
      <c r="AQ627" s="569"/>
      <c r="AR627" s="569"/>
      <c r="AS627" s="569"/>
      <c r="AT627" s="569"/>
      <c r="AU627" s="569"/>
      <c r="AV627" s="569"/>
      <c r="AW627" s="569"/>
      <c r="AX627" s="569"/>
      <c r="AY627" s="569"/>
      <c r="AZ627" s="569"/>
      <c r="BA627" s="569"/>
      <c r="BB627" s="569"/>
      <c r="BC627" s="569"/>
      <c r="BD627" s="569"/>
      <c r="BE627" s="569"/>
      <c r="BF627" s="569"/>
      <c r="BG627" s="569"/>
      <c r="BH627" s="569"/>
      <c r="BI627" s="569"/>
      <c r="BJ627" s="569"/>
      <c r="BK627" s="569"/>
      <c r="BL627" s="569"/>
      <c r="BM627" s="569"/>
      <c r="BN627" s="569"/>
      <c r="BO627" s="569"/>
      <c r="BP627" s="569"/>
      <c r="BQ627" s="569"/>
      <c r="BR627" s="569"/>
      <c r="BS627" s="569"/>
      <c r="BT627" s="569"/>
      <c r="BU627" s="569"/>
      <c r="BV627" s="569"/>
      <c r="BW627" s="569"/>
      <c r="BX627" s="569"/>
      <c r="BY627" s="569"/>
      <c r="BZ627" s="569"/>
      <c r="CA627" s="569"/>
      <c r="CB627" s="569"/>
      <c r="CC627" s="569"/>
      <c r="CD627" s="569"/>
      <c r="CE627" s="569"/>
      <c r="CF627" s="569"/>
      <c r="CG627" s="569"/>
      <c r="CH627" s="569"/>
      <c r="CI627" s="569"/>
      <c r="CJ627" s="569"/>
      <c r="CK627" s="569"/>
      <c r="CL627" s="569"/>
      <c r="CM627" s="569"/>
      <c r="CN627" s="569"/>
      <c r="CO627" s="569"/>
      <c r="CP627" s="569"/>
      <c r="CQ627" s="569"/>
      <c r="CR627" s="569"/>
      <c r="CS627" s="569"/>
      <c r="CT627" s="569"/>
      <c r="CU627" s="569"/>
      <c r="CV627" s="569"/>
      <c r="CW627" s="569"/>
      <c r="CX627" s="569"/>
      <c r="CY627" s="569"/>
      <c r="CZ627" s="569"/>
      <c r="DA627" s="569"/>
      <c r="DB627" s="569"/>
      <c r="DC627" s="569"/>
      <c r="DD627" s="569"/>
      <c r="DE627" s="569"/>
      <c r="DF627" s="569"/>
      <c r="DG627" s="569"/>
      <c r="DH627" s="569"/>
      <c r="DI627" s="569"/>
      <c r="DJ627" s="569"/>
      <c r="DK627" s="569"/>
      <c r="DL627" s="569"/>
      <c r="DM627" s="569"/>
      <c r="DN627" s="569"/>
      <c r="DO627" s="569"/>
      <c r="DP627" s="569"/>
      <c r="DQ627" s="569"/>
      <c r="DR627" s="569"/>
      <c r="DS627" s="569"/>
      <c r="DT627" s="569"/>
      <c r="DU627" s="569"/>
      <c r="DV627" s="569"/>
      <c r="DW627" s="569"/>
      <c r="DX627" s="569"/>
      <c r="DY627" s="569"/>
      <c r="DZ627" s="569"/>
      <c r="EA627" s="569"/>
      <c r="EB627" s="569"/>
      <c r="EC627" s="569"/>
      <c r="ED627" s="569"/>
      <c r="EE627" s="569"/>
      <c r="EF627" s="569"/>
      <c r="EG627" s="569"/>
      <c r="EH627" s="569"/>
      <c r="EI627" s="569"/>
      <c r="EJ627" s="569"/>
      <c r="EK627" s="569"/>
      <c r="EL627" s="569"/>
      <c r="EM627" s="569"/>
      <c r="EN627" s="569"/>
      <c r="EO627" s="569"/>
      <c r="EP627" s="569"/>
      <c r="EQ627" s="569"/>
      <c r="ER627" s="569"/>
      <c r="ES627" s="569"/>
      <c r="ET627" s="569"/>
      <c r="EU627" s="569"/>
      <c r="EV627" s="569"/>
      <c r="EW627" s="569"/>
      <c r="EX627" s="569"/>
      <c r="EY627" s="569"/>
      <c r="EZ627" s="569"/>
      <c r="FA627" s="569"/>
      <c r="FB627" s="569"/>
      <c r="FC627" s="569"/>
      <c r="FD627" s="569"/>
      <c r="FE627" s="569"/>
      <c r="FF627" s="569"/>
      <c r="FG627" s="569"/>
      <c r="FH627" s="569"/>
      <c r="FI627" s="569"/>
      <c r="FJ627" s="569"/>
      <c r="FK627" s="569"/>
      <c r="FL627" s="569"/>
      <c r="FM627" s="569"/>
      <c r="FN627" s="569"/>
      <c r="FO627" s="569"/>
      <c r="FP627" s="569"/>
      <c r="FQ627" s="569"/>
      <c r="FR627" s="569"/>
      <c r="FS627" s="569"/>
      <c r="FT627" s="569"/>
      <c r="FU627" s="569"/>
      <c r="FV627" s="569"/>
      <c r="FW627" s="569"/>
      <c r="FX627" s="569"/>
      <c r="FY627" s="569"/>
      <c r="FZ627" s="569"/>
      <c r="GA627" s="569"/>
      <c r="GB627" s="569"/>
      <c r="GC627" s="569"/>
      <c r="GD627" s="569"/>
      <c r="GE627" s="569"/>
      <c r="GF627" s="569"/>
      <c r="GG627" s="569"/>
      <c r="GH627" s="569"/>
      <c r="GI627" s="569"/>
      <c r="GJ627" s="569"/>
      <c r="GK627" s="569"/>
      <c r="GL627" s="569"/>
      <c r="GM627" s="569"/>
      <c r="GN627" s="569"/>
      <c r="GO627" s="569"/>
      <c r="GP627" s="569"/>
      <c r="GQ627" s="569"/>
      <c r="GR627" s="569"/>
      <c r="GS627" s="569"/>
      <c r="GT627" s="569"/>
      <c r="GU627" s="569"/>
      <c r="GV627" s="569"/>
      <c r="GW627" s="569"/>
      <c r="GX627" s="569"/>
      <c r="GY627" s="569"/>
      <c r="GZ627" s="569"/>
      <c r="HA627" s="569"/>
      <c r="HB627" s="569"/>
      <c r="HC627" s="569"/>
      <c r="HD627" s="569"/>
      <c r="HE627" s="569"/>
      <c r="HF627" s="569"/>
      <c r="HG627" s="569"/>
      <c r="HH627" s="569"/>
      <c r="HI627" s="569"/>
      <c r="HJ627" s="569"/>
      <c r="HK627" s="569"/>
      <c r="HL627" s="569"/>
      <c r="HM627" s="569"/>
      <c r="HN627" s="569"/>
      <c r="HO627" s="569"/>
      <c r="HP627" s="569"/>
      <c r="HQ627" s="569"/>
      <c r="HR627" s="569"/>
      <c r="HS627" s="569"/>
      <c r="HT627" s="569"/>
      <c r="HU627" s="569"/>
      <c r="HV627" s="569"/>
      <c r="HW627" s="569"/>
      <c r="HX627" s="569"/>
      <c r="HY627" s="569"/>
      <c r="HZ627" s="569"/>
      <c r="IA627" s="569"/>
      <c r="IB627" s="569"/>
      <c r="IC627" s="569"/>
      <c r="ID627" s="569"/>
      <c r="IE627" s="569"/>
      <c r="IF627" s="569"/>
      <c r="IG627" s="569"/>
      <c r="IH627" s="569"/>
      <c r="II627" s="569"/>
      <c r="IJ627" s="569"/>
      <c r="IK627" s="569"/>
      <c r="IL627" s="569"/>
      <c r="IM627" s="569"/>
      <c r="IN627" s="569"/>
      <c r="IO627" s="569"/>
      <c r="IP627" s="569"/>
      <c r="IQ627" s="569"/>
      <c r="IR627" s="569"/>
      <c r="IS627" s="569"/>
      <c r="IT627" s="569"/>
      <c r="IU627" s="569"/>
      <c r="IV627" s="569"/>
      <c r="IW627" s="569"/>
      <c r="IX627" s="569"/>
      <c r="IY627" s="569"/>
      <c r="IZ627" s="569"/>
      <c r="JA627" s="569"/>
      <c r="JB627" s="569"/>
      <c r="JC627" s="569"/>
      <c r="JD627" s="569"/>
      <c r="JE627" s="569"/>
      <c r="JF627" s="569"/>
      <c r="JG627" s="569"/>
      <c r="JH627" s="569"/>
      <c r="JI627" s="569"/>
      <c r="JJ627" s="569"/>
      <c r="JK627" s="569"/>
      <c r="JL627" s="569"/>
      <c r="JM627" s="569"/>
      <c r="JN627" s="569"/>
      <c r="JO627" s="569"/>
      <c r="JP627" s="569"/>
      <c r="JQ627" s="569"/>
      <c r="JR627" s="569"/>
      <c r="JS627" s="569"/>
      <c r="JT627" s="569"/>
      <c r="JU627" s="569"/>
      <c r="JV627" s="569"/>
      <c r="JW627" s="569"/>
      <c r="JX627" s="569"/>
      <c r="JY627" s="569"/>
      <c r="JZ627" s="569"/>
      <c r="KA627" s="569"/>
      <c r="KB627" s="569"/>
      <c r="KC627" s="569"/>
      <c r="KD627" s="569"/>
      <c r="KE627" s="569"/>
      <c r="KF627" s="569"/>
      <c r="KG627" s="569"/>
      <c r="KH627" s="569"/>
      <c r="KI627" s="569"/>
      <c r="KJ627" s="569"/>
      <c r="KK627" s="569"/>
      <c r="KL627" s="569"/>
      <c r="KM627" s="569"/>
      <c r="KN627" s="569"/>
      <c r="KO627" s="569"/>
      <c r="KP627" s="569"/>
      <c r="KQ627" s="569"/>
      <c r="KR627" s="569"/>
      <c r="KS627" s="569"/>
      <c r="KT627" s="569"/>
      <c r="KU627" s="569"/>
      <c r="KV627" s="569"/>
      <c r="KW627" s="569"/>
      <c r="KX627" s="569"/>
      <c r="KY627" s="569"/>
      <c r="KZ627" s="569"/>
      <c r="LA627" s="569"/>
      <c r="LB627" s="569"/>
      <c r="LC627" s="569"/>
      <c r="LD627" s="569"/>
      <c r="LE627" s="569"/>
      <c r="LF627" s="569"/>
      <c r="LG627" s="569"/>
      <c r="LH627" s="569"/>
      <c r="LI627" s="569"/>
      <c r="LJ627" s="569"/>
      <c r="LK627" s="569"/>
      <c r="LL627" s="569"/>
      <c r="LM627" s="569"/>
      <c r="LN627" s="569"/>
      <c r="LO627" s="569"/>
      <c r="LP627" s="569"/>
      <c r="LQ627" s="569"/>
      <c r="LR627" s="569"/>
      <c r="LS627" s="569"/>
      <c r="LT627" s="569"/>
      <c r="LU627" s="569"/>
      <c r="LV627" s="569"/>
      <c r="LW627" s="569"/>
      <c r="LX627" s="569"/>
      <c r="LY627" s="569"/>
      <c r="LZ627" s="569"/>
      <c r="MA627" s="569"/>
      <c r="MB627" s="569"/>
      <c r="MC627" s="569"/>
      <c r="MD627" s="569"/>
      <c r="ME627" s="569"/>
      <c r="MF627" s="569"/>
      <c r="MG627" s="569"/>
      <c r="MH627" s="569"/>
      <c r="MI627" s="569"/>
      <c r="MJ627" s="569"/>
      <c r="MK627" s="569"/>
      <c r="ML627" s="569"/>
      <c r="MM627" s="569"/>
      <c r="MN627" s="569"/>
      <c r="MO627" s="569"/>
      <c r="MP627" s="569"/>
      <c r="MQ627" s="569"/>
      <c r="MR627" s="569"/>
      <c r="MS627" s="569"/>
      <c r="MT627" s="569"/>
      <c r="MU627" s="569"/>
      <c r="MV627" s="569"/>
      <c r="MW627" s="569"/>
      <c r="MX627" s="569"/>
      <c r="MY627" s="569"/>
      <c r="MZ627" s="569"/>
      <c r="NA627" s="569"/>
      <c r="NB627" s="569"/>
      <c r="NC627" s="569"/>
      <c r="ND627" s="569"/>
      <c r="NE627" s="569"/>
      <c r="NF627" s="569"/>
      <c r="NG627" s="569"/>
      <c r="NH627" s="569"/>
      <c r="NI627" s="569"/>
      <c r="NJ627" s="569"/>
      <c r="NK627" s="569"/>
      <c r="NL627" s="569"/>
      <c r="NM627" s="569"/>
      <c r="NN627" s="569"/>
      <c r="NO627" s="569"/>
      <c r="NP627" s="569"/>
      <c r="NQ627" s="569"/>
      <c r="NR627" s="569"/>
      <c r="NS627" s="569"/>
      <c r="NT627" s="569"/>
      <c r="NU627" s="569"/>
      <c r="NV627" s="569"/>
      <c r="NW627" s="569"/>
      <c r="NX627" s="569"/>
      <c r="NY627" s="569"/>
      <c r="NZ627" s="569"/>
      <c r="OA627" s="569"/>
      <c r="OB627" s="569"/>
      <c r="OC627" s="569"/>
      <c r="OD627" s="569"/>
      <c r="OE627" s="569"/>
      <c r="OF627" s="569"/>
      <c r="OG627" s="569"/>
      <c r="OH627" s="569"/>
      <c r="OI627" s="569"/>
      <c r="OJ627" s="569"/>
      <c r="OK627" s="569"/>
      <c r="OL627" s="569"/>
      <c r="OM627" s="569"/>
      <c r="ON627" s="569"/>
      <c r="OO627" s="569"/>
      <c r="OP627" s="569"/>
      <c r="OQ627" s="569"/>
      <c r="OR627" s="569"/>
      <c r="OS627" s="569"/>
      <c r="OT627" s="569"/>
      <c r="OU627" s="569"/>
      <c r="OV627" s="569"/>
      <c r="OW627" s="569"/>
      <c r="OX627" s="569"/>
      <c r="OY627" s="569"/>
      <c r="OZ627" s="569"/>
      <c r="PA627" s="569"/>
      <c r="PB627" s="569"/>
      <c r="PC627" s="569"/>
      <c r="PD627" s="569"/>
      <c r="PE627" s="569"/>
      <c r="PF627" s="569"/>
      <c r="PG627" s="569"/>
      <c r="PH627" s="569"/>
      <c r="PI627" s="569"/>
      <c r="PJ627" s="569"/>
      <c r="PK627" s="569"/>
      <c r="PL627" s="569"/>
      <c r="PM627" s="569"/>
      <c r="PN627" s="569"/>
      <c r="PO627" s="569"/>
      <c r="PP627" s="569"/>
      <c r="PQ627" s="569"/>
      <c r="PR627" s="569"/>
      <c r="PS627" s="569"/>
      <c r="PT627" s="569"/>
      <c r="PU627" s="569"/>
      <c r="PV627" s="569"/>
      <c r="PW627" s="569"/>
      <c r="PX627" s="569"/>
      <c r="PY627" s="569"/>
      <c r="PZ627" s="569"/>
      <c r="QA627" s="569"/>
      <c r="QB627" s="569"/>
      <c r="QC627" s="569"/>
      <c r="QD627" s="569"/>
      <c r="QE627" s="569"/>
      <c r="QF627" s="569"/>
      <c r="QG627" s="569"/>
      <c r="QH627" s="569"/>
      <c r="QI627" s="569"/>
      <c r="QJ627" s="569"/>
      <c r="QK627" s="569"/>
      <c r="QL627" s="569"/>
    </row>
    <row r="628" spans="1:454">
      <c r="D628" s="568"/>
      <c r="E628" s="568"/>
      <c r="F628" s="568"/>
      <c r="G628" s="568"/>
      <c r="H628" s="563" t="str">
        <f>'matrik MISI 1'!N18</f>
        <v xml:space="preserve">Peningkatan produktifitas Padi </v>
      </c>
      <c r="I628" s="563" t="str">
        <f>'matrik MISI 1'!O18</f>
        <v>Ton/Ha</v>
      </c>
      <c r="J628" s="563" t="str">
        <f>'matrik MISI 1'!P18</f>
        <v>6,15</v>
      </c>
      <c r="K628" s="563">
        <f>'matrik MISI 1'!Q18</f>
        <v>5.67</v>
      </c>
      <c r="L628" s="563" t="str">
        <f>'matrik MISI 1'!R18</f>
        <v>6,19</v>
      </c>
      <c r="M628" s="604"/>
      <c r="N628" s="563" t="str">
        <f>'matrik MISI 1'!S18</f>
        <v>6,38</v>
      </c>
      <c r="O628" s="564"/>
      <c r="P628" s="563" t="str">
        <f>'matrik MISI 1'!T18</f>
        <v>6,58</v>
      </c>
      <c r="Q628" s="564"/>
      <c r="R628" s="563" t="str">
        <f>'matrik MISI 1'!U18</f>
        <v>6,78</v>
      </c>
      <c r="S628" s="564"/>
      <c r="T628" s="563" t="str">
        <f>'matrik MISI 1'!V18</f>
        <v>6,99</v>
      </c>
      <c r="U628" s="564"/>
      <c r="V628" s="563" t="str">
        <f>'matrik MISI 1'!W18</f>
        <v>6,99</v>
      </c>
      <c r="W628" s="564"/>
      <c r="X628" s="563" t="str">
        <f>'matrik MISI 1'!X18</f>
        <v>DINTANBUNHUT</v>
      </c>
      <c r="Y628" s="563" t="str">
        <f>'matrik MISI 1'!Y18</f>
        <v>Total Produksi dibagi Luas Panen</v>
      </c>
      <c r="Z628" s="563">
        <f>'matrik MISI 1'!Z18</f>
        <v>0</v>
      </c>
    </row>
    <row r="629" spans="1:454" ht="30">
      <c r="G629" s="563"/>
      <c r="H629" s="563" t="str">
        <f>'matrik MISI 1'!N19</f>
        <v>Peningkatan produktifitas Jagung</v>
      </c>
      <c r="I629" s="563" t="str">
        <f>'matrik MISI 1'!O19</f>
        <v>Ton/Ha</v>
      </c>
      <c r="J629" s="563" t="str">
        <f>'matrik MISI 1'!P19</f>
        <v>5,6</v>
      </c>
      <c r="K629" s="563" t="str">
        <f>'matrik MISI 1'!Q19</f>
        <v>5,6</v>
      </c>
      <c r="L629" s="563" t="str">
        <f>'matrik MISI 1'!R19</f>
        <v>5,77</v>
      </c>
      <c r="M629" s="604"/>
      <c r="N629" s="563" t="str">
        <f>'matrik MISI 1'!S19</f>
        <v>6,03</v>
      </c>
      <c r="O629" s="564"/>
      <c r="P629" s="563" t="str">
        <f>'matrik MISI 1'!T19</f>
        <v>6,30</v>
      </c>
      <c r="Q629" s="564"/>
      <c r="R629" s="563" t="str">
        <f>'matrik MISI 1'!U19</f>
        <v>6,58</v>
      </c>
      <c r="S629" s="564"/>
      <c r="T629" s="563" t="str">
        <f>'matrik MISI 1'!V19</f>
        <v>6,88</v>
      </c>
      <c r="U629" s="564"/>
      <c r="V629" s="563" t="str">
        <f>'matrik MISI 1'!W19</f>
        <v>6,88</v>
      </c>
      <c r="W629" s="564"/>
      <c r="X629" s="563" t="str">
        <f>'matrik MISI 1'!X19</f>
        <v>DINTANBUNHUT</v>
      </c>
      <c r="Y629" s="563" t="str">
        <f>'matrik MISI 1'!Y19</f>
        <v>Total Produksi dibagi Luas Panen</v>
      </c>
      <c r="Z629" s="563">
        <f>'matrik MISI 1'!Z19</f>
        <v>0</v>
      </c>
    </row>
    <row r="630" spans="1:454" ht="30">
      <c r="G630" s="563"/>
      <c r="H630" s="563" t="str">
        <f>'matrik MISI 1'!N20</f>
        <v>Peningkatan produktifitas Ubi kayu</v>
      </c>
      <c r="I630" s="563" t="str">
        <f>'matrik MISI 1'!O20</f>
        <v>Ton/Ha</v>
      </c>
      <c r="J630" s="563" t="str">
        <f>'matrik MISI 1'!P20</f>
        <v>24,48</v>
      </c>
      <c r="K630" s="563" t="str">
        <f>'matrik MISI 1'!Q20</f>
        <v>25,01</v>
      </c>
      <c r="L630" s="563" t="str">
        <f>'matrik MISI 1'!R20</f>
        <v>25,51</v>
      </c>
      <c r="M630" s="604"/>
      <c r="N630" s="563" t="str">
        <f>'matrik MISI 1'!S20</f>
        <v>26,02</v>
      </c>
      <c r="O630" s="564"/>
      <c r="P630" s="563" t="str">
        <f>'matrik MISI 1'!T20</f>
        <v>26,54</v>
      </c>
      <c r="Q630" s="564"/>
      <c r="R630" s="563" t="str">
        <f>'matrik MISI 1'!U20</f>
        <v>27,07</v>
      </c>
      <c r="S630" s="564"/>
      <c r="T630" s="563" t="str">
        <f>'matrik MISI 1'!V20</f>
        <v>27,61</v>
      </c>
      <c r="U630" s="564"/>
      <c r="V630" s="563" t="str">
        <f>'matrik MISI 1'!W20</f>
        <v>27,61</v>
      </c>
      <c r="W630" s="564"/>
      <c r="X630" s="563" t="str">
        <f>'matrik MISI 1'!X20</f>
        <v>DINTANBUNHUT</v>
      </c>
      <c r="Y630" s="563" t="str">
        <f>'matrik MISI 1'!Y20</f>
        <v>Total Produksi dibagi Luas Panen</v>
      </c>
      <c r="Z630" s="563">
        <f>'matrik MISI 1'!Z20</f>
        <v>0</v>
      </c>
    </row>
    <row r="631" spans="1:454" ht="30">
      <c r="G631" s="563"/>
      <c r="H631" s="563" t="str">
        <f>'matrik MISI 1'!N21</f>
        <v>Peningkatan produktifitas Cabai</v>
      </c>
      <c r="I631" s="563" t="str">
        <f>'matrik MISI 1'!O21</f>
        <v>Ton/Ha</v>
      </c>
      <c r="J631" s="563" t="str">
        <f>'matrik MISI 1'!P21</f>
        <v>4,02</v>
      </c>
      <c r="K631" s="563">
        <f>'matrik MISI 1'!Q21</f>
        <v>6.15</v>
      </c>
      <c r="L631" s="563">
        <f>'matrik MISI 1'!R21</f>
        <v>6.16</v>
      </c>
      <c r="M631" s="604"/>
      <c r="N631" s="563">
        <f>'matrik MISI 1'!S21</f>
        <v>6.2</v>
      </c>
      <c r="O631" s="564"/>
      <c r="P631" s="563" t="str">
        <f>'matrik MISI 1'!T21</f>
        <v>6,30</v>
      </c>
      <c r="Q631" s="564"/>
      <c r="R631" s="563" t="str">
        <f>'matrik MISI 1'!U21</f>
        <v>6,50</v>
      </c>
      <c r="S631" s="564"/>
      <c r="T631" s="563" t="str">
        <f>'matrik MISI 1'!V21</f>
        <v>6,70</v>
      </c>
      <c r="U631" s="564"/>
      <c r="V631" s="563" t="str">
        <f>'matrik MISI 1'!W21</f>
        <v>6,70</v>
      </c>
      <c r="W631" s="564"/>
      <c r="X631" s="563" t="str">
        <f>'matrik MISI 1'!X21</f>
        <v>DINTANBUNHUT</v>
      </c>
      <c r="Y631" s="563" t="str">
        <f>'matrik MISI 1'!Y21</f>
        <v>Produktivitas kali luas panen</v>
      </c>
      <c r="Z631" s="563" t="str">
        <f>'matrik MISI 1'!Z21</f>
        <v>Peningkatan produksi 2% pertahun *produksi tahun 2013 merupakan angka estimasi</v>
      </c>
    </row>
    <row r="632" spans="1:454">
      <c r="G632" s="563"/>
      <c r="H632" s="563" t="str">
        <f>'matrik MISI 1'!N22</f>
        <v>Peningkatan produktifitas Kobis</v>
      </c>
      <c r="I632" s="563" t="str">
        <f>'matrik MISI 1'!O22</f>
        <v>Ton/Ha</v>
      </c>
      <c r="J632" s="563" t="str">
        <f>'matrik MISI 1'!P22</f>
        <v>23,90</v>
      </c>
      <c r="K632" s="563" t="str">
        <f>'matrik MISI 1'!Q22</f>
        <v>24,50</v>
      </c>
      <c r="L632" s="563" t="str">
        <f>'matrik MISI 1'!R22</f>
        <v>24,99</v>
      </c>
      <c r="M632" s="604"/>
      <c r="N632" s="563" t="str">
        <f>'matrik MISI 1'!S22</f>
        <v>25,49</v>
      </c>
      <c r="O632" s="564"/>
      <c r="P632" s="563" t="str">
        <f>'matrik MISI 1'!T22</f>
        <v>26,00</v>
      </c>
      <c r="Q632" s="564"/>
      <c r="R632" s="563" t="str">
        <f>'matrik MISI 1'!U22</f>
        <v>26,52</v>
      </c>
      <c r="S632" s="564"/>
      <c r="T632" s="563" t="str">
        <f>'matrik MISI 1'!V22</f>
        <v>27,05</v>
      </c>
      <c r="U632" s="564"/>
      <c r="V632" s="563" t="str">
        <f>'matrik MISI 1'!W22</f>
        <v>27,05</v>
      </c>
      <c r="W632" s="564"/>
      <c r="X632" s="563" t="str">
        <f>'matrik MISI 1'!X22</f>
        <v>DINTANBUNHUT</v>
      </c>
      <c r="Y632" s="563" t="str">
        <f>'matrik MISI 1'!Y22</f>
        <v>Total Produksi dibagi Luas Panen</v>
      </c>
      <c r="Z632" s="563">
        <f>'matrik MISI 1'!Z22</f>
        <v>0</v>
      </c>
    </row>
    <row r="633" spans="1:454" ht="30">
      <c r="G633" s="563"/>
      <c r="H633" s="563" t="str">
        <f>'matrik MISI 1'!N23</f>
        <v>Peningkatan produktifitas Tembakau</v>
      </c>
      <c r="I633" s="563" t="str">
        <f>'matrik MISI 1'!O23</f>
        <v>Ton/Ha</v>
      </c>
      <c r="J633" s="563" t="str">
        <f>'matrik MISI 1'!P23</f>
        <v>0,64</v>
      </c>
      <c r="K633" s="563" t="str">
        <f>'matrik MISI 1'!Q23</f>
        <v>0,64</v>
      </c>
      <c r="L633" s="563" t="str">
        <f>'matrik MISI 1'!R23</f>
        <v>0,66</v>
      </c>
      <c r="M633" s="604"/>
      <c r="N633" s="563" t="str">
        <f>'matrik MISI 1'!S23</f>
        <v>0,69</v>
      </c>
      <c r="O633" s="564"/>
      <c r="P633" s="563" t="str">
        <f>'matrik MISI 1'!T23</f>
        <v>0,72</v>
      </c>
      <c r="Q633" s="564"/>
      <c r="R633" s="563" t="str">
        <f>'matrik MISI 1'!U23</f>
        <v>0,75</v>
      </c>
      <c r="S633" s="564"/>
      <c r="T633" s="563" t="str">
        <f>'matrik MISI 1'!V23</f>
        <v>0,79</v>
      </c>
      <c r="U633" s="564"/>
      <c r="V633" s="563" t="str">
        <f>'matrik MISI 1'!W23</f>
        <v>0,79</v>
      </c>
      <c r="W633" s="564"/>
      <c r="X633" s="563" t="str">
        <f>'matrik MISI 1'!X23</f>
        <v>DINTANBUNHUT</v>
      </c>
      <c r="Y633" s="563" t="str">
        <f>'matrik MISI 1'!Y23</f>
        <v>Total Produksi dibagi Luas Panen</v>
      </c>
      <c r="Z633" s="563">
        <f>'matrik MISI 1'!Z23</f>
        <v>0</v>
      </c>
    </row>
    <row r="634" spans="1:454" ht="30">
      <c r="G634" s="563"/>
      <c r="H634" s="563" t="str">
        <f>'matrik MISI 1'!N24</f>
        <v>Peningkatan produktifitas Kopi Robusta</v>
      </c>
      <c r="I634" s="563" t="str">
        <f>'matrik MISI 1'!O24</f>
        <v>Ton/Ha</v>
      </c>
      <c r="J634" s="563" t="str">
        <f>'matrik MISI 1'!P24</f>
        <v>1,1</v>
      </c>
      <c r="K634" s="563" t="str">
        <f>'matrik MISI 1'!Q24</f>
        <v>0,91</v>
      </c>
      <c r="L634" s="563" t="str">
        <f>'matrik MISI 1'!R24</f>
        <v>0,95</v>
      </c>
      <c r="M634" s="604"/>
      <c r="N634" s="563" t="str">
        <f>'matrik MISI 1'!S24</f>
        <v>0,97</v>
      </c>
      <c r="O634" s="564"/>
      <c r="P634" s="563" t="str">
        <f>'matrik MISI 1'!T24</f>
        <v>0,99</v>
      </c>
      <c r="Q634" s="564"/>
      <c r="R634" s="563" t="str">
        <f>'matrik MISI 1'!U24</f>
        <v>1,00</v>
      </c>
      <c r="S634" s="564"/>
      <c r="T634" s="563" t="str">
        <f>'matrik MISI 1'!V24</f>
        <v>1,10</v>
      </c>
      <c r="U634" s="564"/>
      <c r="V634" s="563" t="str">
        <f>'matrik MISI 1'!W24</f>
        <v>1,10</v>
      </c>
      <c r="W634" s="564"/>
      <c r="X634" s="563" t="str">
        <f>'matrik MISI 1'!X24</f>
        <v>DINTANBUNHUT</v>
      </c>
      <c r="Y634" s="563" t="str">
        <f>'matrik MISI 1'!Y24</f>
        <v>Total Produksi dibagi Luas Panen</v>
      </c>
      <c r="Z634" s="563">
        <f>'matrik MISI 1'!Z24</f>
        <v>0</v>
      </c>
    </row>
    <row r="635" spans="1:454" ht="30">
      <c r="G635" s="563"/>
      <c r="H635" s="563" t="str">
        <f>'matrik MISI 1'!N25</f>
        <v>Peningkatan produktifitas Kopi Arabika</v>
      </c>
      <c r="I635" s="563" t="str">
        <f>'matrik MISI 1'!O25</f>
        <v>Ton/Ha</v>
      </c>
      <c r="J635" s="563" t="str">
        <f>'matrik MISI 1'!P25</f>
        <v>0,95</v>
      </c>
      <c r="K635" s="563" t="str">
        <f>'matrik MISI 1'!Q25</f>
        <v>0,75</v>
      </c>
      <c r="L635" s="563" t="str">
        <f>'matrik MISI 1'!R25</f>
        <v>0,80</v>
      </c>
      <c r="M635" s="604"/>
      <c r="N635" s="563" t="str">
        <f>'matrik MISI 1'!S25</f>
        <v>0,82</v>
      </c>
      <c r="O635" s="564"/>
      <c r="P635" s="563" t="str">
        <f>'matrik MISI 1'!T25</f>
        <v>0,85</v>
      </c>
      <c r="Q635" s="564"/>
      <c r="R635" s="563" t="str">
        <f>'matrik MISI 1'!U25</f>
        <v>0,87</v>
      </c>
      <c r="S635" s="564"/>
      <c r="T635" s="563" t="str">
        <f>'matrik MISI 1'!V25</f>
        <v>0,90</v>
      </c>
      <c r="U635" s="564"/>
      <c r="V635" s="563" t="str">
        <f>'matrik MISI 1'!W25</f>
        <v>0,90</v>
      </c>
      <c r="W635" s="564"/>
      <c r="X635" s="563" t="str">
        <f>'matrik MISI 1'!X25</f>
        <v>DINTANBUNHUT</v>
      </c>
      <c r="Y635" s="563" t="str">
        <f>'matrik MISI 1'!Y25</f>
        <v>Produktivitas kali luas Panen</v>
      </c>
      <c r="Z635" s="563">
        <f>'matrik MISI 1'!Z25</f>
        <v>0</v>
      </c>
    </row>
    <row r="636" spans="1:454" s="574" customFormat="1" ht="45">
      <c r="A636" s="569"/>
      <c r="B636" s="575"/>
      <c r="C636" s="576"/>
      <c r="D636" s="577" t="str">
        <f>'matrik MISI 1'!J26</f>
        <v>2.01</v>
      </c>
      <c r="E636" s="577" t="str">
        <f>'matrik MISI 1'!K26</f>
        <v>xx</v>
      </c>
      <c r="F636" s="577">
        <f>'matrik MISI 1'!L26</f>
        <v>22</v>
      </c>
      <c r="G636" s="577" t="str">
        <f>'matrik MISI 1'!M26</f>
        <v>Program Peningkatan Produksi Hasil peternakan</v>
      </c>
      <c r="H636" s="577"/>
      <c r="I636" s="577"/>
      <c r="J636" s="577"/>
      <c r="K636" s="577"/>
      <c r="L636" s="577"/>
      <c r="M636" s="578">
        <f>'jangan dihapus 2'!K567</f>
        <v>40000000</v>
      </c>
      <c r="N636" s="577"/>
      <c r="O636" s="578">
        <f>'jangan dihapus 2'!M567</f>
        <v>75000000</v>
      </c>
      <c r="P636" s="577"/>
      <c r="Q636" s="578">
        <f>'jangan dihapus 2'!O567</f>
        <v>85000000</v>
      </c>
      <c r="R636" s="577"/>
      <c r="S636" s="578">
        <f>'jangan dihapus 2'!Q567</f>
        <v>85000000</v>
      </c>
      <c r="T636" s="577"/>
      <c r="U636" s="578">
        <f>'jangan dihapus 2'!S567</f>
        <v>90000000</v>
      </c>
      <c r="V636" s="577"/>
      <c r="W636" s="578">
        <f>SUM(M636:U636)</f>
        <v>375000000</v>
      </c>
      <c r="X636" s="577"/>
      <c r="Y636" s="577"/>
      <c r="Z636" s="577"/>
      <c r="AA636" s="569"/>
      <c r="AB636" s="569"/>
      <c r="AC636" s="569"/>
      <c r="AD636" s="569"/>
      <c r="AE636" s="569"/>
      <c r="AF636" s="569"/>
      <c r="AG636" s="569"/>
      <c r="AH636" s="569"/>
      <c r="AI636" s="569"/>
      <c r="AJ636" s="569"/>
      <c r="AK636" s="569"/>
      <c r="AL636" s="569"/>
      <c r="AM636" s="569"/>
      <c r="AN636" s="569"/>
      <c r="AO636" s="569"/>
      <c r="AP636" s="569"/>
      <c r="AQ636" s="569"/>
      <c r="AR636" s="569"/>
      <c r="AS636" s="569"/>
      <c r="AT636" s="569"/>
      <c r="AU636" s="569"/>
      <c r="AV636" s="569"/>
      <c r="AW636" s="569"/>
      <c r="AX636" s="569"/>
      <c r="AY636" s="569"/>
      <c r="AZ636" s="569"/>
      <c r="BA636" s="569"/>
      <c r="BB636" s="569"/>
      <c r="BC636" s="569"/>
      <c r="BD636" s="569"/>
      <c r="BE636" s="569"/>
      <c r="BF636" s="569"/>
      <c r="BG636" s="569"/>
      <c r="BH636" s="569"/>
      <c r="BI636" s="569"/>
      <c r="BJ636" s="569"/>
      <c r="BK636" s="569"/>
      <c r="BL636" s="569"/>
      <c r="BM636" s="569"/>
      <c r="BN636" s="569"/>
      <c r="BO636" s="569"/>
      <c r="BP636" s="569"/>
      <c r="BQ636" s="569"/>
      <c r="BR636" s="569"/>
      <c r="BS636" s="569"/>
      <c r="BT636" s="569"/>
      <c r="BU636" s="569"/>
      <c r="BV636" s="569"/>
      <c r="BW636" s="569"/>
      <c r="BX636" s="569"/>
      <c r="BY636" s="569"/>
      <c r="BZ636" s="569"/>
      <c r="CA636" s="569"/>
      <c r="CB636" s="569"/>
      <c r="CC636" s="569"/>
      <c r="CD636" s="569"/>
      <c r="CE636" s="569"/>
      <c r="CF636" s="569"/>
      <c r="CG636" s="569"/>
      <c r="CH636" s="569"/>
      <c r="CI636" s="569"/>
      <c r="CJ636" s="569"/>
      <c r="CK636" s="569"/>
      <c r="CL636" s="569"/>
      <c r="CM636" s="569"/>
      <c r="CN636" s="569"/>
      <c r="CO636" s="569"/>
      <c r="CP636" s="569"/>
      <c r="CQ636" s="569"/>
      <c r="CR636" s="569"/>
      <c r="CS636" s="569"/>
      <c r="CT636" s="569"/>
      <c r="CU636" s="569"/>
      <c r="CV636" s="569"/>
      <c r="CW636" s="569"/>
      <c r="CX636" s="569"/>
      <c r="CY636" s="569"/>
      <c r="CZ636" s="569"/>
      <c r="DA636" s="569"/>
      <c r="DB636" s="569"/>
      <c r="DC636" s="569"/>
      <c r="DD636" s="569"/>
      <c r="DE636" s="569"/>
      <c r="DF636" s="569"/>
      <c r="DG636" s="569"/>
      <c r="DH636" s="569"/>
      <c r="DI636" s="569"/>
      <c r="DJ636" s="569"/>
      <c r="DK636" s="569"/>
      <c r="DL636" s="569"/>
      <c r="DM636" s="569"/>
      <c r="DN636" s="569"/>
      <c r="DO636" s="569"/>
      <c r="DP636" s="569"/>
      <c r="DQ636" s="569"/>
      <c r="DR636" s="569"/>
      <c r="DS636" s="569"/>
      <c r="DT636" s="569"/>
      <c r="DU636" s="569"/>
      <c r="DV636" s="569"/>
      <c r="DW636" s="569"/>
      <c r="DX636" s="569"/>
      <c r="DY636" s="569"/>
      <c r="DZ636" s="569"/>
      <c r="EA636" s="569"/>
      <c r="EB636" s="569"/>
      <c r="EC636" s="569"/>
      <c r="ED636" s="569"/>
      <c r="EE636" s="569"/>
      <c r="EF636" s="569"/>
      <c r="EG636" s="569"/>
      <c r="EH636" s="569"/>
      <c r="EI636" s="569"/>
      <c r="EJ636" s="569"/>
      <c r="EK636" s="569"/>
      <c r="EL636" s="569"/>
      <c r="EM636" s="569"/>
      <c r="EN636" s="569"/>
      <c r="EO636" s="569"/>
      <c r="EP636" s="569"/>
      <c r="EQ636" s="569"/>
      <c r="ER636" s="569"/>
      <c r="ES636" s="569"/>
      <c r="ET636" s="569"/>
      <c r="EU636" s="569"/>
      <c r="EV636" s="569"/>
      <c r="EW636" s="569"/>
      <c r="EX636" s="569"/>
      <c r="EY636" s="569"/>
      <c r="EZ636" s="569"/>
      <c r="FA636" s="569"/>
      <c r="FB636" s="569"/>
      <c r="FC636" s="569"/>
      <c r="FD636" s="569"/>
      <c r="FE636" s="569"/>
      <c r="FF636" s="569"/>
      <c r="FG636" s="569"/>
      <c r="FH636" s="569"/>
      <c r="FI636" s="569"/>
      <c r="FJ636" s="569"/>
      <c r="FK636" s="569"/>
      <c r="FL636" s="569"/>
      <c r="FM636" s="569"/>
      <c r="FN636" s="569"/>
      <c r="FO636" s="569"/>
      <c r="FP636" s="569"/>
      <c r="FQ636" s="569"/>
      <c r="FR636" s="569"/>
      <c r="FS636" s="569"/>
      <c r="FT636" s="569"/>
      <c r="FU636" s="569"/>
      <c r="FV636" s="569"/>
      <c r="FW636" s="569"/>
      <c r="FX636" s="569"/>
      <c r="FY636" s="569"/>
      <c r="FZ636" s="569"/>
      <c r="GA636" s="569"/>
      <c r="GB636" s="569"/>
      <c r="GC636" s="569"/>
      <c r="GD636" s="569"/>
      <c r="GE636" s="569"/>
      <c r="GF636" s="569"/>
      <c r="GG636" s="569"/>
      <c r="GH636" s="569"/>
      <c r="GI636" s="569"/>
      <c r="GJ636" s="569"/>
      <c r="GK636" s="569"/>
      <c r="GL636" s="569"/>
      <c r="GM636" s="569"/>
      <c r="GN636" s="569"/>
      <c r="GO636" s="569"/>
      <c r="GP636" s="569"/>
      <c r="GQ636" s="569"/>
      <c r="GR636" s="569"/>
      <c r="GS636" s="569"/>
      <c r="GT636" s="569"/>
      <c r="GU636" s="569"/>
      <c r="GV636" s="569"/>
      <c r="GW636" s="569"/>
      <c r="GX636" s="569"/>
      <c r="GY636" s="569"/>
      <c r="GZ636" s="569"/>
      <c r="HA636" s="569"/>
      <c r="HB636" s="569"/>
      <c r="HC636" s="569"/>
      <c r="HD636" s="569"/>
      <c r="HE636" s="569"/>
      <c r="HF636" s="569"/>
      <c r="HG636" s="569"/>
      <c r="HH636" s="569"/>
      <c r="HI636" s="569"/>
      <c r="HJ636" s="569"/>
      <c r="HK636" s="569"/>
      <c r="HL636" s="569"/>
      <c r="HM636" s="569"/>
      <c r="HN636" s="569"/>
      <c r="HO636" s="569"/>
      <c r="HP636" s="569"/>
      <c r="HQ636" s="569"/>
      <c r="HR636" s="569"/>
      <c r="HS636" s="569"/>
      <c r="HT636" s="569"/>
      <c r="HU636" s="569"/>
      <c r="HV636" s="569"/>
      <c r="HW636" s="569"/>
      <c r="HX636" s="569"/>
      <c r="HY636" s="569"/>
      <c r="HZ636" s="569"/>
      <c r="IA636" s="569"/>
      <c r="IB636" s="569"/>
      <c r="IC636" s="569"/>
      <c r="ID636" s="569"/>
      <c r="IE636" s="569"/>
      <c r="IF636" s="569"/>
      <c r="IG636" s="569"/>
      <c r="IH636" s="569"/>
      <c r="II636" s="569"/>
      <c r="IJ636" s="569"/>
      <c r="IK636" s="569"/>
      <c r="IL636" s="569"/>
      <c r="IM636" s="569"/>
      <c r="IN636" s="569"/>
      <c r="IO636" s="569"/>
      <c r="IP636" s="569"/>
      <c r="IQ636" s="569"/>
      <c r="IR636" s="569"/>
      <c r="IS636" s="569"/>
      <c r="IT636" s="569"/>
      <c r="IU636" s="569"/>
      <c r="IV636" s="569"/>
      <c r="IW636" s="569"/>
      <c r="IX636" s="569"/>
      <c r="IY636" s="569"/>
      <c r="IZ636" s="569"/>
      <c r="JA636" s="569"/>
      <c r="JB636" s="569"/>
      <c r="JC636" s="569"/>
      <c r="JD636" s="569"/>
      <c r="JE636" s="569"/>
      <c r="JF636" s="569"/>
      <c r="JG636" s="569"/>
      <c r="JH636" s="569"/>
      <c r="JI636" s="569"/>
      <c r="JJ636" s="569"/>
      <c r="JK636" s="569"/>
      <c r="JL636" s="569"/>
      <c r="JM636" s="569"/>
      <c r="JN636" s="569"/>
      <c r="JO636" s="569"/>
      <c r="JP636" s="569"/>
      <c r="JQ636" s="569"/>
      <c r="JR636" s="569"/>
      <c r="JS636" s="569"/>
      <c r="JT636" s="569"/>
      <c r="JU636" s="569"/>
      <c r="JV636" s="569"/>
      <c r="JW636" s="569"/>
      <c r="JX636" s="569"/>
      <c r="JY636" s="569"/>
      <c r="JZ636" s="569"/>
      <c r="KA636" s="569"/>
      <c r="KB636" s="569"/>
      <c r="KC636" s="569"/>
      <c r="KD636" s="569"/>
      <c r="KE636" s="569"/>
      <c r="KF636" s="569"/>
      <c r="KG636" s="569"/>
      <c r="KH636" s="569"/>
      <c r="KI636" s="569"/>
      <c r="KJ636" s="569"/>
      <c r="KK636" s="569"/>
      <c r="KL636" s="569"/>
      <c r="KM636" s="569"/>
      <c r="KN636" s="569"/>
      <c r="KO636" s="569"/>
      <c r="KP636" s="569"/>
      <c r="KQ636" s="569"/>
      <c r="KR636" s="569"/>
      <c r="KS636" s="569"/>
      <c r="KT636" s="569"/>
      <c r="KU636" s="569"/>
      <c r="KV636" s="569"/>
      <c r="KW636" s="569"/>
      <c r="KX636" s="569"/>
      <c r="KY636" s="569"/>
      <c r="KZ636" s="569"/>
      <c r="LA636" s="569"/>
      <c r="LB636" s="569"/>
      <c r="LC636" s="569"/>
      <c r="LD636" s="569"/>
      <c r="LE636" s="569"/>
      <c r="LF636" s="569"/>
      <c r="LG636" s="569"/>
      <c r="LH636" s="569"/>
      <c r="LI636" s="569"/>
      <c r="LJ636" s="569"/>
      <c r="LK636" s="569"/>
      <c r="LL636" s="569"/>
      <c r="LM636" s="569"/>
      <c r="LN636" s="569"/>
      <c r="LO636" s="569"/>
      <c r="LP636" s="569"/>
      <c r="LQ636" s="569"/>
      <c r="LR636" s="569"/>
      <c r="LS636" s="569"/>
      <c r="LT636" s="569"/>
      <c r="LU636" s="569"/>
      <c r="LV636" s="569"/>
      <c r="LW636" s="569"/>
      <c r="LX636" s="569"/>
      <c r="LY636" s="569"/>
      <c r="LZ636" s="569"/>
      <c r="MA636" s="569"/>
      <c r="MB636" s="569"/>
      <c r="MC636" s="569"/>
      <c r="MD636" s="569"/>
      <c r="ME636" s="569"/>
      <c r="MF636" s="569"/>
      <c r="MG636" s="569"/>
      <c r="MH636" s="569"/>
      <c r="MI636" s="569"/>
      <c r="MJ636" s="569"/>
      <c r="MK636" s="569"/>
      <c r="ML636" s="569"/>
      <c r="MM636" s="569"/>
      <c r="MN636" s="569"/>
      <c r="MO636" s="569"/>
      <c r="MP636" s="569"/>
      <c r="MQ636" s="569"/>
      <c r="MR636" s="569"/>
      <c r="MS636" s="569"/>
      <c r="MT636" s="569"/>
      <c r="MU636" s="569"/>
      <c r="MV636" s="569"/>
      <c r="MW636" s="569"/>
      <c r="MX636" s="569"/>
      <c r="MY636" s="569"/>
      <c r="MZ636" s="569"/>
      <c r="NA636" s="569"/>
      <c r="NB636" s="569"/>
      <c r="NC636" s="569"/>
      <c r="ND636" s="569"/>
      <c r="NE636" s="569"/>
      <c r="NF636" s="569"/>
      <c r="NG636" s="569"/>
      <c r="NH636" s="569"/>
      <c r="NI636" s="569"/>
      <c r="NJ636" s="569"/>
      <c r="NK636" s="569"/>
      <c r="NL636" s="569"/>
      <c r="NM636" s="569"/>
      <c r="NN636" s="569"/>
      <c r="NO636" s="569"/>
      <c r="NP636" s="569"/>
      <c r="NQ636" s="569"/>
      <c r="NR636" s="569"/>
      <c r="NS636" s="569"/>
      <c r="NT636" s="569"/>
      <c r="NU636" s="569"/>
      <c r="NV636" s="569"/>
      <c r="NW636" s="569"/>
      <c r="NX636" s="569"/>
      <c r="NY636" s="569"/>
      <c r="NZ636" s="569"/>
      <c r="OA636" s="569"/>
      <c r="OB636" s="569"/>
      <c r="OC636" s="569"/>
      <c r="OD636" s="569"/>
      <c r="OE636" s="569"/>
      <c r="OF636" s="569"/>
      <c r="OG636" s="569"/>
      <c r="OH636" s="569"/>
      <c r="OI636" s="569"/>
      <c r="OJ636" s="569"/>
      <c r="OK636" s="569"/>
      <c r="OL636" s="569"/>
      <c r="OM636" s="569"/>
      <c r="ON636" s="569"/>
      <c r="OO636" s="569"/>
      <c r="OP636" s="569"/>
      <c r="OQ636" s="569"/>
      <c r="OR636" s="569"/>
      <c r="OS636" s="569"/>
      <c r="OT636" s="569"/>
      <c r="OU636" s="569"/>
      <c r="OV636" s="569"/>
      <c r="OW636" s="569"/>
      <c r="OX636" s="569"/>
      <c r="OY636" s="569"/>
      <c r="OZ636" s="569"/>
      <c r="PA636" s="569"/>
      <c r="PB636" s="569"/>
      <c r="PC636" s="569"/>
      <c r="PD636" s="569"/>
      <c r="PE636" s="569"/>
      <c r="PF636" s="569"/>
      <c r="PG636" s="569"/>
      <c r="PH636" s="569"/>
      <c r="PI636" s="569"/>
      <c r="PJ636" s="569"/>
      <c r="PK636" s="569"/>
      <c r="PL636" s="569"/>
      <c r="PM636" s="569"/>
      <c r="PN636" s="569"/>
      <c r="PO636" s="569"/>
      <c r="PP636" s="569"/>
      <c r="PQ636" s="569"/>
      <c r="PR636" s="569"/>
      <c r="PS636" s="569"/>
      <c r="PT636" s="569"/>
      <c r="PU636" s="569"/>
      <c r="PV636" s="569"/>
      <c r="PW636" s="569"/>
      <c r="PX636" s="569"/>
      <c r="PY636" s="569"/>
      <c r="PZ636" s="569"/>
      <c r="QA636" s="569"/>
      <c r="QB636" s="569"/>
      <c r="QC636" s="569"/>
      <c r="QD636" s="569"/>
      <c r="QE636" s="569"/>
      <c r="QF636" s="569"/>
      <c r="QG636" s="569"/>
      <c r="QH636" s="569"/>
      <c r="QI636" s="569"/>
      <c r="QJ636" s="569"/>
      <c r="QK636" s="569"/>
      <c r="QL636" s="569"/>
    </row>
    <row r="637" spans="1:454" ht="30">
      <c r="D637" s="568"/>
      <c r="E637" s="568"/>
      <c r="F637" s="568"/>
      <c r="G637" s="568"/>
      <c r="H637" s="563" t="str">
        <f>'matrik MISI 1'!N26</f>
        <v>Peningkatan Produktivitas daging Sapi</v>
      </c>
      <c r="I637" s="563" t="str">
        <f>'matrik MISI 1'!O26</f>
        <v>Kg/Ekor</v>
      </c>
      <c r="J637" s="563">
        <f>'matrik MISI 1'!P26</f>
        <v>159</v>
      </c>
      <c r="K637" s="563">
        <f>'matrik MISI 1'!Q26</f>
        <v>160</v>
      </c>
      <c r="L637" s="563" t="str">
        <f>'matrik MISI 1'!R26</f>
        <v xml:space="preserve">163,20 </v>
      </c>
      <c r="M637" s="604"/>
      <c r="N637" s="563" t="str">
        <f>'matrik MISI 1'!S26</f>
        <v>166,46</v>
      </c>
      <c r="O637" s="564"/>
      <c r="P637" s="563" t="str">
        <f>'matrik MISI 1'!T26</f>
        <v>169,79</v>
      </c>
      <c r="Q637" s="564"/>
      <c r="R637" s="563" t="str">
        <f>'matrik MISI 1'!U26</f>
        <v>173,19</v>
      </c>
      <c r="S637" s="564"/>
      <c r="T637" s="563" t="str">
        <f>'matrik MISI 1'!V26</f>
        <v>176,65</v>
      </c>
      <c r="U637" s="564"/>
      <c r="V637" s="563">
        <f>'matrik MISI 1'!W26</f>
        <v>176.65</v>
      </c>
      <c r="W637" s="564"/>
      <c r="X637" s="563" t="str">
        <f>'matrik MISI 1'!X26</f>
        <v>DINAKAN</v>
      </c>
      <c r="Y637" s="563" t="str">
        <f>'matrik MISI 1'!Y26</f>
        <v>Produktifitas sapi per ekor</v>
      </c>
      <c r="Z637" s="563" t="str">
        <f>'matrik MISI 1'!Z26</f>
        <v>produkstivitas adalah bobot daging yang dihasilkan per ekor</v>
      </c>
    </row>
    <row r="638" spans="1:454" ht="30">
      <c r="G638" s="563"/>
      <c r="H638" s="563" t="str">
        <f>'matrik MISI 1'!N27</f>
        <v>Peningkatan Produktivitas daging Kambing</v>
      </c>
      <c r="I638" s="563" t="str">
        <f>'matrik MISI 1'!O27</f>
        <v>Kg/Ekor</v>
      </c>
      <c r="J638" s="563">
        <f>'matrik MISI 1'!P27</f>
        <v>12.5</v>
      </c>
      <c r="K638" s="563">
        <f>'matrik MISI 1'!Q27</f>
        <v>13</v>
      </c>
      <c r="L638" s="563" t="str">
        <f>'matrik MISI 1'!R27</f>
        <v>13,13</v>
      </c>
      <c r="M638" s="604"/>
      <c r="N638" s="563" t="str">
        <f>'matrik MISI 1'!S27</f>
        <v>13,26</v>
      </c>
      <c r="O638" s="564"/>
      <c r="P638" s="563" t="str">
        <f>'matrik MISI 1'!T27</f>
        <v>13,39</v>
      </c>
      <c r="Q638" s="564"/>
      <c r="R638" s="563" t="str">
        <f>'matrik MISI 1'!U27</f>
        <v>13,53</v>
      </c>
      <c r="S638" s="564"/>
      <c r="T638" s="563" t="str">
        <f>'matrik MISI 1'!V27</f>
        <v>13,66</v>
      </c>
      <c r="U638" s="564"/>
      <c r="V638" s="563" t="str">
        <f>'matrik MISI 1'!W27</f>
        <v>13,66</v>
      </c>
      <c r="W638" s="564"/>
      <c r="X638" s="563" t="str">
        <f>'matrik MISI 1'!X27</f>
        <v>DINAKAN</v>
      </c>
      <c r="Y638" s="563" t="str">
        <f>'matrik MISI 1'!Y27</f>
        <v>Produktifitas Kambing per ekor</v>
      </c>
      <c r="Z638" s="563" t="str">
        <f>'matrik MISI 1'!Z27</f>
        <v>produkstivitas adalah bobot daging yang dihasilkan per ekor</v>
      </c>
    </row>
    <row r="639" spans="1:454" ht="30">
      <c r="G639" s="563"/>
      <c r="H639" s="563" t="str">
        <f>'matrik MISI 1'!N28</f>
        <v>Peningkatan Produktivitas daging Domba</v>
      </c>
      <c r="I639" s="563" t="str">
        <f>'matrik MISI 1'!O28</f>
        <v>Kg/Ekor</v>
      </c>
      <c r="J639" s="563">
        <f>'matrik MISI 1'!P28</f>
        <v>12.5</v>
      </c>
      <c r="K639" s="563">
        <f>'matrik MISI 1'!Q28</f>
        <v>13</v>
      </c>
      <c r="L639" s="563" t="str">
        <f>'matrik MISI 1'!R28</f>
        <v>13,13</v>
      </c>
      <c r="M639" s="604"/>
      <c r="N639" s="563" t="str">
        <f>'matrik MISI 1'!S28</f>
        <v>13,26</v>
      </c>
      <c r="O639" s="564"/>
      <c r="P639" s="563" t="str">
        <f>'matrik MISI 1'!T28</f>
        <v>13,39</v>
      </c>
      <c r="Q639" s="564"/>
      <c r="R639" s="563" t="str">
        <f>'matrik MISI 1'!U28</f>
        <v>13,53</v>
      </c>
      <c r="S639" s="564"/>
      <c r="T639" s="563" t="str">
        <f>'matrik MISI 1'!V28</f>
        <v>13,66</v>
      </c>
      <c r="U639" s="564"/>
      <c r="V639" s="563" t="str">
        <f>'matrik MISI 1'!W28</f>
        <v>13,66</v>
      </c>
      <c r="W639" s="564"/>
      <c r="X639" s="563" t="str">
        <f>'matrik MISI 1'!X28</f>
        <v>DINAKAN</v>
      </c>
      <c r="Y639" s="563" t="str">
        <f>'matrik MISI 1'!Y28</f>
        <v>Produktifitas domba per ekor</v>
      </c>
      <c r="Z639" s="563" t="str">
        <f>'matrik MISI 1'!Z28</f>
        <v>produkstivitas adalah bobot daging yang dihasilkan per ekor</v>
      </c>
    </row>
    <row r="640" spans="1:454" ht="30">
      <c r="G640" s="563"/>
      <c r="H640" s="563" t="str">
        <f>'matrik MISI 1'!N29</f>
        <v>Peningkatan produksi telur ayam ras petelur</v>
      </c>
      <c r="I640" s="563" t="str">
        <f>'matrik MISI 1'!O29</f>
        <v>Butir</v>
      </c>
      <c r="J640" s="563" t="str">
        <f>'matrik MISI 1'!P29</f>
        <v xml:space="preserve">75.335.043 </v>
      </c>
      <c r="K640" s="563" t="str">
        <f>'matrik MISI 1'!Q29</f>
        <v>75.408.960</v>
      </c>
      <c r="L640" s="563" t="str">
        <f>'matrik MISI 1'!R29</f>
        <v>76.163.949</v>
      </c>
      <c r="M640" s="604"/>
      <c r="N640" s="563" t="str">
        <f>'matrik MISI 1'!S29</f>
        <v>76.924.680</v>
      </c>
      <c r="O640" s="564"/>
      <c r="P640" s="563" t="str">
        <f>'matrik MISI 1'!T29</f>
        <v>77.693.926</v>
      </c>
      <c r="Q640" s="564"/>
      <c r="R640" s="563" t="str">
        <f>'matrik MISI 1'!U29</f>
        <v>78.470.866</v>
      </c>
      <c r="S640" s="564"/>
      <c r="T640" s="563" t="str">
        <f>'matrik MISI 1'!V29</f>
        <v>79.255.574</v>
      </c>
      <c r="U640" s="564"/>
      <c r="V640" s="563" t="str">
        <f>'matrik MISI 1'!W29</f>
        <v>79.255.574</v>
      </c>
      <c r="W640" s="564"/>
      <c r="X640" s="563" t="str">
        <f>'matrik MISI 1'!X29</f>
        <v>DINAKAN</v>
      </c>
      <c r="Y640" s="563" t="str">
        <f>'matrik MISI 1'!Y29</f>
        <v>Jumlah produksi telor</v>
      </c>
      <c r="Z640" s="563">
        <f>'matrik MISI 1'!Z29</f>
        <v>0</v>
      </c>
    </row>
    <row r="641" spans="1:454">
      <c r="G641" s="563"/>
      <c r="H641" s="563" t="str">
        <f>'matrik MISI 1'!N30</f>
        <v>Peningkatan populasi sapi</v>
      </c>
      <c r="I641" s="563" t="str">
        <f>'matrik MISI 1'!O30</f>
        <v>Ekor</v>
      </c>
      <c r="J641" s="563">
        <f>'matrik MISI 1'!P30</f>
        <v>43515</v>
      </c>
      <c r="K641" s="563">
        <f>'matrik MISI 1'!Q30</f>
        <v>26946</v>
      </c>
      <c r="L641" s="563">
        <f>'matrik MISI 1'!R30</f>
        <v>27484</v>
      </c>
      <c r="M641" s="604"/>
      <c r="N641" s="563">
        <f>'matrik MISI 1'!S30</f>
        <v>28034</v>
      </c>
      <c r="O641" s="564"/>
      <c r="P641" s="563">
        <f>'matrik MISI 1'!T30</f>
        <v>28595</v>
      </c>
      <c r="Q641" s="564"/>
      <c r="R641" s="563">
        <f>'matrik MISI 1'!U30</f>
        <v>29167</v>
      </c>
      <c r="S641" s="564"/>
      <c r="T641" s="563">
        <f>'matrik MISI 1'!V30</f>
        <v>29750</v>
      </c>
      <c r="U641" s="564"/>
      <c r="V641" s="563">
        <f>'matrik MISI 1'!W30</f>
        <v>29750</v>
      </c>
      <c r="W641" s="564"/>
      <c r="X641" s="563" t="str">
        <f>'matrik MISI 1'!X30</f>
        <v>DINAKAN</v>
      </c>
      <c r="Y641" s="563" t="str">
        <f>'matrik MISI 1'!Y30</f>
        <v>Jumlah Populasi Sapi</v>
      </c>
      <c r="Z641" s="563">
        <f>'matrik MISI 1'!Z30</f>
        <v>0</v>
      </c>
    </row>
    <row r="642" spans="1:454">
      <c r="G642" s="563"/>
      <c r="H642" s="563" t="str">
        <f>'matrik MISI 1'!N31</f>
        <v>Peningkatan populasi domba</v>
      </c>
      <c r="I642" s="563" t="str">
        <f>'matrik MISI 1'!O31</f>
        <v>Ekor</v>
      </c>
      <c r="J642" s="563">
        <f>'matrik MISI 1'!P31</f>
        <v>270497</v>
      </c>
      <c r="K642" s="563">
        <f>'matrik MISI 1'!Q31</f>
        <v>275055</v>
      </c>
      <c r="L642" s="563">
        <f>'matrik MISI 1'!R31</f>
        <v>286057</v>
      </c>
      <c r="M642" s="604"/>
      <c r="N642" s="563">
        <f>'matrik MISI 1'!S31</f>
        <v>297499</v>
      </c>
      <c r="O642" s="564"/>
      <c r="P642" s="563">
        <f>'matrik MISI 1'!T31</f>
        <v>309399</v>
      </c>
      <c r="Q642" s="564"/>
      <c r="R642" s="563">
        <f>'matrik MISI 1'!U31</f>
        <v>321775</v>
      </c>
      <c r="S642" s="564"/>
      <c r="T642" s="563">
        <f>'matrik MISI 1'!V31</f>
        <v>334646</v>
      </c>
      <c r="U642" s="564"/>
      <c r="V642" s="563">
        <f>'matrik MISI 1'!W31</f>
        <v>334646</v>
      </c>
      <c r="W642" s="564"/>
      <c r="X642" s="563" t="str">
        <f>'matrik MISI 1'!X31</f>
        <v>DINAKAN</v>
      </c>
      <c r="Y642" s="563" t="str">
        <f>'matrik MISI 1'!Y31</f>
        <v>Jumlah Populasi Domba</v>
      </c>
      <c r="Z642" s="563">
        <f>'matrik MISI 1'!Z31</f>
        <v>0</v>
      </c>
    </row>
    <row r="643" spans="1:454">
      <c r="G643" s="563"/>
      <c r="H643" s="563" t="str">
        <f>'matrik MISI 1'!N32</f>
        <v>Peningkatan populasi kambing</v>
      </c>
      <c r="I643" s="563" t="str">
        <f>'matrik MISI 1'!O32</f>
        <v>Ekor</v>
      </c>
      <c r="J643" s="563">
        <f>'matrik MISI 1'!P32</f>
        <v>58732</v>
      </c>
      <c r="K643" s="563">
        <f>'matrik MISI 1'!Q32</f>
        <v>59769</v>
      </c>
      <c r="L643" s="563">
        <f>'matrik MISI 1'!R32</f>
        <v>60665</v>
      </c>
      <c r="M643" s="604"/>
      <c r="N643" s="563">
        <f>'matrik MISI 1'!S32</f>
        <v>61575</v>
      </c>
      <c r="O643" s="564"/>
      <c r="P643" s="563">
        <f>'matrik MISI 1'!T32</f>
        <v>62499</v>
      </c>
      <c r="Q643" s="564"/>
      <c r="R643" s="563">
        <f>'matrik MISI 1'!U32</f>
        <v>63436</v>
      </c>
      <c r="S643" s="564"/>
      <c r="T643" s="563">
        <f>'matrik MISI 1'!V32</f>
        <v>64388</v>
      </c>
      <c r="U643" s="564"/>
      <c r="V643" s="563">
        <f>'matrik MISI 1'!W32</f>
        <v>64388</v>
      </c>
      <c r="W643" s="564"/>
      <c r="X643" s="563" t="str">
        <f>'matrik MISI 1'!X32</f>
        <v>DINAKAN</v>
      </c>
      <c r="Y643" s="563" t="str">
        <f>'matrik MISI 1'!Y32</f>
        <v>Jumlah Populasi Kambing</v>
      </c>
      <c r="Z643" s="563">
        <f>'matrik MISI 1'!Z32</f>
        <v>0</v>
      </c>
    </row>
    <row r="644" spans="1:454" ht="30">
      <c r="G644" s="563"/>
      <c r="H644" s="563" t="str">
        <f>'matrik MISI 1'!N33</f>
        <v>Peningkatan populasi ayam buras</v>
      </c>
      <c r="I644" s="563" t="str">
        <f>'matrik MISI 1'!O33</f>
        <v>Ekor</v>
      </c>
      <c r="J644" s="563">
        <f>'matrik MISI 1'!P33</f>
        <v>1658993</v>
      </c>
      <c r="K644" s="563">
        <f>'matrik MISI 1'!Q33</f>
        <v>1659079</v>
      </c>
      <c r="L644" s="563">
        <f>'matrik MISI 1'!R33</f>
        <v>1662397</v>
      </c>
      <c r="M644" s="604"/>
      <c r="N644" s="563">
        <f>'matrik MISI 1'!S33</f>
        <v>1665721</v>
      </c>
      <c r="O644" s="564"/>
      <c r="P644" s="563">
        <f>'matrik MISI 1'!T33</f>
        <v>1669053</v>
      </c>
      <c r="Q644" s="564"/>
      <c r="R644" s="563">
        <f>'matrik MISI 1'!U33</f>
        <v>1672391</v>
      </c>
      <c r="S644" s="564"/>
      <c r="T644" s="563">
        <f>'matrik MISI 1'!V33</f>
        <v>1675736</v>
      </c>
      <c r="U644" s="564"/>
      <c r="V644" s="563">
        <f>'matrik MISI 1'!W33</f>
        <v>1675736</v>
      </c>
      <c r="W644" s="564"/>
      <c r="X644" s="563" t="str">
        <f>'matrik MISI 1'!X33</f>
        <v>DINAKAN</v>
      </c>
      <c r="Y644" s="563" t="str">
        <f>'matrik MISI 1'!Y33</f>
        <v>Jumlah Populasi Ayam Buras</v>
      </c>
      <c r="Z644" s="563">
        <f>'matrik MISI 1'!Z33</f>
        <v>0</v>
      </c>
    </row>
    <row r="645" spans="1:454" s="574" customFormat="1" ht="60">
      <c r="A645" s="569"/>
      <c r="B645" s="575"/>
      <c r="C645" s="576"/>
      <c r="D645" s="577" t="str">
        <f>'matrik MISI 1'!J35</f>
        <v>2.01.</v>
      </c>
      <c r="E645" s="577" t="str">
        <f>'matrik MISI 1'!K35</f>
        <v>xx</v>
      </c>
      <c r="F645" s="577">
        <f>'matrik MISI 1'!L35</f>
        <v>20</v>
      </c>
      <c r="G645" s="577" t="str">
        <f>'matrik MISI 1'!M35</f>
        <v>Program Pemberdayaan Penyuluh Pertanian, Perikanan dan Kehutanan</v>
      </c>
      <c r="H645" s="577"/>
      <c r="I645" s="577"/>
      <c r="J645" s="577"/>
      <c r="K645" s="577"/>
      <c r="L645" s="577"/>
      <c r="M645" s="578">
        <f>'jangan dihapus 2'!K557</f>
        <v>373074800</v>
      </c>
      <c r="N645" s="577"/>
      <c r="O645" s="578">
        <f>'jangan dihapus 2'!M557</f>
        <v>544474800</v>
      </c>
      <c r="P645" s="577"/>
      <c r="Q645" s="578">
        <f>'jangan dihapus 2'!O557</f>
        <v>552541040</v>
      </c>
      <c r="R645" s="577"/>
      <c r="S645" s="578">
        <f>'jangan dihapus 2'!Q557</f>
        <v>584394352</v>
      </c>
      <c r="T645" s="577"/>
      <c r="U645" s="578">
        <f>'jangan dihapus 2'!S557</f>
        <v>596664517.60000002</v>
      </c>
      <c r="V645" s="577"/>
      <c r="W645" s="578">
        <f>SUM(M645:U645)</f>
        <v>2651149509.5999999</v>
      </c>
      <c r="X645" s="577"/>
      <c r="Y645" s="577"/>
      <c r="Z645" s="577"/>
      <c r="AA645" s="569"/>
      <c r="AB645" s="569"/>
      <c r="AC645" s="569"/>
      <c r="AD645" s="569"/>
      <c r="AE645" s="569"/>
      <c r="AF645" s="569"/>
      <c r="AG645" s="569"/>
      <c r="AH645" s="569"/>
      <c r="AI645" s="569"/>
      <c r="AJ645" s="569"/>
      <c r="AK645" s="569"/>
      <c r="AL645" s="569"/>
      <c r="AM645" s="569"/>
      <c r="AN645" s="569"/>
      <c r="AO645" s="569"/>
      <c r="AP645" s="569"/>
      <c r="AQ645" s="569"/>
      <c r="AR645" s="569"/>
      <c r="AS645" s="569"/>
      <c r="AT645" s="569"/>
      <c r="AU645" s="569"/>
      <c r="AV645" s="569"/>
      <c r="AW645" s="569"/>
      <c r="AX645" s="569"/>
      <c r="AY645" s="569"/>
      <c r="AZ645" s="569"/>
      <c r="BA645" s="569"/>
      <c r="BB645" s="569"/>
      <c r="BC645" s="569"/>
      <c r="BD645" s="569"/>
      <c r="BE645" s="569"/>
      <c r="BF645" s="569"/>
      <c r="BG645" s="569"/>
      <c r="BH645" s="569"/>
      <c r="BI645" s="569"/>
      <c r="BJ645" s="569"/>
      <c r="BK645" s="569"/>
      <c r="BL645" s="569"/>
      <c r="BM645" s="569"/>
      <c r="BN645" s="569"/>
      <c r="BO645" s="569"/>
      <c r="BP645" s="569"/>
      <c r="BQ645" s="569"/>
      <c r="BR645" s="569"/>
      <c r="BS645" s="569"/>
      <c r="BT645" s="569"/>
      <c r="BU645" s="569"/>
      <c r="BV645" s="569"/>
      <c r="BW645" s="569"/>
      <c r="BX645" s="569"/>
      <c r="BY645" s="569"/>
      <c r="BZ645" s="569"/>
      <c r="CA645" s="569"/>
      <c r="CB645" s="569"/>
      <c r="CC645" s="569"/>
      <c r="CD645" s="569"/>
      <c r="CE645" s="569"/>
      <c r="CF645" s="569"/>
      <c r="CG645" s="569"/>
      <c r="CH645" s="569"/>
      <c r="CI645" s="569"/>
      <c r="CJ645" s="569"/>
      <c r="CK645" s="569"/>
      <c r="CL645" s="569"/>
      <c r="CM645" s="569"/>
      <c r="CN645" s="569"/>
      <c r="CO645" s="569"/>
      <c r="CP645" s="569"/>
      <c r="CQ645" s="569"/>
      <c r="CR645" s="569"/>
      <c r="CS645" s="569"/>
      <c r="CT645" s="569"/>
      <c r="CU645" s="569"/>
      <c r="CV645" s="569"/>
      <c r="CW645" s="569"/>
      <c r="CX645" s="569"/>
      <c r="CY645" s="569"/>
      <c r="CZ645" s="569"/>
      <c r="DA645" s="569"/>
      <c r="DB645" s="569"/>
      <c r="DC645" s="569"/>
      <c r="DD645" s="569"/>
      <c r="DE645" s="569"/>
      <c r="DF645" s="569"/>
      <c r="DG645" s="569"/>
      <c r="DH645" s="569"/>
      <c r="DI645" s="569"/>
      <c r="DJ645" s="569"/>
      <c r="DK645" s="569"/>
      <c r="DL645" s="569"/>
      <c r="DM645" s="569"/>
      <c r="DN645" s="569"/>
      <c r="DO645" s="569"/>
      <c r="DP645" s="569"/>
      <c r="DQ645" s="569"/>
      <c r="DR645" s="569"/>
      <c r="DS645" s="569"/>
      <c r="DT645" s="569"/>
      <c r="DU645" s="569"/>
      <c r="DV645" s="569"/>
      <c r="DW645" s="569"/>
      <c r="DX645" s="569"/>
      <c r="DY645" s="569"/>
      <c r="DZ645" s="569"/>
      <c r="EA645" s="569"/>
      <c r="EB645" s="569"/>
      <c r="EC645" s="569"/>
      <c r="ED645" s="569"/>
      <c r="EE645" s="569"/>
      <c r="EF645" s="569"/>
      <c r="EG645" s="569"/>
      <c r="EH645" s="569"/>
      <c r="EI645" s="569"/>
      <c r="EJ645" s="569"/>
      <c r="EK645" s="569"/>
      <c r="EL645" s="569"/>
      <c r="EM645" s="569"/>
      <c r="EN645" s="569"/>
      <c r="EO645" s="569"/>
      <c r="EP645" s="569"/>
      <c r="EQ645" s="569"/>
      <c r="ER645" s="569"/>
      <c r="ES645" s="569"/>
      <c r="ET645" s="569"/>
      <c r="EU645" s="569"/>
      <c r="EV645" s="569"/>
      <c r="EW645" s="569"/>
      <c r="EX645" s="569"/>
      <c r="EY645" s="569"/>
      <c r="EZ645" s="569"/>
      <c r="FA645" s="569"/>
      <c r="FB645" s="569"/>
      <c r="FC645" s="569"/>
      <c r="FD645" s="569"/>
      <c r="FE645" s="569"/>
      <c r="FF645" s="569"/>
      <c r="FG645" s="569"/>
      <c r="FH645" s="569"/>
      <c r="FI645" s="569"/>
      <c r="FJ645" s="569"/>
      <c r="FK645" s="569"/>
      <c r="FL645" s="569"/>
      <c r="FM645" s="569"/>
      <c r="FN645" s="569"/>
      <c r="FO645" s="569"/>
      <c r="FP645" s="569"/>
      <c r="FQ645" s="569"/>
      <c r="FR645" s="569"/>
      <c r="FS645" s="569"/>
      <c r="FT645" s="569"/>
      <c r="FU645" s="569"/>
      <c r="FV645" s="569"/>
      <c r="FW645" s="569"/>
      <c r="FX645" s="569"/>
      <c r="FY645" s="569"/>
      <c r="FZ645" s="569"/>
      <c r="GA645" s="569"/>
      <c r="GB645" s="569"/>
      <c r="GC645" s="569"/>
      <c r="GD645" s="569"/>
      <c r="GE645" s="569"/>
      <c r="GF645" s="569"/>
      <c r="GG645" s="569"/>
      <c r="GH645" s="569"/>
      <c r="GI645" s="569"/>
      <c r="GJ645" s="569"/>
      <c r="GK645" s="569"/>
      <c r="GL645" s="569"/>
      <c r="GM645" s="569"/>
      <c r="GN645" s="569"/>
      <c r="GO645" s="569"/>
      <c r="GP645" s="569"/>
      <c r="GQ645" s="569"/>
      <c r="GR645" s="569"/>
      <c r="GS645" s="569"/>
      <c r="GT645" s="569"/>
      <c r="GU645" s="569"/>
      <c r="GV645" s="569"/>
      <c r="GW645" s="569"/>
      <c r="GX645" s="569"/>
      <c r="GY645" s="569"/>
      <c r="GZ645" s="569"/>
      <c r="HA645" s="569"/>
      <c r="HB645" s="569"/>
      <c r="HC645" s="569"/>
      <c r="HD645" s="569"/>
      <c r="HE645" s="569"/>
      <c r="HF645" s="569"/>
      <c r="HG645" s="569"/>
      <c r="HH645" s="569"/>
      <c r="HI645" s="569"/>
      <c r="HJ645" s="569"/>
      <c r="HK645" s="569"/>
      <c r="HL645" s="569"/>
      <c r="HM645" s="569"/>
      <c r="HN645" s="569"/>
      <c r="HO645" s="569"/>
      <c r="HP645" s="569"/>
      <c r="HQ645" s="569"/>
      <c r="HR645" s="569"/>
      <c r="HS645" s="569"/>
      <c r="HT645" s="569"/>
      <c r="HU645" s="569"/>
      <c r="HV645" s="569"/>
      <c r="HW645" s="569"/>
      <c r="HX645" s="569"/>
      <c r="HY645" s="569"/>
      <c r="HZ645" s="569"/>
      <c r="IA645" s="569"/>
      <c r="IB645" s="569"/>
      <c r="IC645" s="569"/>
      <c r="ID645" s="569"/>
      <c r="IE645" s="569"/>
      <c r="IF645" s="569"/>
      <c r="IG645" s="569"/>
      <c r="IH645" s="569"/>
      <c r="II645" s="569"/>
      <c r="IJ645" s="569"/>
      <c r="IK645" s="569"/>
      <c r="IL645" s="569"/>
      <c r="IM645" s="569"/>
      <c r="IN645" s="569"/>
      <c r="IO645" s="569"/>
      <c r="IP645" s="569"/>
      <c r="IQ645" s="569"/>
      <c r="IR645" s="569"/>
      <c r="IS645" s="569"/>
      <c r="IT645" s="569"/>
      <c r="IU645" s="569"/>
      <c r="IV645" s="569"/>
      <c r="IW645" s="569"/>
      <c r="IX645" s="569"/>
      <c r="IY645" s="569"/>
      <c r="IZ645" s="569"/>
      <c r="JA645" s="569"/>
      <c r="JB645" s="569"/>
      <c r="JC645" s="569"/>
      <c r="JD645" s="569"/>
      <c r="JE645" s="569"/>
      <c r="JF645" s="569"/>
      <c r="JG645" s="569"/>
      <c r="JH645" s="569"/>
      <c r="JI645" s="569"/>
      <c r="JJ645" s="569"/>
      <c r="JK645" s="569"/>
      <c r="JL645" s="569"/>
      <c r="JM645" s="569"/>
      <c r="JN645" s="569"/>
      <c r="JO645" s="569"/>
      <c r="JP645" s="569"/>
      <c r="JQ645" s="569"/>
      <c r="JR645" s="569"/>
      <c r="JS645" s="569"/>
      <c r="JT645" s="569"/>
      <c r="JU645" s="569"/>
      <c r="JV645" s="569"/>
      <c r="JW645" s="569"/>
      <c r="JX645" s="569"/>
      <c r="JY645" s="569"/>
      <c r="JZ645" s="569"/>
      <c r="KA645" s="569"/>
      <c r="KB645" s="569"/>
      <c r="KC645" s="569"/>
      <c r="KD645" s="569"/>
      <c r="KE645" s="569"/>
      <c r="KF645" s="569"/>
      <c r="KG645" s="569"/>
      <c r="KH645" s="569"/>
      <c r="KI645" s="569"/>
      <c r="KJ645" s="569"/>
      <c r="KK645" s="569"/>
      <c r="KL645" s="569"/>
      <c r="KM645" s="569"/>
      <c r="KN645" s="569"/>
      <c r="KO645" s="569"/>
      <c r="KP645" s="569"/>
      <c r="KQ645" s="569"/>
      <c r="KR645" s="569"/>
      <c r="KS645" s="569"/>
      <c r="KT645" s="569"/>
      <c r="KU645" s="569"/>
      <c r="KV645" s="569"/>
      <c r="KW645" s="569"/>
      <c r="KX645" s="569"/>
      <c r="KY645" s="569"/>
      <c r="KZ645" s="569"/>
      <c r="LA645" s="569"/>
      <c r="LB645" s="569"/>
      <c r="LC645" s="569"/>
      <c r="LD645" s="569"/>
      <c r="LE645" s="569"/>
      <c r="LF645" s="569"/>
      <c r="LG645" s="569"/>
      <c r="LH645" s="569"/>
      <c r="LI645" s="569"/>
      <c r="LJ645" s="569"/>
      <c r="LK645" s="569"/>
      <c r="LL645" s="569"/>
      <c r="LM645" s="569"/>
      <c r="LN645" s="569"/>
      <c r="LO645" s="569"/>
      <c r="LP645" s="569"/>
      <c r="LQ645" s="569"/>
      <c r="LR645" s="569"/>
      <c r="LS645" s="569"/>
      <c r="LT645" s="569"/>
      <c r="LU645" s="569"/>
      <c r="LV645" s="569"/>
      <c r="LW645" s="569"/>
      <c r="LX645" s="569"/>
      <c r="LY645" s="569"/>
      <c r="LZ645" s="569"/>
      <c r="MA645" s="569"/>
      <c r="MB645" s="569"/>
      <c r="MC645" s="569"/>
      <c r="MD645" s="569"/>
      <c r="ME645" s="569"/>
      <c r="MF645" s="569"/>
      <c r="MG645" s="569"/>
      <c r="MH645" s="569"/>
      <c r="MI645" s="569"/>
      <c r="MJ645" s="569"/>
      <c r="MK645" s="569"/>
      <c r="ML645" s="569"/>
      <c r="MM645" s="569"/>
      <c r="MN645" s="569"/>
      <c r="MO645" s="569"/>
      <c r="MP645" s="569"/>
      <c r="MQ645" s="569"/>
      <c r="MR645" s="569"/>
      <c r="MS645" s="569"/>
      <c r="MT645" s="569"/>
      <c r="MU645" s="569"/>
      <c r="MV645" s="569"/>
      <c r="MW645" s="569"/>
      <c r="MX645" s="569"/>
      <c r="MY645" s="569"/>
      <c r="MZ645" s="569"/>
      <c r="NA645" s="569"/>
      <c r="NB645" s="569"/>
      <c r="NC645" s="569"/>
      <c r="ND645" s="569"/>
      <c r="NE645" s="569"/>
      <c r="NF645" s="569"/>
      <c r="NG645" s="569"/>
      <c r="NH645" s="569"/>
      <c r="NI645" s="569"/>
      <c r="NJ645" s="569"/>
      <c r="NK645" s="569"/>
      <c r="NL645" s="569"/>
      <c r="NM645" s="569"/>
      <c r="NN645" s="569"/>
      <c r="NO645" s="569"/>
      <c r="NP645" s="569"/>
      <c r="NQ645" s="569"/>
      <c r="NR645" s="569"/>
      <c r="NS645" s="569"/>
      <c r="NT645" s="569"/>
      <c r="NU645" s="569"/>
      <c r="NV645" s="569"/>
      <c r="NW645" s="569"/>
      <c r="NX645" s="569"/>
      <c r="NY645" s="569"/>
      <c r="NZ645" s="569"/>
      <c r="OA645" s="569"/>
      <c r="OB645" s="569"/>
      <c r="OC645" s="569"/>
      <c r="OD645" s="569"/>
      <c r="OE645" s="569"/>
      <c r="OF645" s="569"/>
      <c r="OG645" s="569"/>
      <c r="OH645" s="569"/>
      <c r="OI645" s="569"/>
      <c r="OJ645" s="569"/>
      <c r="OK645" s="569"/>
      <c r="OL645" s="569"/>
      <c r="OM645" s="569"/>
      <c r="ON645" s="569"/>
      <c r="OO645" s="569"/>
      <c r="OP645" s="569"/>
      <c r="OQ645" s="569"/>
      <c r="OR645" s="569"/>
      <c r="OS645" s="569"/>
      <c r="OT645" s="569"/>
      <c r="OU645" s="569"/>
      <c r="OV645" s="569"/>
      <c r="OW645" s="569"/>
      <c r="OX645" s="569"/>
      <c r="OY645" s="569"/>
      <c r="OZ645" s="569"/>
      <c r="PA645" s="569"/>
      <c r="PB645" s="569"/>
      <c r="PC645" s="569"/>
      <c r="PD645" s="569"/>
      <c r="PE645" s="569"/>
      <c r="PF645" s="569"/>
      <c r="PG645" s="569"/>
      <c r="PH645" s="569"/>
      <c r="PI645" s="569"/>
      <c r="PJ645" s="569"/>
      <c r="PK645" s="569"/>
      <c r="PL645" s="569"/>
      <c r="PM645" s="569"/>
      <c r="PN645" s="569"/>
      <c r="PO645" s="569"/>
      <c r="PP645" s="569"/>
      <c r="PQ645" s="569"/>
      <c r="PR645" s="569"/>
      <c r="PS645" s="569"/>
      <c r="PT645" s="569"/>
      <c r="PU645" s="569"/>
      <c r="PV645" s="569"/>
      <c r="PW645" s="569"/>
      <c r="PX645" s="569"/>
      <c r="PY645" s="569"/>
      <c r="PZ645" s="569"/>
      <c r="QA645" s="569"/>
      <c r="QB645" s="569"/>
      <c r="QC645" s="569"/>
      <c r="QD645" s="569"/>
      <c r="QE645" s="569"/>
      <c r="QF645" s="569"/>
      <c r="QG645" s="569"/>
      <c r="QH645" s="569"/>
      <c r="QI645" s="569"/>
      <c r="QJ645" s="569"/>
      <c r="QK645" s="569"/>
      <c r="QL645" s="569"/>
    </row>
    <row r="646" spans="1:454" ht="30">
      <c r="H646" s="563" t="str">
        <f>'matrik MISI 1'!N35</f>
        <v>Jumlah materi penyuluhan yang dipublikasikasi</v>
      </c>
      <c r="I646" s="563" t="str">
        <f>'matrik MISI 1'!O35</f>
        <v>kali/tahun</v>
      </c>
      <c r="J646" s="563">
        <f>'matrik MISI 1'!P35</f>
        <v>0</v>
      </c>
      <c r="K646" s="563">
        <f>'matrik MISI 1'!Q35</f>
        <v>0</v>
      </c>
      <c r="L646" s="563">
        <f>'matrik MISI 1'!R35</f>
        <v>5</v>
      </c>
      <c r="M646" s="604"/>
      <c r="N646" s="563">
        <f>'matrik MISI 1'!S35</f>
        <v>5</v>
      </c>
      <c r="O646" s="564"/>
      <c r="P646" s="563">
        <f>'matrik MISI 1'!T35</f>
        <v>7</v>
      </c>
      <c r="Q646" s="564"/>
      <c r="R646" s="563">
        <f>'matrik MISI 1'!U35</f>
        <v>10</v>
      </c>
      <c r="S646" s="564"/>
      <c r="T646" s="563">
        <f>'matrik MISI 1'!V35</f>
        <v>10</v>
      </c>
      <c r="U646" s="564"/>
      <c r="V646" s="563">
        <f>'matrik MISI 1'!W35</f>
        <v>10</v>
      </c>
      <c r="W646" s="564"/>
      <c r="X646" s="563" t="str">
        <f>'matrik MISI 1'!X35</f>
        <v>BAPELUH</v>
      </c>
      <c r="Y646" s="563" t="str">
        <f>'matrik MISI 1'!Y35</f>
        <v>Jumlah materi penyuluhan yang dipublikasikasi</v>
      </c>
      <c r="Z646" s="563" t="str">
        <f>'matrik MISI 1'!Z35</f>
        <v>Publikasi materi penyuluhan dilakukan dalam media massa skala nasional</v>
      </c>
    </row>
    <row r="647" spans="1:454" ht="30">
      <c r="G647" s="563"/>
      <c r="H647" s="563" t="str">
        <f>'matrik MISI 1'!N36</f>
        <v>Jumlah peningkatan kapasitas SDM Penyuluh</v>
      </c>
      <c r="I647" s="563" t="str">
        <f>'matrik MISI 1'!O36</f>
        <v>orang/thn</v>
      </c>
      <c r="J647" s="563">
        <f>'matrik MISI 1'!P36</f>
        <v>4</v>
      </c>
      <c r="K647" s="563">
        <f>'matrik MISI 1'!Q36</f>
        <v>2</v>
      </c>
      <c r="L647" s="563">
        <f>'matrik MISI 1'!R36</f>
        <v>3</v>
      </c>
      <c r="M647" s="604"/>
      <c r="N647" s="563">
        <f>'matrik MISI 1'!S36</f>
        <v>3</v>
      </c>
      <c r="O647" s="564"/>
      <c r="P647" s="563">
        <f>'matrik MISI 1'!T36</f>
        <v>3</v>
      </c>
      <c r="Q647" s="564"/>
      <c r="R647" s="563">
        <f>'matrik MISI 1'!U36</f>
        <v>3</v>
      </c>
      <c r="S647" s="564"/>
      <c r="T647" s="563">
        <f>'matrik MISI 1'!V36</f>
        <v>3</v>
      </c>
      <c r="U647" s="564"/>
      <c r="V647" s="563">
        <f>'matrik MISI 1'!W36</f>
        <v>3</v>
      </c>
      <c r="W647" s="564"/>
      <c r="X647" s="563" t="str">
        <f>'matrik MISI 1'!X36</f>
        <v>BAPELUH</v>
      </c>
      <c r="Y647" s="563" t="str">
        <f>'matrik MISI 1'!Y36</f>
        <v>cukup jelas</v>
      </c>
      <c r="Z647" s="563" t="str">
        <f>'matrik MISI 1'!Z36</f>
        <v>Meningkatnya kompetensi penyuluh</v>
      </c>
    </row>
    <row r="648" spans="1:454" s="574" customFormat="1" ht="30">
      <c r="A648" s="569"/>
      <c r="B648" s="575"/>
      <c r="C648" s="576"/>
      <c r="D648" s="577" t="str">
        <f>'matrik MISI 1'!J37</f>
        <v>2.01.</v>
      </c>
      <c r="E648" s="577" t="str">
        <f>'matrik MISI 1'!K37</f>
        <v>xx</v>
      </c>
      <c r="F648" s="577">
        <f>'matrik MISI 1'!L37</f>
        <v>25</v>
      </c>
      <c r="G648" s="577" t="str">
        <f>'matrik MISI 1'!M37</f>
        <v>Program Pemberdayaan Petani</v>
      </c>
      <c r="H648" s="577"/>
      <c r="I648" s="577"/>
      <c r="J648" s="577"/>
      <c r="K648" s="577"/>
      <c r="L648" s="577"/>
      <c r="M648" s="578">
        <f>'jangan dihapus 2'!K574</f>
        <v>698955000</v>
      </c>
      <c r="N648" s="577"/>
      <c r="O648" s="578">
        <f>'jangan dihapus 2'!M574</f>
        <v>988781500</v>
      </c>
      <c r="P648" s="577"/>
      <c r="Q648" s="578">
        <f>'jangan dihapus 2'!O574</f>
        <v>1027395650</v>
      </c>
      <c r="R648" s="577"/>
      <c r="S648" s="578">
        <f>'jangan dihapus 2'!Q574</f>
        <v>978485215</v>
      </c>
      <c r="T648" s="577"/>
      <c r="U648" s="578">
        <f>'jangan dihapus 2'!S574</f>
        <v>985123736.5</v>
      </c>
      <c r="V648" s="577"/>
      <c r="W648" s="578">
        <f>SUM(M648:U648)</f>
        <v>4678741101.5</v>
      </c>
      <c r="X648" s="577"/>
      <c r="Y648" s="577"/>
      <c r="Z648" s="577"/>
      <c r="AA648" s="569"/>
      <c r="AB648" s="569"/>
      <c r="AC648" s="569"/>
      <c r="AD648" s="569"/>
      <c r="AE648" s="569"/>
      <c r="AF648" s="569"/>
      <c r="AG648" s="569"/>
      <c r="AH648" s="569"/>
      <c r="AI648" s="569"/>
      <c r="AJ648" s="569"/>
      <c r="AK648" s="569"/>
      <c r="AL648" s="569"/>
      <c r="AM648" s="569"/>
      <c r="AN648" s="569"/>
      <c r="AO648" s="569"/>
      <c r="AP648" s="569"/>
      <c r="AQ648" s="569"/>
      <c r="AR648" s="569"/>
      <c r="AS648" s="569"/>
      <c r="AT648" s="569"/>
      <c r="AU648" s="569"/>
      <c r="AV648" s="569"/>
      <c r="AW648" s="569"/>
      <c r="AX648" s="569"/>
      <c r="AY648" s="569"/>
      <c r="AZ648" s="569"/>
      <c r="BA648" s="569"/>
      <c r="BB648" s="569"/>
      <c r="BC648" s="569"/>
      <c r="BD648" s="569"/>
      <c r="BE648" s="569"/>
      <c r="BF648" s="569"/>
      <c r="BG648" s="569"/>
      <c r="BH648" s="569"/>
      <c r="BI648" s="569"/>
      <c r="BJ648" s="569"/>
      <c r="BK648" s="569"/>
      <c r="BL648" s="569"/>
      <c r="BM648" s="569"/>
      <c r="BN648" s="569"/>
      <c r="BO648" s="569"/>
      <c r="BP648" s="569"/>
      <c r="BQ648" s="569"/>
      <c r="BR648" s="569"/>
      <c r="BS648" s="569"/>
      <c r="BT648" s="569"/>
      <c r="BU648" s="569"/>
      <c r="BV648" s="569"/>
      <c r="BW648" s="569"/>
      <c r="BX648" s="569"/>
      <c r="BY648" s="569"/>
      <c r="BZ648" s="569"/>
      <c r="CA648" s="569"/>
      <c r="CB648" s="569"/>
      <c r="CC648" s="569"/>
      <c r="CD648" s="569"/>
      <c r="CE648" s="569"/>
      <c r="CF648" s="569"/>
      <c r="CG648" s="569"/>
      <c r="CH648" s="569"/>
      <c r="CI648" s="569"/>
      <c r="CJ648" s="569"/>
      <c r="CK648" s="569"/>
      <c r="CL648" s="569"/>
      <c r="CM648" s="569"/>
      <c r="CN648" s="569"/>
      <c r="CO648" s="569"/>
      <c r="CP648" s="569"/>
      <c r="CQ648" s="569"/>
      <c r="CR648" s="569"/>
      <c r="CS648" s="569"/>
      <c r="CT648" s="569"/>
      <c r="CU648" s="569"/>
      <c r="CV648" s="569"/>
      <c r="CW648" s="569"/>
      <c r="CX648" s="569"/>
      <c r="CY648" s="569"/>
      <c r="CZ648" s="569"/>
      <c r="DA648" s="569"/>
      <c r="DB648" s="569"/>
      <c r="DC648" s="569"/>
      <c r="DD648" s="569"/>
      <c r="DE648" s="569"/>
      <c r="DF648" s="569"/>
      <c r="DG648" s="569"/>
      <c r="DH648" s="569"/>
      <c r="DI648" s="569"/>
      <c r="DJ648" s="569"/>
      <c r="DK648" s="569"/>
      <c r="DL648" s="569"/>
      <c r="DM648" s="569"/>
      <c r="DN648" s="569"/>
      <c r="DO648" s="569"/>
      <c r="DP648" s="569"/>
      <c r="DQ648" s="569"/>
      <c r="DR648" s="569"/>
      <c r="DS648" s="569"/>
      <c r="DT648" s="569"/>
      <c r="DU648" s="569"/>
      <c r="DV648" s="569"/>
      <c r="DW648" s="569"/>
      <c r="DX648" s="569"/>
      <c r="DY648" s="569"/>
      <c r="DZ648" s="569"/>
      <c r="EA648" s="569"/>
      <c r="EB648" s="569"/>
      <c r="EC648" s="569"/>
      <c r="ED648" s="569"/>
      <c r="EE648" s="569"/>
      <c r="EF648" s="569"/>
      <c r="EG648" s="569"/>
      <c r="EH648" s="569"/>
      <c r="EI648" s="569"/>
      <c r="EJ648" s="569"/>
      <c r="EK648" s="569"/>
      <c r="EL648" s="569"/>
      <c r="EM648" s="569"/>
      <c r="EN648" s="569"/>
      <c r="EO648" s="569"/>
      <c r="EP648" s="569"/>
      <c r="EQ648" s="569"/>
      <c r="ER648" s="569"/>
      <c r="ES648" s="569"/>
      <c r="ET648" s="569"/>
      <c r="EU648" s="569"/>
      <c r="EV648" s="569"/>
      <c r="EW648" s="569"/>
      <c r="EX648" s="569"/>
      <c r="EY648" s="569"/>
      <c r="EZ648" s="569"/>
      <c r="FA648" s="569"/>
      <c r="FB648" s="569"/>
      <c r="FC648" s="569"/>
      <c r="FD648" s="569"/>
      <c r="FE648" s="569"/>
      <c r="FF648" s="569"/>
      <c r="FG648" s="569"/>
      <c r="FH648" s="569"/>
      <c r="FI648" s="569"/>
      <c r="FJ648" s="569"/>
      <c r="FK648" s="569"/>
      <c r="FL648" s="569"/>
      <c r="FM648" s="569"/>
      <c r="FN648" s="569"/>
      <c r="FO648" s="569"/>
      <c r="FP648" s="569"/>
      <c r="FQ648" s="569"/>
      <c r="FR648" s="569"/>
      <c r="FS648" s="569"/>
      <c r="FT648" s="569"/>
      <c r="FU648" s="569"/>
      <c r="FV648" s="569"/>
      <c r="FW648" s="569"/>
      <c r="FX648" s="569"/>
      <c r="FY648" s="569"/>
      <c r="FZ648" s="569"/>
      <c r="GA648" s="569"/>
      <c r="GB648" s="569"/>
      <c r="GC648" s="569"/>
      <c r="GD648" s="569"/>
      <c r="GE648" s="569"/>
      <c r="GF648" s="569"/>
      <c r="GG648" s="569"/>
      <c r="GH648" s="569"/>
      <c r="GI648" s="569"/>
      <c r="GJ648" s="569"/>
      <c r="GK648" s="569"/>
      <c r="GL648" s="569"/>
      <c r="GM648" s="569"/>
      <c r="GN648" s="569"/>
      <c r="GO648" s="569"/>
      <c r="GP648" s="569"/>
      <c r="GQ648" s="569"/>
      <c r="GR648" s="569"/>
      <c r="GS648" s="569"/>
      <c r="GT648" s="569"/>
      <c r="GU648" s="569"/>
      <c r="GV648" s="569"/>
      <c r="GW648" s="569"/>
      <c r="GX648" s="569"/>
      <c r="GY648" s="569"/>
      <c r="GZ648" s="569"/>
      <c r="HA648" s="569"/>
      <c r="HB648" s="569"/>
      <c r="HC648" s="569"/>
      <c r="HD648" s="569"/>
      <c r="HE648" s="569"/>
      <c r="HF648" s="569"/>
      <c r="HG648" s="569"/>
      <c r="HH648" s="569"/>
      <c r="HI648" s="569"/>
      <c r="HJ648" s="569"/>
      <c r="HK648" s="569"/>
      <c r="HL648" s="569"/>
      <c r="HM648" s="569"/>
      <c r="HN648" s="569"/>
      <c r="HO648" s="569"/>
      <c r="HP648" s="569"/>
      <c r="HQ648" s="569"/>
      <c r="HR648" s="569"/>
      <c r="HS648" s="569"/>
      <c r="HT648" s="569"/>
      <c r="HU648" s="569"/>
      <c r="HV648" s="569"/>
      <c r="HW648" s="569"/>
      <c r="HX648" s="569"/>
      <c r="HY648" s="569"/>
      <c r="HZ648" s="569"/>
      <c r="IA648" s="569"/>
      <c r="IB648" s="569"/>
      <c r="IC648" s="569"/>
      <c r="ID648" s="569"/>
      <c r="IE648" s="569"/>
      <c r="IF648" s="569"/>
      <c r="IG648" s="569"/>
      <c r="IH648" s="569"/>
      <c r="II648" s="569"/>
      <c r="IJ648" s="569"/>
      <c r="IK648" s="569"/>
      <c r="IL648" s="569"/>
      <c r="IM648" s="569"/>
      <c r="IN648" s="569"/>
      <c r="IO648" s="569"/>
      <c r="IP648" s="569"/>
      <c r="IQ648" s="569"/>
      <c r="IR648" s="569"/>
      <c r="IS648" s="569"/>
      <c r="IT648" s="569"/>
      <c r="IU648" s="569"/>
      <c r="IV648" s="569"/>
      <c r="IW648" s="569"/>
      <c r="IX648" s="569"/>
      <c r="IY648" s="569"/>
      <c r="IZ648" s="569"/>
      <c r="JA648" s="569"/>
      <c r="JB648" s="569"/>
      <c r="JC648" s="569"/>
      <c r="JD648" s="569"/>
      <c r="JE648" s="569"/>
      <c r="JF648" s="569"/>
      <c r="JG648" s="569"/>
      <c r="JH648" s="569"/>
      <c r="JI648" s="569"/>
      <c r="JJ648" s="569"/>
      <c r="JK648" s="569"/>
      <c r="JL648" s="569"/>
      <c r="JM648" s="569"/>
      <c r="JN648" s="569"/>
      <c r="JO648" s="569"/>
      <c r="JP648" s="569"/>
      <c r="JQ648" s="569"/>
      <c r="JR648" s="569"/>
      <c r="JS648" s="569"/>
      <c r="JT648" s="569"/>
      <c r="JU648" s="569"/>
      <c r="JV648" s="569"/>
      <c r="JW648" s="569"/>
      <c r="JX648" s="569"/>
      <c r="JY648" s="569"/>
      <c r="JZ648" s="569"/>
      <c r="KA648" s="569"/>
      <c r="KB648" s="569"/>
      <c r="KC648" s="569"/>
      <c r="KD648" s="569"/>
      <c r="KE648" s="569"/>
      <c r="KF648" s="569"/>
      <c r="KG648" s="569"/>
      <c r="KH648" s="569"/>
      <c r="KI648" s="569"/>
      <c r="KJ648" s="569"/>
      <c r="KK648" s="569"/>
      <c r="KL648" s="569"/>
      <c r="KM648" s="569"/>
      <c r="KN648" s="569"/>
      <c r="KO648" s="569"/>
      <c r="KP648" s="569"/>
      <c r="KQ648" s="569"/>
      <c r="KR648" s="569"/>
      <c r="KS648" s="569"/>
      <c r="KT648" s="569"/>
      <c r="KU648" s="569"/>
      <c r="KV648" s="569"/>
      <c r="KW648" s="569"/>
      <c r="KX648" s="569"/>
      <c r="KY648" s="569"/>
      <c r="KZ648" s="569"/>
      <c r="LA648" s="569"/>
      <c r="LB648" s="569"/>
      <c r="LC648" s="569"/>
      <c r="LD648" s="569"/>
      <c r="LE648" s="569"/>
      <c r="LF648" s="569"/>
      <c r="LG648" s="569"/>
      <c r="LH648" s="569"/>
      <c r="LI648" s="569"/>
      <c r="LJ648" s="569"/>
      <c r="LK648" s="569"/>
      <c r="LL648" s="569"/>
      <c r="LM648" s="569"/>
      <c r="LN648" s="569"/>
      <c r="LO648" s="569"/>
      <c r="LP648" s="569"/>
      <c r="LQ648" s="569"/>
      <c r="LR648" s="569"/>
      <c r="LS648" s="569"/>
      <c r="LT648" s="569"/>
      <c r="LU648" s="569"/>
      <c r="LV648" s="569"/>
      <c r="LW648" s="569"/>
      <c r="LX648" s="569"/>
      <c r="LY648" s="569"/>
      <c r="LZ648" s="569"/>
      <c r="MA648" s="569"/>
      <c r="MB648" s="569"/>
      <c r="MC648" s="569"/>
      <c r="MD648" s="569"/>
      <c r="ME648" s="569"/>
      <c r="MF648" s="569"/>
      <c r="MG648" s="569"/>
      <c r="MH648" s="569"/>
      <c r="MI648" s="569"/>
      <c r="MJ648" s="569"/>
      <c r="MK648" s="569"/>
      <c r="ML648" s="569"/>
      <c r="MM648" s="569"/>
      <c r="MN648" s="569"/>
      <c r="MO648" s="569"/>
      <c r="MP648" s="569"/>
      <c r="MQ648" s="569"/>
      <c r="MR648" s="569"/>
      <c r="MS648" s="569"/>
      <c r="MT648" s="569"/>
      <c r="MU648" s="569"/>
      <c r="MV648" s="569"/>
      <c r="MW648" s="569"/>
      <c r="MX648" s="569"/>
      <c r="MY648" s="569"/>
      <c r="MZ648" s="569"/>
      <c r="NA648" s="569"/>
      <c r="NB648" s="569"/>
      <c r="NC648" s="569"/>
      <c r="ND648" s="569"/>
      <c r="NE648" s="569"/>
      <c r="NF648" s="569"/>
      <c r="NG648" s="569"/>
      <c r="NH648" s="569"/>
      <c r="NI648" s="569"/>
      <c r="NJ648" s="569"/>
      <c r="NK648" s="569"/>
      <c r="NL648" s="569"/>
      <c r="NM648" s="569"/>
      <c r="NN648" s="569"/>
      <c r="NO648" s="569"/>
      <c r="NP648" s="569"/>
      <c r="NQ648" s="569"/>
      <c r="NR648" s="569"/>
      <c r="NS648" s="569"/>
      <c r="NT648" s="569"/>
      <c r="NU648" s="569"/>
      <c r="NV648" s="569"/>
      <c r="NW648" s="569"/>
      <c r="NX648" s="569"/>
      <c r="NY648" s="569"/>
      <c r="NZ648" s="569"/>
      <c r="OA648" s="569"/>
      <c r="OB648" s="569"/>
      <c r="OC648" s="569"/>
      <c r="OD648" s="569"/>
      <c r="OE648" s="569"/>
      <c r="OF648" s="569"/>
      <c r="OG648" s="569"/>
      <c r="OH648" s="569"/>
      <c r="OI648" s="569"/>
      <c r="OJ648" s="569"/>
      <c r="OK648" s="569"/>
      <c r="OL648" s="569"/>
      <c r="OM648" s="569"/>
      <c r="ON648" s="569"/>
      <c r="OO648" s="569"/>
      <c r="OP648" s="569"/>
      <c r="OQ648" s="569"/>
      <c r="OR648" s="569"/>
      <c r="OS648" s="569"/>
      <c r="OT648" s="569"/>
      <c r="OU648" s="569"/>
      <c r="OV648" s="569"/>
      <c r="OW648" s="569"/>
      <c r="OX648" s="569"/>
      <c r="OY648" s="569"/>
      <c r="OZ648" s="569"/>
      <c r="PA648" s="569"/>
      <c r="PB648" s="569"/>
      <c r="PC648" s="569"/>
      <c r="PD648" s="569"/>
      <c r="PE648" s="569"/>
      <c r="PF648" s="569"/>
      <c r="PG648" s="569"/>
      <c r="PH648" s="569"/>
      <c r="PI648" s="569"/>
      <c r="PJ648" s="569"/>
      <c r="PK648" s="569"/>
      <c r="PL648" s="569"/>
      <c r="PM648" s="569"/>
      <c r="PN648" s="569"/>
      <c r="PO648" s="569"/>
      <c r="PP648" s="569"/>
      <c r="PQ648" s="569"/>
      <c r="PR648" s="569"/>
      <c r="PS648" s="569"/>
      <c r="PT648" s="569"/>
      <c r="PU648" s="569"/>
      <c r="PV648" s="569"/>
      <c r="PW648" s="569"/>
      <c r="PX648" s="569"/>
      <c r="PY648" s="569"/>
      <c r="PZ648" s="569"/>
      <c r="QA648" s="569"/>
      <c r="QB648" s="569"/>
      <c r="QC648" s="569"/>
      <c r="QD648" s="569"/>
      <c r="QE648" s="569"/>
      <c r="QF648" s="569"/>
      <c r="QG648" s="569"/>
      <c r="QH648" s="569"/>
      <c r="QI648" s="569"/>
      <c r="QJ648" s="569"/>
      <c r="QK648" s="569"/>
      <c r="QL648" s="569"/>
    </row>
    <row r="649" spans="1:454" ht="45">
      <c r="D649" s="568"/>
      <c r="E649" s="568"/>
      <c r="F649" s="568"/>
      <c r="G649" s="568"/>
      <c r="H649" s="563" t="str">
        <f>'matrik MISI 1'!N37</f>
        <v xml:space="preserve">Rasio jumlah kelompok tani maju </v>
      </c>
      <c r="I649" s="563" t="str">
        <f>'matrik MISI 1'!O37</f>
        <v>%</v>
      </c>
      <c r="J649" s="563">
        <f>'matrik MISI 1'!P37</f>
        <v>7.1428571428571423</v>
      </c>
      <c r="K649" s="563">
        <f>'matrik MISI 1'!Q37</f>
        <v>7.1428571428571423</v>
      </c>
      <c r="L649" s="563">
        <f>'matrik MISI 1'!R37</f>
        <v>8.0519480519480524</v>
      </c>
      <c r="M649" s="604"/>
      <c r="N649" s="563">
        <f>'matrik MISI 1'!S37</f>
        <v>8.0519480519480524</v>
      </c>
      <c r="O649" s="564"/>
      <c r="P649" s="563">
        <f>'matrik MISI 1'!T37</f>
        <v>8.0519480519480524</v>
      </c>
      <c r="Q649" s="564"/>
      <c r="R649" s="563">
        <f>'matrik MISI 1'!U37</f>
        <v>8.0519480519480524</v>
      </c>
      <c r="S649" s="564"/>
      <c r="T649" s="563">
        <f>'matrik MISI 1'!V37</f>
        <v>8.0519480519480524</v>
      </c>
      <c r="U649" s="564"/>
      <c r="V649" s="563">
        <f>'matrik MISI 1'!W37</f>
        <v>8.0519480519480524</v>
      </c>
      <c r="W649" s="564"/>
      <c r="X649" s="563" t="str">
        <f>'matrik MISI 1'!X37</f>
        <v>BAPELUH</v>
      </c>
      <c r="Y649" s="563" t="str">
        <f>'matrik MISI 1'!Y37</f>
        <v>Rasio jumlah kelompok tani maju dengan jumlah total kelompok tani kali 100 %</v>
      </c>
      <c r="Z649" s="563" t="str">
        <f>'matrik MISI 1'!Z37</f>
        <v>Peningkatan kelas poktan dari pemula-lanjut
lanjut-madya
madya-utama</v>
      </c>
    </row>
    <row r="650" spans="1:454" ht="30">
      <c r="G650" s="563"/>
      <c r="H650" s="563" t="str">
        <f>'matrik MISI 1'!N38</f>
        <v>Jumlah peningkatan kapasitas SDM Petani</v>
      </c>
      <c r="I650" s="563" t="str">
        <f>'matrik MISI 1'!O38</f>
        <v>orang/thn</v>
      </c>
      <c r="J650" s="563">
        <f>'matrik MISI 1'!P38</f>
        <v>0</v>
      </c>
      <c r="K650" s="563">
        <f>'matrik MISI 1'!Q38</f>
        <v>0</v>
      </c>
      <c r="L650" s="563">
        <f>'matrik MISI 1'!R38</f>
        <v>2480</v>
      </c>
      <c r="M650" s="604"/>
      <c r="N650" s="563">
        <f>'matrik MISI 1'!S38</f>
        <v>4960</v>
      </c>
      <c r="O650" s="564"/>
      <c r="P650" s="563">
        <f>'matrik MISI 1'!T38</f>
        <v>7440</v>
      </c>
      <c r="Q650" s="564"/>
      <c r="R650" s="563">
        <f>'matrik MISI 1'!U38</f>
        <v>9920</v>
      </c>
      <c r="S650" s="564"/>
      <c r="T650" s="563">
        <f>'matrik MISI 1'!V38</f>
        <v>12400</v>
      </c>
      <c r="U650" s="564"/>
      <c r="V650" s="563">
        <f>'matrik MISI 1'!W38</f>
        <v>12400</v>
      </c>
      <c r="W650" s="564"/>
      <c r="X650" s="563" t="str">
        <f>'matrik MISI 1'!X38</f>
        <v>BAPELUH</v>
      </c>
      <c r="Y650" s="563" t="str">
        <f>'matrik MISI 1'!Y38</f>
        <v xml:space="preserve">Jumlah petani anggota kelompok yang meningkat </v>
      </c>
      <c r="Z650" s="563" t="str">
        <f>'matrik MISI 1'!Z38</f>
        <v>Peningkatan kapasitas petani (pengetahuan, sikap, keterampilan) dalam penerapan teknologi</v>
      </c>
    </row>
    <row r="651" spans="1:454" ht="45">
      <c r="G651" s="563"/>
      <c r="H651" s="563" t="str">
        <f>'matrik MISI 1'!N39</f>
        <v>Cakupan Pertumbuhan dan peningkatan kapasitas Pos Penyuluhan Desa (Posluhdes)</v>
      </c>
      <c r="I651" s="563" t="str">
        <f>'matrik MISI 1'!O39</f>
        <v>%</v>
      </c>
      <c r="J651" s="563">
        <f>'matrik MISI 1'!P39</f>
        <v>16.260000000000002</v>
      </c>
      <c r="K651" s="563">
        <f>'matrik MISI 1'!Q39</f>
        <v>27.34</v>
      </c>
      <c r="L651" s="563">
        <f>'matrik MISI 1'!R39</f>
        <v>35.99</v>
      </c>
      <c r="M651" s="604"/>
      <c r="N651" s="563">
        <f>'matrik MISI 1'!S39</f>
        <v>46.37</v>
      </c>
      <c r="O651" s="564"/>
      <c r="P651" s="563">
        <f>'matrik MISI 1'!T39</f>
        <v>58.46</v>
      </c>
      <c r="Q651" s="564"/>
      <c r="R651" s="563">
        <f>'matrik MISI 1'!U39</f>
        <v>72.319999999999993</v>
      </c>
      <c r="S651" s="564"/>
      <c r="T651" s="563">
        <f>'matrik MISI 1'!V39</f>
        <v>87.89</v>
      </c>
      <c r="U651" s="564"/>
      <c r="V651" s="563">
        <f>'matrik MISI 1'!W39</f>
        <v>87.89</v>
      </c>
      <c r="W651" s="564"/>
      <c r="X651" s="563" t="str">
        <f>'matrik MISI 1'!X39</f>
        <v>BAPELUH</v>
      </c>
      <c r="Y651" s="563" t="str">
        <f>'matrik MISI 1'!Y39</f>
        <v>Jumlah Desa/Kelurahan yang memiliki Posluhdes dibagi jumlah keseluruhan desa/kelurahan kali 100%</v>
      </c>
      <c r="Z651" s="563" t="str">
        <f>'matrik MISI 1'!Z39</f>
        <v>Tumbuh dan meningkatnya Posluhdes (1 desa 1 Posluhdes). Pada akhir 2018 diharapkan terbentuk 254 (88%) posluhdes dari 289 desa/kelurahan yang ada</v>
      </c>
    </row>
    <row r="652" spans="1:454" ht="45">
      <c r="G652" s="563"/>
      <c r="H652" s="563" t="str">
        <f>'matrik MISI 1'!N40</f>
        <v xml:space="preserve">Besaran pertumbuhan dan peningkatan Kapasitas Lembaga Ekonomi Petani </v>
      </c>
      <c r="I652" s="563" t="str">
        <f>'matrik MISI 1'!O40</f>
        <v>unit/thn</v>
      </c>
      <c r="J652" s="563">
        <f>'matrik MISI 1'!P40</f>
        <v>3</v>
      </c>
      <c r="K652" s="563">
        <f>'matrik MISI 1'!Q40</f>
        <v>1</v>
      </c>
      <c r="L652" s="563">
        <f>'matrik MISI 1'!R40</f>
        <v>10</v>
      </c>
      <c r="M652" s="604"/>
      <c r="N652" s="563">
        <f>'matrik MISI 1'!S40</f>
        <v>25</v>
      </c>
      <c r="O652" s="564"/>
      <c r="P652" s="563">
        <f>'matrik MISI 1'!T40</f>
        <v>40</v>
      </c>
      <c r="Q652" s="564"/>
      <c r="R652" s="563">
        <f>'matrik MISI 1'!U40</f>
        <v>55</v>
      </c>
      <c r="S652" s="564"/>
      <c r="T652" s="563">
        <f>'matrik MISI 1'!V40</f>
        <v>70</v>
      </c>
      <c r="U652" s="564"/>
      <c r="V652" s="563">
        <f>'matrik MISI 1'!W40</f>
        <v>70</v>
      </c>
      <c r="W652" s="564"/>
      <c r="X652" s="563" t="str">
        <f>'matrik MISI 1'!X40</f>
        <v>BAPELUH</v>
      </c>
      <c r="Y652" s="563" t="str">
        <f>'matrik MISI 1'!Y40</f>
        <v>Penambahan jumlah BUMPper tahun</v>
      </c>
      <c r="Z652" s="563" t="str">
        <f>'matrik MISI 1'!Z40</f>
        <v>Badan Umum Milik Petani (BUMP) berbentuk pra koperasi/koperasi/asosiasi</v>
      </c>
    </row>
    <row r="653" spans="1:454" s="574" customFormat="1" ht="60">
      <c r="A653" s="569"/>
      <c r="B653" s="575"/>
      <c r="C653" s="576"/>
      <c r="D653" s="577" t="str">
        <f>'matrik MISI 1'!J42</f>
        <v>2.01</v>
      </c>
      <c r="E653" s="577" t="str">
        <f>'matrik MISI 1'!K42</f>
        <v>xx</v>
      </c>
      <c r="F653" s="577">
        <f>'matrik MISI 1'!L42</f>
        <v>19</v>
      </c>
      <c r="G653" s="577" t="str">
        <f>'matrik MISI 1'!M42</f>
        <v>Program Peningkatan Produksi Pertanian/Perkebunan/peternakan</v>
      </c>
      <c r="H653" s="577"/>
      <c r="I653" s="577"/>
      <c r="J653" s="577"/>
      <c r="K653" s="577"/>
      <c r="L653" s="577"/>
      <c r="M653" s="578">
        <f>'jangan dihapus 2'!K555+'jangan dihapus 2'!K552+'jangan dihapus 2'!K525</f>
        <v>5514230050</v>
      </c>
      <c r="N653" s="577"/>
      <c r="O653" s="578">
        <f>'jangan dihapus 2'!M555+'jangan dihapus 2'!M552+'jangan dihapus 2'!M525</f>
        <v>5704230000</v>
      </c>
      <c r="P653" s="577"/>
      <c r="Q653" s="578">
        <f>'jangan dihapus 2'!O555+'jangan dihapus 2'!O552+'jangan dihapus 2'!O525</f>
        <v>5704230000</v>
      </c>
      <c r="R653" s="577"/>
      <c r="S653" s="578">
        <f>'jangan dihapus 2'!Q555+'jangan dihapus 2'!Q552+'jangan dihapus 2'!Q525</f>
        <v>5704230000</v>
      </c>
      <c r="T653" s="577"/>
      <c r="U653" s="578">
        <f>'jangan dihapus 2'!S555+'jangan dihapus 2'!S552+'jangan dihapus 2'!S525</f>
        <v>5704230000</v>
      </c>
      <c r="V653" s="577"/>
      <c r="W653" s="578">
        <f>SUM(M653:U653)</f>
        <v>28331150050</v>
      </c>
      <c r="X653" s="577"/>
      <c r="Y653" s="577"/>
      <c r="Z653" s="577"/>
      <c r="AA653" s="569"/>
      <c r="AB653" s="569"/>
      <c r="AC653" s="569"/>
      <c r="AD653" s="569"/>
      <c r="AE653" s="569"/>
      <c r="AF653" s="569"/>
      <c r="AG653" s="569"/>
      <c r="AH653" s="569"/>
      <c r="AI653" s="569"/>
      <c r="AJ653" s="569"/>
      <c r="AK653" s="569"/>
      <c r="AL653" s="569"/>
      <c r="AM653" s="569"/>
      <c r="AN653" s="569"/>
      <c r="AO653" s="569"/>
      <c r="AP653" s="569"/>
      <c r="AQ653" s="569"/>
      <c r="AR653" s="569"/>
      <c r="AS653" s="569"/>
      <c r="AT653" s="569"/>
      <c r="AU653" s="569"/>
      <c r="AV653" s="569"/>
      <c r="AW653" s="569"/>
      <c r="AX653" s="569"/>
      <c r="AY653" s="569"/>
      <c r="AZ653" s="569"/>
      <c r="BA653" s="569"/>
      <c r="BB653" s="569"/>
      <c r="BC653" s="569"/>
      <c r="BD653" s="569"/>
      <c r="BE653" s="569"/>
      <c r="BF653" s="569"/>
      <c r="BG653" s="569"/>
      <c r="BH653" s="569"/>
      <c r="BI653" s="569"/>
      <c r="BJ653" s="569"/>
      <c r="BK653" s="569"/>
      <c r="BL653" s="569"/>
      <c r="BM653" s="569"/>
      <c r="BN653" s="569"/>
      <c r="BO653" s="569"/>
      <c r="BP653" s="569"/>
      <c r="BQ653" s="569"/>
      <c r="BR653" s="569"/>
      <c r="BS653" s="569"/>
      <c r="BT653" s="569"/>
      <c r="BU653" s="569"/>
      <c r="BV653" s="569"/>
      <c r="BW653" s="569"/>
      <c r="BX653" s="569"/>
      <c r="BY653" s="569"/>
      <c r="BZ653" s="569"/>
      <c r="CA653" s="569"/>
      <c r="CB653" s="569"/>
      <c r="CC653" s="569"/>
      <c r="CD653" s="569"/>
      <c r="CE653" s="569"/>
      <c r="CF653" s="569"/>
      <c r="CG653" s="569"/>
      <c r="CH653" s="569"/>
      <c r="CI653" s="569"/>
      <c r="CJ653" s="569"/>
      <c r="CK653" s="569"/>
      <c r="CL653" s="569"/>
      <c r="CM653" s="569"/>
      <c r="CN653" s="569"/>
      <c r="CO653" s="569"/>
      <c r="CP653" s="569"/>
      <c r="CQ653" s="569"/>
      <c r="CR653" s="569"/>
      <c r="CS653" s="569"/>
      <c r="CT653" s="569"/>
      <c r="CU653" s="569"/>
      <c r="CV653" s="569"/>
      <c r="CW653" s="569"/>
      <c r="CX653" s="569"/>
      <c r="CY653" s="569"/>
      <c r="CZ653" s="569"/>
      <c r="DA653" s="569"/>
      <c r="DB653" s="569"/>
      <c r="DC653" s="569"/>
      <c r="DD653" s="569"/>
      <c r="DE653" s="569"/>
      <c r="DF653" s="569"/>
      <c r="DG653" s="569"/>
      <c r="DH653" s="569"/>
      <c r="DI653" s="569"/>
      <c r="DJ653" s="569"/>
      <c r="DK653" s="569"/>
      <c r="DL653" s="569"/>
      <c r="DM653" s="569"/>
      <c r="DN653" s="569"/>
      <c r="DO653" s="569"/>
      <c r="DP653" s="569"/>
      <c r="DQ653" s="569"/>
      <c r="DR653" s="569"/>
      <c r="DS653" s="569"/>
      <c r="DT653" s="569"/>
      <c r="DU653" s="569"/>
      <c r="DV653" s="569"/>
      <c r="DW653" s="569"/>
      <c r="DX653" s="569"/>
      <c r="DY653" s="569"/>
      <c r="DZ653" s="569"/>
      <c r="EA653" s="569"/>
      <c r="EB653" s="569"/>
      <c r="EC653" s="569"/>
      <c r="ED653" s="569"/>
      <c r="EE653" s="569"/>
      <c r="EF653" s="569"/>
      <c r="EG653" s="569"/>
      <c r="EH653" s="569"/>
      <c r="EI653" s="569"/>
      <c r="EJ653" s="569"/>
      <c r="EK653" s="569"/>
      <c r="EL653" s="569"/>
      <c r="EM653" s="569"/>
      <c r="EN653" s="569"/>
      <c r="EO653" s="569"/>
      <c r="EP653" s="569"/>
      <c r="EQ653" s="569"/>
      <c r="ER653" s="569"/>
      <c r="ES653" s="569"/>
      <c r="ET653" s="569"/>
      <c r="EU653" s="569"/>
      <c r="EV653" s="569"/>
      <c r="EW653" s="569"/>
      <c r="EX653" s="569"/>
      <c r="EY653" s="569"/>
      <c r="EZ653" s="569"/>
      <c r="FA653" s="569"/>
      <c r="FB653" s="569"/>
      <c r="FC653" s="569"/>
      <c r="FD653" s="569"/>
      <c r="FE653" s="569"/>
      <c r="FF653" s="569"/>
      <c r="FG653" s="569"/>
      <c r="FH653" s="569"/>
      <c r="FI653" s="569"/>
      <c r="FJ653" s="569"/>
      <c r="FK653" s="569"/>
      <c r="FL653" s="569"/>
      <c r="FM653" s="569"/>
      <c r="FN653" s="569"/>
      <c r="FO653" s="569"/>
      <c r="FP653" s="569"/>
      <c r="FQ653" s="569"/>
      <c r="FR653" s="569"/>
      <c r="FS653" s="569"/>
      <c r="FT653" s="569"/>
      <c r="FU653" s="569"/>
      <c r="FV653" s="569"/>
      <c r="FW653" s="569"/>
      <c r="FX653" s="569"/>
      <c r="FY653" s="569"/>
      <c r="FZ653" s="569"/>
      <c r="GA653" s="569"/>
      <c r="GB653" s="569"/>
      <c r="GC653" s="569"/>
      <c r="GD653" s="569"/>
      <c r="GE653" s="569"/>
      <c r="GF653" s="569"/>
      <c r="GG653" s="569"/>
      <c r="GH653" s="569"/>
      <c r="GI653" s="569"/>
      <c r="GJ653" s="569"/>
      <c r="GK653" s="569"/>
      <c r="GL653" s="569"/>
      <c r="GM653" s="569"/>
      <c r="GN653" s="569"/>
      <c r="GO653" s="569"/>
      <c r="GP653" s="569"/>
      <c r="GQ653" s="569"/>
      <c r="GR653" s="569"/>
      <c r="GS653" s="569"/>
      <c r="GT653" s="569"/>
      <c r="GU653" s="569"/>
      <c r="GV653" s="569"/>
      <c r="GW653" s="569"/>
      <c r="GX653" s="569"/>
      <c r="GY653" s="569"/>
      <c r="GZ653" s="569"/>
      <c r="HA653" s="569"/>
      <c r="HB653" s="569"/>
      <c r="HC653" s="569"/>
      <c r="HD653" s="569"/>
      <c r="HE653" s="569"/>
      <c r="HF653" s="569"/>
      <c r="HG653" s="569"/>
      <c r="HH653" s="569"/>
      <c r="HI653" s="569"/>
      <c r="HJ653" s="569"/>
      <c r="HK653" s="569"/>
      <c r="HL653" s="569"/>
      <c r="HM653" s="569"/>
      <c r="HN653" s="569"/>
      <c r="HO653" s="569"/>
      <c r="HP653" s="569"/>
      <c r="HQ653" s="569"/>
      <c r="HR653" s="569"/>
      <c r="HS653" s="569"/>
      <c r="HT653" s="569"/>
      <c r="HU653" s="569"/>
      <c r="HV653" s="569"/>
      <c r="HW653" s="569"/>
      <c r="HX653" s="569"/>
      <c r="HY653" s="569"/>
      <c r="HZ653" s="569"/>
      <c r="IA653" s="569"/>
      <c r="IB653" s="569"/>
      <c r="IC653" s="569"/>
      <c r="ID653" s="569"/>
      <c r="IE653" s="569"/>
      <c r="IF653" s="569"/>
      <c r="IG653" s="569"/>
      <c r="IH653" s="569"/>
      <c r="II653" s="569"/>
      <c r="IJ653" s="569"/>
      <c r="IK653" s="569"/>
      <c r="IL653" s="569"/>
      <c r="IM653" s="569"/>
      <c r="IN653" s="569"/>
      <c r="IO653" s="569"/>
      <c r="IP653" s="569"/>
      <c r="IQ653" s="569"/>
      <c r="IR653" s="569"/>
      <c r="IS653" s="569"/>
      <c r="IT653" s="569"/>
      <c r="IU653" s="569"/>
      <c r="IV653" s="569"/>
      <c r="IW653" s="569"/>
      <c r="IX653" s="569"/>
      <c r="IY653" s="569"/>
      <c r="IZ653" s="569"/>
      <c r="JA653" s="569"/>
      <c r="JB653" s="569"/>
      <c r="JC653" s="569"/>
      <c r="JD653" s="569"/>
      <c r="JE653" s="569"/>
      <c r="JF653" s="569"/>
      <c r="JG653" s="569"/>
      <c r="JH653" s="569"/>
      <c r="JI653" s="569"/>
      <c r="JJ653" s="569"/>
      <c r="JK653" s="569"/>
      <c r="JL653" s="569"/>
      <c r="JM653" s="569"/>
      <c r="JN653" s="569"/>
      <c r="JO653" s="569"/>
      <c r="JP653" s="569"/>
      <c r="JQ653" s="569"/>
      <c r="JR653" s="569"/>
      <c r="JS653" s="569"/>
      <c r="JT653" s="569"/>
      <c r="JU653" s="569"/>
      <c r="JV653" s="569"/>
      <c r="JW653" s="569"/>
      <c r="JX653" s="569"/>
      <c r="JY653" s="569"/>
      <c r="JZ653" s="569"/>
      <c r="KA653" s="569"/>
      <c r="KB653" s="569"/>
      <c r="KC653" s="569"/>
      <c r="KD653" s="569"/>
      <c r="KE653" s="569"/>
      <c r="KF653" s="569"/>
      <c r="KG653" s="569"/>
      <c r="KH653" s="569"/>
      <c r="KI653" s="569"/>
      <c r="KJ653" s="569"/>
      <c r="KK653" s="569"/>
      <c r="KL653" s="569"/>
      <c r="KM653" s="569"/>
      <c r="KN653" s="569"/>
      <c r="KO653" s="569"/>
      <c r="KP653" s="569"/>
      <c r="KQ653" s="569"/>
      <c r="KR653" s="569"/>
      <c r="KS653" s="569"/>
      <c r="KT653" s="569"/>
      <c r="KU653" s="569"/>
      <c r="KV653" s="569"/>
      <c r="KW653" s="569"/>
      <c r="KX653" s="569"/>
      <c r="KY653" s="569"/>
      <c r="KZ653" s="569"/>
      <c r="LA653" s="569"/>
      <c r="LB653" s="569"/>
      <c r="LC653" s="569"/>
      <c r="LD653" s="569"/>
      <c r="LE653" s="569"/>
      <c r="LF653" s="569"/>
      <c r="LG653" s="569"/>
      <c r="LH653" s="569"/>
      <c r="LI653" s="569"/>
      <c r="LJ653" s="569"/>
      <c r="LK653" s="569"/>
      <c r="LL653" s="569"/>
      <c r="LM653" s="569"/>
      <c r="LN653" s="569"/>
      <c r="LO653" s="569"/>
      <c r="LP653" s="569"/>
      <c r="LQ653" s="569"/>
      <c r="LR653" s="569"/>
      <c r="LS653" s="569"/>
      <c r="LT653" s="569"/>
      <c r="LU653" s="569"/>
      <c r="LV653" s="569"/>
      <c r="LW653" s="569"/>
      <c r="LX653" s="569"/>
      <c r="LY653" s="569"/>
      <c r="LZ653" s="569"/>
      <c r="MA653" s="569"/>
      <c r="MB653" s="569"/>
      <c r="MC653" s="569"/>
      <c r="MD653" s="569"/>
      <c r="ME653" s="569"/>
      <c r="MF653" s="569"/>
      <c r="MG653" s="569"/>
      <c r="MH653" s="569"/>
      <c r="MI653" s="569"/>
      <c r="MJ653" s="569"/>
      <c r="MK653" s="569"/>
      <c r="ML653" s="569"/>
      <c r="MM653" s="569"/>
      <c r="MN653" s="569"/>
      <c r="MO653" s="569"/>
      <c r="MP653" s="569"/>
      <c r="MQ653" s="569"/>
      <c r="MR653" s="569"/>
      <c r="MS653" s="569"/>
      <c r="MT653" s="569"/>
      <c r="MU653" s="569"/>
      <c r="MV653" s="569"/>
      <c r="MW653" s="569"/>
      <c r="MX653" s="569"/>
      <c r="MY653" s="569"/>
      <c r="MZ653" s="569"/>
      <c r="NA653" s="569"/>
      <c r="NB653" s="569"/>
      <c r="NC653" s="569"/>
      <c r="ND653" s="569"/>
      <c r="NE653" s="569"/>
      <c r="NF653" s="569"/>
      <c r="NG653" s="569"/>
      <c r="NH653" s="569"/>
      <c r="NI653" s="569"/>
      <c r="NJ653" s="569"/>
      <c r="NK653" s="569"/>
      <c r="NL653" s="569"/>
      <c r="NM653" s="569"/>
      <c r="NN653" s="569"/>
      <c r="NO653" s="569"/>
      <c r="NP653" s="569"/>
      <c r="NQ653" s="569"/>
      <c r="NR653" s="569"/>
      <c r="NS653" s="569"/>
      <c r="NT653" s="569"/>
      <c r="NU653" s="569"/>
      <c r="NV653" s="569"/>
      <c r="NW653" s="569"/>
      <c r="NX653" s="569"/>
      <c r="NY653" s="569"/>
      <c r="NZ653" s="569"/>
      <c r="OA653" s="569"/>
      <c r="OB653" s="569"/>
      <c r="OC653" s="569"/>
      <c r="OD653" s="569"/>
      <c r="OE653" s="569"/>
      <c r="OF653" s="569"/>
      <c r="OG653" s="569"/>
      <c r="OH653" s="569"/>
      <c r="OI653" s="569"/>
      <c r="OJ653" s="569"/>
      <c r="OK653" s="569"/>
      <c r="OL653" s="569"/>
      <c r="OM653" s="569"/>
      <c r="ON653" s="569"/>
      <c r="OO653" s="569"/>
      <c r="OP653" s="569"/>
      <c r="OQ653" s="569"/>
      <c r="OR653" s="569"/>
      <c r="OS653" s="569"/>
      <c r="OT653" s="569"/>
      <c r="OU653" s="569"/>
      <c r="OV653" s="569"/>
      <c r="OW653" s="569"/>
      <c r="OX653" s="569"/>
      <c r="OY653" s="569"/>
      <c r="OZ653" s="569"/>
      <c r="PA653" s="569"/>
      <c r="PB653" s="569"/>
      <c r="PC653" s="569"/>
      <c r="PD653" s="569"/>
      <c r="PE653" s="569"/>
      <c r="PF653" s="569"/>
      <c r="PG653" s="569"/>
      <c r="PH653" s="569"/>
      <c r="PI653" s="569"/>
      <c r="PJ653" s="569"/>
      <c r="PK653" s="569"/>
      <c r="PL653" s="569"/>
      <c r="PM653" s="569"/>
      <c r="PN653" s="569"/>
      <c r="PO653" s="569"/>
      <c r="PP653" s="569"/>
      <c r="PQ653" s="569"/>
      <c r="PR653" s="569"/>
      <c r="PS653" s="569"/>
      <c r="PT653" s="569"/>
      <c r="PU653" s="569"/>
      <c r="PV653" s="569"/>
      <c r="PW653" s="569"/>
      <c r="PX653" s="569"/>
      <c r="PY653" s="569"/>
      <c r="PZ653" s="569"/>
      <c r="QA653" s="569"/>
      <c r="QB653" s="569"/>
      <c r="QC653" s="569"/>
      <c r="QD653" s="569"/>
      <c r="QE653" s="569"/>
      <c r="QF653" s="569"/>
      <c r="QG653" s="569"/>
      <c r="QH653" s="569"/>
      <c r="QI653" s="569"/>
      <c r="QJ653" s="569"/>
      <c r="QK653" s="569"/>
      <c r="QL653" s="569"/>
    </row>
    <row r="654" spans="1:454" s="569" customFormat="1" ht="30">
      <c r="B654" s="267"/>
      <c r="C654" s="561"/>
      <c r="H654" s="565" t="str">
        <f>'matrik MISI 1'!N42</f>
        <v>Persentase meningkatnya pengelolaan kawasan embung</v>
      </c>
      <c r="I654" s="565" t="str">
        <f>'matrik MISI 1'!O42</f>
        <v>%</v>
      </c>
      <c r="J654" s="565">
        <f>'matrik MISI 1'!P42</f>
        <v>17</v>
      </c>
      <c r="K654" s="565">
        <f>'matrik MISI 1'!Q42</f>
        <v>33</v>
      </c>
      <c r="L654" s="565">
        <f>'matrik MISI 1'!R42</f>
        <v>50</v>
      </c>
      <c r="N654" s="565">
        <f>'matrik MISI 1'!S42</f>
        <v>67</v>
      </c>
      <c r="O654" s="565"/>
      <c r="P654" s="565">
        <f>'matrik MISI 1'!T42</f>
        <v>83</v>
      </c>
      <c r="Q654" s="565"/>
      <c r="R654" s="565">
        <f>'matrik MISI 1'!U42</f>
        <v>100</v>
      </c>
      <c r="S654" s="565"/>
      <c r="T654" s="565">
        <f>'matrik MISI 1'!V42</f>
        <v>100</v>
      </c>
      <c r="U654" s="565"/>
      <c r="V654" s="565">
        <f>'matrik MISI 1'!W42</f>
        <v>100</v>
      </c>
      <c r="W654" s="565"/>
      <c r="X654" s="565" t="str">
        <f>'matrik MISI 1'!X42</f>
        <v>DINTANBUNHUT</v>
      </c>
      <c r="Y654" s="565" t="str">
        <f>'matrik MISI 1'!Y42</f>
        <v>Jumlah kawasan embung yang dikelola dibagi jumlah total embung kali 100%</v>
      </c>
      <c r="Z654" s="565" t="str">
        <f>'matrik MISI 1'!Z42</f>
        <v>Embung : Kledung, Nglarangan, Tlogopucang, Ngropoh, Soropadan, Jetis</v>
      </c>
    </row>
    <row r="655" spans="1:454" ht="30">
      <c r="G655" s="563"/>
      <c r="H655" s="563" t="str">
        <f>'matrik MISI 1'!N43</f>
        <v>Besaran jumlah jaringan irigasi usaha tani terbangun</v>
      </c>
      <c r="I655" s="563" t="str">
        <f>'matrik MISI 1'!O43</f>
        <v>unit</v>
      </c>
      <c r="J655" s="563">
        <f>'matrik MISI 1'!P43</f>
        <v>119</v>
      </c>
      <c r="K655" s="563">
        <f>'matrik MISI 1'!Q43</f>
        <v>219</v>
      </c>
      <c r="L655" s="563">
        <f>'matrik MISI 1'!R43</f>
        <v>269</v>
      </c>
      <c r="M655" s="604"/>
      <c r="N655" s="563">
        <f>'matrik MISI 1'!S43</f>
        <v>319</v>
      </c>
      <c r="O655" s="564"/>
      <c r="P655" s="563">
        <f>'matrik MISI 1'!T43</f>
        <v>369</v>
      </c>
      <c r="Q655" s="564"/>
      <c r="R655" s="563">
        <f>'matrik MISI 1'!U43</f>
        <v>419</v>
      </c>
      <c r="S655" s="564"/>
      <c r="T655" s="563">
        <f>'matrik MISI 1'!V43</f>
        <v>469</v>
      </c>
      <c r="U655" s="564"/>
      <c r="V655" s="563">
        <f>'matrik MISI 1'!W43</f>
        <v>469</v>
      </c>
      <c r="W655" s="564"/>
      <c r="X655" s="563" t="str">
        <f>'matrik MISI 1'!X43</f>
        <v>DINTANBUNHUT</v>
      </c>
      <c r="Y655" s="563">
        <f>'matrik MISI 1'!Y43</f>
        <v>0</v>
      </c>
      <c r="Z655" s="563" t="str">
        <f>'matrik MISI 1'!Z43</f>
        <v>Irigasi usahatani adalah irigasi yang menjadi tanggungjawab desa/ kelompok tani</v>
      </c>
    </row>
    <row r="656" spans="1:454" ht="30">
      <c r="G656" s="563"/>
      <c r="H656" s="563" t="str">
        <f>'matrik MISI 1'!N44</f>
        <v>Besaran jumlah jalan usaha tani</v>
      </c>
      <c r="I656" s="563" t="str">
        <f>'matrik MISI 1'!O44</f>
        <v>unit</v>
      </c>
      <c r="J656" s="563">
        <f>'matrik MISI 1'!P44</f>
        <v>100</v>
      </c>
      <c r="K656" s="563">
        <f>'matrik MISI 1'!Q44</f>
        <v>160</v>
      </c>
      <c r="L656" s="563">
        <f>'matrik MISI 1'!R44</f>
        <v>210</v>
      </c>
      <c r="M656" s="604"/>
      <c r="N656" s="563">
        <f>'matrik MISI 1'!S44</f>
        <v>260</v>
      </c>
      <c r="O656" s="564"/>
      <c r="P656" s="563">
        <f>'matrik MISI 1'!T44</f>
        <v>310</v>
      </c>
      <c r="Q656" s="564"/>
      <c r="R656" s="563">
        <f>'matrik MISI 1'!U44</f>
        <v>360</v>
      </c>
      <c r="S656" s="564"/>
      <c r="T656" s="563">
        <f>'matrik MISI 1'!V44</f>
        <v>410</v>
      </c>
      <c r="U656" s="564"/>
      <c r="V656" s="563">
        <f>'matrik MISI 1'!W44</f>
        <v>410</v>
      </c>
      <c r="W656" s="564"/>
      <c r="X656" s="563" t="str">
        <f>'matrik MISI 1'!X44</f>
        <v>DINTANBUNHUT</v>
      </c>
      <c r="Y656" s="563">
        <f>'matrik MISI 1'!Y44</f>
        <v>0</v>
      </c>
      <c r="Z656" s="563" t="str">
        <f>'matrik MISI 1'!Z44</f>
        <v>Jalan usahatani adalah jalan yang digunakan untuk pengangkutan sarana dan hasil produksi pertanian</v>
      </c>
    </row>
    <row r="657" spans="1:454" s="574" customFormat="1" ht="30">
      <c r="A657" s="569"/>
      <c r="B657" s="575"/>
      <c r="C657" s="576"/>
      <c r="D657" s="577" t="str">
        <f>'matrik MISI 1'!J46</f>
        <v>2.01</v>
      </c>
      <c r="E657" s="577" t="str">
        <f>'matrik MISI 1'!K46</f>
        <v>xx</v>
      </c>
      <c r="F657" s="577">
        <f>'matrik MISI 1'!L46</f>
        <v>27</v>
      </c>
      <c r="G657" s="577" t="str">
        <f>'matrik MISI 1'!M46</f>
        <v>Program Pengembangan Agribisnis</v>
      </c>
      <c r="H657" s="577"/>
      <c r="I657" s="577"/>
      <c r="J657" s="577"/>
      <c r="K657" s="577"/>
      <c r="L657" s="577"/>
      <c r="M657" s="578">
        <f>'jangan dihapus 2'!K604</f>
        <v>125000000</v>
      </c>
      <c r="N657" s="577"/>
      <c r="O657" s="578">
        <f>'jangan dihapus 2'!M604</f>
        <v>550000000</v>
      </c>
      <c r="P657" s="577"/>
      <c r="Q657" s="578">
        <f>'jangan dihapus 2'!O604</f>
        <v>550000000</v>
      </c>
      <c r="R657" s="577"/>
      <c r="S657" s="578">
        <f>'jangan dihapus 2'!Q604</f>
        <v>550000000</v>
      </c>
      <c r="T657" s="577"/>
      <c r="U657" s="578">
        <f>'jangan dihapus 2'!S604</f>
        <v>540000000</v>
      </c>
      <c r="V657" s="577"/>
      <c r="W657" s="578">
        <f>SUM(M657:U657)</f>
        <v>2315000000</v>
      </c>
      <c r="X657" s="577"/>
      <c r="Y657" s="577"/>
      <c r="Z657" s="577"/>
      <c r="AA657" s="569"/>
      <c r="AB657" s="569"/>
      <c r="AC657" s="569"/>
      <c r="AD657" s="569"/>
      <c r="AE657" s="569"/>
      <c r="AF657" s="569"/>
      <c r="AG657" s="569"/>
      <c r="AH657" s="569"/>
      <c r="AI657" s="569"/>
      <c r="AJ657" s="569"/>
      <c r="AK657" s="569"/>
      <c r="AL657" s="569"/>
      <c r="AM657" s="569"/>
      <c r="AN657" s="569"/>
      <c r="AO657" s="569"/>
      <c r="AP657" s="569"/>
      <c r="AQ657" s="569"/>
      <c r="AR657" s="569"/>
      <c r="AS657" s="569"/>
      <c r="AT657" s="569"/>
      <c r="AU657" s="569"/>
      <c r="AV657" s="569"/>
      <c r="AW657" s="569"/>
      <c r="AX657" s="569"/>
      <c r="AY657" s="569"/>
      <c r="AZ657" s="569"/>
      <c r="BA657" s="569"/>
      <c r="BB657" s="569"/>
      <c r="BC657" s="569"/>
      <c r="BD657" s="569"/>
      <c r="BE657" s="569"/>
      <c r="BF657" s="569"/>
      <c r="BG657" s="569"/>
      <c r="BH657" s="569"/>
      <c r="BI657" s="569"/>
      <c r="BJ657" s="569"/>
      <c r="BK657" s="569"/>
      <c r="BL657" s="569"/>
      <c r="BM657" s="569"/>
      <c r="BN657" s="569"/>
      <c r="BO657" s="569"/>
      <c r="BP657" s="569"/>
      <c r="BQ657" s="569"/>
      <c r="BR657" s="569"/>
      <c r="BS657" s="569"/>
      <c r="BT657" s="569"/>
      <c r="BU657" s="569"/>
      <c r="BV657" s="569"/>
      <c r="BW657" s="569"/>
      <c r="BX657" s="569"/>
      <c r="BY657" s="569"/>
      <c r="BZ657" s="569"/>
      <c r="CA657" s="569"/>
      <c r="CB657" s="569"/>
      <c r="CC657" s="569"/>
      <c r="CD657" s="569"/>
      <c r="CE657" s="569"/>
      <c r="CF657" s="569"/>
      <c r="CG657" s="569"/>
      <c r="CH657" s="569"/>
      <c r="CI657" s="569"/>
      <c r="CJ657" s="569"/>
      <c r="CK657" s="569"/>
      <c r="CL657" s="569"/>
      <c r="CM657" s="569"/>
      <c r="CN657" s="569"/>
      <c r="CO657" s="569"/>
      <c r="CP657" s="569"/>
      <c r="CQ657" s="569"/>
      <c r="CR657" s="569"/>
      <c r="CS657" s="569"/>
      <c r="CT657" s="569"/>
      <c r="CU657" s="569"/>
      <c r="CV657" s="569"/>
      <c r="CW657" s="569"/>
      <c r="CX657" s="569"/>
      <c r="CY657" s="569"/>
      <c r="CZ657" s="569"/>
      <c r="DA657" s="569"/>
      <c r="DB657" s="569"/>
      <c r="DC657" s="569"/>
      <c r="DD657" s="569"/>
      <c r="DE657" s="569"/>
      <c r="DF657" s="569"/>
      <c r="DG657" s="569"/>
      <c r="DH657" s="569"/>
      <c r="DI657" s="569"/>
      <c r="DJ657" s="569"/>
      <c r="DK657" s="569"/>
      <c r="DL657" s="569"/>
      <c r="DM657" s="569"/>
      <c r="DN657" s="569"/>
      <c r="DO657" s="569"/>
      <c r="DP657" s="569"/>
      <c r="DQ657" s="569"/>
      <c r="DR657" s="569"/>
      <c r="DS657" s="569"/>
      <c r="DT657" s="569"/>
      <c r="DU657" s="569"/>
      <c r="DV657" s="569"/>
      <c r="DW657" s="569"/>
      <c r="DX657" s="569"/>
      <c r="DY657" s="569"/>
      <c r="DZ657" s="569"/>
      <c r="EA657" s="569"/>
      <c r="EB657" s="569"/>
      <c r="EC657" s="569"/>
      <c r="ED657" s="569"/>
      <c r="EE657" s="569"/>
      <c r="EF657" s="569"/>
      <c r="EG657" s="569"/>
      <c r="EH657" s="569"/>
      <c r="EI657" s="569"/>
      <c r="EJ657" s="569"/>
      <c r="EK657" s="569"/>
      <c r="EL657" s="569"/>
      <c r="EM657" s="569"/>
      <c r="EN657" s="569"/>
      <c r="EO657" s="569"/>
      <c r="EP657" s="569"/>
      <c r="EQ657" s="569"/>
      <c r="ER657" s="569"/>
      <c r="ES657" s="569"/>
      <c r="ET657" s="569"/>
      <c r="EU657" s="569"/>
      <c r="EV657" s="569"/>
      <c r="EW657" s="569"/>
      <c r="EX657" s="569"/>
      <c r="EY657" s="569"/>
      <c r="EZ657" s="569"/>
      <c r="FA657" s="569"/>
      <c r="FB657" s="569"/>
      <c r="FC657" s="569"/>
      <c r="FD657" s="569"/>
      <c r="FE657" s="569"/>
      <c r="FF657" s="569"/>
      <c r="FG657" s="569"/>
      <c r="FH657" s="569"/>
      <c r="FI657" s="569"/>
      <c r="FJ657" s="569"/>
      <c r="FK657" s="569"/>
      <c r="FL657" s="569"/>
      <c r="FM657" s="569"/>
      <c r="FN657" s="569"/>
      <c r="FO657" s="569"/>
      <c r="FP657" s="569"/>
      <c r="FQ657" s="569"/>
      <c r="FR657" s="569"/>
      <c r="FS657" s="569"/>
      <c r="FT657" s="569"/>
      <c r="FU657" s="569"/>
      <c r="FV657" s="569"/>
      <c r="FW657" s="569"/>
      <c r="FX657" s="569"/>
      <c r="FY657" s="569"/>
      <c r="FZ657" s="569"/>
      <c r="GA657" s="569"/>
      <c r="GB657" s="569"/>
      <c r="GC657" s="569"/>
      <c r="GD657" s="569"/>
      <c r="GE657" s="569"/>
      <c r="GF657" s="569"/>
      <c r="GG657" s="569"/>
      <c r="GH657" s="569"/>
      <c r="GI657" s="569"/>
      <c r="GJ657" s="569"/>
      <c r="GK657" s="569"/>
      <c r="GL657" s="569"/>
      <c r="GM657" s="569"/>
      <c r="GN657" s="569"/>
      <c r="GO657" s="569"/>
      <c r="GP657" s="569"/>
      <c r="GQ657" s="569"/>
      <c r="GR657" s="569"/>
      <c r="GS657" s="569"/>
      <c r="GT657" s="569"/>
      <c r="GU657" s="569"/>
      <c r="GV657" s="569"/>
      <c r="GW657" s="569"/>
      <c r="GX657" s="569"/>
      <c r="GY657" s="569"/>
      <c r="GZ657" s="569"/>
      <c r="HA657" s="569"/>
      <c r="HB657" s="569"/>
      <c r="HC657" s="569"/>
      <c r="HD657" s="569"/>
      <c r="HE657" s="569"/>
      <c r="HF657" s="569"/>
      <c r="HG657" s="569"/>
      <c r="HH657" s="569"/>
      <c r="HI657" s="569"/>
      <c r="HJ657" s="569"/>
      <c r="HK657" s="569"/>
      <c r="HL657" s="569"/>
      <c r="HM657" s="569"/>
      <c r="HN657" s="569"/>
      <c r="HO657" s="569"/>
      <c r="HP657" s="569"/>
      <c r="HQ657" s="569"/>
      <c r="HR657" s="569"/>
      <c r="HS657" s="569"/>
      <c r="HT657" s="569"/>
      <c r="HU657" s="569"/>
      <c r="HV657" s="569"/>
      <c r="HW657" s="569"/>
      <c r="HX657" s="569"/>
      <c r="HY657" s="569"/>
      <c r="HZ657" s="569"/>
      <c r="IA657" s="569"/>
      <c r="IB657" s="569"/>
      <c r="IC657" s="569"/>
      <c r="ID657" s="569"/>
      <c r="IE657" s="569"/>
      <c r="IF657" s="569"/>
      <c r="IG657" s="569"/>
      <c r="IH657" s="569"/>
      <c r="II657" s="569"/>
      <c r="IJ657" s="569"/>
      <c r="IK657" s="569"/>
      <c r="IL657" s="569"/>
      <c r="IM657" s="569"/>
      <c r="IN657" s="569"/>
      <c r="IO657" s="569"/>
      <c r="IP657" s="569"/>
      <c r="IQ657" s="569"/>
      <c r="IR657" s="569"/>
      <c r="IS657" s="569"/>
      <c r="IT657" s="569"/>
      <c r="IU657" s="569"/>
      <c r="IV657" s="569"/>
      <c r="IW657" s="569"/>
      <c r="IX657" s="569"/>
      <c r="IY657" s="569"/>
      <c r="IZ657" s="569"/>
      <c r="JA657" s="569"/>
      <c r="JB657" s="569"/>
      <c r="JC657" s="569"/>
      <c r="JD657" s="569"/>
      <c r="JE657" s="569"/>
      <c r="JF657" s="569"/>
      <c r="JG657" s="569"/>
      <c r="JH657" s="569"/>
      <c r="JI657" s="569"/>
      <c r="JJ657" s="569"/>
      <c r="JK657" s="569"/>
      <c r="JL657" s="569"/>
      <c r="JM657" s="569"/>
      <c r="JN657" s="569"/>
      <c r="JO657" s="569"/>
      <c r="JP657" s="569"/>
      <c r="JQ657" s="569"/>
      <c r="JR657" s="569"/>
      <c r="JS657" s="569"/>
      <c r="JT657" s="569"/>
      <c r="JU657" s="569"/>
      <c r="JV657" s="569"/>
      <c r="JW657" s="569"/>
      <c r="JX657" s="569"/>
      <c r="JY657" s="569"/>
      <c r="JZ657" s="569"/>
      <c r="KA657" s="569"/>
      <c r="KB657" s="569"/>
      <c r="KC657" s="569"/>
      <c r="KD657" s="569"/>
      <c r="KE657" s="569"/>
      <c r="KF657" s="569"/>
      <c r="KG657" s="569"/>
      <c r="KH657" s="569"/>
      <c r="KI657" s="569"/>
      <c r="KJ657" s="569"/>
      <c r="KK657" s="569"/>
      <c r="KL657" s="569"/>
      <c r="KM657" s="569"/>
      <c r="KN657" s="569"/>
      <c r="KO657" s="569"/>
      <c r="KP657" s="569"/>
      <c r="KQ657" s="569"/>
      <c r="KR657" s="569"/>
      <c r="KS657" s="569"/>
      <c r="KT657" s="569"/>
      <c r="KU657" s="569"/>
      <c r="KV657" s="569"/>
      <c r="KW657" s="569"/>
      <c r="KX657" s="569"/>
      <c r="KY657" s="569"/>
      <c r="KZ657" s="569"/>
      <c r="LA657" s="569"/>
      <c r="LB657" s="569"/>
      <c r="LC657" s="569"/>
      <c r="LD657" s="569"/>
      <c r="LE657" s="569"/>
      <c r="LF657" s="569"/>
      <c r="LG657" s="569"/>
      <c r="LH657" s="569"/>
      <c r="LI657" s="569"/>
      <c r="LJ657" s="569"/>
      <c r="LK657" s="569"/>
      <c r="LL657" s="569"/>
      <c r="LM657" s="569"/>
      <c r="LN657" s="569"/>
      <c r="LO657" s="569"/>
      <c r="LP657" s="569"/>
      <c r="LQ657" s="569"/>
      <c r="LR657" s="569"/>
      <c r="LS657" s="569"/>
      <c r="LT657" s="569"/>
      <c r="LU657" s="569"/>
      <c r="LV657" s="569"/>
      <c r="LW657" s="569"/>
      <c r="LX657" s="569"/>
      <c r="LY657" s="569"/>
      <c r="LZ657" s="569"/>
      <c r="MA657" s="569"/>
      <c r="MB657" s="569"/>
      <c r="MC657" s="569"/>
      <c r="MD657" s="569"/>
      <c r="ME657" s="569"/>
      <c r="MF657" s="569"/>
      <c r="MG657" s="569"/>
      <c r="MH657" s="569"/>
      <c r="MI657" s="569"/>
      <c r="MJ657" s="569"/>
      <c r="MK657" s="569"/>
      <c r="ML657" s="569"/>
      <c r="MM657" s="569"/>
      <c r="MN657" s="569"/>
      <c r="MO657" s="569"/>
      <c r="MP657" s="569"/>
      <c r="MQ657" s="569"/>
      <c r="MR657" s="569"/>
      <c r="MS657" s="569"/>
      <c r="MT657" s="569"/>
      <c r="MU657" s="569"/>
      <c r="MV657" s="569"/>
      <c r="MW657" s="569"/>
      <c r="MX657" s="569"/>
      <c r="MY657" s="569"/>
      <c r="MZ657" s="569"/>
      <c r="NA657" s="569"/>
      <c r="NB657" s="569"/>
      <c r="NC657" s="569"/>
      <c r="ND657" s="569"/>
      <c r="NE657" s="569"/>
      <c r="NF657" s="569"/>
      <c r="NG657" s="569"/>
      <c r="NH657" s="569"/>
      <c r="NI657" s="569"/>
      <c r="NJ657" s="569"/>
      <c r="NK657" s="569"/>
      <c r="NL657" s="569"/>
      <c r="NM657" s="569"/>
      <c r="NN657" s="569"/>
      <c r="NO657" s="569"/>
      <c r="NP657" s="569"/>
      <c r="NQ657" s="569"/>
      <c r="NR657" s="569"/>
      <c r="NS657" s="569"/>
      <c r="NT657" s="569"/>
      <c r="NU657" s="569"/>
      <c r="NV657" s="569"/>
      <c r="NW657" s="569"/>
      <c r="NX657" s="569"/>
      <c r="NY657" s="569"/>
      <c r="NZ657" s="569"/>
      <c r="OA657" s="569"/>
      <c r="OB657" s="569"/>
      <c r="OC657" s="569"/>
      <c r="OD657" s="569"/>
      <c r="OE657" s="569"/>
      <c r="OF657" s="569"/>
      <c r="OG657" s="569"/>
      <c r="OH657" s="569"/>
      <c r="OI657" s="569"/>
      <c r="OJ657" s="569"/>
      <c r="OK657" s="569"/>
      <c r="OL657" s="569"/>
      <c r="OM657" s="569"/>
      <c r="ON657" s="569"/>
      <c r="OO657" s="569"/>
      <c r="OP657" s="569"/>
      <c r="OQ657" s="569"/>
      <c r="OR657" s="569"/>
      <c r="OS657" s="569"/>
      <c r="OT657" s="569"/>
      <c r="OU657" s="569"/>
      <c r="OV657" s="569"/>
      <c r="OW657" s="569"/>
      <c r="OX657" s="569"/>
      <c r="OY657" s="569"/>
      <c r="OZ657" s="569"/>
      <c r="PA657" s="569"/>
      <c r="PB657" s="569"/>
      <c r="PC657" s="569"/>
      <c r="PD657" s="569"/>
      <c r="PE657" s="569"/>
      <c r="PF657" s="569"/>
      <c r="PG657" s="569"/>
      <c r="PH657" s="569"/>
      <c r="PI657" s="569"/>
      <c r="PJ657" s="569"/>
      <c r="PK657" s="569"/>
      <c r="PL657" s="569"/>
      <c r="PM657" s="569"/>
      <c r="PN657" s="569"/>
      <c r="PO657" s="569"/>
      <c r="PP657" s="569"/>
      <c r="PQ657" s="569"/>
      <c r="PR657" s="569"/>
      <c r="PS657" s="569"/>
      <c r="PT657" s="569"/>
      <c r="PU657" s="569"/>
      <c r="PV657" s="569"/>
      <c r="PW657" s="569"/>
      <c r="PX657" s="569"/>
      <c r="PY657" s="569"/>
      <c r="PZ657" s="569"/>
      <c r="QA657" s="569"/>
      <c r="QB657" s="569"/>
      <c r="QC657" s="569"/>
      <c r="QD657" s="569"/>
      <c r="QE657" s="569"/>
      <c r="QF657" s="569"/>
      <c r="QG657" s="569"/>
      <c r="QH657" s="569"/>
      <c r="QI657" s="569"/>
      <c r="QJ657" s="569"/>
      <c r="QK657" s="569"/>
      <c r="QL657" s="569"/>
    </row>
    <row r="658" spans="1:454" ht="30">
      <c r="D658" s="568"/>
      <c r="E658" s="568"/>
      <c r="F658" s="568"/>
      <c r="G658" s="568"/>
      <c r="H658" s="563" t="str">
        <f>'matrik MISI 1'!N46</f>
        <v>Persentase Perkembangan Kawasan Agropolitan</v>
      </c>
      <c r="I658" s="563" t="str">
        <f>'matrik MISI 1'!O46</f>
        <v>%</v>
      </c>
      <c r="J658" s="563">
        <f>'matrik MISI 1'!P46</f>
        <v>50</v>
      </c>
      <c r="K658" s="563">
        <f>'matrik MISI 1'!Q46</f>
        <v>75</v>
      </c>
      <c r="L658" s="563">
        <f>'matrik MISI 1'!R46</f>
        <v>100</v>
      </c>
      <c r="M658" s="604"/>
      <c r="N658" s="563">
        <f>'matrik MISI 1'!S46</f>
        <v>100</v>
      </c>
      <c r="O658" s="564"/>
      <c r="P658" s="563">
        <f>'matrik MISI 1'!T46</f>
        <v>100</v>
      </c>
      <c r="Q658" s="564"/>
      <c r="R658" s="563">
        <f>'matrik MISI 1'!U46</f>
        <v>100</v>
      </c>
      <c r="S658" s="564"/>
      <c r="T658" s="563">
        <f>'matrik MISI 1'!V46</f>
        <v>100</v>
      </c>
      <c r="U658" s="564"/>
      <c r="V658" s="563">
        <f>'matrik MISI 1'!W46</f>
        <v>100</v>
      </c>
      <c r="W658" s="564"/>
      <c r="X658" s="563" t="str">
        <f>'matrik MISI 1'!X46</f>
        <v>DINTANBUNHUT</v>
      </c>
      <c r="Y658" s="563" t="str">
        <f>'matrik MISI 1'!Y46</f>
        <v>Jumlah Kawasan Agropolitan yang di kembangkan : Jumlah Kawasan Agropolitan yang ditetapkan x 100%</v>
      </c>
      <c r="Z658" s="563" t="str">
        <f>'matrik MISI 1'!Z46</f>
        <v>Kawasan Agropolitan meliputi : Selopampang, Kledung, Gemawang, dan Pringsurat</v>
      </c>
    </row>
    <row r="659" spans="1:454" s="570" customFormat="1">
      <c r="A659" s="569"/>
      <c r="B659" s="571"/>
      <c r="C659" s="572"/>
      <c r="D659" s="573"/>
      <c r="E659" s="573"/>
      <c r="F659" s="573"/>
      <c r="G659" s="573"/>
      <c r="H659" s="573"/>
      <c r="I659" s="573"/>
      <c r="J659" s="573"/>
      <c r="K659" s="573"/>
      <c r="L659" s="573"/>
      <c r="M659" s="604"/>
      <c r="N659" s="573"/>
      <c r="O659" s="564"/>
      <c r="P659" s="573"/>
      <c r="Q659" s="564"/>
      <c r="R659" s="573"/>
      <c r="S659" s="564"/>
      <c r="T659" s="573"/>
      <c r="U659" s="564"/>
      <c r="V659" s="573"/>
      <c r="W659" s="564"/>
      <c r="X659" s="573"/>
      <c r="Y659" s="573"/>
      <c r="Z659" s="573"/>
      <c r="AA659" s="569"/>
      <c r="AB659" s="569"/>
      <c r="AC659" s="569"/>
      <c r="AD659" s="569"/>
      <c r="AE659" s="569"/>
      <c r="AF659" s="569"/>
      <c r="AG659" s="569"/>
      <c r="AH659" s="569"/>
      <c r="AI659" s="569"/>
      <c r="AJ659" s="569"/>
      <c r="AK659" s="569"/>
      <c r="AL659" s="569"/>
      <c r="AM659" s="569"/>
      <c r="AN659" s="569"/>
      <c r="AO659" s="569"/>
      <c r="AP659" s="569"/>
      <c r="AQ659" s="569"/>
      <c r="AR659" s="569"/>
      <c r="AS659" s="569"/>
      <c r="AT659" s="569"/>
      <c r="AU659" s="569"/>
      <c r="AV659" s="569"/>
      <c r="AW659" s="569"/>
      <c r="AX659" s="569"/>
      <c r="AY659" s="569"/>
      <c r="AZ659" s="569"/>
      <c r="BA659" s="569"/>
      <c r="BB659" s="569"/>
      <c r="BC659" s="569"/>
      <c r="BD659" s="569"/>
      <c r="BE659" s="569"/>
      <c r="BF659" s="569"/>
      <c r="BG659" s="569"/>
      <c r="BH659" s="569"/>
      <c r="BI659" s="569"/>
      <c r="BJ659" s="569"/>
      <c r="BK659" s="569"/>
      <c r="BL659" s="569"/>
      <c r="BM659" s="569"/>
      <c r="BN659" s="569"/>
      <c r="BO659" s="569"/>
      <c r="BP659" s="569"/>
      <c r="BQ659" s="569"/>
      <c r="BR659" s="569"/>
      <c r="BS659" s="569"/>
      <c r="BT659" s="569"/>
      <c r="BU659" s="569"/>
      <c r="BV659" s="569"/>
      <c r="BW659" s="569"/>
      <c r="BX659" s="569"/>
      <c r="BY659" s="569"/>
      <c r="BZ659" s="569"/>
      <c r="CA659" s="569"/>
      <c r="CB659" s="569"/>
      <c r="CC659" s="569"/>
      <c r="CD659" s="569"/>
      <c r="CE659" s="569"/>
      <c r="CF659" s="569"/>
      <c r="CG659" s="569"/>
      <c r="CH659" s="569"/>
      <c r="CI659" s="569"/>
      <c r="CJ659" s="569"/>
      <c r="CK659" s="569"/>
      <c r="CL659" s="569"/>
      <c r="CM659" s="569"/>
      <c r="CN659" s="569"/>
      <c r="CO659" s="569"/>
      <c r="CP659" s="569"/>
      <c r="CQ659" s="569"/>
      <c r="CR659" s="569"/>
      <c r="CS659" s="569"/>
      <c r="CT659" s="569"/>
      <c r="CU659" s="569"/>
      <c r="CV659" s="569"/>
      <c r="CW659" s="569"/>
      <c r="CX659" s="569"/>
      <c r="CY659" s="569"/>
      <c r="CZ659" s="569"/>
      <c r="DA659" s="569"/>
      <c r="DB659" s="569"/>
      <c r="DC659" s="569"/>
      <c r="DD659" s="569"/>
      <c r="DE659" s="569"/>
      <c r="DF659" s="569"/>
      <c r="DG659" s="569"/>
      <c r="DH659" s="569"/>
      <c r="DI659" s="569"/>
      <c r="DJ659" s="569"/>
      <c r="DK659" s="569"/>
      <c r="DL659" s="569"/>
      <c r="DM659" s="569"/>
      <c r="DN659" s="569"/>
      <c r="DO659" s="569"/>
      <c r="DP659" s="569"/>
      <c r="DQ659" s="569"/>
      <c r="DR659" s="569"/>
      <c r="DS659" s="569"/>
      <c r="DT659" s="569"/>
      <c r="DU659" s="569"/>
      <c r="DV659" s="569"/>
      <c r="DW659" s="569"/>
      <c r="DX659" s="569"/>
      <c r="DY659" s="569"/>
      <c r="DZ659" s="569"/>
      <c r="EA659" s="569"/>
      <c r="EB659" s="569"/>
      <c r="EC659" s="569"/>
      <c r="ED659" s="569"/>
      <c r="EE659" s="569"/>
      <c r="EF659" s="569"/>
      <c r="EG659" s="569"/>
      <c r="EH659" s="569"/>
      <c r="EI659" s="569"/>
      <c r="EJ659" s="569"/>
      <c r="EK659" s="569"/>
      <c r="EL659" s="569"/>
      <c r="EM659" s="569"/>
      <c r="EN659" s="569"/>
      <c r="EO659" s="569"/>
      <c r="EP659" s="569"/>
      <c r="EQ659" s="569"/>
      <c r="ER659" s="569"/>
      <c r="ES659" s="569"/>
      <c r="ET659" s="569"/>
      <c r="EU659" s="569"/>
      <c r="EV659" s="569"/>
      <c r="EW659" s="569"/>
      <c r="EX659" s="569"/>
      <c r="EY659" s="569"/>
      <c r="EZ659" s="569"/>
      <c r="FA659" s="569"/>
      <c r="FB659" s="569"/>
      <c r="FC659" s="569"/>
      <c r="FD659" s="569"/>
      <c r="FE659" s="569"/>
      <c r="FF659" s="569"/>
      <c r="FG659" s="569"/>
      <c r="FH659" s="569"/>
      <c r="FI659" s="569"/>
      <c r="FJ659" s="569"/>
      <c r="FK659" s="569"/>
      <c r="FL659" s="569"/>
      <c r="FM659" s="569"/>
      <c r="FN659" s="569"/>
      <c r="FO659" s="569"/>
      <c r="FP659" s="569"/>
      <c r="FQ659" s="569"/>
      <c r="FR659" s="569"/>
      <c r="FS659" s="569"/>
      <c r="FT659" s="569"/>
      <c r="FU659" s="569"/>
      <c r="FV659" s="569"/>
      <c r="FW659" s="569"/>
      <c r="FX659" s="569"/>
      <c r="FY659" s="569"/>
      <c r="FZ659" s="569"/>
      <c r="GA659" s="569"/>
      <c r="GB659" s="569"/>
      <c r="GC659" s="569"/>
      <c r="GD659" s="569"/>
      <c r="GE659" s="569"/>
      <c r="GF659" s="569"/>
      <c r="GG659" s="569"/>
      <c r="GH659" s="569"/>
      <c r="GI659" s="569"/>
      <c r="GJ659" s="569"/>
      <c r="GK659" s="569"/>
      <c r="GL659" s="569"/>
      <c r="GM659" s="569"/>
      <c r="GN659" s="569"/>
      <c r="GO659" s="569"/>
      <c r="GP659" s="569"/>
      <c r="GQ659" s="569"/>
      <c r="GR659" s="569"/>
      <c r="GS659" s="569"/>
      <c r="GT659" s="569"/>
      <c r="GU659" s="569"/>
      <c r="GV659" s="569"/>
      <c r="GW659" s="569"/>
      <c r="GX659" s="569"/>
      <c r="GY659" s="569"/>
      <c r="GZ659" s="569"/>
      <c r="HA659" s="569"/>
      <c r="HB659" s="569"/>
      <c r="HC659" s="569"/>
      <c r="HD659" s="569"/>
      <c r="HE659" s="569"/>
      <c r="HF659" s="569"/>
      <c r="HG659" s="569"/>
      <c r="HH659" s="569"/>
      <c r="HI659" s="569"/>
      <c r="HJ659" s="569"/>
      <c r="HK659" s="569"/>
      <c r="HL659" s="569"/>
      <c r="HM659" s="569"/>
      <c r="HN659" s="569"/>
      <c r="HO659" s="569"/>
      <c r="HP659" s="569"/>
      <c r="HQ659" s="569"/>
      <c r="HR659" s="569"/>
      <c r="HS659" s="569"/>
      <c r="HT659" s="569"/>
      <c r="HU659" s="569"/>
      <c r="HV659" s="569"/>
      <c r="HW659" s="569"/>
      <c r="HX659" s="569"/>
      <c r="HY659" s="569"/>
      <c r="HZ659" s="569"/>
      <c r="IA659" s="569"/>
      <c r="IB659" s="569"/>
      <c r="IC659" s="569"/>
      <c r="ID659" s="569"/>
      <c r="IE659" s="569"/>
      <c r="IF659" s="569"/>
      <c r="IG659" s="569"/>
      <c r="IH659" s="569"/>
      <c r="II659" s="569"/>
      <c r="IJ659" s="569"/>
      <c r="IK659" s="569"/>
      <c r="IL659" s="569"/>
      <c r="IM659" s="569"/>
      <c r="IN659" s="569"/>
      <c r="IO659" s="569"/>
      <c r="IP659" s="569"/>
      <c r="IQ659" s="569"/>
      <c r="IR659" s="569"/>
      <c r="IS659" s="569"/>
      <c r="IT659" s="569"/>
      <c r="IU659" s="569"/>
      <c r="IV659" s="569"/>
      <c r="IW659" s="569"/>
      <c r="IX659" s="569"/>
      <c r="IY659" s="569"/>
      <c r="IZ659" s="569"/>
      <c r="JA659" s="569"/>
      <c r="JB659" s="569"/>
      <c r="JC659" s="569"/>
      <c r="JD659" s="569"/>
      <c r="JE659" s="569"/>
      <c r="JF659" s="569"/>
      <c r="JG659" s="569"/>
      <c r="JH659" s="569"/>
      <c r="JI659" s="569"/>
      <c r="JJ659" s="569"/>
      <c r="JK659" s="569"/>
      <c r="JL659" s="569"/>
      <c r="JM659" s="569"/>
      <c r="JN659" s="569"/>
      <c r="JO659" s="569"/>
      <c r="JP659" s="569"/>
      <c r="JQ659" s="569"/>
      <c r="JR659" s="569"/>
      <c r="JS659" s="569"/>
      <c r="JT659" s="569"/>
      <c r="JU659" s="569"/>
      <c r="JV659" s="569"/>
      <c r="JW659" s="569"/>
      <c r="JX659" s="569"/>
      <c r="JY659" s="569"/>
      <c r="JZ659" s="569"/>
      <c r="KA659" s="569"/>
      <c r="KB659" s="569"/>
      <c r="KC659" s="569"/>
      <c r="KD659" s="569"/>
      <c r="KE659" s="569"/>
      <c r="KF659" s="569"/>
      <c r="KG659" s="569"/>
      <c r="KH659" s="569"/>
      <c r="KI659" s="569"/>
      <c r="KJ659" s="569"/>
      <c r="KK659" s="569"/>
      <c r="KL659" s="569"/>
      <c r="KM659" s="569"/>
      <c r="KN659" s="569"/>
      <c r="KO659" s="569"/>
      <c r="KP659" s="569"/>
      <c r="KQ659" s="569"/>
      <c r="KR659" s="569"/>
      <c r="KS659" s="569"/>
      <c r="KT659" s="569"/>
      <c r="KU659" s="569"/>
      <c r="KV659" s="569"/>
      <c r="KW659" s="569"/>
      <c r="KX659" s="569"/>
      <c r="KY659" s="569"/>
      <c r="KZ659" s="569"/>
      <c r="LA659" s="569"/>
      <c r="LB659" s="569"/>
      <c r="LC659" s="569"/>
      <c r="LD659" s="569"/>
      <c r="LE659" s="569"/>
      <c r="LF659" s="569"/>
      <c r="LG659" s="569"/>
      <c r="LH659" s="569"/>
      <c r="LI659" s="569"/>
      <c r="LJ659" s="569"/>
      <c r="LK659" s="569"/>
      <c r="LL659" s="569"/>
      <c r="LM659" s="569"/>
      <c r="LN659" s="569"/>
      <c r="LO659" s="569"/>
      <c r="LP659" s="569"/>
      <c r="LQ659" s="569"/>
      <c r="LR659" s="569"/>
      <c r="LS659" s="569"/>
      <c r="LT659" s="569"/>
      <c r="LU659" s="569"/>
      <c r="LV659" s="569"/>
      <c r="LW659" s="569"/>
      <c r="LX659" s="569"/>
      <c r="LY659" s="569"/>
      <c r="LZ659" s="569"/>
      <c r="MA659" s="569"/>
      <c r="MB659" s="569"/>
      <c r="MC659" s="569"/>
      <c r="MD659" s="569"/>
      <c r="ME659" s="569"/>
      <c r="MF659" s="569"/>
      <c r="MG659" s="569"/>
      <c r="MH659" s="569"/>
      <c r="MI659" s="569"/>
      <c r="MJ659" s="569"/>
      <c r="MK659" s="569"/>
      <c r="ML659" s="569"/>
      <c r="MM659" s="569"/>
      <c r="MN659" s="569"/>
      <c r="MO659" s="569"/>
      <c r="MP659" s="569"/>
      <c r="MQ659" s="569"/>
      <c r="MR659" s="569"/>
      <c r="MS659" s="569"/>
      <c r="MT659" s="569"/>
      <c r="MU659" s="569"/>
      <c r="MV659" s="569"/>
      <c r="MW659" s="569"/>
      <c r="MX659" s="569"/>
      <c r="MY659" s="569"/>
      <c r="MZ659" s="569"/>
      <c r="NA659" s="569"/>
      <c r="NB659" s="569"/>
      <c r="NC659" s="569"/>
      <c r="ND659" s="569"/>
      <c r="NE659" s="569"/>
      <c r="NF659" s="569"/>
      <c r="NG659" s="569"/>
      <c r="NH659" s="569"/>
      <c r="NI659" s="569"/>
      <c r="NJ659" s="569"/>
      <c r="NK659" s="569"/>
      <c r="NL659" s="569"/>
      <c r="NM659" s="569"/>
      <c r="NN659" s="569"/>
      <c r="NO659" s="569"/>
      <c r="NP659" s="569"/>
      <c r="NQ659" s="569"/>
      <c r="NR659" s="569"/>
      <c r="NS659" s="569"/>
      <c r="NT659" s="569"/>
      <c r="NU659" s="569"/>
      <c r="NV659" s="569"/>
      <c r="NW659" s="569"/>
      <c r="NX659" s="569"/>
      <c r="NY659" s="569"/>
      <c r="NZ659" s="569"/>
      <c r="OA659" s="569"/>
      <c r="OB659" s="569"/>
      <c r="OC659" s="569"/>
      <c r="OD659" s="569"/>
      <c r="OE659" s="569"/>
      <c r="OF659" s="569"/>
      <c r="OG659" s="569"/>
      <c r="OH659" s="569"/>
      <c r="OI659" s="569"/>
      <c r="OJ659" s="569"/>
      <c r="OK659" s="569"/>
      <c r="OL659" s="569"/>
      <c r="OM659" s="569"/>
      <c r="ON659" s="569"/>
      <c r="OO659" s="569"/>
      <c r="OP659" s="569"/>
      <c r="OQ659" s="569"/>
      <c r="OR659" s="569"/>
      <c r="OS659" s="569"/>
      <c r="OT659" s="569"/>
      <c r="OU659" s="569"/>
      <c r="OV659" s="569"/>
      <c r="OW659" s="569"/>
      <c r="OX659" s="569"/>
      <c r="OY659" s="569"/>
      <c r="OZ659" s="569"/>
      <c r="PA659" s="569"/>
      <c r="PB659" s="569"/>
      <c r="PC659" s="569"/>
      <c r="PD659" s="569"/>
      <c r="PE659" s="569"/>
      <c r="PF659" s="569"/>
      <c r="PG659" s="569"/>
      <c r="PH659" s="569"/>
      <c r="PI659" s="569"/>
      <c r="PJ659" s="569"/>
      <c r="PK659" s="569"/>
      <c r="PL659" s="569"/>
      <c r="PM659" s="569"/>
      <c r="PN659" s="569"/>
      <c r="PO659" s="569"/>
      <c r="PP659" s="569"/>
      <c r="PQ659" s="569"/>
      <c r="PR659" s="569"/>
      <c r="PS659" s="569"/>
      <c r="PT659" s="569"/>
      <c r="PU659" s="569"/>
      <c r="PV659" s="569"/>
      <c r="PW659" s="569"/>
      <c r="PX659" s="569"/>
      <c r="PY659" s="569"/>
      <c r="PZ659" s="569"/>
      <c r="QA659" s="569"/>
      <c r="QB659" s="569"/>
      <c r="QC659" s="569"/>
      <c r="QD659" s="569"/>
      <c r="QE659" s="569"/>
      <c r="QF659" s="569"/>
      <c r="QG659" s="569"/>
      <c r="QH659" s="569"/>
      <c r="QI659" s="569"/>
      <c r="QJ659" s="569"/>
      <c r="QK659" s="569"/>
      <c r="QL659" s="569"/>
    </row>
    <row r="660" spans="1:454" s="574" customFormat="1" ht="30">
      <c r="A660" s="569"/>
      <c r="B660" s="575">
        <v>2</v>
      </c>
      <c r="C660" s="576" t="str">
        <f>'matrik MISI 1'!B102</f>
        <v>KEHUTANAN</v>
      </c>
      <c r="D660" s="577" t="str">
        <f>'matrik MISI 1'!J103</f>
        <v>2.02</v>
      </c>
      <c r="E660" s="577" t="str">
        <f>'matrik MISI 1'!K103</f>
        <v>xx</v>
      </c>
      <c r="F660" s="577">
        <f>'matrik MISI 1'!L103</f>
        <v>16</v>
      </c>
      <c r="G660" s="577" t="str">
        <f>'matrik MISI 1'!M103</f>
        <v>Program Rehabilitasi Hutan dan Lahan</v>
      </c>
      <c r="H660" s="577"/>
      <c r="I660" s="577"/>
      <c r="J660" s="577"/>
      <c r="K660" s="577"/>
      <c r="L660" s="577"/>
      <c r="M660" s="578">
        <f>'jangan dihapus 2'!K609</f>
        <v>907640000</v>
      </c>
      <c r="N660" s="577"/>
      <c r="O660" s="578">
        <f>'jangan dihapus 2'!M609</f>
        <v>977640000</v>
      </c>
      <c r="P660" s="577"/>
      <c r="Q660" s="578">
        <f>'jangan dihapus 2'!O609</f>
        <v>882640000</v>
      </c>
      <c r="R660" s="577"/>
      <c r="S660" s="578">
        <f>'jangan dihapus 2'!Q609</f>
        <v>907640000</v>
      </c>
      <c r="T660" s="577"/>
      <c r="U660" s="578">
        <f>'jangan dihapus 2'!S609</f>
        <v>797640000</v>
      </c>
      <c r="V660" s="577"/>
      <c r="W660" s="578">
        <f>SUM(M660:U660)</f>
        <v>4473200000</v>
      </c>
      <c r="X660" s="577"/>
      <c r="Y660" s="577"/>
      <c r="Z660" s="577"/>
      <c r="AA660" s="569"/>
      <c r="AB660" s="569"/>
      <c r="AC660" s="569"/>
      <c r="AD660" s="569"/>
      <c r="AE660" s="569"/>
      <c r="AF660" s="569"/>
      <c r="AG660" s="569"/>
      <c r="AH660" s="569"/>
      <c r="AI660" s="569"/>
      <c r="AJ660" s="569"/>
      <c r="AK660" s="569"/>
      <c r="AL660" s="569"/>
      <c r="AM660" s="569"/>
      <c r="AN660" s="569"/>
      <c r="AO660" s="569"/>
      <c r="AP660" s="569"/>
      <c r="AQ660" s="569"/>
      <c r="AR660" s="569"/>
      <c r="AS660" s="569"/>
      <c r="AT660" s="569"/>
      <c r="AU660" s="569"/>
      <c r="AV660" s="569"/>
      <c r="AW660" s="569"/>
      <c r="AX660" s="569"/>
      <c r="AY660" s="569"/>
      <c r="AZ660" s="569"/>
      <c r="BA660" s="569"/>
      <c r="BB660" s="569"/>
      <c r="BC660" s="569"/>
      <c r="BD660" s="569"/>
      <c r="BE660" s="569"/>
      <c r="BF660" s="569"/>
      <c r="BG660" s="569"/>
      <c r="BH660" s="569"/>
      <c r="BI660" s="569"/>
      <c r="BJ660" s="569"/>
      <c r="BK660" s="569"/>
      <c r="BL660" s="569"/>
      <c r="BM660" s="569"/>
      <c r="BN660" s="569"/>
      <c r="BO660" s="569"/>
      <c r="BP660" s="569"/>
      <c r="BQ660" s="569"/>
      <c r="BR660" s="569"/>
      <c r="BS660" s="569"/>
      <c r="BT660" s="569"/>
      <c r="BU660" s="569"/>
      <c r="BV660" s="569"/>
      <c r="BW660" s="569"/>
      <c r="BX660" s="569"/>
      <c r="BY660" s="569"/>
      <c r="BZ660" s="569"/>
      <c r="CA660" s="569"/>
      <c r="CB660" s="569"/>
      <c r="CC660" s="569"/>
      <c r="CD660" s="569"/>
      <c r="CE660" s="569"/>
      <c r="CF660" s="569"/>
      <c r="CG660" s="569"/>
      <c r="CH660" s="569"/>
      <c r="CI660" s="569"/>
      <c r="CJ660" s="569"/>
      <c r="CK660" s="569"/>
      <c r="CL660" s="569"/>
      <c r="CM660" s="569"/>
      <c r="CN660" s="569"/>
      <c r="CO660" s="569"/>
      <c r="CP660" s="569"/>
      <c r="CQ660" s="569"/>
      <c r="CR660" s="569"/>
      <c r="CS660" s="569"/>
      <c r="CT660" s="569"/>
      <c r="CU660" s="569"/>
      <c r="CV660" s="569"/>
      <c r="CW660" s="569"/>
      <c r="CX660" s="569"/>
      <c r="CY660" s="569"/>
      <c r="CZ660" s="569"/>
      <c r="DA660" s="569"/>
      <c r="DB660" s="569"/>
      <c r="DC660" s="569"/>
      <c r="DD660" s="569"/>
      <c r="DE660" s="569"/>
      <c r="DF660" s="569"/>
      <c r="DG660" s="569"/>
      <c r="DH660" s="569"/>
      <c r="DI660" s="569"/>
      <c r="DJ660" s="569"/>
      <c r="DK660" s="569"/>
      <c r="DL660" s="569"/>
      <c r="DM660" s="569"/>
      <c r="DN660" s="569"/>
      <c r="DO660" s="569"/>
      <c r="DP660" s="569"/>
      <c r="DQ660" s="569"/>
      <c r="DR660" s="569"/>
      <c r="DS660" s="569"/>
      <c r="DT660" s="569"/>
      <c r="DU660" s="569"/>
      <c r="DV660" s="569"/>
      <c r="DW660" s="569"/>
      <c r="DX660" s="569"/>
      <c r="DY660" s="569"/>
      <c r="DZ660" s="569"/>
      <c r="EA660" s="569"/>
      <c r="EB660" s="569"/>
      <c r="EC660" s="569"/>
      <c r="ED660" s="569"/>
      <c r="EE660" s="569"/>
      <c r="EF660" s="569"/>
      <c r="EG660" s="569"/>
      <c r="EH660" s="569"/>
      <c r="EI660" s="569"/>
      <c r="EJ660" s="569"/>
      <c r="EK660" s="569"/>
      <c r="EL660" s="569"/>
      <c r="EM660" s="569"/>
      <c r="EN660" s="569"/>
      <c r="EO660" s="569"/>
      <c r="EP660" s="569"/>
      <c r="EQ660" s="569"/>
      <c r="ER660" s="569"/>
      <c r="ES660" s="569"/>
      <c r="ET660" s="569"/>
      <c r="EU660" s="569"/>
      <c r="EV660" s="569"/>
      <c r="EW660" s="569"/>
      <c r="EX660" s="569"/>
      <c r="EY660" s="569"/>
      <c r="EZ660" s="569"/>
      <c r="FA660" s="569"/>
      <c r="FB660" s="569"/>
      <c r="FC660" s="569"/>
      <c r="FD660" s="569"/>
      <c r="FE660" s="569"/>
      <c r="FF660" s="569"/>
      <c r="FG660" s="569"/>
      <c r="FH660" s="569"/>
      <c r="FI660" s="569"/>
      <c r="FJ660" s="569"/>
      <c r="FK660" s="569"/>
      <c r="FL660" s="569"/>
      <c r="FM660" s="569"/>
      <c r="FN660" s="569"/>
      <c r="FO660" s="569"/>
      <c r="FP660" s="569"/>
      <c r="FQ660" s="569"/>
      <c r="FR660" s="569"/>
      <c r="FS660" s="569"/>
      <c r="FT660" s="569"/>
      <c r="FU660" s="569"/>
      <c r="FV660" s="569"/>
      <c r="FW660" s="569"/>
      <c r="FX660" s="569"/>
      <c r="FY660" s="569"/>
      <c r="FZ660" s="569"/>
      <c r="GA660" s="569"/>
      <c r="GB660" s="569"/>
      <c r="GC660" s="569"/>
      <c r="GD660" s="569"/>
      <c r="GE660" s="569"/>
      <c r="GF660" s="569"/>
      <c r="GG660" s="569"/>
      <c r="GH660" s="569"/>
      <c r="GI660" s="569"/>
      <c r="GJ660" s="569"/>
      <c r="GK660" s="569"/>
      <c r="GL660" s="569"/>
      <c r="GM660" s="569"/>
      <c r="GN660" s="569"/>
      <c r="GO660" s="569"/>
      <c r="GP660" s="569"/>
      <c r="GQ660" s="569"/>
      <c r="GR660" s="569"/>
      <c r="GS660" s="569"/>
      <c r="GT660" s="569"/>
      <c r="GU660" s="569"/>
      <c r="GV660" s="569"/>
      <c r="GW660" s="569"/>
      <c r="GX660" s="569"/>
      <c r="GY660" s="569"/>
      <c r="GZ660" s="569"/>
      <c r="HA660" s="569"/>
      <c r="HB660" s="569"/>
      <c r="HC660" s="569"/>
      <c r="HD660" s="569"/>
      <c r="HE660" s="569"/>
      <c r="HF660" s="569"/>
      <c r="HG660" s="569"/>
      <c r="HH660" s="569"/>
      <c r="HI660" s="569"/>
      <c r="HJ660" s="569"/>
      <c r="HK660" s="569"/>
      <c r="HL660" s="569"/>
      <c r="HM660" s="569"/>
      <c r="HN660" s="569"/>
      <c r="HO660" s="569"/>
      <c r="HP660" s="569"/>
      <c r="HQ660" s="569"/>
      <c r="HR660" s="569"/>
      <c r="HS660" s="569"/>
      <c r="HT660" s="569"/>
      <c r="HU660" s="569"/>
      <c r="HV660" s="569"/>
      <c r="HW660" s="569"/>
      <c r="HX660" s="569"/>
      <c r="HY660" s="569"/>
      <c r="HZ660" s="569"/>
      <c r="IA660" s="569"/>
      <c r="IB660" s="569"/>
      <c r="IC660" s="569"/>
      <c r="ID660" s="569"/>
      <c r="IE660" s="569"/>
      <c r="IF660" s="569"/>
      <c r="IG660" s="569"/>
      <c r="IH660" s="569"/>
      <c r="II660" s="569"/>
      <c r="IJ660" s="569"/>
      <c r="IK660" s="569"/>
      <c r="IL660" s="569"/>
      <c r="IM660" s="569"/>
      <c r="IN660" s="569"/>
      <c r="IO660" s="569"/>
      <c r="IP660" s="569"/>
      <c r="IQ660" s="569"/>
      <c r="IR660" s="569"/>
      <c r="IS660" s="569"/>
      <c r="IT660" s="569"/>
      <c r="IU660" s="569"/>
      <c r="IV660" s="569"/>
      <c r="IW660" s="569"/>
      <c r="IX660" s="569"/>
      <c r="IY660" s="569"/>
      <c r="IZ660" s="569"/>
      <c r="JA660" s="569"/>
      <c r="JB660" s="569"/>
      <c r="JC660" s="569"/>
      <c r="JD660" s="569"/>
      <c r="JE660" s="569"/>
      <c r="JF660" s="569"/>
      <c r="JG660" s="569"/>
      <c r="JH660" s="569"/>
      <c r="JI660" s="569"/>
      <c r="JJ660" s="569"/>
      <c r="JK660" s="569"/>
      <c r="JL660" s="569"/>
      <c r="JM660" s="569"/>
      <c r="JN660" s="569"/>
      <c r="JO660" s="569"/>
      <c r="JP660" s="569"/>
      <c r="JQ660" s="569"/>
      <c r="JR660" s="569"/>
      <c r="JS660" s="569"/>
      <c r="JT660" s="569"/>
      <c r="JU660" s="569"/>
      <c r="JV660" s="569"/>
      <c r="JW660" s="569"/>
      <c r="JX660" s="569"/>
      <c r="JY660" s="569"/>
      <c r="JZ660" s="569"/>
      <c r="KA660" s="569"/>
      <c r="KB660" s="569"/>
      <c r="KC660" s="569"/>
      <c r="KD660" s="569"/>
      <c r="KE660" s="569"/>
      <c r="KF660" s="569"/>
      <c r="KG660" s="569"/>
      <c r="KH660" s="569"/>
      <c r="KI660" s="569"/>
      <c r="KJ660" s="569"/>
      <c r="KK660" s="569"/>
      <c r="KL660" s="569"/>
      <c r="KM660" s="569"/>
      <c r="KN660" s="569"/>
      <c r="KO660" s="569"/>
      <c r="KP660" s="569"/>
      <c r="KQ660" s="569"/>
      <c r="KR660" s="569"/>
      <c r="KS660" s="569"/>
      <c r="KT660" s="569"/>
      <c r="KU660" s="569"/>
      <c r="KV660" s="569"/>
      <c r="KW660" s="569"/>
      <c r="KX660" s="569"/>
      <c r="KY660" s="569"/>
      <c r="KZ660" s="569"/>
      <c r="LA660" s="569"/>
      <c r="LB660" s="569"/>
      <c r="LC660" s="569"/>
      <c r="LD660" s="569"/>
      <c r="LE660" s="569"/>
      <c r="LF660" s="569"/>
      <c r="LG660" s="569"/>
      <c r="LH660" s="569"/>
      <c r="LI660" s="569"/>
      <c r="LJ660" s="569"/>
      <c r="LK660" s="569"/>
      <c r="LL660" s="569"/>
      <c r="LM660" s="569"/>
      <c r="LN660" s="569"/>
      <c r="LO660" s="569"/>
      <c r="LP660" s="569"/>
      <c r="LQ660" s="569"/>
      <c r="LR660" s="569"/>
      <c r="LS660" s="569"/>
      <c r="LT660" s="569"/>
      <c r="LU660" s="569"/>
      <c r="LV660" s="569"/>
      <c r="LW660" s="569"/>
      <c r="LX660" s="569"/>
      <c r="LY660" s="569"/>
      <c r="LZ660" s="569"/>
      <c r="MA660" s="569"/>
      <c r="MB660" s="569"/>
      <c r="MC660" s="569"/>
      <c r="MD660" s="569"/>
      <c r="ME660" s="569"/>
      <c r="MF660" s="569"/>
      <c r="MG660" s="569"/>
      <c r="MH660" s="569"/>
      <c r="MI660" s="569"/>
      <c r="MJ660" s="569"/>
      <c r="MK660" s="569"/>
      <c r="ML660" s="569"/>
      <c r="MM660" s="569"/>
      <c r="MN660" s="569"/>
      <c r="MO660" s="569"/>
      <c r="MP660" s="569"/>
      <c r="MQ660" s="569"/>
      <c r="MR660" s="569"/>
      <c r="MS660" s="569"/>
      <c r="MT660" s="569"/>
      <c r="MU660" s="569"/>
      <c r="MV660" s="569"/>
      <c r="MW660" s="569"/>
      <c r="MX660" s="569"/>
      <c r="MY660" s="569"/>
      <c r="MZ660" s="569"/>
      <c r="NA660" s="569"/>
      <c r="NB660" s="569"/>
      <c r="NC660" s="569"/>
      <c r="ND660" s="569"/>
      <c r="NE660" s="569"/>
      <c r="NF660" s="569"/>
      <c r="NG660" s="569"/>
      <c r="NH660" s="569"/>
      <c r="NI660" s="569"/>
      <c r="NJ660" s="569"/>
      <c r="NK660" s="569"/>
      <c r="NL660" s="569"/>
      <c r="NM660" s="569"/>
      <c r="NN660" s="569"/>
      <c r="NO660" s="569"/>
      <c r="NP660" s="569"/>
      <c r="NQ660" s="569"/>
      <c r="NR660" s="569"/>
      <c r="NS660" s="569"/>
      <c r="NT660" s="569"/>
      <c r="NU660" s="569"/>
      <c r="NV660" s="569"/>
      <c r="NW660" s="569"/>
      <c r="NX660" s="569"/>
      <c r="NY660" s="569"/>
      <c r="NZ660" s="569"/>
      <c r="OA660" s="569"/>
      <c r="OB660" s="569"/>
      <c r="OC660" s="569"/>
      <c r="OD660" s="569"/>
      <c r="OE660" s="569"/>
      <c r="OF660" s="569"/>
      <c r="OG660" s="569"/>
      <c r="OH660" s="569"/>
      <c r="OI660" s="569"/>
      <c r="OJ660" s="569"/>
      <c r="OK660" s="569"/>
      <c r="OL660" s="569"/>
      <c r="OM660" s="569"/>
      <c r="ON660" s="569"/>
      <c r="OO660" s="569"/>
      <c r="OP660" s="569"/>
      <c r="OQ660" s="569"/>
      <c r="OR660" s="569"/>
      <c r="OS660" s="569"/>
      <c r="OT660" s="569"/>
      <c r="OU660" s="569"/>
      <c r="OV660" s="569"/>
      <c r="OW660" s="569"/>
      <c r="OX660" s="569"/>
      <c r="OY660" s="569"/>
      <c r="OZ660" s="569"/>
      <c r="PA660" s="569"/>
      <c r="PB660" s="569"/>
      <c r="PC660" s="569"/>
      <c r="PD660" s="569"/>
      <c r="PE660" s="569"/>
      <c r="PF660" s="569"/>
      <c r="PG660" s="569"/>
      <c r="PH660" s="569"/>
      <c r="PI660" s="569"/>
      <c r="PJ660" s="569"/>
      <c r="PK660" s="569"/>
      <c r="PL660" s="569"/>
      <c r="PM660" s="569"/>
      <c r="PN660" s="569"/>
      <c r="PO660" s="569"/>
      <c r="PP660" s="569"/>
      <c r="PQ660" s="569"/>
      <c r="PR660" s="569"/>
      <c r="PS660" s="569"/>
      <c r="PT660" s="569"/>
      <c r="PU660" s="569"/>
      <c r="PV660" s="569"/>
      <c r="PW660" s="569"/>
      <c r="PX660" s="569"/>
      <c r="PY660" s="569"/>
      <c r="PZ660" s="569"/>
      <c r="QA660" s="569"/>
      <c r="QB660" s="569"/>
      <c r="QC660" s="569"/>
      <c r="QD660" s="569"/>
      <c r="QE660" s="569"/>
      <c r="QF660" s="569"/>
      <c r="QG660" s="569"/>
      <c r="QH660" s="569"/>
      <c r="QI660" s="569"/>
      <c r="QJ660" s="569"/>
      <c r="QK660" s="569"/>
      <c r="QL660" s="569"/>
    </row>
    <row r="661" spans="1:454" ht="60">
      <c r="B661" s="568"/>
      <c r="C661" s="568"/>
      <c r="D661" s="568"/>
      <c r="E661" s="568"/>
      <c r="F661" s="568"/>
      <c r="G661" s="568"/>
      <c r="H661" s="563" t="str">
        <f>'matrik MISI 1'!N103</f>
        <v xml:space="preserve">Besaran Penanganan Lahan kritis </v>
      </c>
      <c r="I661" s="563" t="str">
        <f>'matrik MISI 1'!O103</f>
        <v>Ha</v>
      </c>
      <c r="J661" s="563">
        <f>'matrik MISI 1'!P103</f>
        <v>18619</v>
      </c>
      <c r="K661" s="563">
        <f>'matrik MISI 1'!Q103</f>
        <v>26581</v>
      </c>
      <c r="L661" s="563">
        <f>'matrik MISI 1'!R103</f>
        <v>23581</v>
      </c>
      <c r="M661" s="604"/>
      <c r="N661" s="563">
        <f>'matrik MISI 1'!S103</f>
        <v>20581</v>
      </c>
      <c r="O661" s="564"/>
      <c r="P661" s="563">
        <f>'matrik MISI 1'!T103</f>
        <v>17581</v>
      </c>
      <c r="Q661" s="564"/>
      <c r="R661" s="563">
        <f>'matrik MISI 1'!U103</f>
        <v>14581</v>
      </c>
      <c r="S661" s="564"/>
      <c r="T661" s="563">
        <f>'matrik MISI 1'!V103</f>
        <v>11581</v>
      </c>
      <c r="U661" s="564"/>
      <c r="V661" s="563">
        <f>'matrik MISI 1'!W103</f>
        <v>11581</v>
      </c>
      <c r="W661" s="564"/>
      <c r="X661" s="563" t="str">
        <f>'matrik MISI 1'!X103</f>
        <v>DINTANBUNHUT</v>
      </c>
      <c r="Y661" s="563" t="str">
        <f>'matrik MISI 1'!Y103</f>
        <v>Luas lahan kritis dikurangi luas lahan kritis yang ditangani</v>
      </c>
      <c r="Z661" s="563" t="str">
        <f>'matrik MISI 1'!Z103</f>
        <v>*Penanganan lahan krittis meliputi kegiatan kegiatan vegetasi dan bangunan sipil teknis **Data Lahan Kritis 2013 adalah data hasil review lahan kritis oleh BP DAS SOP tahun 2013 ***Target penanganan 3.000 ha per tahun</v>
      </c>
    </row>
    <row r="662" spans="1:454" s="574" customFormat="1" ht="45">
      <c r="A662" s="569"/>
      <c r="D662" s="577" t="str">
        <f>'matrik MISI 1'!J105</f>
        <v>2.02</v>
      </c>
      <c r="E662" s="577" t="str">
        <f>'matrik MISI 1'!K105</f>
        <v>xx</v>
      </c>
      <c r="F662" s="577">
        <f>'matrik MISI 1'!L105</f>
        <v>17</v>
      </c>
      <c r="G662" s="577" t="str">
        <f>'matrik MISI 1'!M105</f>
        <v>Program Perlindungan dan Konservasi Sumber Daya Hutan</v>
      </c>
      <c r="H662" s="577"/>
      <c r="I662" s="577"/>
      <c r="J662" s="577"/>
      <c r="K662" s="577"/>
      <c r="L662" s="577"/>
      <c r="M662" s="578">
        <f>'jangan dihapus 2'!K616</f>
        <v>0</v>
      </c>
      <c r="N662" s="577"/>
      <c r="O662" s="578">
        <f>'jangan dihapus 2'!M616</f>
        <v>75000000</v>
      </c>
      <c r="P662" s="577"/>
      <c r="Q662" s="578">
        <f>'jangan dihapus 2'!O616</f>
        <v>50000000</v>
      </c>
      <c r="R662" s="577"/>
      <c r="S662" s="578">
        <f>'jangan dihapus 2'!Q616</f>
        <v>50000000</v>
      </c>
      <c r="T662" s="577"/>
      <c r="U662" s="578">
        <f>'jangan dihapus 2'!S616</f>
        <v>50000000</v>
      </c>
      <c r="V662" s="577"/>
      <c r="W662" s="578">
        <f>SUM(M662:U662)</f>
        <v>225000000</v>
      </c>
      <c r="X662" s="577"/>
      <c r="Y662" s="577"/>
      <c r="Z662" s="577"/>
      <c r="AA662" s="569"/>
      <c r="AB662" s="569"/>
      <c r="AC662" s="569"/>
      <c r="AD662" s="569"/>
      <c r="AE662" s="569"/>
      <c r="AF662" s="569"/>
      <c r="AG662" s="569"/>
      <c r="AH662" s="569"/>
      <c r="AI662" s="569"/>
      <c r="AJ662" s="569"/>
      <c r="AK662" s="569"/>
      <c r="AL662" s="569"/>
      <c r="AM662" s="569"/>
      <c r="AN662" s="569"/>
      <c r="AO662" s="569"/>
      <c r="AP662" s="569"/>
      <c r="AQ662" s="569"/>
      <c r="AR662" s="569"/>
      <c r="AS662" s="569"/>
      <c r="AT662" s="569"/>
      <c r="AU662" s="569"/>
      <c r="AV662" s="569"/>
      <c r="AW662" s="569"/>
      <c r="AX662" s="569"/>
      <c r="AY662" s="569"/>
      <c r="AZ662" s="569"/>
      <c r="BA662" s="569"/>
      <c r="BB662" s="569"/>
      <c r="BC662" s="569"/>
      <c r="BD662" s="569"/>
      <c r="BE662" s="569"/>
      <c r="BF662" s="569"/>
      <c r="BG662" s="569"/>
      <c r="BH662" s="569"/>
      <c r="BI662" s="569"/>
      <c r="BJ662" s="569"/>
      <c r="BK662" s="569"/>
      <c r="BL662" s="569"/>
      <c r="BM662" s="569"/>
      <c r="BN662" s="569"/>
      <c r="BO662" s="569"/>
      <c r="BP662" s="569"/>
      <c r="BQ662" s="569"/>
      <c r="BR662" s="569"/>
      <c r="BS662" s="569"/>
      <c r="BT662" s="569"/>
      <c r="BU662" s="569"/>
      <c r="BV662" s="569"/>
      <c r="BW662" s="569"/>
      <c r="BX662" s="569"/>
      <c r="BY662" s="569"/>
      <c r="BZ662" s="569"/>
      <c r="CA662" s="569"/>
      <c r="CB662" s="569"/>
      <c r="CC662" s="569"/>
      <c r="CD662" s="569"/>
      <c r="CE662" s="569"/>
      <c r="CF662" s="569"/>
      <c r="CG662" s="569"/>
      <c r="CH662" s="569"/>
      <c r="CI662" s="569"/>
      <c r="CJ662" s="569"/>
      <c r="CK662" s="569"/>
      <c r="CL662" s="569"/>
      <c r="CM662" s="569"/>
      <c r="CN662" s="569"/>
      <c r="CO662" s="569"/>
      <c r="CP662" s="569"/>
      <c r="CQ662" s="569"/>
      <c r="CR662" s="569"/>
      <c r="CS662" s="569"/>
      <c r="CT662" s="569"/>
      <c r="CU662" s="569"/>
      <c r="CV662" s="569"/>
      <c r="CW662" s="569"/>
      <c r="CX662" s="569"/>
      <c r="CY662" s="569"/>
      <c r="CZ662" s="569"/>
      <c r="DA662" s="569"/>
      <c r="DB662" s="569"/>
      <c r="DC662" s="569"/>
      <c r="DD662" s="569"/>
      <c r="DE662" s="569"/>
      <c r="DF662" s="569"/>
      <c r="DG662" s="569"/>
      <c r="DH662" s="569"/>
      <c r="DI662" s="569"/>
      <c r="DJ662" s="569"/>
      <c r="DK662" s="569"/>
      <c r="DL662" s="569"/>
      <c r="DM662" s="569"/>
      <c r="DN662" s="569"/>
      <c r="DO662" s="569"/>
      <c r="DP662" s="569"/>
      <c r="DQ662" s="569"/>
      <c r="DR662" s="569"/>
      <c r="DS662" s="569"/>
      <c r="DT662" s="569"/>
      <c r="DU662" s="569"/>
      <c r="DV662" s="569"/>
      <c r="DW662" s="569"/>
      <c r="DX662" s="569"/>
      <c r="DY662" s="569"/>
      <c r="DZ662" s="569"/>
      <c r="EA662" s="569"/>
      <c r="EB662" s="569"/>
      <c r="EC662" s="569"/>
      <c r="ED662" s="569"/>
      <c r="EE662" s="569"/>
      <c r="EF662" s="569"/>
      <c r="EG662" s="569"/>
      <c r="EH662" s="569"/>
      <c r="EI662" s="569"/>
      <c r="EJ662" s="569"/>
      <c r="EK662" s="569"/>
      <c r="EL662" s="569"/>
      <c r="EM662" s="569"/>
      <c r="EN662" s="569"/>
      <c r="EO662" s="569"/>
      <c r="EP662" s="569"/>
      <c r="EQ662" s="569"/>
      <c r="ER662" s="569"/>
      <c r="ES662" s="569"/>
      <c r="ET662" s="569"/>
      <c r="EU662" s="569"/>
      <c r="EV662" s="569"/>
      <c r="EW662" s="569"/>
      <c r="EX662" s="569"/>
      <c r="EY662" s="569"/>
      <c r="EZ662" s="569"/>
      <c r="FA662" s="569"/>
      <c r="FB662" s="569"/>
      <c r="FC662" s="569"/>
      <c r="FD662" s="569"/>
      <c r="FE662" s="569"/>
      <c r="FF662" s="569"/>
      <c r="FG662" s="569"/>
      <c r="FH662" s="569"/>
      <c r="FI662" s="569"/>
      <c r="FJ662" s="569"/>
      <c r="FK662" s="569"/>
      <c r="FL662" s="569"/>
      <c r="FM662" s="569"/>
      <c r="FN662" s="569"/>
      <c r="FO662" s="569"/>
      <c r="FP662" s="569"/>
      <c r="FQ662" s="569"/>
      <c r="FR662" s="569"/>
      <c r="FS662" s="569"/>
      <c r="FT662" s="569"/>
      <c r="FU662" s="569"/>
      <c r="FV662" s="569"/>
      <c r="FW662" s="569"/>
      <c r="FX662" s="569"/>
      <c r="FY662" s="569"/>
      <c r="FZ662" s="569"/>
      <c r="GA662" s="569"/>
      <c r="GB662" s="569"/>
      <c r="GC662" s="569"/>
      <c r="GD662" s="569"/>
      <c r="GE662" s="569"/>
      <c r="GF662" s="569"/>
      <c r="GG662" s="569"/>
      <c r="GH662" s="569"/>
      <c r="GI662" s="569"/>
      <c r="GJ662" s="569"/>
      <c r="GK662" s="569"/>
      <c r="GL662" s="569"/>
      <c r="GM662" s="569"/>
      <c r="GN662" s="569"/>
      <c r="GO662" s="569"/>
      <c r="GP662" s="569"/>
      <c r="GQ662" s="569"/>
      <c r="GR662" s="569"/>
      <c r="GS662" s="569"/>
      <c r="GT662" s="569"/>
      <c r="GU662" s="569"/>
      <c r="GV662" s="569"/>
      <c r="GW662" s="569"/>
      <c r="GX662" s="569"/>
      <c r="GY662" s="569"/>
      <c r="GZ662" s="569"/>
      <c r="HA662" s="569"/>
      <c r="HB662" s="569"/>
      <c r="HC662" s="569"/>
      <c r="HD662" s="569"/>
      <c r="HE662" s="569"/>
      <c r="HF662" s="569"/>
      <c r="HG662" s="569"/>
      <c r="HH662" s="569"/>
      <c r="HI662" s="569"/>
      <c r="HJ662" s="569"/>
      <c r="HK662" s="569"/>
      <c r="HL662" s="569"/>
      <c r="HM662" s="569"/>
      <c r="HN662" s="569"/>
      <c r="HO662" s="569"/>
      <c r="HP662" s="569"/>
      <c r="HQ662" s="569"/>
      <c r="HR662" s="569"/>
      <c r="HS662" s="569"/>
      <c r="HT662" s="569"/>
      <c r="HU662" s="569"/>
      <c r="HV662" s="569"/>
      <c r="HW662" s="569"/>
      <c r="HX662" s="569"/>
      <c r="HY662" s="569"/>
      <c r="HZ662" s="569"/>
      <c r="IA662" s="569"/>
      <c r="IB662" s="569"/>
      <c r="IC662" s="569"/>
      <c r="ID662" s="569"/>
      <c r="IE662" s="569"/>
      <c r="IF662" s="569"/>
      <c r="IG662" s="569"/>
      <c r="IH662" s="569"/>
      <c r="II662" s="569"/>
      <c r="IJ662" s="569"/>
      <c r="IK662" s="569"/>
      <c r="IL662" s="569"/>
      <c r="IM662" s="569"/>
      <c r="IN662" s="569"/>
      <c r="IO662" s="569"/>
      <c r="IP662" s="569"/>
      <c r="IQ662" s="569"/>
      <c r="IR662" s="569"/>
      <c r="IS662" s="569"/>
      <c r="IT662" s="569"/>
      <c r="IU662" s="569"/>
      <c r="IV662" s="569"/>
      <c r="IW662" s="569"/>
      <c r="IX662" s="569"/>
      <c r="IY662" s="569"/>
      <c r="IZ662" s="569"/>
      <c r="JA662" s="569"/>
      <c r="JB662" s="569"/>
      <c r="JC662" s="569"/>
      <c r="JD662" s="569"/>
      <c r="JE662" s="569"/>
      <c r="JF662" s="569"/>
      <c r="JG662" s="569"/>
      <c r="JH662" s="569"/>
      <c r="JI662" s="569"/>
      <c r="JJ662" s="569"/>
      <c r="JK662" s="569"/>
      <c r="JL662" s="569"/>
      <c r="JM662" s="569"/>
      <c r="JN662" s="569"/>
      <c r="JO662" s="569"/>
      <c r="JP662" s="569"/>
      <c r="JQ662" s="569"/>
      <c r="JR662" s="569"/>
      <c r="JS662" s="569"/>
      <c r="JT662" s="569"/>
      <c r="JU662" s="569"/>
      <c r="JV662" s="569"/>
      <c r="JW662" s="569"/>
      <c r="JX662" s="569"/>
      <c r="JY662" s="569"/>
      <c r="JZ662" s="569"/>
      <c r="KA662" s="569"/>
      <c r="KB662" s="569"/>
      <c r="KC662" s="569"/>
      <c r="KD662" s="569"/>
      <c r="KE662" s="569"/>
      <c r="KF662" s="569"/>
      <c r="KG662" s="569"/>
      <c r="KH662" s="569"/>
      <c r="KI662" s="569"/>
      <c r="KJ662" s="569"/>
      <c r="KK662" s="569"/>
      <c r="KL662" s="569"/>
      <c r="KM662" s="569"/>
      <c r="KN662" s="569"/>
      <c r="KO662" s="569"/>
      <c r="KP662" s="569"/>
      <c r="KQ662" s="569"/>
      <c r="KR662" s="569"/>
      <c r="KS662" s="569"/>
      <c r="KT662" s="569"/>
      <c r="KU662" s="569"/>
      <c r="KV662" s="569"/>
      <c r="KW662" s="569"/>
      <c r="KX662" s="569"/>
      <c r="KY662" s="569"/>
      <c r="KZ662" s="569"/>
      <c r="LA662" s="569"/>
      <c r="LB662" s="569"/>
      <c r="LC662" s="569"/>
      <c r="LD662" s="569"/>
      <c r="LE662" s="569"/>
      <c r="LF662" s="569"/>
      <c r="LG662" s="569"/>
      <c r="LH662" s="569"/>
      <c r="LI662" s="569"/>
      <c r="LJ662" s="569"/>
      <c r="LK662" s="569"/>
      <c r="LL662" s="569"/>
      <c r="LM662" s="569"/>
      <c r="LN662" s="569"/>
      <c r="LO662" s="569"/>
      <c r="LP662" s="569"/>
      <c r="LQ662" s="569"/>
      <c r="LR662" s="569"/>
      <c r="LS662" s="569"/>
      <c r="LT662" s="569"/>
      <c r="LU662" s="569"/>
      <c r="LV662" s="569"/>
      <c r="LW662" s="569"/>
      <c r="LX662" s="569"/>
      <c r="LY662" s="569"/>
      <c r="LZ662" s="569"/>
      <c r="MA662" s="569"/>
      <c r="MB662" s="569"/>
      <c r="MC662" s="569"/>
      <c r="MD662" s="569"/>
      <c r="ME662" s="569"/>
      <c r="MF662" s="569"/>
      <c r="MG662" s="569"/>
      <c r="MH662" s="569"/>
      <c r="MI662" s="569"/>
      <c r="MJ662" s="569"/>
      <c r="MK662" s="569"/>
      <c r="ML662" s="569"/>
      <c r="MM662" s="569"/>
      <c r="MN662" s="569"/>
      <c r="MO662" s="569"/>
      <c r="MP662" s="569"/>
      <c r="MQ662" s="569"/>
      <c r="MR662" s="569"/>
      <c r="MS662" s="569"/>
      <c r="MT662" s="569"/>
      <c r="MU662" s="569"/>
      <c r="MV662" s="569"/>
      <c r="MW662" s="569"/>
      <c r="MX662" s="569"/>
      <c r="MY662" s="569"/>
      <c r="MZ662" s="569"/>
      <c r="NA662" s="569"/>
      <c r="NB662" s="569"/>
      <c r="NC662" s="569"/>
      <c r="ND662" s="569"/>
      <c r="NE662" s="569"/>
      <c r="NF662" s="569"/>
      <c r="NG662" s="569"/>
      <c r="NH662" s="569"/>
      <c r="NI662" s="569"/>
      <c r="NJ662" s="569"/>
      <c r="NK662" s="569"/>
      <c r="NL662" s="569"/>
      <c r="NM662" s="569"/>
      <c r="NN662" s="569"/>
      <c r="NO662" s="569"/>
      <c r="NP662" s="569"/>
      <c r="NQ662" s="569"/>
      <c r="NR662" s="569"/>
      <c r="NS662" s="569"/>
      <c r="NT662" s="569"/>
      <c r="NU662" s="569"/>
      <c r="NV662" s="569"/>
      <c r="NW662" s="569"/>
      <c r="NX662" s="569"/>
      <c r="NY662" s="569"/>
      <c r="NZ662" s="569"/>
      <c r="OA662" s="569"/>
      <c r="OB662" s="569"/>
      <c r="OC662" s="569"/>
      <c r="OD662" s="569"/>
      <c r="OE662" s="569"/>
      <c r="OF662" s="569"/>
      <c r="OG662" s="569"/>
      <c r="OH662" s="569"/>
      <c r="OI662" s="569"/>
      <c r="OJ662" s="569"/>
      <c r="OK662" s="569"/>
      <c r="OL662" s="569"/>
      <c r="OM662" s="569"/>
      <c r="ON662" s="569"/>
      <c r="OO662" s="569"/>
      <c r="OP662" s="569"/>
      <c r="OQ662" s="569"/>
      <c r="OR662" s="569"/>
      <c r="OS662" s="569"/>
      <c r="OT662" s="569"/>
      <c r="OU662" s="569"/>
      <c r="OV662" s="569"/>
      <c r="OW662" s="569"/>
      <c r="OX662" s="569"/>
      <c r="OY662" s="569"/>
      <c r="OZ662" s="569"/>
      <c r="PA662" s="569"/>
      <c r="PB662" s="569"/>
      <c r="PC662" s="569"/>
      <c r="PD662" s="569"/>
      <c r="PE662" s="569"/>
      <c r="PF662" s="569"/>
      <c r="PG662" s="569"/>
      <c r="PH662" s="569"/>
      <c r="PI662" s="569"/>
      <c r="PJ662" s="569"/>
      <c r="PK662" s="569"/>
      <c r="PL662" s="569"/>
      <c r="PM662" s="569"/>
      <c r="PN662" s="569"/>
      <c r="PO662" s="569"/>
      <c r="PP662" s="569"/>
      <c r="PQ662" s="569"/>
      <c r="PR662" s="569"/>
      <c r="PS662" s="569"/>
      <c r="PT662" s="569"/>
      <c r="PU662" s="569"/>
      <c r="PV662" s="569"/>
      <c r="PW662" s="569"/>
      <c r="PX662" s="569"/>
      <c r="PY662" s="569"/>
      <c r="PZ662" s="569"/>
      <c r="QA662" s="569"/>
      <c r="QB662" s="569"/>
      <c r="QC662" s="569"/>
      <c r="QD662" s="569"/>
      <c r="QE662" s="569"/>
      <c r="QF662" s="569"/>
      <c r="QG662" s="569"/>
      <c r="QH662" s="569"/>
      <c r="QI662" s="569"/>
      <c r="QJ662" s="569"/>
      <c r="QK662" s="569"/>
      <c r="QL662" s="569"/>
    </row>
    <row r="663" spans="1:454" ht="45">
      <c r="D663" s="568"/>
      <c r="E663" s="568"/>
      <c r="F663" s="568"/>
      <c r="G663" s="568"/>
      <c r="H663" s="563" t="str">
        <f>'matrik MISI 1'!N105</f>
        <v>Persentase Peningkatan Kesadaran Masyarakat dalam Pelestarian Lingkungan Hidup</v>
      </c>
      <c r="I663" s="563" t="str">
        <f>'matrik MISI 1'!O105</f>
        <v>%</v>
      </c>
      <c r="J663" s="563">
        <f>'matrik MISI 1'!P105</f>
        <v>0</v>
      </c>
      <c r="K663" s="563">
        <f>'matrik MISI 1'!Q105</f>
        <v>0</v>
      </c>
      <c r="L663" s="563">
        <f>'matrik MISI 1'!R105</f>
        <v>25</v>
      </c>
      <c r="M663" s="604"/>
      <c r="N663" s="563">
        <f>'matrik MISI 1'!S105</f>
        <v>50</v>
      </c>
      <c r="O663" s="564"/>
      <c r="P663" s="563">
        <f>'matrik MISI 1'!T105</f>
        <v>75</v>
      </c>
      <c r="Q663" s="564"/>
      <c r="R663" s="563">
        <f>'matrik MISI 1'!U105</f>
        <v>100</v>
      </c>
      <c r="S663" s="564"/>
      <c r="T663" s="563">
        <f>'matrik MISI 1'!V105</f>
        <v>100</v>
      </c>
      <c r="U663" s="564"/>
      <c r="V663" s="563">
        <f>'matrik MISI 1'!W105</f>
        <v>100</v>
      </c>
      <c r="W663" s="564"/>
      <c r="X663" s="563" t="str">
        <f>'matrik MISI 1'!X105</f>
        <v>DINTANBUNHUT</v>
      </c>
      <c r="Y663" s="563" t="str">
        <f>'matrik MISI 1'!Y105</f>
        <v>Jumlah Lembaga Masyarakat Desa Hutan (LMDH) dan kelompok konservasi yang diberdayakan dibagi jumlah total LMDH (40 kelompok) dan kelompok konservasi yang ada kali 100%</v>
      </c>
      <c r="Z663" s="563" t="str">
        <f>'matrik MISI 1'!Z105</f>
        <v>*LMDH merupakan kelompok masyarakat yang mengelola hutan negara selain tanaman pokok **Kelompok konservasi adalah kelompok masyarakat yang peduli dan aktif bergerak dalam konservasi lahan</v>
      </c>
    </row>
    <row r="664" spans="1:454" s="574" customFormat="1" ht="45">
      <c r="A664" s="569"/>
      <c r="B664" s="575"/>
      <c r="C664" s="576"/>
      <c r="D664" s="577" t="str">
        <f>'matrik MISI 1'!J106</f>
        <v>2.02</v>
      </c>
      <c r="E664" s="577" t="str">
        <f>'matrik MISI 1'!K106</f>
        <v>xx</v>
      </c>
      <c r="F664" s="577">
        <f>'matrik MISI 1'!L106</f>
        <v>19</v>
      </c>
      <c r="G664" s="577" t="str">
        <f>'matrik MISI 1'!M106</f>
        <v>Program Pembinaan dan Penertiban Industri Hasil Hutan</v>
      </c>
      <c r="H664" s="577"/>
      <c r="I664" s="577"/>
      <c r="J664" s="577"/>
      <c r="K664" s="577"/>
      <c r="L664" s="577"/>
      <c r="M664" s="578">
        <f>'jangan dihapus 2'!K618</f>
        <v>100000000</v>
      </c>
      <c r="N664" s="577"/>
      <c r="O664" s="578">
        <f>'jangan dihapus 2'!M618</f>
        <v>100000000</v>
      </c>
      <c r="P664" s="577"/>
      <c r="Q664" s="578">
        <f>'jangan dihapus 2'!O618</f>
        <v>110000000</v>
      </c>
      <c r="R664" s="577"/>
      <c r="S664" s="578">
        <f>'jangan dihapus 2'!Q618</f>
        <v>110000000</v>
      </c>
      <c r="T664" s="577"/>
      <c r="U664" s="578">
        <f>'jangan dihapus 2'!S618</f>
        <v>0</v>
      </c>
      <c r="V664" s="577"/>
      <c r="W664" s="578">
        <f>SUM(M664:U664)</f>
        <v>420000000</v>
      </c>
      <c r="X664" s="577"/>
      <c r="Y664" s="577"/>
      <c r="Z664" s="577"/>
      <c r="AA664" s="569"/>
      <c r="AB664" s="569"/>
      <c r="AC664" s="569"/>
      <c r="AD664" s="569"/>
      <c r="AE664" s="569"/>
      <c r="AF664" s="569"/>
      <c r="AG664" s="569"/>
      <c r="AH664" s="569"/>
      <c r="AI664" s="569"/>
      <c r="AJ664" s="569"/>
      <c r="AK664" s="569"/>
      <c r="AL664" s="569"/>
      <c r="AM664" s="569"/>
      <c r="AN664" s="569"/>
      <c r="AO664" s="569"/>
      <c r="AP664" s="569"/>
      <c r="AQ664" s="569"/>
      <c r="AR664" s="569"/>
      <c r="AS664" s="569"/>
      <c r="AT664" s="569"/>
      <c r="AU664" s="569"/>
      <c r="AV664" s="569"/>
      <c r="AW664" s="569"/>
      <c r="AX664" s="569"/>
      <c r="AY664" s="569"/>
      <c r="AZ664" s="569"/>
      <c r="BA664" s="569"/>
      <c r="BB664" s="569"/>
      <c r="BC664" s="569"/>
      <c r="BD664" s="569"/>
      <c r="BE664" s="569"/>
      <c r="BF664" s="569"/>
      <c r="BG664" s="569"/>
      <c r="BH664" s="569"/>
      <c r="BI664" s="569"/>
      <c r="BJ664" s="569"/>
      <c r="BK664" s="569"/>
      <c r="BL664" s="569"/>
      <c r="BM664" s="569"/>
      <c r="BN664" s="569"/>
      <c r="BO664" s="569"/>
      <c r="BP664" s="569"/>
      <c r="BQ664" s="569"/>
      <c r="BR664" s="569"/>
      <c r="BS664" s="569"/>
      <c r="BT664" s="569"/>
      <c r="BU664" s="569"/>
      <c r="BV664" s="569"/>
      <c r="BW664" s="569"/>
      <c r="BX664" s="569"/>
      <c r="BY664" s="569"/>
      <c r="BZ664" s="569"/>
      <c r="CA664" s="569"/>
      <c r="CB664" s="569"/>
      <c r="CC664" s="569"/>
      <c r="CD664" s="569"/>
      <c r="CE664" s="569"/>
      <c r="CF664" s="569"/>
      <c r="CG664" s="569"/>
      <c r="CH664" s="569"/>
      <c r="CI664" s="569"/>
      <c r="CJ664" s="569"/>
      <c r="CK664" s="569"/>
      <c r="CL664" s="569"/>
      <c r="CM664" s="569"/>
      <c r="CN664" s="569"/>
      <c r="CO664" s="569"/>
      <c r="CP664" s="569"/>
      <c r="CQ664" s="569"/>
      <c r="CR664" s="569"/>
      <c r="CS664" s="569"/>
      <c r="CT664" s="569"/>
      <c r="CU664" s="569"/>
      <c r="CV664" s="569"/>
      <c r="CW664" s="569"/>
      <c r="CX664" s="569"/>
      <c r="CY664" s="569"/>
      <c r="CZ664" s="569"/>
      <c r="DA664" s="569"/>
      <c r="DB664" s="569"/>
      <c r="DC664" s="569"/>
      <c r="DD664" s="569"/>
      <c r="DE664" s="569"/>
      <c r="DF664" s="569"/>
      <c r="DG664" s="569"/>
      <c r="DH664" s="569"/>
      <c r="DI664" s="569"/>
      <c r="DJ664" s="569"/>
      <c r="DK664" s="569"/>
      <c r="DL664" s="569"/>
      <c r="DM664" s="569"/>
      <c r="DN664" s="569"/>
      <c r="DO664" s="569"/>
      <c r="DP664" s="569"/>
      <c r="DQ664" s="569"/>
      <c r="DR664" s="569"/>
      <c r="DS664" s="569"/>
      <c r="DT664" s="569"/>
      <c r="DU664" s="569"/>
      <c r="DV664" s="569"/>
      <c r="DW664" s="569"/>
      <c r="DX664" s="569"/>
      <c r="DY664" s="569"/>
      <c r="DZ664" s="569"/>
      <c r="EA664" s="569"/>
      <c r="EB664" s="569"/>
      <c r="EC664" s="569"/>
      <c r="ED664" s="569"/>
      <c r="EE664" s="569"/>
      <c r="EF664" s="569"/>
      <c r="EG664" s="569"/>
      <c r="EH664" s="569"/>
      <c r="EI664" s="569"/>
      <c r="EJ664" s="569"/>
      <c r="EK664" s="569"/>
      <c r="EL664" s="569"/>
      <c r="EM664" s="569"/>
      <c r="EN664" s="569"/>
      <c r="EO664" s="569"/>
      <c r="EP664" s="569"/>
      <c r="EQ664" s="569"/>
      <c r="ER664" s="569"/>
      <c r="ES664" s="569"/>
      <c r="ET664" s="569"/>
      <c r="EU664" s="569"/>
      <c r="EV664" s="569"/>
      <c r="EW664" s="569"/>
      <c r="EX664" s="569"/>
      <c r="EY664" s="569"/>
      <c r="EZ664" s="569"/>
      <c r="FA664" s="569"/>
      <c r="FB664" s="569"/>
      <c r="FC664" s="569"/>
      <c r="FD664" s="569"/>
      <c r="FE664" s="569"/>
      <c r="FF664" s="569"/>
      <c r="FG664" s="569"/>
      <c r="FH664" s="569"/>
      <c r="FI664" s="569"/>
      <c r="FJ664" s="569"/>
      <c r="FK664" s="569"/>
      <c r="FL664" s="569"/>
      <c r="FM664" s="569"/>
      <c r="FN664" s="569"/>
      <c r="FO664" s="569"/>
      <c r="FP664" s="569"/>
      <c r="FQ664" s="569"/>
      <c r="FR664" s="569"/>
      <c r="FS664" s="569"/>
      <c r="FT664" s="569"/>
      <c r="FU664" s="569"/>
      <c r="FV664" s="569"/>
      <c r="FW664" s="569"/>
      <c r="FX664" s="569"/>
      <c r="FY664" s="569"/>
      <c r="FZ664" s="569"/>
      <c r="GA664" s="569"/>
      <c r="GB664" s="569"/>
      <c r="GC664" s="569"/>
      <c r="GD664" s="569"/>
      <c r="GE664" s="569"/>
      <c r="GF664" s="569"/>
      <c r="GG664" s="569"/>
      <c r="GH664" s="569"/>
      <c r="GI664" s="569"/>
      <c r="GJ664" s="569"/>
      <c r="GK664" s="569"/>
      <c r="GL664" s="569"/>
      <c r="GM664" s="569"/>
      <c r="GN664" s="569"/>
      <c r="GO664" s="569"/>
      <c r="GP664" s="569"/>
      <c r="GQ664" s="569"/>
      <c r="GR664" s="569"/>
      <c r="GS664" s="569"/>
      <c r="GT664" s="569"/>
      <c r="GU664" s="569"/>
      <c r="GV664" s="569"/>
      <c r="GW664" s="569"/>
      <c r="GX664" s="569"/>
      <c r="GY664" s="569"/>
      <c r="GZ664" s="569"/>
      <c r="HA664" s="569"/>
      <c r="HB664" s="569"/>
      <c r="HC664" s="569"/>
      <c r="HD664" s="569"/>
      <c r="HE664" s="569"/>
      <c r="HF664" s="569"/>
      <c r="HG664" s="569"/>
      <c r="HH664" s="569"/>
      <c r="HI664" s="569"/>
      <c r="HJ664" s="569"/>
      <c r="HK664" s="569"/>
      <c r="HL664" s="569"/>
      <c r="HM664" s="569"/>
      <c r="HN664" s="569"/>
      <c r="HO664" s="569"/>
      <c r="HP664" s="569"/>
      <c r="HQ664" s="569"/>
      <c r="HR664" s="569"/>
      <c r="HS664" s="569"/>
      <c r="HT664" s="569"/>
      <c r="HU664" s="569"/>
      <c r="HV664" s="569"/>
      <c r="HW664" s="569"/>
      <c r="HX664" s="569"/>
      <c r="HY664" s="569"/>
      <c r="HZ664" s="569"/>
      <c r="IA664" s="569"/>
      <c r="IB664" s="569"/>
      <c r="IC664" s="569"/>
      <c r="ID664" s="569"/>
      <c r="IE664" s="569"/>
      <c r="IF664" s="569"/>
      <c r="IG664" s="569"/>
      <c r="IH664" s="569"/>
      <c r="II664" s="569"/>
      <c r="IJ664" s="569"/>
      <c r="IK664" s="569"/>
      <c r="IL664" s="569"/>
      <c r="IM664" s="569"/>
      <c r="IN664" s="569"/>
      <c r="IO664" s="569"/>
      <c r="IP664" s="569"/>
      <c r="IQ664" s="569"/>
      <c r="IR664" s="569"/>
      <c r="IS664" s="569"/>
      <c r="IT664" s="569"/>
      <c r="IU664" s="569"/>
      <c r="IV664" s="569"/>
      <c r="IW664" s="569"/>
      <c r="IX664" s="569"/>
      <c r="IY664" s="569"/>
      <c r="IZ664" s="569"/>
      <c r="JA664" s="569"/>
      <c r="JB664" s="569"/>
      <c r="JC664" s="569"/>
      <c r="JD664" s="569"/>
      <c r="JE664" s="569"/>
      <c r="JF664" s="569"/>
      <c r="JG664" s="569"/>
      <c r="JH664" s="569"/>
      <c r="JI664" s="569"/>
      <c r="JJ664" s="569"/>
      <c r="JK664" s="569"/>
      <c r="JL664" s="569"/>
      <c r="JM664" s="569"/>
      <c r="JN664" s="569"/>
      <c r="JO664" s="569"/>
      <c r="JP664" s="569"/>
      <c r="JQ664" s="569"/>
      <c r="JR664" s="569"/>
      <c r="JS664" s="569"/>
      <c r="JT664" s="569"/>
      <c r="JU664" s="569"/>
      <c r="JV664" s="569"/>
      <c r="JW664" s="569"/>
      <c r="JX664" s="569"/>
      <c r="JY664" s="569"/>
      <c r="JZ664" s="569"/>
      <c r="KA664" s="569"/>
      <c r="KB664" s="569"/>
      <c r="KC664" s="569"/>
      <c r="KD664" s="569"/>
      <c r="KE664" s="569"/>
      <c r="KF664" s="569"/>
      <c r="KG664" s="569"/>
      <c r="KH664" s="569"/>
      <c r="KI664" s="569"/>
      <c r="KJ664" s="569"/>
      <c r="KK664" s="569"/>
      <c r="KL664" s="569"/>
      <c r="KM664" s="569"/>
      <c r="KN664" s="569"/>
      <c r="KO664" s="569"/>
      <c r="KP664" s="569"/>
      <c r="KQ664" s="569"/>
      <c r="KR664" s="569"/>
      <c r="KS664" s="569"/>
      <c r="KT664" s="569"/>
      <c r="KU664" s="569"/>
      <c r="KV664" s="569"/>
      <c r="KW664" s="569"/>
      <c r="KX664" s="569"/>
      <c r="KY664" s="569"/>
      <c r="KZ664" s="569"/>
      <c r="LA664" s="569"/>
      <c r="LB664" s="569"/>
      <c r="LC664" s="569"/>
      <c r="LD664" s="569"/>
      <c r="LE664" s="569"/>
      <c r="LF664" s="569"/>
      <c r="LG664" s="569"/>
      <c r="LH664" s="569"/>
      <c r="LI664" s="569"/>
      <c r="LJ664" s="569"/>
      <c r="LK664" s="569"/>
      <c r="LL664" s="569"/>
      <c r="LM664" s="569"/>
      <c r="LN664" s="569"/>
      <c r="LO664" s="569"/>
      <c r="LP664" s="569"/>
      <c r="LQ664" s="569"/>
      <c r="LR664" s="569"/>
      <c r="LS664" s="569"/>
      <c r="LT664" s="569"/>
      <c r="LU664" s="569"/>
      <c r="LV664" s="569"/>
      <c r="LW664" s="569"/>
      <c r="LX664" s="569"/>
      <c r="LY664" s="569"/>
      <c r="LZ664" s="569"/>
      <c r="MA664" s="569"/>
      <c r="MB664" s="569"/>
      <c r="MC664" s="569"/>
      <c r="MD664" s="569"/>
      <c r="ME664" s="569"/>
      <c r="MF664" s="569"/>
      <c r="MG664" s="569"/>
      <c r="MH664" s="569"/>
      <c r="MI664" s="569"/>
      <c r="MJ664" s="569"/>
      <c r="MK664" s="569"/>
      <c r="ML664" s="569"/>
      <c r="MM664" s="569"/>
      <c r="MN664" s="569"/>
      <c r="MO664" s="569"/>
      <c r="MP664" s="569"/>
      <c r="MQ664" s="569"/>
      <c r="MR664" s="569"/>
      <c r="MS664" s="569"/>
      <c r="MT664" s="569"/>
      <c r="MU664" s="569"/>
      <c r="MV664" s="569"/>
      <c r="MW664" s="569"/>
      <c r="MX664" s="569"/>
      <c r="MY664" s="569"/>
      <c r="MZ664" s="569"/>
      <c r="NA664" s="569"/>
      <c r="NB664" s="569"/>
      <c r="NC664" s="569"/>
      <c r="ND664" s="569"/>
      <c r="NE664" s="569"/>
      <c r="NF664" s="569"/>
      <c r="NG664" s="569"/>
      <c r="NH664" s="569"/>
      <c r="NI664" s="569"/>
      <c r="NJ664" s="569"/>
      <c r="NK664" s="569"/>
      <c r="NL664" s="569"/>
      <c r="NM664" s="569"/>
      <c r="NN664" s="569"/>
      <c r="NO664" s="569"/>
      <c r="NP664" s="569"/>
      <c r="NQ664" s="569"/>
      <c r="NR664" s="569"/>
      <c r="NS664" s="569"/>
      <c r="NT664" s="569"/>
      <c r="NU664" s="569"/>
      <c r="NV664" s="569"/>
      <c r="NW664" s="569"/>
      <c r="NX664" s="569"/>
      <c r="NY664" s="569"/>
      <c r="NZ664" s="569"/>
      <c r="OA664" s="569"/>
      <c r="OB664" s="569"/>
      <c r="OC664" s="569"/>
      <c r="OD664" s="569"/>
      <c r="OE664" s="569"/>
      <c r="OF664" s="569"/>
      <c r="OG664" s="569"/>
      <c r="OH664" s="569"/>
      <c r="OI664" s="569"/>
      <c r="OJ664" s="569"/>
      <c r="OK664" s="569"/>
      <c r="OL664" s="569"/>
      <c r="OM664" s="569"/>
      <c r="ON664" s="569"/>
      <c r="OO664" s="569"/>
      <c r="OP664" s="569"/>
      <c r="OQ664" s="569"/>
      <c r="OR664" s="569"/>
      <c r="OS664" s="569"/>
      <c r="OT664" s="569"/>
      <c r="OU664" s="569"/>
      <c r="OV664" s="569"/>
      <c r="OW664" s="569"/>
      <c r="OX664" s="569"/>
      <c r="OY664" s="569"/>
      <c r="OZ664" s="569"/>
      <c r="PA664" s="569"/>
      <c r="PB664" s="569"/>
      <c r="PC664" s="569"/>
      <c r="PD664" s="569"/>
      <c r="PE664" s="569"/>
      <c r="PF664" s="569"/>
      <c r="PG664" s="569"/>
      <c r="PH664" s="569"/>
      <c r="PI664" s="569"/>
      <c r="PJ664" s="569"/>
      <c r="PK664" s="569"/>
      <c r="PL664" s="569"/>
      <c r="PM664" s="569"/>
      <c r="PN664" s="569"/>
      <c r="PO664" s="569"/>
      <c r="PP664" s="569"/>
      <c r="PQ664" s="569"/>
      <c r="PR664" s="569"/>
      <c r="PS664" s="569"/>
      <c r="PT664" s="569"/>
      <c r="PU664" s="569"/>
      <c r="PV664" s="569"/>
      <c r="PW664" s="569"/>
      <c r="PX664" s="569"/>
      <c r="PY664" s="569"/>
      <c r="PZ664" s="569"/>
      <c r="QA664" s="569"/>
      <c r="QB664" s="569"/>
      <c r="QC664" s="569"/>
      <c r="QD664" s="569"/>
      <c r="QE664" s="569"/>
      <c r="QF664" s="569"/>
      <c r="QG664" s="569"/>
      <c r="QH664" s="569"/>
      <c r="QI664" s="569"/>
      <c r="QJ664" s="569"/>
      <c r="QK664" s="569"/>
      <c r="QL664" s="569"/>
    </row>
    <row r="665" spans="1:454" ht="45">
      <c r="D665" s="568"/>
      <c r="E665" s="568"/>
      <c r="F665" s="568"/>
      <c r="G665" s="568"/>
      <c r="H665" s="563" t="str">
        <f>'matrik MISI 1'!N106</f>
        <v>Besaran Peningkatan Kemitraan dalam Pengelolaan Hasil Hutan</v>
      </c>
      <c r="I665" s="563" t="str">
        <f>'matrik MISI 1'!O106</f>
        <v>Kelompok</v>
      </c>
      <c r="J665" s="563">
        <f>'matrik MISI 1'!P106</f>
        <v>0</v>
      </c>
      <c r="K665" s="563">
        <f>'matrik MISI 1'!Q106</f>
        <v>2</v>
      </c>
      <c r="L665" s="563">
        <f>'matrik MISI 1'!R106</f>
        <v>4</v>
      </c>
      <c r="M665" s="604"/>
      <c r="N665" s="563">
        <f>'matrik MISI 1'!S106</f>
        <v>6</v>
      </c>
      <c r="O665" s="564"/>
      <c r="P665" s="563">
        <f>'matrik MISI 1'!T106</f>
        <v>8</v>
      </c>
      <c r="Q665" s="564"/>
      <c r="R665" s="563">
        <f>'matrik MISI 1'!U106</f>
        <v>10</v>
      </c>
      <c r="S665" s="564"/>
      <c r="T665" s="563">
        <f>'matrik MISI 1'!V106</f>
        <v>12</v>
      </c>
      <c r="U665" s="564"/>
      <c r="V665" s="563">
        <f>'matrik MISI 1'!W106</f>
        <v>12</v>
      </c>
      <c r="W665" s="564"/>
      <c r="X665" s="563" t="str">
        <f>'matrik MISI 1'!X106</f>
        <v>DINTANBUNHUT</v>
      </c>
      <c r="Y665" s="563">
        <f>'matrik MISI 1'!Y106</f>
        <v>0</v>
      </c>
      <c r="Z665" s="563" t="str">
        <f>'matrik MISI 1'!Z106</f>
        <v>*APHR merupakan gabungan kelompok tani hutan rakyat yang dilegalisasi sebagai kelompok tani kemitraan perusahaan kayu **syarat luasan hutan rakyat untuk diproses legalisasi (SVLK) sebesar 500 Ha.</v>
      </c>
    </row>
    <row r="666" spans="1:454" s="574" customFormat="1" ht="45">
      <c r="A666" s="569"/>
      <c r="B666" s="575"/>
      <c r="C666" s="576"/>
      <c r="D666" s="577" t="str">
        <f>'matrik MISI 1'!J107</f>
        <v>2.02</v>
      </c>
      <c r="E666" s="577" t="str">
        <f>'matrik MISI 1'!K107</f>
        <v>xx</v>
      </c>
      <c r="F666" s="577">
        <f>'matrik MISI 1'!L107</f>
        <v>17</v>
      </c>
      <c r="G666" s="577" t="str">
        <f>'matrik MISI 1'!M107</f>
        <v>Program Perlindungan dan Konservasi Sumber Daya Hutan</v>
      </c>
      <c r="H666" s="577"/>
      <c r="I666" s="577"/>
      <c r="J666" s="577"/>
      <c r="K666" s="577"/>
      <c r="L666" s="577"/>
      <c r="M666" s="578">
        <f>'jangan dihapus 2'!M617</f>
        <v>150000000</v>
      </c>
      <c r="N666" s="577"/>
      <c r="O666" s="578">
        <f>'jangan dihapus 2'!O617</f>
        <v>150000000</v>
      </c>
      <c r="P666" s="577"/>
      <c r="Q666" s="578">
        <f>'jangan dihapus 2'!Q617</f>
        <v>150000000</v>
      </c>
      <c r="R666" s="577"/>
      <c r="S666" s="578">
        <f>'jangan dihapus 2'!S617</f>
        <v>150000000</v>
      </c>
      <c r="T666" s="577"/>
      <c r="U666" s="578">
        <f>'jangan dihapus 2'!U617</f>
        <v>150000000</v>
      </c>
      <c r="V666" s="577"/>
      <c r="W666" s="578">
        <f>SUM(M666:U666)</f>
        <v>750000000</v>
      </c>
      <c r="X666" s="577"/>
      <c r="Y666" s="577"/>
      <c r="Z666" s="577"/>
      <c r="AA666" s="569"/>
      <c r="AB666" s="569"/>
      <c r="AC666" s="569"/>
      <c r="AD666" s="569"/>
      <c r="AE666" s="569"/>
      <c r="AF666" s="569"/>
      <c r="AG666" s="569"/>
      <c r="AH666" s="569"/>
      <c r="AI666" s="569"/>
      <c r="AJ666" s="569"/>
      <c r="AK666" s="569"/>
      <c r="AL666" s="569"/>
      <c r="AM666" s="569"/>
      <c r="AN666" s="569"/>
      <c r="AO666" s="569"/>
      <c r="AP666" s="569"/>
      <c r="AQ666" s="569"/>
      <c r="AR666" s="569"/>
      <c r="AS666" s="569"/>
      <c r="AT666" s="569"/>
      <c r="AU666" s="569"/>
      <c r="AV666" s="569"/>
      <c r="AW666" s="569"/>
      <c r="AX666" s="569"/>
      <c r="AY666" s="569"/>
      <c r="AZ666" s="569"/>
      <c r="BA666" s="569"/>
      <c r="BB666" s="569"/>
      <c r="BC666" s="569"/>
      <c r="BD666" s="569"/>
      <c r="BE666" s="569"/>
      <c r="BF666" s="569"/>
      <c r="BG666" s="569"/>
      <c r="BH666" s="569"/>
      <c r="BI666" s="569"/>
      <c r="BJ666" s="569"/>
      <c r="BK666" s="569"/>
      <c r="BL666" s="569"/>
      <c r="BM666" s="569"/>
      <c r="BN666" s="569"/>
      <c r="BO666" s="569"/>
      <c r="BP666" s="569"/>
      <c r="BQ666" s="569"/>
      <c r="BR666" s="569"/>
      <c r="BS666" s="569"/>
      <c r="BT666" s="569"/>
      <c r="BU666" s="569"/>
      <c r="BV666" s="569"/>
      <c r="BW666" s="569"/>
      <c r="BX666" s="569"/>
      <c r="BY666" s="569"/>
      <c r="BZ666" s="569"/>
      <c r="CA666" s="569"/>
      <c r="CB666" s="569"/>
      <c r="CC666" s="569"/>
      <c r="CD666" s="569"/>
      <c r="CE666" s="569"/>
      <c r="CF666" s="569"/>
      <c r="CG666" s="569"/>
      <c r="CH666" s="569"/>
      <c r="CI666" s="569"/>
      <c r="CJ666" s="569"/>
      <c r="CK666" s="569"/>
      <c r="CL666" s="569"/>
      <c r="CM666" s="569"/>
      <c r="CN666" s="569"/>
      <c r="CO666" s="569"/>
      <c r="CP666" s="569"/>
      <c r="CQ666" s="569"/>
      <c r="CR666" s="569"/>
      <c r="CS666" s="569"/>
      <c r="CT666" s="569"/>
      <c r="CU666" s="569"/>
      <c r="CV666" s="569"/>
      <c r="CW666" s="569"/>
      <c r="CX666" s="569"/>
      <c r="CY666" s="569"/>
      <c r="CZ666" s="569"/>
      <c r="DA666" s="569"/>
      <c r="DB666" s="569"/>
      <c r="DC666" s="569"/>
      <c r="DD666" s="569"/>
      <c r="DE666" s="569"/>
      <c r="DF666" s="569"/>
      <c r="DG666" s="569"/>
      <c r="DH666" s="569"/>
      <c r="DI666" s="569"/>
      <c r="DJ666" s="569"/>
      <c r="DK666" s="569"/>
      <c r="DL666" s="569"/>
      <c r="DM666" s="569"/>
      <c r="DN666" s="569"/>
      <c r="DO666" s="569"/>
      <c r="DP666" s="569"/>
      <c r="DQ666" s="569"/>
      <c r="DR666" s="569"/>
      <c r="DS666" s="569"/>
      <c r="DT666" s="569"/>
      <c r="DU666" s="569"/>
      <c r="DV666" s="569"/>
      <c r="DW666" s="569"/>
      <c r="DX666" s="569"/>
      <c r="DY666" s="569"/>
      <c r="DZ666" s="569"/>
      <c r="EA666" s="569"/>
      <c r="EB666" s="569"/>
      <c r="EC666" s="569"/>
      <c r="ED666" s="569"/>
      <c r="EE666" s="569"/>
      <c r="EF666" s="569"/>
      <c r="EG666" s="569"/>
      <c r="EH666" s="569"/>
      <c r="EI666" s="569"/>
      <c r="EJ666" s="569"/>
      <c r="EK666" s="569"/>
      <c r="EL666" s="569"/>
      <c r="EM666" s="569"/>
      <c r="EN666" s="569"/>
      <c r="EO666" s="569"/>
      <c r="EP666" s="569"/>
      <c r="EQ666" s="569"/>
      <c r="ER666" s="569"/>
      <c r="ES666" s="569"/>
      <c r="ET666" s="569"/>
      <c r="EU666" s="569"/>
      <c r="EV666" s="569"/>
      <c r="EW666" s="569"/>
      <c r="EX666" s="569"/>
      <c r="EY666" s="569"/>
      <c r="EZ666" s="569"/>
      <c r="FA666" s="569"/>
      <c r="FB666" s="569"/>
      <c r="FC666" s="569"/>
      <c r="FD666" s="569"/>
      <c r="FE666" s="569"/>
      <c r="FF666" s="569"/>
      <c r="FG666" s="569"/>
      <c r="FH666" s="569"/>
      <c r="FI666" s="569"/>
      <c r="FJ666" s="569"/>
      <c r="FK666" s="569"/>
      <c r="FL666" s="569"/>
      <c r="FM666" s="569"/>
      <c r="FN666" s="569"/>
      <c r="FO666" s="569"/>
      <c r="FP666" s="569"/>
      <c r="FQ666" s="569"/>
      <c r="FR666" s="569"/>
      <c r="FS666" s="569"/>
      <c r="FT666" s="569"/>
      <c r="FU666" s="569"/>
      <c r="FV666" s="569"/>
      <c r="FW666" s="569"/>
      <c r="FX666" s="569"/>
      <c r="FY666" s="569"/>
      <c r="FZ666" s="569"/>
      <c r="GA666" s="569"/>
      <c r="GB666" s="569"/>
      <c r="GC666" s="569"/>
      <c r="GD666" s="569"/>
      <c r="GE666" s="569"/>
      <c r="GF666" s="569"/>
      <c r="GG666" s="569"/>
      <c r="GH666" s="569"/>
      <c r="GI666" s="569"/>
      <c r="GJ666" s="569"/>
      <c r="GK666" s="569"/>
      <c r="GL666" s="569"/>
      <c r="GM666" s="569"/>
      <c r="GN666" s="569"/>
      <c r="GO666" s="569"/>
      <c r="GP666" s="569"/>
      <c r="GQ666" s="569"/>
      <c r="GR666" s="569"/>
      <c r="GS666" s="569"/>
      <c r="GT666" s="569"/>
      <c r="GU666" s="569"/>
      <c r="GV666" s="569"/>
      <c r="GW666" s="569"/>
      <c r="GX666" s="569"/>
      <c r="GY666" s="569"/>
      <c r="GZ666" s="569"/>
      <c r="HA666" s="569"/>
      <c r="HB666" s="569"/>
      <c r="HC666" s="569"/>
      <c r="HD666" s="569"/>
      <c r="HE666" s="569"/>
      <c r="HF666" s="569"/>
      <c r="HG666" s="569"/>
      <c r="HH666" s="569"/>
      <c r="HI666" s="569"/>
      <c r="HJ666" s="569"/>
      <c r="HK666" s="569"/>
      <c r="HL666" s="569"/>
      <c r="HM666" s="569"/>
      <c r="HN666" s="569"/>
      <c r="HO666" s="569"/>
      <c r="HP666" s="569"/>
      <c r="HQ666" s="569"/>
      <c r="HR666" s="569"/>
      <c r="HS666" s="569"/>
      <c r="HT666" s="569"/>
      <c r="HU666" s="569"/>
      <c r="HV666" s="569"/>
      <c r="HW666" s="569"/>
      <c r="HX666" s="569"/>
      <c r="HY666" s="569"/>
      <c r="HZ666" s="569"/>
      <c r="IA666" s="569"/>
      <c r="IB666" s="569"/>
      <c r="IC666" s="569"/>
      <c r="ID666" s="569"/>
      <c r="IE666" s="569"/>
      <c r="IF666" s="569"/>
      <c r="IG666" s="569"/>
      <c r="IH666" s="569"/>
      <c r="II666" s="569"/>
      <c r="IJ666" s="569"/>
      <c r="IK666" s="569"/>
      <c r="IL666" s="569"/>
      <c r="IM666" s="569"/>
      <c r="IN666" s="569"/>
      <c r="IO666" s="569"/>
      <c r="IP666" s="569"/>
      <c r="IQ666" s="569"/>
      <c r="IR666" s="569"/>
      <c r="IS666" s="569"/>
      <c r="IT666" s="569"/>
      <c r="IU666" s="569"/>
      <c r="IV666" s="569"/>
      <c r="IW666" s="569"/>
      <c r="IX666" s="569"/>
      <c r="IY666" s="569"/>
      <c r="IZ666" s="569"/>
      <c r="JA666" s="569"/>
      <c r="JB666" s="569"/>
      <c r="JC666" s="569"/>
      <c r="JD666" s="569"/>
      <c r="JE666" s="569"/>
      <c r="JF666" s="569"/>
      <c r="JG666" s="569"/>
      <c r="JH666" s="569"/>
      <c r="JI666" s="569"/>
      <c r="JJ666" s="569"/>
      <c r="JK666" s="569"/>
      <c r="JL666" s="569"/>
      <c r="JM666" s="569"/>
      <c r="JN666" s="569"/>
      <c r="JO666" s="569"/>
      <c r="JP666" s="569"/>
      <c r="JQ666" s="569"/>
      <c r="JR666" s="569"/>
      <c r="JS666" s="569"/>
      <c r="JT666" s="569"/>
      <c r="JU666" s="569"/>
      <c r="JV666" s="569"/>
      <c r="JW666" s="569"/>
      <c r="JX666" s="569"/>
      <c r="JY666" s="569"/>
      <c r="JZ666" s="569"/>
      <c r="KA666" s="569"/>
      <c r="KB666" s="569"/>
      <c r="KC666" s="569"/>
      <c r="KD666" s="569"/>
      <c r="KE666" s="569"/>
      <c r="KF666" s="569"/>
      <c r="KG666" s="569"/>
      <c r="KH666" s="569"/>
      <c r="KI666" s="569"/>
      <c r="KJ666" s="569"/>
      <c r="KK666" s="569"/>
      <c r="KL666" s="569"/>
      <c r="KM666" s="569"/>
      <c r="KN666" s="569"/>
      <c r="KO666" s="569"/>
      <c r="KP666" s="569"/>
      <c r="KQ666" s="569"/>
      <c r="KR666" s="569"/>
      <c r="KS666" s="569"/>
      <c r="KT666" s="569"/>
      <c r="KU666" s="569"/>
      <c r="KV666" s="569"/>
      <c r="KW666" s="569"/>
      <c r="KX666" s="569"/>
      <c r="KY666" s="569"/>
      <c r="KZ666" s="569"/>
      <c r="LA666" s="569"/>
      <c r="LB666" s="569"/>
      <c r="LC666" s="569"/>
      <c r="LD666" s="569"/>
      <c r="LE666" s="569"/>
      <c r="LF666" s="569"/>
      <c r="LG666" s="569"/>
      <c r="LH666" s="569"/>
      <c r="LI666" s="569"/>
      <c r="LJ666" s="569"/>
      <c r="LK666" s="569"/>
      <c r="LL666" s="569"/>
      <c r="LM666" s="569"/>
      <c r="LN666" s="569"/>
      <c r="LO666" s="569"/>
      <c r="LP666" s="569"/>
      <c r="LQ666" s="569"/>
      <c r="LR666" s="569"/>
      <c r="LS666" s="569"/>
      <c r="LT666" s="569"/>
      <c r="LU666" s="569"/>
      <c r="LV666" s="569"/>
      <c r="LW666" s="569"/>
      <c r="LX666" s="569"/>
      <c r="LY666" s="569"/>
      <c r="LZ666" s="569"/>
      <c r="MA666" s="569"/>
      <c r="MB666" s="569"/>
      <c r="MC666" s="569"/>
      <c r="MD666" s="569"/>
      <c r="ME666" s="569"/>
      <c r="MF666" s="569"/>
      <c r="MG666" s="569"/>
      <c r="MH666" s="569"/>
      <c r="MI666" s="569"/>
      <c r="MJ666" s="569"/>
      <c r="MK666" s="569"/>
      <c r="ML666" s="569"/>
      <c r="MM666" s="569"/>
      <c r="MN666" s="569"/>
      <c r="MO666" s="569"/>
      <c r="MP666" s="569"/>
      <c r="MQ666" s="569"/>
      <c r="MR666" s="569"/>
      <c r="MS666" s="569"/>
      <c r="MT666" s="569"/>
      <c r="MU666" s="569"/>
      <c r="MV666" s="569"/>
      <c r="MW666" s="569"/>
      <c r="MX666" s="569"/>
      <c r="MY666" s="569"/>
      <c r="MZ666" s="569"/>
      <c r="NA666" s="569"/>
      <c r="NB666" s="569"/>
      <c r="NC666" s="569"/>
      <c r="ND666" s="569"/>
      <c r="NE666" s="569"/>
      <c r="NF666" s="569"/>
      <c r="NG666" s="569"/>
      <c r="NH666" s="569"/>
      <c r="NI666" s="569"/>
      <c r="NJ666" s="569"/>
      <c r="NK666" s="569"/>
      <c r="NL666" s="569"/>
      <c r="NM666" s="569"/>
      <c r="NN666" s="569"/>
      <c r="NO666" s="569"/>
      <c r="NP666" s="569"/>
      <c r="NQ666" s="569"/>
      <c r="NR666" s="569"/>
      <c r="NS666" s="569"/>
      <c r="NT666" s="569"/>
      <c r="NU666" s="569"/>
      <c r="NV666" s="569"/>
      <c r="NW666" s="569"/>
      <c r="NX666" s="569"/>
      <c r="NY666" s="569"/>
      <c r="NZ666" s="569"/>
      <c r="OA666" s="569"/>
      <c r="OB666" s="569"/>
      <c r="OC666" s="569"/>
      <c r="OD666" s="569"/>
      <c r="OE666" s="569"/>
      <c r="OF666" s="569"/>
      <c r="OG666" s="569"/>
      <c r="OH666" s="569"/>
      <c r="OI666" s="569"/>
      <c r="OJ666" s="569"/>
      <c r="OK666" s="569"/>
      <c r="OL666" s="569"/>
      <c r="OM666" s="569"/>
      <c r="ON666" s="569"/>
      <c r="OO666" s="569"/>
      <c r="OP666" s="569"/>
      <c r="OQ666" s="569"/>
      <c r="OR666" s="569"/>
      <c r="OS666" s="569"/>
      <c r="OT666" s="569"/>
      <c r="OU666" s="569"/>
      <c r="OV666" s="569"/>
      <c r="OW666" s="569"/>
      <c r="OX666" s="569"/>
      <c r="OY666" s="569"/>
      <c r="OZ666" s="569"/>
      <c r="PA666" s="569"/>
      <c r="PB666" s="569"/>
      <c r="PC666" s="569"/>
      <c r="PD666" s="569"/>
      <c r="PE666" s="569"/>
      <c r="PF666" s="569"/>
      <c r="PG666" s="569"/>
      <c r="PH666" s="569"/>
      <c r="PI666" s="569"/>
      <c r="PJ666" s="569"/>
      <c r="PK666" s="569"/>
      <c r="PL666" s="569"/>
      <c r="PM666" s="569"/>
      <c r="PN666" s="569"/>
      <c r="PO666" s="569"/>
      <c r="PP666" s="569"/>
      <c r="PQ666" s="569"/>
      <c r="PR666" s="569"/>
      <c r="PS666" s="569"/>
      <c r="PT666" s="569"/>
      <c r="PU666" s="569"/>
      <c r="PV666" s="569"/>
      <c r="PW666" s="569"/>
      <c r="PX666" s="569"/>
      <c r="PY666" s="569"/>
      <c r="PZ666" s="569"/>
      <c r="QA666" s="569"/>
      <c r="QB666" s="569"/>
      <c r="QC666" s="569"/>
      <c r="QD666" s="569"/>
      <c r="QE666" s="569"/>
      <c r="QF666" s="569"/>
      <c r="QG666" s="569"/>
      <c r="QH666" s="569"/>
      <c r="QI666" s="569"/>
      <c r="QJ666" s="569"/>
      <c r="QK666" s="569"/>
      <c r="QL666" s="569"/>
    </row>
    <row r="667" spans="1:454" ht="30">
      <c r="D667" s="568"/>
      <c r="E667" s="568"/>
      <c r="F667" s="568"/>
      <c r="G667" s="568"/>
      <c r="H667" s="563" t="str">
        <f>'matrik MISI 1'!N107</f>
        <v>Besaran Meningkatnya konservasi hutan dan lahan</v>
      </c>
      <c r="I667" s="563" t="str">
        <f>'matrik MISI 1'!O107</f>
        <v>unit</v>
      </c>
      <c r="J667" s="563">
        <f>'matrik MISI 1'!P107</f>
        <v>80</v>
      </c>
      <c r="K667" s="563">
        <f>'matrik MISI 1'!Q107</f>
        <v>120</v>
      </c>
      <c r="L667" s="563">
        <f>'matrik MISI 1'!R107</f>
        <v>170</v>
      </c>
      <c r="M667" s="604"/>
      <c r="N667" s="563">
        <f>'matrik MISI 1'!S107</f>
        <v>220</v>
      </c>
      <c r="O667" s="564"/>
      <c r="P667" s="563">
        <f>'matrik MISI 1'!T107</f>
        <v>270</v>
      </c>
      <c r="Q667" s="564"/>
      <c r="R667" s="563">
        <f>'matrik MISI 1'!U107</f>
        <v>320</v>
      </c>
      <c r="S667" s="564"/>
      <c r="T667" s="563">
        <f>'matrik MISI 1'!V107</f>
        <v>370</v>
      </c>
      <c r="U667" s="564"/>
      <c r="V667" s="563">
        <f>'matrik MISI 1'!W107</f>
        <v>370</v>
      </c>
      <c r="W667" s="564"/>
      <c r="X667" s="563" t="str">
        <f>'matrik MISI 1'!X107</f>
        <v>DINTANBUNHUT</v>
      </c>
      <c r="Y667" s="563" t="str">
        <f>'matrik MISI 1'!Y107</f>
        <v>Jumlah bangunan sipil teknis yang dibangun</v>
      </c>
      <c r="Z667" s="563" t="str">
        <f>'matrik MISI 1'!Z107</f>
        <v>*Bangunan sipil teknis meliputi pengendali jurang, sumur resapan, dam penahan **Target pembangunan 50 unit per tahun</v>
      </c>
    </row>
    <row r="668" spans="1:454" s="570" customFormat="1">
      <c r="A668" s="569"/>
      <c r="B668" s="571"/>
      <c r="C668" s="572"/>
      <c r="D668" s="573"/>
      <c r="E668" s="573"/>
      <c r="F668" s="573"/>
      <c r="G668" s="573"/>
      <c r="H668" s="573"/>
      <c r="I668" s="573"/>
      <c r="J668" s="573"/>
      <c r="K668" s="573"/>
      <c r="L668" s="573"/>
      <c r="M668" s="604"/>
      <c r="N668" s="573"/>
      <c r="O668" s="564"/>
      <c r="P668" s="573"/>
      <c r="Q668" s="564"/>
      <c r="R668" s="573"/>
      <c r="S668" s="564"/>
      <c r="T668" s="573"/>
      <c r="U668" s="564"/>
      <c r="V668" s="573"/>
      <c r="W668" s="564"/>
      <c r="X668" s="573"/>
      <c r="Y668" s="573"/>
      <c r="Z668" s="573"/>
      <c r="AA668" s="569"/>
      <c r="AB668" s="569"/>
      <c r="AC668" s="569"/>
      <c r="AD668" s="569"/>
      <c r="AE668" s="569"/>
      <c r="AF668" s="569"/>
      <c r="AG668" s="569"/>
      <c r="AH668" s="569"/>
      <c r="AI668" s="569"/>
      <c r="AJ668" s="569"/>
      <c r="AK668" s="569"/>
      <c r="AL668" s="569"/>
      <c r="AM668" s="569"/>
      <c r="AN668" s="569"/>
      <c r="AO668" s="569"/>
      <c r="AP668" s="569"/>
      <c r="AQ668" s="569"/>
      <c r="AR668" s="569"/>
      <c r="AS668" s="569"/>
      <c r="AT668" s="569"/>
      <c r="AU668" s="569"/>
      <c r="AV668" s="569"/>
      <c r="AW668" s="569"/>
      <c r="AX668" s="569"/>
      <c r="AY668" s="569"/>
      <c r="AZ668" s="569"/>
      <c r="BA668" s="569"/>
      <c r="BB668" s="569"/>
      <c r="BC668" s="569"/>
      <c r="BD668" s="569"/>
      <c r="BE668" s="569"/>
      <c r="BF668" s="569"/>
      <c r="BG668" s="569"/>
      <c r="BH668" s="569"/>
      <c r="BI668" s="569"/>
      <c r="BJ668" s="569"/>
      <c r="BK668" s="569"/>
      <c r="BL668" s="569"/>
      <c r="BM668" s="569"/>
      <c r="BN668" s="569"/>
      <c r="BO668" s="569"/>
      <c r="BP668" s="569"/>
      <c r="BQ668" s="569"/>
      <c r="BR668" s="569"/>
      <c r="BS668" s="569"/>
      <c r="BT668" s="569"/>
      <c r="BU668" s="569"/>
      <c r="BV668" s="569"/>
      <c r="BW668" s="569"/>
      <c r="BX668" s="569"/>
      <c r="BY668" s="569"/>
      <c r="BZ668" s="569"/>
      <c r="CA668" s="569"/>
      <c r="CB668" s="569"/>
      <c r="CC668" s="569"/>
      <c r="CD668" s="569"/>
      <c r="CE668" s="569"/>
      <c r="CF668" s="569"/>
      <c r="CG668" s="569"/>
      <c r="CH668" s="569"/>
      <c r="CI668" s="569"/>
      <c r="CJ668" s="569"/>
      <c r="CK668" s="569"/>
      <c r="CL668" s="569"/>
      <c r="CM668" s="569"/>
      <c r="CN668" s="569"/>
      <c r="CO668" s="569"/>
      <c r="CP668" s="569"/>
      <c r="CQ668" s="569"/>
      <c r="CR668" s="569"/>
      <c r="CS668" s="569"/>
      <c r="CT668" s="569"/>
      <c r="CU668" s="569"/>
      <c r="CV668" s="569"/>
      <c r="CW668" s="569"/>
      <c r="CX668" s="569"/>
      <c r="CY668" s="569"/>
      <c r="CZ668" s="569"/>
      <c r="DA668" s="569"/>
      <c r="DB668" s="569"/>
      <c r="DC668" s="569"/>
      <c r="DD668" s="569"/>
      <c r="DE668" s="569"/>
      <c r="DF668" s="569"/>
      <c r="DG668" s="569"/>
      <c r="DH668" s="569"/>
      <c r="DI668" s="569"/>
      <c r="DJ668" s="569"/>
      <c r="DK668" s="569"/>
      <c r="DL668" s="569"/>
      <c r="DM668" s="569"/>
      <c r="DN668" s="569"/>
      <c r="DO668" s="569"/>
      <c r="DP668" s="569"/>
      <c r="DQ668" s="569"/>
      <c r="DR668" s="569"/>
      <c r="DS668" s="569"/>
      <c r="DT668" s="569"/>
      <c r="DU668" s="569"/>
      <c r="DV668" s="569"/>
      <c r="DW668" s="569"/>
      <c r="DX668" s="569"/>
      <c r="DY668" s="569"/>
      <c r="DZ668" s="569"/>
      <c r="EA668" s="569"/>
      <c r="EB668" s="569"/>
      <c r="EC668" s="569"/>
      <c r="ED668" s="569"/>
      <c r="EE668" s="569"/>
      <c r="EF668" s="569"/>
      <c r="EG668" s="569"/>
      <c r="EH668" s="569"/>
      <c r="EI668" s="569"/>
      <c r="EJ668" s="569"/>
      <c r="EK668" s="569"/>
      <c r="EL668" s="569"/>
      <c r="EM668" s="569"/>
      <c r="EN668" s="569"/>
      <c r="EO668" s="569"/>
      <c r="EP668" s="569"/>
      <c r="EQ668" s="569"/>
      <c r="ER668" s="569"/>
      <c r="ES668" s="569"/>
      <c r="ET668" s="569"/>
      <c r="EU668" s="569"/>
      <c r="EV668" s="569"/>
      <c r="EW668" s="569"/>
      <c r="EX668" s="569"/>
      <c r="EY668" s="569"/>
      <c r="EZ668" s="569"/>
      <c r="FA668" s="569"/>
      <c r="FB668" s="569"/>
      <c r="FC668" s="569"/>
      <c r="FD668" s="569"/>
      <c r="FE668" s="569"/>
      <c r="FF668" s="569"/>
      <c r="FG668" s="569"/>
      <c r="FH668" s="569"/>
      <c r="FI668" s="569"/>
      <c r="FJ668" s="569"/>
      <c r="FK668" s="569"/>
      <c r="FL668" s="569"/>
      <c r="FM668" s="569"/>
      <c r="FN668" s="569"/>
      <c r="FO668" s="569"/>
      <c r="FP668" s="569"/>
      <c r="FQ668" s="569"/>
      <c r="FR668" s="569"/>
      <c r="FS668" s="569"/>
      <c r="FT668" s="569"/>
      <c r="FU668" s="569"/>
      <c r="FV668" s="569"/>
      <c r="FW668" s="569"/>
      <c r="FX668" s="569"/>
      <c r="FY668" s="569"/>
      <c r="FZ668" s="569"/>
      <c r="GA668" s="569"/>
      <c r="GB668" s="569"/>
      <c r="GC668" s="569"/>
      <c r="GD668" s="569"/>
      <c r="GE668" s="569"/>
      <c r="GF668" s="569"/>
      <c r="GG668" s="569"/>
      <c r="GH668" s="569"/>
      <c r="GI668" s="569"/>
      <c r="GJ668" s="569"/>
      <c r="GK668" s="569"/>
      <c r="GL668" s="569"/>
      <c r="GM668" s="569"/>
      <c r="GN668" s="569"/>
      <c r="GO668" s="569"/>
      <c r="GP668" s="569"/>
      <c r="GQ668" s="569"/>
      <c r="GR668" s="569"/>
      <c r="GS668" s="569"/>
      <c r="GT668" s="569"/>
      <c r="GU668" s="569"/>
      <c r="GV668" s="569"/>
      <c r="GW668" s="569"/>
      <c r="GX668" s="569"/>
      <c r="GY668" s="569"/>
      <c r="GZ668" s="569"/>
      <c r="HA668" s="569"/>
      <c r="HB668" s="569"/>
      <c r="HC668" s="569"/>
      <c r="HD668" s="569"/>
      <c r="HE668" s="569"/>
      <c r="HF668" s="569"/>
      <c r="HG668" s="569"/>
      <c r="HH668" s="569"/>
      <c r="HI668" s="569"/>
      <c r="HJ668" s="569"/>
      <c r="HK668" s="569"/>
      <c r="HL668" s="569"/>
      <c r="HM668" s="569"/>
      <c r="HN668" s="569"/>
      <c r="HO668" s="569"/>
      <c r="HP668" s="569"/>
      <c r="HQ668" s="569"/>
      <c r="HR668" s="569"/>
      <c r="HS668" s="569"/>
      <c r="HT668" s="569"/>
      <c r="HU668" s="569"/>
      <c r="HV668" s="569"/>
      <c r="HW668" s="569"/>
      <c r="HX668" s="569"/>
      <c r="HY668" s="569"/>
      <c r="HZ668" s="569"/>
      <c r="IA668" s="569"/>
      <c r="IB668" s="569"/>
      <c r="IC668" s="569"/>
      <c r="ID668" s="569"/>
      <c r="IE668" s="569"/>
      <c r="IF668" s="569"/>
      <c r="IG668" s="569"/>
      <c r="IH668" s="569"/>
      <c r="II668" s="569"/>
      <c r="IJ668" s="569"/>
      <c r="IK668" s="569"/>
      <c r="IL668" s="569"/>
      <c r="IM668" s="569"/>
      <c r="IN668" s="569"/>
      <c r="IO668" s="569"/>
      <c r="IP668" s="569"/>
      <c r="IQ668" s="569"/>
      <c r="IR668" s="569"/>
      <c r="IS668" s="569"/>
      <c r="IT668" s="569"/>
      <c r="IU668" s="569"/>
      <c r="IV668" s="569"/>
      <c r="IW668" s="569"/>
      <c r="IX668" s="569"/>
      <c r="IY668" s="569"/>
      <c r="IZ668" s="569"/>
      <c r="JA668" s="569"/>
      <c r="JB668" s="569"/>
      <c r="JC668" s="569"/>
      <c r="JD668" s="569"/>
      <c r="JE668" s="569"/>
      <c r="JF668" s="569"/>
      <c r="JG668" s="569"/>
      <c r="JH668" s="569"/>
      <c r="JI668" s="569"/>
      <c r="JJ668" s="569"/>
      <c r="JK668" s="569"/>
      <c r="JL668" s="569"/>
      <c r="JM668" s="569"/>
      <c r="JN668" s="569"/>
      <c r="JO668" s="569"/>
      <c r="JP668" s="569"/>
      <c r="JQ668" s="569"/>
      <c r="JR668" s="569"/>
      <c r="JS668" s="569"/>
      <c r="JT668" s="569"/>
      <c r="JU668" s="569"/>
      <c r="JV668" s="569"/>
      <c r="JW668" s="569"/>
      <c r="JX668" s="569"/>
      <c r="JY668" s="569"/>
      <c r="JZ668" s="569"/>
      <c r="KA668" s="569"/>
      <c r="KB668" s="569"/>
      <c r="KC668" s="569"/>
      <c r="KD668" s="569"/>
      <c r="KE668" s="569"/>
      <c r="KF668" s="569"/>
      <c r="KG668" s="569"/>
      <c r="KH668" s="569"/>
      <c r="KI668" s="569"/>
      <c r="KJ668" s="569"/>
      <c r="KK668" s="569"/>
      <c r="KL668" s="569"/>
      <c r="KM668" s="569"/>
      <c r="KN668" s="569"/>
      <c r="KO668" s="569"/>
      <c r="KP668" s="569"/>
      <c r="KQ668" s="569"/>
      <c r="KR668" s="569"/>
      <c r="KS668" s="569"/>
      <c r="KT668" s="569"/>
      <c r="KU668" s="569"/>
      <c r="KV668" s="569"/>
      <c r="KW668" s="569"/>
      <c r="KX668" s="569"/>
      <c r="KY668" s="569"/>
      <c r="KZ668" s="569"/>
      <c r="LA668" s="569"/>
      <c r="LB668" s="569"/>
      <c r="LC668" s="569"/>
      <c r="LD668" s="569"/>
      <c r="LE668" s="569"/>
      <c r="LF668" s="569"/>
      <c r="LG668" s="569"/>
      <c r="LH668" s="569"/>
      <c r="LI668" s="569"/>
      <c r="LJ668" s="569"/>
      <c r="LK668" s="569"/>
      <c r="LL668" s="569"/>
      <c r="LM668" s="569"/>
      <c r="LN668" s="569"/>
      <c r="LO668" s="569"/>
      <c r="LP668" s="569"/>
      <c r="LQ668" s="569"/>
      <c r="LR668" s="569"/>
      <c r="LS668" s="569"/>
      <c r="LT668" s="569"/>
      <c r="LU668" s="569"/>
      <c r="LV668" s="569"/>
      <c r="LW668" s="569"/>
      <c r="LX668" s="569"/>
      <c r="LY668" s="569"/>
      <c r="LZ668" s="569"/>
      <c r="MA668" s="569"/>
      <c r="MB668" s="569"/>
      <c r="MC668" s="569"/>
      <c r="MD668" s="569"/>
      <c r="ME668" s="569"/>
      <c r="MF668" s="569"/>
      <c r="MG668" s="569"/>
      <c r="MH668" s="569"/>
      <c r="MI668" s="569"/>
      <c r="MJ668" s="569"/>
      <c r="MK668" s="569"/>
      <c r="ML668" s="569"/>
      <c r="MM668" s="569"/>
      <c r="MN668" s="569"/>
      <c r="MO668" s="569"/>
      <c r="MP668" s="569"/>
      <c r="MQ668" s="569"/>
      <c r="MR668" s="569"/>
      <c r="MS668" s="569"/>
      <c r="MT668" s="569"/>
      <c r="MU668" s="569"/>
      <c r="MV668" s="569"/>
      <c r="MW668" s="569"/>
      <c r="MX668" s="569"/>
      <c r="MY668" s="569"/>
      <c r="MZ668" s="569"/>
      <c r="NA668" s="569"/>
      <c r="NB668" s="569"/>
      <c r="NC668" s="569"/>
      <c r="ND668" s="569"/>
      <c r="NE668" s="569"/>
      <c r="NF668" s="569"/>
      <c r="NG668" s="569"/>
      <c r="NH668" s="569"/>
      <c r="NI668" s="569"/>
      <c r="NJ668" s="569"/>
      <c r="NK668" s="569"/>
      <c r="NL668" s="569"/>
      <c r="NM668" s="569"/>
      <c r="NN668" s="569"/>
      <c r="NO668" s="569"/>
      <c r="NP668" s="569"/>
      <c r="NQ668" s="569"/>
      <c r="NR668" s="569"/>
      <c r="NS668" s="569"/>
      <c r="NT668" s="569"/>
      <c r="NU668" s="569"/>
      <c r="NV668" s="569"/>
      <c r="NW668" s="569"/>
      <c r="NX668" s="569"/>
      <c r="NY668" s="569"/>
      <c r="NZ668" s="569"/>
      <c r="OA668" s="569"/>
      <c r="OB668" s="569"/>
      <c r="OC668" s="569"/>
      <c r="OD668" s="569"/>
      <c r="OE668" s="569"/>
      <c r="OF668" s="569"/>
      <c r="OG668" s="569"/>
      <c r="OH668" s="569"/>
      <c r="OI668" s="569"/>
      <c r="OJ668" s="569"/>
      <c r="OK668" s="569"/>
      <c r="OL668" s="569"/>
      <c r="OM668" s="569"/>
      <c r="ON668" s="569"/>
      <c r="OO668" s="569"/>
      <c r="OP668" s="569"/>
      <c r="OQ668" s="569"/>
      <c r="OR668" s="569"/>
      <c r="OS668" s="569"/>
      <c r="OT668" s="569"/>
      <c r="OU668" s="569"/>
      <c r="OV668" s="569"/>
      <c r="OW668" s="569"/>
      <c r="OX668" s="569"/>
      <c r="OY668" s="569"/>
      <c r="OZ668" s="569"/>
      <c r="PA668" s="569"/>
      <c r="PB668" s="569"/>
      <c r="PC668" s="569"/>
      <c r="PD668" s="569"/>
      <c r="PE668" s="569"/>
      <c r="PF668" s="569"/>
      <c r="PG668" s="569"/>
      <c r="PH668" s="569"/>
      <c r="PI668" s="569"/>
      <c r="PJ668" s="569"/>
      <c r="PK668" s="569"/>
      <c r="PL668" s="569"/>
      <c r="PM668" s="569"/>
      <c r="PN668" s="569"/>
      <c r="PO668" s="569"/>
      <c r="PP668" s="569"/>
      <c r="PQ668" s="569"/>
      <c r="PR668" s="569"/>
      <c r="PS668" s="569"/>
      <c r="PT668" s="569"/>
      <c r="PU668" s="569"/>
      <c r="PV668" s="569"/>
      <c r="PW668" s="569"/>
      <c r="PX668" s="569"/>
      <c r="PY668" s="569"/>
      <c r="PZ668" s="569"/>
      <c r="QA668" s="569"/>
      <c r="QB668" s="569"/>
      <c r="QC668" s="569"/>
      <c r="QD668" s="569"/>
      <c r="QE668" s="569"/>
      <c r="QF668" s="569"/>
      <c r="QG668" s="569"/>
      <c r="QH668" s="569"/>
      <c r="QI668" s="569"/>
      <c r="QJ668" s="569"/>
      <c r="QK668" s="569"/>
      <c r="QL668" s="569"/>
    </row>
    <row r="669" spans="1:454" s="574" customFormat="1">
      <c r="A669" s="569"/>
      <c r="B669" s="575">
        <v>3</v>
      </c>
      <c r="C669" s="576" t="str">
        <f>'matrik MISI 3'!B46</f>
        <v>ENERGI DAN ESDM</v>
      </c>
      <c r="D669" s="577">
        <f>'matrik MISI 3'!J46</f>
        <v>2.0299999999999998</v>
      </c>
      <c r="E669" s="577" t="str">
        <f>'matrik MISI 3'!K46</f>
        <v>xx</v>
      </c>
      <c r="F669" s="577">
        <f>'matrik MISI 3'!L46</f>
        <v>17</v>
      </c>
      <c r="G669" s="577"/>
      <c r="H669" s="577"/>
      <c r="I669" s="577"/>
      <c r="J669" s="577"/>
      <c r="K669" s="577"/>
      <c r="L669" s="577"/>
      <c r="M669" s="578">
        <f>'jangan dihapus 2'!K622</f>
        <v>39220000</v>
      </c>
      <c r="N669" s="577"/>
      <c r="O669" s="578">
        <f>'jangan dihapus 2'!M622</f>
        <v>48415000</v>
      </c>
      <c r="P669" s="577"/>
      <c r="Q669" s="578">
        <f>'jangan dihapus 2'!O622</f>
        <v>48415000</v>
      </c>
      <c r="R669" s="577"/>
      <c r="S669" s="578">
        <f>'jangan dihapus 2'!Q622</f>
        <v>53256500.000000007</v>
      </c>
      <c r="T669" s="577"/>
      <c r="U669" s="578">
        <f>'jangan dihapus 2'!S622</f>
        <v>58582150.000000015</v>
      </c>
      <c r="V669" s="577"/>
      <c r="W669" s="578">
        <f>SUM(M669:U669)</f>
        <v>247888650</v>
      </c>
      <c r="X669" s="577"/>
      <c r="Y669" s="577"/>
      <c r="Z669" s="577"/>
      <c r="AA669" s="569"/>
      <c r="AB669" s="569"/>
      <c r="AC669" s="569"/>
      <c r="AD669" s="569"/>
      <c r="AE669" s="569"/>
      <c r="AF669" s="569"/>
      <c r="AG669" s="569"/>
      <c r="AH669" s="569"/>
      <c r="AI669" s="569"/>
      <c r="AJ669" s="569"/>
      <c r="AK669" s="569"/>
      <c r="AL669" s="569"/>
      <c r="AM669" s="569"/>
      <c r="AN669" s="569"/>
      <c r="AO669" s="569"/>
      <c r="AP669" s="569"/>
      <c r="AQ669" s="569"/>
      <c r="AR669" s="569"/>
      <c r="AS669" s="569"/>
      <c r="AT669" s="569"/>
      <c r="AU669" s="569"/>
      <c r="AV669" s="569"/>
      <c r="AW669" s="569"/>
      <c r="AX669" s="569"/>
      <c r="AY669" s="569"/>
      <c r="AZ669" s="569"/>
      <c r="BA669" s="569"/>
      <c r="BB669" s="569"/>
      <c r="BC669" s="569"/>
      <c r="BD669" s="569"/>
      <c r="BE669" s="569"/>
      <c r="BF669" s="569"/>
      <c r="BG669" s="569"/>
      <c r="BH669" s="569"/>
      <c r="BI669" s="569"/>
      <c r="BJ669" s="569"/>
      <c r="BK669" s="569"/>
      <c r="BL669" s="569"/>
      <c r="BM669" s="569"/>
      <c r="BN669" s="569"/>
      <c r="BO669" s="569"/>
      <c r="BP669" s="569"/>
      <c r="BQ669" s="569"/>
      <c r="BR669" s="569"/>
      <c r="BS669" s="569"/>
      <c r="BT669" s="569"/>
      <c r="BU669" s="569"/>
      <c r="BV669" s="569"/>
      <c r="BW669" s="569"/>
      <c r="BX669" s="569"/>
      <c r="BY669" s="569"/>
      <c r="BZ669" s="569"/>
      <c r="CA669" s="569"/>
      <c r="CB669" s="569"/>
      <c r="CC669" s="569"/>
      <c r="CD669" s="569"/>
      <c r="CE669" s="569"/>
      <c r="CF669" s="569"/>
      <c r="CG669" s="569"/>
      <c r="CH669" s="569"/>
      <c r="CI669" s="569"/>
      <c r="CJ669" s="569"/>
      <c r="CK669" s="569"/>
      <c r="CL669" s="569"/>
      <c r="CM669" s="569"/>
      <c r="CN669" s="569"/>
      <c r="CO669" s="569"/>
      <c r="CP669" s="569"/>
      <c r="CQ669" s="569"/>
      <c r="CR669" s="569"/>
      <c r="CS669" s="569"/>
      <c r="CT669" s="569"/>
      <c r="CU669" s="569"/>
      <c r="CV669" s="569"/>
      <c r="CW669" s="569"/>
      <c r="CX669" s="569"/>
      <c r="CY669" s="569"/>
      <c r="CZ669" s="569"/>
      <c r="DA669" s="569"/>
      <c r="DB669" s="569"/>
      <c r="DC669" s="569"/>
      <c r="DD669" s="569"/>
      <c r="DE669" s="569"/>
      <c r="DF669" s="569"/>
      <c r="DG669" s="569"/>
      <c r="DH669" s="569"/>
      <c r="DI669" s="569"/>
      <c r="DJ669" s="569"/>
      <c r="DK669" s="569"/>
      <c r="DL669" s="569"/>
      <c r="DM669" s="569"/>
      <c r="DN669" s="569"/>
      <c r="DO669" s="569"/>
      <c r="DP669" s="569"/>
      <c r="DQ669" s="569"/>
      <c r="DR669" s="569"/>
      <c r="DS669" s="569"/>
      <c r="DT669" s="569"/>
      <c r="DU669" s="569"/>
      <c r="DV669" s="569"/>
      <c r="DW669" s="569"/>
      <c r="DX669" s="569"/>
      <c r="DY669" s="569"/>
      <c r="DZ669" s="569"/>
      <c r="EA669" s="569"/>
      <c r="EB669" s="569"/>
      <c r="EC669" s="569"/>
      <c r="ED669" s="569"/>
      <c r="EE669" s="569"/>
      <c r="EF669" s="569"/>
      <c r="EG669" s="569"/>
      <c r="EH669" s="569"/>
      <c r="EI669" s="569"/>
      <c r="EJ669" s="569"/>
      <c r="EK669" s="569"/>
      <c r="EL669" s="569"/>
      <c r="EM669" s="569"/>
      <c r="EN669" s="569"/>
      <c r="EO669" s="569"/>
      <c r="EP669" s="569"/>
      <c r="EQ669" s="569"/>
      <c r="ER669" s="569"/>
      <c r="ES669" s="569"/>
      <c r="ET669" s="569"/>
      <c r="EU669" s="569"/>
      <c r="EV669" s="569"/>
      <c r="EW669" s="569"/>
      <c r="EX669" s="569"/>
      <c r="EY669" s="569"/>
      <c r="EZ669" s="569"/>
      <c r="FA669" s="569"/>
      <c r="FB669" s="569"/>
      <c r="FC669" s="569"/>
      <c r="FD669" s="569"/>
      <c r="FE669" s="569"/>
      <c r="FF669" s="569"/>
      <c r="FG669" s="569"/>
      <c r="FH669" s="569"/>
      <c r="FI669" s="569"/>
      <c r="FJ669" s="569"/>
      <c r="FK669" s="569"/>
      <c r="FL669" s="569"/>
      <c r="FM669" s="569"/>
      <c r="FN669" s="569"/>
      <c r="FO669" s="569"/>
      <c r="FP669" s="569"/>
      <c r="FQ669" s="569"/>
      <c r="FR669" s="569"/>
      <c r="FS669" s="569"/>
      <c r="FT669" s="569"/>
      <c r="FU669" s="569"/>
      <c r="FV669" s="569"/>
      <c r="FW669" s="569"/>
      <c r="FX669" s="569"/>
      <c r="FY669" s="569"/>
      <c r="FZ669" s="569"/>
      <c r="GA669" s="569"/>
      <c r="GB669" s="569"/>
      <c r="GC669" s="569"/>
      <c r="GD669" s="569"/>
      <c r="GE669" s="569"/>
      <c r="GF669" s="569"/>
      <c r="GG669" s="569"/>
      <c r="GH669" s="569"/>
      <c r="GI669" s="569"/>
      <c r="GJ669" s="569"/>
      <c r="GK669" s="569"/>
      <c r="GL669" s="569"/>
      <c r="GM669" s="569"/>
      <c r="GN669" s="569"/>
      <c r="GO669" s="569"/>
      <c r="GP669" s="569"/>
      <c r="GQ669" s="569"/>
      <c r="GR669" s="569"/>
      <c r="GS669" s="569"/>
      <c r="GT669" s="569"/>
      <c r="GU669" s="569"/>
      <c r="GV669" s="569"/>
      <c r="GW669" s="569"/>
      <c r="GX669" s="569"/>
      <c r="GY669" s="569"/>
      <c r="GZ669" s="569"/>
      <c r="HA669" s="569"/>
      <c r="HB669" s="569"/>
      <c r="HC669" s="569"/>
      <c r="HD669" s="569"/>
      <c r="HE669" s="569"/>
      <c r="HF669" s="569"/>
      <c r="HG669" s="569"/>
      <c r="HH669" s="569"/>
      <c r="HI669" s="569"/>
      <c r="HJ669" s="569"/>
      <c r="HK669" s="569"/>
      <c r="HL669" s="569"/>
      <c r="HM669" s="569"/>
      <c r="HN669" s="569"/>
      <c r="HO669" s="569"/>
      <c r="HP669" s="569"/>
      <c r="HQ669" s="569"/>
      <c r="HR669" s="569"/>
      <c r="HS669" s="569"/>
      <c r="HT669" s="569"/>
      <c r="HU669" s="569"/>
      <c r="HV669" s="569"/>
      <c r="HW669" s="569"/>
      <c r="HX669" s="569"/>
      <c r="HY669" s="569"/>
      <c r="HZ669" s="569"/>
      <c r="IA669" s="569"/>
      <c r="IB669" s="569"/>
      <c r="IC669" s="569"/>
      <c r="ID669" s="569"/>
      <c r="IE669" s="569"/>
      <c r="IF669" s="569"/>
      <c r="IG669" s="569"/>
      <c r="IH669" s="569"/>
      <c r="II669" s="569"/>
      <c r="IJ669" s="569"/>
      <c r="IK669" s="569"/>
      <c r="IL669" s="569"/>
      <c r="IM669" s="569"/>
      <c r="IN669" s="569"/>
      <c r="IO669" s="569"/>
      <c r="IP669" s="569"/>
      <c r="IQ669" s="569"/>
      <c r="IR669" s="569"/>
      <c r="IS669" s="569"/>
      <c r="IT669" s="569"/>
      <c r="IU669" s="569"/>
      <c r="IV669" s="569"/>
      <c r="IW669" s="569"/>
      <c r="IX669" s="569"/>
      <c r="IY669" s="569"/>
      <c r="IZ669" s="569"/>
      <c r="JA669" s="569"/>
      <c r="JB669" s="569"/>
      <c r="JC669" s="569"/>
      <c r="JD669" s="569"/>
      <c r="JE669" s="569"/>
      <c r="JF669" s="569"/>
      <c r="JG669" s="569"/>
      <c r="JH669" s="569"/>
      <c r="JI669" s="569"/>
      <c r="JJ669" s="569"/>
      <c r="JK669" s="569"/>
      <c r="JL669" s="569"/>
      <c r="JM669" s="569"/>
      <c r="JN669" s="569"/>
      <c r="JO669" s="569"/>
      <c r="JP669" s="569"/>
      <c r="JQ669" s="569"/>
      <c r="JR669" s="569"/>
      <c r="JS669" s="569"/>
      <c r="JT669" s="569"/>
      <c r="JU669" s="569"/>
      <c r="JV669" s="569"/>
      <c r="JW669" s="569"/>
      <c r="JX669" s="569"/>
      <c r="JY669" s="569"/>
      <c r="JZ669" s="569"/>
      <c r="KA669" s="569"/>
      <c r="KB669" s="569"/>
      <c r="KC669" s="569"/>
      <c r="KD669" s="569"/>
      <c r="KE669" s="569"/>
      <c r="KF669" s="569"/>
      <c r="KG669" s="569"/>
      <c r="KH669" s="569"/>
      <c r="KI669" s="569"/>
      <c r="KJ669" s="569"/>
      <c r="KK669" s="569"/>
      <c r="KL669" s="569"/>
      <c r="KM669" s="569"/>
      <c r="KN669" s="569"/>
      <c r="KO669" s="569"/>
      <c r="KP669" s="569"/>
      <c r="KQ669" s="569"/>
      <c r="KR669" s="569"/>
      <c r="KS669" s="569"/>
      <c r="KT669" s="569"/>
      <c r="KU669" s="569"/>
      <c r="KV669" s="569"/>
      <c r="KW669" s="569"/>
      <c r="KX669" s="569"/>
      <c r="KY669" s="569"/>
      <c r="KZ669" s="569"/>
      <c r="LA669" s="569"/>
      <c r="LB669" s="569"/>
      <c r="LC669" s="569"/>
      <c r="LD669" s="569"/>
      <c r="LE669" s="569"/>
      <c r="LF669" s="569"/>
      <c r="LG669" s="569"/>
      <c r="LH669" s="569"/>
      <c r="LI669" s="569"/>
      <c r="LJ669" s="569"/>
      <c r="LK669" s="569"/>
      <c r="LL669" s="569"/>
      <c r="LM669" s="569"/>
      <c r="LN669" s="569"/>
      <c r="LO669" s="569"/>
      <c r="LP669" s="569"/>
      <c r="LQ669" s="569"/>
      <c r="LR669" s="569"/>
      <c r="LS669" s="569"/>
      <c r="LT669" s="569"/>
      <c r="LU669" s="569"/>
      <c r="LV669" s="569"/>
      <c r="LW669" s="569"/>
      <c r="LX669" s="569"/>
      <c r="LY669" s="569"/>
      <c r="LZ669" s="569"/>
      <c r="MA669" s="569"/>
      <c r="MB669" s="569"/>
      <c r="MC669" s="569"/>
      <c r="MD669" s="569"/>
      <c r="ME669" s="569"/>
      <c r="MF669" s="569"/>
      <c r="MG669" s="569"/>
      <c r="MH669" s="569"/>
      <c r="MI669" s="569"/>
      <c r="MJ669" s="569"/>
      <c r="MK669" s="569"/>
      <c r="ML669" s="569"/>
      <c r="MM669" s="569"/>
      <c r="MN669" s="569"/>
      <c r="MO669" s="569"/>
      <c r="MP669" s="569"/>
      <c r="MQ669" s="569"/>
      <c r="MR669" s="569"/>
      <c r="MS669" s="569"/>
      <c r="MT669" s="569"/>
      <c r="MU669" s="569"/>
      <c r="MV669" s="569"/>
      <c r="MW669" s="569"/>
      <c r="MX669" s="569"/>
      <c r="MY669" s="569"/>
      <c r="MZ669" s="569"/>
      <c r="NA669" s="569"/>
      <c r="NB669" s="569"/>
      <c r="NC669" s="569"/>
      <c r="ND669" s="569"/>
      <c r="NE669" s="569"/>
      <c r="NF669" s="569"/>
      <c r="NG669" s="569"/>
      <c r="NH669" s="569"/>
      <c r="NI669" s="569"/>
      <c r="NJ669" s="569"/>
      <c r="NK669" s="569"/>
      <c r="NL669" s="569"/>
      <c r="NM669" s="569"/>
      <c r="NN669" s="569"/>
      <c r="NO669" s="569"/>
      <c r="NP669" s="569"/>
      <c r="NQ669" s="569"/>
      <c r="NR669" s="569"/>
      <c r="NS669" s="569"/>
      <c r="NT669" s="569"/>
      <c r="NU669" s="569"/>
      <c r="NV669" s="569"/>
      <c r="NW669" s="569"/>
      <c r="NX669" s="569"/>
      <c r="NY669" s="569"/>
      <c r="NZ669" s="569"/>
      <c r="OA669" s="569"/>
      <c r="OB669" s="569"/>
      <c r="OC669" s="569"/>
      <c r="OD669" s="569"/>
      <c r="OE669" s="569"/>
      <c r="OF669" s="569"/>
      <c r="OG669" s="569"/>
      <c r="OH669" s="569"/>
      <c r="OI669" s="569"/>
      <c r="OJ669" s="569"/>
      <c r="OK669" s="569"/>
      <c r="OL669" s="569"/>
      <c r="OM669" s="569"/>
      <c r="ON669" s="569"/>
      <c r="OO669" s="569"/>
      <c r="OP669" s="569"/>
      <c r="OQ669" s="569"/>
      <c r="OR669" s="569"/>
      <c r="OS669" s="569"/>
      <c r="OT669" s="569"/>
      <c r="OU669" s="569"/>
      <c r="OV669" s="569"/>
      <c r="OW669" s="569"/>
      <c r="OX669" s="569"/>
      <c r="OY669" s="569"/>
      <c r="OZ669" s="569"/>
      <c r="PA669" s="569"/>
      <c r="PB669" s="569"/>
      <c r="PC669" s="569"/>
      <c r="PD669" s="569"/>
      <c r="PE669" s="569"/>
      <c r="PF669" s="569"/>
      <c r="PG669" s="569"/>
      <c r="PH669" s="569"/>
      <c r="PI669" s="569"/>
      <c r="PJ669" s="569"/>
      <c r="PK669" s="569"/>
      <c r="PL669" s="569"/>
      <c r="PM669" s="569"/>
      <c r="PN669" s="569"/>
      <c r="PO669" s="569"/>
      <c r="PP669" s="569"/>
      <c r="PQ669" s="569"/>
      <c r="PR669" s="569"/>
      <c r="PS669" s="569"/>
      <c r="PT669" s="569"/>
      <c r="PU669" s="569"/>
      <c r="PV669" s="569"/>
      <c r="PW669" s="569"/>
      <c r="PX669" s="569"/>
      <c r="PY669" s="569"/>
      <c r="PZ669" s="569"/>
      <c r="QA669" s="569"/>
      <c r="QB669" s="569"/>
      <c r="QC669" s="569"/>
      <c r="QD669" s="569"/>
      <c r="QE669" s="569"/>
      <c r="QF669" s="569"/>
      <c r="QG669" s="569"/>
      <c r="QH669" s="569"/>
      <c r="QI669" s="569"/>
      <c r="QJ669" s="569"/>
      <c r="QK669" s="569"/>
      <c r="QL669" s="569"/>
    </row>
    <row r="670" spans="1:454" s="569" customFormat="1" ht="45">
      <c r="G670" s="565" t="str">
        <f>'matrik MISI 3'!M46</f>
        <v>Program pembinaan dan pengembangan bidang ketenagalistrikan</v>
      </c>
      <c r="H670" s="565" t="str">
        <f>'matrik MISI 3'!N46</f>
        <v>terbangunnya sumber energi alternatif terbarukan</v>
      </c>
      <c r="I670" s="565" t="str">
        <f>'matrik MISI 3'!O46</f>
        <v>unit</v>
      </c>
      <c r="J670" s="565">
        <f>'matrik MISI 3'!P46</f>
        <v>5</v>
      </c>
      <c r="K670" s="565">
        <f>'matrik MISI 3'!Q46</f>
        <v>5</v>
      </c>
      <c r="L670" s="565">
        <f>'matrik MISI 3'!R46</f>
        <v>6</v>
      </c>
      <c r="M670" s="604"/>
      <c r="N670" s="565">
        <f>'matrik MISI 3'!S46</f>
        <v>6</v>
      </c>
      <c r="O670" s="564"/>
      <c r="P670" s="565">
        <f>'matrik MISI 3'!T46</f>
        <v>7</v>
      </c>
      <c r="Q670" s="564"/>
      <c r="R670" s="565">
        <f>'matrik MISI 3'!U46</f>
        <v>7</v>
      </c>
      <c r="S670" s="564"/>
      <c r="T670" s="565">
        <f>'matrik MISI 3'!V46</f>
        <v>8</v>
      </c>
      <c r="U670" s="564"/>
      <c r="V670" s="565">
        <f>'matrik MISI 3'!W46</f>
        <v>8</v>
      </c>
      <c r="W670" s="564"/>
      <c r="X670" s="565" t="str">
        <f>'matrik MISI 3'!X46</f>
        <v>DPU, BLH</v>
      </c>
      <c r="Y670" s="565" t="str">
        <f>'matrik MISI 3'!Y46</f>
        <v>jumlah fasilitas sumber energi alternatif yang terbangun</v>
      </c>
      <c r="Z670" s="565">
        <f>'matrik MISI 3'!Z46</f>
        <v>0</v>
      </c>
    </row>
    <row r="671" spans="1:454" s="570" customFormat="1">
      <c r="A671" s="569"/>
      <c r="B671" s="571"/>
      <c r="C671" s="572"/>
      <c r="D671" s="573"/>
      <c r="E671" s="573"/>
      <c r="F671" s="573"/>
      <c r="G671" s="573"/>
      <c r="H671" s="573"/>
      <c r="I671" s="573"/>
      <c r="J671" s="573"/>
      <c r="K671" s="573"/>
      <c r="L671" s="573"/>
      <c r="M671" s="604"/>
      <c r="N671" s="573"/>
      <c r="O671" s="564"/>
      <c r="P671" s="573"/>
      <c r="Q671" s="564"/>
      <c r="R671" s="573"/>
      <c r="S671" s="564"/>
      <c r="T671" s="573"/>
      <c r="U671" s="564"/>
      <c r="V671" s="573"/>
      <c r="W671" s="564"/>
      <c r="X671" s="573"/>
      <c r="Y671" s="573"/>
      <c r="Z671" s="573"/>
      <c r="AA671" s="569"/>
      <c r="AB671" s="569"/>
      <c r="AC671" s="569"/>
      <c r="AD671" s="569"/>
      <c r="AE671" s="569"/>
      <c r="AF671" s="569"/>
      <c r="AG671" s="569"/>
      <c r="AH671" s="569"/>
      <c r="AI671" s="569"/>
      <c r="AJ671" s="569"/>
      <c r="AK671" s="569"/>
      <c r="AL671" s="569"/>
      <c r="AM671" s="569"/>
      <c r="AN671" s="569"/>
      <c r="AO671" s="569"/>
      <c r="AP671" s="569"/>
      <c r="AQ671" s="569"/>
      <c r="AR671" s="569"/>
      <c r="AS671" s="569"/>
      <c r="AT671" s="569"/>
      <c r="AU671" s="569"/>
      <c r="AV671" s="569"/>
      <c r="AW671" s="569"/>
      <c r="AX671" s="569"/>
      <c r="AY671" s="569"/>
      <c r="AZ671" s="569"/>
      <c r="BA671" s="569"/>
      <c r="BB671" s="569"/>
      <c r="BC671" s="569"/>
      <c r="BD671" s="569"/>
      <c r="BE671" s="569"/>
      <c r="BF671" s="569"/>
      <c r="BG671" s="569"/>
      <c r="BH671" s="569"/>
      <c r="BI671" s="569"/>
      <c r="BJ671" s="569"/>
      <c r="BK671" s="569"/>
      <c r="BL671" s="569"/>
      <c r="BM671" s="569"/>
      <c r="BN671" s="569"/>
      <c r="BO671" s="569"/>
      <c r="BP671" s="569"/>
      <c r="BQ671" s="569"/>
      <c r="BR671" s="569"/>
      <c r="BS671" s="569"/>
      <c r="BT671" s="569"/>
      <c r="BU671" s="569"/>
      <c r="BV671" s="569"/>
      <c r="BW671" s="569"/>
      <c r="BX671" s="569"/>
      <c r="BY671" s="569"/>
      <c r="BZ671" s="569"/>
      <c r="CA671" s="569"/>
      <c r="CB671" s="569"/>
      <c r="CC671" s="569"/>
      <c r="CD671" s="569"/>
      <c r="CE671" s="569"/>
      <c r="CF671" s="569"/>
      <c r="CG671" s="569"/>
      <c r="CH671" s="569"/>
      <c r="CI671" s="569"/>
      <c r="CJ671" s="569"/>
      <c r="CK671" s="569"/>
      <c r="CL671" s="569"/>
      <c r="CM671" s="569"/>
      <c r="CN671" s="569"/>
      <c r="CO671" s="569"/>
      <c r="CP671" s="569"/>
      <c r="CQ671" s="569"/>
      <c r="CR671" s="569"/>
      <c r="CS671" s="569"/>
      <c r="CT671" s="569"/>
      <c r="CU671" s="569"/>
      <c r="CV671" s="569"/>
      <c r="CW671" s="569"/>
      <c r="CX671" s="569"/>
      <c r="CY671" s="569"/>
      <c r="CZ671" s="569"/>
      <c r="DA671" s="569"/>
      <c r="DB671" s="569"/>
      <c r="DC671" s="569"/>
      <c r="DD671" s="569"/>
      <c r="DE671" s="569"/>
      <c r="DF671" s="569"/>
      <c r="DG671" s="569"/>
      <c r="DH671" s="569"/>
      <c r="DI671" s="569"/>
      <c r="DJ671" s="569"/>
      <c r="DK671" s="569"/>
      <c r="DL671" s="569"/>
      <c r="DM671" s="569"/>
      <c r="DN671" s="569"/>
      <c r="DO671" s="569"/>
      <c r="DP671" s="569"/>
      <c r="DQ671" s="569"/>
      <c r="DR671" s="569"/>
      <c r="DS671" s="569"/>
      <c r="DT671" s="569"/>
      <c r="DU671" s="569"/>
      <c r="DV671" s="569"/>
      <c r="DW671" s="569"/>
      <c r="DX671" s="569"/>
      <c r="DY671" s="569"/>
      <c r="DZ671" s="569"/>
      <c r="EA671" s="569"/>
      <c r="EB671" s="569"/>
      <c r="EC671" s="569"/>
      <c r="ED671" s="569"/>
      <c r="EE671" s="569"/>
      <c r="EF671" s="569"/>
      <c r="EG671" s="569"/>
      <c r="EH671" s="569"/>
      <c r="EI671" s="569"/>
      <c r="EJ671" s="569"/>
      <c r="EK671" s="569"/>
      <c r="EL671" s="569"/>
      <c r="EM671" s="569"/>
      <c r="EN671" s="569"/>
      <c r="EO671" s="569"/>
      <c r="EP671" s="569"/>
      <c r="EQ671" s="569"/>
      <c r="ER671" s="569"/>
      <c r="ES671" s="569"/>
      <c r="ET671" s="569"/>
      <c r="EU671" s="569"/>
      <c r="EV671" s="569"/>
      <c r="EW671" s="569"/>
      <c r="EX671" s="569"/>
      <c r="EY671" s="569"/>
      <c r="EZ671" s="569"/>
      <c r="FA671" s="569"/>
      <c r="FB671" s="569"/>
      <c r="FC671" s="569"/>
      <c r="FD671" s="569"/>
      <c r="FE671" s="569"/>
      <c r="FF671" s="569"/>
      <c r="FG671" s="569"/>
      <c r="FH671" s="569"/>
      <c r="FI671" s="569"/>
      <c r="FJ671" s="569"/>
      <c r="FK671" s="569"/>
      <c r="FL671" s="569"/>
      <c r="FM671" s="569"/>
      <c r="FN671" s="569"/>
      <c r="FO671" s="569"/>
      <c r="FP671" s="569"/>
      <c r="FQ671" s="569"/>
      <c r="FR671" s="569"/>
      <c r="FS671" s="569"/>
      <c r="FT671" s="569"/>
      <c r="FU671" s="569"/>
      <c r="FV671" s="569"/>
      <c r="FW671" s="569"/>
      <c r="FX671" s="569"/>
      <c r="FY671" s="569"/>
      <c r="FZ671" s="569"/>
      <c r="GA671" s="569"/>
      <c r="GB671" s="569"/>
      <c r="GC671" s="569"/>
      <c r="GD671" s="569"/>
      <c r="GE671" s="569"/>
      <c r="GF671" s="569"/>
      <c r="GG671" s="569"/>
      <c r="GH671" s="569"/>
      <c r="GI671" s="569"/>
      <c r="GJ671" s="569"/>
      <c r="GK671" s="569"/>
      <c r="GL671" s="569"/>
      <c r="GM671" s="569"/>
      <c r="GN671" s="569"/>
      <c r="GO671" s="569"/>
      <c r="GP671" s="569"/>
      <c r="GQ671" s="569"/>
      <c r="GR671" s="569"/>
      <c r="GS671" s="569"/>
      <c r="GT671" s="569"/>
      <c r="GU671" s="569"/>
      <c r="GV671" s="569"/>
      <c r="GW671" s="569"/>
      <c r="GX671" s="569"/>
      <c r="GY671" s="569"/>
      <c r="GZ671" s="569"/>
      <c r="HA671" s="569"/>
      <c r="HB671" s="569"/>
      <c r="HC671" s="569"/>
      <c r="HD671" s="569"/>
      <c r="HE671" s="569"/>
      <c r="HF671" s="569"/>
      <c r="HG671" s="569"/>
      <c r="HH671" s="569"/>
      <c r="HI671" s="569"/>
      <c r="HJ671" s="569"/>
      <c r="HK671" s="569"/>
      <c r="HL671" s="569"/>
      <c r="HM671" s="569"/>
      <c r="HN671" s="569"/>
      <c r="HO671" s="569"/>
      <c r="HP671" s="569"/>
      <c r="HQ671" s="569"/>
      <c r="HR671" s="569"/>
      <c r="HS671" s="569"/>
      <c r="HT671" s="569"/>
      <c r="HU671" s="569"/>
      <c r="HV671" s="569"/>
      <c r="HW671" s="569"/>
      <c r="HX671" s="569"/>
      <c r="HY671" s="569"/>
      <c r="HZ671" s="569"/>
      <c r="IA671" s="569"/>
      <c r="IB671" s="569"/>
      <c r="IC671" s="569"/>
      <c r="ID671" s="569"/>
      <c r="IE671" s="569"/>
      <c r="IF671" s="569"/>
      <c r="IG671" s="569"/>
      <c r="IH671" s="569"/>
      <c r="II671" s="569"/>
      <c r="IJ671" s="569"/>
      <c r="IK671" s="569"/>
      <c r="IL671" s="569"/>
      <c r="IM671" s="569"/>
      <c r="IN671" s="569"/>
      <c r="IO671" s="569"/>
      <c r="IP671" s="569"/>
      <c r="IQ671" s="569"/>
      <c r="IR671" s="569"/>
      <c r="IS671" s="569"/>
      <c r="IT671" s="569"/>
      <c r="IU671" s="569"/>
      <c r="IV671" s="569"/>
      <c r="IW671" s="569"/>
      <c r="IX671" s="569"/>
      <c r="IY671" s="569"/>
      <c r="IZ671" s="569"/>
      <c r="JA671" s="569"/>
      <c r="JB671" s="569"/>
      <c r="JC671" s="569"/>
      <c r="JD671" s="569"/>
      <c r="JE671" s="569"/>
      <c r="JF671" s="569"/>
      <c r="JG671" s="569"/>
      <c r="JH671" s="569"/>
      <c r="JI671" s="569"/>
      <c r="JJ671" s="569"/>
      <c r="JK671" s="569"/>
      <c r="JL671" s="569"/>
      <c r="JM671" s="569"/>
      <c r="JN671" s="569"/>
      <c r="JO671" s="569"/>
      <c r="JP671" s="569"/>
      <c r="JQ671" s="569"/>
      <c r="JR671" s="569"/>
      <c r="JS671" s="569"/>
      <c r="JT671" s="569"/>
      <c r="JU671" s="569"/>
      <c r="JV671" s="569"/>
      <c r="JW671" s="569"/>
      <c r="JX671" s="569"/>
      <c r="JY671" s="569"/>
      <c r="JZ671" s="569"/>
      <c r="KA671" s="569"/>
      <c r="KB671" s="569"/>
      <c r="KC671" s="569"/>
      <c r="KD671" s="569"/>
      <c r="KE671" s="569"/>
      <c r="KF671" s="569"/>
      <c r="KG671" s="569"/>
      <c r="KH671" s="569"/>
      <c r="KI671" s="569"/>
      <c r="KJ671" s="569"/>
      <c r="KK671" s="569"/>
      <c r="KL671" s="569"/>
      <c r="KM671" s="569"/>
      <c r="KN671" s="569"/>
      <c r="KO671" s="569"/>
      <c r="KP671" s="569"/>
      <c r="KQ671" s="569"/>
      <c r="KR671" s="569"/>
      <c r="KS671" s="569"/>
      <c r="KT671" s="569"/>
      <c r="KU671" s="569"/>
      <c r="KV671" s="569"/>
      <c r="KW671" s="569"/>
      <c r="KX671" s="569"/>
      <c r="KY671" s="569"/>
      <c r="KZ671" s="569"/>
      <c r="LA671" s="569"/>
      <c r="LB671" s="569"/>
      <c r="LC671" s="569"/>
      <c r="LD671" s="569"/>
      <c r="LE671" s="569"/>
      <c r="LF671" s="569"/>
      <c r="LG671" s="569"/>
      <c r="LH671" s="569"/>
      <c r="LI671" s="569"/>
      <c r="LJ671" s="569"/>
      <c r="LK671" s="569"/>
      <c r="LL671" s="569"/>
      <c r="LM671" s="569"/>
      <c r="LN671" s="569"/>
      <c r="LO671" s="569"/>
      <c r="LP671" s="569"/>
      <c r="LQ671" s="569"/>
      <c r="LR671" s="569"/>
      <c r="LS671" s="569"/>
      <c r="LT671" s="569"/>
      <c r="LU671" s="569"/>
      <c r="LV671" s="569"/>
      <c r="LW671" s="569"/>
      <c r="LX671" s="569"/>
      <c r="LY671" s="569"/>
      <c r="LZ671" s="569"/>
      <c r="MA671" s="569"/>
      <c r="MB671" s="569"/>
      <c r="MC671" s="569"/>
      <c r="MD671" s="569"/>
      <c r="ME671" s="569"/>
      <c r="MF671" s="569"/>
      <c r="MG671" s="569"/>
      <c r="MH671" s="569"/>
      <c r="MI671" s="569"/>
      <c r="MJ671" s="569"/>
      <c r="MK671" s="569"/>
      <c r="ML671" s="569"/>
      <c r="MM671" s="569"/>
      <c r="MN671" s="569"/>
      <c r="MO671" s="569"/>
      <c r="MP671" s="569"/>
      <c r="MQ671" s="569"/>
      <c r="MR671" s="569"/>
      <c r="MS671" s="569"/>
      <c r="MT671" s="569"/>
      <c r="MU671" s="569"/>
      <c r="MV671" s="569"/>
      <c r="MW671" s="569"/>
      <c r="MX671" s="569"/>
      <c r="MY671" s="569"/>
      <c r="MZ671" s="569"/>
      <c r="NA671" s="569"/>
      <c r="NB671" s="569"/>
      <c r="NC671" s="569"/>
      <c r="ND671" s="569"/>
      <c r="NE671" s="569"/>
      <c r="NF671" s="569"/>
      <c r="NG671" s="569"/>
      <c r="NH671" s="569"/>
      <c r="NI671" s="569"/>
      <c r="NJ671" s="569"/>
      <c r="NK671" s="569"/>
      <c r="NL671" s="569"/>
      <c r="NM671" s="569"/>
      <c r="NN671" s="569"/>
      <c r="NO671" s="569"/>
      <c r="NP671" s="569"/>
      <c r="NQ671" s="569"/>
      <c r="NR671" s="569"/>
      <c r="NS671" s="569"/>
      <c r="NT671" s="569"/>
      <c r="NU671" s="569"/>
      <c r="NV671" s="569"/>
      <c r="NW671" s="569"/>
      <c r="NX671" s="569"/>
      <c r="NY671" s="569"/>
      <c r="NZ671" s="569"/>
      <c r="OA671" s="569"/>
      <c r="OB671" s="569"/>
      <c r="OC671" s="569"/>
      <c r="OD671" s="569"/>
      <c r="OE671" s="569"/>
      <c r="OF671" s="569"/>
      <c r="OG671" s="569"/>
      <c r="OH671" s="569"/>
      <c r="OI671" s="569"/>
      <c r="OJ671" s="569"/>
      <c r="OK671" s="569"/>
      <c r="OL671" s="569"/>
      <c r="OM671" s="569"/>
      <c r="ON671" s="569"/>
      <c r="OO671" s="569"/>
      <c r="OP671" s="569"/>
      <c r="OQ671" s="569"/>
      <c r="OR671" s="569"/>
      <c r="OS671" s="569"/>
      <c r="OT671" s="569"/>
      <c r="OU671" s="569"/>
      <c r="OV671" s="569"/>
      <c r="OW671" s="569"/>
      <c r="OX671" s="569"/>
      <c r="OY671" s="569"/>
      <c r="OZ671" s="569"/>
      <c r="PA671" s="569"/>
      <c r="PB671" s="569"/>
      <c r="PC671" s="569"/>
      <c r="PD671" s="569"/>
      <c r="PE671" s="569"/>
      <c r="PF671" s="569"/>
      <c r="PG671" s="569"/>
      <c r="PH671" s="569"/>
      <c r="PI671" s="569"/>
      <c r="PJ671" s="569"/>
      <c r="PK671" s="569"/>
      <c r="PL671" s="569"/>
      <c r="PM671" s="569"/>
      <c r="PN671" s="569"/>
      <c r="PO671" s="569"/>
      <c r="PP671" s="569"/>
      <c r="PQ671" s="569"/>
      <c r="PR671" s="569"/>
      <c r="PS671" s="569"/>
      <c r="PT671" s="569"/>
      <c r="PU671" s="569"/>
      <c r="PV671" s="569"/>
      <c r="PW671" s="569"/>
      <c r="PX671" s="569"/>
      <c r="PY671" s="569"/>
      <c r="PZ671" s="569"/>
      <c r="QA671" s="569"/>
      <c r="QB671" s="569"/>
      <c r="QC671" s="569"/>
      <c r="QD671" s="569"/>
      <c r="QE671" s="569"/>
      <c r="QF671" s="569"/>
      <c r="QG671" s="569"/>
      <c r="QH671" s="569"/>
      <c r="QI671" s="569"/>
      <c r="QJ671" s="569"/>
      <c r="QK671" s="569"/>
      <c r="QL671" s="569"/>
    </row>
    <row r="672" spans="1:454" s="574" customFormat="1">
      <c r="A672" s="569"/>
      <c r="B672" s="575">
        <v>4</v>
      </c>
      <c r="C672" s="576" t="str">
        <f>'matrik MISI 1'!B70</f>
        <v>PARIWISATA</v>
      </c>
      <c r="D672" s="577">
        <f>'matrik MISI 1'!J71</f>
        <v>0</v>
      </c>
      <c r="E672" s="577">
        <f>'matrik MISI 1'!K71</f>
        <v>0</v>
      </c>
      <c r="F672" s="577">
        <f>'matrik MISI 1'!L71</f>
        <v>0</v>
      </c>
      <c r="G672" s="577"/>
      <c r="H672" s="577"/>
      <c r="I672" s="577"/>
      <c r="J672" s="577"/>
      <c r="K672" s="577"/>
      <c r="L672" s="577"/>
      <c r="M672" s="578">
        <f>'jangan dihapus 2'!K628</f>
        <v>96655300</v>
      </c>
      <c r="N672" s="577"/>
      <c r="O672" s="578">
        <f>'jangan dihapus 2'!M628</f>
        <v>1372308000</v>
      </c>
      <c r="P672" s="577"/>
      <c r="Q672" s="578">
        <f>'jangan dihapus 2'!O628</f>
        <v>1100000000</v>
      </c>
      <c r="R672" s="577"/>
      <c r="S672" s="578">
        <f>'jangan dihapus 2'!Q628</f>
        <v>1200000000</v>
      </c>
      <c r="T672" s="577"/>
      <c r="U672" s="578">
        <f>'jangan dihapus 2'!S628</f>
        <v>9600000000</v>
      </c>
      <c r="V672" s="577"/>
      <c r="W672" s="578">
        <f>SUM(M672:U672)</f>
        <v>13368963300</v>
      </c>
      <c r="X672" s="577"/>
      <c r="Y672" s="577"/>
      <c r="Z672" s="577"/>
      <c r="AA672" s="569"/>
      <c r="AB672" s="569"/>
      <c r="AC672" s="569"/>
      <c r="AD672" s="569"/>
      <c r="AE672" s="569"/>
      <c r="AF672" s="569"/>
      <c r="AG672" s="569"/>
      <c r="AH672" s="569"/>
      <c r="AI672" s="569"/>
      <c r="AJ672" s="569"/>
      <c r="AK672" s="569"/>
      <c r="AL672" s="569"/>
      <c r="AM672" s="569"/>
      <c r="AN672" s="569"/>
      <c r="AO672" s="569"/>
      <c r="AP672" s="569"/>
      <c r="AQ672" s="569"/>
      <c r="AR672" s="569"/>
      <c r="AS672" s="569"/>
      <c r="AT672" s="569"/>
      <c r="AU672" s="569"/>
      <c r="AV672" s="569"/>
      <c r="AW672" s="569"/>
      <c r="AX672" s="569"/>
      <c r="AY672" s="569"/>
      <c r="AZ672" s="569"/>
      <c r="BA672" s="569"/>
      <c r="BB672" s="569"/>
      <c r="BC672" s="569"/>
      <c r="BD672" s="569"/>
      <c r="BE672" s="569"/>
      <c r="BF672" s="569"/>
      <c r="BG672" s="569"/>
      <c r="BH672" s="569"/>
      <c r="BI672" s="569"/>
      <c r="BJ672" s="569"/>
      <c r="BK672" s="569"/>
      <c r="BL672" s="569"/>
      <c r="BM672" s="569"/>
      <c r="BN672" s="569"/>
      <c r="BO672" s="569"/>
      <c r="BP672" s="569"/>
      <c r="BQ672" s="569"/>
      <c r="BR672" s="569"/>
      <c r="BS672" s="569"/>
      <c r="BT672" s="569"/>
      <c r="BU672" s="569"/>
      <c r="BV672" s="569"/>
      <c r="BW672" s="569"/>
      <c r="BX672" s="569"/>
      <c r="BY672" s="569"/>
      <c r="BZ672" s="569"/>
      <c r="CA672" s="569"/>
      <c r="CB672" s="569"/>
      <c r="CC672" s="569"/>
      <c r="CD672" s="569"/>
      <c r="CE672" s="569"/>
      <c r="CF672" s="569"/>
      <c r="CG672" s="569"/>
      <c r="CH672" s="569"/>
      <c r="CI672" s="569"/>
      <c r="CJ672" s="569"/>
      <c r="CK672" s="569"/>
      <c r="CL672" s="569"/>
      <c r="CM672" s="569"/>
      <c r="CN672" s="569"/>
      <c r="CO672" s="569"/>
      <c r="CP672" s="569"/>
      <c r="CQ672" s="569"/>
      <c r="CR672" s="569"/>
      <c r="CS672" s="569"/>
      <c r="CT672" s="569"/>
      <c r="CU672" s="569"/>
      <c r="CV672" s="569"/>
      <c r="CW672" s="569"/>
      <c r="CX672" s="569"/>
      <c r="CY672" s="569"/>
      <c r="CZ672" s="569"/>
      <c r="DA672" s="569"/>
      <c r="DB672" s="569"/>
      <c r="DC672" s="569"/>
      <c r="DD672" s="569"/>
      <c r="DE672" s="569"/>
      <c r="DF672" s="569"/>
      <c r="DG672" s="569"/>
      <c r="DH672" s="569"/>
      <c r="DI672" s="569"/>
      <c r="DJ672" s="569"/>
      <c r="DK672" s="569"/>
      <c r="DL672" s="569"/>
      <c r="DM672" s="569"/>
      <c r="DN672" s="569"/>
      <c r="DO672" s="569"/>
      <c r="DP672" s="569"/>
      <c r="DQ672" s="569"/>
      <c r="DR672" s="569"/>
      <c r="DS672" s="569"/>
      <c r="DT672" s="569"/>
      <c r="DU672" s="569"/>
      <c r="DV672" s="569"/>
      <c r="DW672" s="569"/>
      <c r="DX672" s="569"/>
      <c r="DY672" s="569"/>
      <c r="DZ672" s="569"/>
      <c r="EA672" s="569"/>
      <c r="EB672" s="569"/>
      <c r="EC672" s="569"/>
      <c r="ED672" s="569"/>
      <c r="EE672" s="569"/>
      <c r="EF672" s="569"/>
      <c r="EG672" s="569"/>
      <c r="EH672" s="569"/>
      <c r="EI672" s="569"/>
      <c r="EJ672" s="569"/>
      <c r="EK672" s="569"/>
      <c r="EL672" s="569"/>
      <c r="EM672" s="569"/>
      <c r="EN672" s="569"/>
      <c r="EO672" s="569"/>
      <c r="EP672" s="569"/>
      <c r="EQ672" s="569"/>
      <c r="ER672" s="569"/>
      <c r="ES672" s="569"/>
      <c r="ET672" s="569"/>
      <c r="EU672" s="569"/>
      <c r="EV672" s="569"/>
      <c r="EW672" s="569"/>
      <c r="EX672" s="569"/>
      <c r="EY672" s="569"/>
      <c r="EZ672" s="569"/>
      <c r="FA672" s="569"/>
      <c r="FB672" s="569"/>
      <c r="FC672" s="569"/>
      <c r="FD672" s="569"/>
      <c r="FE672" s="569"/>
      <c r="FF672" s="569"/>
      <c r="FG672" s="569"/>
      <c r="FH672" s="569"/>
      <c r="FI672" s="569"/>
      <c r="FJ672" s="569"/>
      <c r="FK672" s="569"/>
      <c r="FL672" s="569"/>
      <c r="FM672" s="569"/>
      <c r="FN672" s="569"/>
      <c r="FO672" s="569"/>
      <c r="FP672" s="569"/>
      <c r="FQ672" s="569"/>
      <c r="FR672" s="569"/>
      <c r="FS672" s="569"/>
      <c r="FT672" s="569"/>
      <c r="FU672" s="569"/>
      <c r="FV672" s="569"/>
      <c r="FW672" s="569"/>
      <c r="FX672" s="569"/>
      <c r="FY672" s="569"/>
      <c r="FZ672" s="569"/>
      <c r="GA672" s="569"/>
      <c r="GB672" s="569"/>
      <c r="GC672" s="569"/>
      <c r="GD672" s="569"/>
      <c r="GE672" s="569"/>
      <c r="GF672" s="569"/>
      <c r="GG672" s="569"/>
      <c r="GH672" s="569"/>
      <c r="GI672" s="569"/>
      <c r="GJ672" s="569"/>
      <c r="GK672" s="569"/>
      <c r="GL672" s="569"/>
      <c r="GM672" s="569"/>
      <c r="GN672" s="569"/>
      <c r="GO672" s="569"/>
      <c r="GP672" s="569"/>
      <c r="GQ672" s="569"/>
      <c r="GR672" s="569"/>
      <c r="GS672" s="569"/>
      <c r="GT672" s="569"/>
      <c r="GU672" s="569"/>
      <c r="GV672" s="569"/>
      <c r="GW672" s="569"/>
      <c r="GX672" s="569"/>
      <c r="GY672" s="569"/>
      <c r="GZ672" s="569"/>
      <c r="HA672" s="569"/>
      <c r="HB672" s="569"/>
      <c r="HC672" s="569"/>
      <c r="HD672" s="569"/>
      <c r="HE672" s="569"/>
      <c r="HF672" s="569"/>
      <c r="HG672" s="569"/>
      <c r="HH672" s="569"/>
      <c r="HI672" s="569"/>
      <c r="HJ672" s="569"/>
      <c r="HK672" s="569"/>
      <c r="HL672" s="569"/>
      <c r="HM672" s="569"/>
      <c r="HN672" s="569"/>
      <c r="HO672" s="569"/>
      <c r="HP672" s="569"/>
      <c r="HQ672" s="569"/>
      <c r="HR672" s="569"/>
      <c r="HS672" s="569"/>
      <c r="HT672" s="569"/>
      <c r="HU672" s="569"/>
      <c r="HV672" s="569"/>
      <c r="HW672" s="569"/>
      <c r="HX672" s="569"/>
      <c r="HY672" s="569"/>
      <c r="HZ672" s="569"/>
      <c r="IA672" s="569"/>
      <c r="IB672" s="569"/>
      <c r="IC672" s="569"/>
      <c r="ID672" s="569"/>
      <c r="IE672" s="569"/>
      <c r="IF672" s="569"/>
      <c r="IG672" s="569"/>
      <c r="IH672" s="569"/>
      <c r="II672" s="569"/>
      <c r="IJ672" s="569"/>
      <c r="IK672" s="569"/>
      <c r="IL672" s="569"/>
      <c r="IM672" s="569"/>
      <c r="IN672" s="569"/>
      <c r="IO672" s="569"/>
      <c r="IP672" s="569"/>
      <c r="IQ672" s="569"/>
      <c r="IR672" s="569"/>
      <c r="IS672" s="569"/>
      <c r="IT672" s="569"/>
      <c r="IU672" s="569"/>
      <c r="IV672" s="569"/>
      <c r="IW672" s="569"/>
      <c r="IX672" s="569"/>
      <c r="IY672" s="569"/>
      <c r="IZ672" s="569"/>
      <c r="JA672" s="569"/>
      <c r="JB672" s="569"/>
      <c r="JC672" s="569"/>
      <c r="JD672" s="569"/>
      <c r="JE672" s="569"/>
      <c r="JF672" s="569"/>
      <c r="JG672" s="569"/>
      <c r="JH672" s="569"/>
      <c r="JI672" s="569"/>
      <c r="JJ672" s="569"/>
      <c r="JK672" s="569"/>
      <c r="JL672" s="569"/>
      <c r="JM672" s="569"/>
      <c r="JN672" s="569"/>
      <c r="JO672" s="569"/>
      <c r="JP672" s="569"/>
      <c r="JQ672" s="569"/>
      <c r="JR672" s="569"/>
      <c r="JS672" s="569"/>
      <c r="JT672" s="569"/>
      <c r="JU672" s="569"/>
      <c r="JV672" s="569"/>
      <c r="JW672" s="569"/>
      <c r="JX672" s="569"/>
      <c r="JY672" s="569"/>
      <c r="JZ672" s="569"/>
      <c r="KA672" s="569"/>
      <c r="KB672" s="569"/>
      <c r="KC672" s="569"/>
      <c r="KD672" s="569"/>
      <c r="KE672" s="569"/>
      <c r="KF672" s="569"/>
      <c r="KG672" s="569"/>
      <c r="KH672" s="569"/>
      <c r="KI672" s="569"/>
      <c r="KJ672" s="569"/>
      <c r="KK672" s="569"/>
      <c r="KL672" s="569"/>
      <c r="KM672" s="569"/>
      <c r="KN672" s="569"/>
      <c r="KO672" s="569"/>
      <c r="KP672" s="569"/>
      <c r="KQ672" s="569"/>
      <c r="KR672" s="569"/>
      <c r="KS672" s="569"/>
      <c r="KT672" s="569"/>
      <c r="KU672" s="569"/>
      <c r="KV672" s="569"/>
      <c r="KW672" s="569"/>
      <c r="KX672" s="569"/>
      <c r="KY672" s="569"/>
      <c r="KZ672" s="569"/>
      <c r="LA672" s="569"/>
      <c r="LB672" s="569"/>
      <c r="LC672" s="569"/>
      <c r="LD672" s="569"/>
      <c r="LE672" s="569"/>
      <c r="LF672" s="569"/>
      <c r="LG672" s="569"/>
      <c r="LH672" s="569"/>
      <c r="LI672" s="569"/>
      <c r="LJ672" s="569"/>
      <c r="LK672" s="569"/>
      <c r="LL672" s="569"/>
      <c r="LM672" s="569"/>
      <c r="LN672" s="569"/>
      <c r="LO672" s="569"/>
      <c r="LP672" s="569"/>
      <c r="LQ672" s="569"/>
      <c r="LR672" s="569"/>
      <c r="LS672" s="569"/>
      <c r="LT672" s="569"/>
      <c r="LU672" s="569"/>
      <c r="LV672" s="569"/>
      <c r="LW672" s="569"/>
      <c r="LX672" s="569"/>
      <c r="LY672" s="569"/>
      <c r="LZ672" s="569"/>
      <c r="MA672" s="569"/>
      <c r="MB672" s="569"/>
      <c r="MC672" s="569"/>
      <c r="MD672" s="569"/>
      <c r="ME672" s="569"/>
      <c r="MF672" s="569"/>
      <c r="MG672" s="569"/>
      <c r="MH672" s="569"/>
      <c r="MI672" s="569"/>
      <c r="MJ672" s="569"/>
      <c r="MK672" s="569"/>
      <c r="ML672" s="569"/>
      <c r="MM672" s="569"/>
      <c r="MN672" s="569"/>
      <c r="MO672" s="569"/>
      <c r="MP672" s="569"/>
      <c r="MQ672" s="569"/>
      <c r="MR672" s="569"/>
      <c r="MS672" s="569"/>
      <c r="MT672" s="569"/>
      <c r="MU672" s="569"/>
      <c r="MV672" s="569"/>
      <c r="MW672" s="569"/>
      <c r="MX672" s="569"/>
      <c r="MY672" s="569"/>
      <c r="MZ672" s="569"/>
      <c r="NA672" s="569"/>
      <c r="NB672" s="569"/>
      <c r="NC672" s="569"/>
      <c r="ND672" s="569"/>
      <c r="NE672" s="569"/>
      <c r="NF672" s="569"/>
      <c r="NG672" s="569"/>
      <c r="NH672" s="569"/>
      <c r="NI672" s="569"/>
      <c r="NJ672" s="569"/>
      <c r="NK672" s="569"/>
      <c r="NL672" s="569"/>
      <c r="NM672" s="569"/>
      <c r="NN672" s="569"/>
      <c r="NO672" s="569"/>
      <c r="NP672" s="569"/>
      <c r="NQ672" s="569"/>
      <c r="NR672" s="569"/>
      <c r="NS672" s="569"/>
      <c r="NT672" s="569"/>
      <c r="NU672" s="569"/>
      <c r="NV672" s="569"/>
      <c r="NW672" s="569"/>
      <c r="NX672" s="569"/>
      <c r="NY672" s="569"/>
      <c r="NZ672" s="569"/>
      <c r="OA672" s="569"/>
      <c r="OB672" s="569"/>
      <c r="OC672" s="569"/>
      <c r="OD672" s="569"/>
      <c r="OE672" s="569"/>
      <c r="OF672" s="569"/>
      <c r="OG672" s="569"/>
      <c r="OH672" s="569"/>
      <c r="OI672" s="569"/>
      <c r="OJ672" s="569"/>
      <c r="OK672" s="569"/>
      <c r="OL672" s="569"/>
      <c r="OM672" s="569"/>
      <c r="ON672" s="569"/>
      <c r="OO672" s="569"/>
      <c r="OP672" s="569"/>
      <c r="OQ672" s="569"/>
      <c r="OR672" s="569"/>
      <c r="OS672" s="569"/>
      <c r="OT672" s="569"/>
      <c r="OU672" s="569"/>
      <c r="OV672" s="569"/>
      <c r="OW672" s="569"/>
      <c r="OX672" s="569"/>
      <c r="OY672" s="569"/>
      <c r="OZ672" s="569"/>
      <c r="PA672" s="569"/>
      <c r="PB672" s="569"/>
      <c r="PC672" s="569"/>
      <c r="PD672" s="569"/>
      <c r="PE672" s="569"/>
      <c r="PF672" s="569"/>
      <c r="PG672" s="569"/>
      <c r="PH672" s="569"/>
      <c r="PI672" s="569"/>
      <c r="PJ672" s="569"/>
      <c r="PK672" s="569"/>
      <c r="PL672" s="569"/>
      <c r="PM672" s="569"/>
      <c r="PN672" s="569"/>
      <c r="PO672" s="569"/>
      <c r="PP672" s="569"/>
      <c r="PQ672" s="569"/>
      <c r="PR672" s="569"/>
      <c r="PS672" s="569"/>
      <c r="PT672" s="569"/>
      <c r="PU672" s="569"/>
      <c r="PV672" s="569"/>
      <c r="PW672" s="569"/>
      <c r="PX672" s="569"/>
      <c r="PY672" s="569"/>
      <c r="PZ672" s="569"/>
      <c r="QA672" s="569"/>
      <c r="QB672" s="569"/>
      <c r="QC672" s="569"/>
      <c r="QD672" s="569"/>
      <c r="QE672" s="569"/>
      <c r="QF672" s="569"/>
      <c r="QG672" s="569"/>
      <c r="QH672" s="569"/>
      <c r="QI672" s="569"/>
      <c r="QJ672" s="569"/>
      <c r="QK672" s="569"/>
      <c r="QL672" s="569"/>
    </row>
    <row r="673" spans="1:454" ht="75">
      <c r="B673" s="568"/>
      <c r="C673" s="568"/>
      <c r="D673" s="568"/>
      <c r="E673" s="568"/>
      <c r="F673" s="568"/>
      <c r="G673" s="563">
        <f>'matrik MISI 1'!M71</f>
        <v>0</v>
      </c>
      <c r="H673" s="563" t="str">
        <f>'matrik MISI 1'!N71</f>
        <v xml:space="preserve">besaran Berkembangnya Kawasan wisata </v>
      </c>
      <c r="I673" s="563" t="str">
        <f>'matrik MISI 1'!O71</f>
        <v>unit</v>
      </c>
      <c r="J673" s="563">
        <f>'matrik MISI 1'!P71</f>
        <v>8</v>
      </c>
      <c r="K673" s="563">
        <f>'matrik MISI 1'!Q71</f>
        <v>8</v>
      </c>
      <c r="L673" s="563">
        <f>'matrik MISI 1'!R71</f>
        <v>9</v>
      </c>
      <c r="M673" s="604"/>
      <c r="N673" s="563">
        <f>'matrik MISI 1'!S71</f>
        <v>10</v>
      </c>
      <c r="O673" s="564"/>
      <c r="P673" s="563">
        <f>'matrik MISI 1'!T71</f>
        <v>10</v>
      </c>
      <c r="Q673" s="564"/>
      <c r="R673" s="563">
        <f>'matrik MISI 1'!U71</f>
        <v>11</v>
      </c>
      <c r="S673" s="564"/>
      <c r="T673" s="563">
        <f>'matrik MISI 1'!V71</f>
        <v>11</v>
      </c>
      <c r="U673" s="564"/>
      <c r="V673" s="563">
        <f>'matrik MISI 1'!W71</f>
        <v>11</v>
      </c>
      <c r="W673" s="564"/>
      <c r="X673" s="563" t="str">
        <f>'matrik MISI 1'!X71</f>
        <v>DISBUDPARPORA</v>
      </c>
      <c r="Y673" s="563" t="str">
        <f>'matrik MISI 1'!Y71</f>
        <v>jumlah kawasan potensi wisata yang akan dikelola dan dikembangkan menjadi obyek wisata</v>
      </c>
      <c r="Z673" s="563"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74" spans="1:454">
      <c r="D674" s="568"/>
      <c r="E674" s="568"/>
      <c r="F674" s="568"/>
      <c r="G674" s="568"/>
      <c r="H674" s="563" t="str">
        <f>'matrik MISI 1'!N72</f>
        <v>Besaran lama tinggal wisatawan</v>
      </c>
      <c r="I674" s="563" t="str">
        <f>'matrik MISI 1'!O72</f>
        <v>jam</v>
      </c>
      <c r="J674" s="563">
        <f>'matrik MISI 1'!P72</f>
        <v>2</v>
      </c>
      <c r="K674" s="563">
        <f>'matrik MISI 1'!Q72</f>
        <v>2</v>
      </c>
      <c r="L674" s="563">
        <f>'matrik MISI 1'!R72</f>
        <v>4</v>
      </c>
      <c r="M674" s="604"/>
      <c r="N674" s="563">
        <f>'matrik MISI 1'!S72</f>
        <v>6</v>
      </c>
      <c r="O674" s="564"/>
      <c r="P674" s="563">
        <f>'matrik MISI 1'!T72</f>
        <v>8</v>
      </c>
      <c r="Q674" s="564"/>
      <c r="R674" s="563">
        <f>'matrik MISI 1'!U72</f>
        <v>10</v>
      </c>
      <c r="S674" s="564"/>
      <c r="T674" s="563">
        <f>'matrik MISI 1'!V72</f>
        <v>12</v>
      </c>
      <c r="U674" s="564"/>
      <c r="V674" s="563">
        <f>'matrik MISI 1'!W72</f>
        <v>12</v>
      </c>
      <c r="W674" s="564"/>
      <c r="X674" s="563" t="str">
        <f>'matrik MISI 1'!X72</f>
        <v>DISBUDPARPORA</v>
      </c>
      <c r="Y674" s="563" t="str">
        <f>'matrik MISI 1'!Y72</f>
        <v>Besaran lama  tinggal wisatawan (jam)</v>
      </c>
      <c r="Z674" s="563" t="str">
        <f>'matrik MISI 1'!Z72</f>
        <v>lamanya wisatawan berkunjung</v>
      </c>
    </row>
    <row r="675" spans="1:454" ht="30">
      <c r="G675" s="563"/>
      <c r="H675" s="563" t="str">
        <f>'matrik MISI 1'!N73</f>
        <v>Persentase meningkatnya kunjungan wisatawan</v>
      </c>
      <c r="I675" s="563" t="str">
        <f>'matrik MISI 1'!O73</f>
        <v>%</v>
      </c>
      <c r="J675" s="563" t="str">
        <f>'matrik MISI 1'!P73</f>
        <v>n.a</v>
      </c>
      <c r="K675" s="563" t="str">
        <f>'matrik MISI 1'!Q73</f>
        <v>n.a</v>
      </c>
      <c r="L675" s="563">
        <f>'matrik MISI 1'!R73</f>
        <v>10</v>
      </c>
      <c r="M675" s="604"/>
      <c r="N675" s="563">
        <f>'matrik MISI 1'!S73</f>
        <v>15</v>
      </c>
      <c r="O675" s="564"/>
      <c r="P675" s="563">
        <f>'matrik MISI 1'!T73</f>
        <v>20</v>
      </c>
      <c r="Q675" s="564"/>
      <c r="R675" s="563">
        <f>'matrik MISI 1'!U73</f>
        <v>25</v>
      </c>
      <c r="S675" s="564"/>
      <c r="T675" s="563">
        <f>'matrik MISI 1'!V73</f>
        <v>30</v>
      </c>
      <c r="U675" s="564"/>
      <c r="V675" s="563">
        <f>'matrik MISI 1'!W73</f>
        <v>30</v>
      </c>
      <c r="W675" s="564"/>
      <c r="X675" s="563" t="str">
        <f>'matrik MISI 1'!X73</f>
        <v>DISBUDPARPORA</v>
      </c>
      <c r="Y675" s="563" t="str">
        <f>'matrik MISI 1'!Y73</f>
        <v>jumlah wisatawan yang berkunjung per tahun dibandinkan tahun sebelumnya dan data dasar</v>
      </c>
      <c r="Z675" s="563" t="str">
        <f>'matrik MISI 1'!Z73</f>
        <v>data dasar : wisatawan nusantara: 360.061 orang;  wisatawan mancanegara 77 orang</v>
      </c>
    </row>
    <row r="676" spans="1:454" s="574" customFormat="1" ht="30">
      <c r="A676" s="569"/>
      <c r="B676" s="575"/>
      <c r="C676" s="576"/>
      <c r="D676" s="577" t="str">
        <f>'matrik MISI 1'!J74</f>
        <v>2.04</v>
      </c>
      <c r="E676" s="577" t="str">
        <f>'matrik MISI 1'!K74</f>
        <v>xx</v>
      </c>
      <c r="F676" s="577">
        <f>'matrik MISI 1'!L74</f>
        <v>0</v>
      </c>
      <c r="G676" s="577" t="str">
        <f>'matrik MISI 1'!M74</f>
        <v xml:space="preserve">Program Pengembangan Produk Wisata </v>
      </c>
      <c r="H676" s="577"/>
      <c r="I676" s="577"/>
      <c r="J676" s="577"/>
      <c r="K676" s="577"/>
      <c r="L676" s="577"/>
      <c r="M676" s="578">
        <f>'jangan dihapus 2'!K642</f>
        <v>60000000</v>
      </c>
      <c r="N676" s="577"/>
      <c r="O676" s="578">
        <f>'jangan dihapus 2'!M642</f>
        <v>125000000</v>
      </c>
      <c r="P676" s="577"/>
      <c r="Q676" s="578">
        <f>'jangan dihapus 2'!O642</f>
        <v>110000000</v>
      </c>
      <c r="R676" s="577"/>
      <c r="S676" s="578">
        <f>'jangan dihapus 2'!Q642</f>
        <v>110000000</v>
      </c>
      <c r="T676" s="577"/>
      <c r="U676" s="578">
        <f>'jangan dihapus 2'!S642</f>
        <v>110000000</v>
      </c>
      <c r="V676" s="577"/>
      <c r="W676" s="578">
        <f>SUM(M676:U676)</f>
        <v>515000000</v>
      </c>
      <c r="X676" s="577"/>
      <c r="Y676" s="577"/>
      <c r="Z676" s="577"/>
      <c r="AA676" s="569"/>
      <c r="AB676" s="569"/>
      <c r="AC676" s="569"/>
      <c r="AD676" s="569"/>
      <c r="AE676" s="569"/>
      <c r="AF676" s="569"/>
      <c r="AG676" s="569"/>
      <c r="AH676" s="569"/>
      <c r="AI676" s="569"/>
      <c r="AJ676" s="569"/>
      <c r="AK676" s="569"/>
      <c r="AL676" s="569"/>
      <c r="AM676" s="569"/>
      <c r="AN676" s="569"/>
      <c r="AO676" s="569"/>
      <c r="AP676" s="569"/>
      <c r="AQ676" s="569"/>
      <c r="AR676" s="569"/>
      <c r="AS676" s="569"/>
      <c r="AT676" s="569"/>
      <c r="AU676" s="569"/>
      <c r="AV676" s="569"/>
      <c r="AW676" s="569"/>
      <c r="AX676" s="569"/>
      <c r="AY676" s="569"/>
      <c r="AZ676" s="569"/>
      <c r="BA676" s="569"/>
      <c r="BB676" s="569"/>
      <c r="BC676" s="569"/>
      <c r="BD676" s="569"/>
      <c r="BE676" s="569"/>
      <c r="BF676" s="569"/>
      <c r="BG676" s="569"/>
      <c r="BH676" s="569"/>
      <c r="BI676" s="569"/>
      <c r="BJ676" s="569"/>
      <c r="BK676" s="569"/>
      <c r="BL676" s="569"/>
      <c r="BM676" s="569"/>
      <c r="BN676" s="569"/>
      <c r="BO676" s="569"/>
      <c r="BP676" s="569"/>
      <c r="BQ676" s="569"/>
      <c r="BR676" s="569"/>
      <c r="BS676" s="569"/>
      <c r="BT676" s="569"/>
      <c r="BU676" s="569"/>
      <c r="BV676" s="569"/>
      <c r="BW676" s="569"/>
      <c r="BX676" s="569"/>
      <c r="BY676" s="569"/>
      <c r="BZ676" s="569"/>
      <c r="CA676" s="569"/>
      <c r="CB676" s="569"/>
      <c r="CC676" s="569"/>
      <c r="CD676" s="569"/>
      <c r="CE676" s="569"/>
      <c r="CF676" s="569"/>
      <c r="CG676" s="569"/>
      <c r="CH676" s="569"/>
      <c r="CI676" s="569"/>
      <c r="CJ676" s="569"/>
      <c r="CK676" s="569"/>
      <c r="CL676" s="569"/>
      <c r="CM676" s="569"/>
      <c r="CN676" s="569"/>
      <c r="CO676" s="569"/>
      <c r="CP676" s="569"/>
      <c r="CQ676" s="569"/>
      <c r="CR676" s="569"/>
      <c r="CS676" s="569"/>
      <c r="CT676" s="569"/>
      <c r="CU676" s="569"/>
      <c r="CV676" s="569"/>
      <c r="CW676" s="569"/>
      <c r="CX676" s="569"/>
      <c r="CY676" s="569"/>
      <c r="CZ676" s="569"/>
      <c r="DA676" s="569"/>
      <c r="DB676" s="569"/>
      <c r="DC676" s="569"/>
      <c r="DD676" s="569"/>
      <c r="DE676" s="569"/>
      <c r="DF676" s="569"/>
      <c r="DG676" s="569"/>
      <c r="DH676" s="569"/>
      <c r="DI676" s="569"/>
      <c r="DJ676" s="569"/>
      <c r="DK676" s="569"/>
      <c r="DL676" s="569"/>
      <c r="DM676" s="569"/>
      <c r="DN676" s="569"/>
      <c r="DO676" s="569"/>
      <c r="DP676" s="569"/>
      <c r="DQ676" s="569"/>
      <c r="DR676" s="569"/>
      <c r="DS676" s="569"/>
      <c r="DT676" s="569"/>
      <c r="DU676" s="569"/>
      <c r="DV676" s="569"/>
      <c r="DW676" s="569"/>
      <c r="DX676" s="569"/>
      <c r="DY676" s="569"/>
      <c r="DZ676" s="569"/>
      <c r="EA676" s="569"/>
      <c r="EB676" s="569"/>
      <c r="EC676" s="569"/>
      <c r="ED676" s="569"/>
      <c r="EE676" s="569"/>
      <c r="EF676" s="569"/>
      <c r="EG676" s="569"/>
      <c r="EH676" s="569"/>
      <c r="EI676" s="569"/>
      <c r="EJ676" s="569"/>
      <c r="EK676" s="569"/>
      <c r="EL676" s="569"/>
      <c r="EM676" s="569"/>
      <c r="EN676" s="569"/>
      <c r="EO676" s="569"/>
      <c r="EP676" s="569"/>
      <c r="EQ676" s="569"/>
      <c r="ER676" s="569"/>
      <c r="ES676" s="569"/>
      <c r="ET676" s="569"/>
      <c r="EU676" s="569"/>
      <c r="EV676" s="569"/>
      <c r="EW676" s="569"/>
      <c r="EX676" s="569"/>
      <c r="EY676" s="569"/>
      <c r="EZ676" s="569"/>
      <c r="FA676" s="569"/>
      <c r="FB676" s="569"/>
      <c r="FC676" s="569"/>
      <c r="FD676" s="569"/>
      <c r="FE676" s="569"/>
      <c r="FF676" s="569"/>
      <c r="FG676" s="569"/>
      <c r="FH676" s="569"/>
      <c r="FI676" s="569"/>
      <c r="FJ676" s="569"/>
      <c r="FK676" s="569"/>
      <c r="FL676" s="569"/>
      <c r="FM676" s="569"/>
      <c r="FN676" s="569"/>
      <c r="FO676" s="569"/>
      <c r="FP676" s="569"/>
      <c r="FQ676" s="569"/>
      <c r="FR676" s="569"/>
      <c r="FS676" s="569"/>
      <c r="FT676" s="569"/>
      <c r="FU676" s="569"/>
      <c r="FV676" s="569"/>
      <c r="FW676" s="569"/>
      <c r="FX676" s="569"/>
      <c r="FY676" s="569"/>
      <c r="FZ676" s="569"/>
      <c r="GA676" s="569"/>
      <c r="GB676" s="569"/>
      <c r="GC676" s="569"/>
      <c r="GD676" s="569"/>
      <c r="GE676" s="569"/>
      <c r="GF676" s="569"/>
      <c r="GG676" s="569"/>
      <c r="GH676" s="569"/>
      <c r="GI676" s="569"/>
      <c r="GJ676" s="569"/>
      <c r="GK676" s="569"/>
      <c r="GL676" s="569"/>
      <c r="GM676" s="569"/>
      <c r="GN676" s="569"/>
      <c r="GO676" s="569"/>
      <c r="GP676" s="569"/>
      <c r="GQ676" s="569"/>
      <c r="GR676" s="569"/>
      <c r="GS676" s="569"/>
      <c r="GT676" s="569"/>
      <c r="GU676" s="569"/>
      <c r="GV676" s="569"/>
      <c r="GW676" s="569"/>
      <c r="GX676" s="569"/>
      <c r="GY676" s="569"/>
      <c r="GZ676" s="569"/>
      <c r="HA676" s="569"/>
      <c r="HB676" s="569"/>
      <c r="HC676" s="569"/>
      <c r="HD676" s="569"/>
      <c r="HE676" s="569"/>
      <c r="HF676" s="569"/>
      <c r="HG676" s="569"/>
      <c r="HH676" s="569"/>
      <c r="HI676" s="569"/>
      <c r="HJ676" s="569"/>
      <c r="HK676" s="569"/>
      <c r="HL676" s="569"/>
      <c r="HM676" s="569"/>
      <c r="HN676" s="569"/>
      <c r="HO676" s="569"/>
      <c r="HP676" s="569"/>
      <c r="HQ676" s="569"/>
      <c r="HR676" s="569"/>
      <c r="HS676" s="569"/>
      <c r="HT676" s="569"/>
      <c r="HU676" s="569"/>
      <c r="HV676" s="569"/>
      <c r="HW676" s="569"/>
      <c r="HX676" s="569"/>
      <c r="HY676" s="569"/>
      <c r="HZ676" s="569"/>
      <c r="IA676" s="569"/>
      <c r="IB676" s="569"/>
      <c r="IC676" s="569"/>
      <c r="ID676" s="569"/>
      <c r="IE676" s="569"/>
      <c r="IF676" s="569"/>
      <c r="IG676" s="569"/>
      <c r="IH676" s="569"/>
      <c r="II676" s="569"/>
      <c r="IJ676" s="569"/>
      <c r="IK676" s="569"/>
      <c r="IL676" s="569"/>
      <c r="IM676" s="569"/>
      <c r="IN676" s="569"/>
      <c r="IO676" s="569"/>
      <c r="IP676" s="569"/>
      <c r="IQ676" s="569"/>
      <c r="IR676" s="569"/>
      <c r="IS676" s="569"/>
      <c r="IT676" s="569"/>
      <c r="IU676" s="569"/>
      <c r="IV676" s="569"/>
      <c r="IW676" s="569"/>
      <c r="IX676" s="569"/>
      <c r="IY676" s="569"/>
      <c r="IZ676" s="569"/>
      <c r="JA676" s="569"/>
      <c r="JB676" s="569"/>
      <c r="JC676" s="569"/>
      <c r="JD676" s="569"/>
      <c r="JE676" s="569"/>
      <c r="JF676" s="569"/>
      <c r="JG676" s="569"/>
      <c r="JH676" s="569"/>
      <c r="JI676" s="569"/>
      <c r="JJ676" s="569"/>
      <c r="JK676" s="569"/>
      <c r="JL676" s="569"/>
      <c r="JM676" s="569"/>
      <c r="JN676" s="569"/>
      <c r="JO676" s="569"/>
      <c r="JP676" s="569"/>
      <c r="JQ676" s="569"/>
      <c r="JR676" s="569"/>
      <c r="JS676" s="569"/>
      <c r="JT676" s="569"/>
      <c r="JU676" s="569"/>
      <c r="JV676" s="569"/>
      <c r="JW676" s="569"/>
      <c r="JX676" s="569"/>
      <c r="JY676" s="569"/>
      <c r="JZ676" s="569"/>
      <c r="KA676" s="569"/>
      <c r="KB676" s="569"/>
      <c r="KC676" s="569"/>
      <c r="KD676" s="569"/>
      <c r="KE676" s="569"/>
      <c r="KF676" s="569"/>
      <c r="KG676" s="569"/>
      <c r="KH676" s="569"/>
      <c r="KI676" s="569"/>
      <c r="KJ676" s="569"/>
      <c r="KK676" s="569"/>
      <c r="KL676" s="569"/>
      <c r="KM676" s="569"/>
      <c r="KN676" s="569"/>
      <c r="KO676" s="569"/>
      <c r="KP676" s="569"/>
      <c r="KQ676" s="569"/>
      <c r="KR676" s="569"/>
      <c r="KS676" s="569"/>
      <c r="KT676" s="569"/>
      <c r="KU676" s="569"/>
      <c r="KV676" s="569"/>
      <c r="KW676" s="569"/>
      <c r="KX676" s="569"/>
      <c r="KY676" s="569"/>
      <c r="KZ676" s="569"/>
      <c r="LA676" s="569"/>
      <c r="LB676" s="569"/>
      <c r="LC676" s="569"/>
      <c r="LD676" s="569"/>
      <c r="LE676" s="569"/>
      <c r="LF676" s="569"/>
      <c r="LG676" s="569"/>
      <c r="LH676" s="569"/>
      <c r="LI676" s="569"/>
      <c r="LJ676" s="569"/>
      <c r="LK676" s="569"/>
      <c r="LL676" s="569"/>
      <c r="LM676" s="569"/>
      <c r="LN676" s="569"/>
      <c r="LO676" s="569"/>
      <c r="LP676" s="569"/>
      <c r="LQ676" s="569"/>
      <c r="LR676" s="569"/>
      <c r="LS676" s="569"/>
      <c r="LT676" s="569"/>
      <c r="LU676" s="569"/>
      <c r="LV676" s="569"/>
      <c r="LW676" s="569"/>
      <c r="LX676" s="569"/>
      <c r="LY676" s="569"/>
      <c r="LZ676" s="569"/>
      <c r="MA676" s="569"/>
      <c r="MB676" s="569"/>
      <c r="MC676" s="569"/>
      <c r="MD676" s="569"/>
      <c r="ME676" s="569"/>
      <c r="MF676" s="569"/>
      <c r="MG676" s="569"/>
      <c r="MH676" s="569"/>
      <c r="MI676" s="569"/>
      <c r="MJ676" s="569"/>
      <c r="MK676" s="569"/>
      <c r="ML676" s="569"/>
      <c r="MM676" s="569"/>
      <c r="MN676" s="569"/>
      <c r="MO676" s="569"/>
      <c r="MP676" s="569"/>
      <c r="MQ676" s="569"/>
      <c r="MR676" s="569"/>
      <c r="MS676" s="569"/>
      <c r="MT676" s="569"/>
      <c r="MU676" s="569"/>
      <c r="MV676" s="569"/>
      <c r="MW676" s="569"/>
      <c r="MX676" s="569"/>
      <c r="MY676" s="569"/>
      <c r="MZ676" s="569"/>
      <c r="NA676" s="569"/>
      <c r="NB676" s="569"/>
      <c r="NC676" s="569"/>
      <c r="ND676" s="569"/>
      <c r="NE676" s="569"/>
      <c r="NF676" s="569"/>
      <c r="NG676" s="569"/>
      <c r="NH676" s="569"/>
      <c r="NI676" s="569"/>
      <c r="NJ676" s="569"/>
      <c r="NK676" s="569"/>
      <c r="NL676" s="569"/>
      <c r="NM676" s="569"/>
      <c r="NN676" s="569"/>
      <c r="NO676" s="569"/>
      <c r="NP676" s="569"/>
      <c r="NQ676" s="569"/>
      <c r="NR676" s="569"/>
      <c r="NS676" s="569"/>
      <c r="NT676" s="569"/>
      <c r="NU676" s="569"/>
      <c r="NV676" s="569"/>
      <c r="NW676" s="569"/>
      <c r="NX676" s="569"/>
      <c r="NY676" s="569"/>
      <c r="NZ676" s="569"/>
      <c r="OA676" s="569"/>
      <c r="OB676" s="569"/>
      <c r="OC676" s="569"/>
      <c r="OD676" s="569"/>
      <c r="OE676" s="569"/>
      <c r="OF676" s="569"/>
      <c r="OG676" s="569"/>
      <c r="OH676" s="569"/>
      <c r="OI676" s="569"/>
      <c r="OJ676" s="569"/>
      <c r="OK676" s="569"/>
      <c r="OL676" s="569"/>
      <c r="OM676" s="569"/>
      <c r="ON676" s="569"/>
      <c r="OO676" s="569"/>
      <c r="OP676" s="569"/>
      <c r="OQ676" s="569"/>
      <c r="OR676" s="569"/>
      <c r="OS676" s="569"/>
      <c r="OT676" s="569"/>
      <c r="OU676" s="569"/>
      <c r="OV676" s="569"/>
      <c r="OW676" s="569"/>
      <c r="OX676" s="569"/>
      <c r="OY676" s="569"/>
      <c r="OZ676" s="569"/>
      <c r="PA676" s="569"/>
      <c r="PB676" s="569"/>
      <c r="PC676" s="569"/>
      <c r="PD676" s="569"/>
      <c r="PE676" s="569"/>
      <c r="PF676" s="569"/>
      <c r="PG676" s="569"/>
      <c r="PH676" s="569"/>
      <c r="PI676" s="569"/>
      <c r="PJ676" s="569"/>
      <c r="PK676" s="569"/>
      <c r="PL676" s="569"/>
      <c r="PM676" s="569"/>
      <c r="PN676" s="569"/>
      <c r="PO676" s="569"/>
      <c r="PP676" s="569"/>
      <c r="PQ676" s="569"/>
      <c r="PR676" s="569"/>
      <c r="PS676" s="569"/>
      <c r="PT676" s="569"/>
      <c r="PU676" s="569"/>
      <c r="PV676" s="569"/>
      <c r="PW676" s="569"/>
      <c r="PX676" s="569"/>
      <c r="PY676" s="569"/>
      <c r="PZ676" s="569"/>
      <c r="QA676" s="569"/>
      <c r="QB676" s="569"/>
      <c r="QC676" s="569"/>
      <c r="QD676" s="569"/>
      <c r="QE676" s="569"/>
      <c r="QF676" s="569"/>
      <c r="QG676" s="569"/>
      <c r="QH676" s="569"/>
      <c r="QI676" s="569"/>
      <c r="QJ676" s="569"/>
      <c r="QK676" s="569"/>
      <c r="QL676" s="569"/>
    </row>
    <row r="677" spans="1:454" ht="45">
      <c r="D677" s="568"/>
      <c r="E677" s="568"/>
      <c r="F677" s="568"/>
      <c r="G677" s="568"/>
      <c r="H677" s="563" t="str">
        <f>'matrik MISI 1'!N74</f>
        <v xml:space="preserve">Besaran meningkatnya Pengembangan Produk/event/atraksi Wisata </v>
      </c>
      <c r="I677" s="563" t="str">
        <f>'matrik MISI 1'!O74</f>
        <v>paket</v>
      </c>
      <c r="J677" s="563">
        <f>'matrik MISI 1'!P74</f>
        <v>4</v>
      </c>
      <c r="K677" s="563">
        <f>'matrik MISI 1'!Q74</f>
        <v>4</v>
      </c>
      <c r="L677" s="563">
        <f>'matrik MISI 1'!R74</f>
        <v>5</v>
      </c>
      <c r="M677" s="604"/>
      <c r="N677" s="563">
        <f>'matrik MISI 1'!S74</f>
        <v>6</v>
      </c>
      <c r="O677" s="564"/>
      <c r="P677" s="563">
        <f>'matrik MISI 1'!T74</f>
        <v>7</v>
      </c>
      <c r="Q677" s="564"/>
      <c r="R677" s="563">
        <f>'matrik MISI 1'!U74</f>
        <v>8</v>
      </c>
      <c r="S677" s="564"/>
      <c r="T677" s="563">
        <f>'matrik MISI 1'!V74</f>
        <v>9</v>
      </c>
      <c r="U677" s="564"/>
      <c r="V677" s="563">
        <f>'matrik MISI 1'!W74</f>
        <v>9</v>
      </c>
      <c r="W677" s="564"/>
      <c r="X677" s="563" t="str">
        <f>'matrik MISI 1'!X74</f>
        <v>DISBUDPARPORA</v>
      </c>
      <c r="Y677" s="563" t="str">
        <f>'matrik MISI 1'!Y74</f>
        <v>Besaran event wisata (budaya) dilaksanakan</v>
      </c>
      <c r="Z677" s="563" t="str">
        <f>'matrik MISI 1'!Z74</f>
        <v>Pekan Syawalan, Pemilihan Mas dan Mbak, Festival Budaya, Suran Traji, Ruwat Rigen</v>
      </c>
    </row>
    <row r="678" spans="1:454" ht="30">
      <c r="G678" s="563"/>
      <c r="H678" s="563" t="str">
        <f>'matrik MISI 1'!N75</f>
        <v xml:space="preserve">Besaran Meningkatnya Pengelolaan Wisata </v>
      </c>
      <c r="I678" s="563" t="str">
        <f>'matrik MISI 1'!O75</f>
        <v>unit</v>
      </c>
      <c r="J678" s="563">
        <f>'matrik MISI 1'!P75</f>
        <v>5</v>
      </c>
      <c r="K678" s="563">
        <f>'matrik MISI 1'!Q75</f>
        <v>5</v>
      </c>
      <c r="L678" s="563">
        <f>'matrik MISI 1'!R75</f>
        <v>5</v>
      </c>
      <c r="M678" s="604"/>
      <c r="N678" s="563">
        <f>'matrik MISI 1'!S75</f>
        <v>6</v>
      </c>
      <c r="O678" s="564"/>
      <c r="P678" s="563">
        <f>'matrik MISI 1'!T75</f>
        <v>6</v>
      </c>
      <c r="Q678" s="564"/>
      <c r="R678" s="563">
        <f>'matrik MISI 1'!U75</f>
        <v>7</v>
      </c>
      <c r="S678" s="564"/>
      <c r="T678" s="563">
        <f>'matrik MISI 1'!V75</f>
        <v>7</v>
      </c>
      <c r="U678" s="564"/>
      <c r="V678" s="563">
        <f>'matrik MISI 1'!W75</f>
        <v>7</v>
      </c>
      <c r="W678" s="564"/>
      <c r="X678" s="563" t="str">
        <f>'matrik MISI 1'!X75</f>
        <v>DISBUDPARPORA</v>
      </c>
      <c r="Y678" s="563" t="str">
        <f>'matrik MISI 1'!Y75</f>
        <v>jumlah obyek wisata yang dikelola</v>
      </c>
      <c r="Z678" s="563" t="str">
        <f>'matrik MISI 1'!Z75</f>
        <v>Pikatan water park, Rest Area Kledung, monumen meteorit, kawasan wisata posong, jumprit, curug lawe, curug surodipo/curug lawe</v>
      </c>
    </row>
    <row r="679" spans="1:454" s="574" customFormat="1" ht="30">
      <c r="A679" s="569"/>
      <c r="B679" s="575"/>
      <c r="C679" s="576"/>
      <c r="D679" s="577" t="str">
        <f>'matrik MISI 1'!J76</f>
        <v>2.04</v>
      </c>
      <c r="E679" s="577" t="str">
        <f>'matrik MISI 1'!K76</f>
        <v>xx</v>
      </c>
      <c r="F679" s="577">
        <f>'matrik MISI 1'!L76</f>
        <v>17</v>
      </c>
      <c r="G679" s="577" t="str">
        <f>'matrik MISI 1'!M76</f>
        <v xml:space="preserve">Program Pengembangan Kemitraan </v>
      </c>
      <c r="H679" s="577"/>
      <c r="I679" s="577"/>
      <c r="J679" s="577"/>
      <c r="K679" s="577"/>
      <c r="L679" s="577"/>
      <c r="M679" s="578">
        <f>'jangan dihapus 2'!K637</f>
        <v>155000000</v>
      </c>
      <c r="N679" s="577"/>
      <c r="O679" s="578">
        <f>'jangan dihapus 2'!M637</f>
        <v>229295000</v>
      </c>
      <c r="P679" s="577"/>
      <c r="Q679" s="578">
        <f>'jangan dihapus 2'!O637</f>
        <v>360000000</v>
      </c>
      <c r="R679" s="577"/>
      <c r="S679" s="578">
        <f>'jangan dihapus 2'!Q637</f>
        <v>290000000</v>
      </c>
      <c r="T679" s="577"/>
      <c r="U679" s="578">
        <f>'jangan dihapus 2'!S637</f>
        <v>290000000</v>
      </c>
      <c r="V679" s="577"/>
      <c r="W679" s="578">
        <f>SUM(M679:U679)</f>
        <v>1324295000</v>
      </c>
      <c r="X679" s="577"/>
      <c r="Y679" s="577"/>
      <c r="Z679" s="577"/>
      <c r="AA679" s="569"/>
      <c r="AB679" s="569"/>
      <c r="AC679" s="569"/>
      <c r="AD679" s="569"/>
      <c r="AE679" s="569"/>
      <c r="AF679" s="569"/>
      <c r="AG679" s="569"/>
      <c r="AH679" s="569"/>
      <c r="AI679" s="569"/>
      <c r="AJ679" s="569"/>
      <c r="AK679" s="569"/>
      <c r="AL679" s="569"/>
      <c r="AM679" s="569"/>
      <c r="AN679" s="569"/>
      <c r="AO679" s="569"/>
      <c r="AP679" s="569"/>
      <c r="AQ679" s="569"/>
      <c r="AR679" s="569"/>
      <c r="AS679" s="569"/>
      <c r="AT679" s="569"/>
      <c r="AU679" s="569"/>
      <c r="AV679" s="569"/>
      <c r="AW679" s="569"/>
      <c r="AX679" s="569"/>
      <c r="AY679" s="569"/>
      <c r="AZ679" s="569"/>
      <c r="BA679" s="569"/>
      <c r="BB679" s="569"/>
      <c r="BC679" s="569"/>
      <c r="BD679" s="569"/>
      <c r="BE679" s="569"/>
      <c r="BF679" s="569"/>
      <c r="BG679" s="569"/>
      <c r="BH679" s="569"/>
      <c r="BI679" s="569"/>
      <c r="BJ679" s="569"/>
      <c r="BK679" s="569"/>
      <c r="BL679" s="569"/>
      <c r="BM679" s="569"/>
      <c r="BN679" s="569"/>
      <c r="BO679" s="569"/>
      <c r="BP679" s="569"/>
      <c r="BQ679" s="569"/>
      <c r="BR679" s="569"/>
      <c r="BS679" s="569"/>
      <c r="BT679" s="569"/>
      <c r="BU679" s="569"/>
      <c r="BV679" s="569"/>
      <c r="BW679" s="569"/>
      <c r="BX679" s="569"/>
      <c r="BY679" s="569"/>
      <c r="BZ679" s="569"/>
      <c r="CA679" s="569"/>
      <c r="CB679" s="569"/>
      <c r="CC679" s="569"/>
      <c r="CD679" s="569"/>
      <c r="CE679" s="569"/>
      <c r="CF679" s="569"/>
      <c r="CG679" s="569"/>
      <c r="CH679" s="569"/>
      <c r="CI679" s="569"/>
      <c r="CJ679" s="569"/>
      <c r="CK679" s="569"/>
      <c r="CL679" s="569"/>
      <c r="CM679" s="569"/>
      <c r="CN679" s="569"/>
      <c r="CO679" s="569"/>
      <c r="CP679" s="569"/>
      <c r="CQ679" s="569"/>
      <c r="CR679" s="569"/>
      <c r="CS679" s="569"/>
      <c r="CT679" s="569"/>
      <c r="CU679" s="569"/>
      <c r="CV679" s="569"/>
      <c r="CW679" s="569"/>
      <c r="CX679" s="569"/>
      <c r="CY679" s="569"/>
      <c r="CZ679" s="569"/>
      <c r="DA679" s="569"/>
      <c r="DB679" s="569"/>
      <c r="DC679" s="569"/>
      <c r="DD679" s="569"/>
      <c r="DE679" s="569"/>
      <c r="DF679" s="569"/>
      <c r="DG679" s="569"/>
      <c r="DH679" s="569"/>
      <c r="DI679" s="569"/>
      <c r="DJ679" s="569"/>
      <c r="DK679" s="569"/>
      <c r="DL679" s="569"/>
      <c r="DM679" s="569"/>
      <c r="DN679" s="569"/>
      <c r="DO679" s="569"/>
      <c r="DP679" s="569"/>
      <c r="DQ679" s="569"/>
      <c r="DR679" s="569"/>
      <c r="DS679" s="569"/>
      <c r="DT679" s="569"/>
      <c r="DU679" s="569"/>
      <c r="DV679" s="569"/>
      <c r="DW679" s="569"/>
      <c r="DX679" s="569"/>
      <c r="DY679" s="569"/>
      <c r="DZ679" s="569"/>
      <c r="EA679" s="569"/>
      <c r="EB679" s="569"/>
      <c r="EC679" s="569"/>
      <c r="ED679" s="569"/>
      <c r="EE679" s="569"/>
      <c r="EF679" s="569"/>
      <c r="EG679" s="569"/>
      <c r="EH679" s="569"/>
      <c r="EI679" s="569"/>
      <c r="EJ679" s="569"/>
      <c r="EK679" s="569"/>
      <c r="EL679" s="569"/>
      <c r="EM679" s="569"/>
      <c r="EN679" s="569"/>
      <c r="EO679" s="569"/>
      <c r="EP679" s="569"/>
      <c r="EQ679" s="569"/>
      <c r="ER679" s="569"/>
      <c r="ES679" s="569"/>
      <c r="ET679" s="569"/>
      <c r="EU679" s="569"/>
      <c r="EV679" s="569"/>
      <c r="EW679" s="569"/>
      <c r="EX679" s="569"/>
      <c r="EY679" s="569"/>
      <c r="EZ679" s="569"/>
      <c r="FA679" s="569"/>
      <c r="FB679" s="569"/>
      <c r="FC679" s="569"/>
      <c r="FD679" s="569"/>
      <c r="FE679" s="569"/>
      <c r="FF679" s="569"/>
      <c r="FG679" s="569"/>
      <c r="FH679" s="569"/>
      <c r="FI679" s="569"/>
      <c r="FJ679" s="569"/>
      <c r="FK679" s="569"/>
      <c r="FL679" s="569"/>
      <c r="FM679" s="569"/>
      <c r="FN679" s="569"/>
      <c r="FO679" s="569"/>
      <c r="FP679" s="569"/>
      <c r="FQ679" s="569"/>
      <c r="FR679" s="569"/>
      <c r="FS679" s="569"/>
      <c r="FT679" s="569"/>
      <c r="FU679" s="569"/>
      <c r="FV679" s="569"/>
      <c r="FW679" s="569"/>
      <c r="FX679" s="569"/>
      <c r="FY679" s="569"/>
      <c r="FZ679" s="569"/>
      <c r="GA679" s="569"/>
      <c r="GB679" s="569"/>
      <c r="GC679" s="569"/>
      <c r="GD679" s="569"/>
      <c r="GE679" s="569"/>
      <c r="GF679" s="569"/>
      <c r="GG679" s="569"/>
      <c r="GH679" s="569"/>
      <c r="GI679" s="569"/>
      <c r="GJ679" s="569"/>
      <c r="GK679" s="569"/>
      <c r="GL679" s="569"/>
      <c r="GM679" s="569"/>
      <c r="GN679" s="569"/>
      <c r="GO679" s="569"/>
      <c r="GP679" s="569"/>
      <c r="GQ679" s="569"/>
      <c r="GR679" s="569"/>
      <c r="GS679" s="569"/>
      <c r="GT679" s="569"/>
      <c r="GU679" s="569"/>
      <c r="GV679" s="569"/>
      <c r="GW679" s="569"/>
      <c r="GX679" s="569"/>
      <c r="GY679" s="569"/>
      <c r="GZ679" s="569"/>
      <c r="HA679" s="569"/>
      <c r="HB679" s="569"/>
      <c r="HC679" s="569"/>
      <c r="HD679" s="569"/>
      <c r="HE679" s="569"/>
      <c r="HF679" s="569"/>
      <c r="HG679" s="569"/>
      <c r="HH679" s="569"/>
      <c r="HI679" s="569"/>
      <c r="HJ679" s="569"/>
      <c r="HK679" s="569"/>
      <c r="HL679" s="569"/>
      <c r="HM679" s="569"/>
      <c r="HN679" s="569"/>
      <c r="HO679" s="569"/>
      <c r="HP679" s="569"/>
      <c r="HQ679" s="569"/>
      <c r="HR679" s="569"/>
      <c r="HS679" s="569"/>
      <c r="HT679" s="569"/>
      <c r="HU679" s="569"/>
      <c r="HV679" s="569"/>
      <c r="HW679" s="569"/>
      <c r="HX679" s="569"/>
      <c r="HY679" s="569"/>
      <c r="HZ679" s="569"/>
      <c r="IA679" s="569"/>
      <c r="IB679" s="569"/>
      <c r="IC679" s="569"/>
      <c r="ID679" s="569"/>
      <c r="IE679" s="569"/>
      <c r="IF679" s="569"/>
      <c r="IG679" s="569"/>
      <c r="IH679" s="569"/>
      <c r="II679" s="569"/>
      <c r="IJ679" s="569"/>
      <c r="IK679" s="569"/>
      <c r="IL679" s="569"/>
      <c r="IM679" s="569"/>
      <c r="IN679" s="569"/>
      <c r="IO679" s="569"/>
      <c r="IP679" s="569"/>
      <c r="IQ679" s="569"/>
      <c r="IR679" s="569"/>
      <c r="IS679" s="569"/>
      <c r="IT679" s="569"/>
      <c r="IU679" s="569"/>
      <c r="IV679" s="569"/>
      <c r="IW679" s="569"/>
      <c r="IX679" s="569"/>
      <c r="IY679" s="569"/>
      <c r="IZ679" s="569"/>
      <c r="JA679" s="569"/>
      <c r="JB679" s="569"/>
      <c r="JC679" s="569"/>
      <c r="JD679" s="569"/>
      <c r="JE679" s="569"/>
      <c r="JF679" s="569"/>
      <c r="JG679" s="569"/>
      <c r="JH679" s="569"/>
      <c r="JI679" s="569"/>
      <c r="JJ679" s="569"/>
      <c r="JK679" s="569"/>
      <c r="JL679" s="569"/>
      <c r="JM679" s="569"/>
      <c r="JN679" s="569"/>
      <c r="JO679" s="569"/>
      <c r="JP679" s="569"/>
      <c r="JQ679" s="569"/>
      <c r="JR679" s="569"/>
      <c r="JS679" s="569"/>
      <c r="JT679" s="569"/>
      <c r="JU679" s="569"/>
      <c r="JV679" s="569"/>
      <c r="JW679" s="569"/>
      <c r="JX679" s="569"/>
      <c r="JY679" s="569"/>
      <c r="JZ679" s="569"/>
      <c r="KA679" s="569"/>
      <c r="KB679" s="569"/>
      <c r="KC679" s="569"/>
      <c r="KD679" s="569"/>
      <c r="KE679" s="569"/>
      <c r="KF679" s="569"/>
      <c r="KG679" s="569"/>
      <c r="KH679" s="569"/>
      <c r="KI679" s="569"/>
      <c r="KJ679" s="569"/>
      <c r="KK679" s="569"/>
      <c r="KL679" s="569"/>
      <c r="KM679" s="569"/>
      <c r="KN679" s="569"/>
      <c r="KO679" s="569"/>
      <c r="KP679" s="569"/>
      <c r="KQ679" s="569"/>
      <c r="KR679" s="569"/>
      <c r="KS679" s="569"/>
      <c r="KT679" s="569"/>
      <c r="KU679" s="569"/>
      <c r="KV679" s="569"/>
      <c r="KW679" s="569"/>
      <c r="KX679" s="569"/>
      <c r="KY679" s="569"/>
      <c r="KZ679" s="569"/>
      <c r="LA679" s="569"/>
      <c r="LB679" s="569"/>
      <c r="LC679" s="569"/>
      <c r="LD679" s="569"/>
      <c r="LE679" s="569"/>
      <c r="LF679" s="569"/>
      <c r="LG679" s="569"/>
      <c r="LH679" s="569"/>
      <c r="LI679" s="569"/>
      <c r="LJ679" s="569"/>
      <c r="LK679" s="569"/>
      <c r="LL679" s="569"/>
      <c r="LM679" s="569"/>
      <c r="LN679" s="569"/>
      <c r="LO679" s="569"/>
      <c r="LP679" s="569"/>
      <c r="LQ679" s="569"/>
      <c r="LR679" s="569"/>
      <c r="LS679" s="569"/>
      <c r="LT679" s="569"/>
      <c r="LU679" s="569"/>
      <c r="LV679" s="569"/>
      <c r="LW679" s="569"/>
      <c r="LX679" s="569"/>
      <c r="LY679" s="569"/>
      <c r="LZ679" s="569"/>
      <c r="MA679" s="569"/>
      <c r="MB679" s="569"/>
      <c r="MC679" s="569"/>
      <c r="MD679" s="569"/>
      <c r="ME679" s="569"/>
      <c r="MF679" s="569"/>
      <c r="MG679" s="569"/>
      <c r="MH679" s="569"/>
      <c r="MI679" s="569"/>
      <c r="MJ679" s="569"/>
      <c r="MK679" s="569"/>
      <c r="ML679" s="569"/>
      <c r="MM679" s="569"/>
      <c r="MN679" s="569"/>
      <c r="MO679" s="569"/>
      <c r="MP679" s="569"/>
      <c r="MQ679" s="569"/>
      <c r="MR679" s="569"/>
      <c r="MS679" s="569"/>
      <c r="MT679" s="569"/>
      <c r="MU679" s="569"/>
      <c r="MV679" s="569"/>
      <c r="MW679" s="569"/>
      <c r="MX679" s="569"/>
      <c r="MY679" s="569"/>
      <c r="MZ679" s="569"/>
      <c r="NA679" s="569"/>
      <c r="NB679" s="569"/>
      <c r="NC679" s="569"/>
      <c r="ND679" s="569"/>
      <c r="NE679" s="569"/>
      <c r="NF679" s="569"/>
      <c r="NG679" s="569"/>
      <c r="NH679" s="569"/>
      <c r="NI679" s="569"/>
      <c r="NJ679" s="569"/>
      <c r="NK679" s="569"/>
      <c r="NL679" s="569"/>
      <c r="NM679" s="569"/>
      <c r="NN679" s="569"/>
      <c r="NO679" s="569"/>
      <c r="NP679" s="569"/>
      <c r="NQ679" s="569"/>
      <c r="NR679" s="569"/>
      <c r="NS679" s="569"/>
      <c r="NT679" s="569"/>
      <c r="NU679" s="569"/>
      <c r="NV679" s="569"/>
      <c r="NW679" s="569"/>
      <c r="NX679" s="569"/>
      <c r="NY679" s="569"/>
      <c r="NZ679" s="569"/>
      <c r="OA679" s="569"/>
      <c r="OB679" s="569"/>
      <c r="OC679" s="569"/>
      <c r="OD679" s="569"/>
      <c r="OE679" s="569"/>
      <c r="OF679" s="569"/>
      <c r="OG679" s="569"/>
      <c r="OH679" s="569"/>
      <c r="OI679" s="569"/>
      <c r="OJ679" s="569"/>
      <c r="OK679" s="569"/>
      <c r="OL679" s="569"/>
      <c r="OM679" s="569"/>
      <c r="ON679" s="569"/>
      <c r="OO679" s="569"/>
      <c r="OP679" s="569"/>
      <c r="OQ679" s="569"/>
      <c r="OR679" s="569"/>
      <c r="OS679" s="569"/>
      <c r="OT679" s="569"/>
      <c r="OU679" s="569"/>
      <c r="OV679" s="569"/>
      <c r="OW679" s="569"/>
      <c r="OX679" s="569"/>
      <c r="OY679" s="569"/>
      <c r="OZ679" s="569"/>
      <c r="PA679" s="569"/>
      <c r="PB679" s="569"/>
      <c r="PC679" s="569"/>
      <c r="PD679" s="569"/>
      <c r="PE679" s="569"/>
      <c r="PF679" s="569"/>
      <c r="PG679" s="569"/>
      <c r="PH679" s="569"/>
      <c r="PI679" s="569"/>
      <c r="PJ679" s="569"/>
      <c r="PK679" s="569"/>
      <c r="PL679" s="569"/>
      <c r="PM679" s="569"/>
      <c r="PN679" s="569"/>
      <c r="PO679" s="569"/>
      <c r="PP679" s="569"/>
      <c r="PQ679" s="569"/>
      <c r="PR679" s="569"/>
      <c r="PS679" s="569"/>
      <c r="PT679" s="569"/>
      <c r="PU679" s="569"/>
      <c r="PV679" s="569"/>
      <c r="PW679" s="569"/>
      <c r="PX679" s="569"/>
      <c r="PY679" s="569"/>
      <c r="PZ679" s="569"/>
      <c r="QA679" s="569"/>
      <c r="QB679" s="569"/>
      <c r="QC679" s="569"/>
      <c r="QD679" s="569"/>
      <c r="QE679" s="569"/>
      <c r="QF679" s="569"/>
      <c r="QG679" s="569"/>
      <c r="QH679" s="569"/>
      <c r="QI679" s="569"/>
      <c r="QJ679" s="569"/>
      <c r="QK679" s="569"/>
      <c r="QL679" s="569"/>
    </row>
    <row r="680" spans="1:454" ht="60">
      <c r="D680" s="568"/>
      <c r="E680" s="568"/>
      <c r="F680" s="568"/>
      <c r="G680" s="568"/>
      <c r="H680" s="563" t="str">
        <f>'matrik MISI 1'!N76</f>
        <v>Besaran Pengembangan Kemitraan Pariwisata</v>
      </c>
      <c r="I680" s="563" t="str">
        <f>'matrik MISI 1'!O76</f>
        <v>paket</v>
      </c>
      <c r="J680" s="563">
        <f>'matrik MISI 1'!P76</f>
        <v>3</v>
      </c>
      <c r="K680" s="563">
        <f>'matrik MISI 1'!Q76</f>
        <v>3</v>
      </c>
      <c r="L680" s="563">
        <f>'matrik MISI 1'!R76</f>
        <v>5</v>
      </c>
      <c r="M680" s="604"/>
      <c r="N680" s="563">
        <f>'matrik MISI 1'!S76</f>
        <v>7</v>
      </c>
      <c r="O680" s="564"/>
      <c r="P680" s="563">
        <f>'matrik MISI 1'!T76</f>
        <v>8</v>
      </c>
      <c r="Q680" s="564"/>
      <c r="R680" s="563">
        <f>'matrik MISI 1'!U76</f>
        <v>9</v>
      </c>
      <c r="S680" s="564"/>
      <c r="T680" s="563">
        <f>'matrik MISI 1'!V76</f>
        <v>10</v>
      </c>
      <c r="U680" s="564"/>
      <c r="V680" s="563">
        <f>'matrik MISI 1'!W76</f>
        <v>11</v>
      </c>
      <c r="W680" s="564"/>
      <c r="X680" s="563" t="str">
        <f>'matrik MISI 1'!X76</f>
        <v>DISBUDPARPORA</v>
      </c>
      <c r="Y680" s="563" t="str">
        <f>'matrik MISI 1'!Y76</f>
        <v xml:space="preserve">Jumlah Kemitraan yang terjalin </v>
      </c>
      <c r="Z680" s="563"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81" spans="1:454" s="570" customFormat="1">
      <c r="A681" s="569"/>
      <c r="B681" s="571"/>
      <c r="C681" s="572"/>
      <c r="D681" s="573"/>
      <c r="E681" s="573"/>
      <c r="F681" s="573"/>
      <c r="G681" s="573"/>
      <c r="H681" s="573"/>
      <c r="I681" s="573"/>
      <c r="J681" s="573"/>
      <c r="K681" s="573"/>
      <c r="L681" s="573"/>
      <c r="M681" s="604"/>
      <c r="N681" s="573"/>
      <c r="O681" s="564"/>
      <c r="P681" s="573"/>
      <c r="Q681" s="564"/>
      <c r="R681" s="573"/>
      <c r="S681" s="564"/>
      <c r="T681" s="573"/>
      <c r="U681" s="564"/>
      <c r="V681" s="573"/>
      <c r="W681" s="564"/>
      <c r="X681" s="573"/>
      <c r="Y681" s="573"/>
      <c r="Z681" s="573"/>
      <c r="AA681" s="569"/>
      <c r="AB681" s="569"/>
      <c r="AC681" s="569"/>
      <c r="AD681" s="569"/>
      <c r="AE681" s="569"/>
      <c r="AF681" s="569"/>
      <c r="AG681" s="569"/>
      <c r="AH681" s="569"/>
      <c r="AI681" s="569"/>
      <c r="AJ681" s="569"/>
      <c r="AK681" s="569"/>
      <c r="AL681" s="569"/>
      <c r="AM681" s="569"/>
      <c r="AN681" s="569"/>
      <c r="AO681" s="569"/>
      <c r="AP681" s="569"/>
      <c r="AQ681" s="569"/>
      <c r="AR681" s="569"/>
      <c r="AS681" s="569"/>
      <c r="AT681" s="569"/>
      <c r="AU681" s="569"/>
      <c r="AV681" s="569"/>
      <c r="AW681" s="569"/>
      <c r="AX681" s="569"/>
      <c r="AY681" s="569"/>
      <c r="AZ681" s="569"/>
      <c r="BA681" s="569"/>
      <c r="BB681" s="569"/>
      <c r="BC681" s="569"/>
      <c r="BD681" s="569"/>
      <c r="BE681" s="569"/>
      <c r="BF681" s="569"/>
      <c r="BG681" s="569"/>
      <c r="BH681" s="569"/>
      <c r="BI681" s="569"/>
      <c r="BJ681" s="569"/>
      <c r="BK681" s="569"/>
      <c r="BL681" s="569"/>
      <c r="BM681" s="569"/>
      <c r="BN681" s="569"/>
      <c r="BO681" s="569"/>
      <c r="BP681" s="569"/>
      <c r="BQ681" s="569"/>
      <c r="BR681" s="569"/>
      <c r="BS681" s="569"/>
      <c r="BT681" s="569"/>
      <c r="BU681" s="569"/>
      <c r="BV681" s="569"/>
      <c r="BW681" s="569"/>
      <c r="BX681" s="569"/>
      <c r="BY681" s="569"/>
      <c r="BZ681" s="569"/>
      <c r="CA681" s="569"/>
      <c r="CB681" s="569"/>
      <c r="CC681" s="569"/>
      <c r="CD681" s="569"/>
      <c r="CE681" s="569"/>
      <c r="CF681" s="569"/>
      <c r="CG681" s="569"/>
      <c r="CH681" s="569"/>
      <c r="CI681" s="569"/>
      <c r="CJ681" s="569"/>
      <c r="CK681" s="569"/>
      <c r="CL681" s="569"/>
      <c r="CM681" s="569"/>
      <c r="CN681" s="569"/>
      <c r="CO681" s="569"/>
      <c r="CP681" s="569"/>
      <c r="CQ681" s="569"/>
      <c r="CR681" s="569"/>
      <c r="CS681" s="569"/>
      <c r="CT681" s="569"/>
      <c r="CU681" s="569"/>
      <c r="CV681" s="569"/>
      <c r="CW681" s="569"/>
      <c r="CX681" s="569"/>
      <c r="CY681" s="569"/>
      <c r="CZ681" s="569"/>
      <c r="DA681" s="569"/>
      <c r="DB681" s="569"/>
      <c r="DC681" s="569"/>
      <c r="DD681" s="569"/>
      <c r="DE681" s="569"/>
      <c r="DF681" s="569"/>
      <c r="DG681" s="569"/>
      <c r="DH681" s="569"/>
      <c r="DI681" s="569"/>
      <c r="DJ681" s="569"/>
      <c r="DK681" s="569"/>
      <c r="DL681" s="569"/>
      <c r="DM681" s="569"/>
      <c r="DN681" s="569"/>
      <c r="DO681" s="569"/>
      <c r="DP681" s="569"/>
      <c r="DQ681" s="569"/>
      <c r="DR681" s="569"/>
      <c r="DS681" s="569"/>
      <c r="DT681" s="569"/>
      <c r="DU681" s="569"/>
      <c r="DV681" s="569"/>
      <c r="DW681" s="569"/>
      <c r="DX681" s="569"/>
      <c r="DY681" s="569"/>
      <c r="DZ681" s="569"/>
      <c r="EA681" s="569"/>
      <c r="EB681" s="569"/>
      <c r="EC681" s="569"/>
      <c r="ED681" s="569"/>
      <c r="EE681" s="569"/>
      <c r="EF681" s="569"/>
      <c r="EG681" s="569"/>
      <c r="EH681" s="569"/>
      <c r="EI681" s="569"/>
      <c r="EJ681" s="569"/>
      <c r="EK681" s="569"/>
      <c r="EL681" s="569"/>
      <c r="EM681" s="569"/>
      <c r="EN681" s="569"/>
      <c r="EO681" s="569"/>
      <c r="EP681" s="569"/>
      <c r="EQ681" s="569"/>
      <c r="ER681" s="569"/>
      <c r="ES681" s="569"/>
      <c r="ET681" s="569"/>
      <c r="EU681" s="569"/>
      <c r="EV681" s="569"/>
      <c r="EW681" s="569"/>
      <c r="EX681" s="569"/>
      <c r="EY681" s="569"/>
      <c r="EZ681" s="569"/>
      <c r="FA681" s="569"/>
      <c r="FB681" s="569"/>
      <c r="FC681" s="569"/>
      <c r="FD681" s="569"/>
      <c r="FE681" s="569"/>
      <c r="FF681" s="569"/>
      <c r="FG681" s="569"/>
      <c r="FH681" s="569"/>
      <c r="FI681" s="569"/>
      <c r="FJ681" s="569"/>
      <c r="FK681" s="569"/>
      <c r="FL681" s="569"/>
      <c r="FM681" s="569"/>
      <c r="FN681" s="569"/>
      <c r="FO681" s="569"/>
      <c r="FP681" s="569"/>
      <c r="FQ681" s="569"/>
      <c r="FR681" s="569"/>
      <c r="FS681" s="569"/>
      <c r="FT681" s="569"/>
      <c r="FU681" s="569"/>
      <c r="FV681" s="569"/>
      <c r="FW681" s="569"/>
      <c r="FX681" s="569"/>
      <c r="FY681" s="569"/>
      <c r="FZ681" s="569"/>
      <c r="GA681" s="569"/>
      <c r="GB681" s="569"/>
      <c r="GC681" s="569"/>
      <c r="GD681" s="569"/>
      <c r="GE681" s="569"/>
      <c r="GF681" s="569"/>
      <c r="GG681" s="569"/>
      <c r="GH681" s="569"/>
      <c r="GI681" s="569"/>
      <c r="GJ681" s="569"/>
      <c r="GK681" s="569"/>
      <c r="GL681" s="569"/>
      <c r="GM681" s="569"/>
      <c r="GN681" s="569"/>
      <c r="GO681" s="569"/>
      <c r="GP681" s="569"/>
      <c r="GQ681" s="569"/>
      <c r="GR681" s="569"/>
      <c r="GS681" s="569"/>
      <c r="GT681" s="569"/>
      <c r="GU681" s="569"/>
      <c r="GV681" s="569"/>
      <c r="GW681" s="569"/>
      <c r="GX681" s="569"/>
      <c r="GY681" s="569"/>
      <c r="GZ681" s="569"/>
      <c r="HA681" s="569"/>
      <c r="HB681" s="569"/>
      <c r="HC681" s="569"/>
      <c r="HD681" s="569"/>
      <c r="HE681" s="569"/>
      <c r="HF681" s="569"/>
      <c r="HG681" s="569"/>
      <c r="HH681" s="569"/>
      <c r="HI681" s="569"/>
      <c r="HJ681" s="569"/>
      <c r="HK681" s="569"/>
      <c r="HL681" s="569"/>
      <c r="HM681" s="569"/>
      <c r="HN681" s="569"/>
      <c r="HO681" s="569"/>
      <c r="HP681" s="569"/>
      <c r="HQ681" s="569"/>
      <c r="HR681" s="569"/>
      <c r="HS681" s="569"/>
      <c r="HT681" s="569"/>
      <c r="HU681" s="569"/>
      <c r="HV681" s="569"/>
      <c r="HW681" s="569"/>
      <c r="HX681" s="569"/>
      <c r="HY681" s="569"/>
      <c r="HZ681" s="569"/>
      <c r="IA681" s="569"/>
      <c r="IB681" s="569"/>
      <c r="IC681" s="569"/>
      <c r="ID681" s="569"/>
      <c r="IE681" s="569"/>
      <c r="IF681" s="569"/>
      <c r="IG681" s="569"/>
      <c r="IH681" s="569"/>
      <c r="II681" s="569"/>
      <c r="IJ681" s="569"/>
      <c r="IK681" s="569"/>
      <c r="IL681" s="569"/>
      <c r="IM681" s="569"/>
      <c r="IN681" s="569"/>
      <c r="IO681" s="569"/>
      <c r="IP681" s="569"/>
      <c r="IQ681" s="569"/>
      <c r="IR681" s="569"/>
      <c r="IS681" s="569"/>
      <c r="IT681" s="569"/>
      <c r="IU681" s="569"/>
      <c r="IV681" s="569"/>
      <c r="IW681" s="569"/>
      <c r="IX681" s="569"/>
      <c r="IY681" s="569"/>
      <c r="IZ681" s="569"/>
      <c r="JA681" s="569"/>
      <c r="JB681" s="569"/>
      <c r="JC681" s="569"/>
      <c r="JD681" s="569"/>
      <c r="JE681" s="569"/>
      <c r="JF681" s="569"/>
      <c r="JG681" s="569"/>
      <c r="JH681" s="569"/>
      <c r="JI681" s="569"/>
      <c r="JJ681" s="569"/>
      <c r="JK681" s="569"/>
      <c r="JL681" s="569"/>
      <c r="JM681" s="569"/>
      <c r="JN681" s="569"/>
      <c r="JO681" s="569"/>
      <c r="JP681" s="569"/>
      <c r="JQ681" s="569"/>
      <c r="JR681" s="569"/>
      <c r="JS681" s="569"/>
      <c r="JT681" s="569"/>
      <c r="JU681" s="569"/>
      <c r="JV681" s="569"/>
      <c r="JW681" s="569"/>
      <c r="JX681" s="569"/>
      <c r="JY681" s="569"/>
      <c r="JZ681" s="569"/>
      <c r="KA681" s="569"/>
      <c r="KB681" s="569"/>
      <c r="KC681" s="569"/>
      <c r="KD681" s="569"/>
      <c r="KE681" s="569"/>
      <c r="KF681" s="569"/>
      <c r="KG681" s="569"/>
      <c r="KH681" s="569"/>
      <c r="KI681" s="569"/>
      <c r="KJ681" s="569"/>
      <c r="KK681" s="569"/>
      <c r="KL681" s="569"/>
      <c r="KM681" s="569"/>
      <c r="KN681" s="569"/>
      <c r="KO681" s="569"/>
      <c r="KP681" s="569"/>
      <c r="KQ681" s="569"/>
      <c r="KR681" s="569"/>
      <c r="KS681" s="569"/>
      <c r="KT681" s="569"/>
      <c r="KU681" s="569"/>
      <c r="KV681" s="569"/>
      <c r="KW681" s="569"/>
      <c r="KX681" s="569"/>
      <c r="KY681" s="569"/>
      <c r="KZ681" s="569"/>
      <c r="LA681" s="569"/>
      <c r="LB681" s="569"/>
      <c r="LC681" s="569"/>
      <c r="LD681" s="569"/>
      <c r="LE681" s="569"/>
      <c r="LF681" s="569"/>
      <c r="LG681" s="569"/>
      <c r="LH681" s="569"/>
      <c r="LI681" s="569"/>
      <c r="LJ681" s="569"/>
      <c r="LK681" s="569"/>
      <c r="LL681" s="569"/>
      <c r="LM681" s="569"/>
      <c r="LN681" s="569"/>
      <c r="LO681" s="569"/>
      <c r="LP681" s="569"/>
      <c r="LQ681" s="569"/>
      <c r="LR681" s="569"/>
      <c r="LS681" s="569"/>
      <c r="LT681" s="569"/>
      <c r="LU681" s="569"/>
      <c r="LV681" s="569"/>
      <c r="LW681" s="569"/>
      <c r="LX681" s="569"/>
      <c r="LY681" s="569"/>
      <c r="LZ681" s="569"/>
      <c r="MA681" s="569"/>
      <c r="MB681" s="569"/>
      <c r="MC681" s="569"/>
      <c r="MD681" s="569"/>
      <c r="ME681" s="569"/>
      <c r="MF681" s="569"/>
      <c r="MG681" s="569"/>
      <c r="MH681" s="569"/>
      <c r="MI681" s="569"/>
      <c r="MJ681" s="569"/>
      <c r="MK681" s="569"/>
      <c r="ML681" s="569"/>
      <c r="MM681" s="569"/>
      <c r="MN681" s="569"/>
      <c r="MO681" s="569"/>
      <c r="MP681" s="569"/>
      <c r="MQ681" s="569"/>
      <c r="MR681" s="569"/>
      <c r="MS681" s="569"/>
      <c r="MT681" s="569"/>
      <c r="MU681" s="569"/>
      <c r="MV681" s="569"/>
      <c r="MW681" s="569"/>
      <c r="MX681" s="569"/>
      <c r="MY681" s="569"/>
      <c r="MZ681" s="569"/>
      <c r="NA681" s="569"/>
      <c r="NB681" s="569"/>
      <c r="NC681" s="569"/>
      <c r="ND681" s="569"/>
      <c r="NE681" s="569"/>
      <c r="NF681" s="569"/>
      <c r="NG681" s="569"/>
      <c r="NH681" s="569"/>
      <c r="NI681" s="569"/>
      <c r="NJ681" s="569"/>
      <c r="NK681" s="569"/>
      <c r="NL681" s="569"/>
      <c r="NM681" s="569"/>
      <c r="NN681" s="569"/>
      <c r="NO681" s="569"/>
      <c r="NP681" s="569"/>
      <c r="NQ681" s="569"/>
      <c r="NR681" s="569"/>
      <c r="NS681" s="569"/>
      <c r="NT681" s="569"/>
      <c r="NU681" s="569"/>
      <c r="NV681" s="569"/>
      <c r="NW681" s="569"/>
      <c r="NX681" s="569"/>
      <c r="NY681" s="569"/>
      <c r="NZ681" s="569"/>
      <c r="OA681" s="569"/>
      <c r="OB681" s="569"/>
      <c r="OC681" s="569"/>
      <c r="OD681" s="569"/>
      <c r="OE681" s="569"/>
      <c r="OF681" s="569"/>
      <c r="OG681" s="569"/>
      <c r="OH681" s="569"/>
      <c r="OI681" s="569"/>
      <c r="OJ681" s="569"/>
      <c r="OK681" s="569"/>
      <c r="OL681" s="569"/>
      <c r="OM681" s="569"/>
      <c r="ON681" s="569"/>
      <c r="OO681" s="569"/>
      <c r="OP681" s="569"/>
      <c r="OQ681" s="569"/>
      <c r="OR681" s="569"/>
      <c r="OS681" s="569"/>
      <c r="OT681" s="569"/>
      <c r="OU681" s="569"/>
      <c r="OV681" s="569"/>
      <c r="OW681" s="569"/>
      <c r="OX681" s="569"/>
      <c r="OY681" s="569"/>
      <c r="OZ681" s="569"/>
      <c r="PA681" s="569"/>
      <c r="PB681" s="569"/>
      <c r="PC681" s="569"/>
      <c r="PD681" s="569"/>
      <c r="PE681" s="569"/>
      <c r="PF681" s="569"/>
      <c r="PG681" s="569"/>
      <c r="PH681" s="569"/>
      <c r="PI681" s="569"/>
      <c r="PJ681" s="569"/>
      <c r="PK681" s="569"/>
      <c r="PL681" s="569"/>
      <c r="PM681" s="569"/>
      <c r="PN681" s="569"/>
      <c r="PO681" s="569"/>
      <c r="PP681" s="569"/>
      <c r="PQ681" s="569"/>
      <c r="PR681" s="569"/>
      <c r="PS681" s="569"/>
      <c r="PT681" s="569"/>
      <c r="PU681" s="569"/>
      <c r="PV681" s="569"/>
      <c r="PW681" s="569"/>
      <c r="PX681" s="569"/>
      <c r="PY681" s="569"/>
      <c r="PZ681" s="569"/>
      <c r="QA681" s="569"/>
      <c r="QB681" s="569"/>
      <c r="QC681" s="569"/>
      <c r="QD681" s="569"/>
      <c r="QE681" s="569"/>
      <c r="QF681" s="569"/>
      <c r="QG681" s="569"/>
      <c r="QH681" s="569"/>
      <c r="QI681" s="569"/>
      <c r="QJ681" s="569"/>
      <c r="QK681" s="569"/>
      <c r="QL681" s="569"/>
    </row>
    <row r="682" spans="1:454" s="574" customFormat="1" ht="30">
      <c r="A682" s="569"/>
      <c r="B682" s="575">
        <v>5</v>
      </c>
      <c r="C682" s="576" t="str">
        <f>'matrik MISI 1'!B47</f>
        <v>KELAUTAN DAN PERIKANAN</v>
      </c>
      <c r="D682" s="577" t="str">
        <f>'matrik MISI 1'!J48</f>
        <v>2.05</v>
      </c>
      <c r="E682" s="577" t="str">
        <f>'matrik MISI 1'!K48</f>
        <v>xx</v>
      </c>
      <c r="F682" s="577">
        <f>'matrik MISI 1'!L48</f>
        <v>20</v>
      </c>
      <c r="G682" s="577" t="str">
        <f>'matrik MISI 1'!M48</f>
        <v>Program Pengembangan Budidaya Perikanan</v>
      </c>
      <c r="H682" s="577"/>
      <c r="I682" s="577"/>
      <c r="J682" s="577"/>
      <c r="K682" s="577"/>
      <c r="L682" s="577"/>
      <c r="M682" s="578">
        <f>'jangan dihapus 2'!K649</f>
        <v>3060868000</v>
      </c>
      <c r="N682" s="577"/>
      <c r="O682" s="578">
        <f>'jangan dihapus 2'!M649</f>
        <v>3050000000</v>
      </c>
      <c r="P682" s="577"/>
      <c r="Q682" s="578">
        <f>'jangan dihapus 2'!O649</f>
        <v>2600000000</v>
      </c>
      <c r="R682" s="577"/>
      <c r="S682" s="578">
        <f>'jangan dihapus 2'!Q649</f>
        <v>3550000000</v>
      </c>
      <c r="T682" s="577"/>
      <c r="U682" s="578">
        <f>'jangan dihapus 2'!S649</f>
        <v>3050000000</v>
      </c>
      <c r="V682" s="577"/>
      <c r="W682" s="578">
        <f>SUM(M682:U682)</f>
        <v>15310868000</v>
      </c>
      <c r="X682" s="577"/>
      <c r="Y682" s="577"/>
      <c r="Z682" s="577"/>
      <c r="AA682" s="569"/>
      <c r="AB682" s="569"/>
      <c r="AC682" s="569"/>
      <c r="AD682" s="569"/>
      <c r="AE682" s="569"/>
      <c r="AF682" s="569"/>
      <c r="AG682" s="569"/>
      <c r="AH682" s="569"/>
      <c r="AI682" s="569"/>
      <c r="AJ682" s="569"/>
      <c r="AK682" s="569"/>
      <c r="AL682" s="569"/>
      <c r="AM682" s="569"/>
      <c r="AN682" s="569"/>
      <c r="AO682" s="569"/>
      <c r="AP682" s="569"/>
      <c r="AQ682" s="569"/>
      <c r="AR682" s="569"/>
      <c r="AS682" s="569"/>
      <c r="AT682" s="569"/>
      <c r="AU682" s="569"/>
      <c r="AV682" s="569"/>
      <c r="AW682" s="569"/>
      <c r="AX682" s="569"/>
      <c r="AY682" s="569"/>
      <c r="AZ682" s="569"/>
      <c r="BA682" s="569"/>
      <c r="BB682" s="569"/>
      <c r="BC682" s="569"/>
      <c r="BD682" s="569"/>
      <c r="BE682" s="569"/>
      <c r="BF682" s="569"/>
      <c r="BG682" s="569"/>
      <c r="BH682" s="569"/>
      <c r="BI682" s="569"/>
      <c r="BJ682" s="569"/>
      <c r="BK682" s="569"/>
      <c r="BL682" s="569"/>
      <c r="BM682" s="569"/>
      <c r="BN682" s="569"/>
      <c r="BO682" s="569"/>
      <c r="BP682" s="569"/>
      <c r="BQ682" s="569"/>
      <c r="BR682" s="569"/>
      <c r="BS682" s="569"/>
      <c r="BT682" s="569"/>
      <c r="BU682" s="569"/>
      <c r="BV682" s="569"/>
      <c r="BW682" s="569"/>
      <c r="BX682" s="569"/>
      <c r="BY682" s="569"/>
      <c r="BZ682" s="569"/>
      <c r="CA682" s="569"/>
      <c r="CB682" s="569"/>
      <c r="CC682" s="569"/>
      <c r="CD682" s="569"/>
      <c r="CE682" s="569"/>
      <c r="CF682" s="569"/>
      <c r="CG682" s="569"/>
      <c r="CH682" s="569"/>
      <c r="CI682" s="569"/>
      <c r="CJ682" s="569"/>
      <c r="CK682" s="569"/>
      <c r="CL682" s="569"/>
      <c r="CM682" s="569"/>
      <c r="CN682" s="569"/>
      <c r="CO682" s="569"/>
      <c r="CP682" s="569"/>
      <c r="CQ682" s="569"/>
      <c r="CR682" s="569"/>
      <c r="CS682" s="569"/>
      <c r="CT682" s="569"/>
      <c r="CU682" s="569"/>
      <c r="CV682" s="569"/>
      <c r="CW682" s="569"/>
      <c r="CX682" s="569"/>
      <c r="CY682" s="569"/>
      <c r="CZ682" s="569"/>
      <c r="DA682" s="569"/>
      <c r="DB682" s="569"/>
      <c r="DC682" s="569"/>
      <c r="DD682" s="569"/>
      <c r="DE682" s="569"/>
      <c r="DF682" s="569"/>
      <c r="DG682" s="569"/>
      <c r="DH682" s="569"/>
      <c r="DI682" s="569"/>
      <c r="DJ682" s="569"/>
      <c r="DK682" s="569"/>
      <c r="DL682" s="569"/>
      <c r="DM682" s="569"/>
      <c r="DN682" s="569"/>
      <c r="DO682" s="569"/>
      <c r="DP682" s="569"/>
      <c r="DQ682" s="569"/>
      <c r="DR682" s="569"/>
      <c r="DS682" s="569"/>
      <c r="DT682" s="569"/>
      <c r="DU682" s="569"/>
      <c r="DV682" s="569"/>
      <c r="DW682" s="569"/>
      <c r="DX682" s="569"/>
      <c r="DY682" s="569"/>
      <c r="DZ682" s="569"/>
      <c r="EA682" s="569"/>
      <c r="EB682" s="569"/>
      <c r="EC682" s="569"/>
      <c r="ED682" s="569"/>
      <c r="EE682" s="569"/>
      <c r="EF682" s="569"/>
      <c r="EG682" s="569"/>
      <c r="EH682" s="569"/>
      <c r="EI682" s="569"/>
      <c r="EJ682" s="569"/>
      <c r="EK682" s="569"/>
      <c r="EL682" s="569"/>
      <c r="EM682" s="569"/>
      <c r="EN682" s="569"/>
      <c r="EO682" s="569"/>
      <c r="EP682" s="569"/>
      <c r="EQ682" s="569"/>
      <c r="ER682" s="569"/>
      <c r="ES682" s="569"/>
      <c r="ET682" s="569"/>
      <c r="EU682" s="569"/>
      <c r="EV682" s="569"/>
      <c r="EW682" s="569"/>
      <c r="EX682" s="569"/>
      <c r="EY682" s="569"/>
      <c r="EZ682" s="569"/>
      <c r="FA682" s="569"/>
      <c r="FB682" s="569"/>
      <c r="FC682" s="569"/>
      <c r="FD682" s="569"/>
      <c r="FE682" s="569"/>
      <c r="FF682" s="569"/>
      <c r="FG682" s="569"/>
      <c r="FH682" s="569"/>
      <c r="FI682" s="569"/>
      <c r="FJ682" s="569"/>
      <c r="FK682" s="569"/>
      <c r="FL682" s="569"/>
      <c r="FM682" s="569"/>
      <c r="FN682" s="569"/>
      <c r="FO682" s="569"/>
      <c r="FP682" s="569"/>
      <c r="FQ682" s="569"/>
      <c r="FR682" s="569"/>
      <c r="FS682" s="569"/>
      <c r="FT682" s="569"/>
      <c r="FU682" s="569"/>
      <c r="FV682" s="569"/>
      <c r="FW682" s="569"/>
      <c r="FX682" s="569"/>
      <c r="FY682" s="569"/>
      <c r="FZ682" s="569"/>
      <c r="GA682" s="569"/>
      <c r="GB682" s="569"/>
      <c r="GC682" s="569"/>
      <c r="GD682" s="569"/>
      <c r="GE682" s="569"/>
      <c r="GF682" s="569"/>
      <c r="GG682" s="569"/>
      <c r="GH682" s="569"/>
      <c r="GI682" s="569"/>
      <c r="GJ682" s="569"/>
      <c r="GK682" s="569"/>
      <c r="GL682" s="569"/>
      <c r="GM682" s="569"/>
      <c r="GN682" s="569"/>
      <c r="GO682" s="569"/>
      <c r="GP682" s="569"/>
      <c r="GQ682" s="569"/>
      <c r="GR682" s="569"/>
      <c r="GS682" s="569"/>
      <c r="GT682" s="569"/>
      <c r="GU682" s="569"/>
      <c r="GV682" s="569"/>
      <c r="GW682" s="569"/>
      <c r="GX682" s="569"/>
      <c r="GY682" s="569"/>
      <c r="GZ682" s="569"/>
      <c r="HA682" s="569"/>
      <c r="HB682" s="569"/>
      <c r="HC682" s="569"/>
      <c r="HD682" s="569"/>
      <c r="HE682" s="569"/>
      <c r="HF682" s="569"/>
      <c r="HG682" s="569"/>
      <c r="HH682" s="569"/>
      <c r="HI682" s="569"/>
      <c r="HJ682" s="569"/>
      <c r="HK682" s="569"/>
      <c r="HL682" s="569"/>
      <c r="HM682" s="569"/>
      <c r="HN682" s="569"/>
      <c r="HO682" s="569"/>
      <c r="HP682" s="569"/>
      <c r="HQ682" s="569"/>
      <c r="HR682" s="569"/>
      <c r="HS682" s="569"/>
      <c r="HT682" s="569"/>
      <c r="HU682" s="569"/>
      <c r="HV682" s="569"/>
      <c r="HW682" s="569"/>
      <c r="HX682" s="569"/>
      <c r="HY682" s="569"/>
      <c r="HZ682" s="569"/>
      <c r="IA682" s="569"/>
      <c r="IB682" s="569"/>
      <c r="IC682" s="569"/>
      <c r="ID682" s="569"/>
      <c r="IE682" s="569"/>
      <c r="IF682" s="569"/>
      <c r="IG682" s="569"/>
      <c r="IH682" s="569"/>
      <c r="II682" s="569"/>
      <c r="IJ682" s="569"/>
      <c r="IK682" s="569"/>
      <c r="IL682" s="569"/>
      <c r="IM682" s="569"/>
      <c r="IN682" s="569"/>
      <c r="IO682" s="569"/>
      <c r="IP682" s="569"/>
      <c r="IQ682" s="569"/>
      <c r="IR682" s="569"/>
      <c r="IS682" s="569"/>
      <c r="IT682" s="569"/>
      <c r="IU682" s="569"/>
      <c r="IV682" s="569"/>
      <c r="IW682" s="569"/>
      <c r="IX682" s="569"/>
      <c r="IY682" s="569"/>
      <c r="IZ682" s="569"/>
      <c r="JA682" s="569"/>
      <c r="JB682" s="569"/>
      <c r="JC682" s="569"/>
      <c r="JD682" s="569"/>
      <c r="JE682" s="569"/>
      <c r="JF682" s="569"/>
      <c r="JG682" s="569"/>
      <c r="JH682" s="569"/>
      <c r="JI682" s="569"/>
      <c r="JJ682" s="569"/>
      <c r="JK682" s="569"/>
      <c r="JL682" s="569"/>
      <c r="JM682" s="569"/>
      <c r="JN682" s="569"/>
      <c r="JO682" s="569"/>
      <c r="JP682" s="569"/>
      <c r="JQ682" s="569"/>
      <c r="JR682" s="569"/>
      <c r="JS682" s="569"/>
      <c r="JT682" s="569"/>
      <c r="JU682" s="569"/>
      <c r="JV682" s="569"/>
      <c r="JW682" s="569"/>
      <c r="JX682" s="569"/>
      <c r="JY682" s="569"/>
      <c r="JZ682" s="569"/>
      <c r="KA682" s="569"/>
      <c r="KB682" s="569"/>
      <c r="KC682" s="569"/>
      <c r="KD682" s="569"/>
      <c r="KE682" s="569"/>
      <c r="KF682" s="569"/>
      <c r="KG682" s="569"/>
      <c r="KH682" s="569"/>
      <c r="KI682" s="569"/>
      <c r="KJ682" s="569"/>
      <c r="KK682" s="569"/>
      <c r="KL682" s="569"/>
      <c r="KM682" s="569"/>
      <c r="KN682" s="569"/>
      <c r="KO682" s="569"/>
      <c r="KP682" s="569"/>
      <c r="KQ682" s="569"/>
      <c r="KR682" s="569"/>
      <c r="KS682" s="569"/>
      <c r="KT682" s="569"/>
      <c r="KU682" s="569"/>
      <c r="KV682" s="569"/>
      <c r="KW682" s="569"/>
      <c r="KX682" s="569"/>
      <c r="KY682" s="569"/>
      <c r="KZ682" s="569"/>
      <c r="LA682" s="569"/>
      <c r="LB682" s="569"/>
      <c r="LC682" s="569"/>
      <c r="LD682" s="569"/>
      <c r="LE682" s="569"/>
      <c r="LF682" s="569"/>
      <c r="LG682" s="569"/>
      <c r="LH682" s="569"/>
      <c r="LI682" s="569"/>
      <c r="LJ682" s="569"/>
      <c r="LK682" s="569"/>
      <c r="LL682" s="569"/>
      <c r="LM682" s="569"/>
      <c r="LN682" s="569"/>
      <c r="LO682" s="569"/>
      <c r="LP682" s="569"/>
      <c r="LQ682" s="569"/>
      <c r="LR682" s="569"/>
      <c r="LS682" s="569"/>
      <c r="LT682" s="569"/>
      <c r="LU682" s="569"/>
      <c r="LV682" s="569"/>
      <c r="LW682" s="569"/>
      <c r="LX682" s="569"/>
      <c r="LY682" s="569"/>
      <c r="LZ682" s="569"/>
      <c r="MA682" s="569"/>
      <c r="MB682" s="569"/>
      <c r="MC682" s="569"/>
      <c r="MD682" s="569"/>
      <c r="ME682" s="569"/>
      <c r="MF682" s="569"/>
      <c r="MG682" s="569"/>
      <c r="MH682" s="569"/>
      <c r="MI682" s="569"/>
      <c r="MJ682" s="569"/>
      <c r="MK682" s="569"/>
      <c r="ML682" s="569"/>
      <c r="MM682" s="569"/>
      <c r="MN682" s="569"/>
      <c r="MO682" s="569"/>
      <c r="MP682" s="569"/>
      <c r="MQ682" s="569"/>
      <c r="MR682" s="569"/>
      <c r="MS682" s="569"/>
      <c r="MT682" s="569"/>
      <c r="MU682" s="569"/>
      <c r="MV682" s="569"/>
      <c r="MW682" s="569"/>
      <c r="MX682" s="569"/>
      <c r="MY682" s="569"/>
      <c r="MZ682" s="569"/>
      <c r="NA682" s="569"/>
      <c r="NB682" s="569"/>
      <c r="NC682" s="569"/>
      <c r="ND682" s="569"/>
      <c r="NE682" s="569"/>
      <c r="NF682" s="569"/>
      <c r="NG682" s="569"/>
      <c r="NH682" s="569"/>
      <c r="NI682" s="569"/>
      <c r="NJ682" s="569"/>
      <c r="NK682" s="569"/>
      <c r="NL682" s="569"/>
      <c r="NM682" s="569"/>
      <c r="NN682" s="569"/>
      <c r="NO682" s="569"/>
      <c r="NP682" s="569"/>
      <c r="NQ682" s="569"/>
      <c r="NR682" s="569"/>
      <c r="NS682" s="569"/>
      <c r="NT682" s="569"/>
      <c r="NU682" s="569"/>
      <c r="NV682" s="569"/>
      <c r="NW682" s="569"/>
      <c r="NX682" s="569"/>
      <c r="NY682" s="569"/>
      <c r="NZ682" s="569"/>
      <c r="OA682" s="569"/>
      <c r="OB682" s="569"/>
      <c r="OC682" s="569"/>
      <c r="OD682" s="569"/>
      <c r="OE682" s="569"/>
      <c r="OF682" s="569"/>
      <c r="OG682" s="569"/>
      <c r="OH682" s="569"/>
      <c r="OI682" s="569"/>
      <c r="OJ682" s="569"/>
      <c r="OK682" s="569"/>
      <c r="OL682" s="569"/>
      <c r="OM682" s="569"/>
      <c r="ON682" s="569"/>
      <c r="OO682" s="569"/>
      <c r="OP682" s="569"/>
      <c r="OQ682" s="569"/>
      <c r="OR682" s="569"/>
      <c r="OS682" s="569"/>
      <c r="OT682" s="569"/>
      <c r="OU682" s="569"/>
      <c r="OV682" s="569"/>
      <c r="OW682" s="569"/>
      <c r="OX682" s="569"/>
      <c r="OY682" s="569"/>
      <c r="OZ682" s="569"/>
      <c r="PA682" s="569"/>
      <c r="PB682" s="569"/>
      <c r="PC682" s="569"/>
      <c r="PD682" s="569"/>
      <c r="PE682" s="569"/>
      <c r="PF682" s="569"/>
      <c r="PG682" s="569"/>
      <c r="PH682" s="569"/>
      <c r="PI682" s="569"/>
      <c r="PJ682" s="569"/>
      <c r="PK682" s="569"/>
      <c r="PL682" s="569"/>
      <c r="PM682" s="569"/>
      <c r="PN682" s="569"/>
      <c r="PO682" s="569"/>
      <c r="PP682" s="569"/>
      <c r="PQ682" s="569"/>
      <c r="PR682" s="569"/>
      <c r="PS682" s="569"/>
      <c r="PT682" s="569"/>
      <c r="PU682" s="569"/>
      <c r="PV682" s="569"/>
      <c r="PW682" s="569"/>
      <c r="PX682" s="569"/>
      <c r="PY682" s="569"/>
      <c r="PZ682" s="569"/>
      <c r="QA682" s="569"/>
      <c r="QB682" s="569"/>
      <c r="QC682" s="569"/>
      <c r="QD682" s="569"/>
      <c r="QE682" s="569"/>
      <c r="QF682" s="569"/>
      <c r="QG682" s="569"/>
      <c r="QH682" s="569"/>
      <c r="QI682" s="569"/>
      <c r="QJ682" s="569"/>
      <c r="QK682" s="569"/>
      <c r="QL682" s="569"/>
    </row>
    <row r="683" spans="1:454" ht="30">
      <c r="B683" s="568"/>
      <c r="C683" s="568"/>
      <c r="D683" s="568"/>
      <c r="E683" s="568"/>
      <c r="F683" s="568"/>
      <c r="G683" s="568"/>
      <c r="H683" s="563" t="str">
        <f>'matrik MISI 1'!N48</f>
        <v xml:space="preserve">Penggunaan induk ikan unggul  </v>
      </c>
      <c r="I683" s="563" t="str">
        <f>'matrik MISI 1'!O48</f>
        <v>%</v>
      </c>
      <c r="J683" s="563">
        <f>'matrik MISI 1'!P48</f>
        <v>10</v>
      </c>
      <c r="K683" s="563">
        <f>'matrik MISI 1'!Q48</f>
        <v>20</v>
      </c>
      <c r="L683" s="563">
        <f>'matrik MISI 1'!R48</f>
        <v>25</v>
      </c>
      <c r="M683" s="604"/>
      <c r="N683" s="563">
        <f>'matrik MISI 1'!S48</f>
        <v>30</v>
      </c>
      <c r="O683" s="564"/>
      <c r="P683" s="563">
        <f>'matrik MISI 1'!T48</f>
        <v>40</v>
      </c>
      <c r="Q683" s="564"/>
      <c r="R683" s="563">
        <f>'matrik MISI 1'!U48</f>
        <v>50</v>
      </c>
      <c r="S683" s="564"/>
      <c r="T683" s="563">
        <f>'matrik MISI 1'!V48</f>
        <v>60</v>
      </c>
      <c r="U683" s="564"/>
      <c r="V683" s="563">
        <f>'matrik MISI 1'!W48</f>
        <v>60</v>
      </c>
      <c r="W683" s="564"/>
      <c r="X683" s="563" t="str">
        <f>'matrik MISI 1'!X48</f>
        <v>DINAKAN</v>
      </c>
      <c r="Y683" s="563" t="str">
        <f>'matrik MISI 1'!Y48</f>
        <v>Jumlah induk unggul yang digunakan dibagi jumlah total  penggunaan induk ikan untuk keg.pembenihan kali 100%</v>
      </c>
      <c r="Z683" s="563">
        <f>'matrik MISI 1'!Z48</f>
        <v>0</v>
      </c>
    </row>
    <row r="684" spans="1:454">
      <c r="G684" s="563"/>
      <c r="H684" s="563" t="str">
        <f>'matrik MISI 1'!N49</f>
        <v>Peningkatan produksi benih ikan</v>
      </c>
      <c r="I684" s="563" t="str">
        <f>'matrik MISI 1'!O49</f>
        <v>Ekor</v>
      </c>
      <c r="J684" s="563">
        <f>'matrik MISI 1'!P49</f>
        <v>53088000</v>
      </c>
      <c r="K684" s="563">
        <f>'matrik MISI 1'!Q49</f>
        <v>69200000</v>
      </c>
      <c r="L684" s="563">
        <f>'matrik MISI 1'!R49</f>
        <v>76120000</v>
      </c>
      <c r="M684" s="604"/>
      <c r="N684" s="563">
        <f>'matrik MISI 1'!S49</f>
        <v>83732000</v>
      </c>
      <c r="O684" s="564"/>
      <c r="P684" s="563">
        <f>'matrik MISI 1'!T49</f>
        <v>92105200</v>
      </c>
      <c r="Q684" s="564"/>
      <c r="R684" s="563">
        <f>'matrik MISI 1'!U49</f>
        <v>102236750</v>
      </c>
      <c r="S684" s="564"/>
      <c r="T684" s="563">
        <f>'matrik MISI 1'!V49</f>
        <v>113482800</v>
      </c>
      <c r="U684" s="564"/>
      <c r="V684" s="563">
        <f>'matrik MISI 1'!W49</f>
        <v>113482800</v>
      </c>
      <c r="W684" s="564"/>
      <c r="X684" s="563" t="str">
        <f>'matrik MISI 1'!X49</f>
        <v>DINAKAN</v>
      </c>
      <c r="Y684" s="563" t="str">
        <f>'matrik MISI 1'!Y49</f>
        <v xml:space="preserve">Jumlah produksi benih ikan </v>
      </c>
      <c r="Z684" s="563">
        <f>'matrik MISI 1'!Z49</f>
        <v>0</v>
      </c>
    </row>
    <row r="685" spans="1:454" ht="30">
      <c r="G685" s="563"/>
      <c r="H685" s="563" t="str">
        <f>'matrik MISI 1'!N50</f>
        <v>Peningkatan produksi ikan konsumsi (kolam)</v>
      </c>
      <c r="I685" s="563" t="str">
        <f>'matrik MISI 1'!O50</f>
        <v>Ekor</v>
      </c>
      <c r="J685" s="563" t="str">
        <f>'matrik MISI 1'!P50</f>
        <v xml:space="preserve">1.864,08 </v>
      </c>
      <c r="K685" s="563" t="str">
        <f>'matrik MISI 1'!Q50</f>
        <v xml:space="preserve">2.302,14 </v>
      </c>
      <c r="L685" s="563">
        <f>'matrik MISI 1'!R50</f>
        <v>2854.65</v>
      </c>
      <c r="M685" s="604"/>
      <c r="N685" s="563">
        <f>'matrik MISI 1'!S50</f>
        <v>3539.77</v>
      </c>
      <c r="O685" s="564"/>
      <c r="P685" s="563">
        <f>'matrik MISI 1'!T50</f>
        <v>4389.32</v>
      </c>
      <c r="Q685" s="564"/>
      <c r="R685" s="563">
        <f>'matrik MISI 1'!U50</f>
        <v>5442.75</v>
      </c>
      <c r="S685" s="564"/>
      <c r="T685" s="563">
        <f>'matrik MISI 1'!V50</f>
        <v>6749.01</v>
      </c>
      <c r="U685" s="564"/>
      <c r="V685" s="563">
        <f>'matrik MISI 1'!W50</f>
        <v>6749.01</v>
      </c>
      <c r="W685" s="564"/>
      <c r="X685" s="563" t="str">
        <f>'matrik MISI 1'!X50</f>
        <v>DINAKAN</v>
      </c>
      <c r="Y685" s="563" t="str">
        <f>'matrik MISI 1'!Y50</f>
        <v>Jumlah produksi ikan konsumsi tahun n-(n-1) dibagi jumlah produksi ikan konsumsi tahun ke n-1 kali 100%</v>
      </c>
      <c r="Z685" s="563" t="str">
        <f>'matrik MISI 1'!Z50</f>
        <v>cukup jelas</v>
      </c>
    </row>
    <row r="686" spans="1:454" ht="30">
      <c r="G686" s="563"/>
      <c r="H686" s="563" t="str">
        <f>'matrik MISI 1'!N51</f>
        <v>Peningkatan produksi mina padi</v>
      </c>
      <c r="I686" s="563" t="str">
        <f>'matrik MISI 1'!O51</f>
        <v>Ekor</v>
      </c>
      <c r="J686" s="563">
        <f>'matrik MISI 1'!P51</f>
        <v>1152.26</v>
      </c>
      <c r="K686" s="563">
        <f>'matrik MISI 1'!Q51</f>
        <v>1423.99</v>
      </c>
      <c r="L686" s="563">
        <f>'matrik MISI 1'!R51</f>
        <v>1765.75</v>
      </c>
      <c r="M686" s="604"/>
      <c r="N686" s="563">
        <f>'matrik MISI 1'!S51</f>
        <v>2189.5300000000002</v>
      </c>
      <c r="O686" s="564"/>
      <c r="P686" s="563">
        <f>'matrik MISI 1'!T51</f>
        <v>2715.01</v>
      </c>
      <c r="Q686" s="564"/>
      <c r="R686" s="563">
        <f>'matrik MISI 1'!U51</f>
        <v>3366.62</v>
      </c>
      <c r="S686" s="564"/>
      <c r="T686" s="563">
        <f>'matrik MISI 1'!V51</f>
        <v>4174.6000000000004</v>
      </c>
      <c r="U686" s="564"/>
      <c r="V686" s="563">
        <f>'matrik MISI 1'!W51</f>
        <v>4174.6000000000004</v>
      </c>
      <c r="W686" s="564"/>
      <c r="X686" s="563" t="str">
        <f>'matrik MISI 1'!X51</f>
        <v>DINAKAN</v>
      </c>
      <c r="Y686" s="563" t="str">
        <f>'matrik MISI 1'!Y51</f>
        <v>Jumlah produksi mina padi tahun n-(n-1) dibagi jumlah produksi mina padi tahun ke n-1 kali 100%</v>
      </c>
      <c r="Z686" s="563" t="str">
        <f>'matrik MISI 1'!Z51</f>
        <v>cukup jelas</v>
      </c>
    </row>
    <row r="687" spans="1:454">
      <c r="G687" s="563"/>
      <c r="H687" s="563" t="str">
        <f>'matrik MISI 1'!N52</f>
        <v>Produktivitas benih ikan</v>
      </c>
      <c r="I687" s="563" t="str">
        <f>'matrik MISI 1'!O52</f>
        <v>ekor/m2</v>
      </c>
      <c r="J687" s="563">
        <f>'matrik MISI 1'!P52</f>
        <v>70</v>
      </c>
      <c r="K687" s="563">
        <f>'matrik MISI 1'!Q52</f>
        <v>80</v>
      </c>
      <c r="L687" s="563">
        <f>'matrik MISI 1'!R52</f>
        <v>90</v>
      </c>
      <c r="M687" s="604"/>
      <c r="N687" s="563">
        <f>'matrik MISI 1'!S52</f>
        <v>100</v>
      </c>
      <c r="O687" s="564"/>
      <c r="P687" s="563">
        <f>'matrik MISI 1'!T52</f>
        <v>110</v>
      </c>
      <c r="Q687" s="564"/>
      <c r="R687" s="563">
        <f>'matrik MISI 1'!U52</f>
        <v>120</v>
      </c>
      <c r="S687" s="564"/>
      <c r="T687" s="563">
        <f>'matrik MISI 1'!V52</f>
        <v>130</v>
      </c>
      <c r="U687" s="564"/>
      <c r="V687" s="563">
        <f>'matrik MISI 1'!W52</f>
        <v>130</v>
      </c>
      <c r="W687" s="564"/>
      <c r="X687" s="563" t="str">
        <f>'matrik MISI 1'!X52</f>
        <v>DINAKAN</v>
      </c>
      <c r="Y687" s="563" t="str">
        <f>'matrik MISI 1'!Y52</f>
        <v>Jumlah produksi benih ikan (ekor ) per luas kolam (m2)</v>
      </c>
      <c r="Z687" s="563">
        <f>'matrik MISI 1'!Z52</f>
        <v>0</v>
      </c>
    </row>
    <row r="688" spans="1:454">
      <c r="G688" s="563"/>
      <c r="H688" s="563" t="str">
        <f>'matrik MISI 1'!N53</f>
        <v>Produktivitas ikan konsumsi</v>
      </c>
      <c r="I688" s="563" t="str">
        <f>'matrik MISI 1'!O53</f>
        <v>kg/m2</v>
      </c>
      <c r="J688" s="563" t="str">
        <f>'matrik MISI 1'!P53</f>
        <v xml:space="preserve">1,58 </v>
      </c>
      <c r="K688" s="563" t="str">
        <f>'matrik MISI 1'!Q53</f>
        <v xml:space="preserve">1,93 </v>
      </c>
      <c r="L688" s="563">
        <f>'matrik MISI 1'!R53</f>
        <v>2.36</v>
      </c>
      <c r="M688" s="604"/>
      <c r="N688" s="563">
        <f>'matrik MISI 1'!S53</f>
        <v>2.89</v>
      </c>
      <c r="O688" s="564"/>
      <c r="P688" s="563">
        <f>'matrik MISI 1'!T53</f>
        <v>3.54</v>
      </c>
      <c r="Q688" s="564"/>
      <c r="R688" s="563">
        <f>'matrik MISI 1'!U53</f>
        <v>4.33</v>
      </c>
      <c r="S688" s="564"/>
      <c r="T688" s="563">
        <f>'matrik MISI 1'!V53</f>
        <v>5.29</v>
      </c>
      <c r="U688" s="564"/>
      <c r="V688" s="563" t="str">
        <f>'matrik MISI 1'!W53</f>
        <v xml:space="preserve">5,29 </v>
      </c>
      <c r="W688" s="564"/>
      <c r="X688" s="563" t="str">
        <f>'matrik MISI 1'!X53</f>
        <v>DINAKAN</v>
      </c>
      <c r="Y688" s="563" t="str">
        <f>'matrik MISI 1'!Y53</f>
        <v>Jumlah produksi ikan konsumsi (kg ) per luas kolam (m2)</v>
      </c>
      <c r="Z688" s="563">
        <f>'matrik MISI 1'!Z53</f>
        <v>0</v>
      </c>
    </row>
    <row r="689" spans="1:454">
      <c r="G689" s="563"/>
      <c r="H689" s="563" t="str">
        <f>'matrik MISI 1'!N54</f>
        <v>Produktivitas mina padi</v>
      </c>
      <c r="I689" s="563" t="str">
        <f>'matrik MISI 1'!O54</f>
        <v>kg/Ha/tahun</v>
      </c>
      <c r="J689" s="563" t="str">
        <f>'matrik MISI 1'!P54</f>
        <v xml:space="preserve">375,76 </v>
      </c>
      <c r="K689" s="563" t="str">
        <f>'matrik MISI 1'!Q54</f>
        <v xml:space="preserve">455,26 </v>
      </c>
      <c r="L689" s="563">
        <f>'matrik MISI 1'!R54</f>
        <v>551.58000000000004</v>
      </c>
      <c r="M689" s="604"/>
      <c r="N689" s="563">
        <f>'matrik MISI 1'!S54</f>
        <v>668.28</v>
      </c>
      <c r="O689" s="564"/>
      <c r="P689" s="563">
        <f>'matrik MISI 1'!T54</f>
        <v>809.67</v>
      </c>
      <c r="Q689" s="564"/>
      <c r="R689" s="563">
        <f>'matrik MISI 1'!U54</f>
        <v>980.97</v>
      </c>
      <c r="S689" s="564"/>
      <c r="T689" s="563">
        <f>'matrik MISI 1'!V54</f>
        <v>1188.51</v>
      </c>
      <c r="U689" s="564"/>
      <c r="V689" s="563" t="str">
        <f>'matrik MISI 1'!W54</f>
        <v xml:space="preserve">1188,51 </v>
      </c>
      <c r="W689" s="564"/>
      <c r="X689" s="563" t="str">
        <f>'matrik MISI 1'!X54</f>
        <v>DINAKAN</v>
      </c>
      <c r="Y689" s="563" t="str">
        <f>'matrik MISI 1'!Y54</f>
        <v xml:space="preserve">Jumlah produksi ikan (kg ) per luas lahan budidaya minapadi (Ha) </v>
      </c>
      <c r="Z689" s="563">
        <f>'matrik MISI 1'!Z54</f>
        <v>0</v>
      </c>
    </row>
    <row r="690" spans="1:454" s="574" customFormat="1" ht="60">
      <c r="A690" s="569"/>
      <c r="B690" s="575"/>
      <c r="C690" s="576"/>
      <c r="D690" s="577" t="str">
        <f>'matrik MISI 1'!J55</f>
        <v>2.05</v>
      </c>
      <c r="E690" s="577" t="str">
        <f>'matrik MISI 1'!K55</f>
        <v>xx</v>
      </c>
      <c r="F690" s="577">
        <f>'matrik MISI 1'!L55</f>
        <v>23</v>
      </c>
      <c r="G690" s="577" t="str">
        <f>'matrik MISI 1'!M55</f>
        <v>Program Optimalisasi pengelolaan dan Pemasaran Produksi Perikanan</v>
      </c>
      <c r="H690" s="577"/>
      <c r="I690" s="577"/>
      <c r="J690" s="577"/>
      <c r="K690" s="577"/>
      <c r="L690" s="577"/>
      <c r="M690" s="578">
        <f>'jangan dihapus 2'!K661</f>
        <v>876128000</v>
      </c>
      <c r="N690" s="577"/>
      <c r="O690" s="578">
        <f>'jangan dihapus 2'!M661</f>
        <v>1065000000</v>
      </c>
      <c r="P690" s="577"/>
      <c r="Q690" s="578">
        <f>'jangan dihapus 2'!O661</f>
        <v>1200000000</v>
      </c>
      <c r="R690" s="577"/>
      <c r="S690" s="578">
        <f>'jangan dihapus 2'!Q661</f>
        <v>1475000000</v>
      </c>
      <c r="T690" s="577"/>
      <c r="U690" s="578">
        <f>'jangan dihapus 2'!S661</f>
        <v>1535000000</v>
      </c>
      <c r="V690" s="577"/>
      <c r="W690" s="578">
        <f>SUM(M690:U690)</f>
        <v>6151128000</v>
      </c>
      <c r="X690" s="577"/>
      <c r="Y690" s="577"/>
      <c r="Z690" s="577"/>
      <c r="AA690" s="569"/>
      <c r="AB690" s="569"/>
      <c r="AC690" s="569"/>
      <c r="AD690" s="569"/>
      <c r="AE690" s="569"/>
      <c r="AF690" s="569"/>
      <c r="AG690" s="569"/>
      <c r="AH690" s="569"/>
      <c r="AI690" s="569"/>
      <c r="AJ690" s="569"/>
      <c r="AK690" s="569"/>
      <c r="AL690" s="569"/>
      <c r="AM690" s="569"/>
      <c r="AN690" s="569"/>
      <c r="AO690" s="569"/>
      <c r="AP690" s="569"/>
      <c r="AQ690" s="569"/>
      <c r="AR690" s="569"/>
      <c r="AS690" s="569"/>
      <c r="AT690" s="569"/>
      <c r="AU690" s="569"/>
      <c r="AV690" s="569"/>
      <c r="AW690" s="569"/>
      <c r="AX690" s="569"/>
      <c r="AY690" s="569"/>
      <c r="AZ690" s="569"/>
      <c r="BA690" s="569"/>
      <c r="BB690" s="569"/>
      <c r="BC690" s="569"/>
      <c r="BD690" s="569"/>
      <c r="BE690" s="569"/>
      <c r="BF690" s="569"/>
      <c r="BG690" s="569"/>
      <c r="BH690" s="569"/>
      <c r="BI690" s="569"/>
      <c r="BJ690" s="569"/>
      <c r="BK690" s="569"/>
      <c r="BL690" s="569"/>
      <c r="BM690" s="569"/>
      <c r="BN690" s="569"/>
      <c r="BO690" s="569"/>
      <c r="BP690" s="569"/>
      <c r="BQ690" s="569"/>
      <c r="BR690" s="569"/>
      <c r="BS690" s="569"/>
      <c r="BT690" s="569"/>
      <c r="BU690" s="569"/>
      <c r="BV690" s="569"/>
      <c r="BW690" s="569"/>
      <c r="BX690" s="569"/>
      <c r="BY690" s="569"/>
      <c r="BZ690" s="569"/>
      <c r="CA690" s="569"/>
      <c r="CB690" s="569"/>
      <c r="CC690" s="569"/>
      <c r="CD690" s="569"/>
      <c r="CE690" s="569"/>
      <c r="CF690" s="569"/>
      <c r="CG690" s="569"/>
      <c r="CH690" s="569"/>
      <c r="CI690" s="569"/>
      <c r="CJ690" s="569"/>
      <c r="CK690" s="569"/>
      <c r="CL690" s="569"/>
      <c r="CM690" s="569"/>
      <c r="CN690" s="569"/>
      <c r="CO690" s="569"/>
      <c r="CP690" s="569"/>
      <c r="CQ690" s="569"/>
      <c r="CR690" s="569"/>
      <c r="CS690" s="569"/>
      <c r="CT690" s="569"/>
      <c r="CU690" s="569"/>
      <c r="CV690" s="569"/>
      <c r="CW690" s="569"/>
      <c r="CX690" s="569"/>
      <c r="CY690" s="569"/>
      <c r="CZ690" s="569"/>
      <c r="DA690" s="569"/>
      <c r="DB690" s="569"/>
      <c r="DC690" s="569"/>
      <c r="DD690" s="569"/>
      <c r="DE690" s="569"/>
      <c r="DF690" s="569"/>
      <c r="DG690" s="569"/>
      <c r="DH690" s="569"/>
      <c r="DI690" s="569"/>
      <c r="DJ690" s="569"/>
      <c r="DK690" s="569"/>
      <c r="DL690" s="569"/>
      <c r="DM690" s="569"/>
      <c r="DN690" s="569"/>
      <c r="DO690" s="569"/>
      <c r="DP690" s="569"/>
      <c r="DQ690" s="569"/>
      <c r="DR690" s="569"/>
      <c r="DS690" s="569"/>
      <c r="DT690" s="569"/>
      <c r="DU690" s="569"/>
      <c r="DV690" s="569"/>
      <c r="DW690" s="569"/>
      <c r="DX690" s="569"/>
      <c r="DY690" s="569"/>
      <c r="DZ690" s="569"/>
      <c r="EA690" s="569"/>
      <c r="EB690" s="569"/>
      <c r="EC690" s="569"/>
      <c r="ED690" s="569"/>
      <c r="EE690" s="569"/>
      <c r="EF690" s="569"/>
      <c r="EG690" s="569"/>
      <c r="EH690" s="569"/>
      <c r="EI690" s="569"/>
      <c r="EJ690" s="569"/>
      <c r="EK690" s="569"/>
      <c r="EL690" s="569"/>
      <c r="EM690" s="569"/>
      <c r="EN690" s="569"/>
      <c r="EO690" s="569"/>
      <c r="EP690" s="569"/>
      <c r="EQ690" s="569"/>
      <c r="ER690" s="569"/>
      <c r="ES690" s="569"/>
      <c r="ET690" s="569"/>
      <c r="EU690" s="569"/>
      <c r="EV690" s="569"/>
      <c r="EW690" s="569"/>
      <c r="EX690" s="569"/>
      <c r="EY690" s="569"/>
      <c r="EZ690" s="569"/>
      <c r="FA690" s="569"/>
      <c r="FB690" s="569"/>
      <c r="FC690" s="569"/>
      <c r="FD690" s="569"/>
      <c r="FE690" s="569"/>
      <c r="FF690" s="569"/>
      <c r="FG690" s="569"/>
      <c r="FH690" s="569"/>
      <c r="FI690" s="569"/>
      <c r="FJ690" s="569"/>
      <c r="FK690" s="569"/>
      <c r="FL690" s="569"/>
      <c r="FM690" s="569"/>
      <c r="FN690" s="569"/>
      <c r="FO690" s="569"/>
      <c r="FP690" s="569"/>
      <c r="FQ690" s="569"/>
      <c r="FR690" s="569"/>
      <c r="FS690" s="569"/>
      <c r="FT690" s="569"/>
      <c r="FU690" s="569"/>
      <c r="FV690" s="569"/>
      <c r="FW690" s="569"/>
      <c r="FX690" s="569"/>
      <c r="FY690" s="569"/>
      <c r="FZ690" s="569"/>
      <c r="GA690" s="569"/>
      <c r="GB690" s="569"/>
      <c r="GC690" s="569"/>
      <c r="GD690" s="569"/>
      <c r="GE690" s="569"/>
      <c r="GF690" s="569"/>
      <c r="GG690" s="569"/>
      <c r="GH690" s="569"/>
      <c r="GI690" s="569"/>
      <c r="GJ690" s="569"/>
      <c r="GK690" s="569"/>
      <c r="GL690" s="569"/>
      <c r="GM690" s="569"/>
      <c r="GN690" s="569"/>
      <c r="GO690" s="569"/>
      <c r="GP690" s="569"/>
      <c r="GQ690" s="569"/>
      <c r="GR690" s="569"/>
      <c r="GS690" s="569"/>
      <c r="GT690" s="569"/>
      <c r="GU690" s="569"/>
      <c r="GV690" s="569"/>
      <c r="GW690" s="569"/>
      <c r="GX690" s="569"/>
      <c r="GY690" s="569"/>
      <c r="GZ690" s="569"/>
      <c r="HA690" s="569"/>
      <c r="HB690" s="569"/>
      <c r="HC690" s="569"/>
      <c r="HD690" s="569"/>
      <c r="HE690" s="569"/>
      <c r="HF690" s="569"/>
      <c r="HG690" s="569"/>
      <c r="HH690" s="569"/>
      <c r="HI690" s="569"/>
      <c r="HJ690" s="569"/>
      <c r="HK690" s="569"/>
      <c r="HL690" s="569"/>
      <c r="HM690" s="569"/>
      <c r="HN690" s="569"/>
      <c r="HO690" s="569"/>
      <c r="HP690" s="569"/>
      <c r="HQ690" s="569"/>
      <c r="HR690" s="569"/>
      <c r="HS690" s="569"/>
      <c r="HT690" s="569"/>
      <c r="HU690" s="569"/>
      <c r="HV690" s="569"/>
      <c r="HW690" s="569"/>
      <c r="HX690" s="569"/>
      <c r="HY690" s="569"/>
      <c r="HZ690" s="569"/>
      <c r="IA690" s="569"/>
      <c r="IB690" s="569"/>
      <c r="IC690" s="569"/>
      <c r="ID690" s="569"/>
      <c r="IE690" s="569"/>
      <c r="IF690" s="569"/>
      <c r="IG690" s="569"/>
      <c r="IH690" s="569"/>
      <c r="II690" s="569"/>
      <c r="IJ690" s="569"/>
      <c r="IK690" s="569"/>
      <c r="IL690" s="569"/>
      <c r="IM690" s="569"/>
      <c r="IN690" s="569"/>
      <c r="IO690" s="569"/>
      <c r="IP690" s="569"/>
      <c r="IQ690" s="569"/>
      <c r="IR690" s="569"/>
      <c r="IS690" s="569"/>
      <c r="IT690" s="569"/>
      <c r="IU690" s="569"/>
      <c r="IV690" s="569"/>
      <c r="IW690" s="569"/>
      <c r="IX690" s="569"/>
      <c r="IY690" s="569"/>
      <c r="IZ690" s="569"/>
      <c r="JA690" s="569"/>
      <c r="JB690" s="569"/>
      <c r="JC690" s="569"/>
      <c r="JD690" s="569"/>
      <c r="JE690" s="569"/>
      <c r="JF690" s="569"/>
      <c r="JG690" s="569"/>
      <c r="JH690" s="569"/>
      <c r="JI690" s="569"/>
      <c r="JJ690" s="569"/>
      <c r="JK690" s="569"/>
      <c r="JL690" s="569"/>
      <c r="JM690" s="569"/>
      <c r="JN690" s="569"/>
      <c r="JO690" s="569"/>
      <c r="JP690" s="569"/>
      <c r="JQ690" s="569"/>
      <c r="JR690" s="569"/>
      <c r="JS690" s="569"/>
      <c r="JT690" s="569"/>
      <c r="JU690" s="569"/>
      <c r="JV690" s="569"/>
      <c r="JW690" s="569"/>
      <c r="JX690" s="569"/>
      <c r="JY690" s="569"/>
      <c r="JZ690" s="569"/>
      <c r="KA690" s="569"/>
      <c r="KB690" s="569"/>
      <c r="KC690" s="569"/>
      <c r="KD690" s="569"/>
      <c r="KE690" s="569"/>
      <c r="KF690" s="569"/>
      <c r="KG690" s="569"/>
      <c r="KH690" s="569"/>
      <c r="KI690" s="569"/>
      <c r="KJ690" s="569"/>
      <c r="KK690" s="569"/>
      <c r="KL690" s="569"/>
      <c r="KM690" s="569"/>
      <c r="KN690" s="569"/>
      <c r="KO690" s="569"/>
      <c r="KP690" s="569"/>
      <c r="KQ690" s="569"/>
      <c r="KR690" s="569"/>
      <c r="KS690" s="569"/>
      <c r="KT690" s="569"/>
      <c r="KU690" s="569"/>
      <c r="KV690" s="569"/>
      <c r="KW690" s="569"/>
      <c r="KX690" s="569"/>
      <c r="KY690" s="569"/>
      <c r="KZ690" s="569"/>
      <c r="LA690" s="569"/>
      <c r="LB690" s="569"/>
      <c r="LC690" s="569"/>
      <c r="LD690" s="569"/>
      <c r="LE690" s="569"/>
      <c r="LF690" s="569"/>
      <c r="LG690" s="569"/>
      <c r="LH690" s="569"/>
      <c r="LI690" s="569"/>
      <c r="LJ690" s="569"/>
      <c r="LK690" s="569"/>
      <c r="LL690" s="569"/>
      <c r="LM690" s="569"/>
      <c r="LN690" s="569"/>
      <c r="LO690" s="569"/>
      <c r="LP690" s="569"/>
      <c r="LQ690" s="569"/>
      <c r="LR690" s="569"/>
      <c r="LS690" s="569"/>
      <c r="LT690" s="569"/>
      <c r="LU690" s="569"/>
      <c r="LV690" s="569"/>
      <c r="LW690" s="569"/>
      <c r="LX690" s="569"/>
      <c r="LY690" s="569"/>
      <c r="LZ690" s="569"/>
      <c r="MA690" s="569"/>
      <c r="MB690" s="569"/>
      <c r="MC690" s="569"/>
      <c r="MD690" s="569"/>
      <c r="ME690" s="569"/>
      <c r="MF690" s="569"/>
      <c r="MG690" s="569"/>
      <c r="MH690" s="569"/>
      <c r="MI690" s="569"/>
      <c r="MJ690" s="569"/>
      <c r="MK690" s="569"/>
      <c r="ML690" s="569"/>
      <c r="MM690" s="569"/>
      <c r="MN690" s="569"/>
      <c r="MO690" s="569"/>
      <c r="MP690" s="569"/>
      <c r="MQ690" s="569"/>
      <c r="MR690" s="569"/>
      <c r="MS690" s="569"/>
      <c r="MT690" s="569"/>
      <c r="MU690" s="569"/>
      <c r="MV690" s="569"/>
      <c r="MW690" s="569"/>
      <c r="MX690" s="569"/>
      <c r="MY690" s="569"/>
      <c r="MZ690" s="569"/>
      <c r="NA690" s="569"/>
      <c r="NB690" s="569"/>
      <c r="NC690" s="569"/>
      <c r="ND690" s="569"/>
      <c r="NE690" s="569"/>
      <c r="NF690" s="569"/>
      <c r="NG690" s="569"/>
      <c r="NH690" s="569"/>
      <c r="NI690" s="569"/>
      <c r="NJ690" s="569"/>
      <c r="NK690" s="569"/>
      <c r="NL690" s="569"/>
      <c r="NM690" s="569"/>
      <c r="NN690" s="569"/>
      <c r="NO690" s="569"/>
      <c r="NP690" s="569"/>
      <c r="NQ690" s="569"/>
      <c r="NR690" s="569"/>
      <c r="NS690" s="569"/>
      <c r="NT690" s="569"/>
      <c r="NU690" s="569"/>
      <c r="NV690" s="569"/>
      <c r="NW690" s="569"/>
      <c r="NX690" s="569"/>
      <c r="NY690" s="569"/>
      <c r="NZ690" s="569"/>
      <c r="OA690" s="569"/>
      <c r="OB690" s="569"/>
      <c r="OC690" s="569"/>
      <c r="OD690" s="569"/>
      <c r="OE690" s="569"/>
      <c r="OF690" s="569"/>
      <c r="OG690" s="569"/>
      <c r="OH690" s="569"/>
      <c r="OI690" s="569"/>
      <c r="OJ690" s="569"/>
      <c r="OK690" s="569"/>
      <c r="OL690" s="569"/>
      <c r="OM690" s="569"/>
      <c r="ON690" s="569"/>
      <c r="OO690" s="569"/>
      <c r="OP690" s="569"/>
      <c r="OQ690" s="569"/>
      <c r="OR690" s="569"/>
      <c r="OS690" s="569"/>
      <c r="OT690" s="569"/>
      <c r="OU690" s="569"/>
      <c r="OV690" s="569"/>
      <c r="OW690" s="569"/>
      <c r="OX690" s="569"/>
      <c r="OY690" s="569"/>
      <c r="OZ690" s="569"/>
      <c r="PA690" s="569"/>
      <c r="PB690" s="569"/>
      <c r="PC690" s="569"/>
      <c r="PD690" s="569"/>
      <c r="PE690" s="569"/>
      <c r="PF690" s="569"/>
      <c r="PG690" s="569"/>
      <c r="PH690" s="569"/>
      <c r="PI690" s="569"/>
      <c r="PJ690" s="569"/>
      <c r="PK690" s="569"/>
      <c r="PL690" s="569"/>
      <c r="PM690" s="569"/>
      <c r="PN690" s="569"/>
      <c r="PO690" s="569"/>
      <c r="PP690" s="569"/>
      <c r="PQ690" s="569"/>
      <c r="PR690" s="569"/>
      <c r="PS690" s="569"/>
      <c r="PT690" s="569"/>
      <c r="PU690" s="569"/>
      <c r="PV690" s="569"/>
      <c r="PW690" s="569"/>
      <c r="PX690" s="569"/>
      <c r="PY690" s="569"/>
      <c r="PZ690" s="569"/>
      <c r="QA690" s="569"/>
      <c r="QB690" s="569"/>
      <c r="QC690" s="569"/>
      <c r="QD690" s="569"/>
      <c r="QE690" s="569"/>
      <c r="QF690" s="569"/>
      <c r="QG690" s="569"/>
      <c r="QH690" s="569"/>
      <c r="QI690" s="569"/>
      <c r="QJ690" s="569"/>
      <c r="QK690" s="569"/>
      <c r="QL690" s="569"/>
    </row>
    <row r="691" spans="1:454" ht="30">
      <c r="D691" s="568"/>
      <c r="E691" s="568"/>
      <c r="F691" s="568"/>
      <c r="G691" s="568"/>
      <c r="H691" s="563" t="str">
        <f>'matrik MISI 1'!N55</f>
        <v>Peningkatan produksi pengolahan hasil perikanan</v>
      </c>
      <c r="I691" s="563" t="str">
        <f>'matrik MISI 1'!O55</f>
        <v>Kg</v>
      </c>
      <c r="J691" s="563">
        <f>'matrik MISI 1'!P55</f>
        <v>183</v>
      </c>
      <c r="K691" s="563">
        <f>'matrik MISI 1'!Q55</f>
        <v>196</v>
      </c>
      <c r="L691" s="563">
        <f>'matrik MISI 1'!R55</f>
        <v>210</v>
      </c>
      <c r="M691" s="604"/>
      <c r="N691" s="563">
        <f>'matrik MISI 1'!S55</f>
        <v>224</v>
      </c>
      <c r="O691" s="564"/>
      <c r="P691" s="563">
        <f>'matrik MISI 1'!T55</f>
        <v>240</v>
      </c>
      <c r="Q691" s="564"/>
      <c r="R691" s="563">
        <f>'matrik MISI 1'!U55</f>
        <v>258</v>
      </c>
      <c r="S691" s="564"/>
      <c r="T691" s="563">
        <f>'matrik MISI 1'!V55</f>
        <v>277</v>
      </c>
      <c r="U691" s="564"/>
      <c r="V691" s="563">
        <f>'matrik MISI 1'!W55</f>
        <v>277</v>
      </c>
      <c r="W691" s="564"/>
      <c r="X691" s="563" t="str">
        <f>'matrik MISI 1'!X55</f>
        <v>DINAKAN</v>
      </c>
      <c r="Y691" s="563" t="str">
        <f>'matrik MISI 1'!Y55</f>
        <v xml:space="preserve">Jumlah hasil produksi pengolahan ikan per tahun </v>
      </c>
      <c r="Z691" s="563">
        <f>'matrik MISI 1'!Z55</f>
        <v>0</v>
      </c>
    </row>
    <row r="692" spans="1:454" ht="30">
      <c r="G692" s="563"/>
      <c r="H692" s="563" t="str">
        <f>'matrik MISI 1'!N56</f>
        <v xml:space="preserve">Tingkat Konsumsi Ikan </v>
      </c>
      <c r="I692" s="563" t="str">
        <f>'matrik MISI 1'!O56</f>
        <v>kg/kapita/tahun</v>
      </c>
      <c r="J692" s="563">
        <f>'matrik MISI 1'!P56</f>
        <v>14.96</v>
      </c>
      <c r="K692" s="563">
        <f>'matrik MISI 1'!Q56</f>
        <v>15.25</v>
      </c>
      <c r="L692" s="563">
        <f>'matrik MISI 1'!R56</f>
        <v>15.56</v>
      </c>
      <c r="M692" s="604"/>
      <c r="N692" s="563">
        <f>'matrik MISI 1'!S56</f>
        <v>15.87</v>
      </c>
      <c r="O692" s="564"/>
      <c r="P692" s="563">
        <f>'matrik MISI 1'!T56</f>
        <v>16.190000000000001</v>
      </c>
      <c r="Q692" s="564"/>
      <c r="R692" s="563">
        <f>'matrik MISI 1'!U56</f>
        <v>16.53</v>
      </c>
      <c r="S692" s="564"/>
      <c r="T692" s="563">
        <f>'matrik MISI 1'!V56</f>
        <v>16.87</v>
      </c>
      <c r="U692" s="564"/>
      <c r="V692" s="563" t="str">
        <f>'matrik MISI 1'!W56</f>
        <v xml:space="preserve">16,87 </v>
      </c>
      <c r="W692" s="564"/>
      <c r="X692" s="563" t="str">
        <f>'matrik MISI 1'!X56</f>
        <v>DINAKAN</v>
      </c>
      <c r="Y692" s="563" t="str">
        <f>'matrik MISI 1'!Y56</f>
        <v>Jumlah ikan yang dikonsumsi (kg) setiap orang dalam jangka waktu 1 tahun</v>
      </c>
      <c r="Z692" s="563">
        <f>'matrik MISI 1'!Z56</f>
        <v>0</v>
      </c>
    </row>
    <row r="693" spans="1:454" s="574" customFormat="1" ht="45">
      <c r="A693" s="569"/>
      <c r="B693" s="575"/>
      <c r="C693" s="576"/>
      <c r="D693" s="577" t="str">
        <f>'matrik MISI 1'!J57</f>
        <v>2.05</v>
      </c>
      <c r="E693" s="577" t="str">
        <f>'matrik MISI 1'!K57</f>
        <v>xx</v>
      </c>
      <c r="F693" s="577">
        <f>'matrik MISI 1'!L57</f>
        <v>24</v>
      </c>
      <c r="G693" s="577" t="str">
        <f>'matrik MISI 1'!M57</f>
        <v>Program Pengembangan Kawasan budidaya air tawar</v>
      </c>
      <c r="H693" s="577"/>
      <c r="I693" s="577"/>
      <c r="J693" s="577"/>
      <c r="K693" s="577"/>
      <c r="L693" s="577"/>
      <c r="M693" s="578">
        <f>'jangan dihapus 2'!K666</f>
        <v>456495000</v>
      </c>
      <c r="N693" s="577"/>
      <c r="O693" s="578">
        <f>'jangan dihapus 2'!M666</f>
        <v>685440000</v>
      </c>
      <c r="P693" s="577"/>
      <c r="Q693" s="578">
        <f>'jangan dihapus 2'!O666</f>
        <v>930000000</v>
      </c>
      <c r="R693" s="577"/>
      <c r="S693" s="578">
        <f>'jangan dihapus 2'!Q666</f>
        <v>825000000</v>
      </c>
      <c r="T693" s="577"/>
      <c r="U693" s="578">
        <f>'jangan dihapus 2'!S666</f>
        <v>870000000</v>
      </c>
      <c r="V693" s="577"/>
      <c r="W693" s="578">
        <f>SUM(M693:U693)</f>
        <v>3766935000</v>
      </c>
      <c r="X693" s="577"/>
      <c r="Y693" s="577"/>
      <c r="Z693" s="577"/>
      <c r="AA693" s="569"/>
      <c r="AB693" s="569"/>
      <c r="AC693" s="569"/>
      <c r="AD693" s="569"/>
      <c r="AE693" s="569"/>
      <c r="AF693" s="569"/>
      <c r="AG693" s="569"/>
      <c r="AH693" s="569"/>
      <c r="AI693" s="569"/>
      <c r="AJ693" s="569"/>
      <c r="AK693" s="569"/>
      <c r="AL693" s="569"/>
      <c r="AM693" s="569"/>
      <c r="AN693" s="569"/>
      <c r="AO693" s="569"/>
      <c r="AP693" s="569"/>
      <c r="AQ693" s="569"/>
      <c r="AR693" s="569"/>
      <c r="AS693" s="569"/>
      <c r="AT693" s="569"/>
      <c r="AU693" s="569"/>
      <c r="AV693" s="569"/>
      <c r="AW693" s="569"/>
      <c r="AX693" s="569"/>
      <c r="AY693" s="569"/>
      <c r="AZ693" s="569"/>
      <c r="BA693" s="569"/>
      <c r="BB693" s="569"/>
      <c r="BC693" s="569"/>
      <c r="BD693" s="569"/>
      <c r="BE693" s="569"/>
      <c r="BF693" s="569"/>
      <c r="BG693" s="569"/>
      <c r="BH693" s="569"/>
      <c r="BI693" s="569"/>
      <c r="BJ693" s="569"/>
      <c r="BK693" s="569"/>
      <c r="BL693" s="569"/>
      <c r="BM693" s="569"/>
      <c r="BN693" s="569"/>
      <c r="BO693" s="569"/>
      <c r="BP693" s="569"/>
      <c r="BQ693" s="569"/>
      <c r="BR693" s="569"/>
      <c r="BS693" s="569"/>
      <c r="BT693" s="569"/>
      <c r="BU693" s="569"/>
      <c r="BV693" s="569"/>
      <c r="BW693" s="569"/>
      <c r="BX693" s="569"/>
      <c r="BY693" s="569"/>
      <c r="BZ693" s="569"/>
      <c r="CA693" s="569"/>
      <c r="CB693" s="569"/>
      <c r="CC693" s="569"/>
      <c r="CD693" s="569"/>
      <c r="CE693" s="569"/>
      <c r="CF693" s="569"/>
      <c r="CG693" s="569"/>
      <c r="CH693" s="569"/>
      <c r="CI693" s="569"/>
      <c r="CJ693" s="569"/>
      <c r="CK693" s="569"/>
      <c r="CL693" s="569"/>
      <c r="CM693" s="569"/>
      <c r="CN693" s="569"/>
      <c r="CO693" s="569"/>
      <c r="CP693" s="569"/>
      <c r="CQ693" s="569"/>
      <c r="CR693" s="569"/>
      <c r="CS693" s="569"/>
      <c r="CT693" s="569"/>
      <c r="CU693" s="569"/>
      <c r="CV693" s="569"/>
      <c r="CW693" s="569"/>
      <c r="CX693" s="569"/>
      <c r="CY693" s="569"/>
      <c r="CZ693" s="569"/>
      <c r="DA693" s="569"/>
      <c r="DB693" s="569"/>
      <c r="DC693" s="569"/>
      <c r="DD693" s="569"/>
      <c r="DE693" s="569"/>
      <c r="DF693" s="569"/>
      <c r="DG693" s="569"/>
      <c r="DH693" s="569"/>
      <c r="DI693" s="569"/>
      <c r="DJ693" s="569"/>
      <c r="DK693" s="569"/>
      <c r="DL693" s="569"/>
      <c r="DM693" s="569"/>
      <c r="DN693" s="569"/>
      <c r="DO693" s="569"/>
      <c r="DP693" s="569"/>
      <c r="DQ693" s="569"/>
      <c r="DR693" s="569"/>
      <c r="DS693" s="569"/>
      <c r="DT693" s="569"/>
      <c r="DU693" s="569"/>
      <c r="DV693" s="569"/>
      <c r="DW693" s="569"/>
      <c r="DX693" s="569"/>
      <c r="DY693" s="569"/>
      <c r="DZ693" s="569"/>
      <c r="EA693" s="569"/>
      <c r="EB693" s="569"/>
      <c r="EC693" s="569"/>
      <c r="ED693" s="569"/>
      <c r="EE693" s="569"/>
      <c r="EF693" s="569"/>
      <c r="EG693" s="569"/>
      <c r="EH693" s="569"/>
      <c r="EI693" s="569"/>
      <c r="EJ693" s="569"/>
      <c r="EK693" s="569"/>
      <c r="EL693" s="569"/>
      <c r="EM693" s="569"/>
      <c r="EN693" s="569"/>
      <c r="EO693" s="569"/>
      <c r="EP693" s="569"/>
      <c r="EQ693" s="569"/>
      <c r="ER693" s="569"/>
      <c r="ES693" s="569"/>
      <c r="ET693" s="569"/>
      <c r="EU693" s="569"/>
      <c r="EV693" s="569"/>
      <c r="EW693" s="569"/>
      <c r="EX693" s="569"/>
      <c r="EY693" s="569"/>
      <c r="EZ693" s="569"/>
      <c r="FA693" s="569"/>
      <c r="FB693" s="569"/>
      <c r="FC693" s="569"/>
      <c r="FD693" s="569"/>
      <c r="FE693" s="569"/>
      <c r="FF693" s="569"/>
      <c r="FG693" s="569"/>
      <c r="FH693" s="569"/>
      <c r="FI693" s="569"/>
      <c r="FJ693" s="569"/>
      <c r="FK693" s="569"/>
      <c r="FL693" s="569"/>
      <c r="FM693" s="569"/>
      <c r="FN693" s="569"/>
      <c r="FO693" s="569"/>
      <c r="FP693" s="569"/>
      <c r="FQ693" s="569"/>
      <c r="FR693" s="569"/>
      <c r="FS693" s="569"/>
      <c r="FT693" s="569"/>
      <c r="FU693" s="569"/>
      <c r="FV693" s="569"/>
      <c r="FW693" s="569"/>
      <c r="FX693" s="569"/>
      <c r="FY693" s="569"/>
      <c r="FZ693" s="569"/>
      <c r="GA693" s="569"/>
      <c r="GB693" s="569"/>
      <c r="GC693" s="569"/>
      <c r="GD693" s="569"/>
      <c r="GE693" s="569"/>
      <c r="GF693" s="569"/>
      <c r="GG693" s="569"/>
      <c r="GH693" s="569"/>
      <c r="GI693" s="569"/>
      <c r="GJ693" s="569"/>
      <c r="GK693" s="569"/>
      <c r="GL693" s="569"/>
      <c r="GM693" s="569"/>
      <c r="GN693" s="569"/>
      <c r="GO693" s="569"/>
      <c r="GP693" s="569"/>
      <c r="GQ693" s="569"/>
      <c r="GR693" s="569"/>
      <c r="GS693" s="569"/>
      <c r="GT693" s="569"/>
      <c r="GU693" s="569"/>
      <c r="GV693" s="569"/>
      <c r="GW693" s="569"/>
      <c r="GX693" s="569"/>
      <c r="GY693" s="569"/>
      <c r="GZ693" s="569"/>
      <c r="HA693" s="569"/>
      <c r="HB693" s="569"/>
      <c r="HC693" s="569"/>
      <c r="HD693" s="569"/>
      <c r="HE693" s="569"/>
      <c r="HF693" s="569"/>
      <c r="HG693" s="569"/>
      <c r="HH693" s="569"/>
      <c r="HI693" s="569"/>
      <c r="HJ693" s="569"/>
      <c r="HK693" s="569"/>
      <c r="HL693" s="569"/>
      <c r="HM693" s="569"/>
      <c r="HN693" s="569"/>
      <c r="HO693" s="569"/>
      <c r="HP693" s="569"/>
      <c r="HQ693" s="569"/>
      <c r="HR693" s="569"/>
      <c r="HS693" s="569"/>
      <c r="HT693" s="569"/>
      <c r="HU693" s="569"/>
      <c r="HV693" s="569"/>
      <c r="HW693" s="569"/>
      <c r="HX693" s="569"/>
      <c r="HY693" s="569"/>
      <c r="HZ693" s="569"/>
      <c r="IA693" s="569"/>
      <c r="IB693" s="569"/>
      <c r="IC693" s="569"/>
      <c r="ID693" s="569"/>
      <c r="IE693" s="569"/>
      <c r="IF693" s="569"/>
      <c r="IG693" s="569"/>
      <c r="IH693" s="569"/>
      <c r="II693" s="569"/>
      <c r="IJ693" s="569"/>
      <c r="IK693" s="569"/>
      <c r="IL693" s="569"/>
      <c r="IM693" s="569"/>
      <c r="IN693" s="569"/>
      <c r="IO693" s="569"/>
      <c r="IP693" s="569"/>
      <c r="IQ693" s="569"/>
      <c r="IR693" s="569"/>
      <c r="IS693" s="569"/>
      <c r="IT693" s="569"/>
      <c r="IU693" s="569"/>
      <c r="IV693" s="569"/>
      <c r="IW693" s="569"/>
      <c r="IX693" s="569"/>
      <c r="IY693" s="569"/>
      <c r="IZ693" s="569"/>
      <c r="JA693" s="569"/>
      <c r="JB693" s="569"/>
      <c r="JC693" s="569"/>
      <c r="JD693" s="569"/>
      <c r="JE693" s="569"/>
      <c r="JF693" s="569"/>
      <c r="JG693" s="569"/>
      <c r="JH693" s="569"/>
      <c r="JI693" s="569"/>
      <c r="JJ693" s="569"/>
      <c r="JK693" s="569"/>
      <c r="JL693" s="569"/>
      <c r="JM693" s="569"/>
      <c r="JN693" s="569"/>
      <c r="JO693" s="569"/>
      <c r="JP693" s="569"/>
      <c r="JQ693" s="569"/>
      <c r="JR693" s="569"/>
      <c r="JS693" s="569"/>
      <c r="JT693" s="569"/>
      <c r="JU693" s="569"/>
      <c r="JV693" s="569"/>
      <c r="JW693" s="569"/>
      <c r="JX693" s="569"/>
      <c r="JY693" s="569"/>
      <c r="JZ693" s="569"/>
      <c r="KA693" s="569"/>
      <c r="KB693" s="569"/>
      <c r="KC693" s="569"/>
      <c r="KD693" s="569"/>
      <c r="KE693" s="569"/>
      <c r="KF693" s="569"/>
      <c r="KG693" s="569"/>
      <c r="KH693" s="569"/>
      <c r="KI693" s="569"/>
      <c r="KJ693" s="569"/>
      <c r="KK693" s="569"/>
      <c r="KL693" s="569"/>
      <c r="KM693" s="569"/>
      <c r="KN693" s="569"/>
      <c r="KO693" s="569"/>
      <c r="KP693" s="569"/>
      <c r="KQ693" s="569"/>
      <c r="KR693" s="569"/>
      <c r="KS693" s="569"/>
      <c r="KT693" s="569"/>
      <c r="KU693" s="569"/>
      <c r="KV693" s="569"/>
      <c r="KW693" s="569"/>
      <c r="KX693" s="569"/>
      <c r="KY693" s="569"/>
      <c r="KZ693" s="569"/>
      <c r="LA693" s="569"/>
      <c r="LB693" s="569"/>
      <c r="LC693" s="569"/>
      <c r="LD693" s="569"/>
      <c r="LE693" s="569"/>
      <c r="LF693" s="569"/>
      <c r="LG693" s="569"/>
      <c r="LH693" s="569"/>
      <c r="LI693" s="569"/>
      <c r="LJ693" s="569"/>
      <c r="LK693" s="569"/>
      <c r="LL693" s="569"/>
      <c r="LM693" s="569"/>
      <c r="LN693" s="569"/>
      <c r="LO693" s="569"/>
      <c r="LP693" s="569"/>
      <c r="LQ693" s="569"/>
      <c r="LR693" s="569"/>
      <c r="LS693" s="569"/>
      <c r="LT693" s="569"/>
      <c r="LU693" s="569"/>
      <c r="LV693" s="569"/>
      <c r="LW693" s="569"/>
      <c r="LX693" s="569"/>
      <c r="LY693" s="569"/>
      <c r="LZ693" s="569"/>
      <c r="MA693" s="569"/>
      <c r="MB693" s="569"/>
      <c r="MC693" s="569"/>
      <c r="MD693" s="569"/>
      <c r="ME693" s="569"/>
      <c r="MF693" s="569"/>
      <c r="MG693" s="569"/>
      <c r="MH693" s="569"/>
      <c r="MI693" s="569"/>
      <c r="MJ693" s="569"/>
      <c r="MK693" s="569"/>
      <c r="ML693" s="569"/>
      <c r="MM693" s="569"/>
      <c r="MN693" s="569"/>
      <c r="MO693" s="569"/>
      <c r="MP693" s="569"/>
      <c r="MQ693" s="569"/>
      <c r="MR693" s="569"/>
      <c r="MS693" s="569"/>
      <c r="MT693" s="569"/>
      <c r="MU693" s="569"/>
      <c r="MV693" s="569"/>
      <c r="MW693" s="569"/>
      <c r="MX693" s="569"/>
      <c r="MY693" s="569"/>
      <c r="MZ693" s="569"/>
      <c r="NA693" s="569"/>
      <c r="NB693" s="569"/>
      <c r="NC693" s="569"/>
      <c r="ND693" s="569"/>
      <c r="NE693" s="569"/>
      <c r="NF693" s="569"/>
      <c r="NG693" s="569"/>
      <c r="NH693" s="569"/>
      <c r="NI693" s="569"/>
      <c r="NJ693" s="569"/>
      <c r="NK693" s="569"/>
      <c r="NL693" s="569"/>
      <c r="NM693" s="569"/>
      <c r="NN693" s="569"/>
      <c r="NO693" s="569"/>
      <c r="NP693" s="569"/>
      <c r="NQ693" s="569"/>
      <c r="NR693" s="569"/>
      <c r="NS693" s="569"/>
      <c r="NT693" s="569"/>
      <c r="NU693" s="569"/>
      <c r="NV693" s="569"/>
      <c r="NW693" s="569"/>
      <c r="NX693" s="569"/>
      <c r="NY693" s="569"/>
      <c r="NZ693" s="569"/>
      <c r="OA693" s="569"/>
      <c r="OB693" s="569"/>
      <c r="OC693" s="569"/>
      <c r="OD693" s="569"/>
      <c r="OE693" s="569"/>
      <c r="OF693" s="569"/>
      <c r="OG693" s="569"/>
      <c r="OH693" s="569"/>
      <c r="OI693" s="569"/>
      <c r="OJ693" s="569"/>
      <c r="OK693" s="569"/>
      <c r="OL693" s="569"/>
      <c r="OM693" s="569"/>
      <c r="ON693" s="569"/>
      <c r="OO693" s="569"/>
      <c r="OP693" s="569"/>
      <c r="OQ693" s="569"/>
      <c r="OR693" s="569"/>
      <c r="OS693" s="569"/>
      <c r="OT693" s="569"/>
      <c r="OU693" s="569"/>
      <c r="OV693" s="569"/>
      <c r="OW693" s="569"/>
      <c r="OX693" s="569"/>
      <c r="OY693" s="569"/>
      <c r="OZ693" s="569"/>
      <c r="PA693" s="569"/>
      <c r="PB693" s="569"/>
      <c r="PC693" s="569"/>
      <c r="PD693" s="569"/>
      <c r="PE693" s="569"/>
      <c r="PF693" s="569"/>
      <c r="PG693" s="569"/>
      <c r="PH693" s="569"/>
      <c r="PI693" s="569"/>
      <c r="PJ693" s="569"/>
      <c r="PK693" s="569"/>
      <c r="PL693" s="569"/>
      <c r="PM693" s="569"/>
      <c r="PN693" s="569"/>
      <c r="PO693" s="569"/>
      <c r="PP693" s="569"/>
      <c r="PQ693" s="569"/>
      <c r="PR693" s="569"/>
      <c r="PS693" s="569"/>
      <c r="PT693" s="569"/>
      <c r="PU693" s="569"/>
      <c r="PV693" s="569"/>
      <c r="PW693" s="569"/>
      <c r="PX693" s="569"/>
      <c r="PY693" s="569"/>
      <c r="PZ693" s="569"/>
      <c r="QA693" s="569"/>
      <c r="QB693" s="569"/>
      <c r="QC693" s="569"/>
      <c r="QD693" s="569"/>
      <c r="QE693" s="569"/>
      <c r="QF693" s="569"/>
      <c r="QG693" s="569"/>
      <c r="QH693" s="569"/>
      <c r="QI693" s="569"/>
      <c r="QJ693" s="569"/>
      <c r="QK693" s="569"/>
      <c r="QL693" s="569"/>
    </row>
    <row r="694" spans="1:454" ht="30">
      <c r="D694" s="568"/>
      <c r="E694" s="568"/>
      <c r="F694" s="568"/>
      <c r="G694" s="568"/>
      <c r="H694" s="563" t="str">
        <f>'matrik MISI 1'!N57</f>
        <v>Peningkatan luas lahan budidaya ikan</v>
      </c>
      <c r="I694" s="563" t="str">
        <f>'matrik MISI 1'!O57</f>
        <v>Ha</v>
      </c>
      <c r="J694" s="563" t="str">
        <f>'matrik MISI 1'!P57</f>
        <v xml:space="preserve">117,88 </v>
      </c>
      <c r="K694" s="563" t="str">
        <f>'matrik MISI 1'!Q57</f>
        <v xml:space="preserve">119,17 </v>
      </c>
      <c r="L694" s="563" t="str">
        <f>'matrik MISI 1'!R57</f>
        <v>120,19</v>
      </c>
      <c r="M694" s="604"/>
      <c r="N694" s="563" t="str">
        <f>'matrik MISI 1'!S57</f>
        <v>121,39</v>
      </c>
      <c r="O694" s="564"/>
      <c r="P694" s="563" t="str">
        <f>'matrik MISI 1'!T57</f>
        <v>122,61</v>
      </c>
      <c r="Q694" s="564"/>
      <c r="R694" s="563" t="str">
        <f>'matrik MISI 1'!U57</f>
        <v>123,83</v>
      </c>
      <c r="S694" s="564"/>
      <c r="T694" s="563" t="str">
        <f>'matrik MISI 1'!V57</f>
        <v>125,07</v>
      </c>
      <c r="U694" s="564"/>
      <c r="V694" s="563" t="str">
        <f>'matrik MISI 1'!W57</f>
        <v>125,07</v>
      </c>
      <c r="W694" s="564"/>
      <c r="X694" s="563" t="str">
        <f>'matrik MISI 1'!X57</f>
        <v>DINAKAN</v>
      </c>
      <c r="Y694" s="563" t="str">
        <f>'matrik MISI 1'!Y57</f>
        <v xml:space="preserve">Luas lahan budidaya ikan </v>
      </c>
      <c r="Z694" s="563">
        <f>'matrik MISI 1'!Z57</f>
        <v>0</v>
      </c>
    </row>
    <row r="695" spans="1:454" s="574" customFormat="1" ht="30">
      <c r="A695" s="569"/>
      <c r="B695" s="575"/>
      <c r="C695" s="576"/>
      <c r="D695" s="577" t="str">
        <f>'matrik MISI 1'!J58</f>
        <v>2.05</v>
      </c>
      <c r="E695" s="577" t="str">
        <f>'matrik MISI 1'!K58</f>
        <v>xx</v>
      </c>
      <c r="F695" s="577">
        <f>'matrik MISI 1'!L58</f>
        <v>21</v>
      </c>
      <c r="G695" s="577" t="str">
        <f>'matrik MISI 1'!M58</f>
        <v>Program Pengembangan Perikanan Tangkap</v>
      </c>
      <c r="H695" s="577"/>
      <c r="I695" s="577"/>
      <c r="J695" s="577"/>
      <c r="K695" s="577"/>
      <c r="L695" s="577"/>
      <c r="M695" s="578">
        <f>'jangan dihapus 2'!K659</f>
        <v>0</v>
      </c>
      <c r="N695" s="577"/>
      <c r="O695" s="578">
        <f>'jangan dihapus 2'!M659</f>
        <v>50000000</v>
      </c>
      <c r="P695" s="577"/>
      <c r="Q695" s="578">
        <f>'jangan dihapus 2'!O659</f>
        <v>65000000</v>
      </c>
      <c r="R695" s="577"/>
      <c r="S695" s="578">
        <f>'jangan dihapus 2'!Q659</f>
        <v>75000000</v>
      </c>
      <c r="T695" s="577"/>
      <c r="U695" s="578">
        <f>'jangan dihapus 2'!S659</f>
        <v>95000000</v>
      </c>
      <c r="V695" s="577"/>
      <c r="W695" s="578">
        <f>SUM(M695:U695)</f>
        <v>285000000</v>
      </c>
      <c r="X695" s="577"/>
      <c r="Y695" s="577"/>
      <c r="Z695" s="577"/>
      <c r="AA695" s="569"/>
      <c r="AB695" s="569"/>
      <c r="AC695" s="569"/>
      <c r="AD695" s="569"/>
      <c r="AE695" s="569"/>
      <c r="AF695" s="569"/>
      <c r="AG695" s="569"/>
      <c r="AH695" s="569"/>
      <c r="AI695" s="569"/>
      <c r="AJ695" s="569"/>
      <c r="AK695" s="569"/>
      <c r="AL695" s="569"/>
      <c r="AM695" s="569"/>
      <c r="AN695" s="569"/>
      <c r="AO695" s="569"/>
      <c r="AP695" s="569"/>
      <c r="AQ695" s="569"/>
      <c r="AR695" s="569"/>
      <c r="AS695" s="569"/>
      <c r="AT695" s="569"/>
      <c r="AU695" s="569"/>
      <c r="AV695" s="569"/>
      <c r="AW695" s="569"/>
      <c r="AX695" s="569"/>
      <c r="AY695" s="569"/>
      <c r="AZ695" s="569"/>
      <c r="BA695" s="569"/>
      <c r="BB695" s="569"/>
      <c r="BC695" s="569"/>
      <c r="BD695" s="569"/>
      <c r="BE695" s="569"/>
      <c r="BF695" s="569"/>
      <c r="BG695" s="569"/>
      <c r="BH695" s="569"/>
      <c r="BI695" s="569"/>
      <c r="BJ695" s="569"/>
      <c r="BK695" s="569"/>
      <c r="BL695" s="569"/>
      <c r="BM695" s="569"/>
      <c r="BN695" s="569"/>
      <c r="BO695" s="569"/>
      <c r="BP695" s="569"/>
      <c r="BQ695" s="569"/>
      <c r="BR695" s="569"/>
      <c r="BS695" s="569"/>
      <c r="BT695" s="569"/>
      <c r="BU695" s="569"/>
      <c r="BV695" s="569"/>
      <c r="BW695" s="569"/>
      <c r="BX695" s="569"/>
      <c r="BY695" s="569"/>
      <c r="BZ695" s="569"/>
      <c r="CA695" s="569"/>
      <c r="CB695" s="569"/>
      <c r="CC695" s="569"/>
      <c r="CD695" s="569"/>
      <c r="CE695" s="569"/>
      <c r="CF695" s="569"/>
      <c r="CG695" s="569"/>
      <c r="CH695" s="569"/>
      <c r="CI695" s="569"/>
      <c r="CJ695" s="569"/>
      <c r="CK695" s="569"/>
      <c r="CL695" s="569"/>
      <c r="CM695" s="569"/>
      <c r="CN695" s="569"/>
      <c r="CO695" s="569"/>
      <c r="CP695" s="569"/>
      <c r="CQ695" s="569"/>
      <c r="CR695" s="569"/>
      <c r="CS695" s="569"/>
      <c r="CT695" s="569"/>
      <c r="CU695" s="569"/>
      <c r="CV695" s="569"/>
      <c r="CW695" s="569"/>
      <c r="CX695" s="569"/>
      <c r="CY695" s="569"/>
      <c r="CZ695" s="569"/>
      <c r="DA695" s="569"/>
      <c r="DB695" s="569"/>
      <c r="DC695" s="569"/>
      <c r="DD695" s="569"/>
      <c r="DE695" s="569"/>
      <c r="DF695" s="569"/>
      <c r="DG695" s="569"/>
      <c r="DH695" s="569"/>
      <c r="DI695" s="569"/>
      <c r="DJ695" s="569"/>
      <c r="DK695" s="569"/>
      <c r="DL695" s="569"/>
      <c r="DM695" s="569"/>
      <c r="DN695" s="569"/>
      <c r="DO695" s="569"/>
      <c r="DP695" s="569"/>
      <c r="DQ695" s="569"/>
      <c r="DR695" s="569"/>
      <c r="DS695" s="569"/>
      <c r="DT695" s="569"/>
      <c r="DU695" s="569"/>
      <c r="DV695" s="569"/>
      <c r="DW695" s="569"/>
      <c r="DX695" s="569"/>
      <c r="DY695" s="569"/>
      <c r="DZ695" s="569"/>
      <c r="EA695" s="569"/>
      <c r="EB695" s="569"/>
      <c r="EC695" s="569"/>
      <c r="ED695" s="569"/>
      <c r="EE695" s="569"/>
      <c r="EF695" s="569"/>
      <c r="EG695" s="569"/>
      <c r="EH695" s="569"/>
      <c r="EI695" s="569"/>
      <c r="EJ695" s="569"/>
      <c r="EK695" s="569"/>
      <c r="EL695" s="569"/>
      <c r="EM695" s="569"/>
      <c r="EN695" s="569"/>
      <c r="EO695" s="569"/>
      <c r="EP695" s="569"/>
      <c r="EQ695" s="569"/>
      <c r="ER695" s="569"/>
      <c r="ES695" s="569"/>
      <c r="ET695" s="569"/>
      <c r="EU695" s="569"/>
      <c r="EV695" s="569"/>
      <c r="EW695" s="569"/>
      <c r="EX695" s="569"/>
      <c r="EY695" s="569"/>
      <c r="EZ695" s="569"/>
      <c r="FA695" s="569"/>
      <c r="FB695" s="569"/>
      <c r="FC695" s="569"/>
      <c r="FD695" s="569"/>
      <c r="FE695" s="569"/>
      <c r="FF695" s="569"/>
      <c r="FG695" s="569"/>
      <c r="FH695" s="569"/>
      <c r="FI695" s="569"/>
      <c r="FJ695" s="569"/>
      <c r="FK695" s="569"/>
      <c r="FL695" s="569"/>
      <c r="FM695" s="569"/>
      <c r="FN695" s="569"/>
      <c r="FO695" s="569"/>
      <c r="FP695" s="569"/>
      <c r="FQ695" s="569"/>
      <c r="FR695" s="569"/>
      <c r="FS695" s="569"/>
      <c r="FT695" s="569"/>
      <c r="FU695" s="569"/>
      <c r="FV695" s="569"/>
      <c r="FW695" s="569"/>
      <c r="FX695" s="569"/>
      <c r="FY695" s="569"/>
      <c r="FZ695" s="569"/>
      <c r="GA695" s="569"/>
      <c r="GB695" s="569"/>
      <c r="GC695" s="569"/>
      <c r="GD695" s="569"/>
      <c r="GE695" s="569"/>
      <c r="GF695" s="569"/>
      <c r="GG695" s="569"/>
      <c r="GH695" s="569"/>
      <c r="GI695" s="569"/>
      <c r="GJ695" s="569"/>
      <c r="GK695" s="569"/>
      <c r="GL695" s="569"/>
      <c r="GM695" s="569"/>
      <c r="GN695" s="569"/>
      <c r="GO695" s="569"/>
      <c r="GP695" s="569"/>
      <c r="GQ695" s="569"/>
      <c r="GR695" s="569"/>
      <c r="GS695" s="569"/>
      <c r="GT695" s="569"/>
      <c r="GU695" s="569"/>
      <c r="GV695" s="569"/>
      <c r="GW695" s="569"/>
      <c r="GX695" s="569"/>
      <c r="GY695" s="569"/>
      <c r="GZ695" s="569"/>
      <c r="HA695" s="569"/>
      <c r="HB695" s="569"/>
      <c r="HC695" s="569"/>
      <c r="HD695" s="569"/>
      <c r="HE695" s="569"/>
      <c r="HF695" s="569"/>
      <c r="HG695" s="569"/>
      <c r="HH695" s="569"/>
      <c r="HI695" s="569"/>
      <c r="HJ695" s="569"/>
      <c r="HK695" s="569"/>
      <c r="HL695" s="569"/>
      <c r="HM695" s="569"/>
      <c r="HN695" s="569"/>
      <c r="HO695" s="569"/>
      <c r="HP695" s="569"/>
      <c r="HQ695" s="569"/>
      <c r="HR695" s="569"/>
      <c r="HS695" s="569"/>
      <c r="HT695" s="569"/>
      <c r="HU695" s="569"/>
      <c r="HV695" s="569"/>
      <c r="HW695" s="569"/>
      <c r="HX695" s="569"/>
      <c r="HY695" s="569"/>
      <c r="HZ695" s="569"/>
      <c r="IA695" s="569"/>
      <c r="IB695" s="569"/>
      <c r="IC695" s="569"/>
      <c r="ID695" s="569"/>
      <c r="IE695" s="569"/>
      <c r="IF695" s="569"/>
      <c r="IG695" s="569"/>
      <c r="IH695" s="569"/>
      <c r="II695" s="569"/>
      <c r="IJ695" s="569"/>
      <c r="IK695" s="569"/>
      <c r="IL695" s="569"/>
      <c r="IM695" s="569"/>
      <c r="IN695" s="569"/>
      <c r="IO695" s="569"/>
      <c r="IP695" s="569"/>
      <c r="IQ695" s="569"/>
      <c r="IR695" s="569"/>
      <c r="IS695" s="569"/>
      <c r="IT695" s="569"/>
      <c r="IU695" s="569"/>
      <c r="IV695" s="569"/>
      <c r="IW695" s="569"/>
      <c r="IX695" s="569"/>
      <c r="IY695" s="569"/>
      <c r="IZ695" s="569"/>
      <c r="JA695" s="569"/>
      <c r="JB695" s="569"/>
      <c r="JC695" s="569"/>
      <c r="JD695" s="569"/>
      <c r="JE695" s="569"/>
      <c r="JF695" s="569"/>
      <c r="JG695" s="569"/>
      <c r="JH695" s="569"/>
      <c r="JI695" s="569"/>
      <c r="JJ695" s="569"/>
      <c r="JK695" s="569"/>
      <c r="JL695" s="569"/>
      <c r="JM695" s="569"/>
      <c r="JN695" s="569"/>
      <c r="JO695" s="569"/>
      <c r="JP695" s="569"/>
      <c r="JQ695" s="569"/>
      <c r="JR695" s="569"/>
      <c r="JS695" s="569"/>
      <c r="JT695" s="569"/>
      <c r="JU695" s="569"/>
      <c r="JV695" s="569"/>
      <c r="JW695" s="569"/>
      <c r="JX695" s="569"/>
      <c r="JY695" s="569"/>
      <c r="JZ695" s="569"/>
      <c r="KA695" s="569"/>
      <c r="KB695" s="569"/>
      <c r="KC695" s="569"/>
      <c r="KD695" s="569"/>
      <c r="KE695" s="569"/>
      <c r="KF695" s="569"/>
      <c r="KG695" s="569"/>
      <c r="KH695" s="569"/>
      <c r="KI695" s="569"/>
      <c r="KJ695" s="569"/>
      <c r="KK695" s="569"/>
      <c r="KL695" s="569"/>
      <c r="KM695" s="569"/>
      <c r="KN695" s="569"/>
      <c r="KO695" s="569"/>
      <c r="KP695" s="569"/>
      <c r="KQ695" s="569"/>
      <c r="KR695" s="569"/>
      <c r="KS695" s="569"/>
      <c r="KT695" s="569"/>
      <c r="KU695" s="569"/>
      <c r="KV695" s="569"/>
      <c r="KW695" s="569"/>
      <c r="KX695" s="569"/>
      <c r="KY695" s="569"/>
      <c r="KZ695" s="569"/>
      <c r="LA695" s="569"/>
      <c r="LB695" s="569"/>
      <c r="LC695" s="569"/>
      <c r="LD695" s="569"/>
      <c r="LE695" s="569"/>
      <c r="LF695" s="569"/>
      <c r="LG695" s="569"/>
      <c r="LH695" s="569"/>
      <c r="LI695" s="569"/>
      <c r="LJ695" s="569"/>
      <c r="LK695" s="569"/>
      <c r="LL695" s="569"/>
      <c r="LM695" s="569"/>
      <c r="LN695" s="569"/>
      <c r="LO695" s="569"/>
      <c r="LP695" s="569"/>
      <c r="LQ695" s="569"/>
      <c r="LR695" s="569"/>
      <c r="LS695" s="569"/>
      <c r="LT695" s="569"/>
      <c r="LU695" s="569"/>
      <c r="LV695" s="569"/>
      <c r="LW695" s="569"/>
      <c r="LX695" s="569"/>
      <c r="LY695" s="569"/>
      <c r="LZ695" s="569"/>
      <c r="MA695" s="569"/>
      <c r="MB695" s="569"/>
      <c r="MC695" s="569"/>
      <c r="MD695" s="569"/>
      <c r="ME695" s="569"/>
      <c r="MF695" s="569"/>
      <c r="MG695" s="569"/>
      <c r="MH695" s="569"/>
      <c r="MI695" s="569"/>
      <c r="MJ695" s="569"/>
      <c r="MK695" s="569"/>
      <c r="ML695" s="569"/>
      <c r="MM695" s="569"/>
      <c r="MN695" s="569"/>
      <c r="MO695" s="569"/>
      <c r="MP695" s="569"/>
      <c r="MQ695" s="569"/>
      <c r="MR695" s="569"/>
      <c r="MS695" s="569"/>
      <c r="MT695" s="569"/>
      <c r="MU695" s="569"/>
      <c r="MV695" s="569"/>
      <c r="MW695" s="569"/>
      <c r="MX695" s="569"/>
      <c r="MY695" s="569"/>
      <c r="MZ695" s="569"/>
      <c r="NA695" s="569"/>
      <c r="NB695" s="569"/>
      <c r="NC695" s="569"/>
      <c r="ND695" s="569"/>
      <c r="NE695" s="569"/>
      <c r="NF695" s="569"/>
      <c r="NG695" s="569"/>
      <c r="NH695" s="569"/>
      <c r="NI695" s="569"/>
      <c r="NJ695" s="569"/>
      <c r="NK695" s="569"/>
      <c r="NL695" s="569"/>
      <c r="NM695" s="569"/>
      <c r="NN695" s="569"/>
      <c r="NO695" s="569"/>
      <c r="NP695" s="569"/>
      <c r="NQ695" s="569"/>
      <c r="NR695" s="569"/>
      <c r="NS695" s="569"/>
      <c r="NT695" s="569"/>
      <c r="NU695" s="569"/>
      <c r="NV695" s="569"/>
      <c r="NW695" s="569"/>
      <c r="NX695" s="569"/>
      <c r="NY695" s="569"/>
      <c r="NZ695" s="569"/>
      <c r="OA695" s="569"/>
      <c r="OB695" s="569"/>
      <c r="OC695" s="569"/>
      <c r="OD695" s="569"/>
      <c r="OE695" s="569"/>
      <c r="OF695" s="569"/>
      <c r="OG695" s="569"/>
      <c r="OH695" s="569"/>
      <c r="OI695" s="569"/>
      <c r="OJ695" s="569"/>
      <c r="OK695" s="569"/>
      <c r="OL695" s="569"/>
      <c r="OM695" s="569"/>
      <c r="ON695" s="569"/>
      <c r="OO695" s="569"/>
      <c r="OP695" s="569"/>
      <c r="OQ695" s="569"/>
      <c r="OR695" s="569"/>
      <c r="OS695" s="569"/>
      <c r="OT695" s="569"/>
      <c r="OU695" s="569"/>
      <c r="OV695" s="569"/>
      <c r="OW695" s="569"/>
      <c r="OX695" s="569"/>
      <c r="OY695" s="569"/>
      <c r="OZ695" s="569"/>
      <c r="PA695" s="569"/>
      <c r="PB695" s="569"/>
      <c r="PC695" s="569"/>
      <c r="PD695" s="569"/>
      <c r="PE695" s="569"/>
      <c r="PF695" s="569"/>
      <c r="PG695" s="569"/>
      <c r="PH695" s="569"/>
      <c r="PI695" s="569"/>
      <c r="PJ695" s="569"/>
      <c r="PK695" s="569"/>
      <c r="PL695" s="569"/>
      <c r="PM695" s="569"/>
      <c r="PN695" s="569"/>
      <c r="PO695" s="569"/>
      <c r="PP695" s="569"/>
      <c r="PQ695" s="569"/>
      <c r="PR695" s="569"/>
      <c r="PS695" s="569"/>
      <c r="PT695" s="569"/>
      <c r="PU695" s="569"/>
      <c r="PV695" s="569"/>
      <c r="PW695" s="569"/>
      <c r="PX695" s="569"/>
      <c r="PY695" s="569"/>
      <c r="PZ695" s="569"/>
      <c r="QA695" s="569"/>
      <c r="QB695" s="569"/>
      <c r="QC695" s="569"/>
      <c r="QD695" s="569"/>
      <c r="QE695" s="569"/>
      <c r="QF695" s="569"/>
      <c r="QG695" s="569"/>
      <c r="QH695" s="569"/>
      <c r="QI695" s="569"/>
      <c r="QJ695" s="569"/>
      <c r="QK695" s="569"/>
      <c r="QL695" s="569"/>
    </row>
    <row r="696" spans="1:454" ht="30">
      <c r="D696" s="568"/>
      <c r="E696" s="568"/>
      <c r="F696" s="568"/>
      <c r="G696" s="568"/>
      <c r="H696" s="563" t="str">
        <f>'matrik MISI 1'!N58</f>
        <v>Peningkatan produksi perikanan tangkap di perairan umum</v>
      </c>
      <c r="I696" s="563" t="str">
        <f>'matrik MISI 1'!O58</f>
        <v>Ton</v>
      </c>
      <c r="J696" s="563">
        <f>'matrik MISI 1'!P58</f>
        <v>121.28</v>
      </c>
      <c r="K696" s="563" t="str">
        <f>'matrik MISI 1'!Q58</f>
        <v xml:space="preserve">166,16 </v>
      </c>
      <c r="L696" s="563">
        <f>'matrik MISI 1'!R58</f>
        <v>227.64</v>
      </c>
      <c r="M696" s="604"/>
      <c r="N696" s="563">
        <f>'matrik MISI 1'!S58</f>
        <v>311.87</v>
      </c>
      <c r="O696" s="564"/>
      <c r="P696" s="563">
        <f>'matrik MISI 1'!T58</f>
        <v>427.26</v>
      </c>
      <c r="Q696" s="564"/>
      <c r="R696" s="563">
        <f>'matrik MISI 1'!U58</f>
        <v>585.34</v>
      </c>
      <c r="S696" s="564"/>
      <c r="T696" s="563">
        <f>'matrik MISI 1'!V58</f>
        <v>801.92</v>
      </c>
      <c r="U696" s="564"/>
      <c r="V696" s="563">
        <f>'matrik MISI 1'!W58</f>
        <v>801.92</v>
      </c>
      <c r="W696" s="564"/>
      <c r="X696" s="563" t="str">
        <f>'matrik MISI 1'!X58</f>
        <v>DINAKAN</v>
      </c>
      <c r="Y696" s="563" t="str">
        <f>'matrik MISI 1'!Y58</f>
        <v>Jumlah produksi perikanan tangkap tahun n-(n-1) dibagi jumlah hasil produksi perikanan tangkap tahun ke n-1 kali 100%</v>
      </c>
      <c r="Z696" s="563" t="str">
        <f>'matrik MISI 1'!Z58</f>
        <v>cukup jelas</v>
      </c>
    </row>
    <row r="697" spans="1:454" s="570" customFormat="1">
      <c r="A697" s="569"/>
      <c r="B697" s="571"/>
      <c r="C697" s="572"/>
      <c r="D697" s="573"/>
      <c r="E697" s="573"/>
      <c r="F697" s="573"/>
      <c r="G697" s="573"/>
      <c r="H697" s="573"/>
      <c r="I697" s="573"/>
      <c r="J697" s="573"/>
      <c r="K697" s="573"/>
      <c r="L697" s="573"/>
      <c r="M697" s="604"/>
      <c r="N697" s="573"/>
      <c r="O697" s="564"/>
      <c r="P697" s="573"/>
      <c r="Q697" s="564"/>
      <c r="R697" s="573"/>
      <c r="S697" s="564"/>
      <c r="T697" s="573"/>
      <c r="U697" s="564"/>
      <c r="V697" s="573"/>
      <c r="W697" s="564"/>
      <c r="X697" s="573"/>
      <c r="Y697" s="573"/>
      <c r="Z697" s="573"/>
      <c r="AA697" s="569"/>
      <c r="AB697" s="569"/>
      <c r="AC697" s="569"/>
      <c r="AD697" s="569"/>
      <c r="AE697" s="569"/>
      <c r="AF697" s="569"/>
      <c r="AG697" s="569"/>
      <c r="AH697" s="569"/>
      <c r="AI697" s="569"/>
      <c r="AJ697" s="569"/>
      <c r="AK697" s="569"/>
      <c r="AL697" s="569"/>
      <c r="AM697" s="569"/>
      <c r="AN697" s="569"/>
      <c r="AO697" s="569"/>
      <c r="AP697" s="569"/>
      <c r="AQ697" s="569"/>
      <c r="AR697" s="569"/>
      <c r="AS697" s="569"/>
      <c r="AT697" s="569"/>
      <c r="AU697" s="569"/>
      <c r="AV697" s="569"/>
      <c r="AW697" s="569"/>
      <c r="AX697" s="569"/>
      <c r="AY697" s="569"/>
      <c r="AZ697" s="569"/>
      <c r="BA697" s="569"/>
      <c r="BB697" s="569"/>
      <c r="BC697" s="569"/>
      <c r="BD697" s="569"/>
      <c r="BE697" s="569"/>
      <c r="BF697" s="569"/>
      <c r="BG697" s="569"/>
      <c r="BH697" s="569"/>
      <c r="BI697" s="569"/>
      <c r="BJ697" s="569"/>
      <c r="BK697" s="569"/>
      <c r="BL697" s="569"/>
      <c r="BM697" s="569"/>
      <c r="BN697" s="569"/>
      <c r="BO697" s="569"/>
      <c r="BP697" s="569"/>
      <c r="BQ697" s="569"/>
      <c r="BR697" s="569"/>
      <c r="BS697" s="569"/>
      <c r="BT697" s="569"/>
      <c r="BU697" s="569"/>
      <c r="BV697" s="569"/>
      <c r="BW697" s="569"/>
      <c r="BX697" s="569"/>
      <c r="BY697" s="569"/>
      <c r="BZ697" s="569"/>
      <c r="CA697" s="569"/>
      <c r="CB697" s="569"/>
      <c r="CC697" s="569"/>
      <c r="CD697" s="569"/>
      <c r="CE697" s="569"/>
      <c r="CF697" s="569"/>
      <c r="CG697" s="569"/>
      <c r="CH697" s="569"/>
      <c r="CI697" s="569"/>
      <c r="CJ697" s="569"/>
      <c r="CK697" s="569"/>
      <c r="CL697" s="569"/>
      <c r="CM697" s="569"/>
      <c r="CN697" s="569"/>
      <c r="CO697" s="569"/>
      <c r="CP697" s="569"/>
      <c r="CQ697" s="569"/>
      <c r="CR697" s="569"/>
      <c r="CS697" s="569"/>
      <c r="CT697" s="569"/>
      <c r="CU697" s="569"/>
      <c r="CV697" s="569"/>
      <c r="CW697" s="569"/>
      <c r="CX697" s="569"/>
      <c r="CY697" s="569"/>
      <c r="CZ697" s="569"/>
      <c r="DA697" s="569"/>
      <c r="DB697" s="569"/>
      <c r="DC697" s="569"/>
      <c r="DD697" s="569"/>
      <c r="DE697" s="569"/>
      <c r="DF697" s="569"/>
      <c r="DG697" s="569"/>
      <c r="DH697" s="569"/>
      <c r="DI697" s="569"/>
      <c r="DJ697" s="569"/>
      <c r="DK697" s="569"/>
      <c r="DL697" s="569"/>
      <c r="DM697" s="569"/>
      <c r="DN697" s="569"/>
      <c r="DO697" s="569"/>
      <c r="DP697" s="569"/>
      <c r="DQ697" s="569"/>
      <c r="DR697" s="569"/>
      <c r="DS697" s="569"/>
      <c r="DT697" s="569"/>
      <c r="DU697" s="569"/>
      <c r="DV697" s="569"/>
      <c r="DW697" s="569"/>
      <c r="DX697" s="569"/>
      <c r="DY697" s="569"/>
      <c r="DZ697" s="569"/>
      <c r="EA697" s="569"/>
      <c r="EB697" s="569"/>
      <c r="EC697" s="569"/>
      <c r="ED697" s="569"/>
      <c r="EE697" s="569"/>
      <c r="EF697" s="569"/>
      <c r="EG697" s="569"/>
      <c r="EH697" s="569"/>
      <c r="EI697" s="569"/>
      <c r="EJ697" s="569"/>
      <c r="EK697" s="569"/>
      <c r="EL697" s="569"/>
      <c r="EM697" s="569"/>
      <c r="EN697" s="569"/>
      <c r="EO697" s="569"/>
      <c r="EP697" s="569"/>
      <c r="EQ697" s="569"/>
      <c r="ER697" s="569"/>
      <c r="ES697" s="569"/>
      <c r="ET697" s="569"/>
      <c r="EU697" s="569"/>
      <c r="EV697" s="569"/>
      <c r="EW697" s="569"/>
      <c r="EX697" s="569"/>
      <c r="EY697" s="569"/>
      <c r="EZ697" s="569"/>
      <c r="FA697" s="569"/>
      <c r="FB697" s="569"/>
      <c r="FC697" s="569"/>
      <c r="FD697" s="569"/>
      <c r="FE697" s="569"/>
      <c r="FF697" s="569"/>
      <c r="FG697" s="569"/>
      <c r="FH697" s="569"/>
      <c r="FI697" s="569"/>
      <c r="FJ697" s="569"/>
      <c r="FK697" s="569"/>
      <c r="FL697" s="569"/>
      <c r="FM697" s="569"/>
      <c r="FN697" s="569"/>
      <c r="FO697" s="569"/>
      <c r="FP697" s="569"/>
      <c r="FQ697" s="569"/>
      <c r="FR697" s="569"/>
      <c r="FS697" s="569"/>
      <c r="FT697" s="569"/>
      <c r="FU697" s="569"/>
      <c r="FV697" s="569"/>
      <c r="FW697" s="569"/>
      <c r="FX697" s="569"/>
      <c r="FY697" s="569"/>
      <c r="FZ697" s="569"/>
      <c r="GA697" s="569"/>
      <c r="GB697" s="569"/>
      <c r="GC697" s="569"/>
      <c r="GD697" s="569"/>
      <c r="GE697" s="569"/>
      <c r="GF697" s="569"/>
      <c r="GG697" s="569"/>
      <c r="GH697" s="569"/>
      <c r="GI697" s="569"/>
      <c r="GJ697" s="569"/>
      <c r="GK697" s="569"/>
      <c r="GL697" s="569"/>
      <c r="GM697" s="569"/>
      <c r="GN697" s="569"/>
      <c r="GO697" s="569"/>
      <c r="GP697" s="569"/>
      <c r="GQ697" s="569"/>
      <c r="GR697" s="569"/>
      <c r="GS697" s="569"/>
      <c r="GT697" s="569"/>
      <c r="GU697" s="569"/>
      <c r="GV697" s="569"/>
      <c r="GW697" s="569"/>
      <c r="GX697" s="569"/>
      <c r="GY697" s="569"/>
      <c r="GZ697" s="569"/>
      <c r="HA697" s="569"/>
      <c r="HB697" s="569"/>
      <c r="HC697" s="569"/>
      <c r="HD697" s="569"/>
      <c r="HE697" s="569"/>
      <c r="HF697" s="569"/>
      <c r="HG697" s="569"/>
      <c r="HH697" s="569"/>
      <c r="HI697" s="569"/>
      <c r="HJ697" s="569"/>
      <c r="HK697" s="569"/>
      <c r="HL697" s="569"/>
      <c r="HM697" s="569"/>
      <c r="HN697" s="569"/>
      <c r="HO697" s="569"/>
      <c r="HP697" s="569"/>
      <c r="HQ697" s="569"/>
      <c r="HR697" s="569"/>
      <c r="HS697" s="569"/>
      <c r="HT697" s="569"/>
      <c r="HU697" s="569"/>
      <c r="HV697" s="569"/>
      <c r="HW697" s="569"/>
      <c r="HX697" s="569"/>
      <c r="HY697" s="569"/>
      <c r="HZ697" s="569"/>
      <c r="IA697" s="569"/>
      <c r="IB697" s="569"/>
      <c r="IC697" s="569"/>
      <c r="ID697" s="569"/>
      <c r="IE697" s="569"/>
      <c r="IF697" s="569"/>
      <c r="IG697" s="569"/>
      <c r="IH697" s="569"/>
      <c r="II697" s="569"/>
      <c r="IJ697" s="569"/>
      <c r="IK697" s="569"/>
      <c r="IL697" s="569"/>
      <c r="IM697" s="569"/>
      <c r="IN697" s="569"/>
      <c r="IO697" s="569"/>
      <c r="IP697" s="569"/>
      <c r="IQ697" s="569"/>
      <c r="IR697" s="569"/>
      <c r="IS697" s="569"/>
      <c r="IT697" s="569"/>
      <c r="IU697" s="569"/>
      <c r="IV697" s="569"/>
      <c r="IW697" s="569"/>
      <c r="IX697" s="569"/>
      <c r="IY697" s="569"/>
      <c r="IZ697" s="569"/>
      <c r="JA697" s="569"/>
      <c r="JB697" s="569"/>
      <c r="JC697" s="569"/>
      <c r="JD697" s="569"/>
      <c r="JE697" s="569"/>
      <c r="JF697" s="569"/>
      <c r="JG697" s="569"/>
      <c r="JH697" s="569"/>
      <c r="JI697" s="569"/>
      <c r="JJ697" s="569"/>
      <c r="JK697" s="569"/>
      <c r="JL697" s="569"/>
      <c r="JM697" s="569"/>
      <c r="JN697" s="569"/>
      <c r="JO697" s="569"/>
      <c r="JP697" s="569"/>
      <c r="JQ697" s="569"/>
      <c r="JR697" s="569"/>
      <c r="JS697" s="569"/>
      <c r="JT697" s="569"/>
      <c r="JU697" s="569"/>
      <c r="JV697" s="569"/>
      <c r="JW697" s="569"/>
      <c r="JX697" s="569"/>
      <c r="JY697" s="569"/>
      <c r="JZ697" s="569"/>
      <c r="KA697" s="569"/>
      <c r="KB697" s="569"/>
      <c r="KC697" s="569"/>
      <c r="KD697" s="569"/>
      <c r="KE697" s="569"/>
      <c r="KF697" s="569"/>
      <c r="KG697" s="569"/>
      <c r="KH697" s="569"/>
      <c r="KI697" s="569"/>
      <c r="KJ697" s="569"/>
      <c r="KK697" s="569"/>
      <c r="KL697" s="569"/>
      <c r="KM697" s="569"/>
      <c r="KN697" s="569"/>
      <c r="KO697" s="569"/>
      <c r="KP697" s="569"/>
      <c r="KQ697" s="569"/>
      <c r="KR697" s="569"/>
      <c r="KS697" s="569"/>
      <c r="KT697" s="569"/>
      <c r="KU697" s="569"/>
      <c r="KV697" s="569"/>
      <c r="KW697" s="569"/>
      <c r="KX697" s="569"/>
      <c r="KY697" s="569"/>
      <c r="KZ697" s="569"/>
      <c r="LA697" s="569"/>
      <c r="LB697" s="569"/>
      <c r="LC697" s="569"/>
      <c r="LD697" s="569"/>
      <c r="LE697" s="569"/>
      <c r="LF697" s="569"/>
      <c r="LG697" s="569"/>
      <c r="LH697" s="569"/>
      <c r="LI697" s="569"/>
      <c r="LJ697" s="569"/>
      <c r="LK697" s="569"/>
      <c r="LL697" s="569"/>
      <c r="LM697" s="569"/>
      <c r="LN697" s="569"/>
      <c r="LO697" s="569"/>
      <c r="LP697" s="569"/>
      <c r="LQ697" s="569"/>
      <c r="LR697" s="569"/>
      <c r="LS697" s="569"/>
      <c r="LT697" s="569"/>
      <c r="LU697" s="569"/>
      <c r="LV697" s="569"/>
      <c r="LW697" s="569"/>
      <c r="LX697" s="569"/>
      <c r="LY697" s="569"/>
      <c r="LZ697" s="569"/>
      <c r="MA697" s="569"/>
      <c r="MB697" s="569"/>
      <c r="MC697" s="569"/>
      <c r="MD697" s="569"/>
      <c r="ME697" s="569"/>
      <c r="MF697" s="569"/>
      <c r="MG697" s="569"/>
      <c r="MH697" s="569"/>
      <c r="MI697" s="569"/>
      <c r="MJ697" s="569"/>
      <c r="MK697" s="569"/>
      <c r="ML697" s="569"/>
      <c r="MM697" s="569"/>
      <c r="MN697" s="569"/>
      <c r="MO697" s="569"/>
      <c r="MP697" s="569"/>
      <c r="MQ697" s="569"/>
      <c r="MR697" s="569"/>
      <c r="MS697" s="569"/>
      <c r="MT697" s="569"/>
      <c r="MU697" s="569"/>
      <c r="MV697" s="569"/>
      <c r="MW697" s="569"/>
      <c r="MX697" s="569"/>
      <c r="MY697" s="569"/>
      <c r="MZ697" s="569"/>
      <c r="NA697" s="569"/>
      <c r="NB697" s="569"/>
      <c r="NC697" s="569"/>
      <c r="ND697" s="569"/>
      <c r="NE697" s="569"/>
      <c r="NF697" s="569"/>
      <c r="NG697" s="569"/>
      <c r="NH697" s="569"/>
      <c r="NI697" s="569"/>
      <c r="NJ697" s="569"/>
      <c r="NK697" s="569"/>
      <c r="NL697" s="569"/>
      <c r="NM697" s="569"/>
      <c r="NN697" s="569"/>
      <c r="NO697" s="569"/>
      <c r="NP697" s="569"/>
      <c r="NQ697" s="569"/>
      <c r="NR697" s="569"/>
      <c r="NS697" s="569"/>
      <c r="NT697" s="569"/>
      <c r="NU697" s="569"/>
      <c r="NV697" s="569"/>
      <c r="NW697" s="569"/>
      <c r="NX697" s="569"/>
      <c r="NY697" s="569"/>
      <c r="NZ697" s="569"/>
      <c r="OA697" s="569"/>
      <c r="OB697" s="569"/>
      <c r="OC697" s="569"/>
      <c r="OD697" s="569"/>
      <c r="OE697" s="569"/>
      <c r="OF697" s="569"/>
      <c r="OG697" s="569"/>
      <c r="OH697" s="569"/>
      <c r="OI697" s="569"/>
      <c r="OJ697" s="569"/>
      <c r="OK697" s="569"/>
      <c r="OL697" s="569"/>
      <c r="OM697" s="569"/>
      <c r="ON697" s="569"/>
      <c r="OO697" s="569"/>
      <c r="OP697" s="569"/>
      <c r="OQ697" s="569"/>
      <c r="OR697" s="569"/>
      <c r="OS697" s="569"/>
      <c r="OT697" s="569"/>
      <c r="OU697" s="569"/>
      <c r="OV697" s="569"/>
      <c r="OW697" s="569"/>
      <c r="OX697" s="569"/>
      <c r="OY697" s="569"/>
      <c r="OZ697" s="569"/>
      <c r="PA697" s="569"/>
      <c r="PB697" s="569"/>
      <c r="PC697" s="569"/>
      <c r="PD697" s="569"/>
      <c r="PE697" s="569"/>
      <c r="PF697" s="569"/>
      <c r="PG697" s="569"/>
      <c r="PH697" s="569"/>
      <c r="PI697" s="569"/>
      <c r="PJ697" s="569"/>
      <c r="PK697" s="569"/>
      <c r="PL697" s="569"/>
      <c r="PM697" s="569"/>
      <c r="PN697" s="569"/>
      <c r="PO697" s="569"/>
      <c r="PP697" s="569"/>
      <c r="PQ697" s="569"/>
      <c r="PR697" s="569"/>
      <c r="PS697" s="569"/>
      <c r="PT697" s="569"/>
      <c r="PU697" s="569"/>
      <c r="PV697" s="569"/>
      <c r="PW697" s="569"/>
      <c r="PX697" s="569"/>
      <c r="PY697" s="569"/>
      <c r="PZ697" s="569"/>
      <c r="QA697" s="569"/>
      <c r="QB697" s="569"/>
      <c r="QC697" s="569"/>
      <c r="QD697" s="569"/>
      <c r="QE697" s="569"/>
      <c r="QF697" s="569"/>
      <c r="QG697" s="569"/>
      <c r="QH697" s="569"/>
      <c r="QI697" s="569"/>
      <c r="QJ697" s="569"/>
      <c r="QK697" s="569"/>
      <c r="QL697" s="569"/>
    </row>
    <row r="698" spans="1:454" s="574" customFormat="1" ht="45">
      <c r="A698" s="569"/>
      <c r="B698" s="575">
        <v>6</v>
      </c>
      <c r="C698" s="576" t="str">
        <f>'matrik MISI 1'!B81</f>
        <v>PERDAGANGAN</v>
      </c>
      <c r="D698" s="577" t="str">
        <f>'matrik MISI 1'!J82</f>
        <v>2.06</v>
      </c>
      <c r="E698" s="577" t="str">
        <f>'matrik MISI 1'!K82</f>
        <v>xx</v>
      </c>
      <c r="F698" s="577">
        <f>'matrik MISI 1'!L82</f>
        <v>21</v>
      </c>
      <c r="G698" s="577" t="str">
        <f>'matrik MISI 1'!M82</f>
        <v>Program Peningkatan Sarana dan Prasarana Lainnya</v>
      </c>
      <c r="H698" s="577"/>
      <c r="I698" s="577"/>
      <c r="J698" s="577"/>
      <c r="K698" s="577"/>
      <c r="L698" s="577"/>
      <c r="M698" s="578">
        <f>'jangan dihapus 2'!K700</f>
        <v>79140626600</v>
      </c>
      <c r="N698" s="577"/>
      <c r="O698" s="578">
        <f>'jangan dihapus 2'!M700</f>
        <v>20739763000</v>
      </c>
      <c r="P698" s="577"/>
      <c r="Q698" s="578">
        <f>'jangan dihapus 2'!O700</f>
        <v>250000000</v>
      </c>
      <c r="R698" s="577"/>
      <c r="S698" s="578">
        <f>'jangan dihapus 2'!Q700</f>
        <v>500000000</v>
      </c>
      <c r="T698" s="577"/>
      <c r="U698" s="578">
        <f>'jangan dihapus 2'!S700</f>
        <v>700000000</v>
      </c>
      <c r="V698" s="577"/>
      <c r="W698" s="578">
        <f>SUM(M698:U698)</f>
        <v>101330389600</v>
      </c>
      <c r="X698" s="577"/>
      <c r="Y698" s="577"/>
      <c r="Z698" s="577"/>
      <c r="AA698" s="569"/>
      <c r="AB698" s="569"/>
      <c r="AC698" s="569"/>
      <c r="AD698" s="569"/>
      <c r="AE698" s="569"/>
      <c r="AF698" s="569"/>
      <c r="AG698" s="569"/>
      <c r="AH698" s="569"/>
      <c r="AI698" s="569"/>
      <c r="AJ698" s="569"/>
      <c r="AK698" s="569"/>
      <c r="AL698" s="569"/>
      <c r="AM698" s="569"/>
      <c r="AN698" s="569"/>
      <c r="AO698" s="569"/>
      <c r="AP698" s="569"/>
      <c r="AQ698" s="569"/>
      <c r="AR698" s="569"/>
      <c r="AS698" s="569"/>
      <c r="AT698" s="569"/>
      <c r="AU698" s="569"/>
      <c r="AV698" s="569"/>
      <c r="AW698" s="569"/>
      <c r="AX698" s="569"/>
      <c r="AY698" s="569"/>
      <c r="AZ698" s="569"/>
      <c r="BA698" s="569"/>
      <c r="BB698" s="569"/>
      <c r="BC698" s="569"/>
      <c r="BD698" s="569"/>
      <c r="BE698" s="569"/>
      <c r="BF698" s="569"/>
      <c r="BG698" s="569"/>
      <c r="BH698" s="569"/>
      <c r="BI698" s="569"/>
      <c r="BJ698" s="569"/>
      <c r="BK698" s="569"/>
      <c r="BL698" s="569"/>
      <c r="BM698" s="569"/>
      <c r="BN698" s="569"/>
      <c r="BO698" s="569"/>
      <c r="BP698" s="569"/>
      <c r="BQ698" s="569"/>
      <c r="BR698" s="569"/>
      <c r="BS698" s="569"/>
      <c r="BT698" s="569"/>
      <c r="BU698" s="569"/>
      <c r="BV698" s="569"/>
      <c r="BW698" s="569"/>
      <c r="BX698" s="569"/>
      <c r="BY698" s="569"/>
      <c r="BZ698" s="569"/>
      <c r="CA698" s="569"/>
      <c r="CB698" s="569"/>
      <c r="CC698" s="569"/>
      <c r="CD698" s="569"/>
      <c r="CE698" s="569"/>
      <c r="CF698" s="569"/>
      <c r="CG698" s="569"/>
      <c r="CH698" s="569"/>
      <c r="CI698" s="569"/>
      <c r="CJ698" s="569"/>
      <c r="CK698" s="569"/>
      <c r="CL698" s="569"/>
      <c r="CM698" s="569"/>
      <c r="CN698" s="569"/>
      <c r="CO698" s="569"/>
      <c r="CP698" s="569"/>
      <c r="CQ698" s="569"/>
      <c r="CR698" s="569"/>
      <c r="CS698" s="569"/>
      <c r="CT698" s="569"/>
      <c r="CU698" s="569"/>
      <c r="CV698" s="569"/>
      <c r="CW698" s="569"/>
      <c r="CX698" s="569"/>
      <c r="CY698" s="569"/>
      <c r="CZ698" s="569"/>
      <c r="DA698" s="569"/>
      <c r="DB698" s="569"/>
      <c r="DC698" s="569"/>
      <c r="DD698" s="569"/>
      <c r="DE698" s="569"/>
      <c r="DF698" s="569"/>
      <c r="DG698" s="569"/>
      <c r="DH698" s="569"/>
      <c r="DI698" s="569"/>
      <c r="DJ698" s="569"/>
      <c r="DK698" s="569"/>
      <c r="DL698" s="569"/>
      <c r="DM698" s="569"/>
      <c r="DN698" s="569"/>
      <c r="DO698" s="569"/>
      <c r="DP698" s="569"/>
      <c r="DQ698" s="569"/>
      <c r="DR698" s="569"/>
      <c r="DS698" s="569"/>
      <c r="DT698" s="569"/>
      <c r="DU698" s="569"/>
      <c r="DV698" s="569"/>
      <c r="DW698" s="569"/>
      <c r="DX698" s="569"/>
      <c r="DY698" s="569"/>
      <c r="DZ698" s="569"/>
      <c r="EA698" s="569"/>
      <c r="EB698" s="569"/>
      <c r="EC698" s="569"/>
      <c r="ED698" s="569"/>
      <c r="EE698" s="569"/>
      <c r="EF698" s="569"/>
      <c r="EG698" s="569"/>
      <c r="EH698" s="569"/>
      <c r="EI698" s="569"/>
      <c r="EJ698" s="569"/>
      <c r="EK698" s="569"/>
      <c r="EL698" s="569"/>
      <c r="EM698" s="569"/>
      <c r="EN698" s="569"/>
      <c r="EO698" s="569"/>
      <c r="EP698" s="569"/>
      <c r="EQ698" s="569"/>
      <c r="ER698" s="569"/>
      <c r="ES698" s="569"/>
      <c r="ET698" s="569"/>
      <c r="EU698" s="569"/>
      <c r="EV698" s="569"/>
      <c r="EW698" s="569"/>
      <c r="EX698" s="569"/>
      <c r="EY698" s="569"/>
      <c r="EZ698" s="569"/>
      <c r="FA698" s="569"/>
      <c r="FB698" s="569"/>
      <c r="FC698" s="569"/>
      <c r="FD698" s="569"/>
      <c r="FE698" s="569"/>
      <c r="FF698" s="569"/>
      <c r="FG698" s="569"/>
      <c r="FH698" s="569"/>
      <c r="FI698" s="569"/>
      <c r="FJ698" s="569"/>
      <c r="FK698" s="569"/>
      <c r="FL698" s="569"/>
      <c r="FM698" s="569"/>
      <c r="FN698" s="569"/>
      <c r="FO698" s="569"/>
      <c r="FP698" s="569"/>
      <c r="FQ698" s="569"/>
      <c r="FR698" s="569"/>
      <c r="FS698" s="569"/>
      <c r="FT698" s="569"/>
      <c r="FU698" s="569"/>
      <c r="FV698" s="569"/>
      <c r="FW698" s="569"/>
      <c r="FX698" s="569"/>
      <c r="FY698" s="569"/>
      <c r="FZ698" s="569"/>
      <c r="GA698" s="569"/>
      <c r="GB698" s="569"/>
      <c r="GC698" s="569"/>
      <c r="GD698" s="569"/>
      <c r="GE698" s="569"/>
      <c r="GF698" s="569"/>
      <c r="GG698" s="569"/>
      <c r="GH698" s="569"/>
      <c r="GI698" s="569"/>
      <c r="GJ698" s="569"/>
      <c r="GK698" s="569"/>
      <c r="GL698" s="569"/>
      <c r="GM698" s="569"/>
      <c r="GN698" s="569"/>
      <c r="GO698" s="569"/>
      <c r="GP698" s="569"/>
      <c r="GQ698" s="569"/>
      <c r="GR698" s="569"/>
      <c r="GS698" s="569"/>
      <c r="GT698" s="569"/>
      <c r="GU698" s="569"/>
      <c r="GV698" s="569"/>
      <c r="GW698" s="569"/>
      <c r="GX698" s="569"/>
      <c r="GY698" s="569"/>
      <c r="GZ698" s="569"/>
      <c r="HA698" s="569"/>
      <c r="HB698" s="569"/>
      <c r="HC698" s="569"/>
      <c r="HD698" s="569"/>
      <c r="HE698" s="569"/>
      <c r="HF698" s="569"/>
      <c r="HG698" s="569"/>
      <c r="HH698" s="569"/>
      <c r="HI698" s="569"/>
      <c r="HJ698" s="569"/>
      <c r="HK698" s="569"/>
      <c r="HL698" s="569"/>
      <c r="HM698" s="569"/>
      <c r="HN698" s="569"/>
      <c r="HO698" s="569"/>
      <c r="HP698" s="569"/>
      <c r="HQ698" s="569"/>
      <c r="HR698" s="569"/>
      <c r="HS698" s="569"/>
      <c r="HT698" s="569"/>
      <c r="HU698" s="569"/>
      <c r="HV698" s="569"/>
      <c r="HW698" s="569"/>
      <c r="HX698" s="569"/>
      <c r="HY698" s="569"/>
      <c r="HZ698" s="569"/>
      <c r="IA698" s="569"/>
      <c r="IB698" s="569"/>
      <c r="IC698" s="569"/>
      <c r="ID698" s="569"/>
      <c r="IE698" s="569"/>
      <c r="IF698" s="569"/>
      <c r="IG698" s="569"/>
      <c r="IH698" s="569"/>
      <c r="II698" s="569"/>
      <c r="IJ698" s="569"/>
      <c r="IK698" s="569"/>
      <c r="IL698" s="569"/>
      <c r="IM698" s="569"/>
      <c r="IN698" s="569"/>
      <c r="IO698" s="569"/>
      <c r="IP698" s="569"/>
      <c r="IQ698" s="569"/>
      <c r="IR698" s="569"/>
      <c r="IS698" s="569"/>
      <c r="IT698" s="569"/>
      <c r="IU698" s="569"/>
      <c r="IV698" s="569"/>
      <c r="IW698" s="569"/>
      <c r="IX698" s="569"/>
      <c r="IY698" s="569"/>
      <c r="IZ698" s="569"/>
      <c r="JA698" s="569"/>
      <c r="JB698" s="569"/>
      <c r="JC698" s="569"/>
      <c r="JD698" s="569"/>
      <c r="JE698" s="569"/>
      <c r="JF698" s="569"/>
      <c r="JG698" s="569"/>
      <c r="JH698" s="569"/>
      <c r="JI698" s="569"/>
      <c r="JJ698" s="569"/>
      <c r="JK698" s="569"/>
      <c r="JL698" s="569"/>
      <c r="JM698" s="569"/>
      <c r="JN698" s="569"/>
      <c r="JO698" s="569"/>
      <c r="JP698" s="569"/>
      <c r="JQ698" s="569"/>
      <c r="JR698" s="569"/>
      <c r="JS698" s="569"/>
      <c r="JT698" s="569"/>
      <c r="JU698" s="569"/>
      <c r="JV698" s="569"/>
      <c r="JW698" s="569"/>
      <c r="JX698" s="569"/>
      <c r="JY698" s="569"/>
      <c r="JZ698" s="569"/>
      <c r="KA698" s="569"/>
      <c r="KB698" s="569"/>
      <c r="KC698" s="569"/>
      <c r="KD698" s="569"/>
      <c r="KE698" s="569"/>
      <c r="KF698" s="569"/>
      <c r="KG698" s="569"/>
      <c r="KH698" s="569"/>
      <c r="KI698" s="569"/>
      <c r="KJ698" s="569"/>
      <c r="KK698" s="569"/>
      <c r="KL698" s="569"/>
      <c r="KM698" s="569"/>
      <c r="KN698" s="569"/>
      <c r="KO698" s="569"/>
      <c r="KP698" s="569"/>
      <c r="KQ698" s="569"/>
      <c r="KR698" s="569"/>
      <c r="KS698" s="569"/>
      <c r="KT698" s="569"/>
      <c r="KU698" s="569"/>
      <c r="KV698" s="569"/>
      <c r="KW698" s="569"/>
      <c r="KX698" s="569"/>
      <c r="KY698" s="569"/>
      <c r="KZ698" s="569"/>
      <c r="LA698" s="569"/>
      <c r="LB698" s="569"/>
      <c r="LC698" s="569"/>
      <c r="LD698" s="569"/>
      <c r="LE698" s="569"/>
      <c r="LF698" s="569"/>
      <c r="LG698" s="569"/>
      <c r="LH698" s="569"/>
      <c r="LI698" s="569"/>
      <c r="LJ698" s="569"/>
      <c r="LK698" s="569"/>
      <c r="LL698" s="569"/>
      <c r="LM698" s="569"/>
      <c r="LN698" s="569"/>
      <c r="LO698" s="569"/>
      <c r="LP698" s="569"/>
      <c r="LQ698" s="569"/>
      <c r="LR698" s="569"/>
      <c r="LS698" s="569"/>
      <c r="LT698" s="569"/>
      <c r="LU698" s="569"/>
      <c r="LV698" s="569"/>
      <c r="LW698" s="569"/>
      <c r="LX698" s="569"/>
      <c r="LY698" s="569"/>
      <c r="LZ698" s="569"/>
      <c r="MA698" s="569"/>
      <c r="MB698" s="569"/>
      <c r="MC698" s="569"/>
      <c r="MD698" s="569"/>
      <c r="ME698" s="569"/>
      <c r="MF698" s="569"/>
      <c r="MG698" s="569"/>
      <c r="MH698" s="569"/>
      <c r="MI698" s="569"/>
      <c r="MJ698" s="569"/>
      <c r="MK698" s="569"/>
      <c r="ML698" s="569"/>
      <c r="MM698" s="569"/>
      <c r="MN698" s="569"/>
      <c r="MO698" s="569"/>
      <c r="MP698" s="569"/>
      <c r="MQ698" s="569"/>
      <c r="MR698" s="569"/>
      <c r="MS698" s="569"/>
      <c r="MT698" s="569"/>
      <c r="MU698" s="569"/>
      <c r="MV698" s="569"/>
      <c r="MW698" s="569"/>
      <c r="MX698" s="569"/>
      <c r="MY698" s="569"/>
      <c r="MZ698" s="569"/>
      <c r="NA698" s="569"/>
      <c r="NB698" s="569"/>
      <c r="NC698" s="569"/>
      <c r="ND698" s="569"/>
      <c r="NE698" s="569"/>
      <c r="NF698" s="569"/>
      <c r="NG698" s="569"/>
      <c r="NH698" s="569"/>
      <c r="NI698" s="569"/>
      <c r="NJ698" s="569"/>
      <c r="NK698" s="569"/>
      <c r="NL698" s="569"/>
      <c r="NM698" s="569"/>
      <c r="NN698" s="569"/>
      <c r="NO698" s="569"/>
      <c r="NP698" s="569"/>
      <c r="NQ698" s="569"/>
      <c r="NR698" s="569"/>
      <c r="NS698" s="569"/>
      <c r="NT698" s="569"/>
      <c r="NU698" s="569"/>
      <c r="NV698" s="569"/>
      <c r="NW698" s="569"/>
      <c r="NX698" s="569"/>
      <c r="NY698" s="569"/>
      <c r="NZ698" s="569"/>
      <c r="OA698" s="569"/>
      <c r="OB698" s="569"/>
      <c r="OC698" s="569"/>
      <c r="OD698" s="569"/>
      <c r="OE698" s="569"/>
      <c r="OF698" s="569"/>
      <c r="OG698" s="569"/>
      <c r="OH698" s="569"/>
      <c r="OI698" s="569"/>
      <c r="OJ698" s="569"/>
      <c r="OK698" s="569"/>
      <c r="OL698" s="569"/>
      <c r="OM698" s="569"/>
      <c r="ON698" s="569"/>
      <c r="OO698" s="569"/>
      <c r="OP698" s="569"/>
      <c r="OQ698" s="569"/>
      <c r="OR698" s="569"/>
      <c r="OS698" s="569"/>
      <c r="OT698" s="569"/>
      <c r="OU698" s="569"/>
      <c r="OV698" s="569"/>
      <c r="OW698" s="569"/>
      <c r="OX698" s="569"/>
      <c r="OY698" s="569"/>
      <c r="OZ698" s="569"/>
      <c r="PA698" s="569"/>
      <c r="PB698" s="569"/>
      <c r="PC698" s="569"/>
      <c r="PD698" s="569"/>
      <c r="PE698" s="569"/>
      <c r="PF698" s="569"/>
      <c r="PG698" s="569"/>
      <c r="PH698" s="569"/>
      <c r="PI698" s="569"/>
      <c r="PJ698" s="569"/>
      <c r="PK698" s="569"/>
      <c r="PL698" s="569"/>
      <c r="PM698" s="569"/>
      <c r="PN698" s="569"/>
      <c r="PO698" s="569"/>
      <c r="PP698" s="569"/>
      <c r="PQ698" s="569"/>
      <c r="PR698" s="569"/>
      <c r="PS698" s="569"/>
      <c r="PT698" s="569"/>
      <c r="PU698" s="569"/>
      <c r="PV698" s="569"/>
      <c r="PW698" s="569"/>
      <c r="PX698" s="569"/>
      <c r="PY698" s="569"/>
      <c r="PZ698" s="569"/>
      <c r="QA698" s="569"/>
      <c r="QB698" s="569"/>
      <c r="QC698" s="569"/>
      <c r="QD698" s="569"/>
      <c r="QE698" s="569"/>
      <c r="QF698" s="569"/>
      <c r="QG698" s="569"/>
      <c r="QH698" s="569"/>
      <c r="QI698" s="569"/>
      <c r="QJ698" s="569"/>
      <c r="QK698" s="569"/>
      <c r="QL698" s="569"/>
    </row>
    <row r="699" spans="1:454" ht="45">
      <c r="B699" s="568"/>
      <c r="C699" s="568"/>
      <c r="D699" s="568"/>
      <c r="E699" s="568"/>
      <c r="F699" s="568"/>
      <c r="G699" s="568"/>
      <c r="H699" s="563" t="str">
        <f>'matrik MISI 1'!N82</f>
        <v>Besaran meningkatnya  Sarana dan Prasarana Perdagangan</v>
      </c>
      <c r="I699" s="563" t="str">
        <f>'matrik MISI 1'!O82</f>
        <v>unit</v>
      </c>
      <c r="J699" s="563">
        <f>'matrik MISI 1'!P82</f>
        <v>2</v>
      </c>
      <c r="K699" s="563">
        <f>'matrik MISI 1'!Q82</f>
        <v>2</v>
      </c>
      <c r="L699" s="563">
        <f>'matrik MISI 1'!R82</f>
        <v>1</v>
      </c>
      <c r="M699" s="604"/>
      <c r="N699" s="563">
        <f>'matrik MISI 1'!S82</f>
        <v>1</v>
      </c>
      <c r="O699" s="564"/>
      <c r="P699" s="563">
        <f>'matrik MISI 1'!T82</f>
        <v>1</v>
      </c>
      <c r="Q699" s="564"/>
      <c r="R699" s="563">
        <f>'matrik MISI 1'!U82</f>
        <v>1</v>
      </c>
      <c r="S699" s="564"/>
      <c r="T699" s="563">
        <f>'matrik MISI 1'!V82</f>
        <v>1</v>
      </c>
      <c r="U699" s="564"/>
      <c r="V699" s="563">
        <f>'matrik MISI 1'!W82</f>
        <v>5</v>
      </c>
      <c r="W699" s="564"/>
      <c r="X699" s="563" t="str">
        <f>'matrik MISI 1'!X82</f>
        <v>DISPERINDAGKOP DAN UMKM</v>
      </c>
      <c r="Y699" s="563" t="str">
        <f>'matrik MISI 1'!Y82</f>
        <v>Bertambahnya pasar yang di revitalisasi</v>
      </c>
      <c r="Z699" s="563" t="str">
        <f>'matrik MISI 1'!Z82</f>
        <v>pasar dimaksud diluar pasar desa dan Pasar BUMD (Pasar Kranggan, Candiroto, Pingit, Pasar Burung Kerkof, Penataan Kios Komplek Alun alun, Pasar Hewan Temanggung )</v>
      </c>
    </row>
    <row r="700" spans="1:454" s="574" customFormat="1" ht="30">
      <c r="A700" s="569"/>
      <c r="B700" s="575"/>
      <c r="C700" s="576"/>
      <c r="D700" s="577" t="str">
        <f>'matrik MISI 1'!J83</f>
        <v>2.06</v>
      </c>
      <c r="E700" s="577" t="str">
        <f>'matrik MISI 1'!K83</f>
        <v>xx</v>
      </c>
      <c r="F700" s="577">
        <f>'matrik MISI 1'!L83</f>
        <v>20</v>
      </c>
      <c r="G700" s="577" t="str">
        <f>'matrik MISI 1'!M83</f>
        <v>Program Pengelolaan Pasar Daerah</v>
      </c>
      <c r="H700" s="577"/>
      <c r="I700" s="577"/>
      <c r="J700" s="577"/>
      <c r="K700" s="577"/>
      <c r="L700" s="577"/>
      <c r="M700" s="578">
        <f>'jangan dihapus 2'!K691</f>
        <v>374730000</v>
      </c>
      <c r="N700" s="577"/>
      <c r="O700" s="578">
        <f>'jangan dihapus 2'!M691</f>
        <v>285000000</v>
      </c>
      <c r="P700" s="577"/>
      <c r="Q700" s="578">
        <f>'jangan dihapus 2'!O691</f>
        <v>285000000</v>
      </c>
      <c r="R700" s="577"/>
      <c r="S700" s="578">
        <f>'jangan dihapus 2'!Q691</f>
        <v>335000000</v>
      </c>
      <c r="T700" s="577"/>
      <c r="U700" s="578">
        <f>'jangan dihapus 2'!S691</f>
        <v>355000000</v>
      </c>
      <c r="V700" s="577"/>
      <c r="W700" s="578">
        <f>SUM(M700:U700)</f>
        <v>1634730000</v>
      </c>
      <c r="X700" s="577"/>
      <c r="Y700" s="577"/>
      <c r="Z700" s="577"/>
      <c r="AA700" s="569"/>
      <c r="AB700" s="569"/>
      <c r="AC700" s="569"/>
      <c r="AD700" s="569"/>
      <c r="AE700" s="569"/>
      <c r="AF700" s="569"/>
      <c r="AG700" s="569"/>
      <c r="AH700" s="569"/>
      <c r="AI700" s="569"/>
      <c r="AJ700" s="569"/>
      <c r="AK700" s="569"/>
      <c r="AL700" s="569"/>
      <c r="AM700" s="569"/>
      <c r="AN700" s="569"/>
      <c r="AO700" s="569"/>
      <c r="AP700" s="569"/>
      <c r="AQ700" s="569"/>
      <c r="AR700" s="569"/>
      <c r="AS700" s="569"/>
      <c r="AT700" s="569"/>
      <c r="AU700" s="569"/>
      <c r="AV700" s="569"/>
      <c r="AW700" s="569"/>
      <c r="AX700" s="569"/>
      <c r="AY700" s="569"/>
      <c r="AZ700" s="569"/>
      <c r="BA700" s="569"/>
      <c r="BB700" s="569"/>
      <c r="BC700" s="569"/>
      <c r="BD700" s="569"/>
      <c r="BE700" s="569"/>
      <c r="BF700" s="569"/>
      <c r="BG700" s="569"/>
      <c r="BH700" s="569"/>
      <c r="BI700" s="569"/>
      <c r="BJ700" s="569"/>
      <c r="BK700" s="569"/>
      <c r="BL700" s="569"/>
      <c r="BM700" s="569"/>
      <c r="BN700" s="569"/>
      <c r="BO700" s="569"/>
      <c r="BP700" s="569"/>
      <c r="BQ700" s="569"/>
      <c r="BR700" s="569"/>
      <c r="BS700" s="569"/>
      <c r="BT700" s="569"/>
      <c r="BU700" s="569"/>
      <c r="BV700" s="569"/>
      <c r="BW700" s="569"/>
      <c r="BX700" s="569"/>
      <c r="BY700" s="569"/>
      <c r="BZ700" s="569"/>
      <c r="CA700" s="569"/>
      <c r="CB700" s="569"/>
      <c r="CC700" s="569"/>
      <c r="CD700" s="569"/>
      <c r="CE700" s="569"/>
      <c r="CF700" s="569"/>
      <c r="CG700" s="569"/>
      <c r="CH700" s="569"/>
      <c r="CI700" s="569"/>
      <c r="CJ700" s="569"/>
      <c r="CK700" s="569"/>
      <c r="CL700" s="569"/>
      <c r="CM700" s="569"/>
      <c r="CN700" s="569"/>
      <c r="CO700" s="569"/>
      <c r="CP700" s="569"/>
      <c r="CQ700" s="569"/>
      <c r="CR700" s="569"/>
      <c r="CS700" s="569"/>
      <c r="CT700" s="569"/>
      <c r="CU700" s="569"/>
      <c r="CV700" s="569"/>
      <c r="CW700" s="569"/>
      <c r="CX700" s="569"/>
      <c r="CY700" s="569"/>
      <c r="CZ700" s="569"/>
      <c r="DA700" s="569"/>
      <c r="DB700" s="569"/>
      <c r="DC700" s="569"/>
      <c r="DD700" s="569"/>
      <c r="DE700" s="569"/>
      <c r="DF700" s="569"/>
      <c r="DG700" s="569"/>
      <c r="DH700" s="569"/>
      <c r="DI700" s="569"/>
      <c r="DJ700" s="569"/>
      <c r="DK700" s="569"/>
      <c r="DL700" s="569"/>
      <c r="DM700" s="569"/>
      <c r="DN700" s="569"/>
      <c r="DO700" s="569"/>
      <c r="DP700" s="569"/>
      <c r="DQ700" s="569"/>
      <c r="DR700" s="569"/>
      <c r="DS700" s="569"/>
      <c r="DT700" s="569"/>
      <c r="DU700" s="569"/>
      <c r="DV700" s="569"/>
      <c r="DW700" s="569"/>
      <c r="DX700" s="569"/>
      <c r="DY700" s="569"/>
      <c r="DZ700" s="569"/>
      <c r="EA700" s="569"/>
      <c r="EB700" s="569"/>
      <c r="EC700" s="569"/>
      <c r="ED700" s="569"/>
      <c r="EE700" s="569"/>
      <c r="EF700" s="569"/>
      <c r="EG700" s="569"/>
      <c r="EH700" s="569"/>
      <c r="EI700" s="569"/>
      <c r="EJ700" s="569"/>
      <c r="EK700" s="569"/>
      <c r="EL700" s="569"/>
      <c r="EM700" s="569"/>
      <c r="EN700" s="569"/>
      <c r="EO700" s="569"/>
      <c r="EP700" s="569"/>
      <c r="EQ700" s="569"/>
      <c r="ER700" s="569"/>
      <c r="ES700" s="569"/>
      <c r="ET700" s="569"/>
      <c r="EU700" s="569"/>
      <c r="EV700" s="569"/>
      <c r="EW700" s="569"/>
      <c r="EX700" s="569"/>
      <c r="EY700" s="569"/>
      <c r="EZ700" s="569"/>
      <c r="FA700" s="569"/>
      <c r="FB700" s="569"/>
      <c r="FC700" s="569"/>
      <c r="FD700" s="569"/>
      <c r="FE700" s="569"/>
      <c r="FF700" s="569"/>
      <c r="FG700" s="569"/>
      <c r="FH700" s="569"/>
      <c r="FI700" s="569"/>
      <c r="FJ700" s="569"/>
      <c r="FK700" s="569"/>
      <c r="FL700" s="569"/>
      <c r="FM700" s="569"/>
      <c r="FN700" s="569"/>
      <c r="FO700" s="569"/>
      <c r="FP700" s="569"/>
      <c r="FQ700" s="569"/>
      <c r="FR700" s="569"/>
      <c r="FS700" s="569"/>
      <c r="FT700" s="569"/>
      <c r="FU700" s="569"/>
      <c r="FV700" s="569"/>
      <c r="FW700" s="569"/>
      <c r="FX700" s="569"/>
      <c r="FY700" s="569"/>
      <c r="FZ700" s="569"/>
      <c r="GA700" s="569"/>
      <c r="GB700" s="569"/>
      <c r="GC700" s="569"/>
      <c r="GD700" s="569"/>
      <c r="GE700" s="569"/>
      <c r="GF700" s="569"/>
      <c r="GG700" s="569"/>
      <c r="GH700" s="569"/>
      <c r="GI700" s="569"/>
      <c r="GJ700" s="569"/>
      <c r="GK700" s="569"/>
      <c r="GL700" s="569"/>
      <c r="GM700" s="569"/>
      <c r="GN700" s="569"/>
      <c r="GO700" s="569"/>
      <c r="GP700" s="569"/>
      <c r="GQ700" s="569"/>
      <c r="GR700" s="569"/>
      <c r="GS700" s="569"/>
      <c r="GT700" s="569"/>
      <c r="GU700" s="569"/>
      <c r="GV700" s="569"/>
      <c r="GW700" s="569"/>
      <c r="GX700" s="569"/>
      <c r="GY700" s="569"/>
      <c r="GZ700" s="569"/>
      <c r="HA700" s="569"/>
      <c r="HB700" s="569"/>
      <c r="HC700" s="569"/>
      <c r="HD700" s="569"/>
      <c r="HE700" s="569"/>
      <c r="HF700" s="569"/>
      <c r="HG700" s="569"/>
      <c r="HH700" s="569"/>
      <c r="HI700" s="569"/>
      <c r="HJ700" s="569"/>
      <c r="HK700" s="569"/>
      <c r="HL700" s="569"/>
      <c r="HM700" s="569"/>
      <c r="HN700" s="569"/>
      <c r="HO700" s="569"/>
      <c r="HP700" s="569"/>
      <c r="HQ700" s="569"/>
      <c r="HR700" s="569"/>
      <c r="HS700" s="569"/>
      <c r="HT700" s="569"/>
      <c r="HU700" s="569"/>
      <c r="HV700" s="569"/>
      <c r="HW700" s="569"/>
      <c r="HX700" s="569"/>
      <c r="HY700" s="569"/>
      <c r="HZ700" s="569"/>
      <c r="IA700" s="569"/>
      <c r="IB700" s="569"/>
      <c r="IC700" s="569"/>
      <c r="ID700" s="569"/>
      <c r="IE700" s="569"/>
      <c r="IF700" s="569"/>
      <c r="IG700" s="569"/>
      <c r="IH700" s="569"/>
      <c r="II700" s="569"/>
      <c r="IJ700" s="569"/>
      <c r="IK700" s="569"/>
      <c r="IL700" s="569"/>
      <c r="IM700" s="569"/>
      <c r="IN700" s="569"/>
      <c r="IO700" s="569"/>
      <c r="IP700" s="569"/>
      <c r="IQ700" s="569"/>
      <c r="IR700" s="569"/>
      <c r="IS700" s="569"/>
      <c r="IT700" s="569"/>
      <c r="IU700" s="569"/>
      <c r="IV700" s="569"/>
      <c r="IW700" s="569"/>
      <c r="IX700" s="569"/>
      <c r="IY700" s="569"/>
      <c r="IZ700" s="569"/>
      <c r="JA700" s="569"/>
      <c r="JB700" s="569"/>
      <c r="JC700" s="569"/>
      <c r="JD700" s="569"/>
      <c r="JE700" s="569"/>
      <c r="JF700" s="569"/>
      <c r="JG700" s="569"/>
      <c r="JH700" s="569"/>
      <c r="JI700" s="569"/>
      <c r="JJ700" s="569"/>
      <c r="JK700" s="569"/>
      <c r="JL700" s="569"/>
      <c r="JM700" s="569"/>
      <c r="JN700" s="569"/>
      <c r="JO700" s="569"/>
      <c r="JP700" s="569"/>
      <c r="JQ700" s="569"/>
      <c r="JR700" s="569"/>
      <c r="JS700" s="569"/>
      <c r="JT700" s="569"/>
      <c r="JU700" s="569"/>
      <c r="JV700" s="569"/>
      <c r="JW700" s="569"/>
      <c r="JX700" s="569"/>
      <c r="JY700" s="569"/>
      <c r="JZ700" s="569"/>
      <c r="KA700" s="569"/>
      <c r="KB700" s="569"/>
      <c r="KC700" s="569"/>
      <c r="KD700" s="569"/>
      <c r="KE700" s="569"/>
      <c r="KF700" s="569"/>
      <c r="KG700" s="569"/>
      <c r="KH700" s="569"/>
      <c r="KI700" s="569"/>
      <c r="KJ700" s="569"/>
      <c r="KK700" s="569"/>
      <c r="KL700" s="569"/>
      <c r="KM700" s="569"/>
      <c r="KN700" s="569"/>
      <c r="KO700" s="569"/>
      <c r="KP700" s="569"/>
      <c r="KQ700" s="569"/>
      <c r="KR700" s="569"/>
      <c r="KS700" s="569"/>
      <c r="KT700" s="569"/>
      <c r="KU700" s="569"/>
      <c r="KV700" s="569"/>
      <c r="KW700" s="569"/>
      <c r="KX700" s="569"/>
      <c r="KY700" s="569"/>
      <c r="KZ700" s="569"/>
      <c r="LA700" s="569"/>
      <c r="LB700" s="569"/>
      <c r="LC700" s="569"/>
      <c r="LD700" s="569"/>
      <c r="LE700" s="569"/>
      <c r="LF700" s="569"/>
      <c r="LG700" s="569"/>
      <c r="LH700" s="569"/>
      <c r="LI700" s="569"/>
      <c r="LJ700" s="569"/>
      <c r="LK700" s="569"/>
      <c r="LL700" s="569"/>
      <c r="LM700" s="569"/>
      <c r="LN700" s="569"/>
      <c r="LO700" s="569"/>
      <c r="LP700" s="569"/>
      <c r="LQ700" s="569"/>
      <c r="LR700" s="569"/>
      <c r="LS700" s="569"/>
      <c r="LT700" s="569"/>
      <c r="LU700" s="569"/>
      <c r="LV700" s="569"/>
      <c r="LW700" s="569"/>
      <c r="LX700" s="569"/>
      <c r="LY700" s="569"/>
      <c r="LZ700" s="569"/>
      <c r="MA700" s="569"/>
      <c r="MB700" s="569"/>
      <c r="MC700" s="569"/>
      <c r="MD700" s="569"/>
      <c r="ME700" s="569"/>
      <c r="MF700" s="569"/>
      <c r="MG700" s="569"/>
      <c r="MH700" s="569"/>
      <c r="MI700" s="569"/>
      <c r="MJ700" s="569"/>
      <c r="MK700" s="569"/>
      <c r="ML700" s="569"/>
      <c r="MM700" s="569"/>
      <c r="MN700" s="569"/>
      <c r="MO700" s="569"/>
      <c r="MP700" s="569"/>
      <c r="MQ700" s="569"/>
      <c r="MR700" s="569"/>
      <c r="MS700" s="569"/>
      <c r="MT700" s="569"/>
      <c r="MU700" s="569"/>
      <c r="MV700" s="569"/>
      <c r="MW700" s="569"/>
      <c r="MX700" s="569"/>
      <c r="MY700" s="569"/>
      <c r="MZ700" s="569"/>
      <c r="NA700" s="569"/>
      <c r="NB700" s="569"/>
      <c r="NC700" s="569"/>
      <c r="ND700" s="569"/>
      <c r="NE700" s="569"/>
      <c r="NF700" s="569"/>
      <c r="NG700" s="569"/>
      <c r="NH700" s="569"/>
      <c r="NI700" s="569"/>
      <c r="NJ700" s="569"/>
      <c r="NK700" s="569"/>
      <c r="NL700" s="569"/>
      <c r="NM700" s="569"/>
      <c r="NN700" s="569"/>
      <c r="NO700" s="569"/>
      <c r="NP700" s="569"/>
      <c r="NQ700" s="569"/>
      <c r="NR700" s="569"/>
      <c r="NS700" s="569"/>
      <c r="NT700" s="569"/>
      <c r="NU700" s="569"/>
      <c r="NV700" s="569"/>
      <c r="NW700" s="569"/>
      <c r="NX700" s="569"/>
      <c r="NY700" s="569"/>
      <c r="NZ700" s="569"/>
      <c r="OA700" s="569"/>
      <c r="OB700" s="569"/>
      <c r="OC700" s="569"/>
      <c r="OD700" s="569"/>
      <c r="OE700" s="569"/>
      <c r="OF700" s="569"/>
      <c r="OG700" s="569"/>
      <c r="OH700" s="569"/>
      <c r="OI700" s="569"/>
      <c r="OJ700" s="569"/>
      <c r="OK700" s="569"/>
      <c r="OL700" s="569"/>
      <c r="OM700" s="569"/>
      <c r="ON700" s="569"/>
      <c r="OO700" s="569"/>
      <c r="OP700" s="569"/>
      <c r="OQ700" s="569"/>
      <c r="OR700" s="569"/>
      <c r="OS700" s="569"/>
      <c r="OT700" s="569"/>
      <c r="OU700" s="569"/>
      <c r="OV700" s="569"/>
      <c r="OW700" s="569"/>
      <c r="OX700" s="569"/>
      <c r="OY700" s="569"/>
      <c r="OZ700" s="569"/>
      <c r="PA700" s="569"/>
      <c r="PB700" s="569"/>
      <c r="PC700" s="569"/>
      <c r="PD700" s="569"/>
      <c r="PE700" s="569"/>
      <c r="PF700" s="569"/>
      <c r="PG700" s="569"/>
      <c r="PH700" s="569"/>
      <c r="PI700" s="569"/>
      <c r="PJ700" s="569"/>
      <c r="PK700" s="569"/>
      <c r="PL700" s="569"/>
      <c r="PM700" s="569"/>
      <c r="PN700" s="569"/>
      <c r="PO700" s="569"/>
      <c r="PP700" s="569"/>
      <c r="PQ700" s="569"/>
      <c r="PR700" s="569"/>
      <c r="PS700" s="569"/>
      <c r="PT700" s="569"/>
      <c r="PU700" s="569"/>
      <c r="PV700" s="569"/>
      <c r="PW700" s="569"/>
      <c r="PX700" s="569"/>
      <c r="PY700" s="569"/>
      <c r="PZ700" s="569"/>
      <c r="QA700" s="569"/>
      <c r="QB700" s="569"/>
      <c r="QC700" s="569"/>
      <c r="QD700" s="569"/>
      <c r="QE700" s="569"/>
      <c r="QF700" s="569"/>
      <c r="QG700" s="569"/>
      <c r="QH700" s="569"/>
      <c r="QI700" s="569"/>
      <c r="QJ700" s="569"/>
      <c r="QK700" s="569"/>
      <c r="QL700" s="569"/>
    </row>
    <row r="701" spans="1:454" ht="30">
      <c r="D701" s="568"/>
      <c r="E701" s="568"/>
      <c r="F701" s="568"/>
      <c r="G701" s="568"/>
      <c r="H701" s="563" t="str">
        <f>'matrik MISI 1'!N83</f>
        <v>Cakupan pengelolaan sarana dan prasarana pasar</v>
      </c>
      <c r="I701" s="563" t="str">
        <f>'matrik MISI 1'!O83</f>
        <v>%</v>
      </c>
      <c r="J701" s="563">
        <f>'matrik MISI 1'!P83</f>
        <v>100</v>
      </c>
      <c r="K701" s="563">
        <f>'matrik MISI 1'!Q83</f>
        <v>100</v>
      </c>
      <c r="L701" s="563">
        <f>'matrik MISI 1'!R83</f>
        <v>100</v>
      </c>
      <c r="M701" s="604"/>
      <c r="N701" s="563">
        <f>'matrik MISI 1'!S83</f>
        <v>100</v>
      </c>
      <c r="O701" s="564"/>
      <c r="P701" s="563">
        <f>'matrik MISI 1'!T83</f>
        <v>100</v>
      </c>
      <c r="Q701" s="564"/>
      <c r="R701" s="563">
        <f>'matrik MISI 1'!U83</f>
        <v>100</v>
      </c>
      <c r="S701" s="564"/>
      <c r="T701" s="563">
        <f>'matrik MISI 1'!V83</f>
        <v>100</v>
      </c>
      <c r="U701" s="564"/>
      <c r="V701" s="563">
        <f>'matrik MISI 1'!W83</f>
        <v>100</v>
      </c>
      <c r="W701" s="564"/>
      <c r="X701" s="563" t="str">
        <f>'matrik MISI 1'!X83</f>
        <v>DISPERINDAGKOP DAN UMKM</v>
      </c>
      <c r="Y701" s="563" t="str">
        <f>'matrik MISI 1'!Y83</f>
        <v>jumlah pasar yang dikelola pemerintah dibagi jumlah pasar yang ada kali 100 %</v>
      </c>
      <c r="Z701" s="563">
        <f>'matrik MISI 1'!Z83</f>
        <v>0</v>
      </c>
    </row>
    <row r="702" spans="1:454" s="574" customFormat="1" ht="45">
      <c r="A702" s="569"/>
      <c r="B702" s="575"/>
      <c r="C702" s="576"/>
      <c r="D702" s="577" t="str">
        <f>'matrik MISI 1'!J85</f>
        <v>2.06</v>
      </c>
      <c r="E702" s="577" t="str">
        <f>'matrik MISI 1'!K85</f>
        <v>xx</v>
      </c>
      <c r="F702" s="577">
        <f>'matrik MISI 1'!L85</f>
        <v>17</v>
      </c>
      <c r="G702" s="577" t="str">
        <f>'matrik MISI 1'!M85</f>
        <v>Program Peningkatan dan pengembangan  ekspor</v>
      </c>
      <c r="H702" s="577"/>
      <c r="I702" s="577"/>
      <c r="J702" s="577"/>
      <c r="K702" s="577"/>
      <c r="L702" s="577"/>
      <c r="M702" s="578">
        <f>'jangan dihapus 2'!K685</f>
        <v>110000000</v>
      </c>
      <c r="N702" s="577"/>
      <c r="O702" s="578">
        <f>'jangan dihapus 2'!M685</f>
        <v>54000000</v>
      </c>
      <c r="P702" s="577"/>
      <c r="Q702" s="578">
        <f>'jangan dihapus 2'!O685</f>
        <v>255000000</v>
      </c>
      <c r="R702" s="577"/>
      <c r="S702" s="578">
        <f>'jangan dihapus 2'!Q685</f>
        <v>260000000</v>
      </c>
      <c r="T702" s="577"/>
      <c r="U702" s="578">
        <f>'jangan dihapus 2'!S685</f>
        <v>282000000</v>
      </c>
      <c r="V702" s="577"/>
      <c r="W702" s="578">
        <f>SUM(M702:U702)</f>
        <v>961000000</v>
      </c>
      <c r="X702" s="577"/>
      <c r="Y702" s="577"/>
      <c r="Z702" s="577"/>
      <c r="AA702" s="569"/>
      <c r="AB702" s="569"/>
      <c r="AC702" s="569"/>
      <c r="AD702" s="569"/>
      <c r="AE702" s="569"/>
      <c r="AF702" s="569"/>
      <c r="AG702" s="569"/>
      <c r="AH702" s="569"/>
      <c r="AI702" s="569"/>
      <c r="AJ702" s="569"/>
      <c r="AK702" s="569"/>
      <c r="AL702" s="569"/>
      <c r="AM702" s="569"/>
      <c r="AN702" s="569"/>
      <c r="AO702" s="569"/>
      <c r="AP702" s="569"/>
      <c r="AQ702" s="569"/>
      <c r="AR702" s="569"/>
      <c r="AS702" s="569"/>
      <c r="AT702" s="569"/>
      <c r="AU702" s="569"/>
      <c r="AV702" s="569"/>
      <c r="AW702" s="569"/>
      <c r="AX702" s="569"/>
      <c r="AY702" s="569"/>
      <c r="AZ702" s="569"/>
      <c r="BA702" s="569"/>
      <c r="BB702" s="569"/>
      <c r="BC702" s="569"/>
      <c r="BD702" s="569"/>
      <c r="BE702" s="569"/>
      <c r="BF702" s="569"/>
      <c r="BG702" s="569"/>
      <c r="BH702" s="569"/>
      <c r="BI702" s="569"/>
      <c r="BJ702" s="569"/>
      <c r="BK702" s="569"/>
      <c r="BL702" s="569"/>
      <c r="BM702" s="569"/>
      <c r="BN702" s="569"/>
      <c r="BO702" s="569"/>
      <c r="BP702" s="569"/>
      <c r="BQ702" s="569"/>
      <c r="BR702" s="569"/>
      <c r="BS702" s="569"/>
      <c r="BT702" s="569"/>
      <c r="BU702" s="569"/>
      <c r="BV702" s="569"/>
      <c r="BW702" s="569"/>
      <c r="BX702" s="569"/>
      <c r="BY702" s="569"/>
      <c r="BZ702" s="569"/>
      <c r="CA702" s="569"/>
      <c r="CB702" s="569"/>
      <c r="CC702" s="569"/>
      <c r="CD702" s="569"/>
      <c r="CE702" s="569"/>
      <c r="CF702" s="569"/>
      <c r="CG702" s="569"/>
      <c r="CH702" s="569"/>
      <c r="CI702" s="569"/>
      <c r="CJ702" s="569"/>
      <c r="CK702" s="569"/>
      <c r="CL702" s="569"/>
      <c r="CM702" s="569"/>
      <c r="CN702" s="569"/>
      <c r="CO702" s="569"/>
      <c r="CP702" s="569"/>
      <c r="CQ702" s="569"/>
      <c r="CR702" s="569"/>
      <c r="CS702" s="569"/>
      <c r="CT702" s="569"/>
      <c r="CU702" s="569"/>
      <c r="CV702" s="569"/>
      <c r="CW702" s="569"/>
      <c r="CX702" s="569"/>
      <c r="CY702" s="569"/>
      <c r="CZ702" s="569"/>
      <c r="DA702" s="569"/>
      <c r="DB702" s="569"/>
      <c r="DC702" s="569"/>
      <c r="DD702" s="569"/>
      <c r="DE702" s="569"/>
      <c r="DF702" s="569"/>
      <c r="DG702" s="569"/>
      <c r="DH702" s="569"/>
      <c r="DI702" s="569"/>
      <c r="DJ702" s="569"/>
      <c r="DK702" s="569"/>
      <c r="DL702" s="569"/>
      <c r="DM702" s="569"/>
      <c r="DN702" s="569"/>
      <c r="DO702" s="569"/>
      <c r="DP702" s="569"/>
      <c r="DQ702" s="569"/>
      <c r="DR702" s="569"/>
      <c r="DS702" s="569"/>
      <c r="DT702" s="569"/>
      <c r="DU702" s="569"/>
      <c r="DV702" s="569"/>
      <c r="DW702" s="569"/>
      <c r="DX702" s="569"/>
      <c r="DY702" s="569"/>
      <c r="DZ702" s="569"/>
      <c r="EA702" s="569"/>
      <c r="EB702" s="569"/>
      <c r="EC702" s="569"/>
      <c r="ED702" s="569"/>
      <c r="EE702" s="569"/>
      <c r="EF702" s="569"/>
      <c r="EG702" s="569"/>
      <c r="EH702" s="569"/>
      <c r="EI702" s="569"/>
      <c r="EJ702" s="569"/>
      <c r="EK702" s="569"/>
      <c r="EL702" s="569"/>
      <c r="EM702" s="569"/>
      <c r="EN702" s="569"/>
      <c r="EO702" s="569"/>
      <c r="EP702" s="569"/>
      <c r="EQ702" s="569"/>
      <c r="ER702" s="569"/>
      <c r="ES702" s="569"/>
      <c r="ET702" s="569"/>
      <c r="EU702" s="569"/>
      <c r="EV702" s="569"/>
      <c r="EW702" s="569"/>
      <c r="EX702" s="569"/>
      <c r="EY702" s="569"/>
      <c r="EZ702" s="569"/>
      <c r="FA702" s="569"/>
      <c r="FB702" s="569"/>
      <c r="FC702" s="569"/>
      <c r="FD702" s="569"/>
      <c r="FE702" s="569"/>
      <c r="FF702" s="569"/>
      <c r="FG702" s="569"/>
      <c r="FH702" s="569"/>
      <c r="FI702" s="569"/>
      <c r="FJ702" s="569"/>
      <c r="FK702" s="569"/>
      <c r="FL702" s="569"/>
      <c r="FM702" s="569"/>
      <c r="FN702" s="569"/>
      <c r="FO702" s="569"/>
      <c r="FP702" s="569"/>
      <c r="FQ702" s="569"/>
      <c r="FR702" s="569"/>
      <c r="FS702" s="569"/>
      <c r="FT702" s="569"/>
      <c r="FU702" s="569"/>
      <c r="FV702" s="569"/>
      <c r="FW702" s="569"/>
      <c r="FX702" s="569"/>
      <c r="FY702" s="569"/>
      <c r="FZ702" s="569"/>
      <c r="GA702" s="569"/>
      <c r="GB702" s="569"/>
      <c r="GC702" s="569"/>
      <c r="GD702" s="569"/>
      <c r="GE702" s="569"/>
      <c r="GF702" s="569"/>
      <c r="GG702" s="569"/>
      <c r="GH702" s="569"/>
      <c r="GI702" s="569"/>
      <c r="GJ702" s="569"/>
      <c r="GK702" s="569"/>
      <c r="GL702" s="569"/>
      <c r="GM702" s="569"/>
      <c r="GN702" s="569"/>
      <c r="GO702" s="569"/>
      <c r="GP702" s="569"/>
      <c r="GQ702" s="569"/>
      <c r="GR702" s="569"/>
      <c r="GS702" s="569"/>
      <c r="GT702" s="569"/>
      <c r="GU702" s="569"/>
      <c r="GV702" s="569"/>
      <c r="GW702" s="569"/>
      <c r="GX702" s="569"/>
      <c r="GY702" s="569"/>
      <c r="GZ702" s="569"/>
      <c r="HA702" s="569"/>
      <c r="HB702" s="569"/>
      <c r="HC702" s="569"/>
      <c r="HD702" s="569"/>
      <c r="HE702" s="569"/>
      <c r="HF702" s="569"/>
      <c r="HG702" s="569"/>
      <c r="HH702" s="569"/>
      <c r="HI702" s="569"/>
      <c r="HJ702" s="569"/>
      <c r="HK702" s="569"/>
      <c r="HL702" s="569"/>
      <c r="HM702" s="569"/>
      <c r="HN702" s="569"/>
      <c r="HO702" s="569"/>
      <c r="HP702" s="569"/>
      <c r="HQ702" s="569"/>
      <c r="HR702" s="569"/>
      <c r="HS702" s="569"/>
      <c r="HT702" s="569"/>
      <c r="HU702" s="569"/>
      <c r="HV702" s="569"/>
      <c r="HW702" s="569"/>
      <c r="HX702" s="569"/>
      <c r="HY702" s="569"/>
      <c r="HZ702" s="569"/>
      <c r="IA702" s="569"/>
      <c r="IB702" s="569"/>
      <c r="IC702" s="569"/>
      <c r="ID702" s="569"/>
      <c r="IE702" s="569"/>
      <c r="IF702" s="569"/>
      <c r="IG702" s="569"/>
      <c r="IH702" s="569"/>
      <c r="II702" s="569"/>
      <c r="IJ702" s="569"/>
      <c r="IK702" s="569"/>
      <c r="IL702" s="569"/>
      <c r="IM702" s="569"/>
      <c r="IN702" s="569"/>
      <c r="IO702" s="569"/>
      <c r="IP702" s="569"/>
      <c r="IQ702" s="569"/>
      <c r="IR702" s="569"/>
      <c r="IS702" s="569"/>
      <c r="IT702" s="569"/>
      <c r="IU702" s="569"/>
      <c r="IV702" s="569"/>
      <c r="IW702" s="569"/>
      <c r="IX702" s="569"/>
      <c r="IY702" s="569"/>
      <c r="IZ702" s="569"/>
      <c r="JA702" s="569"/>
      <c r="JB702" s="569"/>
      <c r="JC702" s="569"/>
      <c r="JD702" s="569"/>
      <c r="JE702" s="569"/>
      <c r="JF702" s="569"/>
      <c r="JG702" s="569"/>
      <c r="JH702" s="569"/>
      <c r="JI702" s="569"/>
      <c r="JJ702" s="569"/>
      <c r="JK702" s="569"/>
      <c r="JL702" s="569"/>
      <c r="JM702" s="569"/>
      <c r="JN702" s="569"/>
      <c r="JO702" s="569"/>
      <c r="JP702" s="569"/>
      <c r="JQ702" s="569"/>
      <c r="JR702" s="569"/>
      <c r="JS702" s="569"/>
      <c r="JT702" s="569"/>
      <c r="JU702" s="569"/>
      <c r="JV702" s="569"/>
      <c r="JW702" s="569"/>
      <c r="JX702" s="569"/>
      <c r="JY702" s="569"/>
      <c r="JZ702" s="569"/>
      <c r="KA702" s="569"/>
      <c r="KB702" s="569"/>
      <c r="KC702" s="569"/>
      <c r="KD702" s="569"/>
      <c r="KE702" s="569"/>
      <c r="KF702" s="569"/>
      <c r="KG702" s="569"/>
      <c r="KH702" s="569"/>
      <c r="KI702" s="569"/>
      <c r="KJ702" s="569"/>
      <c r="KK702" s="569"/>
      <c r="KL702" s="569"/>
      <c r="KM702" s="569"/>
      <c r="KN702" s="569"/>
      <c r="KO702" s="569"/>
      <c r="KP702" s="569"/>
      <c r="KQ702" s="569"/>
      <c r="KR702" s="569"/>
      <c r="KS702" s="569"/>
      <c r="KT702" s="569"/>
      <c r="KU702" s="569"/>
      <c r="KV702" s="569"/>
      <c r="KW702" s="569"/>
      <c r="KX702" s="569"/>
      <c r="KY702" s="569"/>
      <c r="KZ702" s="569"/>
      <c r="LA702" s="569"/>
      <c r="LB702" s="569"/>
      <c r="LC702" s="569"/>
      <c r="LD702" s="569"/>
      <c r="LE702" s="569"/>
      <c r="LF702" s="569"/>
      <c r="LG702" s="569"/>
      <c r="LH702" s="569"/>
      <c r="LI702" s="569"/>
      <c r="LJ702" s="569"/>
      <c r="LK702" s="569"/>
      <c r="LL702" s="569"/>
      <c r="LM702" s="569"/>
      <c r="LN702" s="569"/>
      <c r="LO702" s="569"/>
      <c r="LP702" s="569"/>
      <c r="LQ702" s="569"/>
      <c r="LR702" s="569"/>
      <c r="LS702" s="569"/>
      <c r="LT702" s="569"/>
      <c r="LU702" s="569"/>
      <c r="LV702" s="569"/>
      <c r="LW702" s="569"/>
      <c r="LX702" s="569"/>
      <c r="LY702" s="569"/>
      <c r="LZ702" s="569"/>
      <c r="MA702" s="569"/>
      <c r="MB702" s="569"/>
      <c r="MC702" s="569"/>
      <c r="MD702" s="569"/>
      <c r="ME702" s="569"/>
      <c r="MF702" s="569"/>
      <c r="MG702" s="569"/>
      <c r="MH702" s="569"/>
      <c r="MI702" s="569"/>
      <c r="MJ702" s="569"/>
      <c r="MK702" s="569"/>
      <c r="ML702" s="569"/>
      <c r="MM702" s="569"/>
      <c r="MN702" s="569"/>
      <c r="MO702" s="569"/>
      <c r="MP702" s="569"/>
      <c r="MQ702" s="569"/>
      <c r="MR702" s="569"/>
      <c r="MS702" s="569"/>
      <c r="MT702" s="569"/>
      <c r="MU702" s="569"/>
      <c r="MV702" s="569"/>
      <c r="MW702" s="569"/>
      <c r="MX702" s="569"/>
      <c r="MY702" s="569"/>
      <c r="MZ702" s="569"/>
      <c r="NA702" s="569"/>
      <c r="NB702" s="569"/>
      <c r="NC702" s="569"/>
      <c r="ND702" s="569"/>
      <c r="NE702" s="569"/>
      <c r="NF702" s="569"/>
      <c r="NG702" s="569"/>
      <c r="NH702" s="569"/>
      <c r="NI702" s="569"/>
      <c r="NJ702" s="569"/>
      <c r="NK702" s="569"/>
      <c r="NL702" s="569"/>
      <c r="NM702" s="569"/>
      <c r="NN702" s="569"/>
      <c r="NO702" s="569"/>
      <c r="NP702" s="569"/>
      <c r="NQ702" s="569"/>
      <c r="NR702" s="569"/>
      <c r="NS702" s="569"/>
      <c r="NT702" s="569"/>
      <c r="NU702" s="569"/>
      <c r="NV702" s="569"/>
      <c r="NW702" s="569"/>
      <c r="NX702" s="569"/>
      <c r="NY702" s="569"/>
      <c r="NZ702" s="569"/>
      <c r="OA702" s="569"/>
      <c r="OB702" s="569"/>
      <c r="OC702" s="569"/>
      <c r="OD702" s="569"/>
      <c r="OE702" s="569"/>
      <c r="OF702" s="569"/>
      <c r="OG702" s="569"/>
      <c r="OH702" s="569"/>
      <c r="OI702" s="569"/>
      <c r="OJ702" s="569"/>
      <c r="OK702" s="569"/>
      <c r="OL702" s="569"/>
      <c r="OM702" s="569"/>
      <c r="ON702" s="569"/>
      <c r="OO702" s="569"/>
      <c r="OP702" s="569"/>
      <c r="OQ702" s="569"/>
      <c r="OR702" s="569"/>
      <c r="OS702" s="569"/>
      <c r="OT702" s="569"/>
      <c r="OU702" s="569"/>
      <c r="OV702" s="569"/>
      <c r="OW702" s="569"/>
      <c r="OX702" s="569"/>
      <c r="OY702" s="569"/>
      <c r="OZ702" s="569"/>
      <c r="PA702" s="569"/>
      <c r="PB702" s="569"/>
      <c r="PC702" s="569"/>
      <c r="PD702" s="569"/>
      <c r="PE702" s="569"/>
      <c r="PF702" s="569"/>
      <c r="PG702" s="569"/>
      <c r="PH702" s="569"/>
      <c r="PI702" s="569"/>
      <c r="PJ702" s="569"/>
      <c r="PK702" s="569"/>
      <c r="PL702" s="569"/>
      <c r="PM702" s="569"/>
      <c r="PN702" s="569"/>
      <c r="PO702" s="569"/>
      <c r="PP702" s="569"/>
      <c r="PQ702" s="569"/>
      <c r="PR702" s="569"/>
      <c r="PS702" s="569"/>
      <c r="PT702" s="569"/>
      <c r="PU702" s="569"/>
      <c r="PV702" s="569"/>
      <c r="PW702" s="569"/>
      <c r="PX702" s="569"/>
      <c r="PY702" s="569"/>
      <c r="PZ702" s="569"/>
      <c r="QA702" s="569"/>
      <c r="QB702" s="569"/>
      <c r="QC702" s="569"/>
      <c r="QD702" s="569"/>
      <c r="QE702" s="569"/>
      <c r="QF702" s="569"/>
      <c r="QG702" s="569"/>
      <c r="QH702" s="569"/>
      <c r="QI702" s="569"/>
      <c r="QJ702" s="569"/>
      <c r="QK702" s="569"/>
      <c r="QL702" s="569"/>
    </row>
    <row r="703" spans="1:454" ht="30">
      <c r="D703" s="568"/>
      <c r="E703" s="568"/>
      <c r="F703" s="568"/>
      <c r="G703" s="568"/>
      <c r="H703" s="563" t="str">
        <f>'matrik MISI 1'!N85</f>
        <v>Cakupan  Nilai Ekspor produk daerah</v>
      </c>
      <c r="I703" s="563" t="str">
        <f>'matrik MISI 1'!O85</f>
        <v>($)</v>
      </c>
      <c r="J703" s="563">
        <f>'matrik MISI 1'!P85</f>
        <v>108406133.59999999</v>
      </c>
      <c r="K703" s="563">
        <f>'matrik MISI 1'!Q85</f>
        <v>150927864.90000001</v>
      </c>
      <c r="L703" s="563">
        <f>'matrik MISI 1'!R85</f>
        <v>155000000</v>
      </c>
      <c r="M703" s="604"/>
      <c r="N703" s="563">
        <f>'matrik MISI 1'!S85</f>
        <v>160000000</v>
      </c>
      <c r="O703" s="564"/>
      <c r="P703" s="563">
        <f>'matrik MISI 1'!T85</f>
        <v>165000000</v>
      </c>
      <c r="Q703" s="564"/>
      <c r="R703" s="563">
        <f>'matrik MISI 1'!U85</f>
        <v>170000000</v>
      </c>
      <c r="S703" s="564"/>
      <c r="T703" s="563">
        <f>'matrik MISI 1'!V85</f>
        <v>175000000</v>
      </c>
      <c r="U703" s="564"/>
      <c r="V703" s="563">
        <f>'matrik MISI 1'!W85</f>
        <v>175000000</v>
      </c>
      <c r="W703" s="564"/>
      <c r="X703" s="563" t="str">
        <f>'matrik MISI 1'!X85</f>
        <v>DISPERINDAGKOP DAN UMKM</v>
      </c>
      <c r="Y703" s="563" t="str">
        <f>'matrik MISI 1'!Y85</f>
        <v>Jumlah nilai ekspor pada tahun ke n</v>
      </c>
      <c r="Z703" s="563" t="str">
        <f>'matrik MISI 1'!Z85</f>
        <v>Persentase kenaikan nilai dan volume ekspor pada setiap tahunnya (Kayu olahan, radio kayu)</v>
      </c>
    </row>
    <row r="704" spans="1:454" ht="30">
      <c r="G704" s="563"/>
      <c r="H704" s="563" t="str">
        <f>'matrik MISI 1'!N86</f>
        <v>Cakupan promosi produk unggulan daerah</v>
      </c>
      <c r="I704" s="563" t="str">
        <f>'matrik MISI 1'!O86</f>
        <v>kali</v>
      </c>
      <c r="J704" s="563">
        <f>'matrik MISI 1'!P86</f>
        <v>5</v>
      </c>
      <c r="K704" s="563">
        <f>'matrik MISI 1'!Q86</f>
        <v>3</v>
      </c>
      <c r="L704" s="563">
        <f>'matrik MISI 1'!R86</f>
        <v>3</v>
      </c>
      <c r="M704" s="604"/>
      <c r="N704" s="563">
        <f>'matrik MISI 1'!S86</f>
        <v>3</v>
      </c>
      <c r="O704" s="564"/>
      <c r="P704" s="563">
        <f>'matrik MISI 1'!T86</f>
        <v>3</v>
      </c>
      <c r="Q704" s="564"/>
      <c r="R704" s="563">
        <f>'matrik MISI 1'!U86</f>
        <v>3</v>
      </c>
      <c r="S704" s="564"/>
      <c r="T704" s="563">
        <f>'matrik MISI 1'!V86</f>
        <v>3</v>
      </c>
      <c r="U704" s="564"/>
      <c r="V704" s="563">
        <f>'matrik MISI 1'!W86</f>
        <v>3</v>
      </c>
      <c r="W704" s="564"/>
      <c r="X704" s="563" t="str">
        <f>'matrik MISI 1'!X86</f>
        <v>DISPERINDAGKOP DAN UMKM</v>
      </c>
      <c r="Y704" s="563" t="str">
        <f>'matrik MISI 1'!Y86</f>
        <v>jumlah pameran produk unggulan daerah pada tahun n</v>
      </c>
      <c r="Z704" s="563">
        <f>'matrik MISI 1'!Z86</f>
        <v>0</v>
      </c>
    </row>
    <row r="705" spans="1:454" s="574" customFormat="1" ht="30">
      <c r="A705" s="569"/>
      <c r="B705" s="575"/>
      <c r="C705" s="576"/>
      <c r="D705" s="577" t="str">
        <f>'matrik MISI 1'!J87</f>
        <v>2.06</v>
      </c>
      <c r="E705" s="577" t="str">
        <f>'matrik MISI 1'!K87</f>
        <v>xx</v>
      </c>
      <c r="F705" s="577">
        <f>'matrik MISI 1'!L87</f>
        <v>19</v>
      </c>
      <c r="G705" s="577" t="str">
        <f>'matrik MISI 1'!M87</f>
        <v>Pembinaan pedagang Kaki lima dan Asongan</v>
      </c>
      <c r="H705" s="577"/>
      <c r="I705" s="577"/>
      <c r="J705" s="577"/>
      <c r="K705" s="577"/>
      <c r="L705" s="577"/>
      <c r="M705" s="578">
        <f>'jangan dihapus 2'!K689</f>
        <v>40000000</v>
      </c>
      <c r="N705" s="577"/>
      <c r="O705" s="578">
        <f>'jangan dihapus 2'!M689</f>
        <v>32500000</v>
      </c>
      <c r="P705" s="577"/>
      <c r="Q705" s="578">
        <f>'jangan dihapus 2'!O689</f>
        <v>50000000</v>
      </c>
      <c r="R705" s="577"/>
      <c r="S705" s="578">
        <f>'jangan dihapus 2'!Q689</f>
        <v>60000000</v>
      </c>
      <c r="T705" s="577"/>
      <c r="U705" s="578">
        <f>'jangan dihapus 2'!S689</f>
        <v>65000000</v>
      </c>
      <c r="V705" s="577"/>
      <c r="W705" s="578">
        <f>SUM(M705:U705)</f>
        <v>247500000</v>
      </c>
      <c r="X705" s="577"/>
      <c r="Y705" s="577"/>
      <c r="Z705" s="577"/>
      <c r="AA705" s="569"/>
      <c r="AB705" s="569"/>
      <c r="AC705" s="569"/>
      <c r="AD705" s="569"/>
      <c r="AE705" s="569"/>
      <c r="AF705" s="569"/>
      <c r="AG705" s="569"/>
      <c r="AH705" s="569"/>
      <c r="AI705" s="569"/>
      <c r="AJ705" s="569"/>
      <c r="AK705" s="569"/>
      <c r="AL705" s="569"/>
      <c r="AM705" s="569"/>
      <c r="AN705" s="569"/>
      <c r="AO705" s="569"/>
      <c r="AP705" s="569"/>
      <c r="AQ705" s="569"/>
      <c r="AR705" s="569"/>
      <c r="AS705" s="569"/>
      <c r="AT705" s="569"/>
      <c r="AU705" s="569"/>
      <c r="AV705" s="569"/>
      <c r="AW705" s="569"/>
      <c r="AX705" s="569"/>
      <c r="AY705" s="569"/>
      <c r="AZ705" s="569"/>
      <c r="BA705" s="569"/>
      <c r="BB705" s="569"/>
      <c r="BC705" s="569"/>
      <c r="BD705" s="569"/>
      <c r="BE705" s="569"/>
      <c r="BF705" s="569"/>
      <c r="BG705" s="569"/>
      <c r="BH705" s="569"/>
      <c r="BI705" s="569"/>
      <c r="BJ705" s="569"/>
      <c r="BK705" s="569"/>
      <c r="BL705" s="569"/>
      <c r="BM705" s="569"/>
      <c r="BN705" s="569"/>
      <c r="BO705" s="569"/>
      <c r="BP705" s="569"/>
      <c r="BQ705" s="569"/>
      <c r="BR705" s="569"/>
      <c r="BS705" s="569"/>
      <c r="BT705" s="569"/>
      <c r="BU705" s="569"/>
      <c r="BV705" s="569"/>
      <c r="BW705" s="569"/>
      <c r="BX705" s="569"/>
      <c r="BY705" s="569"/>
      <c r="BZ705" s="569"/>
      <c r="CA705" s="569"/>
      <c r="CB705" s="569"/>
      <c r="CC705" s="569"/>
      <c r="CD705" s="569"/>
      <c r="CE705" s="569"/>
      <c r="CF705" s="569"/>
      <c r="CG705" s="569"/>
      <c r="CH705" s="569"/>
      <c r="CI705" s="569"/>
      <c r="CJ705" s="569"/>
      <c r="CK705" s="569"/>
      <c r="CL705" s="569"/>
      <c r="CM705" s="569"/>
      <c r="CN705" s="569"/>
      <c r="CO705" s="569"/>
      <c r="CP705" s="569"/>
      <c r="CQ705" s="569"/>
      <c r="CR705" s="569"/>
      <c r="CS705" s="569"/>
      <c r="CT705" s="569"/>
      <c r="CU705" s="569"/>
      <c r="CV705" s="569"/>
      <c r="CW705" s="569"/>
      <c r="CX705" s="569"/>
      <c r="CY705" s="569"/>
      <c r="CZ705" s="569"/>
      <c r="DA705" s="569"/>
      <c r="DB705" s="569"/>
      <c r="DC705" s="569"/>
      <c r="DD705" s="569"/>
      <c r="DE705" s="569"/>
      <c r="DF705" s="569"/>
      <c r="DG705" s="569"/>
      <c r="DH705" s="569"/>
      <c r="DI705" s="569"/>
      <c r="DJ705" s="569"/>
      <c r="DK705" s="569"/>
      <c r="DL705" s="569"/>
      <c r="DM705" s="569"/>
      <c r="DN705" s="569"/>
      <c r="DO705" s="569"/>
      <c r="DP705" s="569"/>
      <c r="DQ705" s="569"/>
      <c r="DR705" s="569"/>
      <c r="DS705" s="569"/>
      <c r="DT705" s="569"/>
      <c r="DU705" s="569"/>
      <c r="DV705" s="569"/>
      <c r="DW705" s="569"/>
      <c r="DX705" s="569"/>
      <c r="DY705" s="569"/>
      <c r="DZ705" s="569"/>
      <c r="EA705" s="569"/>
      <c r="EB705" s="569"/>
      <c r="EC705" s="569"/>
      <c r="ED705" s="569"/>
      <c r="EE705" s="569"/>
      <c r="EF705" s="569"/>
      <c r="EG705" s="569"/>
      <c r="EH705" s="569"/>
      <c r="EI705" s="569"/>
      <c r="EJ705" s="569"/>
      <c r="EK705" s="569"/>
      <c r="EL705" s="569"/>
      <c r="EM705" s="569"/>
      <c r="EN705" s="569"/>
      <c r="EO705" s="569"/>
      <c r="EP705" s="569"/>
      <c r="EQ705" s="569"/>
      <c r="ER705" s="569"/>
      <c r="ES705" s="569"/>
      <c r="ET705" s="569"/>
      <c r="EU705" s="569"/>
      <c r="EV705" s="569"/>
      <c r="EW705" s="569"/>
      <c r="EX705" s="569"/>
      <c r="EY705" s="569"/>
      <c r="EZ705" s="569"/>
      <c r="FA705" s="569"/>
      <c r="FB705" s="569"/>
      <c r="FC705" s="569"/>
      <c r="FD705" s="569"/>
      <c r="FE705" s="569"/>
      <c r="FF705" s="569"/>
      <c r="FG705" s="569"/>
      <c r="FH705" s="569"/>
      <c r="FI705" s="569"/>
      <c r="FJ705" s="569"/>
      <c r="FK705" s="569"/>
      <c r="FL705" s="569"/>
      <c r="FM705" s="569"/>
      <c r="FN705" s="569"/>
      <c r="FO705" s="569"/>
      <c r="FP705" s="569"/>
      <c r="FQ705" s="569"/>
      <c r="FR705" s="569"/>
      <c r="FS705" s="569"/>
      <c r="FT705" s="569"/>
      <c r="FU705" s="569"/>
      <c r="FV705" s="569"/>
      <c r="FW705" s="569"/>
      <c r="FX705" s="569"/>
      <c r="FY705" s="569"/>
      <c r="FZ705" s="569"/>
      <c r="GA705" s="569"/>
      <c r="GB705" s="569"/>
      <c r="GC705" s="569"/>
      <c r="GD705" s="569"/>
      <c r="GE705" s="569"/>
      <c r="GF705" s="569"/>
      <c r="GG705" s="569"/>
      <c r="GH705" s="569"/>
      <c r="GI705" s="569"/>
      <c r="GJ705" s="569"/>
      <c r="GK705" s="569"/>
      <c r="GL705" s="569"/>
      <c r="GM705" s="569"/>
      <c r="GN705" s="569"/>
      <c r="GO705" s="569"/>
      <c r="GP705" s="569"/>
      <c r="GQ705" s="569"/>
      <c r="GR705" s="569"/>
      <c r="GS705" s="569"/>
      <c r="GT705" s="569"/>
      <c r="GU705" s="569"/>
      <c r="GV705" s="569"/>
      <c r="GW705" s="569"/>
      <c r="GX705" s="569"/>
      <c r="GY705" s="569"/>
      <c r="GZ705" s="569"/>
      <c r="HA705" s="569"/>
      <c r="HB705" s="569"/>
      <c r="HC705" s="569"/>
      <c r="HD705" s="569"/>
      <c r="HE705" s="569"/>
      <c r="HF705" s="569"/>
      <c r="HG705" s="569"/>
      <c r="HH705" s="569"/>
      <c r="HI705" s="569"/>
      <c r="HJ705" s="569"/>
      <c r="HK705" s="569"/>
      <c r="HL705" s="569"/>
      <c r="HM705" s="569"/>
      <c r="HN705" s="569"/>
      <c r="HO705" s="569"/>
      <c r="HP705" s="569"/>
      <c r="HQ705" s="569"/>
      <c r="HR705" s="569"/>
      <c r="HS705" s="569"/>
      <c r="HT705" s="569"/>
      <c r="HU705" s="569"/>
      <c r="HV705" s="569"/>
      <c r="HW705" s="569"/>
      <c r="HX705" s="569"/>
      <c r="HY705" s="569"/>
      <c r="HZ705" s="569"/>
      <c r="IA705" s="569"/>
      <c r="IB705" s="569"/>
      <c r="IC705" s="569"/>
      <c r="ID705" s="569"/>
      <c r="IE705" s="569"/>
      <c r="IF705" s="569"/>
      <c r="IG705" s="569"/>
      <c r="IH705" s="569"/>
      <c r="II705" s="569"/>
      <c r="IJ705" s="569"/>
      <c r="IK705" s="569"/>
      <c r="IL705" s="569"/>
      <c r="IM705" s="569"/>
      <c r="IN705" s="569"/>
      <c r="IO705" s="569"/>
      <c r="IP705" s="569"/>
      <c r="IQ705" s="569"/>
      <c r="IR705" s="569"/>
      <c r="IS705" s="569"/>
      <c r="IT705" s="569"/>
      <c r="IU705" s="569"/>
      <c r="IV705" s="569"/>
      <c r="IW705" s="569"/>
      <c r="IX705" s="569"/>
      <c r="IY705" s="569"/>
      <c r="IZ705" s="569"/>
      <c r="JA705" s="569"/>
      <c r="JB705" s="569"/>
      <c r="JC705" s="569"/>
      <c r="JD705" s="569"/>
      <c r="JE705" s="569"/>
      <c r="JF705" s="569"/>
      <c r="JG705" s="569"/>
      <c r="JH705" s="569"/>
      <c r="JI705" s="569"/>
      <c r="JJ705" s="569"/>
      <c r="JK705" s="569"/>
      <c r="JL705" s="569"/>
      <c r="JM705" s="569"/>
      <c r="JN705" s="569"/>
      <c r="JO705" s="569"/>
      <c r="JP705" s="569"/>
      <c r="JQ705" s="569"/>
      <c r="JR705" s="569"/>
      <c r="JS705" s="569"/>
      <c r="JT705" s="569"/>
      <c r="JU705" s="569"/>
      <c r="JV705" s="569"/>
      <c r="JW705" s="569"/>
      <c r="JX705" s="569"/>
      <c r="JY705" s="569"/>
      <c r="JZ705" s="569"/>
      <c r="KA705" s="569"/>
      <c r="KB705" s="569"/>
      <c r="KC705" s="569"/>
      <c r="KD705" s="569"/>
      <c r="KE705" s="569"/>
      <c r="KF705" s="569"/>
      <c r="KG705" s="569"/>
      <c r="KH705" s="569"/>
      <c r="KI705" s="569"/>
      <c r="KJ705" s="569"/>
      <c r="KK705" s="569"/>
      <c r="KL705" s="569"/>
      <c r="KM705" s="569"/>
      <c r="KN705" s="569"/>
      <c r="KO705" s="569"/>
      <c r="KP705" s="569"/>
      <c r="KQ705" s="569"/>
      <c r="KR705" s="569"/>
      <c r="KS705" s="569"/>
      <c r="KT705" s="569"/>
      <c r="KU705" s="569"/>
      <c r="KV705" s="569"/>
      <c r="KW705" s="569"/>
      <c r="KX705" s="569"/>
      <c r="KY705" s="569"/>
      <c r="KZ705" s="569"/>
      <c r="LA705" s="569"/>
      <c r="LB705" s="569"/>
      <c r="LC705" s="569"/>
      <c r="LD705" s="569"/>
      <c r="LE705" s="569"/>
      <c r="LF705" s="569"/>
      <c r="LG705" s="569"/>
      <c r="LH705" s="569"/>
      <c r="LI705" s="569"/>
      <c r="LJ705" s="569"/>
      <c r="LK705" s="569"/>
      <c r="LL705" s="569"/>
      <c r="LM705" s="569"/>
      <c r="LN705" s="569"/>
      <c r="LO705" s="569"/>
      <c r="LP705" s="569"/>
      <c r="LQ705" s="569"/>
      <c r="LR705" s="569"/>
      <c r="LS705" s="569"/>
      <c r="LT705" s="569"/>
      <c r="LU705" s="569"/>
      <c r="LV705" s="569"/>
      <c r="LW705" s="569"/>
      <c r="LX705" s="569"/>
      <c r="LY705" s="569"/>
      <c r="LZ705" s="569"/>
      <c r="MA705" s="569"/>
      <c r="MB705" s="569"/>
      <c r="MC705" s="569"/>
      <c r="MD705" s="569"/>
      <c r="ME705" s="569"/>
      <c r="MF705" s="569"/>
      <c r="MG705" s="569"/>
      <c r="MH705" s="569"/>
      <c r="MI705" s="569"/>
      <c r="MJ705" s="569"/>
      <c r="MK705" s="569"/>
      <c r="ML705" s="569"/>
      <c r="MM705" s="569"/>
      <c r="MN705" s="569"/>
      <c r="MO705" s="569"/>
      <c r="MP705" s="569"/>
      <c r="MQ705" s="569"/>
      <c r="MR705" s="569"/>
      <c r="MS705" s="569"/>
      <c r="MT705" s="569"/>
      <c r="MU705" s="569"/>
      <c r="MV705" s="569"/>
      <c r="MW705" s="569"/>
      <c r="MX705" s="569"/>
      <c r="MY705" s="569"/>
      <c r="MZ705" s="569"/>
      <c r="NA705" s="569"/>
      <c r="NB705" s="569"/>
      <c r="NC705" s="569"/>
      <c r="ND705" s="569"/>
      <c r="NE705" s="569"/>
      <c r="NF705" s="569"/>
      <c r="NG705" s="569"/>
      <c r="NH705" s="569"/>
      <c r="NI705" s="569"/>
      <c r="NJ705" s="569"/>
      <c r="NK705" s="569"/>
      <c r="NL705" s="569"/>
      <c r="NM705" s="569"/>
      <c r="NN705" s="569"/>
      <c r="NO705" s="569"/>
      <c r="NP705" s="569"/>
      <c r="NQ705" s="569"/>
      <c r="NR705" s="569"/>
      <c r="NS705" s="569"/>
      <c r="NT705" s="569"/>
      <c r="NU705" s="569"/>
      <c r="NV705" s="569"/>
      <c r="NW705" s="569"/>
      <c r="NX705" s="569"/>
      <c r="NY705" s="569"/>
      <c r="NZ705" s="569"/>
      <c r="OA705" s="569"/>
      <c r="OB705" s="569"/>
      <c r="OC705" s="569"/>
      <c r="OD705" s="569"/>
      <c r="OE705" s="569"/>
      <c r="OF705" s="569"/>
      <c r="OG705" s="569"/>
      <c r="OH705" s="569"/>
      <c r="OI705" s="569"/>
      <c r="OJ705" s="569"/>
      <c r="OK705" s="569"/>
      <c r="OL705" s="569"/>
      <c r="OM705" s="569"/>
      <c r="ON705" s="569"/>
      <c r="OO705" s="569"/>
      <c r="OP705" s="569"/>
      <c r="OQ705" s="569"/>
      <c r="OR705" s="569"/>
      <c r="OS705" s="569"/>
      <c r="OT705" s="569"/>
      <c r="OU705" s="569"/>
      <c r="OV705" s="569"/>
      <c r="OW705" s="569"/>
      <c r="OX705" s="569"/>
      <c r="OY705" s="569"/>
      <c r="OZ705" s="569"/>
      <c r="PA705" s="569"/>
      <c r="PB705" s="569"/>
      <c r="PC705" s="569"/>
      <c r="PD705" s="569"/>
      <c r="PE705" s="569"/>
      <c r="PF705" s="569"/>
      <c r="PG705" s="569"/>
      <c r="PH705" s="569"/>
      <c r="PI705" s="569"/>
      <c r="PJ705" s="569"/>
      <c r="PK705" s="569"/>
      <c r="PL705" s="569"/>
      <c r="PM705" s="569"/>
      <c r="PN705" s="569"/>
      <c r="PO705" s="569"/>
      <c r="PP705" s="569"/>
      <c r="PQ705" s="569"/>
      <c r="PR705" s="569"/>
      <c r="PS705" s="569"/>
      <c r="PT705" s="569"/>
      <c r="PU705" s="569"/>
      <c r="PV705" s="569"/>
      <c r="PW705" s="569"/>
      <c r="PX705" s="569"/>
      <c r="PY705" s="569"/>
      <c r="PZ705" s="569"/>
      <c r="QA705" s="569"/>
      <c r="QB705" s="569"/>
      <c r="QC705" s="569"/>
      <c r="QD705" s="569"/>
      <c r="QE705" s="569"/>
      <c r="QF705" s="569"/>
      <c r="QG705" s="569"/>
      <c r="QH705" s="569"/>
      <c r="QI705" s="569"/>
      <c r="QJ705" s="569"/>
      <c r="QK705" s="569"/>
      <c r="QL705" s="569"/>
    </row>
    <row r="706" spans="1:454" ht="30">
      <c r="D706" s="568"/>
      <c r="E706" s="568"/>
      <c r="F706" s="568"/>
      <c r="G706" s="568"/>
      <c r="H706" s="563" t="str">
        <f>'matrik MISI 1'!N87</f>
        <v>Cakupan Bina Kelompok Pedagang/ Usaha Informal</v>
      </c>
      <c r="I706" s="563" t="str">
        <f>'matrik MISI 1'!O87</f>
        <v>org</v>
      </c>
      <c r="J706" s="563">
        <f>'matrik MISI 1'!P87</f>
        <v>120</v>
      </c>
      <c r="K706" s="563">
        <f>'matrik MISI 1'!Q87</f>
        <v>120</v>
      </c>
      <c r="L706" s="563">
        <f>'matrik MISI 1'!R87</f>
        <v>120</v>
      </c>
      <c r="M706" s="604"/>
      <c r="N706" s="563">
        <f>'matrik MISI 1'!S87</f>
        <v>240</v>
      </c>
      <c r="O706" s="564"/>
      <c r="P706" s="563">
        <f>'matrik MISI 1'!T87</f>
        <v>360</v>
      </c>
      <c r="Q706" s="564"/>
      <c r="R706" s="563">
        <f>'matrik MISI 1'!U87</f>
        <v>480</v>
      </c>
      <c r="S706" s="564"/>
      <c r="T706" s="563">
        <f>'matrik MISI 1'!V87</f>
        <v>600</v>
      </c>
      <c r="U706" s="564"/>
      <c r="V706" s="563">
        <f>'matrik MISI 1'!W87</f>
        <v>600</v>
      </c>
      <c r="W706" s="564"/>
      <c r="X706" s="563" t="str">
        <f>'matrik MISI 1'!X87</f>
        <v>DISPERINDAGKOP DAN UMKM</v>
      </c>
      <c r="Y706" s="563" t="str">
        <f>'matrik MISI 1'!Y87</f>
        <v>Jumlah pedagang/pelaku usaha kecil yg dibina pada tahun n</v>
      </c>
      <c r="Z706" s="563">
        <f>'matrik MISI 1'!Z87</f>
        <v>0</v>
      </c>
    </row>
    <row r="707" spans="1:454" s="574" customFormat="1" ht="30">
      <c r="A707" s="569"/>
      <c r="B707" s="575"/>
      <c r="C707" s="576"/>
      <c r="D707" s="577" t="str">
        <f>'matrik MISI 1'!J89</f>
        <v>2.06</v>
      </c>
      <c r="E707" s="577" t="str">
        <f>'matrik MISI 1'!K89</f>
        <v>xx</v>
      </c>
      <c r="F707" s="577">
        <f>'matrik MISI 1'!L89</f>
        <v>15</v>
      </c>
      <c r="G707" s="577" t="str">
        <f>'matrik MISI 1'!M89</f>
        <v>Perlindungan Konsumen</v>
      </c>
      <c r="H707" s="577"/>
      <c r="I707" s="577"/>
      <c r="J707" s="577"/>
      <c r="K707" s="577"/>
      <c r="L707" s="577"/>
      <c r="M707" s="578">
        <f>'jangan dihapus 2'!K675</f>
        <v>229168500</v>
      </c>
      <c r="N707" s="577"/>
      <c r="O707" s="578">
        <f>'jangan dihapus 2'!M675</f>
        <v>379630000</v>
      </c>
      <c r="P707" s="577"/>
      <c r="Q707" s="578">
        <f>'jangan dihapus 2'!O675</f>
        <v>413500000</v>
      </c>
      <c r="R707" s="577"/>
      <c r="S707" s="578">
        <f>'jangan dihapus 2'!Q675</f>
        <v>500500000</v>
      </c>
      <c r="T707" s="577"/>
      <c r="U707" s="578">
        <f>'jangan dihapus 2'!S675</f>
        <v>537500000</v>
      </c>
      <c r="V707" s="577"/>
      <c r="W707" s="578">
        <f>SUM(M707:U707)</f>
        <v>2060298500</v>
      </c>
      <c r="X707" s="577"/>
      <c r="Y707" s="577"/>
      <c r="Z707" s="577"/>
      <c r="AA707" s="569"/>
      <c r="AB707" s="569"/>
      <c r="AC707" s="569"/>
      <c r="AD707" s="569"/>
      <c r="AE707" s="569"/>
      <c r="AF707" s="569"/>
      <c r="AG707" s="569"/>
      <c r="AH707" s="569"/>
      <c r="AI707" s="569"/>
      <c r="AJ707" s="569"/>
      <c r="AK707" s="569"/>
      <c r="AL707" s="569"/>
      <c r="AM707" s="569"/>
      <c r="AN707" s="569"/>
      <c r="AO707" s="569"/>
      <c r="AP707" s="569"/>
      <c r="AQ707" s="569"/>
      <c r="AR707" s="569"/>
      <c r="AS707" s="569"/>
      <c r="AT707" s="569"/>
      <c r="AU707" s="569"/>
      <c r="AV707" s="569"/>
      <c r="AW707" s="569"/>
      <c r="AX707" s="569"/>
      <c r="AY707" s="569"/>
      <c r="AZ707" s="569"/>
      <c r="BA707" s="569"/>
      <c r="BB707" s="569"/>
      <c r="BC707" s="569"/>
      <c r="BD707" s="569"/>
      <c r="BE707" s="569"/>
      <c r="BF707" s="569"/>
      <c r="BG707" s="569"/>
      <c r="BH707" s="569"/>
      <c r="BI707" s="569"/>
      <c r="BJ707" s="569"/>
      <c r="BK707" s="569"/>
      <c r="BL707" s="569"/>
      <c r="BM707" s="569"/>
      <c r="BN707" s="569"/>
      <c r="BO707" s="569"/>
      <c r="BP707" s="569"/>
      <c r="BQ707" s="569"/>
      <c r="BR707" s="569"/>
      <c r="BS707" s="569"/>
      <c r="BT707" s="569"/>
      <c r="BU707" s="569"/>
      <c r="BV707" s="569"/>
      <c r="BW707" s="569"/>
      <c r="BX707" s="569"/>
      <c r="BY707" s="569"/>
      <c r="BZ707" s="569"/>
      <c r="CA707" s="569"/>
      <c r="CB707" s="569"/>
      <c r="CC707" s="569"/>
      <c r="CD707" s="569"/>
      <c r="CE707" s="569"/>
      <c r="CF707" s="569"/>
      <c r="CG707" s="569"/>
      <c r="CH707" s="569"/>
      <c r="CI707" s="569"/>
      <c r="CJ707" s="569"/>
      <c r="CK707" s="569"/>
      <c r="CL707" s="569"/>
      <c r="CM707" s="569"/>
      <c r="CN707" s="569"/>
      <c r="CO707" s="569"/>
      <c r="CP707" s="569"/>
      <c r="CQ707" s="569"/>
      <c r="CR707" s="569"/>
      <c r="CS707" s="569"/>
      <c r="CT707" s="569"/>
      <c r="CU707" s="569"/>
      <c r="CV707" s="569"/>
      <c r="CW707" s="569"/>
      <c r="CX707" s="569"/>
      <c r="CY707" s="569"/>
      <c r="CZ707" s="569"/>
      <c r="DA707" s="569"/>
      <c r="DB707" s="569"/>
      <c r="DC707" s="569"/>
      <c r="DD707" s="569"/>
      <c r="DE707" s="569"/>
      <c r="DF707" s="569"/>
      <c r="DG707" s="569"/>
      <c r="DH707" s="569"/>
      <c r="DI707" s="569"/>
      <c r="DJ707" s="569"/>
      <c r="DK707" s="569"/>
      <c r="DL707" s="569"/>
      <c r="DM707" s="569"/>
      <c r="DN707" s="569"/>
      <c r="DO707" s="569"/>
      <c r="DP707" s="569"/>
      <c r="DQ707" s="569"/>
      <c r="DR707" s="569"/>
      <c r="DS707" s="569"/>
      <c r="DT707" s="569"/>
      <c r="DU707" s="569"/>
      <c r="DV707" s="569"/>
      <c r="DW707" s="569"/>
      <c r="DX707" s="569"/>
      <c r="DY707" s="569"/>
      <c r="DZ707" s="569"/>
      <c r="EA707" s="569"/>
      <c r="EB707" s="569"/>
      <c r="EC707" s="569"/>
      <c r="ED707" s="569"/>
      <c r="EE707" s="569"/>
      <c r="EF707" s="569"/>
      <c r="EG707" s="569"/>
      <c r="EH707" s="569"/>
      <c r="EI707" s="569"/>
      <c r="EJ707" s="569"/>
      <c r="EK707" s="569"/>
      <c r="EL707" s="569"/>
      <c r="EM707" s="569"/>
      <c r="EN707" s="569"/>
      <c r="EO707" s="569"/>
      <c r="EP707" s="569"/>
      <c r="EQ707" s="569"/>
      <c r="ER707" s="569"/>
      <c r="ES707" s="569"/>
      <c r="ET707" s="569"/>
      <c r="EU707" s="569"/>
      <c r="EV707" s="569"/>
      <c r="EW707" s="569"/>
      <c r="EX707" s="569"/>
      <c r="EY707" s="569"/>
      <c r="EZ707" s="569"/>
      <c r="FA707" s="569"/>
      <c r="FB707" s="569"/>
      <c r="FC707" s="569"/>
      <c r="FD707" s="569"/>
      <c r="FE707" s="569"/>
      <c r="FF707" s="569"/>
      <c r="FG707" s="569"/>
      <c r="FH707" s="569"/>
      <c r="FI707" s="569"/>
      <c r="FJ707" s="569"/>
      <c r="FK707" s="569"/>
      <c r="FL707" s="569"/>
      <c r="FM707" s="569"/>
      <c r="FN707" s="569"/>
      <c r="FO707" s="569"/>
      <c r="FP707" s="569"/>
      <c r="FQ707" s="569"/>
      <c r="FR707" s="569"/>
      <c r="FS707" s="569"/>
      <c r="FT707" s="569"/>
      <c r="FU707" s="569"/>
      <c r="FV707" s="569"/>
      <c r="FW707" s="569"/>
      <c r="FX707" s="569"/>
      <c r="FY707" s="569"/>
      <c r="FZ707" s="569"/>
      <c r="GA707" s="569"/>
      <c r="GB707" s="569"/>
      <c r="GC707" s="569"/>
      <c r="GD707" s="569"/>
      <c r="GE707" s="569"/>
      <c r="GF707" s="569"/>
      <c r="GG707" s="569"/>
      <c r="GH707" s="569"/>
      <c r="GI707" s="569"/>
      <c r="GJ707" s="569"/>
      <c r="GK707" s="569"/>
      <c r="GL707" s="569"/>
      <c r="GM707" s="569"/>
      <c r="GN707" s="569"/>
      <c r="GO707" s="569"/>
      <c r="GP707" s="569"/>
      <c r="GQ707" s="569"/>
      <c r="GR707" s="569"/>
      <c r="GS707" s="569"/>
      <c r="GT707" s="569"/>
      <c r="GU707" s="569"/>
      <c r="GV707" s="569"/>
      <c r="GW707" s="569"/>
      <c r="GX707" s="569"/>
      <c r="GY707" s="569"/>
      <c r="GZ707" s="569"/>
      <c r="HA707" s="569"/>
      <c r="HB707" s="569"/>
      <c r="HC707" s="569"/>
      <c r="HD707" s="569"/>
      <c r="HE707" s="569"/>
      <c r="HF707" s="569"/>
      <c r="HG707" s="569"/>
      <c r="HH707" s="569"/>
      <c r="HI707" s="569"/>
      <c r="HJ707" s="569"/>
      <c r="HK707" s="569"/>
      <c r="HL707" s="569"/>
      <c r="HM707" s="569"/>
      <c r="HN707" s="569"/>
      <c r="HO707" s="569"/>
      <c r="HP707" s="569"/>
      <c r="HQ707" s="569"/>
      <c r="HR707" s="569"/>
      <c r="HS707" s="569"/>
      <c r="HT707" s="569"/>
      <c r="HU707" s="569"/>
      <c r="HV707" s="569"/>
      <c r="HW707" s="569"/>
      <c r="HX707" s="569"/>
      <c r="HY707" s="569"/>
      <c r="HZ707" s="569"/>
      <c r="IA707" s="569"/>
      <c r="IB707" s="569"/>
      <c r="IC707" s="569"/>
      <c r="ID707" s="569"/>
      <c r="IE707" s="569"/>
      <c r="IF707" s="569"/>
      <c r="IG707" s="569"/>
      <c r="IH707" s="569"/>
      <c r="II707" s="569"/>
      <c r="IJ707" s="569"/>
      <c r="IK707" s="569"/>
      <c r="IL707" s="569"/>
      <c r="IM707" s="569"/>
      <c r="IN707" s="569"/>
      <c r="IO707" s="569"/>
      <c r="IP707" s="569"/>
      <c r="IQ707" s="569"/>
      <c r="IR707" s="569"/>
      <c r="IS707" s="569"/>
      <c r="IT707" s="569"/>
      <c r="IU707" s="569"/>
      <c r="IV707" s="569"/>
      <c r="IW707" s="569"/>
      <c r="IX707" s="569"/>
      <c r="IY707" s="569"/>
      <c r="IZ707" s="569"/>
      <c r="JA707" s="569"/>
      <c r="JB707" s="569"/>
      <c r="JC707" s="569"/>
      <c r="JD707" s="569"/>
      <c r="JE707" s="569"/>
      <c r="JF707" s="569"/>
      <c r="JG707" s="569"/>
      <c r="JH707" s="569"/>
      <c r="JI707" s="569"/>
      <c r="JJ707" s="569"/>
      <c r="JK707" s="569"/>
      <c r="JL707" s="569"/>
      <c r="JM707" s="569"/>
      <c r="JN707" s="569"/>
      <c r="JO707" s="569"/>
      <c r="JP707" s="569"/>
      <c r="JQ707" s="569"/>
      <c r="JR707" s="569"/>
      <c r="JS707" s="569"/>
      <c r="JT707" s="569"/>
      <c r="JU707" s="569"/>
      <c r="JV707" s="569"/>
      <c r="JW707" s="569"/>
      <c r="JX707" s="569"/>
      <c r="JY707" s="569"/>
      <c r="JZ707" s="569"/>
      <c r="KA707" s="569"/>
      <c r="KB707" s="569"/>
      <c r="KC707" s="569"/>
      <c r="KD707" s="569"/>
      <c r="KE707" s="569"/>
      <c r="KF707" s="569"/>
      <c r="KG707" s="569"/>
      <c r="KH707" s="569"/>
      <c r="KI707" s="569"/>
      <c r="KJ707" s="569"/>
      <c r="KK707" s="569"/>
      <c r="KL707" s="569"/>
      <c r="KM707" s="569"/>
      <c r="KN707" s="569"/>
      <c r="KO707" s="569"/>
      <c r="KP707" s="569"/>
      <c r="KQ707" s="569"/>
      <c r="KR707" s="569"/>
      <c r="KS707" s="569"/>
      <c r="KT707" s="569"/>
      <c r="KU707" s="569"/>
      <c r="KV707" s="569"/>
      <c r="KW707" s="569"/>
      <c r="KX707" s="569"/>
      <c r="KY707" s="569"/>
      <c r="KZ707" s="569"/>
      <c r="LA707" s="569"/>
      <c r="LB707" s="569"/>
      <c r="LC707" s="569"/>
      <c r="LD707" s="569"/>
      <c r="LE707" s="569"/>
      <c r="LF707" s="569"/>
      <c r="LG707" s="569"/>
      <c r="LH707" s="569"/>
      <c r="LI707" s="569"/>
      <c r="LJ707" s="569"/>
      <c r="LK707" s="569"/>
      <c r="LL707" s="569"/>
      <c r="LM707" s="569"/>
      <c r="LN707" s="569"/>
      <c r="LO707" s="569"/>
      <c r="LP707" s="569"/>
      <c r="LQ707" s="569"/>
      <c r="LR707" s="569"/>
      <c r="LS707" s="569"/>
      <c r="LT707" s="569"/>
      <c r="LU707" s="569"/>
      <c r="LV707" s="569"/>
      <c r="LW707" s="569"/>
      <c r="LX707" s="569"/>
      <c r="LY707" s="569"/>
      <c r="LZ707" s="569"/>
      <c r="MA707" s="569"/>
      <c r="MB707" s="569"/>
      <c r="MC707" s="569"/>
      <c r="MD707" s="569"/>
      <c r="ME707" s="569"/>
      <c r="MF707" s="569"/>
      <c r="MG707" s="569"/>
      <c r="MH707" s="569"/>
      <c r="MI707" s="569"/>
      <c r="MJ707" s="569"/>
      <c r="MK707" s="569"/>
      <c r="ML707" s="569"/>
      <c r="MM707" s="569"/>
      <c r="MN707" s="569"/>
      <c r="MO707" s="569"/>
      <c r="MP707" s="569"/>
      <c r="MQ707" s="569"/>
      <c r="MR707" s="569"/>
      <c r="MS707" s="569"/>
      <c r="MT707" s="569"/>
      <c r="MU707" s="569"/>
      <c r="MV707" s="569"/>
      <c r="MW707" s="569"/>
      <c r="MX707" s="569"/>
      <c r="MY707" s="569"/>
      <c r="MZ707" s="569"/>
      <c r="NA707" s="569"/>
      <c r="NB707" s="569"/>
      <c r="NC707" s="569"/>
      <c r="ND707" s="569"/>
      <c r="NE707" s="569"/>
      <c r="NF707" s="569"/>
      <c r="NG707" s="569"/>
      <c r="NH707" s="569"/>
      <c r="NI707" s="569"/>
      <c r="NJ707" s="569"/>
      <c r="NK707" s="569"/>
      <c r="NL707" s="569"/>
      <c r="NM707" s="569"/>
      <c r="NN707" s="569"/>
      <c r="NO707" s="569"/>
      <c r="NP707" s="569"/>
      <c r="NQ707" s="569"/>
      <c r="NR707" s="569"/>
      <c r="NS707" s="569"/>
      <c r="NT707" s="569"/>
      <c r="NU707" s="569"/>
      <c r="NV707" s="569"/>
      <c r="NW707" s="569"/>
      <c r="NX707" s="569"/>
      <c r="NY707" s="569"/>
      <c r="NZ707" s="569"/>
      <c r="OA707" s="569"/>
      <c r="OB707" s="569"/>
      <c r="OC707" s="569"/>
      <c r="OD707" s="569"/>
      <c r="OE707" s="569"/>
      <c r="OF707" s="569"/>
      <c r="OG707" s="569"/>
      <c r="OH707" s="569"/>
      <c r="OI707" s="569"/>
      <c r="OJ707" s="569"/>
      <c r="OK707" s="569"/>
      <c r="OL707" s="569"/>
      <c r="OM707" s="569"/>
      <c r="ON707" s="569"/>
      <c r="OO707" s="569"/>
      <c r="OP707" s="569"/>
      <c r="OQ707" s="569"/>
      <c r="OR707" s="569"/>
      <c r="OS707" s="569"/>
      <c r="OT707" s="569"/>
      <c r="OU707" s="569"/>
      <c r="OV707" s="569"/>
      <c r="OW707" s="569"/>
      <c r="OX707" s="569"/>
      <c r="OY707" s="569"/>
      <c r="OZ707" s="569"/>
      <c r="PA707" s="569"/>
      <c r="PB707" s="569"/>
      <c r="PC707" s="569"/>
      <c r="PD707" s="569"/>
      <c r="PE707" s="569"/>
      <c r="PF707" s="569"/>
      <c r="PG707" s="569"/>
      <c r="PH707" s="569"/>
      <c r="PI707" s="569"/>
      <c r="PJ707" s="569"/>
      <c r="PK707" s="569"/>
      <c r="PL707" s="569"/>
      <c r="PM707" s="569"/>
      <c r="PN707" s="569"/>
      <c r="PO707" s="569"/>
      <c r="PP707" s="569"/>
      <c r="PQ707" s="569"/>
      <c r="PR707" s="569"/>
      <c r="PS707" s="569"/>
      <c r="PT707" s="569"/>
      <c r="PU707" s="569"/>
      <c r="PV707" s="569"/>
      <c r="PW707" s="569"/>
      <c r="PX707" s="569"/>
      <c r="PY707" s="569"/>
      <c r="PZ707" s="569"/>
      <c r="QA707" s="569"/>
      <c r="QB707" s="569"/>
      <c r="QC707" s="569"/>
      <c r="QD707" s="569"/>
      <c r="QE707" s="569"/>
      <c r="QF707" s="569"/>
      <c r="QG707" s="569"/>
      <c r="QH707" s="569"/>
      <c r="QI707" s="569"/>
      <c r="QJ707" s="569"/>
      <c r="QK707" s="569"/>
      <c r="QL707" s="569"/>
    </row>
    <row r="708" spans="1:454" ht="45">
      <c r="D708" s="568"/>
      <c r="E708" s="568"/>
      <c r="F708" s="568"/>
      <c r="G708" s="568"/>
      <c r="H708" s="563" t="str">
        <f>'matrik MISI 1'!N89</f>
        <v>Cakupan Meningkatnya Ketersediaan informasi harga bahan pokok dan bahan lainnya</v>
      </c>
      <c r="I708" s="563" t="str">
        <f>'matrik MISI 1'!O89</f>
        <v>laporan</v>
      </c>
      <c r="J708" s="563">
        <f>'matrik MISI 1'!P89</f>
        <v>96</v>
      </c>
      <c r="K708" s="563">
        <f>'matrik MISI 1'!Q89</f>
        <v>96</v>
      </c>
      <c r="L708" s="563">
        <f>'matrik MISI 1'!R89</f>
        <v>96</v>
      </c>
      <c r="M708" s="604"/>
      <c r="N708" s="563">
        <f>'matrik MISI 1'!S89</f>
        <v>96</v>
      </c>
      <c r="O708" s="564"/>
      <c r="P708" s="563">
        <f>'matrik MISI 1'!T89</f>
        <v>96</v>
      </c>
      <c r="Q708" s="564"/>
      <c r="R708" s="563">
        <f>'matrik MISI 1'!U89</f>
        <v>96</v>
      </c>
      <c r="S708" s="564"/>
      <c r="T708" s="563">
        <f>'matrik MISI 1'!V89</f>
        <v>96</v>
      </c>
      <c r="U708" s="564"/>
      <c r="V708" s="563">
        <f>'matrik MISI 1'!W89</f>
        <v>96</v>
      </c>
      <c r="W708" s="564"/>
      <c r="X708" s="563" t="str">
        <f>'matrik MISI 1'!X89</f>
        <v>DISPERINDAGKOP DAN UMKM</v>
      </c>
      <c r="Y708" s="563" t="str">
        <f>'matrik MISI 1'!Y89</f>
        <v>Tersedianya jumlah laporan informasi harga dan ketersedian bahan pokok dan bahan lainnya pada setiap minggu</v>
      </c>
      <c r="Z708" s="563" t="str">
        <f>'matrik MISI 1'!Z89</f>
        <v>Meningkatnya ketersediaan informasi harga kebutuhan pokok menjadi bahan utk kebijakan penyelenggaran OP</v>
      </c>
    </row>
    <row r="709" spans="1:454" ht="30">
      <c r="G709" s="563"/>
      <c r="H709" s="563" t="str">
        <f>'matrik MISI 1'!N90</f>
        <v>Cakupan Meningkatnya Jaminan Keamanan Produk yang Beredar</v>
      </c>
      <c r="I709" s="563" t="str">
        <f>'matrik MISI 1'!O90</f>
        <v>produk</v>
      </c>
      <c r="J709" s="563">
        <f>'matrik MISI 1'!P90</f>
        <v>14</v>
      </c>
      <c r="K709" s="563">
        <f>'matrik MISI 1'!Q90</f>
        <v>10</v>
      </c>
      <c r="L709" s="563">
        <f>'matrik MISI 1'!R90</f>
        <v>8</v>
      </c>
      <c r="M709" s="604"/>
      <c r="N709" s="563">
        <f>'matrik MISI 1'!S90</f>
        <v>6</v>
      </c>
      <c r="O709" s="564"/>
      <c r="P709" s="563">
        <f>'matrik MISI 1'!T90</f>
        <v>4</v>
      </c>
      <c r="Q709" s="564"/>
      <c r="R709" s="563">
        <f>'matrik MISI 1'!U90</f>
        <v>2</v>
      </c>
      <c r="S709" s="564"/>
      <c r="T709" s="563">
        <f>'matrik MISI 1'!V90</f>
        <v>2</v>
      </c>
      <c r="U709" s="564"/>
      <c r="V709" s="563">
        <f>'matrik MISI 1'!W90</f>
        <v>2</v>
      </c>
      <c r="W709" s="564"/>
      <c r="X709" s="563" t="str">
        <f>'matrik MISI 1'!X90</f>
        <v>DISPERINDAGKOP DAN UMKM</v>
      </c>
      <c r="Y709" s="563" t="str">
        <f>'matrik MISI 1'!Y90</f>
        <v>jumlah temuan produk tidak layak edar</v>
      </c>
      <c r="Z709" s="563" t="str">
        <f>'matrik MISI 1'!Z90</f>
        <v>Berkurangnya jumlah produk tidak layak edar dari tahun ketahun</v>
      </c>
    </row>
    <row r="710" spans="1:454" ht="60">
      <c r="G710" s="563"/>
      <c r="H710" s="563" t="str">
        <f>'matrik MISI 1'!N91</f>
        <v xml:space="preserve">Cakupan meningkatnya alat Ukur Takar Timbang dan Perlengkapannya yang ditera ulang </v>
      </c>
      <c r="I710" s="563" t="str">
        <f>'matrik MISI 1'!O91</f>
        <v>unit</v>
      </c>
      <c r="J710" s="563">
        <f>'matrik MISI 1'!P91</f>
        <v>16601</v>
      </c>
      <c r="K710" s="563">
        <f>'matrik MISI 1'!Q91</f>
        <v>16.77</v>
      </c>
      <c r="L710" s="563">
        <f>'matrik MISI 1'!R91</f>
        <v>18823</v>
      </c>
      <c r="M710" s="604"/>
      <c r="N710" s="563">
        <f>'matrik MISI 1'!S91</f>
        <v>18879</v>
      </c>
      <c r="O710" s="564"/>
      <c r="P710" s="563">
        <f>'matrik MISI 1'!T91</f>
        <v>18936</v>
      </c>
      <c r="Q710" s="564"/>
      <c r="R710" s="563">
        <f>'matrik MISI 1'!U91</f>
        <v>18993</v>
      </c>
      <c r="S710" s="564"/>
      <c r="T710" s="563">
        <f>'matrik MISI 1'!V91</f>
        <v>19050</v>
      </c>
      <c r="U710" s="564"/>
      <c r="V710" s="563">
        <f>'matrik MISI 1'!W91</f>
        <v>19050</v>
      </c>
      <c r="W710" s="564"/>
      <c r="X710" s="563" t="str">
        <f>'matrik MISI 1'!X91</f>
        <v>DISPERINDAGKOP DAN UMKM</v>
      </c>
      <c r="Y710" s="563" t="str">
        <f>'matrik MISI 1'!Y91</f>
        <v>jumlah alat UTTP yang ditera ulang tahun ke n</v>
      </c>
      <c r="Z710" s="563">
        <f>'matrik MISI 1'!Z91</f>
        <v>0</v>
      </c>
    </row>
    <row r="711" spans="1:454" ht="30">
      <c r="G711" s="563"/>
      <c r="H711" s="563" t="str">
        <f>'matrik MISI 1'!N92</f>
        <v>Persentase penyelesaian sengketa konsumen</v>
      </c>
      <c r="I711" s="563" t="str">
        <f>'matrik MISI 1'!O92</f>
        <v>%</v>
      </c>
      <c r="J711" s="563" t="str">
        <f>'matrik MISI 1'!P92</f>
        <v>-</v>
      </c>
      <c r="K711" s="563" t="str">
        <f>'matrik MISI 1'!Q92</f>
        <v>-</v>
      </c>
      <c r="L711" s="563">
        <f>'matrik MISI 1'!R92</f>
        <v>50</v>
      </c>
      <c r="M711" s="604"/>
      <c r="N711" s="563">
        <f>'matrik MISI 1'!S92</f>
        <v>60</v>
      </c>
      <c r="O711" s="564"/>
      <c r="P711" s="563">
        <f>'matrik MISI 1'!T92</f>
        <v>75</v>
      </c>
      <c r="Q711" s="564"/>
      <c r="R711" s="563">
        <f>'matrik MISI 1'!U92</f>
        <v>80</v>
      </c>
      <c r="S711" s="564"/>
      <c r="T711" s="563">
        <f>'matrik MISI 1'!V92</f>
        <v>85</v>
      </c>
      <c r="U711" s="564"/>
      <c r="V711" s="563">
        <f>'matrik MISI 1'!W92</f>
        <v>85</v>
      </c>
      <c r="W711" s="564"/>
      <c r="X711" s="563" t="str">
        <f>'matrik MISI 1'!X92</f>
        <v>DISPERINDAGKOP DAN UMKM</v>
      </c>
      <c r="Y711" s="563" t="str">
        <f>'matrik MISI 1'!Y92</f>
        <v>Jumlah sengketa yang diselesaikan dibagi total jumlah sengketa yang dilaporkan</v>
      </c>
      <c r="Z711" s="563" t="str">
        <f>'matrik MISI 1'!Z92</f>
        <v>Meningkatnya penyelesaian sengketa</v>
      </c>
    </row>
    <row r="712" spans="1:454" s="570" customFormat="1">
      <c r="A712" s="569"/>
      <c r="B712" s="571"/>
      <c r="C712" s="572"/>
      <c r="D712" s="573"/>
      <c r="E712" s="573"/>
      <c r="F712" s="573"/>
      <c r="G712" s="573"/>
      <c r="H712" s="573"/>
      <c r="I712" s="573"/>
      <c r="J712" s="573"/>
      <c r="K712" s="573"/>
      <c r="L712" s="573"/>
      <c r="M712" s="604"/>
      <c r="N712" s="573"/>
      <c r="O712" s="564"/>
      <c r="P712" s="573"/>
      <c r="Q712" s="564"/>
      <c r="R712" s="573"/>
      <c r="S712" s="564"/>
      <c r="T712" s="573"/>
      <c r="U712" s="564"/>
      <c r="V712" s="573"/>
      <c r="W712" s="564"/>
      <c r="X712" s="573"/>
      <c r="Y712" s="573"/>
      <c r="Z712" s="573"/>
      <c r="AA712" s="569"/>
      <c r="AB712" s="569"/>
      <c r="AC712" s="569"/>
      <c r="AD712" s="569"/>
      <c r="AE712" s="569"/>
      <c r="AF712" s="569"/>
      <c r="AG712" s="569"/>
      <c r="AH712" s="569"/>
      <c r="AI712" s="569"/>
      <c r="AJ712" s="569"/>
      <c r="AK712" s="569"/>
      <c r="AL712" s="569"/>
      <c r="AM712" s="569"/>
      <c r="AN712" s="569"/>
      <c r="AO712" s="569"/>
      <c r="AP712" s="569"/>
      <c r="AQ712" s="569"/>
      <c r="AR712" s="569"/>
      <c r="AS712" s="569"/>
      <c r="AT712" s="569"/>
      <c r="AU712" s="569"/>
      <c r="AV712" s="569"/>
      <c r="AW712" s="569"/>
      <c r="AX712" s="569"/>
      <c r="AY712" s="569"/>
      <c r="AZ712" s="569"/>
      <c r="BA712" s="569"/>
      <c r="BB712" s="569"/>
      <c r="BC712" s="569"/>
      <c r="BD712" s="569"/>
      <c r="BE712" s="569"/>
      <c r="BF712" s="569"/>
      <c r="BG712" s="569"/>
      <c r="BH712" s="569"/>
      <c r="BI712" s="569"/>
      <c r="BJ712" s="569"/>
      <c r="BK712" s="569"/>
      <c r="BL712" s="569"/>
      <c r="BM712" s="569"/>
      <c r="BN712" s="569"/>
      <c r="BO712" s="569"/>
      <c r="BP712" s="569"/>
      <c r="BQ712" s="569"/>
      <c r="BR712" s="569"/>
      <c r="BS712" s="569"/>
      <c r="BT712" s="569"/>
      <c r="BU712" s="569"/>
      <c r="BV712" s="569"/>
      <c r="BW712" s="569"/>
      <c r="BX712" s="569"/>
      <c r="BY712" s="569"/>
      <c r="BZ712" s="569"/>
      <c r="CA712" s="569"/>
      <c r="CB712" s="569"/>
      <c r="CC712" s="569"/>
      <c r="CD712" s="569"/>
      <c r="CE712" s="569"/>
      <c r="CF712" s="569"/>
      <c r="CG712" s="569"/>
      <c r="CH712" s="569"/>
      <c r="CI712" s="569"/>
      <c r="CJ712" s="569"/>
      <c r="CK712" s="569"/>
      <c r="CL712" s="569"/>
      <c r="CM712" s="569"/>
      <c r="CN712" s="569"/>
      <c r="CO712" s="569"/>
      <c r="CP712" s="569"/>
      <c r="CQ712" s="569"/>
      <c r="CR712" s="569"/>
      <c r="CS712" s="569"/>
      <c r="CT712" s="569"/>
      <c r="CU712" s="569"/>
      <c r="CV712" s="569"/>
      <c r="CW712" s="569"/>
      <c r="CX712" s="569"/>
      <c r="CY712" s="569"/>
      <c r="CZ712" s="569"/>
      <c r="DA712" s="569"/>
      <c r="DB712" s="569"/>
      <c r="DC712" s="569"/>
      <c r="DD712" s="569"/>
      <c r="DE712" s="569"/>
      <c r="DF712" s="569"/>
      <c r="DG712" s="569"/>
      <c r="DH712" s="569"/>
      <c r="DI712" s="569"/>
      <c r="DJ712" s="569"/>
      <c r="DK712" s="569"/>
      <c r="DL712" s="569"/>
      <c r="DM712" s="569"/>
      <c r="DN712" s="569"/>
      <c r="DO712" s="569"/>
      <c r="DP712" s="569"/>
      <c r="DQ712" s="569"/>
      <c r="DR712" s="569"/>
      <c r="DS712" s="569"/>
      <c r="DT712" s="569"/>
      <c r="DU712" s="569"/>
      <c r="DV712" s="569"/>
      <c r="DW712" s="569"/>
      <c r="DX712" s="569"/>
      <c r="DY712" s="569"/>
      <c r="DZ712" s="569"/>
      <c r="EA712" s="569"/>
      <c r="EB712" s="569"/>
      <c r="EC712" s="569"/>
      <c r="ED712" s="569"/>
      <c r="EE712" s="569"/>
      <c r="EF712" s="569"/>
      <c r="EG712" s="569"/>
      <c r="EH712" s="569"/>
      <c r="EI712" s="569"/>
      <c r="EJ712" s="569"/>
      <c r="EK712" s="569"/>
      <c r="EL712" s="569"/>
      <c r="EM712" s="569"/>
      <c r="EN712" s="569"/>
      <c r="EO712" s="569"/>
      <c r="EP712" s="569"/>
      <c r="EQ712" s="569"/>
      <c r="ER712" s="569"/>
      <c r="ES712" s="569"/>
      <c r="ET712" s="569"/>
      <c r="EU712" s="569"/>
      <c r="EV712" s="569"/>
      <c r="EW712" s="569"/>
      <c r="EX712" s="569"/>
      <c r="EY712" s="569"/>
      <c r="EZ712" s="569"/>
      <c r="FA712" s="569"/>
      <c r="FB712" s="569"/>
      <c r="FC712" s="569"/>
      <c r="FD712" s="569"/>
      <c r="FE712" s="569"/>
      <c r="FF712" s="569"/>
      <c r="FG712" s="569"/>
      <c r="FH712" s="569"/>
      <c r="FI712" s="569"/>
      <c r="FJ712" s="569"/>
      <c r="FK712" s="569"/>
      <c r="FL712" s="569"/>
      <c r="FM712" s="569"/>
      <c r="FN712" s="569"/>
      <c r="FO712" s="569"/>
      <c r="FP712" s="569"/>
      <c r="FQ712" s="569"/>
      <c r="FR712" s="569"/>
      <c r="FS712" s="569"/>
      <c r="FT712" s="569"/>
      <c r="FU712" s="569"/>
      <c r="FV712" s="569"/>
      <c r="FW712" s="569"/>
      <c r="FX712" s="569"/>
      <c r="FY712" s="569"/>
      <c r="FZ712" s="569"/>
      <c r="GA712" s="569"/>
      <c r="GB712" s="569"/>
      <c r="GC712" s="569"/>
      <c r="GD712" s="569"/>
      <c r="GE712" s="569"/>
      <c r="GF712" s="569"/>
      <c r="GG712" s="569"/>
      <c r="GH712" s="569"/>
      <c r="GI712" s="569"/>
      <c r="GJ712" s="569"/>
      <c r="GK712" s="569"/>
      <c r="GL712" s="569"/>
      <c r="GM712" s="569"/>
      <c r="GN712" s="569"/>
      <c r="GO712" s="569"/>
      <c r="GP712" s="569"/>
      <c r="GQ712" s="569"/>
      <c r="GR712" s="569"/>
      <c r="GS712" s="569"/>
      <c r="GT712" s="569"/>
      <c r="GU712" s="569"/>
      <c r="GV712" s="569"/>
      <c r="GW712" s="569"/>
      <c r="GX712" s="569"/>
      <c r="GY712" s="569"/>
      <c r="GZ712" s="569"/>
      <c r="HA712" s="569"/>
      <c r="HB712" s="569"/>
      <c r="HC712" s="569"/>
      <c r="HD712" s="569"/>
      <c r="HE712" s="569"/>
      <c r="HF712" s="569"/>
      <c r="HG712" s="569"/>
      <c r="HH712" s="569"/>
      <c r="HI712" s="569"/>
      <c r="HJ712" s="569"/>
      <c r="HK712" s="569"/>
      <c r="HL712" s="569"/>
      <c r="HM712" s="569"/>
      <c r="HN712" s="569"/>
      <c r="HO712" s="569"/>
      <c r="HP712" s="569"/>
      <c r="HQ712" s="569"/>
      <c r="HR712" s="569"/>
      <c r="HS712" s="569"/>
      <c r="HT712" s="569"/>
      <c r="HU712" s="569"/>
      <c r="HV712" s="569"/>
      <c r="HW712" s="569"/>
      <c r="HX712" s="569"/>
      <c r="HY712" s="569"/>
      <c r="HZ712" s="569"/>
      <c r="IA712" s="569"/>
      <c r="IB712" s="569"/>
      <c r="IC712" s="569"/>
      <c r="ID712" s="569"/>
      <c r="IE712" s="569"/>
      <c r="IF712" s="569"/>
      <c r="IG712" s="569"/>
      <c r="IH712" s="569"/>
      <c r="II712" s="569"/>
      <c r="IJ712" s="569"/>
      <c r="IK712" s="569"/>
      <c r="IL712" s="569"/>
      <c r="IM712" s="569"/>
      <c r="IN712" s="569"/>
      <c r="IO712" s="569"/>
      <c r="IP712" s="569"/>
      <c r="IQ712" s="569"/>
      <c r="IR712" s="569"/>
      <c r="IS712" s="569"/>
      <c r="IT712" s="569"/>
      <c r="IU712" s="569"/>
      <c r="IV712" s="569"/>
      <c r="IW712" s="569"/>
      <c r="IX712" s="569"/>
      <c r="IY712" s="569"/>
      <c r="IZ712" s="569"/>
      <c r="JA712" s="569"/>
      <c r="JB712" s="569"/>
      <c r="JC712" s="569"/>
      <c r="JD712" s="569"/>
      <c r="JE712" s="569"/>
      <c r="JF712" s="569"/>
      <c r="JG712" s="569"/>
      <c r="JH712" s="569"/>
      <c r="JI712" s="569"/>
      <c r="JJ712" s="569"/>
      <c r="JK712" s="569"/>
      <c r="JL712" s="569"/>
      <c r="JM712" s="569"/>
      <c r="JN712" s="569"/>
      <c r="JO712" s="569"/>
      <c r="JP712" s="569"/>
      <c r="JQ712" s="569"/>
      <c r="JR712" s="569"/>
      <c r="JS712" s="569"/>
      <c r="JT712" s="569"/>
      <c r="JU712" s="569"/>
      <c r="JV712" s="569"/>
      <c r="JW712" s="569"/>
      <c r="JX712" s="569"/>
      <c r="JY712" s="569"/>
      <c r="JZ712" s="569"/>
      <c r="KA712" s="569"/>
      <c r="KB712" s="569"/>
      <c r="KC712" s="569"/>
      <c r="KD712" s="569"/>
      <c r="KE712" s="569"/>
      <c r="KF712" s="569"/>
      <c r="KG712" s="569"/>
      <c r="KH712" s="569"/>
      <c r="KI712" s="569"/>
      <c r="KJ712" s="569"/>
      <c r="KK712" s="569"/>
      <c r="KL712" s="569"/>
      <c r="KM712" s="569"/>
      <c r="KN712" s="569"/>
      <c r="KO712" s="569"/>
      <c r="KP712" s="569"/>
      <c r="KQ712" s="569"/>
      <c r="KR712" s="569"/>
      <c r="KS712" s="569"/>
      <c r="KT712" s="569"/>
      <c r="KU712" s="569"/>
      <c r="KV712" s="569"/>
      <c r="KW712" s="569"/>
      <c r="KX712" s="569"/>
      <c r="KY712" s="569"/>
      <c r="KZ712" s="569"/>
      <c r="LA712" s="569"/>
      <c r="LB712" s="569"/>
      <c r="LC712" s="569"/>
      <c r="LD712" s="569"/>
      <c r="LE712" s="569"/>
      <c r="LF712" s="569"/>
      <c r="LG712" s="569"/>
      <c r="LH712" s="569"/>
      <c r="LI712" s="569"/>
      <c r="LJ712" s="569"/>
      <c r="LK712" s="569"/>
      <c r="LL712" s="569"/>
      <c r="LM712" s="569"/>
      <c r="LN712" s="569"/>
      <c r="LO712" s="569"/>
      <c r="LP712" s="569"/>
      <c r="LQ712" s="569"/>
      <c r="LR712" s="569"/>
      <c r="LS712" s="569"/>
      <c r="LT712" s="569"/>
      <c r="LU712" s="569"/>
      <c r="LV712" s="569"/>
      <c r="LW712" s="569"/>
      <c r="LX712" s="569"/>
      <c r="LY712" s="569"/>
      <c r="LZ712" s="569"/>
      <c r="MA712" s="569"/>
      <c r="MB712" s="569"/>
      <c r="MC712" s="569"/>
      <c r="MD712" s="569"/>
      <c r="ME712" s="569"/>
      <c r="MF712" s="569"/>
      <c r="MG712" s="569"/>
      <c r="MH712" s="569"/>
      <c r="MI712" s="569"/>
      <c r="MJ712" s="569"/>
      <c r="MK712" s="569"/>
      <c r="ML712" s="569"/>
      <c r="MM712" s="569"/>
      <c r="MN712" s="569"/>
      <c r="MO712" s="569"/>
      <c r="MP712" s="569"/>
      <c r="MQ712" s="569"/>
      <c r="MR712" s="569"/>
      <c r="MS712" s="569"/>
      <c r="MT712" s="569"/>
      <c r="MU712" s="569"/>
      <c r="MV712" s="569"/>
      <c r="MW712" s="569"/>
      <c r="MX712" s="569"/>
      <c r="MY712" s="569"/>
      <c r="MZ712" s="569"/>
      <c r="NA712" s="569"/>
      <c r="NB712" s="569"/>
      <c r="NC712" s="569"/>
      <c r="ND712" s="569"/>
      <c r="NE712" s="569"/>
      <c r="NF712" s="569"/>
      <c r="NG712" s="569"/>
      <c r="NH712" s="569"/>
      <c r="NI712" s="569"/>
      <c r="NJ712" s="569"/>
      <c r="NK712" s="569"/>
      <c r="NL712" s="569"/>
      <c r="NM712" s="569"/>
      <c r="NN712" s="569"/>
      <c r="NO712" s="569"/>
      <c r="NP712" s="569"/>
      <c r="NQ712" s="569"/>
      <c r="NR712" s="569"/>
      <c r="NS712" s="569"/>
      <c r="NT712" s="569"/>
      <c r="NU712" s="569"/>
      <c r="NV712" s="569"/>
      <c r="NW712" s="569"/>
      <c r="NX712" s="569"/>
      <c r="NY712" s="569"/>
      <c r="NZ712" s="569"/>
      <c r="OA712" s="569"/>
      <c r="OB712" s="569"/>
      <c r="OC712" s="569"/>
      <c r="OD712" s="569"/>
      <c r="OE712" s="569"/>
      <c r="OF712" s="569"/>
      <c r="OG712" s="569"/>
      <c r="OH712" s="569"/>
      <c r="OI712" s="569"/>
      <c r="OJ712" s="569"/>
      <c r="OK712" s="569"/>
      <c r="OL712" s="569"/>
      <c r="OM712" s="569"/>
      <c r="ON712" s="569"/>
      <c r="OO712" s="569"/>
      <c r="OP712" s="569"/>
      <c r="OQ712" s="569"/>
      <c r="OR712" s="569"/>
      <c r="OS712" s="569"/>
      <c r="OT712" s="569"/>
      <c r="OU712" s="569"/>
      <c r="OV712" s="569"/>
      <c r="OW712" s="569"/>
      <c r="OX712" s="569"/>
      <c r="OY712" s="569"/>
      <c r="OZ712" s="569"/>
      <c r="PA712" s="569"/>
      <c r="PB712" s="569"/>
      <c r="PC712" s="569"/>
      <c r="PD712" s="569"/>
      <c r="PE712" s="569"/>
      <c r="PF712" s="569"/>
      <c r="PG712" s="569"/>
      <c r="PH712" s="569"/>
      <c r="PI712" s="569"/>
      <c r="PJ712" s="569"/>
      <c r="PK712" s="569"/>
      <c r="PL712" s="569"/>
      <c r="PM712" s="569"/>
      <c r="PN712" s="569"/>
      <c r="PO712" s="569"/>
      <c r="PP712" s="569"/>
      <c r="PQ712" s="569"/>
      <c r="PR712" s="569"/>
      <c r="PS712" s="569"/>
      <c r="PT712" s="569"/>
      <c r="PU712" s="569"/>
      <c r="PV712" s="569"/>
      <c r="PW712" s="569"/>
      <c r="PX712" s="569"/>
      <c r="PY712" s="569"/>
      <c r="PZ712" s="569"/>
      <c r="QA712" s="569"/>
      <c r="QB712" s="569"/>
      <c r="QC712" s="569"/>
      <c r="QD712" s="569"/>
      <c r="QE712" s="569"/>
      <c r="QF712" s="569"/>
      <c r="QG712" s="569"/>
      <c r="QH712" s="569"/>
      <c r="QI712" s="569"/>
      <c r="QJ712" s="569"/>
      <c r="QK712" s="569"/>
      <c r="QL712" s="569"/>
    </row>
    <row r="713" spans="1:454" s="574" customFormat="1" ht="30">
      <c r="A713" s="569"/>
      <c r="B713" s="575">
        <v>7</v>
      </c>
      <c r="C713" s="576" t="str">
        <f>'matrik MISI 1'!B77</f>
        <v>PERINDUSTRIAN</v>
      </c>
      <c r="D713" s="577" t="str">
        <f>'matrik MISI 1'!J78</f>
        <v>2.07</v>
      </c>
      <c r="E713" s="577" t="str">
        <f>'matrik MISI 1'!K78</f>
        <v>xx</v>
      </c>
      <c r="F713" s="577">
        <f>'matrik MISI 1'!L78</f>
        <v>16</v>
      </c>
      <c r="G713" s="577" t="str">
        <f>'matrik MISI 1'!M78</f>
        <v>Program Industri Kecil dan Menengah</v>
      </c>
      <c r="H713" s="577"/>
      <c r="I713" s="577"/>
      <c r="J713" s="577"/>
      <c r="K713" s="577"/>
      <c r="L713" s="577"/>
      <c r="M713" s="578">
        <f>'jangan dihapus 2'!K710</f>
        <v>1249310500</v>
      </c>
      <c r="N713" s="577"/>
      <c r="O713" s="578">
        <f>'jangan dihapus 2'!M710</f>
        <v>1665000000</v>
      </c>
      <c r="P713" s="577"/>
      <c r="Q713" s="578">
        <f>'jangan dihapus 2'!O710</f>
        <v>1795000000</v>
      </c>
      <c r="R713" s="577"/>
      <c r="S713" s="578">
        <f>'jangan dihapus 2'!Q710</f>
        <v>1790000000</v>
      </c>
      <c r="T713" s="577"/>
      <c r="U713" s="578">
        <f>'jangan dihapus 2'!S710</f>
        <v>1925000000</v>
      </c>
      <c r="V713" s="577"/>
      <c r="W713" s="578">
        <f>SUM(M713:U713)</f>
        <v>8424310500</v>
      </c>
      <c r="X713" s="577"/>
      <c r="Y713" s="577"/>
      <c r="Z713" s="577"/>
      <c r="AA713" s="569"/>
      <c r="AB713" s="569"/>
      <c r="AC713" s="569"/>
      <c r="AD713" s="569"/>
      <c r="AE713" s="569"/>
      <c r="AF713" s="569"/>
      <c r="AG713" s="569"/>
      <c r="AH713" s="569"/>
      <c r="AI713" s="569"/>
      <c r="AJ713" s="569"/>
      <c r="AK713" s="569"/>
      <c r="AL713" s="569"/>
      <c r="AM713" s="569"/>
      <c r="AN713" s="569"/>
      <c r="AO713" s="569"/>
      <c r="AP713" s="569"/>
      <c r="AQ713" s="569"/>
      <c r="AR713" s="569"/>
      <c r="AS713" s="569"/>
      <c r="AT713" s="569"/>
      <c r="AU713" s="569"/>
      <c r="AV713" s="569"/>
      <c r="AW713" s="569"/>
      <c r="AX713" s="569"/>
      <c r="AY713" s="569"/>
      <c r="AZ713" s="569"/>
      <c r="BA713" s="569"/>
      <c r="BB713" s="569"/>
      <c r="BC713" s="569"/>
      <c r="BD713" s="569"/>
      <c r="BE713" s="569"/>
      <c r="BF713" s="569"/>
      <c r="BG713" s="569"/>
      <c r="BH713" s="569"/>
      <c r="BI713" s="569"/>
      <c r="BJ713" s="569"/>
      <c r="BK713" s="569"/>
      <c r="BL713" s="569"/>
      <c r="BM713" s="569"/>
      <c r="BN713" s="569"/>
      <c r="BO713" s="569"/>
      <c r="BP713" s="569"/>
      <c r="BQ713" s="569"/>
      <c r="BR713" s="569"/>
      <c r="BS713" s="569"/>
      <c r="BT713" s="569"/>
      <c r="BU713" s="569"/>
      <c r="BV713" s="569"/>
      <c r="BW713" s="569"/>
      <c r="BX713" s="569"/>
      <c r="BY713" s="569"/>
      <c r="BZ713" s="569"/>
      <c r="CA713" s="569"/>
      <c r="CB713" s="569"/>
      <c r="CC713" s="569"/>
      <c r="CD713" s="569"/>
      <c r="CE713" s="569"/>
      <c r="CF713" s="569"/>
      <c r="CG713" s="569"/>
      <c r="CH713" s="569"/>
      <c r="CI713" s="569"/>
      <c r="CJ713" s="569"/>
      <c r="CK713" s="569"/>
      <c r="CL713" s="569"/>
      <c r="CM713" s="569"/>
      <c r="CN713" s="569"/>
      <c r="CO713" s="569"/>
      <c r="CP713" s="569"/>
      <c r="CQ713" s="569"/>
      <c r="CR713" s="569"/>
      <c r="CS713" s="569"/>
      <c r="CT713" s="569"/>
      <c r="CU713" s="569"/>
      <c r="CV713" s="569"/>
      <c r="CW713" s="569"/>
      <c r="CX713" s="569"/>
      <c r="CY713" s="569"/>
      <c r="CZ713" s="569"/>
      <c r="DA713" s="569"/>
      <c r="DB713" s="569"/>
      <c r="DC713" s="569"/>
      <c r="DD713" s="569"/>
      <c r="DE713" s="569"/>
      <c r="DF713" s="569"/>
      <c r="DG713" s="569"/>
      <c r="DH713" s="569"/>
      <c r="DI713" s="569"/>
      <c r="DJ713" s="569"/>
      <c r="DK713" s="569"/>
      <c r="DL713" s="569"/>
      <c r="DM713" s="569"/>
      <c r="DN713" s="569"/>
      <c r="DO713" s="569"/>
      <c r="DP713" s="569"/>
      <c r="DQ713" s="569"/>
      <c r="DR713" s="569"/>
      <c r="DS713" s="569"/>
      <c r="DT713" s="569"/>
      <c r="DU713" s="569"/>
      <c r="DV713" s="569"/>
      <c r="DW713" s="569"/>
      <c r="DX713" s="569"/>
      <c r="DY713" s="569"/>
      <c r="DZ713" s="569"/>
      <c r="EA713" s="569"/>
      <c r="EB713" s="569"/>
      <c r="EC713" s="569"/>
      <c r="ED713" s="569"/>
      <c r="EE713" s="569"/>
      <c r="EF713" s="569"/>
      <c r="EG713" s="569"/>
      <c r="EH713" s="569"/>
      <c r="EI713" s="569"/>
      <c r="EJ713" s="569"/>
      <c r="EK713" s="569"/>
      <c r="EL713" s="569"/>
      <c r="EM713" s="569"/>
      <c r="EN713" s="569"/>
      <c r="EO713" s="569"/>
      <c r="EP713" s="569"/>
      <c r="EQ713" s="569"/>
      <c r="ER713" s="569"/>
      <c r="ES713" s="569"/>
      <c r="ET713" s="569"/>
      <c r="EU713" s="569"/>
      <c r="EV713" s="569"/>
      <c r="EW713" s="569"/>
      <c r="EX713" s="569"/>
      <c r="EY713" s="569"/>
      <c r="EZ713" s="569"/>
      <c r="FA713" s="569"/>
      <c r="FB713" s="569"/>
      <c r="FC713" s="569"/>
      <c r="FD713" s="569"/>
      <c r="FE713" s="569"/>
      <c r="FF713" s="569"/>
      <c r="FG713" s="569"/>
      <c r="FH713" s="569"/>
      <c r="FI713" s="569"/>
      <c r="FJ713" s="569"/>
      <c r="FK713" s="569"/>
      <c r="FL713" s="569"/>
      <c r="FM713" s="569"/>
      <c r="FN713" s="569"/>
      <c r="FO713" s="569"/>
      <c r="FP713" s="569"/>
      <c r="FQ713" s="569"/>
      <c r="FR713" s="569"/>
      <c r="FS713" s="569"/>
      <c r="FT713" s="569"/>
      <c r="FU713" s="569"/>
      <c r="FV713" s="569"/>
      <c r="FW713" s="569"/>
      <c r="FX713" s="569"/>
      <c r="FY713" s="569"/>
      <c r="FZ713" s="569"/>
      <c r="GA713" s="569"/>
      <c r="GB713" s="569"/>
      <c r="GC713" s="569"/>
      <c r="GD713" s="569"/>
      <c r="GE713" s="569"/>
      <c r="GF713" s="569"/>
      <c r="GG713" s="569"/>
      <c r="GH713" s="569"/>
      <c r="GI713" s="569"/>
      <c r="GJ713" s="569"/>
      <c r="GK713" s="569"/>
      <c r="GL713" s="569"/>
      <c r="GM713" s="569"/>
      <c r="GN713" s="569"/>
      <c r="GO713" s="569"/>
      <c r="GP713" s="569"/>
      <c r="GQ713" s="569"/>
      <c r="GR713" s="569"/>
      <c r="GS713" s="569"/>
      <c r="GT713" s="569"/>
      <c r="GU713" s="569"/>
      <c r="GV713" s="569"/>
      <c r="GW713" s="569"/>
      <c r="GX713" s="569"/>
      <c r="GY713" s="569"/>
      <c r="GZ713" s="569"/>
      <c r="HA713" s="569"/>
      <c r="HB713" s="569"/>
      <c r="HC713" s="569"/>
      <c r="HD713" s="569"/>
      <c r="HE713" s="569"/>
      <c r="HF713" s="569"/>
      <c r="HG713" s="569"/>
      <c r="HH713" s="569"/>
      <c r="HI713" s="569"/>
      <c r="HJ713" s="569"/>
      <c r="HK713" s="569"/>
      <c r="HL713" s="569"/>
      <c r="HM713" s="569"/>
      <c r="HN713" s="569"/>
      <c r="HO713" s="569"/>
      <c r="HP713" s="569"/>
      <c r="HQ713" s="569"/>
      <c r="HR713" s="569"/>
      <c r="HS713" s="569"/>
      <c r="HT713" s="569"/>
      <c r="HU713" s="569"/>
      <c r="HV713" s="569"/>
      <c r="HW713" s="569"/>
      <c r="HX713" s="569"/>
      <c r="HY713" s="569"/>
      <c r="HZ713" s="569"/>
      <c r="IA713" s="569"/>
      <c r="IB713" s="569"/>
      <c r="IC713" s="569"/>
      <c r="ID713" s="569"/>
      <c r="IE713" s="569"/>
      <c r="IF713" s="569"/>
      <c r="IG713" s="569"/>
      <c r="IH713" s="569"/>
      <c r="II713" s="569"/>
      <c r="IJ713" s="569"/>
      <c r="IK713" s="569"/>
      <c r="IL713" s="569"/>
      <c r="IM713" s="569"/>
      <c r="IN713" s="569"/>
      <c r="IO713" s="569"/>
      <c r="IP713" s="569"/>
      <c r="IQ713" s="569"/>
      <c r="IR713" s="569"/>
      <c r="IS713" s="569"/>
      <c r="IT713" s="569"/>
      <c r="IU713" s="569"/>
      <c r="IV713" s="569"/>
      <c r="IW713" s="569"/>
      <c r="IX713" s="569"/>
      <c r="IY713" s="569"/>
      <c r="IZ713" s="569"/>
      <c r="JA713" s="569"/>
      <c r="JB713" s="569"/>
      <c r="JC713" s="569"/>
      <c r="JD713" s="569"/>
      <c r="JE713" s="569"/>
      <c r="JF713" s="569"/>
      <c r="JG713" s="569"/>
      <c r="JH713" s="569"/>
      <c r="JI713" s="569"/>
      <c r="JJ713" s="569"/>
      <c r="JK713" s="569"/>
      <c r="JL713" s="569"/>
      <c r="JM713" s="569"/>
      <c r="JN713" s="569"/>
      <c r="JO713" s="569"/>
      <c r="JP713" s="569"/>
      <c r="JQ713" s="569"/>
      <c r="JR713" s="569"/>
      <c r="JS713" s="569"/>
      <c r="JT713" s="569"/>
      <c r="JU713" s="569"/>
      <c r="JV713" s="569"/>
      <c r="JW713" s="569"/>
      <c r="JX713" s="569"/>
      <c r="JY713" s="569"/>
      <c r="JZ713" s="569"/>
      <c r="KA713" s="569"/>
      <c r="KB713" s="569"/>
      <c r="KC713" s="569"/>
      <c r="KD713" s="569"/>
      <c r="KE713" s="569"/>
      <c r="KF713" s="569"/>
      <c r="KG713" s="569"/>
      <c r="KH713" s="569"/>
      <c r="KI713" s="569"/>
      <c r="KJ713" s="569"/>
      <c r="KK713" s="569"/>
      <c r="KL713" s="569"/>
      <c r="KM713" s="569"/>
      <c r="KN713" s="569"/>
      <c r="KO713" s="569"/>
      <c r="KP713" s="569"/>
      <c r="KQ713" s="569"/>
      <c r="KR713" s="569"/>
      <c r="KS713" s="569"/>
      <c r="KT713" s="569"/>
      <c r="KU713" s="569"/>
      <c r="KV713" s="569"/>
      <c r="KW713" s="569"/>
      <c r="KX713" s="569"/>
      <c r="KY713" s="569"/>
      <c r="KZ713" s="569"/>
      <c r="LA713" s="569"/>
      <c r="LB713" s="569"/>
      <c r="LC713" s="569"/>
      <c r="LD713" s="569"/>
      <c r="LE713" s="569"/>
      <c r="LF713" s="569"/>
      <c r="LG713" s="569"/>
      <c r="LH713" s="569"/>
      <c r="LI713" s="569"/>
      <c r="LJ713" s="569"/>
      <c r="LK713" s="569"/>
      <c r="LL713" s="569"/>
      <c r="LM713" s="569"/>
      <c r="LN713" s="569"/>
      <c r="LO713" s="569"/>
      <c r="LP713" s="569"/>
      <c r="LQ713" s="569"/>
      <c r="LR713" s="569"/>
      <c r="LS713" s="569"/>
      <c r="LT713" s="569"/>
      <c r="LU713" s="569"/>
      <c r="LV713" s="569"/>
      <c r="LW713" s="569"/>
      <c r="LX713" s="569"/>
      <c r="LY713" s="569"/>
      <c r="LZ713" s="569"/>
      <c r="MA713" s="569"/>
      <c r="MB713" s="569"/>
      <c r="MC713" s="569"/>
      <c r="MD713" s="569"/>
      <c r="ME713" s="569"/>
      <c r="MF713" s="569"/>
      <c r="MG713" s="569"/>
      <c r="MH713" s="569"/>
      <c r="MI713" s="569"/>
      <c r="MJ713" s="569"/>
      <c r="MK713" s="569"/>
      <c r="ML713" s="569"/>
      <c r="MM713" s="569"/>
      <c r="MN713" s="569"/>
      <c r="MO713" s="569"/>
      <c r="MP713" s="569"/>
      <c r="MQ713" s="569"/>
      <c r="MR713" s="569"/>
      <c r="MS713" s="569"/>
      <c r="MT713" s="569"/>
      <c r="MU713" s="569"/>
      <c r="MV713" s="569"/>
      <c r="MW713" s="569"/>
      <c r="MX713" s="569"/>
      <c r="MY713" s="569"/>
      <c r="MZ713" s="569"/>
      <c r="NA713" s="569"/>
      <c r="NB713" s="569"/>
      <c r="NC713" s="569"/>
      <c r="ND713" s="569"/>
      <c r="NE713" s="569"/>
      <c r="NF713" s="569"/>
      <c r="NG713" s="569"/>
      <c r="NH713" s="569"/>
      <c r="NI713" s="569"/>
      <c r="NJ713" s="569"/>
      <c r="NK713" s="569"/>
      <c r="NL713" s="569"/>
      <c r="NM713" s="569"/>
      <c r="NN713" s="569"/>
      <c r="NO713" s="569"/>
      <c r="NP713" s="569"/>
      <c r="NQ713" s="569"/>
      <c r="NR713" s="569"/>
      <c r="NS713" s="569"/>
      <c r="NT713" s="569"/>
      <c r="NU713" s="569"/>
      <c r="NV713" s="569"/>
      <c r="NW713" s="569"/>
      <c r="NX713" s="569"/>
      <c r="NY713" s="569"/>
      <c r="NZ713" s="569"/>
      <c r="OA713" s="569"/>
      <c r="OB713" s="569"/>
      <c r="OC713" s="569"/>
      <c r="OD713" s="569"/>
      <c r="OE713" s="569"/>
      <c r="OF713" s="569"/>
      <c r="OG713" s="569"/>
      <c r="OH713" s="569"/>
      <c r="OI713" s="569"/>
      <c r="OJ713" s="569"/>
      <c r="OK713" s="569"/>
      <c r="OL713" s="569"/>
      <c r="OM713" s="569"/>
      <c r="ON713" s="569"/>
      <c r="OO713" s="569"/>
      <c r="OP713" s="569"/>
      <c r="OQ713" s="569"/>
      <c r="OR713" s="569"/>
      <c r="OS713" s="569"/>
      <c r="OT713" s="569"/>
      <c r="OU713" s="569"/>
      <c r="OV713" s="569"/>
      <c r="OW713" s="569"/>
      <c r="OX713" s="569"/>
      <c r="OY713" s="569"/>
      <c r="OZ713" s="569"/>
      <c r="PA713" s="569"/>
      <c r="PB713" s="569"/>
      <c r="PC713" s="569"/>
      <c r="PD713" s="569"/>
      <c r="PE713" s="569"/>
      <c r="PF713" s="569"/>
      <c r="PG713" s="569"/>
      <c r="PH713" s="569"/>
      <c r="PI713" s="569"/>
      <c r="PJ713" s="569"/>
      <c r="PK713" s="569"/>
      <c r="PL713" s="569"/>
      <c r="PM713" s="569"/>
      <c r="PN713" s="569"/>
      <c r="PO713" s="569"/>
      <c r="PP713" s="569"/>
      <c r="PQ713" s="569"/>
      <c r="PR713" s="569"/>
      <c r="PS713" s="569"/>
      <c r="PT713" s="569"/>
      <c r="PU713" s="569"/>
      <c r="PV713" s="569"/>
      <c r="PW713" s="569"/>
      <c r="PX713" s="569"/>
      <c r="PY713" s="569"/>
      <c r="PZ713" s="569"/>
      <c r="QA713" s="569"/>
      <c r="QB713" s="569"/>
      <c r="QC713" s="569"/>
      <c r="QD713" s="569"/>
      <c r="QE713" s="569"/>
      <c r="QF713" s="569"/>
      <c r="QG713" s="569"/>
      <c r="QH713" s="569"/>
      <c r="QI713" s="569"/>
      <c r="QJ713" s="569"/>
      <c r="QK713" s="569"/>
      <c r="QL713" s="569"/>
    </row>
    <row r="714" spans="1:454" ht="60">
      <c r="B714" s="568"/>
      <c r="C714" s="568"/>
      <c r="D714" s="568"/>
      <c r="E714" s="568"/>
      <c r="F714" s="568"/>
      <c r="G714" s="568"/>
      <c r="H714" s="563" t="str">
        <f>'matrik MISI 1'!N78</f>
        <v>Cakupan Meningkatnya prosentase Agroindustri yang Berbasis pada Komoditas Unggulan Daerah</v>
      </c>
      <c r="I714" s="563" t="str">
        <f>'matrik MISI 1'!O78</f>
        <v>%</v>
      </c>
      <c r="J714" s="563">
        <f>'matrik MISI 1'!P78</f>
        <v>54.837478531900011</v>
      </c>
      <c r="K714" s="563">
        <f>'matrik MISI 1'!Q78</f>
        <v>54.837478531900011</v>
      </c>
      <c r="L714" s="563">
        <f>'matrik MISI 1'!R78</f>
        <v>54.87341772151899</v>
      </c>
      <c r="M714" s="604"/>
      <c r="N714" s="563">
        <f>'matrik MISI 1'!S78</f>
        <v>55.242902208201897</v>
      </c>
      <c r="O714" s="564"/>
      <c r="P714" s="563">
        <f>'matrik MISI 1'!T78</f>
        <v>55.283018867924525</v>
      </c>
      <c r="Q714" s="564"/>
      <c r="R714" s="563">
        <f>'matrik MISI 1'!U78</f>
        <v>55.510971786833849</v>
      </c>
      <c r="S714" s="564"/>
      <c r="T714" s="563">
        <f>'matrik MISI 1'!V78</f>
        <v>55.600000000000009</v>
      </c>
      <c r="U714" s="564"/>
      <c r="V714" s="563">
        <f>'matrik MISI 1'!W78</f>
        <v>55.600000000000009</v>
      </c>
      <c r="W714" s="564"/>
      <c r="X714" s="563" t="str">
        <f>'matrik MISI 1'!X78</f>
        <v>DISPERINDAGKOP DAN UMKM</v>
      </c>
      <c r="Y714" s="563" t="str">
        <f>'matrik MISI 1'!Y78</f>
        <v>Jumlah Agroindustri berbasis Komoditas Unggulan daerah dibagi Jumlah Komoditas unggulan Daerah x 100%</v>
      </c>
      <c r="Z714" s="563" t="str">
        <f>'matrik MISI 1'!Z78</f>
        <v>Komoditas Unggulan adalah Tembakau, Kopi , dll (sesuai MP3ET) ditambah Komoditas lain yang ada di analisa IO</v>
      </c>
    </row>
    <row r="715" spans="1:454">
      <c r="G715" s="563"/>
      <c r="H715" s="650"/>
      <c r="I715" s="650"/>
      <c r="J715" s="650"/>
      <c r="K715" s="650"/>
      <c r="L715" s="650"/>
      <c r="M715" s="604"/>
      <c r="N715" s="650"/>
      <c r="O715" s="564"/>
      <c r="P715" s="650"/>
      <c r="Q715" s="564"/>
      <c r="R715" s="650"/>
      <c r="S715" s="564"/>
      <c r="T715" s="650"/>
      <c r="U715" s="564"/>
      <c r="V715" s="650"/>
      <c r="W715" s="564"/>
      <c r="X715" s="650"/>
      <c r="Y715" s="650"/>
      <c r="Z715" s="650"/>
    </row>
    <row r="716" spans="1:454" ht="45">
      <c r="D716" s="568"/>
      <c r="E716" s="568"/>
      <c r="F716" s="568"/>
      <c r="G716" s="568"/>
      <c r="H716" s="563" t="str">
        <f>'matrik MISI 1'!N80</f>
        <v>Persentase Meningkatnya Struktur Industri Berbahan Baku Lokal yang Tangguh</v>
      </c>
      <c r="I716" s="563" t="str">
        <f>'matrik MISI 1'!O80</f>
        <v>%</v>
      </c>
      <c r="J716" s="563">
        <f>'matrik MISI 1'!P80</f>
        <v>99.484765600152656</v>
      </c>
      <c r="K716" s="563">
        <f>'matrik MISI 1'!Q80</f>
        <v>99.548374785318998</v>
      </c>
      <c r="L716" s="563">
        <f>'matrik MISI 1'!R80</f>
        <v>99.620253164556956</v>
      </c>
      <c r="M716" s="604"/>
      <c r="N716" s="563">
        <f>'matrik MISI 1'!S80</f>
        <v>99.684542586750794</v>
      </c>
      <c r="O716" s="564"/>
      <c r="P716" s="563">
        <f>'matrik MISI 1'!T80</f>
        <v>99.685534591194966</v>
      </c>
      <c r="Q716" s="564"/>
      <c r="R716" s="563">
        <f>'matrik MISI 1'!U80</f>
        <v>99.717868338557992</v>
      </c>
      <c r="S716" s="564"/>
      <c r="T716" s="563">
        <f>'matrik MISI 1'!V80</f>
        <v>99.75</v>
      </c>
      <c r="U716" s="564"/>
      <c r="V716" s="563">
        <f>'matrik MISI 1'!W80</f>
        <v>99.75</v>
      </c>
      <c r="W716" s="564"/>
      <c r="X716" s="563" t="str">
        <f>'matrik MISI 1'!X80</f>
        <v>DISPERINDAGKOP DAN UMKM</v>
      </c>
      <c r="Y716" s="563" t="str">
        <f>'matrik MISI 1'!Y80</f>
        <v>Jumlah industri berbahan baku lokal dibagi Jumlah seluruh industri x 100%</v>
      </c>
      <c r="Z716" s="563" t="str">
        <f>'matrik MISI 1'!Z80</f>
        <v>asumsi industri kecil dan menengah 100% lokal dicari bahan baku luar utk industri besar</v>
      </c>
    </row>
    <row r="717" spans="1:454" s="570" customFormat="1">
      <c r="A717" s="569"/>
      <c r="B717" s="571"/>
      <c r="C717" s="572"/>
      <c r="D717" s="573"/>
      <c r="E717" s="573"/>
      <c r="F717" s="573"/>
      <c r="G717" s="573"/>
      <c r="H717" s="573"/>
      <c r="I717" s="573"/>
      <c r="J717" s="573"/>
      <c r="K717" s="573"/>
      <c r="L717" s="573"/>
      <c r="M717" s="604"/>
      <c r="N717" s="573"/>
      <c r="O717" s="564"/>
      <c r="P717" s="573"/>
      <c r="Q717" s="564"/>
      <c r="R717" s="573"/>
      <c r="S717" s="564"/>
      <c r="T717" s="573"/>
      <c r="U717" s="564"/>
      <c r="V717" s="573"/>
      <c r="W717" s="564"/>
      <c r="X717" s="573"/>
      <c r="Y717" s="573"/>
      <c r="Z717" s="573"/>
      <c r="AA717" s="569"/>
      <c r="AB717" s="569"/>
      <c r="AC717" s="569"/>
      <c r="AD717" s="569"/>
      <c r="AE717" s="569"/>
      <c r="AF717" s="569"/>
      <c r="AG717" s="569"/>
      <c r="AH717" s="569"/>
      <c r="AI717" s="569"/>
      <c r="AJ717" s="569"/>
      <c r="AK717" s="569"/>
      <c r="AL717" s="569"/>
      <c r="AM717" s="569"/>
      <c r="AN717" s="569"/>
      <c r="AO717" s="569"/>
      <c r="AP717" s="569"/>
      <c r="AQ717" s="569"/>
      <c r="AR717" s="569"/>
      <c r="AS717" s="569"/>
      <c r="AT717" s="569"/>
      <c r="AU717" s="569"/>
      <c r="AV717" s="569"/>
      <c r="AW717" s="569"/>
      <c r="AX717" s="569"/>
      <c r="AY717" s="569"/>
      <c r="AZ717" s="569"/>
      <c r="BA717" s="569"/>
      <c r="BB717" s="569"/>
      <c r="BC717" s="569"/>
      <c r="BD717" s="569"/>
      <c r="BE717" s="569"/>
      <c r="BF717" s="569"/>
      <c r="BG717" s="569"/>
      <c r="BH717" s="569"/>
      <c r="BI717" s="569"/>
      <c r="BJ717" s="569"/>
      <c r="BK717" s="569"/>
      <c r="BL717" s="569"/>
      <c r="BM717" s="569"/>
      <c r="BN717" s="569"/>
      <c r="BO717" s="569"/>
      <c r="BP717" s="569"/>
      <c r="BQ717" s="569"/>
      <c r="BR717" s="569"/>
      <c r="BS717" s="569"/>
      <c r="BT717" s="569"/>
      <c r="BU717" s="569"/>
      <c r="BV717" s="569"/>
      <c r="BW717" s="569"/>
      <c r="BX717" s="569"/>
      <c r="BY717" s="569"/>
      <c r="BZ717" s="569"/>
      <c r="CA717" s="569"/>
      <c r="CB717" s="569"/>
      <c r="CC717" s="569"/>
      <c r="CD717" s="569"/>
      <c r="CE717" s="569"/>
      <c r="CF717" s="569"/>
      <c r="CG717" s="569"/>
      <c r="CH717" s="569"/>
      <c r="CI717" s="569"/>
      <c r="CJ717" s="569"/>
      <c r="CK717" s="569"/>
      <c r="CL717" s="569"/>
      <c r="CM717" s="569"/>
      <c r="CN717" s="569"/>
      <c r="CO717" s="569"/>
      <c r="CP717" s="569"/>
      <c r="CQ717" s="569"/>
      <c r="CR717" s="569"/>
      <c r="CS717" s="569"/>
      <c r="CT717" s="569"/>
      <c r="CU717" s="569"/>
      <c r="CV717" s="569"/>
      <c r="CW717" s="569"/>
      <c r="CX717" s="569"/>
      <c r="CY717" s="569"/>
      <c r="CZ717" s="569"/>
      <c r="DA717" s="569"/>
      <c r="DB717" s="569"/>
      <c r="DC717" s="569"/>
      <c r="DD717" s="569"/>
      <c r="DE717" s="569"/>
      <c r="DF717" s="569"/>
      <c r="DG717" s="569"/>
      <c r="DH717" s="569"/>
      <c r="DI717" s="569"/>
      <c r="DJ717" s="569"/>
      <c r="DK717" s="569"/>
      <c r="DL717" s="569"/>
      <c r="DM717" s="569"/>
      <c r="DN717" s="569"/>
      <c r="DO717" s="569"/>
      <c r="DP717" s="569"/>
      <c r="DQ717" s="569"/>
      <c r="DR717" s="569"/>
      <c r="DS717" s="569"/>
      <c r="DT717" s="569"/>
      <c r="DU717" s="569"/>
      <c r="DV717" s="569"/>
      <c r="DW717" s="569"/>
      <c r="DX717" s="569"/>
      <c r="DY717" s="569"/>
      <c r="DZ717" s="569"/>
      <c r="EA717" s="569"/>
      <c r="EB717" s="569"/>
      <c r="EC717" s="569"/>
      <c r="ED717" s="569"/>
      <c r="EE717" s="569"/>
      <c r="EF717" s="569"/>
      <c r="EG717" s="569"/>
      <c r="EH717" s="569"/>
      <c r="EI717" s="569"/>
      <c r="EJ717" s="569"/>
      <c r="EK717" s="569"/>
      <c r="EL717" s="569"/>
      <c r="EM717" s="569"/>
      <c r="EN717" s="569"/>
      <c r="EO717" s="569"/>
      <c r="EP717" s="569"/>
      <c r="EQ717" s="569"/>
      <c r="ER717" s="569"/>
      <c r="ES717" s="569"/>
      <c r="ET717" s="569"/>
      <c r="EU717" s="569"/>
      <c r="EV717" s="569"/>
      <c r="EW717" s="569"/>
      <c r="EX717" s="569"/>
      <c r="EY717" s="569"/>
      <c r="EZ717" s="569"/>
      <c r="FA717" s="569"/>
      <c r="FB717" s="569"/>
      <c r="FC717" s="569"/>
      <c r="FD717" s="569"/>
      <c r="FE717" s="569"/>
      <c r="FF717" s="569"/>
      <c r="FG717" s="569"/>
      <c r="FH717" s="569"/>
      <c r="FI717" s="569"/>
      <c r="FJ717" s="569"/>
      <c r="FK717" s="569"/>
      <c r="FL717" s="569"/>
      <c r="FM717" s="569"/>
      <c r="FN717" s="569"/>
      <c r="FO717" s="569"/>
      <c r="FP717" s="569"/>
      <c r="FQ717" s="569"/>
      <c r="FR717" s="569"/>
      <c r="FS717" s="569"/>
      <c r="FT717" s="569"/>
      <c r="FU717" s="569"/>
      <c r="FV717" s="569"/>
      <c r="FW717" s="569"/>
      <c r="FX717" s="569"/>
      <c r="FY717" s="569"/>
      <c r="FZ717" s="569"/>
      <c r="GA717" s="569"/>
      <c r="GB717" s="569"/>
      <c r="GC717" s="569"/>
      <c r="GD717" s="569"/>
      <c r="GE717" s="569"/>
      <c r="GF717" s="569"/>
      <c r="GG717" s="569"/>
      <c r="GH717" s="569"/>
      <c r="GI717" s="569"/>
      <c r="GJ717" s="569"/>
      <c r="GK717" s="569"/>
      <c r="GL717" s="569"/>
      <c r="GM717" s="569"/>
      <c r="GN717" s="569"/>
      <c r="GO717" s="569"/>
      <c r="GP717" s="569"/>
      <c r="GQ717" s="569"/>
      <c r="GR717" s="569"/>
      <c r="GS717" s="569"/>
      <c r="GT717" s="569"/>
      <c r="GU717" s="569"/>
      <c r="GV717" s="569"/>
      <c r="GW717" s="569"/>
      <c r="GX717" s="569"/>
      <c r="GY717" s="569"/>
      <c r="GZ717" s="569"/>
      <c r="HA717" s="569"/>
      <c r="HB717" s="569"/>
      <c r="HC717" s="569"/>
      <c r="HD717" s="569"/>
      <c r="HE717" s="569"/>
      <c r="HF717" s="569"/>
      <c r="HG717" s="569"/>
      <c r="HH717" s="569"/>
      <c r="HI717" s="569"/>
      <c r="HJ717" s="569"/>
      <c r="HK717" s="569"/>
      <c r="HL717" s="569"/>
      <c r="HM717" s="569"/>
      <c r="HN717" s="569"/>
      <c r="HO717" s="569"/>
      <c r="HP717" s="569"/>
      <c r="HQ717" s="569"/>
      <c r="HR717" s="569"/>
      <c r="HS717" s="569"/>
      <c r="HT717" s="569"/>
      <c r="HU717" s="569"/>
      <c r="HV717" s="569"/>
      <c r="HW717" s="569"/>
      <c r="HX717" s="569"/>
      <c r="HY717" s="569"/>
      <c r="HZ717" s="569"/>
      <c r="IA717" s="569"/>
      <c r="IB717" s="569"/>
      <c r="IC717" s="569"/>
      <c r="ID717" s="569"/>
      <c r="IE717" s="569"/>
      <c r="IF717" s="569"/>
      <c r="IG717" s="569"/>
      <c r="IH717" s="569"/>
      <c r="II717" s="569"/>
      <c r="IJ717" s="569"/>
      <c r="IK717" s="569"/>
      <c r="IL717" s="569"/>
      <c r="IM717" s="569"/>
      <c r="IN717" s="569"/>
      <c r="IO717" s="569"/>
      <c r="IP717" s="569"/>
      <c r="IQ717" s="569"/>
      <c r="IR717" s="569"/>
      <c r="IS717" s="569"/>
      <c r="IT717" s="569"/>
      <c r="IU717" s="569"/>
      <c r="IV717" s="569"/>
      <c r="IW717" s="569"/>
      <c r="IX717" s="569"/>
      <c r="IY717" s="569"/>
      <c r="IZ717" s="569"/>
      <c r="JA717" s="569"/>
      <c r="JB717" s="569"/>
      <c r="JC717" s="569"/>
      <c r="JD717" s="569"/>
      <c r="JE717" s="569"/>
      <c r="JF717" s="569"/>
      <c r="JG717" s="569"/>
      <c r="JH717" s="569"/>
      <c r="JI717" s="569"/>
      <c r="JJ717" s="569"/>
      <c r="JK717" s="569"/>
      <c r="JL717" s="569"/>
      <c r="JM717" s="569"/>
      <c r="JN717" s="569"/>
      <c r="JO717" s="569"/>
      <c r="JP717" s="569"/>
      <c r="JQ717" s="569"/>
      <c r="JR717" s="569"/>
      <c r="JS717" s="569"/>
      <c r="JT717" s="569"/>
      <c r="JU717" s="569"/>
      <c r="JV717" s="569"/>
      <c r="JW717" s="569"/>
      <c r="JX717" s="569"/>
      <c r="JY717" s="569"/>
      <c r="JZ717" s="569"/>
      <c r="KA717" s="569"/>
      <c r="KB717" s="569"/>
      <c r="KC717" s="569"/>
      <c r="KD717" s="569"/>
      <c r="KE717" s="569"/>
      <c r="KF717" s="569"/>
      <c r="KG717" s="569"/>
      <c r="KH717" s="569"/>
      <c r="KI717" s="569"/>
      <c r="KJ717" s="569"/>
      <c r="KK717" s="569"/>
      <c r="KL717" s="569"/>
      <c r="KM717" s="569"/>
      <c r="KN717" s="569"/>
      <c r="KO717" s="569"/>
      <c r="KP717" s="569"/>
      <c r="KQ717" s="569"/>
      <c r="KR717" s="569"/>
      <c r="KS717" s="569"/>
      <c r="KT717" s="569"/>
      <c r="KU717" s="569"/>
      <c r="KV717" s="569"/>
      <c r="KW717" s="569"/>
      <c r="KX717" s="569"/>
      <c r="KY717" s="569"/>
      <c r="KZ717" s="569"/>
      <c r="LA717" s="569"/>
      <c r="LB717" s="569"/>
      <c r="LC717" s="569"/>
      <c r="LD717" s="569"/>
      <c r="LE717" s="569"/>
      <c r="LF717" s="569"/>
      <c r="LG717" s="569"/>
      <c r="LH717" s="569"/>
      <c r="LI717" s="569"/>
      <c r="LJ717" s="569"/>
      <c r="LK717" s="569"/>
      <c r="LL717" s="569"/>
      <c r="LM717" s="569"/>
      <c r="LN717" s="569"/>
      <c r="LO717" s="569"/>
      <c r="LP717" s="569"/>
      <c r="LQ717" s="569"/>
      <c r="LR717" s="569"/>
      <c r="LS717" s="569"/>
      <c r="LT717" s="569"/>
      <c r="LU717" s="569"/>
      <c r="LV717" s="569"/>
      <c r="LW717" s="569"/>
      <c r="LX717" s="569"/>
      <c r="LY717" s="569"/>
      <c r="LZ717" s="569"/>
      <c r="MA717" s="569"/>
      <c r="MB717" s="569"/>
      <c r="MC717" s="569"/>
      <c r="MD717" s="569"/>
      <c r="ME717" s="569"/>
      <c r="MF717" s="569"/>
      <c r="MG717" s="569"/>
      <c r="MH717" s="569"/>
      <c r="MI717" s="569"/>
      <c r="MJ717" s="569"/>
      <c r="MK717" s="569"/>
      <c r="ML717" s="569"/>
      <c r="MM717" s="569"/>
      <c r="MN717" s="569"/>
      <c r="MO717" s="569"/>
      <c r="MP717" s="569"/>
      <c r="MQ717" s="569"/>
      <c r="MR717" s="569"/>
      <c r="MS717" s="569"/>
      <c r="MT717" s="569"/>
      <c r="MU717" s="569"/>
      <c r="MV717" s="569"/>
      <c r="MW717" s="569"/>
      <c r="MX717" s="569"/>
      <c r="MY717" s="569"/>
      <c r="MZ717" s="569"/>
      <c r="NA717" s="569"/>
      <c r="NB717" s="569"/>
      <c r="NC717" s="569"/>
      <c r="ND717" s="569"/>
      <c r="NE717" s="569"/>
      <c r="NF717" s="569"/>
      <c r="NG717" s="569"/>
      <c r="NH717" s="569"/>
      <c r="NI717" s="569"/>
      <c r="NJ717" s="569"/>
      <c r="NK717" s="569"/>
      <c r="NL717" s="569"/>
      <c r="NM717" s="569"/>
      <c r="NN717" s="569"/>
      <c r="NO717" s="569"/>
      <c r="NP717" s="569"/>
      <c r="NQ717" s="569"/>
      <c r="NR717" s="569"/>
      <c r="NS717" s="569"/>
      <c r="NT717" s="569"/>
      <c r="NU717" s="569"/>
      <c r="NV717" s="569"/>
      <c r="NW717" s="569"/>
      <c r="NX717" s="569"/>
      <c r="NY717" s="569"/>
      <c r="NZ717" s="569"/>
      <c r="OA717" s="569"/>
      <c r="OB717" s="569"/>
      <c r="OC717" s="569"/>
      <c r="OD717" s="569"/>
      <c r="OE717" s="569"/>
      <c r="OF717" s="569"/>
      <c r="OG717" s="569"/>
      <c r="OH717" s="569"/>
      <c r="OI717" s="569"/>
      <c r="OJ717" s="569"/>
      <c r="OK717" s="569"/>
      <c r="OL717" s="569"/>
      <c r="OM717" s="569"/>
      <c r="ON717" s="569"/>
      <c r="OO717" s="569"/>
      <c r="OP717" s="569"/>
      <c r="OQ717" s="569"/>
      <c r="OR717" s="569"/>
      <c r="OS717" s="569"/>
      <c r="OT717" s="569"/>
      <c r="OU717" s="569"/>
      <c r="OV717" s="569"/>
      <c r="OW717" s="569"/>
      <c r="OX717" s="569"/>
      <c r="OY717" s="569"/>
      <c r="OZ717" s="569"/>
      <c r="PA717" s="569"/>
      <c r="PB717" s="569"/>
      <c r="PC717" s="569"/>
      <c r="PD717" s="569"/>
      <c r="PE717" s="569"/>
      <c r="PF717" s="569"/>
      <c r="PG717" s="569"/>
      <c r="PH717" s="569"/>
      <c r="PI717" s="569"/>
      <c r="PJ717" s="569"/>
      <c r="PK717" s="569"/>
      <c r="PL717" s="569"/>
      <c r="PM717" s="569"/>
      <c r="PN717" s="569"/>
      <c r="PO717" s="569"/>
      <c r="PP717" s="569"/>
      <c r="PQ717" s="569"/>
      <c r="PR717" s="569"/>
      <c r="PS717" s="569"/>
      <c r="PT717" s="569"/>
      <c r="PU717" s="569"/>
      <c r="PV717" s="569"/>
      <c r="PW717" s="569"/>
      <c r="PX717" s="569"/>
      <c r="PY717" s="569"/>
      <c r="PZ717" s="569"/>
      <c r="QA717" s="569"/>
      <c r="QB717" s="569"/>
      <c r="QC717" s="569"/>
      <c r="QD717" s="569"/>
      <c r="QE717" s="569"/>
      <c r="QF717" s="569"/>
      <c r="QG717" s="569"/>
      <c r="QH717" s="569"/>
      <c r="QI717" s="569"/>
      <c r="QJ717" s="569"/>
      <c r="QK717" s="569"/>
      <c r="QL717" s="569"/>
    </row>
    <row r="718" spans="1:454" s="574" customFormat="1" ht="30">
      <c r="A718" s="569"/>
      <c r="B718" s="575">
        <v>8</v>
      </c>
      <c r="C718" s="576" t="str">
        <f>'matrik MISI 2'!B52</f>
        <v>TRANSMIGRASI</v>
      </c>
      <c r="D718" s="577">
        <f>'matrik MISI 2'!J53</f>
        <v>2.08</v>
      </c>
      <c r="E718" s="577" t="str">
        <f>'matrik MISI 2'!K53</f>
        <v>xx</v>
      </c>
      <c r="F718" s="577">
        <f>'matrik MISI 2'!L53</f>
        <v>15</v>
      </c>
      <c r="G718" s="577" t="str">
        <f>'matrik MISI 2'!M53</f>
        <v>Program Pengembangan Wilayah Transmigrasi</v>
      </c>
      <c r="H718" s="577"/>
      <c r="I718" s="577"/>
      <c r="J718" s="577"/>
      <c r="K718" s="577"/>
      <c r="L718" s="577"/>
      <c r="M718" s="578">
        <f>'jangan dihapus 2'!K725</f>
        <v>99789000</v>
      </c>
      <c r="N718" s="577"/>
      <c r="O718" s="578">
        <f>'jangan dihapus 2'!M725</f>
        <v>150000000</v>
      </c>
      <c r="P718" s="577"/>
      <c r="Q718" s="578">
        <f>'jangan dihapus 2'!O725</f>
        <v>200000000</v>
      </c>
      <c r="R718" s="577"/>
      <c r="S718" s="578">
        <f>'jangan dihapus 2'!Q725</f>
        <v>250000000</v>
      </c>
      <c r="T718" s="577"/>
      <c r="U718" s="578">
        <f>'jangan dihapus 2'!S725</f>
        <v>300000000</v>
      </c>
      <c r="V718" s="577"/>
      <c r="W718" s="578">
        <f>SUM(M718:U718)</f>
        <v>999789000</v>
      </c>
      <c r="X718" s="577"/>
      <c r="Y718" s="577"/>
      <c r="Z718" s="577"/>
      <c r="AA718" s="569"/>
      <c r="AB718" s="569"/>
      <c r="AC718" s="569"/>
      <c r="AD718" s="569"/>
      <c r="AE718" s="569"/>
      <c r="AF718" s="569"/>
      <c r="AG718" s="569"/>
      <c r="AH718" s="569"/>
      <c r="AI718" s="569"/>
      <c r="AJ718" s="569"/>
      <c r="AK718" s="569"/>
      <c r="AL718" s="569"/>
      <c r="AM718" s="569"/>
      <c r="AN718" s="569"/>
      <c r="AO718" s="569"/>
      <c r="AP718" s="569"/>
      <c r="AQ718" s="569"/>
      <c r="AR718" s="569"/>
      <c r="AS718" s="569"/>
      <c r="AT718" s="569"/>
      <c r="AU718" s="569"/>
      <c r="AV718" s="569"/>
      <c r="AW718" s="569"/>
      <c r="AX718" s="569"/>
      <c r="AY718" s="569"/>
      <c r="AZ718" s="569"/>
      <c r="BA718" s="569"/>
      <c r="BB718" s="569"/>
      <c r="BC718" s="569"/>
      <c r="BD718" s="569"/>
      <c r="BE718" s="569"/>
      <c r="BF718" s="569"/>
      <c r="BG718" s="569"/>
      <c r="BH718" s="569"/>
      <c r="BI718" s="569"/>
      <c r="BJ718" s="569"/>
      <c r="BK718" s="569"/>
      <c r="BL718" s="569"/>
      <c r="BM718" s="569"/>
      <c r="BN718" s="569"/>
      <c r="BO718" s="569"/>
      <c r="BP718" s="569"/>
      <c r="BQ718" s="569"/>
      <c r="BR718" s="569"/>
      <c r="BS718" s="569"/>
      <c r="BT718" s="569"/>
      <c r="BU718" s="569"/>
      <c r="BV718" s="569"/>
      <c r="BW718" s="569"/>
      <c r="BX718" s="569"/>
      <c r="BY718" s="569"/>
      <c r="BZ718" s="569"/>
      <c r="CA718" s="569"/>
      <c r="CB718" s="569"/>
      <c r="CC718" s="569"/>
      <c r="CD718" s="569"/>
      <c r="CE718" s="569"/>
      <c r="CF718" s="569"/>
      <c r="CG718" s="569"/>
      <c r="CH718" s="569"/>
      <c r="CI718" s="569"/>
      <c r="CJ718" s="569"/>
      <c r="CK718" s="569"/>
      <c r="CL718" s="569"/>
      <c r="CM718" s="569"/>
      <c r="CN718" s="569"/>
      <c r="CO718" s="569"/>
      <c r="CP718" s="569"/>
      <c r="CQ718" s="569"/>
      <c r="CR718" s="569"/>
      <c r="CS718" s="569"/>
      <c r="CT718" s="569"/>
      <c r="CU718" s="569"/>
      <c r="CV718" s="569"/>
      <c r="CW718" s="569"/>
      <c r="CX718" s="569"/>
      <c r="CY718" s="569"/>
      <c r="CZ718" s="569"/>
      <c r="DA718" s="569"/>
      <c r="DB718" s="569"/>
      <c r="DC718" s="569"/>
      <c r="DD718" s="569"/>
      <c r="DE718" s="569"/>
      <c r="DF718" s="569"/>
      <c r="DG718" s="569"/>
      <c r="DH718" s="569"/>
      <c r="DI718" s="569"/>
      <c r="DJ718" s="569"/>
      <c r="DK718" s="569"/>
      <c r="DL718" s="569"/>
      <c r="DM718" s="569"/>
      <c r="DN718" s="569"/>
      <c r="DO718" s="569"/>
      <c r="DP718" s="569"/>
      <c r="DQ718" s="569"/>
      <c r="DR718" s="569"/>
      <c r="DS718" s="569"/>
      <c r="DT718" s="569"/>
      <c r="DU718" s="569"/>
      <c r="DV718" s="569"/>
      <c r="DW718" s="569"/>
      <c r="DX718" s="569"/>
      <c r="DY718" s="569"/>
      <c r="DZ718" s="569"/>
      <c r="EA718" s="569"/>
      <c r="EB718" s="569"/>
      <c r="EC718" s="569"/>
      <c r="ED718" s="569"/>
      <c r="EE718" s="569"/>
      <c r="EF718" s="569"/>
      <c r="EG718" s="569"/>
      <c r="EH718" s="569"/>
      <c r="EI718" s="569"/>
      <c r="EJ718" s="569"/>
      <c r="EK718" s="569"/>
      <c r="EL718" s="569"/>
      <c r="EM718" s="569"/>
      <c r="EN718" s="569"/>
      <c r="EO718" s="569"/>
      <c r="EP718" s="569"/>
      <c r="EQ718" s="569"/>
      <c r="ER718" s="569"/>
      <c r="ES718" s="569"/>
      <c r="ET718" s="569"/>
      <c r="EU718" s="569"/>
      <c r="EV718" s="569"/>
      <c r="EW718" s="569"/>
      <c r="EX718" s="569"/>
      <c r="EY718" s="569"/>
      <c r="EZ718" s="569"/>
      <c r="FA718" s="569"/>
      <c r="FB718" s="569"/>
      <c r="FC718" s="569"/>
      <c r="FD718" s="569"/>
      <c r="FE718" s="569"/>
      <c r="FF718" s="569"/>
      <c r="FG718" s="569"/>
      <c r="FH718" s="569"/>
      <c r="FI718" s="569"/>
      <c r="FJ718" s="569"/>
      <c r="FK718" s="569"/>
      <c r="FL718" s="569"/>
      <c r="FM718" s="569"/>
      <c r="FN718" s="569"/>
      <c r="FO718" s="569"/>
      <c r="FP718" s="569"/>
      <c r="FQ718" s="569"/>
      <c r="FR718" s="569"/>
      <c r="FS718" s="569"/>
      <c r="FT718" s="569"/>
      <c r="FU718" s="569"/>
      <c r="FV718" s="569"/>
      <c r="FW718" s="569"/>
      <c r="FX718" s="569"/>
      <c r="FY718" s="569"/>
      <c r="FZ718" s="569"/>
      <c r="GA718" s="569"/>
      <c r="GB718" s="569"/>
      <c r="GC718" s="569"/>
      <c r="GD718" s="569"/>
      <c r="GE718" s="569"/>
      <c r="GF718" s="569"/>
      <c r="GG718" s="569"/>
      <c r="GH718" s="569"/>
      <c r="GI718" s="569"/>
      <c r="GJ718" s="569"/>
      <c r="GK718" s="569"/>
      <c r="GL718" s="569"/>
      <c r="GM718" s="569"/>
      <c r="GN718" s="569"/>
      <c r="GO718" s="569"/>
      <c r="GP718" s="569"/>
      <c r="GQ718" s="569"/>
      <c r="GR718" s="569"/>
      <c r="GS718" s="569"/>
      <c r="GT718" s="569"/>
      <c r="GU718" s="569"/>
      <c r="GV718" s="569"/>
      <c r="GW718" s="569"/>
      <c r="GX718" s="569"/>
      <c r="GY718" s="569"/>
      <c r="GZ718" s="569"/>
      <c r="HA718" s="569"/>
      <c r="HB718" s="569"/>
      <c r="HC718" s="569"/>
      <c r="HD718" s="569"/>
      <c r="HE718" s="569"/>
      <c r="HF718" s="569"/>
      <c r="HG718" s="569"/>
      <c r="HH718" s="569"/>
      <c r="HI718" s="569"/>
      <c r="HJ718" s="569"/>
      <c r="HK718" s="569"/>
      <c r="HL718" s="569"/>
      <c r="HM718" s="569"/>
      <c r="HN718" s="569"/>
      <c r="HO718" s="569"/>
      <c r="HP718" s="569"/>
      <c r="HQ718" s="569"/>
      <c r="HR718" s="569"/>
      <c r="HS718" s="569"/>
      <c r="HT718" s="569"/>
      <c r="HU718" s="569"/>
      <c r="HV718" s="569"/>
      <c r="HW718" s="569"/>
      <c r="HX718" s="569"/>
      <c r="HY718" s="569"/>
      <c r="HZ718" s="569"/>
      <c r="IA718" s="569"/>
      <c r="IB718" s="569"/>
      <c r="IC718" s="569"/>
      <c r="ID718" s="569"/>
      <c r="IE718" s="569"/>
      <c r="IF718" s="569"/>
      <c r="IG718" s="569"/>
      <c r="IH718" s="569"/>
      <c r="II718" s="569"/>
      <c r="IJ718" s="569"/>
      <c r="IK718" s="569"/>
      <c r="IL718" s="569"/>
      <c r="IM718" s="569"/>
      <c r="IN718" s="569"/>
      <c r="IO718" s="569"/>
      <c r="IP718" s="569"/>
      <c r="IQ718" s="569"/>
      <c r="IR718" s="569"/>
      <c r="IS718" s="569"/>
      <c r="IT718" s="569"/>
      <c r="IU718" s="569"/>
      <c r="IV718" s="569"/>
      <c r="IW718" s="569"/>
      <c r="IX718" s="569"/>
      <c r="IY718" s="569"/>
      <c r="IZ718" s="569"/>
      <c r="JA718" s="569"/>
      <c r="JB718" s="569"/>
      <c r="JC718" s="569"/>
      <c r="JD718" s="569"/>
      <c r="JE718" s="569"/>
      <c r="JF718" s="569"/>
      <c r="JG718" s="569"/>
      <c r="JH718" s="569"/>
      <c r="JI718" s="569"/>
      <c r="JJ718" s="569"/>
      <c r="JK718" s="569"/>
      <c r="JL718" s="569"/>
      <c r="JM718" s="569"/>
      <c r="JN718" s="569"/>
      <c r="JO718" s="569"/>
      <c r="JP718" s="569"/>
      <c r="JQ718" s="569"/>
      <c r="JR718" s="569"/>
      <c r="JS718" s="569"/>
      <c r="JT718" s="569"/>
      <c r="JU718" s="569"/>
      <c r="JV718" s="569"/>
      <c r="JW718" s="569"/>
      <c r="JX718" s="569"/>
      <c r="JY718" s="569"/>
      <c r="JZ718" s="569"/>
      <c r="KA718" s="569"/>
      <c r="KB718" s="569"/>
      <c r="KC718" s="569"/>
      <c r="KD718" s="569"/>
      <c r="KE718" s="569"/>
      <c r="KF718" s="569"/>
      <c r="KG718" s="569"/>
      <c r="KH718" s="569"/>
      <c r="KI718" s="569"/>
      <c r="KJ718" s="569"/>
      <c r="KK718" s="569"/>
      <c r="KL718" s="569"/>
      <c r="KM718" s="569"/>
      <c r="KN718" s="569"/>
      <c r="KO718" s="569"/>
      <c r="KP718" s="569"/>
      <c r="KQ718" s="569"/>
      <c r="KR718" s="569"/>
      <c r="KS718" s="569"/>
      <c r="KT718" s="569"/>
      <c r="KU718" s="569"/>
      <c r="KV718" s="569"/>
      <c r="KW718" s="569"/>
      <c r="KX718" s="569"/>
      <c r="KY718" s="569"/>
      <c r="KZ718" s="569"/>
      <c r="LA718" s="569"/>
      <c r="LB718" s="569"/>
      <c r="LC718" s="569"/>
      <c r="LD718" s="569"/>
      <c r="LE718" s="569"/>
      <c r="LF718" s="569"/>
      <c r="LG718" s="569"/>
      <c r="LH718" s="569"/>
      <c r="LI718" s="569"/>
      <c r="LJ718" s="569"/>
      <c r="LK718" s="569"/>
      <c r="LL718" s="569"/>
      <c r="LM718" s="569"/>
      <c r="LN718" s="569"/>
      <c r="LO718" s="569"/>
      <c r="LP718" s="569"/>
      <c r="LQ718" s="569"/>
      <c r="LR718" s="569"/>
      <c r="LS718" s="569"/>
      <c r="LT718" s="569"/>
      <c r="LU718" s="569"/>
      <c r="LV718" s="569"/>
      <c r="LW718" s="569"/>
      <c r="LX718" s="569"/>
      <c r="LY718" s="569"/>
      <c r="LZ718" s="569"/>
      <c r="MA718" s="569"/>
      <c r="MB718" s="569"/>
      <c r="MC718" s="569"/>
      <c r="MD718" s="569"/>
      <c r="ME718" s="569"/>
      <c r="MF718" s="569"/>
      <c r="MG718" s="569"/>
      <c r="MH718" s="569"/>
      <c r="MI718" s="569"/>
      <c r="MJ718" s="569"/>
      <c r="MK718" s="569"/>
      <c r="ML718" s="569"/>
      <c r="MM718" s="569"/>
      <c r="MN718" s="569"/>
      <c r="MO718" s="569"/>
      <c r="MP718" s="569"/>
      <c r="MQ718" s="569"/>
      <c r="MR718" s="569"/>
      <c r="MS718" s="569"/>
      <c r="MT718" s="569"/>
      <c r="MU718" s="569"/>
      <c r="MV718" s="569"/>
      <c r="MW718" s="569"/>
      <c r="MX718" s="569"/>
      <c r="MY718" s="569"/>
      <c r="MZ718" s="569"/>
      <c r="NA718" s="569"/>
      <c r="NB718" s="569"/>
      <c r="NC718" s="569"/>
      <c r="ND718" s="569"/>
      <c r="NE718" s="569"/>
      <c r="NF718" s="569"/>
      <c r="NG718" s="569"/>
      <c r="NH718" s="569"/>
      <c r="NI718" s="569"/>
      <c r="NJ718" s="569"/>
      <c r="NK718" s="569"/>
      <c r="NL718" s="569"/>
      <c r="NM718" s="569"/>
      <c r="NN718" s="569"/>
      <c r="NO718" s="569"/>
      <c r="NP718" s="569"/>
      <c r="NQ718" s="569"/>
      <c r="NR718" s="569"/>
      <c r="NS718" s="569"/>
      <c r="NT718" s="569"/>
      <c r="NU718" s="569"/>
      <c r="NV718" s="569"/>
      <c r="NW718" s="569"/>
      <c r="NX718" s="569"/>
      <c r="NY718" s="569"/>
      <c r="NZ718" s="569"/>
      <c r="OA718" s="569"/>
      <c r="OB718" s="569"/>
      <c r="OC718" s="569"/>
      <c r="OD718" s="569"/>
      <c r="OE718" s="569"/>
      <c r="OF718" s="569"/>
      <c r="OG718" s="569"/>
      <c r="OH718" s="569"/>
      <c r="OI718" s="569"/>
      <c r="OJ718" s="569"/>
      <c r="OK718" s="569"/>
      <c r="OL718" s="569"/>
      <c r="OM718" s="569"/>
      <c r="ON718" s="569"/>
      <c r="OO718" s="569"/>
      <c r="OP718" s="569"/>
      <c r="OQ718" s="569"/>
      <c r="OR718" s="569"/>
      <c r="OS718" s="569"/>
      <c r="OT718" s="569"/>
      <c r="OU718" s="569"/>
      <c r="OV718" s="569"/>
      <c r="OW718" s="569"/>
      <c r="OX718" s="569"/>
      <c r="OY718" s="569"/>
      <c r="OZ718" s="569"/>
      <c r="PA718" s="569"/>
      <c r="PB718" s="569"/>
      <c r="PC718" s="569"/>
      <c r="PD718" s="569"/>
      <c r="PE718" s="569"/>
      <c r="PF718" s="569"/>
      <c r="PG718" s="569"/>
      <c r="PH718" s="569"/>
      <c r="PI718" s="569"/>
      <c r="PJ718" s="569"/>
      <c r="PK718" s="569"/>
      <c r="PL718" s="569"/>
      <c r="PM718" s="569"/>
      <c r="PN718" s="569"/>
      <c r="PO718" s="569"/>
      <c r="PP718" s="569"/>
      <c r="PQ718" s="569"/>
      <c r="PR718" s="569"/>
      <c r="PS718" s="569"/>
      <c r="PT718" s="569"/>
      <c r="PU718" s="569"/>
      <c r="PV718" s="569"/>
      <c r="PW718" s="569"/>
      <c r="PX718" s="569"/>
      <c r="PY718" s="569"/>
      <c r="PZ718" s="569"/>
      <c r="QA718" s="569"/>
      <c r="QB718" s="569"/>
      <c r="QC718" s="569"/>
      <c r="QD718" s="569"/>
      <c r="QE718" s="569"/>
      <c r="QF718" s="569"/>
      <c r="QG718" s="569"/>
      <c r="QH718" s="569"/>
      <c r="QI718" s="569"/>
      <c r="QJ718" s="569"/>
      <c r="QK718" s="569"/>
      <c r="QL718" s="569"/>
    </row>
    <row r="719" spans="1:454" ht="30">
      <c r="B719" s="568"/>
      <c r="C719" s="568"/>
      <c r="D719" s="568"/>
      <c r="E719" s="568"/>
      <c r="F719" s="568"/>
      <c r="G719" s="568"/>
      <c r="H719" s="563" t="str">
        <f>'matrik MISI 2'!N53</f>
        <v>Persentase Penempatan Transmigran</v>
      </c>
      <c r="I719" s="563" t="str">
        <f>'matrik MISI 2'!O53</f>
        <v>%</v>
      </c>
      <c r="J719" s="563">
        <f>'matrik MISI 2'!P53</f>
        <v>80</v>
      </c>
      <c r="K719" s="563">
        <f>'matrik MISI 2'!Q53</f>
        <v>80</v>
      </c>
      <c r="L719" s="563">
        <f>'matrik MISI 2'!R53</f>
        <v>80</v>
      </c>
      <c r="M719" s="604"/>
      <c r="N719" s="563">
        <f>'matrik MISI 2'!S53</f>
        <v>80</v>
      </c>
      <c r="O719" s="564"/>
      <c r="P719" s="563">
        <f>'matrik MISI 2'!T53</f>
        <v>80</v>
      </c>
      <c r="Q719" s="564"/>
      <c r="R719" s="563">
        <f>'matrik MISI 2'!U53</f>
        <v>80</v>
      </c>
      <c r="S719" s="564"/>
      <c r="T719" s="563">
        <f>'matrik MISI 2'!V53</f>
        <v>80</v>
      </c>
      <c r="U719" s="564"/>
      <c r="V719" s="563">
        <f>'matrik MISI 2'!W53</f>
        <v>80</v>
      </c>
      <c r="W719" s="564"/>
      <c r="X719" s="563" t="str">
        <f>'matrik MISI 2'!X53</f>
        <v>Disnakertran</v>
      </c>
      <c r="Y719" s="563" t="str">
        <f>'matrik MISI 2'!Y53</f>
        <v xml:space="preserve">Jumlah transmigran yang ditempatkan dibagi jumlah calon transmigran X 100 </v>
      </c>
      <c r="Z719" s="563">
        <f>'matrik MISI 2'!Z53</f>
        <v>0</v>
      </c>
    </row>
    <row r="720" spans="1:454" s="570" customFormat="1">
      <c r="A720" s="569"/>
      <c r="B720" s="571"/>
      <c r="C720" s="572"/>
      <c r="D720" s="573"/>
      <c r="E720" s="573"/>
      <c r="F720" s="573"/>
      <c r="G720" s="571"/>
      <c r="H720" s="571"/>
      <c r="I720" s="571"/>
      <c r="J720" s="580"/>
      <c r="K720" s="580"/>
      <c r="L720" s="580"/>
      <c r="M720" s="606"/>
      <c r="N720" s="580"/>
      <c r="O720" s="581"/>
      <c r="P720" s="580"/>
      <c r="Q720" s="581"/>
      <c r="R720" s="580"/>
      <c r="S720" s="581"/>
      <c r="T720" s="580"/>
      <c r="U720" s="581"/>
      <c r="V720" s="580"/>
      <c r="W720" s="581"/>
      <c r="X720" s="571"/>
      <c r="Y720" s="580"/>
      <c r="Z720" s="580"/>
      <c r="AA720" s="569"/>
      <c r="AB720" s="569"/>
      <c r="AC720" s="569"/>
      <c r="AD720" s="569"/>
      <c r="AE720" s="569"/>
      <c r="AF720" s="569"/>
      <c r="AG720" s="569"/>
      <c r="AH720" s="569"/>
      <c r="AI720" s="569"/>
      <c r="AJ720" s="569"/>
      <c r="AK720" s="569"/>
      <c r="AL720" s="569"/>
      <c r="AM720" s="569"/>
      <c r="AN720" s="569"/>
      <c r="AO720" s="569"/>
      <c r="AP720" s="569"/>
      <c r="AQ720" s="569"/>
      <c r="AR720" s="569"/>
      <c r="AS720" s="569"/>
      <c r="AT720" s="569"/>
      <c r="AU720" s="569"/>
      <c r="AV720" s="569"/>
      <c r="AW720" s="569"/>
      <c r="AX720" s="569"/>
      <c r="AY720" s="569"/>
      <c r="AZ720" s="569"/>
      <c r="BA720" s="569"/>
      <c r="BB720" s="569"/>
      <c r="BC720" s="569"/>
      <c r="BD720" s="569"/>
      <c r="BE720" s="569"/>
      <c r="BF720" s="569"/>
      <c r="BG720" s="569"/>
      <c r="BH720" s="569"/>
      <c r="BI720" s="569"/>
      <c r="BJ720" s="569"/>
      <c r="BK720" s="569"/>
      <c r="BL720" s="569"/>
      <c r="BM720" s="569"/>
      <c r="BN720" s="569"/>
      <c r="BO720" s="569"/>
      <c r="BP720" s="569"/>
      <c r="BQ720" s="569"/>
      <c r="BR720" s="569"/>
      <c r="BS720" s="569"/>
      <c r="BT720" s="569"/>
      <c r="BU720" s="569"/>
      <c r="BV720" s="569"/>
      <c r="BW720" s="569"/>
      <c r="BX720" s="569"/>
      <c r="BY720" s="569"/>
      <c r="BZ720" s="569"/>
      <c r="CA720" s="569"/>
      <c r="CB720" s="569"/>
      <c r="CC720" s="569"/>
      <c r="CD720" s="569"/>
      <c r="CE720" s="569"/>
      <c r="CF720" s="569"/>
      <c r="CG720" s="569"/>
      <c r="CH720" s="569"/>
      <c r="CI720" s="569"/>
      <c r="CJ720" s="569"/>
      <c r="CK720" s="569"/>
      <c r="CL720" s="569"/>
      <c r="CM720" s="569"/>
      <c r="CN720" s="569"/>
      <c r="CO720" s="569"/>
      <c r="CP720" s="569"/>
      <c r="CQ720" s="569"/>
      <c r="CR720" s="569"/>
      <c r="CS720" s="569"/>
      <c r="CT720" s="569"/>
      <c r="CU720" s="569"/>
      <c r="CV720" s="569"/>
      <c r="CW720" s="569"/>
      <c r="CX720" s="569"/>
      <c r="CY720" s="569"/>
      <c r="CZ720" s="569"/>
      <c r="DA720" s="569"/>
      <c r="DB720" s="569"/>
      <c r="DC720" s="569"/>
      <c r="DD720" s="569"/>
      <c r="DE720" s="569"/>
      <c r="DF720" s="569"/>
      <c r="DG720" s="569"/>
      <c r="DH720" s="569"/>
      <c r="DI720" s="569"/>
      <c r="DJ720" s="569"/>
      <c r="DK720" s="569"/>
      <c r="DL720" s="569"/>
      <c r="DM720" s="569"/>
      <c r="DN720" s="569"/>
      <c r="DO720" s="569"/>
      <c r="DP720" s="569"/>
      <c r="DQ720" s="569"/>
      <c r="DR720" s="569"/>
      <c r="DS720" s="569"/>
      <c r="DT720" s="569"/>
      <c r="DU720" s="569"/>
      <c r="DV720" s="569"/>
      <c r="DW720" s="569"/>
      <c r="DX720" s="569"/>
      <c r="DY720" s="569"/>
      <c r="DZ720" s="569"/>
      <c r="EA720" s="569"/>
      <c r="EB720" s="569"/>
      <c r="EC720" s="569"/>
      <c r="ED720" s="569"/>
      <c r="EE720" s="569"/>
      <c r="EF720" s="569"/>
      <c r="EG720" s="569"/>
      <c r="EH720" s="569"/>
      <c r="EI720" s="569"/>
      <c r="EJ720" s="569"/>
      <c r="EK720" s="569"/>
      <c r="EL720" s="569"/>
      <c r="EM720" s="569"/>
      <c r="EN720" s="569"/>
      <c r="EO720" s="569"/>
      <c r="EP720" s="569"/>
      <c r="EQ720" s="569"/>
      <c r="ER720" s="569"/>
      <c r="ES720" s="569"/>
      <c r="ET720" s="569"/>
      <c r="EU720" s="569"/>
      <c r="EV720" s="569"/>
      <c r="EW720" s="569"/>
      <c r="EX720" s="569"/>
      <c r="EY720" s="569"/>
      <c r="EZ720" s="569"/>
      <c r="FA720" s="569"/>
      <c r="FB720" s="569"/>
      <c r="FC720" s="569"/>
      <c r="FD720" s="569"/>
      <c r="FE720" s="569"/>
      <c r="FF720" s="569"/>
      <c r="FG720" s="569"/>
      <c r="FH720" s="569"/>
      <c r="FI720" s="569"/>
      <c r="FJ720" s="569"/>
      <c r="FK720" s="569"/>
      <c r="FL720" s="569"/>
      <c r="FM720" s="569"/>
      <c r="FN720" s="569"/>
      <c r="FO720" s="569"/>
      <c r="FP720" s="569"/>
      <c r="FQ720" s="569"/>
      <c r="FR720" s="569"/>
      <c r="FS720" s="569"/>
      <c r="FT720" s="569"/>
      <c r="FU720" s="569"/>
      <c r="FV720" s="569"/>
      <c r="FW720" s="569"/>
      <c r="FX720" s="569"/>
      <c r="FY720" s="569"/>
      <c r="FZ720" s="569"/>
      <c r="GA720" s="569"/>
      <c r="GB720" s="569"/>
      <c r="GC720" s="569"/>
      <c r="GD720" s="569"/>
      <c r="GE720" s="569"/>
      <c r="GF720" s="569"/>
      <c r="GG720" s="569"/>
      <c r="GH720" s="569"/>
      <c r="GI720" s="569"/>
      <c r="GJ720" s="569"/>
      <c r="GK720" s="569"/>
      <c r="GL720" s="569"/>
      <c r="GM720" s="569"/>
      <c r="GN720" s="569"/>
      <c r="GO720" s="569"/>
      <c r="GP720" s="569"/>
      <c r="GQ720" s="569"/>
      <c r="GR720" s="569"/>
      <c r="GS720" s="569"/>
      <c r="GT720" s="569"/>
      <c r="GU720" s="569"/>
      <c r="GV720" s="569"/>
      <c r="GW720" s="569"/>
      <c r="GX720" s="569"/>
      <c r="GY720" s="569"/>
      <c r="GZ720" s="569"/>
      <c r="HA720" s="569"/>
      <c r="HB720" s="569"/>
      <c r="HC720" s="569"/>
      <c r="HD720" s="569"/>
      <c r="HE720" s="569"/>
      <c r="HF720" s="569"/>
      <c r="HG720" s="569"/>
      <c r="HH720" s="569"/>
      <c r="HI720" s="569"/>
      <c r="HJ720" s="569"/>
      <c r="HK720" s="569"/>
      <c r="HL720" s="569"/>
      <c r="HM720" s="569"/>
      <c r="HN720" s="569"/>
      <c r="HO720" s="569"/>
      <c r="HP720" s="569"/>
      <c r="HQ720" s="569"/>
      <c r="HR720" s="569"/>
      <c r="HS720" s="569"/>
      <c r="HT720" s="569"/>
      <c r="HU720" s="569"/>
      <c r="HV720" s="569"/>
      <c r="HW720" s="569"/>
      <c r="HX720" s="569"/>
      <c r="HY720" s="569"/>
      <c r="HZ720" s="569"/>
      <c r="IA720" s="569"/>
      <c r="IB720" s="569"/>
      <c r="IC720" s="569"/>
      <c r="ID720" s="569"/>
      <c r="IE720" s="569"/>
      <c r="IF720" s="569"/>
      <c r="IG720" s="569"/>
      <c r="IH720" s="569"/>
      <c r="II720" s="569"/>
      <c r="IJ720" s="569"/>
      <c r="IK720" s="569"/>
      <c r="IL720" s="569"/>
      <c r="IM720" s="569"/>
      <c r="IN720" s="569"/>
      <c r="IO720" s="569"/>
      <c r="IP720" s="569"/>
      <c r="IQ720" s="569"/>
      <c r="IR720" s="569"/>
      <c r="IS720" s="569"/>
      <c r="IT720" s="569"/>
      <c r="IU720" s="569"/>
      <c r="IV720" s="569"/>
      <c r="IW720" s="569"/>
      <c r="IX720" s="569"/>
      <c r="IY720" s="569"/>
      <c r="IZ720" s="569"/>
      <c r="JA720" s="569"/>
      <c r="JB720" s="569"/>
      <c r="JC720" s="569"/>
      <c r="JD720" s="569"/>
      <c r="JE720" s="569"/>
      <c r="JF720" s="569"/>
      <c r="JG720" s="569"/>
      <c r="JH720" s="569"/>
      <c r="JI720" s="569"/>
      <c r="JJ720" s="569"/>
      <c r="JK720" s="569"/>
      <c r="JL720" s="569"/>
      <c r="JM720" s="569"/>
      <c r="JN720" s="569"/>
      <c r="JO720" s="569"/>
      <c r="JP720" s="569"/>
      <c r="JQ720" s="569"/>
      <c r="JR720" s="569"/>
      <c r="JS720" s="569"/>
      <c r="JT720" s="569"/>
      <c r="JU720" s="569"/>
      <c r="JV720" s="569"/>
      <c r="JW720" s="569"/>
      <c r="JX720" s="569"/>
      <c r="JY720" s="569"/>
      <c r="JZ720" s="569"/>
      <c r="KA720" s="569"/>
      <c r="KB720" s="569"/>
      <c r="KC720" s="569"/>
      <c r="KD720" s="569"/>
      <c r="KE720" s="569"/>
      <c r="KF720" s="569"/>
      <c r="KG720" s="569"/>
      <c r="KH720" s="569"/>
      <c r="KI720" s="569"/>
      <c r="KJ720" s="569"/>
      <c r="KK720" s="569"/>
      <c r="KL720" s="569"/>
      <c r="KM720" s="569"/>
      <c r="KN720" s="569"/>
      <c r="KO720" s="569"/>
      <c r="KP720" s="569"/>
      <c r="KQ720" s="569"/>
      <c r="KR720" s="569"/>
      <c r="KS720" s="569"/>
      <c r="KT720" s="569"/>
      <c r="KU720" s="569"/>
      <c r="KV720" s="569"/>
      <c r="KW720" s="569"/>
      <c r="KX720" s="569"/>
      <c r="KY720" s="569"/>
      <c r="KZ720" s="569"/>
      <c r="LA720" s="569"/>
      <c r="LB720" s="569"/>
      <c r="LC720" s="569"/>
      <c r="LD720" s="569"/>
      <c r="LE720" s="569"/>
      <c r="LF720" s="569"/>
      <c r="LG720" s="569"/>
      <c r="LH720" s="569"/>
      <c r="LI720" s="569"/>
      <c r="LJ720" s="569"/>
      <c r="LK720" s="569"/>
      <c r="LL720" s="569"/>
      <c r="LM720" s="569"/>
      <c r="LN720" s="569"/>
      <c r="LO720" s="569"/>
      <c r="LP720" s="569"/>
      <c r="LQ720" s="569"/>
      <c r="LR720" s="569"/>
      <c r="LS720" s="569"/>
      <c r="LT720" s="569"/>
      <c r="LU720" s="569"/>
      <c r="LV720" s="569"/>
      <c r="LW720" s="569"/>
      <c r="LX720" s="569"/>
      <c r="LY720" s="569"/>
      <c r="LZ720" s="569"/>
      <c r="MA720" s="569"/>
      <c r="MB720" s="569"/>
      <c r="MC720" s="569"/>
      <c r="MD720" s="569"/>
      <c r="ME720" s="569"/>
      <c r="MF720" s="569"/>
      <c r="MG720" s="569"/>
      <c r="MH720" s="569"/>
      <c r="MI720" s="569"/>
      <c r="MJ720" s="569"/>
      <c r="MK720" s="569"/>
      <c r="ML720" s="569"/>
      <c r="MM720" s="569"/>
      <c r="MN720" s="569"/>
      <c r="MO720" s="569"/>
      <c r="MP720" s="569"/>
      <c r="MQ720" s="569"/>
      <c r="MR720" s="569"/>
      <c r="MS720" s="569"/>
      <c r="MT720" s="569"/>
      <c r="MU720" s="569"/>
      <c r="MV720" s="569"/>
      <c r="MW720" s="569"/>
      <c r="MX720" s="569"/>
      <c r="MY720" s="569"/>
      <c r="MZ720" s="569"/>
      <c r="NA720" s="569"/>
      <c r="NB720" s="569"/>
      <c r="NC720" s="569"/>
      <c r="ND720" s="569"/>
      <c r="NE720" s="569"/>
      <c r="NF720" s="569"/>
      <c r="NG720" s="569"/>
      <c r="NH720" s="569"/>
      <c r="NI720" s="569"/>
      <c r="NJ720" s="569"/>
      <c r="NK720" s="569"/>
      <c r="NL720" s="569"/>
      <c r="NM720" s="569"/>
      <c r="NN720" s="569"/>
      <c r="NO720" s="569"/>
      <c r="NP720" s="569"/>
      <c r="NQ720" s="569"/>
      <c r="NR720" s="569"/>
      <c r="NS720" s="569"/>
      <c r="NT720" s="569"/>
      <c r="NU720" s="569"/>
      <c r="NV720" s="569"/>
      <c r="NW720" s="569"/>
      <c r="NX720" s="569"/>
      <c r="NY720" s="569"/>
      <c r="NZ720" s="569"/>
      <c r="OA720" s="569"/>
      <c r="OB720" s="569"/>
      <c r="OC720" s="569"/>
      <c r="OD720" s="569"/>
      <c r="OE720" s="569"/>
      <c r="OF720" s="569"/>
      <c r="OG720" s="569"/>
      <c r="OH720" s="569"/>
      <c r="OI720" s="569"/>
      <c r="OJ720" s="569"/>
      <c r="OK720" s="569"/>
      <c r="OL720" s="569"/>
      <c r="OM720" s="569"/>
      <c r="ON720" s="569"/>
      <c r="OO720" s="569"/>
      <c r="OP720" s="569"/>
      <c r="OQ720" s="569"/>
      <c r="OR720" s="569"/>
      <c r="OS720" s="569"/>
      <c r="OT720" s="569"/>
      <c r="OU720" s="569"/>
      <c r="OV720" s="569"/>
      <c r="OW720" s="569"/>
      <c r="OX720" s="569"/>
      <c r="OY720" s="569"/>
      <c r="OZ720" s="569"/>
      <c r="PA720" s="569"/>
      <c r="PB720" s="569"/>
      <c r="PC720" s="569"/>
      <c r="PD720" s="569"/>
      <c r="PE720" s="569"/>
      <c r="PF720" s="569"/>
      <c r="PG720" s="569"/>
      <c r="PH720" s="569"/>
      <c r="PI720" s="569"/>
      <c r="PJ720" s="569"/>
      <c r="PK720" s="569"/>
      <c r="PL720" s="569"/>
      <c r="PM720" s="569"/>
      <c r="PN720" s="569"/>
      <c r="PO720" s="569"/>
      <c r="PP720" s="569"/>
      <c r="PQ720" s="569"/>
      <c r="PR720" s="569"/>
      <c r="PS720" s="569"/>
      <c r="PT720" s="569"/>
      <c r="PU720" s="569"/>
      <c r="PV720" s="569"/>
      <c r="PW720" s="569"/>
      <c r="PX720" s="569"/>
      <c r="PY720" s="569"/>
      <c r="PZ720" s="569"/>
      <c r="QA720" s="569"/>
      <c r="QB720" s="569"/>
      <c r="QC720" s="569"/>
      <c r="QD720" s="569"/>
      <c r="QE720" s="569"/>
      <c r="QF720" s="569"/>
      <c r="QG720" s="569"/>
      <c r="QH720" s="569"/>
      <c r="QI720" s="569"/>
      <c r="QJ720" s="569"/>
      <c r="QK720" s="569"/>
      <c r="QL720" s="569"/>
    </row>
  </sheetData>
  <mergeCells count="22">
    <mergeCell ref="T4:U4"/>
    <mergeCell ref="D4:G5"/>
    <mergeCell ref="J4:J5"/>
    <mergeCell ref="K4:K5"/>
    <mergeCell ref="D3:G3"/>
    <mergeCell ref="H3:H5"/>
    <mergeCell ref="H533:H535"/>
    <mergeCell ref="Y3:Y5"/>
    <mergeCell ref="Z3:Z5"/>
    <mergeCell ref="B3:C5"/>
    <mergeCell ref="B6:C6"/>
    <mergeCell ref="I3:I5"/>
    <mergeCell ref="V4:W4"/>
    <mergeCell ref="L4:M4"/>
    <mergeCell ref="N4:O4"/>
    <mergeCell ref="D6:G6"/>
    <mergeCell ref="P4:Q4"/>
    <mergeCell ref="R4:S4"/>
    <mergeCell ref="J3:K3"/>
    <mergeCell ref="L3:T3"/>
    <mergeCell ref="V3:W3"/>
    <mergeCell ref="X3:X5"/>
  </mergeCells>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sheetPr>
    <tabColor theme="2" tint="-0.89999084444715716"/>
  </sheetPr>
  <dimension ref="B1:Z107"/>
  <sheetViews>
    <sheetView showGridLines="0" topLeftCell="A2" zoomScale="110" zoomScaleNormal="110" zoomScaleSheetLayoutView="80" workbookViewId="0">
      <pane xSplit="2" ySplit="4" topLeftCell="C81" activePane="bottomRight" state="frozen"/>
      <selection activeCell="A2" sqref="A2"/>
      <selection pane="topRight" activeCell="C2" sqref="C2"/>
      <selection pane="bottomLeft" activeCell="A6" sqref="A6"/>
      <selection pane="bottomRight" activeCell="B81" sqref="B81"/>
    </sheetView>
  </sheetViews>
  <sheetFormatPr defaultRowHeight="15.75"/>
  <cols>
    <col min="1" max="1" width="4.28515625" style="1" customWidth="1"/>
    <col min="2" max="2" width="20.7109375" style="71" customWidth="1"/>
    <col min="3" max="3" width="3.7109375" style="1" customWidth="1"/>
    <col min="4" max="4" width="20.7109375" style="1" customWidth="1"/>
    <col min="5" max="5" width="4.7109375" style="1" customWidth="1"/>
    <col min="6" max="9" width="20.7109375" style="1" customWidth="1"/>
    <col min="10" max="10" width="5.7109375" style="1" customWidth="1"/>
    <col min="11" max="12" width="3.7109375" style="1" customWidth="1"/>
    <col min="13" max="14" width="20.7109375" style="1" customWidth="1"/>
    <col min="15" max="15" width="10.7109375" style="88" customWidth="1"/>
    <col min="16" max="16" width="10.7109375" style="480" customWidth="1"/>
    <col min="17" max="17" width="10.7109375" style="88" customWidth="1"/>
    <col min="18" max="22" width="11.7109375" style="88" customWidth="1"/>
    <col min="23" max="23" width="10.7109375" style="88" customWidth="1"/>
    <col min="24" max="26" width="20.7109375" style="1" customWidth="1"/>
    <col min="27" max="27" width="30.7109375" style="1" customWidth="1"/>
    <col min="28" max="16384" width="9.140625" style="1"/>
  </cols>
  <sheetData>
    <row r="1" spans="2:26" ht="30" customHeight="1"/>
    <row r="2" spans="2:26" ht="30" customHeight="1"/>
    <row r="3" spans="2:26" s="72" customFormat="1" ht="45" customHeight="1">
      <c r="B3" s="1158" t="s">
        <v>6</v>
      </c>
      <c r="C3" s="1165" t="s">
        <v>0</v>
      </c>
      <c r="D3" s="1165"/>
      <c r="E3" s="1165" t="s">
        <v>2</v>
      </c>
      <c r="F3" s="1165"/>
      <c r="G3" s="1168" t="s">
        <v>98</v>
      </c>
      <c r="H3" s="1170" t="s">
        <v>156</v>
      </c>
      <c r="I3" s="1168" t="s">
        <v>157</v>
      </c>
      <c r="J3" s="1162" t="s">
        <v>54</v>
      </c>
      <c r="K3" s="1163"/>
      <c r="L3" s="1163"/>
      <c r="M3" s="1164"/>
      <c r="N3" s="1165" t="s">
        <v>781</v>
      </c>
      <c r="O3" s="1165" t="s">
        <v>132</v>
      </c>
      <c r="P3" s="1166" t="s">
        <v>133</v>
      </c>
      <c r="Q3" s="1167"/>
      <c r="R3" s="1165" t="s">
        <v>2138</v>
      </c>
      <c r="S3" s="1165"/>
      <c r="T3" s="1165"/>
      <c r="U3" s="1165"/>
      <c r="V3" s="1165"/>
      <c r="W3" s="655" t="s">
        <v>136</v>
      </c>
      <c r="X3" s="1157" t="s">
        <v>134</v>
      </c>
      <c r="Y3" s="1157" t="s">
        <v>137</v>
      </c>
      <c r="Z3" s="1158" t="s">
        <v>138</v>
      </c>
    </row>
    <row r="4" spans="2:26" s="72" customFormat="1" ht="35.25" customHeight="1">
      <c r="B4" s="1158"/>
      <c r="C4" s="1165"/>
      <c r="D4" s="1165"/>
      <c r="E4" s="1165"/>
      <c r="F4" s="1165"/>
      <c r="G4" s="1169"/>
      <c r="H4" s="1171"/>
      <c r="I4" s="1169"/>
      <c r="J4" s="1162" t="s">
        <v>135</v>
      </c>
      <c r="K4" s="1163"/>
      <c r="L4" s="1163"/>
      <c r="M4" s="1164"/>
      <c r="N4" s="1165"/>
      <c r="O4" s="1165"/>
      <c r="P4" s="654">
        <v>2012</v>
      </c>
      <c r="Q4" s="654">
        <v>2013</v>
      </c>
      <c r="R4" s="654">
        <v>2014</v>
      </c>
      <c r="S4" s="654">
        <v>2015</v>
      </c>
      <c r="T4" s="654">
        <v>2016</v>
      </c>
      <c r="U4" s="654">
        <v>2017</v>
      </c>
      <c r="V4" s="654">
        <v>2018</v>
      </c>
      <c r="W4" s="656">
        <v>2018</v>
      </c>
      <c r="X4" s="1157"/>
      <c r="Y4" s="1157"/>
      <c r="Z4" s="1158"/>
    </row>
    <row r="5" spans="2:26" s="74" customFormat="1" ht="18" customHeight="1">
      <c r="B5" s="73">
        <v>1</v>
      </c>
      <c r="C5" s="1159">
        <v>2</v>
      </c>
      <c r="D5" s="1160"/>
      <c r="E5" s="1159">
        <v>3</v>
      </c>
      <c r="F5" s="1160"/>
      <c r="G5" s="18">
        <v>4</v>
      </c>
      <c r="H5" s="667">
        <v>5</v>
      </c>
      <c r="I5" s="18">
        <v>6</v>
      </c>
      <c r="J5" s="1159">
        <v>13</v>
      </c>
      <c r="K5" s="1161"/>
      <c r="L5" s="1161"/>
      <c r="M5" s="1160"/>
      <c r="N5" s="18">
        <v>2</v>
      </c>
      <c r="O5" s="481">
        <v>3</v>
      </c>
      <c r="P5" s="482">
        <v>4</v>
      </c>
      <c r="Q5" s="481">
        <v>5</v>
      </c>
      <c r="R5" s="481">
        <v>6</v>
      </c>
      <c r="S5" s="481">
        <v>7</v>
      </c>
      <c r="T5" s="481">
        <v>8</v>
      </c>
      <c r="U5" s="481">
        <v>9</v>
      </c>
      <c r="V5" s="481">
        <v>10</v>
      </c>
      <c r="W5" s="481">
        <v>11</v>
      </c>
      <c r="X5" s="18">
        <v>13</v>
      </c>
      <c r="Y5" s="18">
        <v>26</v>
      </c>
      <c r="Z5" s="18">
        <v>27</v>
      </c>
    </row>
    <row r="6" spans="2:26" ht="141.75">
      <c r="B6" s="37" t="s">
        <v>7</v>
      </c>
      <c r="C6" s="651">
        <v>1</v>
      </c>
      <c r="D6" s="651" t="s">
        <v>730</v>
      </c>
      <c r="E6" s="651">
        <v>1</v>
      </c>
      <c r="F6" s="651" t="s">
        <v>729</v>
      </c>
      <c r="G6" s="651" t="s">
        <v>731</v>
      </c>
      <c r="H6" s="36" t="s">
        <v>5056</v>
      </c>
      <c r="I6" s="870" t="s">
        <v>4904</v>
      </c>
      <c r="J6" s="651"/>
      <c r="K6" s="651"/>
      <c r="L6" s="651"/>
      <c r="M6" s="651"/>
      <c r="N6" s="3"/>
      <c r="O6" s="31"/>
      <c r="P6" s="483"/>
      <c r="Q6" s="31"/>
      <c r="R6" s="31"/>
      <c r="S6" s="31"/>
      <c r="T6" s="31"/>
      <c r="U6" s="31"/>
      <c r="V6" s="31"/>
      <c r="W6" s="31"/>
      <c r="X6" s="3"/>
      <c r="Y6" s="3"/>
      <c r="Z6" s="3"/>
    </row>
    <row r="7" spans="2:26" ht="110.25">
      <c r="B7" s="69"/>
      <c r="C7" s="652"/>
      <c r="D7" s="652"/>
      <c r="E7" s="652"/>
      <c r="F7" s="652"/>
      <c r="G7" s="652"/>
      <c r="H7" s="75"/>
      <c r="I7" s="652"/>
      <c r="J7" s="651" t="s">
        <v>772</v>
      </c>
      <c r="K7" s="651" t="s">
        <v>773</v>
      </c>
      <c r="L7" s="651">
        <v>18</v>
      </c>
      <c r="M7" s="651" t="s">
        <v>2057</v>
      </c>
      <c r="N7" s="3" t="s">
        <v>746</v>
      </c>
      <c r="O7" s="31" t="s">
        <v>747</v>
      </c>
      <c r="P7" s="483">
        <v>500</v>
      </c>
      <c r="Q7" s="31">
        <v>600</v>
      </c>
      <c r="R7" s="31">
        <v>720</v>
      </c>
      <c r="S7" s="31">
        <v>850</v>
      </c>
      <c r="T7" s="31">
        <v>990</v>
      </c>
      <c r="U7" s="31">
        <v>1140</v>
      </c>
      <c r="V7" s="31">
        <v>1300</v>
      </c>
      <c r="W7" s="483">
        <v>1300</v>
      </c>
      <c r="X7" s="3" t="s">
        <v>672</v>
      </c>
      <c r="Y7" s="3" t="s">
        <v>1918</v>
      </c>
      <c r="Z7" s="3" t="s">
        <v>80</v>
      </c>
    </row>
    <row r="8" spans="2:26" ht="78.75">
      <c r="B8" s="69"/>
      <c r="C8" s="652"/>
      <c r="D8" s="652"/>
      <c r="E8" s="652"/>
      <c r="F8" s="652"/>
      <c r="G8" s="652"/>
      <c r="H8" s="75"/>
      <c r="I8" s="652"/>
      <c r="J8" s="652"/>
      <c r="K8" s="652"/>
      <c r="L8" s="652"/>
      <c r="M8" s="652"/>
      <c r="N8" s="3" t="s">
        <v>750</v>
      </c>
      <c r="O8" s="31" t="s">
        <v>749</v>
      </c>
      <c r="P8" s="484">
        <v>200</v>
      </c>
      <c r="Q8" s="484">
        <v>300</v>
      </c>
      <c r="R8" s="484">
        <v>400</v>
      </c>
      <c r="S8" s="484">
        <v>550</v>
      </c>
      <c r="T8" s="484">
        <v>750</v>
      </c>
      <c r="U8" s="484">
        <v>1000</v>
      </c>
      <c r="V8" s="484">
        <v>1300</v>
      </c>
      <c r="W8" s="483">
        <v>1300</v>
      </c>
      <c r="X8" s="3" t="s">
        <v>672</v>
      </c>
      <c r="Y8" s="3" t="s">
        <v>1918</v>
      </c>
      <c r="Z8" s="3" t="s">
        <v>1919</v>
      </c>
    </row>
    <row r="9" spans="2:26" ht="126">
      <c r="B9" s="69"/>
      <c r="C9" s="652"/>
      <c r="D9" s="652"/>
      <c r="E9" s="653"/>
      <c r="F9" s="653"/>
      <c r="G9" s="653"/>
      <c r="H9" s="76"/>
      <c r="I9" s="653"/>
      <c r="J9" s="652"/>
      <c r="K9" s="652"/>
      <c r="L9" s="652"/>
      <c r="M9" s="652"/>
      <c r="N9" s="3" t="s">
        <v>1920</v>
      </c>
      <c r="O9" s="31" t="s">
        <v>1090</v>
      </c>
      <c r="P9" s="483">
        <v>882</v>
      </c>
      <c r="Q9" s="483">
        <v>1022</v>
      </c>
      <c r="R9" s="485">
        <v>1072</v>
      </c>
      <c r="S9" s="485">
        <v>1122</v>
      </c>
      <c r="T9" s="485">
        <v>1172</v>
      </c>
      <c r="U9" s="485">
        <v>1222</v>
      </c>
      <c r="V9" s="485">
        <v>1272</v>
      </c>
      <c r="W9" s="483">
        <v>1272</v>
      </c>
      <c r="X9" s="3" t="s">
        <v>672</v>
      </c>
      <c r="Y9" s="3" t="s">
        <v>1918</v>
      </c>
      <c r="Z9" s="3" t="s">
        <v>1921</v>
      </c>
    </row>
    <row r="10" spans="2:26" ht="126">
      <c r="B10" s="69"/>
      <c r="C10" s="652"/>
      <c r="D10" s="652"/>
      <c r="E10" s="651">
        <v>2</v>
      </c>
      <c r="F10" s="651" t="s">
        <v>720</v>
      </c>
      <c r="G10" s="651" t="s">
        <v>721</v>
      </c>
      <c r="H10" s="36" t="s">
        <v>5055</v>
      </c>
      <c r="I10" s="870" t="s">
        <v>4903</v>
      </c>
      <c r="J10" s="652"/>
      <c r="K10" s="652"/>
      <c r="L10" s="652"/>
      <c r="M10" s="652"/>
      <c r="N10" s="3" t="s">
        <v>4380</v>
      </c>
      <c r="O10" s="31" t="s">
        <v>701</v>
      </c>
      <c r="P10" s="474" t="s">
        <v>4475</v>
      </c>
      <c r="Q10" s="35">
        <v>60</v>
      </c>
      <c r="R10" s="35">
        <v>62</v>
      </c>
      <c r="S10" s="35">
        <v>64</v>
      </c>
      <c r="T10" s="35">
        <v>66</v>
      </c>
      <c r="U10" s="35">
        <v>68</v>
      </c>
      <c r="V10" s="35">
        <v>70</v>
      </c>
      <c r="W10" s="35">
        <v>70</v>
      </c>
      <c r="X10" s="3" t="s">
        <v>671</v>
      </c>
      <c r="Y10" s="3" t="s">
        <v>4381</v>
      </c>
      <c r="Z10" s="3"/>
    </row>
    <row r="11" spans="2:26" ht="94.5">
      <c r="B11" s="69"/>
      <c r="C11" s="652"/>
      <c r="D11" s="652"/>
      <c r="E11" s="653"/>
      <c r="F11" s="653"/>
      <c r="G11" s="653"/>
      <c r="H11" s="76"/>
      <c r="I11" s="653"/>
      <c r="J11" s="653"/>
      <c r="K11" s="653"/>
      <c r="L11" s="653"/>
      <c r="M11" s="653"/>
      <c r="N11" s="3" t="s">
        <v>81</v>
      </c>
      <c r="O11" s="31" t="s">
        <v>701</v>
      </c>
      <c r="P11" s="34">
        <v>55</v>
      </c>
      <c r="Q11" s="34">
        <v>60</v>
      </c>
      <c r="R11" s="34">
        <v>60</v>
      </c>
      <c r="S11" s="34">
        <v>65</v>
      </c>
      <c r="T11" s="34">
        <v>65</v>
      </c>
      <c r="U11" s="34">
        <v>70</v>
      </c>
      <c r="V11" s="34">
        <v>70</v>
      </c>
      <c r="W11" s="34">
        <v>70</v>
      </c>
      <c r="X11" s="3" t="s">
        <v>672</v>
      </c>
      <c r="Y11" s="3" t="s">
        <v>1848</v>
      </c>
      <c r="Z11" s="3" t="s">
        <v>1849</v>
      </c>
    </row>
    <row r="12" spans="2:26" ht="110.25">
      <c r="B12" s="69"/>
      <c r="C12" s="652"/>
      <c r="D12" s="652"/>
      <c r="E12" s="3">
        <v>3</v>
      </c>
      <c r="F12" s="3" t="s">
        <v>722</v>
      </c>
      <c r="G12" s="3" t="s">
        <v>723</v>
      </c>
      <c r="H12" s="17" t="s">
        <v>732</v>
      </c>
      <c r="I12" s="3" t="s">
        <v>4905</v>
      </c>
      <c r="J12" s="3" t="s">
        <v>547</v>
      </c>
      <c r="K12" s="3" t="s">
        <v>773</v>
      </c>
      <c r="L12" s="3">
        <v>17</v>
      </c>
      <c r="M12" s="3" t="s">
        <v>1850</v>
      </c>
      <c r="N12" s="3" t="s">
        <v>1851</v>
      </c>
      <c r="O12" s="31" t="s">
        <v>747</v>
      </c>
      <c r="P12" s="483">
        <v>1</v>
      </c>
      <c r="Q12" s="31">
        <v>2</v>
      </c>
      <c r="R12" s="486">
        <v>4</v>
      </c>
      <c r="S12" s="486">
        <v>6</v>
      </c>
      <c r="T12" s="486">
        <v>8</v>
      </c>
      <c r="U12" s="486">
        <v>10</v>
      </c>
      <c r="V12" s="486">
        <v>12</v>
      </c>
      <c r="W12" s="31">
        <v>12</v>
      </c>
      <c r="X12" s="3" t="s">
        <v>672</v>
      </c>
      <c r="Y12" s="3"/>
      <c r="Z12" s="3" t="s">
        <v>1852</v>
      </c>
    </row>
    <row r="13" spans="2:26" ht="126">
      <c r="B13" s="69"/>
      <c r="C13" s="652"/>
      <c r="D13" s="652"/>
      <c r="E13" s="651">
        <v>4</v>
      </c>
      <c r="F13" s="651" t="s">
        <v>725</v>
      </c>
      <c r="G13" s="651" t="s">
        <v>724</v>
      </c>
      <c r="H13" s="36" t="s">
        <v>5057</v>
      </c>
      <c r="I13" s="870" t="s">
        <v>4906</v>
      </c>
      <c r="J13" s="3" t="s">
        <v>547</v>
      </c>
      <c r="K13" s="3" t="s">
        <v>773</v>
      </c>
      <c r="L13" s="3">
        <v>19</v>
      </c>
      <c r="M13" s="139" t="s">
        <v>557</v>
      </c>
      <c r="N13" s="3" t="s">
        <v>36</v>
      </c>
      <c r="O13" s="31" t="s">
        <v>701</v>
      </c>
      <c r="P13" s="34">
        <v>60</v>
      </c>
      <c r="Q13" s="34">
        <v>60</v>
      </c>
      <c r="R13" s="34">
        <v>75</v>
      </c>
      <c r="S13" s="34">
        <v>75</v>
      </c>
      <c r="T13" s="34">
        <v>80</v>
      </c>
      <c r="U13" s="34">
        <v>80</v>
      </c>
      <c r="V13" s="34">
        <v>85</v>
      </c>
      <c r="W13" s="34">
        <v>85</v>
      </c>
      <c r="X13" s="3" t="s">
        <v>672</v>
      </c>
      <c r="Y13" s="3" t="s">
        <v>748</v>
      </c>
      <c r="Z13" s="3" t="s">
        <v>82</v>
      </c>
    </row>
    <row r="14" spans="2:26" ht="47.25">
      <c r="B14" s="69"/>
      <c r="C14" s="652"/>
      <c r="D14" s="652"/>
      <c r="E14" s="652"/>
      <c r="F14" s="652"/>
      <c r="G14" s="652"/>
      <c r="H14" s="75"/>
      <c r="I14" s="652"/>
      <c r="J14" s="651" t="s">
        <v>547</v>
      </c>
      <c r="K14" s="651" t="s">
        <v>773</v>
      </c>
      <c r="L14" s="651">
        <v>21</v>
      </c>
      <c r="M14" s="138" t="s">
        <v>561</v>
      </c>
      <c r="N14" s="3" t="s">
        <v>1853</v>
      </c>
      <c r="O14" s="31" t="s">
        <v>701</v>
      </c>
      <c r="P14" s="34">
        <v>2</v>
      </c>
      <c r="Q14" s="34">
        <v>2</v>
      </c>
      <c r="R14" s="34">
        <v>2</v>
      </c>
      <c r="S14" s="34">
        <v>2</v>
      </c>
      <c r="T14" s="34">
        <v>2</v>
      </c>
      <c r="U14" s="34">
        <v>2</v>
      </c>
      <c r="V14" s="34">
        <v>2</v>
      </c>
      <c r="W14" s="34">
        <v>2</v>
      </c>
      <c r="X14" s="1154" t="s">
        <v>671</v>
      </c>
      <c r="Y14" s="1154" t="s">
        <v>777</v>
      </c>
      <c r="Z14" s="1154" t="s">
        <v>83</v>
      </c>
    </row>
    <row r="15" spans="2:26" ht="31.5">
      <c r="B15" s="69"/>
      <c r="C15" s="652"/>
      <c r="D15" s="652"/>
      <c r="E15" s="652"/>
      <c r="F15" s="652"/>
      <c r="G15" s="652"/>
      <c r="H15" s="75"/>
      <c r="I15" s="652"/>
      <c r="J15" s="652"/>
      <c r="K15" s="652"/>
      <c r="L15" s="652"/>
      <c r="M15" s="89"/>
      <c r="N15" s="3" t="s">
        <v>1854</v>
      </c>
      <c r="O15" s="31" t="s">
        <v>701</v>
      </c>
      <c r="P15" s="474">
        <v>0.1</v>
      </c>
      <c r="Q15" s="474">
        <v>0.1</v>
      </c>
      <c r="R15" s="474">
        <v>0.1</v>
      </c>
      <c r="S15" s="474">
        <v>0.1</v>
      </c>
      <c r="T15" s="474">
        <v>0.1</v>
      </c>
      <c r="U15" s="474">
        <v>0.1</v>
      </c>
      <c r="V15" s="474">
        <v>0.1</v>
      </c>
      <c r="W15" s="474">
        <v>0.1</v>
      </c>
      <c r="X15" s="1155"/>
      <c r="Y15" s="1155"/>
      <c r="Z15" s="1155"/>
    </row>
    <row r="16" spans="2:26" ht="31.5">
      <c r="B16" s="69"/>
      <c r="C16" s="653"/>
      <c r="D16" s="653"/>
      <c r="E16" s="653"/>
      <c r="F16" s="653"/>
      <c r="G16" s="653"/>
      <c r="H16" s="76"/>
      <c r="I16" s="653"/>
      <c r="J16" s="653"/>
      <c r="K16" s="653"/>
      <c r="L16" s="653"/>
      <c r="M16" s="89"/>
      <c r="N16" s="3" t="s">
        <v>1855</v>
      </c>
      <c r="O16" s="31" t="s">
        <v>701</v>
      </c>
      <c r="P16" s="474">
        <v>0.1</v>
      </c>
      <c r="Q16" s="474">
        <v>0.1</v>
      </c>
      <c r="R16" s="474">
        <v>0.1</v>
      </c>
      <c r="S16" s="474">
        <v>0.1</v>
      </c>
      <c r="T16" s="474">
        <v>0.1</v>
      </c>
      <c r="U16" s="474">
        <v>0.1</v>
      </c>
      <c r="V16" s="474">
        <v>0.1</v>
      </c>
      <c r="W16" s="474">
        <v>0.1</v>
      </c>
      <c r="X16" s="1156"/>
      <c r="Y16" s="1156"/>
      <c r="Z16" s="1156"/>
    </row>
    <row r="17" spans="2:26" ht="94.5">
      <c r="B17" s="69"/>
      <c r="C17" s="651">
        <v>2</v>
      </c>
      <c r="D17" s="651" t="s">
        <v>710</v>
      </c>
      <c r="E17" s="651">
        <v>5</v>
      </c>
      <c r="F17" s="651" t="s">
        <v>712</v>
      </c>
      <c r="G17" s="651" t="s">
        <v>673</v>
      </c>
      <c r="H17" s="651" t="s">
        <v>711</v>
      </c>
      <c r="I17" s="870" t="s">
        <v>4907</v>
      </c>
      <c r="J17" s="3"/>
      <c r="K17" s="3"/>
      <c r="L17" s="3"/>
      <c r="M17" s="3"/>
      <c r="N17" s="3"/>
      <c r="O17" s="31"/>
      <c r="P17" s="483"/>
      <c r="Q17" s="31"/>
      <c r="R17" s="31"/>
      <c r="S17" s="31"/>
      <c r="T17" s="31"/>
      <c r="U17" s="31"/>
      <c r="V17" s="31"/>
      <c r="W17" s="31"/>
      <c r="X17" s="3"/>
      <c r="Y17" s="3"/>
      <c r="Z17" s="3"/>
    </row>
    <row r="18" spans="2:26" ht="63">
      <c r="B18" s="69"/>
      <c r="C18" s="652"/>
      <c r="D18" s="652"/>
      <c r="E18" s="652"/>
      <c r="F18" s="652"/>
      <c r="G18" s="652"/>
      <c r="H18" s="652"/>
      <c r="I18" s="652"/>
      <c r="J18" s="651" t="s">
        <v>547</v>
      </c>
      <c r="K18" s="651" t="s">
        <v>773</v>
      </c>
      <c r="L18" s="651">
        <v>19</v>
      </c>
      <c r="M18" s="651" t="s">
        <v>84</v>
      </c>
      <c r="N18" s="3" t="s">
        <v>4384</v>
      </c>
      <c r="O18" s="31" t="s">
        <v>4306</v>
      </c>
      <c r="P18" s="483" t="s">
        <v>4382</v>
      </c>
      <c r="Q18" s="31">
        <v>5.67</v>
      </c>
      <c r="R18" s="483" t="s">
        <v>4481</v>
      </c>
      <c r="S18" s="483" t="s">
        <v>4482</v>
      </c>
      <c r="T18" s="483" t="s">
        <v>4483</v>
      </c>
      <c r="U18" s="483" t="s">
        <v>4484</v>
      </c>
      <c r="V18" s="483" t="s">
        <v>4485</v>
      </c>
      <c r="W18" s="483" t="s">
        <v>4485</v>
      </c>
      <c r="X18" s="3" t="s">
        <v>672</v>
      </c>
      <c r="Y18" s="3" t="s">
        <v>5059</v>
      </c>
      <c r="Z18" s="3"/>
    </row>
    <row r="19" spans="2:26" ht="31.5">
      <c r="B19" s="69"/>
      <c r="C19" s="652"/>
      <c r="D19" s="652"/>
      <c r="E19" s="652"/>
      <c r="F19" s="652"/>
      <c r="G19" s="652"/>
      <c r="H19" s="652"/>
      <c r="I19" s="652"/>
      <c r="J19" s="652"/>
      <c r="K19" s="652"/>
      <c r="L19" s="652"/>
      <c r="M19" s="652"/>
      <c r="N19" s="3" t="s">
        <v>4385</v>
      </c>
      <c r="O19" s="31" t="s">
        <v>4306</v>
      </c>
      <c r="P19" s="483" t="s">
        <v>4307</v>
      </c>
      <c r="Q19" s="31" t="s">
        <v>4307</v>
      </c>
      <c r="R19" s="483" t="s">
        <v>4486</v>
      </c>
      <c r="S19" s="483" t="s">
        <v>4487</v>
      </c>
      <c r="T19" s="483" t="s">
        <v>4394</v>
      </c>
      <c r="U19" s="483" t="s">
        <v>4483</v>
      </c>
      <c r="V19" s="483" t="s">
        <v>4488</v>
      </c>
      <c r="W19" s="483" t="s">
        <v>4488</v>
      </c>
      <c r="X19" s="3" t="s">
        <v>672</v>
      </c>
      <c r="Y19" s="3" t="s">
        <v>5059</v>
      </c>
      <c r="Z19" s="3"/>
    </row>
    <row r="20" spans="2:26" ht="31.5">
      <c r="B20" s="69"/>
      <c r="C20" s="652"/>
      <c r="D20" s="652"/>
      <c r="E20" s="652"/>
      <c r="F20" s="652"/>
      <c r="G20" s="652"/>
      <c r="H20" s="652"/>
      <c r="I20" s="652"/>
      <c r="J20" s="652"/>
      <c r="K20" s="652"/>
      <c r="L20" s="652"/>
      <c r="M20" s="652"/>
      <c r="N20" s="3" t="s">
        <v>4386</v>
      </c>
      <c r="O20" s="31" t="s">
        <v>4306</v>
      </c>
      <c r="P20" s="483" t="s">
        <v>4387</v>
      </c>
      <c r="Q20" s="483" t="s">
        <v>4308</v>
      </c>
      <c r="R20" s="483" t="s">
        <v>4388</v>
      </c>
      <c r="S20" s="483" t="s">
        <v>4389</v>
      </c>
      <c r="T20" s="483" t="s">
        <v>4390</v>
      </c>
      <c r="U20" s="483" t="s">
        <v>4391</v>
      </c>
      <c r="V20" s="483" t="s">
        <v>4392</v>
      </c>
      <c r="W20" s="483" t="s">
        <v>4392</v>
      </c>
      <c r="X20" s="3" t="s">
        <v>672</v>
      </c>
      <c r="Y20" s="3" t="s">
        <v>5059</v>
      </c>
      <c r="Z20" s="3"/>
    </row>
    <row r="21" spans="2:26" ht="63">
      <c r="B21" s="69"/>
      <c r="C21" s="652"/>
      <c r="D21" s="652"/>
      <c r="E21" s="652"/>
      <c r="F21" s="652"/>
      <c r="G21" s="652"/>
      <c r="H21" s="652"/>
      <c r="I21" s="652"/>
      <c r="J21" s="652"/>
      <c r="K21" s="652"/>
      <c r="L21" s="652"/>
      <c r="M21" s="652"/>
      <c r="N21" s="3" t="s">
        <v>5058</v>
      </c>
      <c r="O21" s="32" t="s">
        <v>4306</v>
      </c>
      <c r="P21" s="483" t="s">
        <v>4393</v>
      </c>
      <c r="Q21" s="487">
        <v>6.15</v>
      </c>
      <c r="R21" s="487">
        <v>6.16</v>
      </c>
      <c r="S21" s="487">
        <v>6.2</v>
      </c>
      <c r="T21" s="487" t="s">
        <v>4394</v>
      </c>
      <c r="U21" s="487" t="s">
        <v>4395</v>
      </c>
      <c r="V21" s="487" t="s">
        <v>4396</v>
      </c>
      <c r="W21" s="487" t="s">
        <v>4396</v>
      </c>
      <c r="X21" s="3" t="s">
        <v>672</v>
      </c>
      <c r="Y21" s="3" t="s">
        <v>705</v>
      </c>
      <c r="Z21" s="3" t="s">
        <v>1856</v>
      </c>
    </row>
    <row r="22" spans="2:26" ht="31.5">
      <c r="B22" s="69"/>
      <c r="C22" s="652"/>
      <c r="D22" s="652"/>
      <c r="E22" s="652"/>
      <c r="F22" s="652"/>
      <c r="G22" s="652"/>
      <c r="H22" s="652"/>
      <c r="I22" s="652"/>
      <c r="J22" s="652"/>
      <c r="K22" s="652"/>
      <c r="L22" s="652"/>
      <c r="M22" s="652"/>
      <c r="N22" s="3" t="s">
        <v>4397</v>
      </c>
      <c r="O22" s="32" t="s">
        <v>4306</v>
      </c>
      <c r="P22" s="483" t="s">
        <v>4398</v>
      </c>
      <c r="Q22" s="483" t="s">
        <v>4399</v>
      </c>
      <c r="R22" s="483" t="s">
        <v>4400</v>
      </c>
      <c r="S22" s="483" t="s">
        <v>4401</v>
      </c>
      <c r="T22" s="483" t="s">
        <v>4402</v>
      </c>
      <c r="U22" s="483" t="s">
        <v>4403</v>
      </c>
      <c r="V22" s="483" t="s">
        <v>4404</v>
      </c>
      <c r="W22" s="483" t="s">
        <v>4404</v>
      </c>
      <c r="X22" s="3" t="s">
        <v>672</v>
      </c>
      <c r="Y22" s="3" t="s">
        <v>5059</v>
      </c>
      <c r="Z22" s="3"/>
    </row>
    <row r="23" spans="2:26" ht="47.25">
      <c r="B23" s="69"/>
      <c r="C23" s="652"/>
      <c r="D23" s="652"/>
      <c r="E23" s="652"/>
      <c r="F23" s="652"/>
      <c r="G23" s="652"/>
      <c r="H23" s="652"/>
      <c r="I23" s="652"/>
      <c r="J23" s="652"/>
      <c r="K23" s="652"/>
      <c r="L23" s="652"/>
      <c r="M23" s="652"/>
      <c r="N23" s="3" t="s">
        <v>4405</v>
      </c>
      <c r="O23" s="32" t="s">
        <v>4306</v>
      </c>
      <c r="P23" s="487" t="s">
        <v>1993</v>
      </c>
      <c r="Q23" s="483" t="s">
        <v>1993</v>
      </c>
      <c r="R23" s="483" t="s">
        <v>4489</v>
      </c>
      <c r="S23" s="483" t="s">
        <v>4490</v>
      </c>
      <c r="T23" s="483" t="s">
        <v>4491</v>
      </c>
      <c r="U23" s="483" t="s">
        <v>4310</v>
      </c>
      <c r="V23" s="483" t="s">
        <v>4492</v>
      </c>
      <c r="W23" s="483" t="s">
        <v>4492</v>
      </c>
      <c r="X23" s="3" t="s">
        <v>672</v>
      </c>
      <c r="Y23" s="3" t="s">
        <v>5059</v>
      </c>
      <c r="Z23" s="3"/>
    </row>
    <row r="24" spans="2:26" ht="47.25">
      <c r="B24" s="69"/>
      <c r="C24" s="652"/>
      <c r="D24" s="652"/>
      <c r="E24" s="652"/>
      <c r="F24" s="652"/>
      <c r="G24" s="652"/>
      <c r="H24" s="652"/>
      <c r="I24" s="652"/>
      <c r="J24" s="652"/>
      <c r="K24" s="652"/>
      <c r="L24" s="652"/>
      <c r="M24" s="652"/>
      <c r="N24" s="3" t="s">
        <v>4406</v>
      </c>
      <c r="O24" s="32" t="s">
        <v>4306</v>
      </c>
      <c r="P24" s="487" t="s">
        <v>4407</v>
      </c>
      <c r="Q24" s="483" t="s">
        <v>4309</v>
      </c>
      <c r="R24" s="483" t="s">
        <v>4408</v>
      </c>
      <c r="S24" s="483" t="s">
        <v>4409</v>
      </c>
      <c r="T24" s="483" t="s">
        <v>4410</v>
      </c>
      <c r="U24" s="483" t="s">
        <v>4411</v>
      </c>
      <c r="V24" s="483" t="s">
        <v>4412</v>
      </c>
      <c r="W24" s="483" t="s">
        <v>4412</v>
      </c>
      <c r="X24" s="3" t="s">
        <v>672</v>
      </c>
      <c r="Y24" s="3" t="s">
        <v>5059</v>
      </c>
      <c r="Z24" s="3"/>
    </row>
    <row r="25" spans="2:26" ht="47.25">
      <c r="B25" s="69"/>
      <c r="C25" s="652"/>
      <c r="D25" s="652"/>
      <c r="E25" s="653"/>
      <c r="F25" s="653"/>
      <c r="G25" s="653"/>
      <c r="H25" s="653"/>
      <c r="I25" s="653"/>
      <c r="J25" s="653"/>
      <c r="K25" s="653"/>
      <c r="L25" s="653"/>
      <c r="M25" s="653"/>
      <c r="N25" s="3" t="s">
        <v>4413</v>
      </c>
      <c r="O25" s="32" t="s">
        <v>4306</v>
      </c>
      <c r="P25" s="487" t="s">
        <v>4408</v>
      </c>
      <c r="Q25" s="483" t="s">
        <v>4310</v>
      </c>
      <c r="R25" s="483" t="s">
        <v>4414</v>
      </c>
      <c r="S25" s="483" t="s">
        <v>4415</v>
      </c>
      <c r="T25" s="483" t="s">
        <v>4416</v>
      </c>
      <c r="U25" s="483" t="s">
        <v>4417</v>
      </c>
      <c r="V25" s="483" t="s">
        <v>4418</v>
      </c>
      <c r="W25" s="483" t="s">
        <v>4418</v>
      </c>
      <c r="X25" s="3" t="s">
        <v>672</v>
      </c>
      <c r="Y25" s="3" t="s">
        <v>5060</v>
      </c>
      <c r="Z25" s="3"/>
    </row>
    <row r="26" spans="2:26" ht="78.75">
      <c r="B26" s="69"/>
      <c r="C26" s="652"/>
      <c r="D26" s="652"/>
      <c r="E26" s="651">
        <v>6</v>
      </c>
      <c r="F26" s="651" t="s">
        <v>726</v>
      </c>
      <c r="G26" s="651" t="s">
        <v>727</v>
      </c>
      <c r="H26" s="651" t="s">
        <v>711</v>
      </c>
      <c r="I26" s="870" t="s">
        <v>4908</v>
      </c>
      <c r="J26" s="651" t="s">
        <v>547</v>
      </c>
      <c r="K26" s="651" t="s">
        <v>773</v>
      </c>
      <c r="L26" s="651">
        <v>22</v>
      </c>
      <c r="M26" s="651" t="s">
        <v>1857</v>
      </c>
      <c r="N26" s="3" t="s">
        <v>1858</v>
      </c>
      <c r="O26" s="31" t="s">
        <v>4424</v>
      </c>
      <c r="P26" s="488">
        <v>159</v>
      </c>
      <c r="Q26" s="488">
        <v>160</v>
      </c>
      <c r="R26" s="473" t="s">
        <v>4419</v>
      </c>
      <c r="S26" s="473" t="s">
        <v>4421</v>
      </c>
      <c r="T26" s="473" t="s">
        <v>4420</v>
      </c>
      <c r="U26" s="473" t="s">
        <v>4422</v>
      </c>
      <c r="V26" s="473" t="s">
        <v>4423</v>
      </c>
      <c r="W26" s="34">
        <v>176.65</v>
      </c>
      <c r="X26" s="3" t="s">
        <v>671</v>
      </c>
      <c r="Y26" s="3" t="s">
        <v>4425</v>
      </c>
      <c r="Z26" s="3" t="s">
        <v>4433</v>
      </c>
    </row>
    <row r="27" spans="2:26" ht="47.25">
      <c r="B27" s="69"/>
      <c r="C27" s="652"/>
      <c r="D27" s="652"/>
      <c r="E27" s="652"/>
      <c r="F27" s="652"/>
      <c r="G27" s="652"/>
      <c r="H27" s="652"/>
      <c r="I27" s="652"/>
      <c r="J27" s="652"/>
      <c r="K27" s="652"/>
      <c r="L27" s="652"/>
      <c r="M27" s="652"/>
      <c r="N27" s="3" t="s">
        <v>1859</v>
      </c>
      <c r="O27" s="31" t="s">
        <v>4424</v>
      </c>
      <c r="P27" s="489">
        <v>12.5</v>
      </c>
      <c r="Q27" s="488">
        <v>13</v>
      </c>
      <c r="R27" s="490" t="s">
        <v>4427</v>
      </c>
      <c r="S27" s="490" t="s">
        <v>4426</v>
      </c>
      <c r="T27" s="490" t="s">
        <v>4428</v>
      </c>
      <c r="U27" s="490" t="s">
        <v>4429</v>
      </c>
      <c r="V27" s="490" t="s">
        <v>4430</v>
      </c>
      <c r="W27" s="34" t="s">
        <v>4430</v>
      </c>
      <c r="X27" s="3" t="s">
        <v>671</v>
      </c>
      <c r="Y27" s="3" t="s">
        <v>4431</v>
      </c>
      <c r="Z27" s="3" t="s">
        <v>4433</v>
      </c>
    </row>
    <row r="28" spans="2:26" ht="47.25">
      <c r="B28" s="69"/>
      <c r="C28" s="652"/>
      <c r="D28" s="652"/>
      <c r="E28" s="652"/>
      <c r="F28" s="652"/>
      <c r="G28" s="652"/>
      <c r="H28" s="652"/>
      <c r="I28" s="652"/>
      <c r="J28" s="652"/>
      <c r="K28" s="652"/>
      <c r="L28" s="652"/>
      <c r="M28" s="652"/>
      <c r="N28" s="3" t="s">
        <v>1860</v>
      </c>
      <c r="O28" s="31" t="s">
        <v>4424</v>
      </c>
      <c r="P28" s="489">
        <v>12.5</v>
      </c>
      <c r="Q28" s="488">
        <v>13</v>
      </c>
      <c r="R28" s="490" t="s">
        <v>4427</v>
      </c>
      <c r="S28" s="490" t="s">
        <v>4426</v>
      </c>
      <c r="T28" s="490" t="s">
        <v>4428</v>
      </c>
      <c r="U28" s="490" t="s">
        <v>4429</v>
      </c>
      <c r="V28" s="490" t="s">
        <v>4430</v>
      </c>
      <c r="W28" s="34" t="s">
        <v>4430</v>
      </c>
      <c r="X28" s="3" t="s">
        <v>671</v>
      </c>
      <c r="Y28" s="3" t="s">
        <v>4432</v>
      </c>
      <c r="Z28" s="3" t="s">
        <v>4433</v>
      </c>
    </row>
    <row r="29" spans="2:26" ht="31.5">
      <c r="B29" s="69"/>
      <c r="C29" s="652"/>
      <c r="D29" s="652"/>
      <c r="E29" s="652"/>
      <c r="F29" s="652"/>
      <c r="G29" s="652"/>
      <c r="H29" s="652"/>
      <c r="I29" s="652"/>
      <c r="J29" s="652"/>
      <c r="K29" s="652"/>
      <c r="L29" s="652"/>
      <c r="M29" s="652"/>
      <c r="N29" s="3" t="s">
        <v>4437</v>
      </c>
      <c r="O29" s="31" t="s">
        <v>4434</v>
      </c>
      <c r="P29" s="488" t="s">
        <v>4435</v>
      </c>
      <c r="Q29" s="488" t="s">
        <v>4436</v>
      </c>
      <c r="R29" s="491" t="s">
        <v>4438</v>
      </c>
      <c r="S29" s="491" t="s">
        <v>4439</v>
      </c>
      <c r="T29" s="491" t="s">
        <v>4440</v>
      </c>
      <c r="U29" s="491" t="s">
        <v>4441</v>
      </c>
      <c r="V29" s="491" t="s">
        <v>4442</v>
      </c>
      <c r="W29" s="491" t="str">
        <f>V29</f>
        <v>79.255.574</v>
      </c>
      <c r="X29" s="3" t="s">
        <v>671</v>
      </c>
      <c r="Y29" s="3" t="s">
        <v>4443</v>
      </c>
      <c r="Z29" s="3"/>
    </row>
    <row r="30" spans="2:26" ht="31.5">
      <c r="B30" s="69"/>
      <c r="C30" s="652"/>
      <c r="D30" s="652"/>
      <c r="E30" s="652"/>
      <c r="F30" s="652"/>
      <c r="G30" s="652"/>
      <c r="H30" s="652"/>
      <c r="I30" s="652"/>
      <c r="J30" s="652"/>
      <c r="K30" s="652"/>
      <c r="L30" s="652"/>
      <c r="M30" s="652"/>
      <c r="N30" s="3" t="s">
        <v>1861</v>
      </c>
      <c r="O30" s="31" t="s">
        <v>4444</v>
      </c>
      <c r="P30" s="488">
        <v>43515</v>
      </c>
      <c r="Q30" s="488">
        <v>26946</v>
      </c>
      <c r="R30" s="484">
        <v>27484</v>
      </c>
      <c r="S30" s="484">
        <v>28034</v>
      </c>
      <c r="T30" s="484">
        <v>28595</v>
      </c>
      <c r="U30" s="484">
        <v>29167</v>
      </c>
      <c r="V30" s="484">
        <v>29750</v>
      </c>
      <c r="W30" s="484">
        <v>29750</v>
      </c>
      <c r="X30" s="3" t="s">
        <v>671</v>
      </c>
      <c r="Y30" s="3" t="s">
        <v>4445</v>
      </c>
      <c r="Z30" s="3"/>
    </row>
    <row r="31" spans="2:26" ht="31.5">
      <c r="B31" s="69"/>
      <c r="C31" s="652"/>
      <c r="D31" s="652"/>
      <c r="E31" s="652"/>
      <c r="F31" s="652"/>
      <c r="G31" s="652"/>
      <c r="H31" s="652"/>
      <c r="I31" s="652"/>
      <c r="J31" s="652"/>
      <c r="K31" s="652"/>
      <c r="L31" s="652"/>
      <c r="M31" s="652"/>
      <c r="N31" s="3" t="s">
        <v>1862</v>
      </c>
      <c r="O31" s="31" t="s">
        <v>4444</v>
      </c>
      <c r="P31" s="488">
        <v>270497</v>
      </c>
      <c r="Q31" s="488">
        <v>275055</v>
      </c>
      <c r="R31" s="484">
        <v>286057</v>
      </c>
      <c r="S31" s="484">
        <v>297499</v>
      </c>
      <c r="T31" s="484">
        <v>309399</v>
      </c>
      <c r="U31" s="484">
        <v>321775</v>
      </c>
      <c r="V31" s="484">
        <v>334646</v>
      </c>
      <c r="W31" s="484">
        <v>334646</v>
      </c>
      <c r="X31" s="3" t="s">
        <v>671</v>
      </c>
      <c r="Y31" s="3" t="s">
        <v>4446</v>
      </c>
      <c r="Z31" s="3"/>
    </row>
    <row r="32" spans="2:26" ht="31.5">
      <c r="B32" s="69"/>
      <c r="C32" s="652"/>
      <c r="D32" s="652"/>
      <c r="E32" s="652"/>
      <c r="F32" s="652"/>
      <c r="G32" s="652"/>
      <c r="H32" s="652"/>
      <c r="I32" s="652"/>
      <c r="J32" s="652"/>
      <c r="K32" s="652"/>
      <c r="L32" s="652"/>
      <c r="M32" s="652"/>
      <c r="N32" s="3" t="s">
        <v>1863</v>
      </c>
      <c r="O32" s="31" t="s">
        <v>4444</v>
      </c>
      <c r="P32" s="488">
        <v>58732</v>
      </c>
      <c r="Q32" s="488">
        <v>59769</v>
      </c>
      <c r="R32" s="484">
        <v>60665</v>
      </c>
      <c r="S32" s="484">
        <v>61575</v>
      </c>
      <c r="T32" s="484">
        <v>62499</v>
      </c>
      <c r="U32" s="484">
        <v>63436</v>
      </c>
      <c r="V32" s="484">
        <v>64388</v>
      </c>
      <c r="W32" s="484">
        <v>64388</v>
      </c>
      <c r="X32" s="3" t="s">
        <v>671</v>
      </c>
      <c r="Y32" s="3" t="s">
        <v>4447</v>
      </c>
      <c r="Z32" s="3"/>
    </row>
    <row r="33" spans="2:26" ht="31.5">
      <c r="B33" s="69"/>
      <c r="C33" s="652"/>
      <c r="D33" s="652"/>
      <c r="E33" s="653"/>
      <c r="F33" s="653"/>
      <c r="G33" s="653"/>
      <c r="H33" s="653"/>
      <c r="I33" s="653"/>
      <c r="J33" s="653"/>
      <c r="K33" s="653"/>
      <c r="L33" s="653"/>
      <c r="M33" s="653"/>
      <c r="N33" s="3" t="s">
        <v>1865</v>
      </c>
      <c r="O33" s="31" t="s">
        <v>4444</v>
      </c>
      <c r="P33" s="488">
        <v>1658993</v>
      </c>
      <c r="Q33" s="488">
        <v>1659079</v>
      </c>
      <c r="R33" s="484">
        <v>1662397</v>
      </c>
      <c r="S33" s="484">
        <v>1665721</v>
      </c>
      <c r="T33" s="484">
        <v>1669053</v>
      </c>
      <c r="U33" s="484">
        <v>1672391</v>
      </c>
      <c r="V33" s="484">
        <v>1675736</v>
      </c>
      <c r="W33" s="484">
        <f>V33</f>
        <v>1675736</v>
      </c>
      <c r="X33" s="3" t="s">
        <v>671</v>
      </c>
      <c r="Y33" s="3" t="s">
        <v>4448</v>
      </c>
      <c r="Z33" s="3"/>
    </row>
    <row r="34" spans="2:26" ht="47.25">
      <c r="B34" s="69"/>
      <c r="C34" s="652"/>
      <c r="D34" s="652"/>
      <c r="E34" s="651">
        <v>7</v>
      </c>
      <c r="F34" s="1091" t="s">
        <v>5065</v>
      </c>
      <c r="G34" s="1091" t="s">
        <v>5066</v>
      </c>
      <c r="H34" s="36" t="s">
        <v>5067</v>
      </c>
      <c r="I34" s="1091" t="s">
        <v>5068</v>
      </c>
      <c r="J34" s="3"/>
      <c r="K34" s="3"/>
      <c r="L34" s="3"/>
      <c r="M34" s="3"/>
      <c r="N34" s="3"/>
      <c r="O34" s="31"/>
      <c r="P34" s="483"/>
      <c r="Q34" s="31"/>
      <c r="R34" s="31"/>
      <c r="S34" s="31"/>
      <c r="T34" s="31"/>
      <c r="U34" s="31"/>
      <c r="V34" s="31"/>
      <c r="W34" s="31"/>
      <c r="X34" s="3"/>
      <c r="Y34" s="3"/>
      <c r="Z34" s="3"/>
    </row>
    <row r="35" spans="2:26" ht="78.75">
      <c r="B35" s="69"/>
      <c r="C35" s="652"/>
      <c r="D35" s="652"/>
      <c r="E35" s="652"/>
      <c r="F35" s="652"/>
      <c r="G35" s="652"/>
      <c r="H35" s="75"/>
      <c r="I35" s="652"/>
      <c r="J35" s="651" t="s">
        <v>772</v>
      </c>
      <c r="K35" s="651" t="s">
        <v>773</v>
      </c>
      <c r="L35" s="651">
        <v>20</v>
      </c>
      <c r="M35" s="651" t="s">
        <v>1912</v>
      </c>
      <c r="N35" s="3" t="s">
        <v>1913</v>
      </c>
      <c r="O35" s="31" t="s">
        <v>1914</v>
      </c>
      <c r="P35" s="484">
        <v>0</v>
      </c>
      <c r="Q35" s="484">
        <v>0</v>
      </c>
      <c r="R35" s="484">
        <v>5</v>
      </c>
      <c r="S35" s="484">
        <v>5</v>
      </c>
      <c r="T35" s="484">
        <v>7</v>
      </c>
      <c r="U35" s="484">
        <v>10</v>
      </c>
      <c r="V35" s="484">
        <v>10</v>
      </c>
      <c r="W35" s="484">
        <v>10</v>
      </c>
      <c r="X35" s="3" t="s">
        <v>674</v>
      </c>
      <c r="Y35" s="3" t="s">
        <v>1913</v>
      </c>
      <c r="Z35" s="3" t="s">
        <v>1915</v>
      </c>
    </row>
    <row r="36" spans="2:26" ht="47.25">
      <c r="B36" s="69"/>
      <c r="C36" s="652"/>
      <c r="D36" s="652"/>
      <c r="E36" s="652"/>
      <c r="F36" s="652"/>
      <c r="G36" s="652"/>
      <c r="H36" s="75"/>
      <c r="I36" s="652"/>
      <c r="J36" s="653"/>
      <c r="K36" s="653"/>
      <c r="L36" s="653"/>
      <c r="M36" s="653"/>
      <c r="N36" s="3" t="s">
        <v>2037</v>
      </c>
      <c r="O36" s="31" t="s">
        <v>2038</v>
      </c>
      <c r="P36" s="484">
        <v>4</v>
      </c>
      <c r="Q36" s="484">
        <v>2</v>
      </c>
      <c r="R36" s="484">
        <v>3</v>
      </c>
      <c r="S36" s="484">
        <v>3</v>
      </c>
      <c r="T36" s="484">
        <v>3</v>
      </c>
      <c r="U36" s="484">
        <v>3</v>
      </c>
      <c r="V36" s="484">
        <v>3</v>
      </c>
      <c r="W36" s="484">
        <v>3</v>
      </c>
      <c r="X36" s="3" t="s">
        <v>674</v>
      </c>
      <c r="Y36" s="3" t="s">
        <v>65</v>
      </c>
      <c r="Z36" s="3" t="s">
        <v>2039</v>
      </c>
    </row>
    <row r="37" spans="2:26" ht="78.75">
      <c r="B37" s="69"/>
      <c r="C37" s="652"/>
      <c r="D37" s="652"/>
      <c r="E37" s="653"/>
      <c r="F37" s="653"/>
      <c r="G37" s="653"/>
      <c r="H37" s="76"/>
      <c r="I37" s="653"/>
      <c r="J37" s="651" t="s">
        <v>772</v>
      </c>
      <c r="K37" s="651" t="s">
        <v>773</v>
      </c>
      <c r="L37" s="651">
        <v>25</v>
      </c>
      <c r="M37" s="651" t="s">
        <v>86</v>
      </c>
      <c r="N37" s="3" t="s">
        <v>5069</v>
      </c>
      <c r="O37" s="31" t="s">
        <v>701</v>
      </c>
      <c r="P37" s="492">
        <f>110/1540*100</f>
        <v>7.1428571428571423</v>
      </c>
      <c r="Q37" s="492">
        <f>110/1540*100</f>
        <v>7.1428571428571423</v>
      </c>
      <c r="R37" s="492">
        <f t="shared" ref="R37:W37" si="0">124/1540*100</f>
        <v>8.0519480519480524</v>
      </c>
      <c r="S37" s="492">
        <f t="shared" si="0"/>
        <v>8.0519480519480524</v>
      </c>
      <c r="T37" s="492">
        <f t="shared" si="0"/>
        <v>8.0519480519480524</v>
      </c>
      <c r="U37" s="492">
        <f t="shared" si="0"/>
        <v>8.0519480519480524</v>
      </c>
      <c r="V37" s="492">
        <f t="shared" si="0"/>
        <v>8.0519480519480524</v>
      </c>
      <c r="W37" s="492">
        <f t="shared" si="0"/>
        <v>8.0519480519480524</v>
      </c>
      <c r="X37" s="3" t="s">
        <v>674</v>
      </c>
      <c r="Y37" s="3" t="s">
        <v>1916</v>
      </c>
      <c r="Z37" s="3" t="s">
        <v>1917</v>
      </c>
    </row>
    <row r="38" spans="2:26" ht="78.75">
      <c r="B38" s="69"/>
      <c r="C38" s="652"/>
      <c r="D38" s="652"/>
      <c r="E38" s="652"/>
      <c r="F38" s="652"/>
      <c r="G38" s="652"/>
      <c r="H38" s="75"/>
      <c r="I38" s="652"/>
      <c r="J38" s="652"/>
      <c r="K38" s="652"/>
      <c r="L38" s="652"/>
      <c r="M38" s="652"/>
      <c r="N38" s="3" t="s">
        <v>2040</v>
      </c>
      <c r="O38" s="31" t="s">
        <v>2038</v>
      </c>
      <c r="P38" s="484">
        <v>0</v>
      </c>
      <c r="Q38" s="484">
        <v>0</v>
      </c>
      <c r="R38" s="484">
        <v>2480</v>
      </c>
      <c r="S38" s="484">
        <f>R38*2</f>
        <v>4960</v>
      </c>
      <c r="T38" s="484">
        <f>R38*3</f>
        <v>7440</v>
      </c>
      <c r="U38" s="484">
        <f>R38*4</f>
        <v>9920</v>
      </c>
      <c r="V38" s="484">
        <f>R38*5</f>
        <v>12400</v>
      </c>
      <c r="W38" s="484">
        <v>12400</v>
      </c>
      <c r="X38" s="3" t="s">
        <v>674</v>
      </c>
      <c r="Y38" s="3" t="s">
        <v>2043</v>
      </c>
      <c r="Z38" s="3" t="s">
        <v>2044</v>
      </c>
    </row>
    <row r="39" spans="2:26" ht="141.75">
      <c r="B39" s="69"/>
      <c r="C39" s="652"/>
      <c r="D39" s="652"/>
      <c r="E39" s="652"/>
      <c r="F39" s="652"/>
      <c r="G39" s="652"/>
      <c r="H39" s="75"/>
      <c r="I39" s="652"/>
      <c r="J39" s="652"/>
      <c r="K39" s="652"/>
      <c r="L39" s="652"/>
      <c r="M39" s="652"/>
      <c r="N39" s="3" t="s">
        <v>4449</v>
      </c>
      <c r="O39" s="31" t="s">
        <v>701</v>
      </c>
      <c r="P39" s="35">
        <v>16.260000000000002</v>
      </c>
      <c r="Q39" s="35">
        <v>27.34</v>
      </c>
      <c r="R39" s="35">
        <v>35.99</v>
      </c>
      <c r="S39" s="35">
        <v>46.37</v>
      </c>
      <c r="T39" s="35">
        <v>58.46</v>
      </c>
      <c r="U39" s="35">
        <v>72.319999999999993</v>
      </c>
      <c r="V39" s="35">
        <v>87.89</v>
      </c>
      <c r="W39" s="35">
        <v>87.89</v>
      </c>
      <c r="X39" s="3" t="s">
        <v>674</v>
      </c>
      <c r="Y39" s="3" t="s">
        <v>4450</v>
      </c>
      <c r="Z39" s="3" t="s">
        <v>4451</v>
      </c>
    </row>
    <row r="40" spans="2:26" ht="78.75">
      <c r="B40" s="69"/>
      <c r="C40" s="653"/>
      <c r="D40" s="653"/>
      <c r="E40" s="652"/>
      <c r="F40" s="652"/>
      <c r="G40" s="652"/>
      <c r="H40" s="75"/>
      <c r="I40" s="652"/>
      <c r="J40" s="653"/>
      <c r="K40" s="653"/>
      <c r="L40" s="653"/>
      <c r="M40" s="653"/>
      <c r="N40" s="3" t="s">
        <v>5070</v>
      </c>
      <c r="O40" s="31" t="s">
        <v>2042</v>
      </c>
      <c r="P40" s="484">
        <v>3</v>
      </c>
      <c r="Q40" s="484">
        <v>1</v>
      </c>
      <c r="R40" s="484">
        <v>10</v>
      </c>
      <c r="S40" s="484">
        <v>25</v>
      </c>
      <c r="T40" s="484">
        <v>40</v>
      </c>
      <c r="U40" s="484">
        <v>55</v>
      </c>
      <c r="V40" s="484">
        <v>70</v>
      </c>
      <c r="W40" s="484">
        <v>70</v>
      </c>
      <c r="X40" s="3" t="s">
        <v>674</v>
      </c>
      <c r="Y40" s="3" t="s">
        <v>4471</v>
      </c>
      <c r="Z40" s="3" t="s">
        <v>2045</v>
      </c>
    </row>
    <row r="41" spans="2:26" ht="110.25">
      <c r="B41" s="69"/>
      <c r="C41" s="651">
        <v>3</v>
      </c>
      <c r="D41" s="651" t="s">
        <v>38</v>
      </c>
      <c r="E41" s="651">
        <v>8</v>
      </c>
      <c r="F41" s="651" t="s">
        <v>39</v>
      </c>
      <c r="G41" s="651" t="s">
        <v>675</v>
      </c>
      <c r="H41" s="1083" t="s">
        <v>675</v>
      </c>
      <c r="I41" s="870" t="s">
        <v>4910</v>
      </c>
      <c r="J41" s="3"/>
      <c r="K41" s="3"/>
      <c r="L41" s="3"/>
      <c r="M41" s="3"/>
      <c r="N41" s="3"/>
      <c r="O41" s="31"/>
      <c r="P41" s="483"/>
      <c r="Q41" s="31"/>
      <c r="R41" s="31"/>
      <c r="S41" s="31"/>
      <c r="T41" s="31"/>
      <c r="U41" s="31"/>
      <c r="V41" s="31"/>
      <c r="W41" s="31"/>
      <c r="X41" s="3"/>
      <c r="Y41" s="3"/>
      <c r="Z41" s="3"/>
    </row>
    <row r="42" spans="2:26" ht="78.75">
      <c r="B42" s="69"/>
      <c r="C42" s="652"/>
      <c r="D42" s="652"/>
      <c r="E42" s="652"/>
      <c r="F42" s="652"/>
      <c r="G42" s="652"/>
      <c r="H42" s="75"/>
      <c r="I42" s="652"/>
      <c r="J42" s="651" t="s">
        <v>547</v>
      </c>
      <c r="K42" s="651" t="s">
        <v>773</v>
      </c>
      <c r="L42" s="651">
        <v>19</v>
      </c>
      <c r="M42" s="651" t="s">
        <v>84</v>
      </c>
      <c r="N42" s="3" t="s">
        <v>702</v>
      </c>
      <c r="O42" s="31" t="s">
        <v>701</v>
      </c>
      <c r="P42" s="33">
        <v>17</v>
      </c>
      <c r="Q42" s="33">
        <v>33</v>
      </c>
      <c r="R42" s="33">
        <v>50</v>
      </c>
      <c r="S42" s="33">
        <v>67</v>
      </c>
      <c r="T42" s="33">
        <v>83</v>
      </c>
      <c r="U42" s="33">
        <v>100</v>
      </c>
      <c r="V42" s="33">
        <v>100</v>
      </c>
      <c r="W42" s="33">
        <v>100</v>
      </c>
      <c r="X42" s="3" t="s">
        <v>672</v>
      </c>
      <c r="Y42" s="3" t="s">
        <v>85</v>
      </c>
      <c r="Z42" s="3" t="s">
        <v>706</v>
      </c>
    </row>
    <row r="43" spans="2:26" ht="78.75">
      <c r="B43" s="69"/>
      <c r="C43" s="652"/>
      <c r="D43" s="652"/>
      <c r="E43" s="652"/>
      <c r="F43" s="652"/>
      <c r="G43" s="652"/>
      <c r="H43" s="75"/>
      <c r="I43" s="652"/>
      <c r="J43" s="652"/>
      <c r="K43" s="652"/>
      <c r="L43" s="652"/>
      <c r="M43" s="652"/>
      <c r="N43" s="3" t="s">
        <v>751</v>
      </c>
      <c r="O43" s="31" t="s">
        <v>742</v>
      </c>
      <c r="P43" s="483">
        <v>119</v>
      </c>
      <c r="Q43" s="31">
        <v>219</v>
      </c>
      <c r="R43" s="31">
        <v>269</v>
      </c>
      <c r="S43" s="31">
        <v>319</v>
      </c>
      <c r="T43" s="31">
        <v>369</v>
      </c>
      <c r="U43" s="31">
        <v>419</v>
      </c>
      <c r="V43" s="31">
        <v>469</v>
      </c>
      <c r="W43" s="31">
        <f>250+219</f>
        <v>469</v>
      </c>
      <c r="X43" s="3" t="s">
        <v>672</v>
      </c>
      <c r="Y43" s="3"/>
      <c r="Z43" s="3" t="s">
        <v>707</v>
      </c>
    </row>
    <row r="44" spans="2:26" ht="78.75">
      <c r="B44" s="69"/>
      <c r="C44" s="653"/>
      <c r="D44" s="653"/>
      <c r="E44" s="653"/>
      <c r="F44" s="653"/>
      <c r="G44" s="653"/>
      <c r="H44" s="76"/>
      <c r="I44" s="653"/>
      <c r="J44" s="653"/>
      <c r="K44" s="653"/>
      <c r="L44" s="653"/>
      <c r="M44" s="653"/>
      <c r="N44" s="3" t="s">
        <v>776</v>
      </c>
      <c r="O44" s="31" t="s">
        <v>742</v>
      </c>
      <c r="P44" s="483">
        <v>100</v>
      </c>
      <c r="Q44" s="31">
        <v>160</v>
      </c>
      <c r="R44" s="31">
        <v>210</v>
      </c>
      <c r="S44" s="31">
        <v>260</v>
      </c>
      <c r="T44" s="31">
        <v>310</v>
      </c>
      <c r="U44" s="31">
        <v>360</v>
      </c>
      <c r="V44" s="31">
        <v>410</v>
      </c>
      <c r="W44" s="31">
        <f>250+Q44</f>
        <v>410</v>
      </c>
      <c r="X44" s="3" t="s">
        <v>672</v>
      </c>
      <c r="Y44" s="3"/>
      <c r="Z44" s="3" t="s">
        <v>708</v>
      </c>
    </row>
    <row r="45" spans="2:26" ht="94.5">
      <c r="B45" s="69"/>
      <c r="C45" s="651">
        <v>4</v>
      </c>
      <c r="D45" s="651" t="s">
        <v>47</v>
      </c>
      <c r="E45" s="651">
        <v>9</v>
      </c>
      <c r="F45" s="651" t="s">
        <v>32</v>
      </c>
      <c r="G45" s="651" t="s">
        <v>685</v>
      </c>
      <c r="H45" s="651" t="s">
        <v>736</v>
      </c>
      <c r="I45" s="870" t="s">
        <v>4911</v>
      </c>
      <c r="J45" s="3"/>
      <c r="K45" s="3"/>
      <c r="L45" s="3"/>
      <c r="M45" s="3"/>
      <c r="N45" s="3"/>
      <c r="O45" s="31"/>
      <c r="P45" s="483"/>
      <c r="Q45" s="31"/>
      <c r="R45" s="31"/>
      <c r="S45" s="31"/>
      <c r="T45" s="31"/>
      <c r="U45" s="31"/>
      <c r="V45" s="31"/>
      <c r="W45" s="31"/>
      <c r="X45" s="3"/>
      <c r="Y45" s="3"/>
      <c r="Z45" s="3"/>
    </row>
    <row r="46" spans="2:26" ht="94.5">
      <c r="B46" s="77"/>
      <c r="C46" s="653"/>
      <c r="D46" s="653"/>
      <c r="E46" s="653"/>
      <c r="F46" s="653"/>
      <c r="G46" s="653"/>
      <c r="H46" s="76"/>
      <c r="I46" s="653"/>
      <c r="J46" s="3" t="s">
        <v>547</v>
      </c>
      <c r="K46" s="3" t="s">
        <v>773</v>
      </c>
      <c r="L46" s="3">
        <v>27</v>
      </c>
      <c r="M46" s="3" t="s">
        <v>89</v>
      </c>
      <c r="N46" s="3" t="s">
        <v>709</v>
      </c>
      <c r="O46" s="31" t="s">
        <v>701</v>
      </c>
      <c r="P46" s="34">
        <v>50</v>
      </c>
      <c r="Q46" s="34">
        <v>75</v>
      </c>
      <c r="R46" s="34">
        <v>100</v>
      </c>
      <c r="S46" s="34">
        <v>100</v>
      </c>
      <c r="T46" s="34">
        <v>100</v>
      </c>
      <c r="U46" s="34">
        <v>100</v>
      </c>
      <c r="V46" s="34">
        <v>100</v>
      </c>
      <c r="W46" s="34">
        <v>100</v>
      </c>
      <c r="X46" s="3" t="s">
        <v>672</v>
      </c>
      <c r="Y46" s="3" t="s">
        <v>34</v>
      </c>
      <c r="Z46" s="3" t="s">
        <v>35</v>
      </c>
    </row>
    <row r="47" spans="2:26" ht="94.5">
      <c r="B47" s="37" t="s">
        <v>28</v>
      </c>
      <c r="C47" s="651">
        <v>5</v>
      </c>
      <c r="D47" s="651" t="s">
        <v>37</v>
      </c>
      <c r="E47" s="651">
        <v>10</v>
      </c>
      <c r="F47" s="651" t="s">
        <v>13</v>
      </c>
      <c r="G47" s="651" t="s">
        <v>676</v>
      </c>
      <c r="H47" s="651" t="s">
        <v>1866</v>
      </c>
      <c r="I47" s="870" t="s">
        <v>4912</v>
      </c>
      <c r="J47" s="3"/>
      <c r="K47" s="3"/>
      <c r="L47" s="3"/>
      <c r="M47" s="3"/>
      <c r="N47" s="3"/>
      <c r="O47" s="31"/>
      <c r="P47" s="483"/>
      <c r="Q47" s="31"/>
      <c r="R47" s="31"/>
      <c r="S47" s="31"/>
      <c r="T47" s="31"/>
      <c r="U47" s="31"/>
      <c r="V47" s="31"/>
      <c r="W47" s="31"/>
      <c r="X47" s="3"/>
      <c r="Y47" s="3"/>
      <c r="Z47" s="3"/>
    </row>
    <row r="48" spans="2:26" ht="110.25">
      <c r="B48" s="69"/>
      <c r="C48" s="652"/>
      <c r="D48" s="652"/>
      <c r="E48" s="653"/>
      <c r="F48" s="653"/>
      <c r="G48" s="653"/>
      <c r="H48" s="653"/>
      <c r="I48" s="653"/>
      <c r="J48" s="651" t="s">
        <v>601</v>
      </c>
      <c r="K48" s="651" t="s">
        <v>773</v>
      </c>
      <c r="L48" s="651">
        <v>20</v>
      </c>
      <c r="M48" s="651" t="s">
        <v>1867</v>
      </c>
      <c r="N48" s="3" t="s">
        <v>1868</v>
      </c>
      <c r="O48" s="31" t="s">
        <v>701</v>
      </c>
      <c r="P48" s="34">
        <v>10</v>
      </c>
      <c r="Q48" s="34">
        <v>20</v>
      </c>
      <c r="R48" s="33">
        <v>25</v>
      </c>
      <c r="S48" s="33">
        <v>30</v>
      </c>
      <c r="T48" s="33">
        <v>40</v>
      </c>
      <c r="U48" s="33">
        <v>50</v>
      </c>
      <c r="V48" s="33">
        <v>60</v>
      </c>
      <c r="W48" s="34">
        <v>60</v>
      </c>
      <c r="X48" s="3" t="s">
        <v>671</v>
      </c>
      <c r="Y48" s="3" t="s">
        <v>4452</v>
      </c>
      <c r="Z48" s="3"/>
    </row>
    <row r="49" spans="2:26" ht="141.75">
      <c r="B49" s="69"/>
      <c r="C49" s="652"/>
      <c r="D49" s="652"/>
      <c r="E49" s="651">
        <v>11</v>
      </c>
      <c r="F49" s="651" t="s">
        <v>677</v>
      </c>
      <c r="G49" s="651" t="s">
        <v>678</v>
      </c>
      <c r="H49" s="651" t="s">
        <v>1869</v>
      </c>
      <c r="I49" s="870" t="s">
        <v>4913</v>
      </c>
      <c r="J49" s="652"/>
      <c r="K49" s="652"/>
      <c r="L49" s="652"/>
      <c r="M49" s="652"/>
      <c r="N49" s="3" t="s">
        <v>1870</v>
      </c>
      <c r="O49" s="31" t="s">
        <v>4444</v>
      </c>
      <c r="P49" s="493">
        <v>53088000</v>
      </c>
      <c r="Q49" s="493">
        <v>69200000</v>
      </c>
      <c r="R49" s="494">
        <v>76120000</v>
      </c>
      <c r="S49" s="494">
        <v>83732000</v>
      </c>
      <c r="T49" s="494">
        <v>92105200</v>
      </c>
      <c r="U49" s="495">
        <v>102236750</v>
      </c>
      <c r="V49" s="495">
        <v>113482800</v>
      </c>
      <c r="W49" s="495">
        <v>113482800</v>
      </c>
      <c r="X49" s="3" t="s">
        <v>671</v>
      </c>
      <c r="Y49" s="3" t="s">
        <v>4453</v>
      </c>
      <c r="Z49" s="3"/>
    </row>
    <row r="50" spans="2:26" ht="78.75">
      <c r="B50" s="69"/>
      <c r="C50" s="652"/>
      <c r="D50" s="652"/>
      <c r="E50" s="652"/>
      <c r="F50" s="652"/>
      <c r="G50" s="652"/>
      <c r="H50" s="652"/>
      <c r="I50" s="652"/>
      <c r="J50" s="652"/>
      <c r="K50" s="652"/>
      <c r="L50" s="652"/>
      <c r="M50" s="652"/>
      <c r="N50" s="3" t="s">
        <v>1871</v>
      </c>
      <c r="O50" s="31" t="s">
        <v>4444</v>
      </c>
      <c r="P50" s="34" t="s">
        <v>4472</v>
      </c>
      <c r="Q50" s="34" t="s">
        <v>4473</v>
      </c>
      <c r="R50" s="496">
        <v>2854.65</v>
      </c>
      <c r="S50" s="496">
        <v>3539.77</v>
      </c>
      <c r="T50" s="496">
        <v>4389.32</v>
      </c>
      <c r="U50" s="496">
        <v>5442.75</v>
      </c>
      <c r="V50" s="496">
        <v>6749.01</v>
      </c>
      <c r="W50" s="496">
        <v>6749.01</v>
      </c>
      <c r="X50" s="3" t="s">
        <v>671</v>
      </c>
      <c r="Y50" s="3" t="s">
        <v>1872</v>
      </c>
      <c r="Z50" s="3" t="s">
        <v>65</v>
      </c>
    </row>
    <row r="51" spans="2:26" ht="78.75">
      <c r="B51" s="69"/>
      <c r="C51" s="652"/>
      <c r="D51" s="652"/>
      <c r="E51" s="652"/>
      <c r="F51" s="652"/>
      <c r="G51" s="652"/>
      <c r="H51" s="652"/>
      <c r="I51" s="652"/>
      <c r="J51" s="652"/>
      <c r="K51" s="652"/>
      <c r="L51" s="652"/>
      <c r="M51" s="652"/>
      <c r="N51" s="3" t="s">
        <v>1873</v>
      </c>
      <c r="O51" s="31" t="s">
        <v>4444</v>
      </c>
      <c r="P51" s="496">
        <v>1152.26</v>
      </c>
      <c r="Q51" s="496">
        <v>1423.99</v>
      </c>
      <c r="R51" s="496">
        <v>1765.75</v>
      </c>
      <c r="S51" s="496">
        <v>2189.5300000000002</v>
      </c>
      <c r="T51" s="496">
        <v>2715.01</v>
      </c>
      <c r="U51" s="496">
        <v>3366.62</v>
      </c>
      <c r="V51" s="496">
        <v>4174.6000000000004</v>
      </c>
      <c r="W51" s="497">
        <f>V51</f>
        <v>4174.6000000000004</v>
      </c>
      <c r="X51" s="3" t="s">
        <v>671</v>
      </c>
      <c r="Y51" s="3" t="s">
        <v>1874</v>
      </c>
      <c r="Z51" s="3" t="s">
        <v>65</v>
      </c>
    </row>
    <row r="52" spans="2:26" ht="47.25">
      <c r="B52" s="69"/>
      <c r="C52" s="652"/>
      <c r="D52" s="652"/>
      <c r="E52" s="652"/>
      <c r="F52" s="652"/>
      <c r="G52" s="652"/>
      <c r="H52" s="652"/>
      <c r="I52" s="652"/>
      <c r="J52" s="652"/>
      <c r="K52" s="652"/>
      <c r="L52" s="652"/>
      <c r="M52" s="652"/>
      <c r="N52" s="3" t="s">
        <v>1875</v>
      </c>
      <c r="O52" s="31" t="s">
        <v>1876</v>
      </c>
      <c r="P52" s="31">
        <v>70</v>
      </c>
      <c r="Q52" s="31">
        <v>80</v>
      </c>
      <c r="R52" s="486">
        <v>90</v>
      </c>
      <c r="S52" s="486">
        <v>100</v>
      </c>
      <c r="T52" s="486">
        <v>110</v>
      </c>
      <c r="U52" s="486">
        <v>120</v>
      </c>
      <c r="V52" s="486">
        <v>130</v>
      </c>
      <c r="W52" s="35">
        <v>130</v>
      </c>
      <c r="X52" s="3" t="s">
        <v>671</v>
      </c>
      <c r="Y52" s="3" t="s">
        <v>1877</v>
      </c>
      <c r="Z52" s="3"/>
    </row>
    <row r="53" spans="2:26" ht="47.25">
      <c r="B53" s="69"/>
      <c r="C53" s="652"/>
      <c r="D53" s="652"/>
      <c r="E53" s="652"/>
      <c r="F53" s="652"/>
      <c r="G53" s="652"/>
      <c r="H53" s="652"/>
      <c r="I53" s="652"/>
      <c r="J53" s="652"/>
      <c r="K53" s="652"/>
      <c r="L53" s="652"/>
      <c r="M53" s="652"/>
      <c r="N53" s="3" t="s">
        <v>1878</v>
      </c>
      <c r="O53" s="31" t="s">
        <v>1879</v>
      </c>
      <c r="P53" s="31" t="s">
        <v>4454</v>
      </c>
      <c r="Q53" s="31" t="s">
        <v>4455</v>
      </c>
      <c r="R53" s="498">
        <v>2.36</v>
      </c>
      <c r="S53" s="498">
        <v>2.89</v>
      </c>
      <c r="T53" s="498">
        <v>3.54</v>
      </c>
      <c r="U53" s="498">
        <v>4.33</v>
      </c>
      <c r="V53" s="498">
        <v>5.29</v>
      </c>
      <c r="W53" s="35" t="s">
        <v>4456</v>
      </c>
      <c r="X53" s="3" t="s">
        <v>671</v>
      </c>
      <c r="Y53" s="3" t="s">
        <v>1880</v>
      </c>
      <c r="Z53" s="3"/>
    </row>
    <row r="54" spans="2:26" ht="63">
      <c r="B54" s="69"/>
      <c r="C54" s="652"/>
      <c r="D54" s="652"/>
      <c r="E54" s="652"/>
      <c r="F54" s="652"/>
      <c r="G54" s="652"/>
      <c r="H54" s="652"/>
      <c r="I54" s="652"/>
      <c r="J54" s="653"/>
      <c r="K54" s="653"/>
      <c r="L54" s="653"/>
      <c r="M54" s="653"/>
      <c r="N54" s="3" t="s">
        <v>1881</v>
      </c>
      <c r="O54" s="31" t="s">
        <v>1882</v>
      </c>
      <c r="P54" s="31" t="s">
        <v>4457</v>
      </c>
      <c r="Q54" s="31" t="s">
        <v>4458</v>
      </c>
      <c r="R54" s="498">
        <v>551.58000000000004</v>
      </c>
      <c r="S54" s="498">
        <v>668.28</v>
      </c>
      <c r="T54" s="498">
        <v>809.67</v>
      </c>
      <c r="U54" s="498">
        <v>980.97</v>
      </c>
      <c r="V54" s="499">
        <v>1188.51</v>
      </c>
      <c r="W54" s="496" t="s">
        <v>4459</v>
      </c>
      <c r="X54" s="3" t="s">
        <v>671</v>
      </c>
      <c r="Y54" s="3" t="s">
        <v>1883</v>
      </c>
      <c r="Z54" s="3"/>
    </row>
    <row r="55" spans="2:26" ht="63">
      <c r="B55" s="69"/>
      <c r="C55" s="652"/>
      <c r="D55" s="652"/>
      <c r="E55" s="652"/>
      <c r="F55" s="652"/>
      <c r="G55" s="652"/>
      <c r="H55" s="652"/>
      <c r="I55" s="652"/>
      <c r="J55" s="651" t="s">
        <v>601</v>
      </c>
      <c r="K55" s="651" t="s">
        <v>773</v>
      </c>
      <c r="L55" s="651">
        <v>23</v>
      </c>
      <c r="M55" s="651" t="s">
        <v>1884</v>
      </c>
      <c r="N55" s="3" t="s">
        <v>1885</v>
      </c>
      <c r="O55" s="31" t="s">
        <v>4460</v>
      </c>
      <c r="P55" s="31">
        <v>183</v>
      </c>
      <c r="Q55" s="31">
        <v>196</v>
      </c>
      <c r="R55" s="33">
        <v>210</v>
      </c>
      <c r="S55" s="33">
        <v>224</v>
      </c>
      <c r="T55" s="33">
        <v>240</v>
      </c>
      <c r="U55" s="33">
        <v>258</v>
      </c>
      <c r="V55" s="500">
        <v>277</v>
      </c>
      <c r="W55" s="501">
        <v>277</v>
      </c>
      <c r="X55" s="3" t="s">
        <v>671</v>
      </c>
      <c r="Y55" s="3" t="s">
        <v>4461</v>
      </c>
      <c r="Z55" s="3"/>
    </row>
    <row r="56" spans="2:26" ht="63">
      <c r="B56" s="69"/>
      <c r="C56" s="652"/>
      <c r="D56" s="652"/>
      <c r="E56" s="652"/>
      <c r="F56" s="652"/>
      <c r="G56" s="652"/>
      <c r="H56" s="652"/>
      <c r="I56" s="652"/>
      <c r="J56" s="653"/>
      <c r="K56" s="653"/>
      <c r="L56" s="653"/>
      <c r="M56" s="653"/>
      <c r="N56" s="3" t="s">
        <v>1886</v>
      </c>
      <c r="O56" s="31" t="s">
        <v>1887</v>
      </c>
      <c r="P56" s="31">
        <v>14.96</v>
      </c>
      <c r="Q56" s="31">
        <v>15.25</v>
      </c>
      <c r="R56" s="498">
        <v>15.56</v>
      </c>
      <c r="S56" s="498">
        <v>15.87</v>
      </c>
      <c r="T56" s="498">
        <v>16.190000000000001</v>
      </c>
      <c r="U56" s="498">
        <v>16.53</v>
      </c>
      <c r="V56" s="499">
        <v>16.87</v>
      </c>
      <c r="W56" s="499" t="s">
        <v>4462</v>
      </c>
      <c r="X56" s="3" t="s">
        <v>671</v>
      </c>
      <c r="Y56" s="3" t="s">
        <v>1888</v>
      </c>
      <c r="Z56" s="3"/>
    </row>
    <row r="57" spans="2:26" ht="63">
      <c r="B57" s="69"/>
      <c r="C57" s="652"/>
      <c r="D57" s="652"/>
      <c r="E57" s="652"/>
      <c r="F57" s="652"/>
      <c r="G57" s="652"/>
      <c r="H57" s="652"/>
      <c r="I57" s="652"/>
      <c r="J57" s="3" t="s">
        <v>601</v>
      </c>
      <c r="K57" s="3" t="s">
        <v>773</v>
      </c>
      <c r="L57" s="3">
        <v>24</v>
      </c>
      <c r="M57" s="3" t="s">
        <v>1889</v>
      </c>
      <c r="N57" s="3" t="s">
        <v>1890</v>
      </c>
      <c r="O57" s="31" t="s">
        <v>749</v>
      </c>
      <c r="P57" s="31" t="s">
        <v>4463</v>
      </c>
      <c r="Q57" s="31" t="s">
        <v>4464</v>
      </c>
      <c r="R57" s="33" t="s">
        <v>4465</v>
      </c>
      <c r="S57" s="33" t="s">
        <v>4466</v>
      </c>
      <c r="T57" s="33" t="s">
        <v>4467</v>
      </c>
      <c r="U57" s="33" t="s">
        <v>4468</v>
      </c>
      <c r="V57" s="33" t="s">
        <v>4469</v>
      </c>
      <c r="W57" s="31" t="s">
        <v>4469</v>
      </c>
      <c r="X57" s="3" t="s">
        <v>671</v>
      </c>
      <c r="Y57" s="3" t="s">
        <v>4470</v>
      </c>
      <c r="Z57" s="3"/>
    </row>
    <row r="58" spans="2:26" ht="94.5">
      <c r="B58" s="77"/>
      <c r="C58" s="653"/>
      <c r="D58" s="653"/>
      <c r="E58" s="653"/>
      <c r="F58" s="653"/>
      <c r="G58" s="653"/>
      <c r="H58" s="653"/>
      <c r="I58" s="653"/>
      <c r="J58" s="3" t="s">
        <v>601</v>
      </c>
      <c r="K58" s="3" t="s">
        <v>773</v>
      </c>
      <c r="L58" s="3">
        <v>21</v>
      </c>
      <c r="M58" s="3" t="s">
        <v>1891</v>
      </c>
      <c r="N58" s="3" t="s">
        <v>1892</v>
      </c>
      <c r="O58" s="31" t="s">
        <v>4565</v>
      </c>
      <c r="P58" s="31">
        <v>121.28</v>
      </c>
      <c r="Q58" s="31" t="s">
        <v>4474</v>
      </c>
      <c r="R58" s="33">
        <v>227.64</v>
      </c>
      <c r="S58" s="33">
        <v>311.87</v>
      </c>
      <c r="T58" s="33">
        <v>427.26</v>
      </c>
      <c r="U58" s="33">
        <v>585.34</v>
      </c>
      <c r="V58" s="33">
        <v>801.92</v>
      </c>
      <c r="W58" s="33">
        <v>801.92</v>
      </c>
      <c r="X58" s="3" t="s">
        <v>671</v>
      </c>
      <c r="Y58" s="3" t="s">
        <v>1893</v>
      </c>
      <c r="Z58" s="3" t="s">
        <v>65</v>
      </c>
    </row>
    <row r="59" spans="2:26" ht="141.75">
      <c r="B59" s="37" t="s">
        <v>29</v>
      </c>
      <c r="C59" s="651">
        <v>6</v>
      </c>
      <c r="D59" s="651" t="s">
        <v>1</v>
      </c>
      <c r="E59" s="651">
        <v>12</v>
      </c>
      <c r="F59" s="651" t="s">
        <v>733</v>
      </c>
      <c r="G59" s="651" t="s">
        <v>1942</v>
      </c>
      <c r="H59" s="651" t="s">
        <v>1943</v>
      </c>
      <c r="I59" s="651" t="s">
        <v>1944</v>
      </c>
      <c r="J59" s="3"/>
      <c r="K59" s="3"/>
      <c r="L59" s="3"/>
      <c r="M59" s="3"/>
      <c r="N59" s="3"/>
      <c r="O59" s="31"/>
      <c r="P59" s="483"/>
      <c r="Q59" s="31"/>
      <c r="R59" s="31"/>
      <c r="S59" s="31"/>
      <c r="T59" s="31"/>
      <c r="U59" s="31"/>
      <c r="V59" s="31"/>
      <c r="W59" s="31"/>
      <c r="X59" s="3"/>
      <c r="Y59" s="3"/>
      <c r="Z59" s="3"/>
    </row>
    <row r="60" spans="2:26" ht="157.5">
      <c r="B60" s="69"/>
      <c r="C60" s="652"/>
      <c r="D60" s="652"/>
      <c r="E60" s="652"/>
      <c r="F60" s="652"/>
      <c r="G60" s="652"/>
      <c r="H60" s="652"/>
      <c r="I60" s="652"/>
      <c r="J60" s="651" t="s">
        <v>501</v>
      </c>
      <c r="K60" s="651" t="s">
        <v>773</v>
      </c>
      <c r="L60" s="651">
        <v>16</v>
      </c>
      <c r="M60" s="138" t="s">
        <v>571</v>
      </c>
      <c r="N60" s="3" t="s">
        <v>90</v>
      </c>
      <c r="O60" s="31" t="s">
        <v>1945</v>
      </c>
      <c r="P60" s="502">
        <v>2846.55</v>
      </c>
      <c r="Q60" s="502">
        <v>2794.62</v>
      </c>
      <c r="R60" s="502">
        <v>2800</v>
      </c>
      <c r="S60" s="502">
        <v>2850</v>
      </c>
      <c r="T60" s="502">
        <v>2900</v>
      </c>
      <c r="U60" s="502">
        <v>2940</v>
      </c>
      <c r="V60" s="502">
        <v>2980</v>
      </c>
      <c r="W60" s="31">
        <v>2980</v>
      </c>
      <c r="X60" s="3" t="s">
        <v>679</v>
      </c>
      <c r="Y60" s="3" t="s">
        <v>99</v>
      </c>
      <c r="Z60" s="3" t="s">
        <v>100</v>
      </c>
    </row>
    <row r="61" spans="2:26" ht="157.5">
      <c r="B61" s="69"/>
      <c r="C61" s="652"/>
      <c r="D61" s="652"/>
      <c r="E61" s="652"/>
      <c r="F61" s="652"/>
      <c r="G61" s="652"/>
      <c r="H61" s="652"/>
      <c r="I61" s="652"/>
      <c r="J61" s="652"/>
      <c r="K61" s="652"/>
      <c r="L61" s="652"/>
      <c r="M61" s="652"/>
      <c r="N61" s="3" t="s">
        <v>91</v>
      </c>
      <c r="O61" s="31" t="s">
        <v>1946</v>
      </c>
      <c r="P61" s="31">
        <v>74.989999999999995</v>
      </c>
      <c r="Q61" s="31">
        <v>70.88</v>
      </c>
      <c r="R61" s="496">
        <v>73.540000000000006</v>
      </c>
      <c r="S61" s="496">
        <v>74</v>
      </c>
      <c r="T61" s="496">
        <v>74.75</v>
      </c>
      <c r="U61" s="496">
        <v>75.5</v>
      </c>
      <c r="V61" s="31" t="s">
        <v>4592</v>
      </c>
      <c r="W61" s="31" t="s">
        <v>4592</v>
      </c>
      <c r="X61" s="3" t="s">
        <v>679</v>
      </c>
      <c r="Y61" s="3" t="s">
        <v>99</v>
      </c>
      <c r="Z61" s="3" t="s">
        <v>101</v>
      </c>
    </row>
    <row r="62" spans="2:26" ht="126">
      <c r="B62" s="69"/>
      <c r="C62" s="652"/>
      <c r="D62" s="652"/>
      <c r="E62" s="652"/>
      <c r="F62" s="652"/>
      <c r="G62" s="652"/>
      <c r="H62" s="652"/>
      <c r="I62" s="652"/>
      <c r="J62" s="652"/>
      <c r="K62" s="652"/>
      <c r="L62" s="652"/>
      <c r="M62" s="652"/>
      <c r="N62" s="3" t="s">
        <v>1947</v>
      </c>
      <c r="O62" s="31" t="s">
        <v>742</v>
      </c>
      <c r="P62" s="484">
        <v>29</v>
      </c>
      <c r="Q62" s="484">
        <v>35</v>
      </c>
      <c r="R62" s="484">
        <v>43</v>
      </c>
      <c r="S62" s="484">
        <v>51</v>
      </c>
      <c r="T62" s="484">
        <v>59</v>
      </c>
      <c r="U62" s="484">
        <v>67</v>
      </c>
      <c r="V62" s="484">
        <v>75</v>
      </c>
      <c r="W62" s="484">
        <v>75</v>
      </c>
      <c r="X62" s="3" t="s">
        <v>679</v>
      </c>
      <c r="Y62" s="3" t="s">
        <v>1948</v>
      </c>
      <c r="Z62" s="3" t="s">
        <v>102</v>
      </c>
    </row>
    <row r="63" spans="2:26" ht="47.25">
      <c r="B63" s="69"/>
      <c r="C63" s="652"/>
      <c r="D63" s="652"/>
      <c r="E63" s="652"/>
      <c r="F63" s="652"/>
      <c r="G63" s="652"/>
      <c r="H63" s="652"/>
      <c r="I63" s="652"/>
      <c r="J63" s="652"/>
      <c r="K63" s="652"/>
      <c r="L63" s="652"/>
      <c r="M63" s="652"/>
      <c r="N63" s="3" t="s">
        <v>1949</v>
      </c>
      <c r="O63" s="31" t="s">
        <v>701</v>
      </c>
      <c r="P63" s="492">
        <v>2.6</v>
      </c>
      <c r="Q63" s="492" t="s">
        <v>1950</v>
      </c>
      <c r="R63" s="484">
        <v>10</v>
      </c>
      <c r="S63" s="484">
        <v>10</v>
      </c>
      <c r="T63" s="484">
        <v>10</v>
      </c>
      <c r="U63" s="484">
        <v>10</v>
      </c>
      <c r="V63" s="484">
        <v>10</v>
      </c>
      <c r="W63" s="484">
        <v>10</v>
      </c>
      <c r="X63" s="3" t="s">
        <v>679</v>
      </c>
      <c r="Y63" s="3" t="s">
        <v>1951</v>
      </c>
      <c r="Z63" s="3"/>
    </row>
    <row r="64" spans="2:26" ht="252">
      <c r="B64" s="69"/>
      <c r="C64" s="652"/>
      <c r="D64" s="652"/>
      <c r="E64" s="652"/>
      <c r="F64" s="652"/>
      <c r="G64" s="652"/>
      <c r="H64" s="652"/>
      <c r="I64" s="652"/>
      <c r="J64" s="652"/>
      <c r="K64" s="652"/>
      <c r="L64" s="652"/>
      <c r="M64" s="652"/>
      <c r="N64" s="3" t="s">
        <v>713</v>
      </c>
      <c r="O64" s="31" t="s">
        <v>701</v>
      </c>
      <c r="P64" s="31">
        <v>50</v>
      </c>
      <c r="Q64" s="33">
        <v>50</v>
      </c>
      <c r="R64" s="33">
        <v>60</v>
      </c>
      <c r="S64" s="33">
        <v>60</v>
      </c>
      <c r="T64" s="33">
        <v>75</v>
      </c>
      <c r="U64" s="33">
        <v>75</v>
      </c>
      <c r="V64" s="33">
        <v>85</v>
      </c>
      <c r="W64" s="34">
        <v>85</v>
      </c>
      <c r="X64" s="3" t="s">
        <v>679</v>
      </c>
      <c r="Y64" s="3" t="s">
        <v>714</v>
      </c>
      <c r="Z64" s="3" t="s">
        <v>4566</v>
      </c>
    </row>
    <row r="65" spans="2:26" ht="63">
      <c r="B65" s="69"/>
      <c r="C65" s="652"/>
      <c r="D65" s="652"/>
      <c r="E65" s="652"/>
      <c r="F65" s="652"/>
      <c r="G65" s="652"/>
      <c r="H65" s="652"/>
      <c r="I65" s="652"/>
      <c r="J65" s="652"/>
      <c r="K65" s="652"/>
      <c r="L65" s="652"/>
      <c r="M65" s="652"/>
      <c r="N65" s="3" t="s">
        <v>40</v>
      </c>
      <c r="O65" s="31" t="s">
        <v>701</v>
      </c>
      <c r="P65" s="33">
        <v>88</v>
      </c>
      <c r="Q65" s="33">
        <v>88.5</v>
      </c>
      <c r="R65" s="33">
        <v>89</v>
      </c>
      <c r="S65" s="33">
        <v>90</v>
      </c>
      <c r="T65" s="33">
        <v>90.45</v>
      </c>
      <c r="U65" s="33">
        <v>90.85</v>
      </c>
      <c r="V65" s="33">
        <v>91</v>
      </c>
      <c r="W65" s="33">
        <v>91</v>
      </c>
      <c r="X65" s="3" t="s">
        <v>679</v>
      </c>
      <c r="Y65" s="3" t="s">
        <v>92</v>
      </c>
      <c r="Z65" s="3" t="s">
        <v>103</v>
      </c>
    </row>
    <row r="66" spans="2:26" ht="63">
      <c r="B66" s="69"/>
      <c r="C66" s="652"/>
      <c r="D66" s="652"/>
      <c r="E66" s="652"/>
      <c r="F66" s="652"/>
      <c r="G66" s="652"/>
      <c r="H66" s="652"/>
      <c r="I66" s="652"/>
      <c r="J66" s="652"/>
      <c r="K66" s="652"/>
      <c r="L66" s="652"/>
      <c r="M66" s="652"/>
      <c r="N66" s="3" t="s">
        <v>41</v>
      </c>
      <c r="O66" s="31" t="s">
        <v>701</v>
      </c>
      <c r="P66" s="31" t="s">
        <v>743</v>
      </c>
      <c r="Q66" s="31" t="s">
        <v>743</v>
      </c>
      <c r="R66" s="33">
        <v>60</v>
      </c>
      <c r="S66" s="33">
        <v>80</v>
      </c>
      <c r="T66" s="33">
        <v>80</v>
      </c>
      <c r="U66" s="33">
        <v>85</v>
      </c>
      <c r="V66" s="33">
        <v>90</v>
      </c>
      <c r="W66" s="34">
        <f>V66</f>
        <v>90</v>
      </c>
      <c r="X66" s="3" t="s">
        <v>679</v>
      </c>
      <c r="Y66" s="3" t="s">
        <v>715</v>
      </c>
      <c r="Z66" s="3" t="s">
        <v>102</v>
      </c>
    </row>
    <row r="67" spans="2:26" ht="31.5">
      <c r="B67" s="69"/>
      <c r="C67" s="652"/>
      <c r="D67" s="652"/>
      <c r="E67" s="652"/>
      <c r="F67" s="652"/>
      <c r="G67" s="652"/>
      <c r="H67" s="652"/>
      <c r="I67" s="652"/>
      <c r="J67" s="652"/>
      <c r="K67" s="652"/>
      <c r="L67" s="652"/>
      <c r="M67" s="652"/>
      <c r="N67" s="3" t="s">
        <v>4594</v>
      </c>
      <c r="O67" s="31" t="s">
        <v>4595</v>
      </c>
      <c r="P67" s="31">
        <v>6</v>
      </c>
      <c r="Q67" s="31">
        <v>8</v>
      </c>
      <c r="R67" s="33">
        <v>8</v>
      </c>
      <c r="S67" s="33">
        <v>9</v>
      </c>
      <c r="T67" s="33">
        <v>9</v>
      </c>
      <c r="U67" s="33">
        <v>10</v>
      </c>
      <c r="V67" s="33">
        <v>10</v>
      </c>
      <c r="W67" s="34">
        <v>10</v>
      </c>
      <c r="X67" s="3" t="s">
        <v>679</v>
      </c>
      <c r="Y67" s="3" t="s">
        <v>4602</v>
      </c>
      <c r="Z67" s="3"/>
    </row>
    <row r="68" spans="2:26" ht="47.25">
      <c r="B68" s="69"/>
      <c r="C68" s="652"/>
      <c r="D68" s="652"/>
      <c r="E68" s="652"/>
      <c r="F68" s="652"/>
      <c r="G68" s="652"/>
      <c r="H68" s="652"/>
      <c r="I68" s="652"/>
      <c r="J68" s="652"/>
      <c r="K68" s="652"/>
      <c r="L68" s="652"/>
      <c r="M68" s="652"/>
      <c r="N68" s="3" t="s">
        <v>4600</v>
      </c>
      <c r="O68" s="31" t="s">
        <v>4601</v>
      </c>
      <c r="P68" s="32" t="s">
        <v>743</v>
      </c>
      <c r="Q68" s="31">
        <v>2</v>
      </c>
      <c r="R68" s="33">
        <v>3</v>
      </c>
      <c r="S68" s="33">
        <v>4</v>
      </c>
      <c r="T68" s="33">
        <v>4</v>
      </c>
      <c r="U68" s="33">
        <v>5</v>
      </c>
      <c r="V68" s="33">
        <v>5</v>
      </c>
      <c r="W68" s="34">
        <v>5</v>
      </c>
      <c r="X68" s="3" t="s">
        <v>679</v>
      </c>
      <c r="Y68" s="3" t="s">
        <v>4603</v>
      </c>
      <c r="Z68" s="3"/>
    </row>
    <row r="69" spans="2:26" ht="94.5">
      <c r="B69" s="69"/>
      <c r="C69" s="652"/>
      <c r="D69" s="652"/>
      <c r="E69" s="652"/>
      <c r="F69" s="652"/>
      <c r="G69" s="652"/>
      <c r="H69" s="652"/>
      <c r="I69" s="652"/>
      <c r="J69" s="652"/>
      <c r="K69" s="652"/>
      <c r="L69" s="652"/>
      <c r="M69" s="653"/>
      <c r="N69" s="3" t="s">
        <v>716</v>
      </c>
      <c r="O69" s="31" t="s">
        <v>701</v>
      </c>
      <c r="P69" s="33">
        <v>66.67</v>
      </c>
      <c r="Q69" s="33">
        <v>66.67</v>
      </c>
      <c r="R69" s="33">
        <v>70</v>
      </c>
      <c r="S69" s="33">
        <v>90</v>
      </c>
      <c r="T69" s="33">
        <v>95</v>
      </c>
      <c r="U69" s="33">
        <v>100</v>
      </c>
      <c r="V69" s="33">
        <v>100</v>
      </c>
      <c r="W69" s="33">
        <v>100</v>
      </c>
      <c r="X69" s="3" t="s">
        <v>679</v>
      </c>
      <c r="Y69" s="3" t="s">
        <v>717</v>
      </c>
      <c r="Z69" s="3"/>
    </row>
    <row r="70" spans="2:26" ht="78.75">
      <c r="B70" s="37" t="s">
        <v>9</v>
      </c>
      <c r="C70" s="651">
        <v>7</v>
      </c>
      <c r="D70" s="651" t="s">
        <v>42</v>
      </c>
      <c r="E70" s="651">
        <v>13</v>
      </c>
      <c r="F70" s="651" t="s">
        <v>734</v>
      </c>
      <c r="G70" s="651" t="s">
        <v>735</v>
      </c>
      <c r="H70" s="890" t="s">
        <v>5010</v>
      </c>
      <c r="I70" s="870" t="s">
        <v>680</v>
      </c>
      <c r="J70" s="651"/>
      <c r="K70" s="651"/>
      <c r="L70" s="651"/>
      <c r="M70" s="651"/>
      <c r="N70" s="3"/>
      <c r="O70" s="31"/>
      <c r="P70" s="483"/>
      <c r="Q70" s="31"/>
      <c r="R70" s="31"/>
      <c r="S70" s="31"/>
      <c r="T70" s="31"/>
      <c r="U70" s="31"/>
      <c r="V70" s="31"/>
      <c r="W70" s="31"/>
      <c r="X70" s="3"/>
      <c r="Y70" s="3"/>
      <c r="Z70" s="3"/>
    </row>
    <row r="71" spans="2:26" ht="283.5">
      <c r="B71" s="69"/>
      <c r="C71" s="652"/>
      <c r="D71" s="652"/>
      <c r="E71" s="652"/>
      <c r="F71" s="652"/>
      <c r="G71" s="652"/>
      <c r="H71" s="652"/>
      <c r="I71" s="652"/>
      <c r="J71" s="652"/>
      <c r="K71" s="652"/>
      <c r="L71" s="652"/>
      <c r="M71" s="652"/>
      <c r="N71" s="3" t="s">
        <v>2127</v>
      </c>
      <c r="O71" s="31" t="s">
        <v>742</v>
      </c>
      <c r="P71" s="483">
        <v>8</v>
      </c>
      <c r="Q71" s="31">
        <v>8</v>
      </c>
      <c r="R71" s="31">
        <v>9</v>
      </c>
      <c r="S71" s="31">
        <v>10</v>
      </c>
      <c r="T71" s="31">
        <v>10</v>
      </c>
      <c r="U71" s="31">
        <v>11</v>
      </c>
      <c r="V71" s="31">
        <v>11</v>
      </c>
      <c r="W71" s="31">
        <v>11</v>
      </c>
      <c r="X71" s="3" t="s">
        <v>681</v>
      </c>
      <c r="Y71" s="3" t="s">
        <v>2129</v>
      </c>
      <c r="Z71" s="3" t="s">
        <v>2128</v>
      </c>
    </row>
    <row r="72" spans="2:26" ht="141.75">
      <c r="B72" s="69"/>
      <c r="C72" s="652"/>
      <c r="D72" s="652"/>
      <c r="E72" s="652"/>
      <c r="F72" s="652"/>
      <c r="G72" s="651"/>
      <c r="H72" s="651"/>
      <c r="I72" s="870" t="s">
        <v>4914</v>
      </c>
      <c r="J72" s="651" t="s">
        <v>594</v>
      </c>
      <c r="K72" s="651" t="s">
        <v>773</v>
      </c>
      <c r="L72" s="651">
        <v>16</v>
      </c>
      <c r="M72" s="651" t="s">
        <v>94</v>
      </c>
      <c r="N72" s="3" t="s">
        <v>4593</v>
      </c>
      <c r="O72" s="31" t="s">
        <v>765</v>
      </c>
      <c r="P72" s="483">
        <v>2</v>
      </c>
      <c r="Q72" s="31">
        <v>2</v>
      </c>
      <c r="R72" s="31">
        <v>4</v>
      </c>
      <c r="S72" s="31">
        <v>6</v>
      </c>
      <c r="T72" s="31">
        <v>8</v>
      </c>
      <c r="U72" s="31">
        <v>10</v>
      </c>
      <c r="V72" s="31">
        <v>12</v>
      </c>
      <c r="W72" s="31">
        <v>12</v>
      </c>
      <c r="X72" s="3" t="s">
        <v>681</v>
      </c>
      <c r="Y72" s="3" t="s">
        <v>95</v>
      </c>
      <c r="Z72" s="3" t="s">
        <v>764</v>
      </c>
    </row>
    <row r="73" spans="2:26" ht="78.75">
      <c r="B73" s="69"/>
      <c r="C73" s="652"/>
      <c r="D73" s="652"/>
      <c r="E73" s="652"/>
      <c r="F73" s="652"/>
      <c r="G73" s="652"/>
      <c r="H73" s="652"/>
      <c r="I73" s="652"/>
      <c r="J73" s="653"/>
      <c r="K73" s="653"/>
      <c r="L73" s="653"/>
      <c r="M73" s="653"/>
      <c r="N73" s="3" t="s">
        <v>768</v>
      </c>
      <c r="O73" s="31" t="s">
        <v>701</v>
      </c>
      <c r="P73" s="483" t="s">
        <v>1556</v>
      </c>
      <c r="Q73" s="483" t="s">
        <v>1556</v>
      </c>
      <c r="R73" s="31">
        <v>10</v>
      </c>
      <c r="S73" s="31">
        <v>15</v>
      </c>
      <c r="T73" s="31">
        <v>20</v>
      </c>
      <c r="U73" s="31">
        <v>25</v>
      </c>
      <c r="V73" s="31">
        <v>30</v>
      </c>
      <c r="W73" s="31">
        <v>30</v>
      </c>
      <c r="X73" s="3" t="s">
        <v>681</v>
      </c>
      <c r="Y73" s="3" t="s">
        <v>4567</v>
      </c>
      <c r="Z73" s="453" t="s">
        <v>4568</v>
      </c>
    </row>
    <row r="74" spans="2:26" ht="78.75">
      <c r="B74" s="69"/>
      <c r="C74" s="652"/>
      <c r="D74" s="652"/>
      <c r="E74" s="652"/>
      <c r="F74" s="652"/>
      <c r="G74" s="652"/>
      <c r="H74" s="652"/>
      <c r="I74" s="652"/>
      <c r="J74" s="651" t="s">
        <v>594</v>
      </c>
      <c r="K74" s="651" t="s">
        <v>773</v>
      </c>
      <c r="L74" s="651"/>
      <c r="M74" s="651" t="s">
        <v>97</v>
      </c>
      <c r="N74" s="3" t="s">
        <v>778</v>
      </c>
      <c r="O74" s="31" t="s">
        <v>766</v>
      </c>
      <c r="P74" s="483">
        <v>4</v>
      </c>
      <c r="Q74" s="31">
        <v>4</v>
      </c>
      <c r="R74" s="31">
        <v>5</v>
      </c>
      <c r="S74" s="31">
        <v>6</v>
      </c>
      <c r="T74" s="31">
        <v>7</v>
      </c>
      <c r="U74" s="31">
        <v>8</v>
      </c>
      <c r="V74" s="31">
        <v>9</v>
      </c>
      <c r="W74" s="31">
        <v>9</v>
      </c>
      <c r="X74" s="3" t="s">
        <v>681</v>
      </c>
      <c r="Y74" s="3" t="s">
        <v>93</v>
      </c>
      <c r="Z74" s="3" t="s">
        <v>767</v>
      </c>
    </row>
    <row r="75" spans="2:26" ht="110.25">
      <c r="B75" s="69"/>
      <c r="C75" s="652"/>
      <c r="D75" s="652"/>
      <c r="E75" s="652"/>
      <c r="F75" s="652"/>
      <c r="G75" s="652"/>
      <c r="H75" s="652"/>
      <c r="I75" s="652"/>
      <c r="J75" s="653"/>
      <c r="K75" s="653"/>
      <c r="L75" s="653"/>
      <c r="M75" s="653"/>
      <c r="N75" s="3" t="s">
        <v>779</v>
      </c>
      <c r="O75" s="31" t="s">
        <v>742</v>
      </c>
      <c r="P75" s="483">
        <v>5</v>
      </c>
      <c r="Q75" s="31">
        <v>5</v>
      </c>
      <c r="R75" s="31">
        <v>5</v>
      </c>
      <c r="S75" s="31">
        <v>6</v>
      </c>
      <c r="T75" s="31">
        <v>6</v>
      </c>
      <c r="U75" s="31">
        <v>7</v>
      </c>
      <c r="V75" s="31">
        <v>7</v>
      </c>
      <c r="W75" s="31">
        <v>7</v>
      </c>
      <c r="X75" s="3" t="s">
        <v>681</v>
      </c>
      <c r="Y75" s="3" t="s">
        <v>2131</v>
      </c>
      <c r="Z75" s="3" t="s">
        <v>769</v>
      </c>
    </row>
    <row r="76" spans="2:26" ht="236.25">
      <c r="B76" s="77"/>
      <c r="C76" s="653"/>
      <c r="D76" s="653"/>
      <c r="E76" s="653"/>
      <c r="F76" s="653"/>
      <c r="G76" s="653"/>
      <c r="H76" s="653"/>
      <c r="I76" s="653"/>
      <c r="J76" s="3" t="s">
        <v>594</v>
      </c>
      <c r="K76" s="3" t="s">
        <v>773</v>
      </c>
      <c r="L76" s="3">
        <v>17</v>
      </c>
      <c r="M76" s="3" t="s">
        <v>96</v>
      </c>
      <c r="N76" s="3" t="s">
        <v>780</v>
      </c>
      <c r="O76" s="31" t="s">
        <v>766</v>
      </c>
      <c r="P76" s="483">
        <v>3</v>
      </c>
      <c r="Q76" s="31">
        <v>3</v>
      </c>
      <c r="R76" s="31">
        <v>5</v>
      </c>
      <c r="S76" s="31">
        <v>7</v>
      </c>
      <c r="T76" s="31">
        <v>8</v>
      </c>
      <c r="U76" s="31">
        <v>9</v>
      </c>
      <c r="V76" s="31">
        <v>10</v>
      </c>
      <c r="W76" s="31">
        <v>11</v>
      </c>
      <c r="X76" s="3" t="s">
        <v>681</v>
      </c>
      <c r="Y76" s="3" t="s">
        <v>2130</v>
      </c>
      <c r="Z76" s="3" t="s">
        <v>770</v>
      </c>
    </row>
    <row r="77" spans="2:26" ht="110.25">
      <c r="B77" s="37" t="s">
        <v>10</v>
      </c>
      <c r="C77" s="651">
        <v>8</v>
      </c>
      <c r="D77" s="651" t="s">
        <v>43</v>
      </c>
      <c r="E77" s="651">
        <v>14</v>
      </c>
      <c r="F77" s="651" t="s">
        <v>44</v>
      </c>
      <c r="G77" s="651" t="s">
        <v>682</v>
      </c>
      <c r="H77" s="890" t="s">
        <v>5011</v>
      </c>
      <c r="I77" s="870" t="s">
        <v>4915</v>
      </c>
      <c r="J77" s="651"/>
      <c r="K77" s="651"/>
      <c r="L77" s="651"/>
      <c r="M77" s="651"/>
      <c r="N77" s="3"/>
      <c r="O77" s="31"/>
      <c r="P77" s="483"/>
      <c r="Q77" s="31"/>
      <c r="R77" s="31"/>
      <c r="S77" s="31"/>
      <c r="T77" s="31"/>
      <c r="U77" s="31"/>
      <c r="V77" s="31"/>
      <c r="W77" s="31"/>
      <c r="X77" s="3"/>
      <c r="Y77" s="3"/>
      <c r="Z77" s="3"/>
    </row>
    <row r="78" spans="2:26" ht="110.25">
      <c r="B78" s="69"/>
      <c r="C78" s="652"/>
      <c r="D78" s="652"/>
      <c r="E78" s="653"/>
      <c r="F78" s="653"/>
      <c r="G78" s="653"/>
      <c r="H78" s="653"/>
      <c r="I78" s="653"/>
      <c r="J78" s="653" t="s">
        <v>639</v>
      </c>
      <c r="K78" s="653" t="s">
        <v>773</v>
      </c>
      <c r="L78" s="653">
        <v>16</v>
      </c>
      <c r="M78" s="653" t="s">
        <v>56</v>
      </c>
      <c r="N78" s="3" t="s">
        <v>752</v>
      </c>
      <c r="O78" s="31" t="s">
        <v>701</v>
      </c>
      <c r="P78" s="503">
        <f>8621/15721*100</f>
        <v>54.837478531900011</v>
      </c>
      <c r="Q78" s="503">
        <f>8621/15721*100</f>
        <v>54.837478531900011</v>
      </c>
      <c r="R78" s="503">
        <f>8670/15800*100</f>
        <v>54.87341772151899</v>
      </c>
      <c r="S78" s="503">
        <f>8756/15850*100</f>
        <v>55.242902208201897</v>
      </c>
      <c r="T78" s="503">
        <f>8790/15900*100</f>
        <v>55.283018867924525</v>
      </c>
      <c r="U78" s="503">
        <f>8854/15950*100</f>
        <v>55.510971786833849</v>
      </c>
      <c r="V78" s="503">
        <f>8896/16000*100</f>
        <v>55.600000000000009</v>
      </c>
      <c r="W78" s="474">
        <f>V78</f>
        <v>55.600000000000009</v>
      </c>
      <c r="X78" s="3" t="s">
        <v>683</v>
      </c>
      <c r="Y78" s="3" t="s">
        <v>55</v>
      </c>
      <c r="Z78" s="3" t="s">
        <v>33</v>
      </c>
    </row>
    <row r="79" spans="2:26" ht="63">
      <c r="B79" s="69"/>
      <c r="C79" s="652"/>
      <c r="D79" s="652"/>
      <c r="E79" s="651">
        <v>15</v>
      </c>
      <c r="F79" s="651" t="s">
        <v>45</v>
      </c>
      <c r="G79" s="651" t="s">
        <v>684</v>
      </c>
      <c r="H79" s="651"/>
      <c r="I79" s="870" t="s">
        <v>4916</v>
      </c>
      <c r="J79" s="651"/>
      <c r="K79" s="651"/>
      <c r="L79" s="651"/>
      <c r="M79" s="651"/>
      <c r="N79" s="3"/>
      <c r="O79" s="31"/>
      <c r="P79" s="31"/>
      <c r="Q79" s="31"/>
      <c r="R79" s="485"/>
      <c r="S79" s="485"/>
      <c r="T79" s="485"/>
      <c r="U79" s="485"/>
      <c r="V79" s="485"/>
      <c r="W79" s="504"/>
      <c r="X79" s="3"/>
      <c r="Y79" s="3"/>
      <c r="Z79" s="3"/>
    </row>
    <row r="80" spans="2:26" ht="78.75">
      <c r="B80" s="77"/>
      <c r="C80" s="653"/>
      <c r="D80" s="653"/>
      <c r="E80" s="653"/>
      <c r="F80" s="653"/>
      <c r="G80" s="653"/>
      <c r="H80" s="653"/>
      <c r="I80" s="653"/>
      <c r="J80" s="653"/>
      <c r="K80" s="653"/>
      <c r="L80" s="653"/>
      <c r="M80" s="653"/>
      <c r="N80" s="3" t="s">
        <v>46</v>
      </c>
      <c r="O80" s="31" t="s">
        <v>701</v>
      </c>
      <c r="P80" s="498">
        <f>15640/15721*100</f>
        <v>99.484765600152656</v>
      </c>
      <c r="Q80" s="498">
        <f>15650/15721*100</f>
        <v>99.548374785318998</v>
      </c>
      <c r="R80" s="503">
        <f>15740/15800*100</f>
        <v>99.620253164556956</v>
      </c>
      <c r="S80" s="503">
        <f>15800/15850*100</f>
        <v>99.684542586750794</v>
      </c>
      <c r="T80" s="503">
        <f>15850/15900*100</f>
        <v>99.685534591194966</v>
      </c>
      <c r="U80" s="503">
        <f>15905/15950*100</f>
        <v>99.717868338557992</v>
      </c>
      <c r="V80" s="503">
        <f>15960/16000*100</f>
        <v>99.75</v>
      </c>
      <c r="W80" s="474">
        <f>V80</f>
        <v>99.75</v>
      </c>
      <c r="X80" s="3" t="s">
        <v>683</v>
      </c>
      <c r="Y80" s="3" t="s">
        <v>57</v>
      </c>
      <c r="Z80" s="3" t="s">
        <v>58</v>
      </c>
    </row>
    <row r="81" spans="2:26" ht="110.25">
      <c r="B81" s="37" t="s">
        <v>11</v>
      </c>
      <c r="C81" s="651">
        <v>9</v>
      </c>
      <c r="D81" s="651" t="s">
        <v>47</v>
      </c>
      <c r="E81" s="651">
        <v>16</v>
      </c>
      <c r="F81" s="651" t="s">
        <v>3</v>
      </c>
      <c r="G81" s="651" t="s">
        <v>686</v>
      </c>
      <c r="H81" s="890" t="s">
        <v>5012</v>
      </c>
      <c r="I81" s="870" t="s">
        <v>4917</v>
      </c>
      <c r="J81" s="3"/>
      <c r="K81" s="3"/>
      <c r="L81" s="3"/>
      <c r="M81" s="3"/>
      <c r="N81" s="3"/>
      <c r="O81" s="31"/>
      <c r="P81" s="483"/>
      <c r="Q81" s="31"/>
      <c r="R81" s="31"/>
      <c r="S81" s="31"/>
      <c r="T81" s="31"/>
      <c r="U81" s="31"/>
      <c r="V81" s="31"/>
      <c r="W81" s="31"/>
      <c r="X81" s="3"/>
      <c r="Y81" s="3"/>
      <c r="Z81" s="3"/>
    </row>
    <row r="82" spans="2:26" ht="141.75">
      <c r="B82" s="69"/>
      <c r="C82" s="652"/>
      <c r="D82" s="652"/>
      <c r="E82" s="652"/>
      <c r="F82" s="652"/>
      <c r="G82" s="652"/>
      <c r="H82" s="652"/>
      <c r="I82" s="652"/>
      <c r="J82" s="3" t="s">
        <v>622</v>
      </c>
      <c r="K82" s="3" t="s">
        <v>773</v>
      </c>
      <c r="L82" s="3">
        <v>21</v>
      </c>
      <c r="M82" s="3" t="s">
        <v>636</v>
      </c>
      <c r="N82" s="3" t="s">
        <v>60</v>
      </c>
      <c r="O82" s="31" t="s">
        <v>742</v>
      </c>
      <c r="P82" s="31">
        <v>2</v>
      </c>
      <c r="Q82" s="31">
        <v>2</v>
      </c>
      <c r="R82" s="31">
        <v>1</v>
      </c>
      <c r="S82" s="31">
        <v>1</v>
      </c>
      <c r="T82" s="31">
        <v>1</v>
      </c>
      <c r="U82" s="31">
        <v>1</v>
      </c>
      <c r="V82" s="31">
        <v>1</v>
      </c>
      <c r="W82" s="31">
        <v>5</v>
      </c>
      <c r="X82" s="3" t="s">
        <v>683</v>
      </c>
      <c r="Y82" s="3" t="s">
        <v>59</v>
      </c>
      <c r="Z82" s="3" t="s">
        <v>4311</v>
      </c>
    </row>
    <row r="83" spans="2:26" ht="63">
      <c r="B83" s="69"/>
      <c r="C83" s="652"/>
      <c r="D83" s="652"/>
      <c r="E83" s="653"/>
      <c r="F83" s="653"/>
      <c r="G83" s="653"/>
      <c r="H83" s="653"/>
      <c r="I83" s="653"/>
      <c r="J83" s="3" t="s">
        <v>622</v>
      </c>
      <c r="K83" s="3" t="s">
        <v>773</v>
      </c>
      <c r="L83" s="3">
        <v>20</v>
      </c>
      <c r="M83" s="3" t="s">
        <v>634</v>
      </c>
      <c r="N83" s="3" t="s">
        <v>719</v>
      </c>
      <c r="O83" s="31" t="s">
        <v>701</v>
      </c>
      <c r="P83" s="31">
        <v>100</v>
      </c>
      <c r="Q83" s="31">
        <v>100</v>
      </c>
      <c r="R83" s="31">
        <v>100</v>
      </c>
      <c r="S83" s="31">
        <v>100</v>
      </c>
      <c r="T83" s="31">
        <v>100</v>
      </c>
      <c r="U83" s="31">
        <v>100</v>
      </c>
      <c r="V83" s="31">
        <v>100</v>
      </c>
      <c r="W83" s="31">
        <v>100</v>
      </c>
      <c r="X83" s="3" t="s">
        <v>683</v>
      </c>
      <c r="Y83" s="3" t="s">
        <v>4586</v>
      </c>
      <c r="Z83" s="3"/>
    </row>
    <row r="84" spans="2:26" ht="94.5">
      <c r="B84" s="69"/>
      <c r="C84" s="652"/>
      <c r="D84" s="652"/>
      <c r="E84" s="651">
        <v>17</v>
      </c>
      <c r="F84" s="651" t="s">
        <v>48</v>
      </c>
      <c r="G84" s="651" t="s">
        <v>687</v>
      </c>
      <c r="H84" s="651"/>
      <c r="I84" s="870" t="s">
        <v>4918</v>
      </c>
      <c r="J84" s="651"/>
      <c r="K84" s="651"/>
      <c r="L84" s="651"/>
      <c r="M84" s="651"/>
      <c r="N84" s="3"/>
      <c r="O84" s="31"/>
      <c r="P84" s="31"/>
      <c r="Q84" s="31"/>
      <c r="R84" s="673"/>
      <c r="S84" s="673"/>
      <c r="T84" s="673"/>
      <c r="U84" s="505"/>
      <c r="V84" s="673"/>
      <c r="W84" s="31"/>
      <c r="X84" s="3"/>
      <c r="Y84" s="3"/>
      <c r="Z84" s="3"/>
    </row>
    <row r="85" spans="2:26" ht="78.75">
      <c r="B85" s="69"/>
      <c r="C85" s="652"/>
      <c r="D85" s="652"/>
      <c r="E85" s="652"/>
      <c r="F85" s="652"/>
      <c r="G85" s="652"/>
      <c r="H85" s="652"/>
      <c r="I85" s="652"/>
      <c r="J85" s="652" t="s">
        <v>622</v>
      </c>
      <c r="K85" s="652" t="s">
        <v>773</v>
      </c>
      <c r="L85" s="652">
        <v>17</v>
      </c>
      <c r="M85" s="652" t="s">
        <v>774</v>
      </c>
      <c r="N85" s="3" t="s">
        <v>753</v>
      </c>
      <c r="O85" s="31" t="s">
        <v>754</v>
      </c>
      <c r="P85" s="506">
        <v>108406133.59999999</v>
      </c>
      <c r="Q85" s="507">
        <v>150927864.90000001</v>
      </c>
      <c r="R85" s="508">
        <v>155000000</v>
      </c>
      <c r="S85" s="508">
        <v>160000000</v>
      </c>
      <c r="T85" s="508">
        <v>165000000</v>
      </c>
      <c r="U85" s="508">
        <v>170000000</v>
      </c>
      <c r="V85" s="508">
        <v>175000000</v>
      </c>
      <c r="W85" s="506">
        <f>V85</f>
        <v>175000000</v>
      </c>
      <c r="X85" s="3" t="s">
        <v>683</v>
      </c>
      <c r="Y85" s="3" t="s">
        <v>755</v>
      </c>
      <c r="Z85" s="3" t="s">
        <v>61</v>
      </c>
    </row>
    <row r="86" spans="2:26" ht="47.25">
      <c r="B86" s="69"/>
      <c r="C86" s="652"/>
      <c r="D86" s="652"/>
      <c r="E86" s="652"/>
      <c r="F86" s="652"/>
      <c r="G86" s="652"/>
      <c r="H86" s="652"/>
      <c r="I86" s="652"/>
      <c r="J86" s="653"/>
      <c r="K86" s="653"/>
      <c r="L86" s="653"/>
      <c r="M86" s="653"/>
      <c r="N86" s="3" t="s">
        <v>737</v>
      </c>
      <c r="O86" s="31" t="s">
        <v>741</v>
      </c>
      <c r="P86" s="31">
        <v>5</v>
      </c>
      <c r="Q86" s="31">
        <v>3</v>
      </c>
      <c r="R86" s="31">
        <v>3</v>
      </c>
      <c r="S86" s="31">
        <v>3</v>
      </c>
      <c r="T86" s="31">
        <v>3</v>
      </c>
      <c r="U86" s="31">
        <v>3</v>
      </c>
      <c r="V86" s="31">
        <v>3</v>
      </c>
      <c r="W86" s="31">
        <v>3</v>
      </c>
      <c r="X86" s="3" t="s">
        <v>683</v>
      </c>
      <c r="Y86" s="3" t="s">
        <v>738</v>
      </c>
      <c r="Z86" s="3"/>
    </row>
    <row r="87" spans="2:26" ht="63">
      <c r="B87" s="69"/>
      <c r="C87" s="652"/>
      <c r="D87" s="652"/>
      <c r="E87" s="653"/>
      <c r="F87" s="653"/>
      <c r="G87" s="653"/>
      <c r="H87" s="653"/>
      <c r="I87" s="653"/>
      <c r="J87" s="3" t="s">
        <v>622</v>
      </c>
      <c r="K87" s="3" t="s">
        <v>773</v>
      </c>
      <c r="L87" s="3">
        <v>19</v>
      </c>
      <c r="M87" s="3" t="s">
        <v>71</v>
      </c>
      <c r="N87" s="3" t="s">
        <v>70</v>
      </c>
      <c r="O87" s="31" t="s">
        <v>740</v>
      </c>
      <c r="P87" s="31">
        <v>120</v>
      </c>
      <c r="Q87" s="31">
        <v>120</v>
      </c>
      <c r="R87" s="31">
        <v>120</v>
      </c>
      <c r="S87" s="31">
        <v>240</v>
      </c>
      <c r="T87" s="31">
        <v>360</v>
      </c>
      <c r="U87" s="31">
        <v>480</v>
      </c>
      <c r="V87" s="31">
        <v>600</v>
      </c>
      <c r="W87" s="31">
        <v>600</v>
      </c>
      <c r="X87" s="3" t="s">
        <v>683</v>
      </c>
      <c r="Y87" s="3" t="s">
        <v>739</v>
      </c>
      <c r="Z87" s="3"/>
    </row>
    <row r="88" spans="2:26" ht="94.5">
      <c r="B88" s="69"/>
      <c r="C88" s="652"/>
      <c r="D88" s="652"/>
      <c r="E88" s="651">
        <v>18</v>
      </c>
      <c r="F88" s="651" t="s">
        <v>49</v>
      </c>
      <c r="G88" s="651" t="s">
        <v>688</v>
      </c>
      <c r="H88" s="651"/>
      <c r="I88" s="870" t="s">
        <v>4919</v>
      </c>
      <c r="J88" s="651"/>
      <c r="K88" s="651"/>
      <c r="L88" s="651"/>
      <c r="M88" s="651"/>
      <c r="N88" s="3"/>
      <c r="O88" s="31"/>
      <c r="P88" s="31"/>
      <c r="Q88" s="31"/>
      <c r="R88" s="31"/>
      <c r="S88" s="31"/>
      <c r="T88" s="31"/>
      <c r="U88" s="31"/>
      <c r="V88" s="31"/>
      <c r="W88" s="31"/>
      <c r="X88" s="3"/>
      <c r="Y88" s="3"/>
      <c r="Z88" s="3"/>
    </row>
    <row r="89" spans="2:26" ht="94.5">
      <c r="B89" s="69"/>
      <c r="C89" s="652"/>
      <c r="D89" s="652"/>
      <c r="E89" s="652"/>
      <c r="F89" s="652"/>
      <c r="G89" s="652"/>
      <c r="H89" s="652"/>
      <c r="I89" s="652"/>
      <c r="J89" s="652" t="s">
        <v>622</v>
      </c>
      <c r="K89" s="652" t="s">
        <v>773</v>
      </c>
      <c r="L89" s="652">
        <v>15</v>
      </c>
      <c r="M89" s="652" t="s">
        <v>69</v>
      </c>
      <c r="N89" s="3" t="s">
        <v>67</v>
      </c>
      <c r="O89" s="31" t="s">
        <v>744</v>
      </c>
      <c r="P89" s="31">
        <v>96</v>
      </c>
      <c r="Q89" s="31">
        <v>96</v>
      </c>
      <c r="R89" s="31">
        <v>96</v>
      </c>
      <c r="S89" s="31">
        <v>96</v>
      </c>
      <c r="T89" s="31">
        <v>96</v>
      </c>
      <c r="U89" s="31">
        <v>96</v>
      </c>
      <c r="V89" s="31">
        <v>96</v>
      </c>
      <c r="W89" s="31">
        <v>96</v>
      </c>
      <c r="X89" s="3" t="s">
        <v>683</v>
      </c>
      <c r="Y89" s="3" t="s">
        <v>756</v>
      </c>
      <c r="Z89" s="3" t="s">
        <v>68</v>
      </c>
    </row>
    <row r="90" spans="2:26" ht="63">
      <c r="B90" s="69"/>
      <c r="C90" s="652"/>
      <c r="D90" s="652"/>
      <c r="E90" s="652"/>
      <c r="F90" s="652"/>
      <c r="G90" s="652"/>
      <c r="H90" s="652"/>
      <c r="I90" s="652"/>
      <c r="J90" s="652"/>
      <c r="K90" s="652"/>
      <c r="L90" s="652"/>
      <c r="M90" s="652"/>
      <c r="N90" s="3" t="s">
        <v>50</v>
      </c>
      <c r="O90" s="31" t="s">
        <v>757</v>
      </c>
      <c r="P90" s="31">
        <v>14</v>
      </c>
      <c r="Q90" s="31">
        <v>10</v>
      </c>
      <c r="R90" s="31">
        <v>8</v>
      </c>
      <c r="S90" s="31">
        <v>6</v>
      </c>
      <c r="T90" s="31">
        <v>4</v>
      </c>
      <c r="U90" s="31">
        <v>2</v>
      </c>
      <c r="V90" s="31">
        <v>2</v>
      </c>
      <c r="W90" s="31">
        <v>2</v>
      </c>
      <c r="X90" s="3" t="s">
        <v>683</v>
      </c>
      <c r="Y90" s="3" t="s">
        <v>62</v>
      </c>
      <c r="Z90" s="3" t="s">
        <v>63</v>
      </c>
    </row>
    <row r="91" spans="2:26" ht="78.75">
      <c r="B91" s="69"/>
      <c r="C91" s="652"/>
      <c r="D91" s="652"/>
      <c r="E91" s="652"/>
      <c r="F91" s="652"/>
      <c r="G91" s="652"/>
      <c r="H91" s="652"/>
      <c r="I91" s="652"/>
      <c r="J91" s="652"/>
      <c r="K91" s="652"/>
      <c r="L91" s="652"/>
      <c r="M91" s="652"/>
      <c r="N91" s="3" t="s">
        <v>718</v>
      </c>
      <c r="O91" s="31" t="s">
        <v>742</v>
      </c>
      <c r="P91" s="485">
        <v>16601</v>
      </c>
      <c r="Q91" s="31">
        <v>16.77</v>
      </c>
      <c r="R91" s="509">
        <v>18823</v>
      </c>
      <c r="S91" s="509">
        <v>18879</v>
      </c>
      <c r="T91" s="509">
        <v>18936</v>
      </c>
      <c r="U91" s="509">
        <v>18993</v>
      </c>
      <c r="V91" s="509">
        <v>19050</v>
      </c>
      <c r="W91" s="483">
        <f>V91</f>
        <v>19050</v>
      </c>
      <c r="X91" s="3" t="s">
        <v>683</v>
      </c>
      <c r="Y91" s="3" t="s">
        <v>758</v>
      </c>
      <c r="Z91" s="3"/>
    </row>
    <row r="92" spans="2:26" ht="63">
      <c r="B92" s="77"/>
      <c r="C92" s="653"/>
      <c r="D92" s="653"/>
      <c r="E92" s="653"/>
      <c r="F92" s="653"/>
      <c r="G92" s="653"/>
      <c r="H92" s="653"/>
      <c r="I92" s="653"/>
      <c r="J92" s="653"/>
      <c r="K92" s="653"/>
      <c r="L92" s="653"/>
      <c r="M92" s="653"/>
      <c r="N92" s="3" t="s">
        <v>64</v>
      </c>
      <c r="O92" s="31" t="s">
        <v>701</v>
      </c>
      <c r="P92" s="31" t="s">
        <v>743</v>
      </c>
      <c r="Q92" s="31" t="s">
        <v>743</v>
      </c>
      <c r="R92" s="34">
        <v>50</v>
      </c>
      <c r="S92" s="34">
        <v>60</v>
      </c>
      <c r="T92" s="34">
        <v>75</v>
      </c>
      <c r="U92" s="34">
        <v>80</v>
      </c>
      <c r="V92" s="34">
        <v>85</v>
      </c>
      <c r="W92" s="34">
        <v>85</v>
      </c>
      <c r="X92" s="3" t="s">
        <v>683</v>
      </c>
      <c r="Y92" s="3" t="s">
        <v>4312</v>
      </c>
      <c r="Z92" s="3" t="s">
        <v>66</v>
      </c>
    </row>
    <row r="93" spans="2:26" ht="94.5">
      <c r="B93" s="37" t="s">
        <v>12</v>
      </c>
      <c r="C93" s="651">
        <v>10</v>
      </c>
      <c r="D93" s="78" t="s">
        <v>53</v>
      </c>
      <c r="E93" s="3"/>
      <c r="F93" s="3"/>
      <c r="G93" s="3"/>
      <c r="H93" s="3"/>
      <c r="I93" s="3"/>
      <c r="J93" s="651"/>
      <c r="K93" s="651"/>
      <c r="L93" s="651"/>
      <c r="M93" s="651"/>
      <c r="N93" s="3"/>
      <c r="O93" s="31"/>
      <c r="P93" s="483"/>
      <c r="Q93" s="31"/>
      <c r="R93" s="31"/>
      <c r="S93" s="31"/>
      <c r="T93" s="31"/>
      <c r="U93" s="31"/>
      <c r="V93" s="31"/>
      <c r="W93" s="31"/>
      <c r="X93" s="3"/>
      <c r="Y93" s="3"/>
      <c r="Z93" s="3"/>
    </row>
    <row r="94" spans="2:26" ht="63">
      <c r="B94" s="69"/>
      <c r="C94" s="652"/>
      <c r="D94" s="79"/>
      <c r="E94" s="651">
        <v>20</v>
      </c>
      <c r="F94" s="870" t="s">
        <v>4920</v>
      </c>
      <c r="G94" s="870" t="s">
        <v>4921</v>
      </c>
      <c r="H94" s="890" t="s">
        <v>5013</v>
      </c>
      <c r="I94" s="870" t="s">
        <v>4922</v>
      </c>
      <c r="J94" s="652"/>
      <c r="K94" s="652"/>
      <c r="L94" s="652"/>
      <c r="M94" s="652"/>
      <c r="N94" s="3"/>
      <c r="O94" s="31"/>
      <c r="P94" s="483"/>
      <c r="Q94" s="31"/>
      <c r="R94" s="31"/>
      <c r="S94" s="31"/>
      <c r="T94" s="31"/>
      <c r="U94" s="31"/>
      <c r="V94" s="31"/>
      <c r="W94" s="31"/>
      <c r="X94" s="3"/>
      <c r="Y94" s="3"/>
      <c r="Z94" s="3"/>
    </row>
    <row r="95" spans="2:26" ht="47.25">
      <c r="B95" s="69"/>
      <c r="C95" s="652"/>
      <c r="D95" s="79"/>
      <c r="E95" s="652"/>
      <c r="F95" s="652"/>
      <c r="G95" s="652"/>
      <c r="H95" s="75"/>
      <c r="I95" s="652"/>
      <c r="J95" s="652" t="s">
        <v>382</v>
      </c>
      <c r="K95" s="652" t="s">
        <v>773</v>
      </c>
      <c r="L95" s="652">
        <v>18</v>
      </c>
      <c r="M95" s="652" t="s">
        <v>78</v>
      </c>
      <c r="N95" s="3" t="s">
        <v>759</v>
      </c>
      <c r="O95" s="31" t="s">
        <v>701</v>
      </c>
      <c r="P95" s="498">
        <f>383/484*100</f>
        <v>79.132231404958674</v>
      </c>
      <c r="Q95" s="498">
        <f>404/484*100</f>
        <v>83.471074380165291</v>
      </c>
      <c r="R95" s="474">
        <f>419/484*100</f>
        <v>86.570247933884289</v>
      </c>
      <c r="S95" s="474">
        <f>424/484*100</f>
        <v>87.603305785123965</v>
      </c>
      <c r="T95" s="474">
        <f>429/484*100</f>
        <v>88.63636363636364</v>
      </c>
      <c r="U95" s="474">
        <f>434/484*100</f>
        <v>89.669421487603302</v>
      </c>
      <c r="V95" s="474">
        <f>439/484*100</f>
        <v>90.702479338842977</v>
      </c>
      <c r="W95" s="474">
        <f>439/484*100</f>
        <v>90.702479338842977</v>
      </c>
      <c r="X95" s="3" t="s">
        <v>693</v>
      </c>
      <c r="Y95" s="3" t="s">
        <v>4313</v>
      </c>
      <c r="Z95" s="3" t="s">
        <v>72</v>
      </c>
    </row>
    <row r="96" spans="2:26" ht="31.5">
      <c r="B96" s="69"/>
      <c r="C96" s="652"/>
      <c r="D96" s="79"/>
      <c r="E96" s="652"/>
      <c r="F96" s="652"/>
      <c r="G96" s="652"/>
      <c r="H96" s="75"/>
      <c r="I96" s="652"/>
      <c r="J96" s="652"/>
      <c r="K96" s="652"/>
      <c r="L96" s="652"/>
      <c r="M96" s="652"/>
      <c r="N96" s="3" t="s">
        <v>4587</v>
      </c>
      <c r="O96" s="31" t="s">
        <v>740</v>
      </c>
      <c r="P96" s="485">
        <v>149906</v>
      </c>
      <c r="Q96" s="485">
        <v>154700</v>
      </c>
      <c r="R96" s="484">
        <v>159670</v>
      </c>
      <c r="S96" s="484">
        <v>165500</v>
      </c>
      <c r="T96" s="484">
        <v>170800</v>
      </c>
      <c r="U96" s="484">
        <v>174500</v>
      </c>
      <c r="V96" s="484">
        <v>179500</v>
      </c>
      <c r="W96" s="485">
        <v>179500</v>
      </c>
      <c r="X96" s="3" t="s">
        <v>683</v>
      </c>
      <c r="Y96" s="3" t="s">
        <v>760</v>
      </c>
      <c r="Z96" s="3" t="s">
        <v>73</v>
      </c>
    </row>
    <row r="97" spans="2:26" ht="63">
      <c r="B97" s="69"/>
      <c r="C97" s="652"/>
      <c r="D97" s="79"/>
      <c r="E97" s="653"/>
      <c r="F97" s="653"/>
      <c r="G97" s="653"/>
      <c r="H97" s="76"/>
      <c r="I97" s="653"/>
      <c r="J97" s="653"/>
      <c r="K97" s="653"/>
      <c r="L97" s="653"/>
      <c r="M97" s="653"/>
      <c r="N97" s="3" t="s">
        <v>4588</v>
      </c>
      <c r="O97" s="31" t="s">
        <v>701</v>
      </c>
      <c r="P97" s="498">
        <f>178/484*100</f>
        <v>36.776859504132233</v>
      </c>
      <c r="Q97" s="498">
        <f>185/484*100</f>
        <v>38.223140495867767</v>
      </c>
      <c r="R97" s="474">
        <f>195/484*100</f>
        <v>40.289256198347104</v>
      </c>
      <c r="S97" s="474">
        <f>210/484*100</f>
        <v>43.388429752066116</v>
      </c>
      <c r="T97" s="474">
        <f>225/484*100</f>
        <v>46.487603305785122</v>
      </c>
      <c r="U97" s="474">
        <f>235/484*100</f>
        <v>48.553719008264466</v>
      </c>
      <c r="V97" s="474">
        <f>260/484*100</f>
        <v>53.719008264462808</v>
      </c>
      <c r="W97" s="474">
        <f>V97</f>
        <v>53.719008264462808</v>
      </c>
      <c r="X97" s="3" t="s">
        <v>683</v>
      </c>
      <c r="Y97" s="3" t="s">
        <v>761</v>
      </c>
      <c r="Z97" s="3" t="s">
        <v>74</v>
      </c>
    </row>
    <row r="98" spans="2:26" ht="157.5">
      <c r="B98" s="69"/>
      <c r="C98" s="652"/>
      <c r="D98" s="79"/>
      <c r="E98" s="651">
        <v>21</v>
      </c>
      <c r="F98" s="651" t="s">
        <v>689</v>
      </c>
      <c r="G98" s="651" t="s">
        <v>4</v>
      </c>
      <c r="H98" s="651"/>
      <c r="I98" s="870" t="s">
        <v>4923</v>
      </c>
      <c r="J98" s="651"/>
      <c r="K98" s="651"/>
      <c r="L98" s="651"/>
      <c r="M98" s="651"/>
      <c r="N98" s="3"/>
      <c r="O98" s="31"/>
      <c r="P98" s="31"/>
      <c r="Q98" s="31"/>
      <c r="R98" s="31"/>
      <c r="S98" s="31"/>
      <c r="T98" s="31"/>
      <c r="U98" s="31"/>
      <c r="V98" s="31"/>
      <c r="W98" s="31"/>
      <c r="X98" s="3"/>
      <c r="Y98" s="3"/>
      <c r="Z98" s="3"/>
    </row>
    <row r="99" spans="2:26" ht="126">
      <c r="B99" s="69"/>
      <c r="C99" s="652"/>
      <c r="D99" s="79"/>
      <c r="E99" s="652"/>
      <c r="F99" s="652"/>
      <c r="G99" s="652"/>
      <c r="H99" s="75"/>
      <c r="I99" s="652"/>
      <c r="J99" s="652" t="s">
        <v>382</v>
      </c>
      <c r="K99" s="652" t="s">
        <v>773</v>
      </c>
      <c r="L99" s="652">
        <v>16</v>
      </c>
      <c r="M99" s="652" t="s">
        <v>690</v>
      </c>
      <c r="N99" s="3" t="s">
        <v>79</v>
      </c>
      <c r="O99" s="31" t="s">
        <v>701</v>
      </c>
      <c r="P99" s="31" t="s">
        <v>1041</v>
      </c>
      <c r="Q99" s="31" t="s">
        <v>1041</v>
      </c>
      <c r="R99" s="31" t="s">
        <v>1041</v>
      </c>
      <c r="S99" s="34">
        <v>25</v>
      </c>
      <c r="T99" s="34">
        <v>50</v>
      </c>
      <c r="U99" s="31" t="s">
        <v>1041</v>
      </c>
      <c r="V99" s="31" t="s">
        <v>1041</v>
      </c>
      <c r="W99" s="31">
        <v>50</v>
      </c>
      <c r="X99" s="3" t="s">
        <v>683</v>
      </c>
      <c r="Y99" s="3" t="s">
        <v>762</v>
      </c>
      <c r="Z99" s="3" t="s">
        <v>4314</v>
      </c>
    </row>
    <row r="100" spans="2:26" ht="47.25">
      <c r="B100" s="69"/>
      <c r="C100" s="652"/>
      <c r="D100" s="79"/>
      <c r="E100" s="652"/>
      <c r="F100" s="652"/>
      <c r="G100" s="652"/>
      <c r="H100" s="75"/>
      <c r="I100" s="652"/>
      <c r="J100" s="652"/>
      <c r="K100" s="652"/>
      <c r="L100" s="652"/>
      <c r="M100" s="652"/>
      <c r="N100" s="3" t="s">
        <v>4589</v>
      </c>
      <c r="O100" s="31" t="s">
        <v>747</v>
      </c>
      <c r="P100" s="31"/>
      <c r="Q100" s="31">
        <v>63</v>
      </c>
      <c r="R100" s="486">
        <f>69+Q100</f>
        <v>132</v>
      </c>
      <c r="S100" s="486">
        <f>72+R100</f>
        <v>204</v>
      </c>
      <c r="T100" s="486">
        <f>77+S100</f>
        <v>281</v>
      </c>
      <c r="U100" s="486">
        <f>83+T100</f>
        <v>364</v>
      </c>
      <c r="V100" s="486">
        <f>87+U100</f>
        <v>451</v>
      </c>
      <c r="W100" s="35">
        <f>V100</f>
        <v>451</v>
      </c>
      <c r="X100" s="3" t="str">
        <f>X99</f>
        <v>DISPERINDAGKOP DAN UMKM</v>
      </c>
      <c r="Y100" s="3" t="s">
        <v>763</v>
      </c>
      <c r="Z100" s="3" t="s">
        <v>75</v>
      </c>
    </row>
    <row r="101" spans="2:26" ht="63">
      <c r="B101" s="77"/>
      <c r="C101" s="653"/>
      <c r="D101" s="80"/>
      <c r="E101" s="653"/>
      <c r="F101" s="653"/>
      <c r="G101" s="653"/>
      <c r="H101" s="76"/>
      <c r="I101" s="653"/>
      <c r="J101" s="653"/>
      <c r="K101" s="653"/>
      <c r="L101" s="653"/>
      <c r="M101" s="653"/>
      <c r="N101" s="3" t="s">
        <v>4590</v>
      </c>
      <c r="O101" s="31" t="s">
        <v>747</v>
      </c>
      <c r="P101" s="31"/>
      <c r="Q101" s="31">
        <v>132</v>
      </c>
      <c r="R101" s="486">
        <v>152</v>
      </c>
      <c r="S101" s="486">
        <v>172</v>
      </c>
      <c r="T101" s="486">
        <v>192</v>
      </c>
      <c r="U101" s="486">
        <v>212</v>
      </c>
      <c r="V101" s="486">
        <v>232</v>
      </c>
      <c r="W101" s="35">
        <f>100+Q101</f>
        <v>232</v>
      </c>
      <c r="X101" s="3" t="str">
        <f>X100</f>
        <v>DISPERINDAGKOP DAN UMKM</v>
      </c>
      <c r="Y101" s="3" t="s">
        <v>4315</v>
      </c>
      <c r="Z101" s="3" t="s">
        <v>76</v>
      </c>
    </row>
    <row r="102" spans="2:26" ht="63">
      <c r="B102" s="37" t="s">
        <v>8</v>
      </c>
      <c r="C102" s="651">
        <v>11</v>
      </c>
      <c r="D102" s="651" t="s">
        <v>51</v>
      </c>
      <c r="E102" s="651">
        <v>22</v>
      </c>
      <c r="F102" s="651" t="s">
        <v>52</v>
      </c>
      <c r="G102" s="651" t="s">
        <v>691</v>
      </c>
      <c r="H102" s="651" t="s">
        <v>30</v>
      </c>
      <c r="I102" s="870" t="s">
        <v>4924</v>
      </c>
      <c r="J102" s="3"/>
      <c r="K102" s="3"/>
      <c r="L102" s="3"/>
      <c r="M102" s="3"/>
      <c r="N102" s="3"/>
      <c r="O102" s="31"/>
      <c r="P102" s="483"/>
      <c r="Q102" s="31"/>
      <c r="R102" s="31"/>
      <c r="S102" s="31"/>
      <c r="T102" s="31"/>
      <c r="U102" s="31"/>
      <c r="V102" s="31"/>
      <c r="W102" s="31"/>
      <c r="X102" s="3"/>
      <c r="Y102" s="3"/>
      <c r="Z102" s="3"/>
    </row>
    <row r="103" spans="2:26" ht="173.25">
      <c r="B103" s="69"/>
      <c r="C103" s="652"/>
      <c r="D103" s="652"/>
      <c r="E103" s="653"/>
      <c r="F103" s="653"/>
      <c r="G103" s="653"/>
      <c r="H103" s="653"/>
      <c r="I103" s="653"/>
      <c r="J103" s="3" t="s">
        <v>572</v>
      </c>
      <c r="K103" s="3" t="s">
        <v>773</v>
      </c>
      <c r="L103" s="3">
        <v>16</v>
      </c>
      <c r="M103" s="3" t="s">
        <v>87</v>
      </c>
      <c r="N103" s="3" t="s">
        <v>5061</v>
      </c>
      <c r="O103" s="31" t="s">
        <v>749</v>
      </c>
      <c r="P103" s="483">
        <v>18619</v>
      </c>
      <c r="Q103" s="483">
        <v>26581</v>
      </c>
      <c r="R103" s="483">
        <f>Q103-3000</f>
        <v>23581</v>
      </c>
      <c r="S103" s="483">
        <f>R103-3000</f>
        <v>20581</v>
      </c>
      <c r="T103" s="483">
        <f t="shared" ref="T103:V103" si="1">S103-3000</f>
        <v>17581</v>
      </c>
      <c r="U103" s="483">
        <f t="shared" si="1"/>
        <v>14581</v>
      </c>
      <c r="V103" s="483">
        <f t="shared" si="1"/>
        <v>11581</v>
      </c>
      <c r="W103" s="483">
        <f>V103</f>
        <v>11581</v>
      </c>
      <c r="X103" s="3" t="s">
        <v>672</v>
      </c>
      <c r="Y103" s="3" t="s">
        <v>5062</v>
      </c>
      <c r="Z103" s="3" t="s">
        <v>1894</v>
      </c>
    </row>
    <row r="104" spans="2:26" ht="94.5">
      <c r="B104" s="69"/>
      <c r="C104" s="652"/>
      <c r="D104" s="652"/>
      <c r="E104" s="651">
        <v>23</v>
      </c>
      <c r="F104" s="651" t="s">
        <v>5</v>
      </c>
      <c r="G104" s="651" t="s">
        <v>692</v>
      </c>
      <c r="H104" s="36" t="s">
        <v>30</v>
      </c>
      <c r="I104" s="870" t="s">
        <v>4925</v>
      </c>
      <c r="J104" s="3"/>
      <c r="K104" s="3"/>
      <c r="L104" s="3"/>
      <c r="M104" s="3"/>
      <c r="N104" s="3"/>
      <c r="O104" s="31"/>
      <c r="P104" s="483"/>
      <c r="Q104" s="31"/>
      <c r="R104" s="31"/>
      <c r="S104" s="31"/>
      <c r="T104" s="31"/>
      <c r="U104" s="31"/>
      <c r="V104" s="31"/>
      <c r="W104" s="31"/>
      <c r="X104" s="3"/>
      <c r="Y104" s="3"/>
      <c r="Z104" s="3"/>
    </row>
    <row r="105" spans="2:26" ht="157.5">
      <c r="B105" s="69"/>
      <c r="C105" s="652"/>
      <c r="D105" s="652"/>
      <c r="E105" s="652"/>
      <c r="F105" s="652"/>
      <c r="G105" s="652"/>
      <c r="H105" s="75"/>
      <c r="I105" s="652"/>
      <c r="J105" s="3" t="s">
        <v>572</v>
      </c>
      <c r="K105" s="3" t="s">
        <v>773</v>
      </c>
      <c r="L105" s="3">
        <v>17</v>
      </c>
      <c r="M105" s="3" t="s">
        <v>88</v>
      </c>
      <c r="N105" s="3" t="s">
        <v>703</v>
      </c>
      <c r="O105" s="31" t="s">
        <v>701</v>
      </c>
      <c r="P105" s="483">
        <v>0</v>
      </c>
      <c r="Q105" s="483">
        <v>0</v>
      </c>
      <c r="R105" s="33">
        <f>10/40*100</f>
        <v>25</v>
      </c>
      <c r="S105" s="33">
        <v>50</v>
      </c>
      <c r="T105" s="33">
        <v>75</v>
      </c>
      <c r="U105" s="33">
        <v>100</v>
      </c>
      <c r="V105" s="33">
        <f>40/40*100</f>
        <v>100</v>
      </c>
      <c r="W105" s="34">
        <f>V105</f>
        <v>100</v>
      </c>
      <c r="X105" s="3" t="s">
        <v>672</v>
      </c>
      <c r="Y105" s="3" t="s">
        <v>4316</v>
      </c>
      <c r="Z105" s="3" t="s">
        <v>1895</v>
      </c>
    </row>
    <row r="106" spans="2:26" ht="173.25">
      <c r="B106" s="69"/>
      <c r="C106" s="652"/>
      <c r="D106" s="652"/>
      <c r="E106" s="652"/>
      <c r="F106" s="652"/>
      <c r="G106" s="652"/>
      <c r="H106" s="75"/>
      <c r="I106" s="652"/>
      <c r="J106" s="3" t="s">
        <v>572</v>
      </c>
      <c r="K106" s="3" t="s">
        <v>773</v>
      </c>
      <c r="L106" s="3">
        <v>19</v>
      </c>
      <c r="M106" s="3" t="s">
        <v>775</v>
      </c>
      <c r="N106" s="3" t="s">
        <v>1896</v>
      </c>
      <c r="O106" s="31" t="s">
        <v>747</v>
      </c>
      <c r="P106" s="483">
        <v>0</v>
      </c>
      <c r="Q106" s="486">
        <v>2</v>
      </c>
      <c r="R106" s="486">
        <v>4</v>
      </c>
      <c r="S106" s="486">
        <v>6</v>
      </c>
      <c r="T106" s="486">
        <v>8</v>
      </c>
      <c r="U106" s="486">
        <v>10</v>
      </c>
      <c r="V106" s="486">
        <v>12</v>
      </c>
      <c r="W106" s="31">
        <v>12</v>
      </c>
      <c r="X106" s="3" t="s">
        <v>672</v>
      </c>
      <c r="Y106" s="3"/>
      <c r="Z106" s="3" t="s">
        <v>1897</v>
      </c>
    </row>
    <row r="107" spans="2:26" ht="94.5">
      <c r="B107" s="77"/>
      <c r="C107" s="653"/>
      <c r="D107" s="653"/>
      <c r="E107" s="653"/>
      <c r="F107" s="653"/>
      <c r="G107" s="653"/>
      <c r="H107" s="76"/>
      <c r="I107" s="653"/>
      <c r="J107" s="3" t="s">
        <v>572</v>
      </c>
      <c r="K107" s="3" t="s">
        <v>773</v>
      </c>
      <c r="L107" s="3">
        <v>17</v>
      </c>
      <c r="M107" s="3" t="s">
        <v>88</v>
      </c>
      <c r="N107" s="3" t="s">
        <v>5063</v>
      </c>
      <c r="O107" s="31" t="s">
        <v>742</v>
      </c>
      <c r="P107" s="483">
        <v>80</v>
      </c>
      <c r="Q107" s="31">
        <v>120</v>
      </c>
      <c r="R107" s="486">
        <f>Q107+50</f>
        <v>170</v>
      </c>
      <c r="S107" s="486">
        <f t="shared" ref="S107:V107" si="2">R107+50</f>
        <v>220</v>
      </c>
      <c r="T107" s="486">
        <f t="shared" si="2"/>
        <v>270</v>
      </c>
      <c r="U107" s="486">
        <f t="shared" si="2"/>
        <v>320</v>
      </c>
      <c r="V107" s="486">
        <f t="shared" si="2"/>
        <v>370</v>
      </c>
      <c r="W107" s="486">
        <f>V107</f>
        <v>370</v>
      </c>
      <c r="X107" s="3" t="s">
        <v>672</v>
      </c>
      <c r="Y107" s="3" t="s">
        <v>5064</v>
      </c>
      <c r="Z107" s="3" t="s">
        <v>1898</v>
      </c>
    </row>
  </sheetData>
  <sheetProtection formatCells="0" formatColumns="0" formatRows="0" insertColumns="0" insertRows="0" deleteColumns="0" deleteRows="0"/>
  <mergeCells count="21">
    <mergeCell ref="B3:B4"/>
    <mergeCell ref="C3:D4"/>
    <mergeCell ref="E3:F4"/>
    <mergeCell ref="G3:G4"/>
    <mergeCell ref="H3:H4"/>
    <mergeCell ref="O3:O4"/>
    <mergeCell ref="P3:Q3"/>
    <mergeCell ref="R3:V3"/>
    <mergeCell ref="I3:I4"/>
    <mergeCell ref="J4:M4"/>
    <mergeCell ref="C5:D5"/>
    <mergeCell ref="E5:F5"/>
    <mergeCell ref="J5:M5"/>
    <mergeCell ref="J3:M3"/>
    <mergeCell ref="N3:N4"/>
    <mergeCell ref="X14:X16"/>
    <mergeCell ref="Y14:Y16"/>
    <mergeCell ref="Z14:Z16"/>
    <mergeCell ref="X3:X4"/>
    <mergeCell ref="Y3:Y4"/>
    <mergeCell ref="Z3:Z4"/>
  </mergeCells>
  <pageMargins left="0.15" right="0.15" top="1" bottom="0.25" header="0.3" footer="0.3"/>
  <pageSetup paperSize="9" scale="65" orientation="landscape" horizontalDpi="4294967293" verticalDpi="4294967293" r:id="rId1"/>
  <headerFooter>
    <oddFooter>&amp;A&amp;RPage &amp;P</oddFooter>
  </headerFooter>
  <legacyDrawing r:id="rId2"/>
</worksheet>
</file>

<file path=xl/worksheets/sheet7.xml><?xml version="1.0" encoding="utf-8"?>
<worksheet xmlns="http://schemas.openxmlformats.org/spreadsheetml/2006/main" xmlns:r="http://schemas.openxmlformats.org/officeDocument/2006/relationships">
  <sheetPr>
    <tabColor theme="2" tint="-0.749992370372631"/>
  </sheetPr>
  <dimension ref="B1:Z7119"/>
  <sheetViews>
    <sheetView showGridLines="0" zoomScale="80" zoomScaleNormal="80" workbookViewId="0">
      <pane xSplit="2" ySplit="5" topLeftCell="D20" activePane="bottomRight" state="frozen"/>
      <selection pane="topRight" activeCell="C1" sqref="C1"/>
      <selection pane="bottomLeft" activeCell="A6" sqref="A6"/>
      <selection pane="bottomRight" activeCell="K21" sqref="K21"/>
    </sheetView>
  </sheetViews>
  <sheetFormatPr defaultRowHeight="15.75"/>
  <cols>
    <col min="1" max="1" width="2.7109375" style="100" customWidth="1"/>
    <col min="2" max="2" width="20.7109375" style="99" customWidth="1"/>
    <col min="3" max="3" width="3.7109375" style="100" customWidth="1"/>
    <col min="4" max="4" width="20.7109375" style="100" customWidth="1"/>
    <col min="5" max="5" width="3.7109375" style="100" customWidth="1"/>
    <col min="6" max="7" width="20.7109375" style="100" customWidth="1"/>
    <col min="8" max="8" width="20.7109375" style="99" customWidth="1"/>
    <col min="9" max="9" width="20.7109375" style="101" customWidth="1"/>
    <col min="10" max="10" width="5.7109375" style="102" customWidth="1"/>
    <col min="11" max="12" width="3.7109375" style="1" customWidth="1"/>
    <col min="13" max="13" width="20.7109375" style="97" customWidth="1"/>
    <col min="14" max="14" width="20.7109375" style="103" customWidth="1"/>
    <col min="15" max="15" width="10.7109375" style="476" customWidth="1"/>
    <col min="16" max="16" width="10.7109375" style="477" customWidth="1"/>
    <col min="17" max="17" width="10.7109375" style="478" customWidth="1"/>
    <col min="18" max="18" width="10.7109375" style="476" customWidth="1"/>
    <col min="19" max="19" width="10.7109375" style="477" customWidth="1"/>
    <col min="20" max="23" width="10.7109375" style="479" customWidth="1"/>
    <col min="24" max="24" width="20.7109375" style="104" customWidth="1"/>
    <col min="25" max="26" width="20.7109375" style="100" customWidth="1"/>
    <col min="27" max="254" width="9.140625" style="100"/>
    <col min="255" max="256" width="2.7109375" style="100" customWidth="1"/>
    <col min="257" max="257" width="30.7109375" style="100" customWidth="1"/>
    <col min="258" max="259" width="2.7109375" style="100" customWidth="1"/>
    <col min="260" max="260" width="30.7109375" style="100" customWidth="1"/>
    <col min="261" max="262" width="2.7109375" style="100" customWidth="1"/>
    <col min="263" max="263" width="30.7109375" style="100" customWidth="1"/>
    <col min="264" max="265" width="2.7109375" style="100" customWidth="1"/>
    <col min="266" max="266" width="30.7109375" style="100" customWidth="1"/>
    <col min="267" max="268" width="2.7109375" style="100" customWidth="1"/>
    <col min="269" max="269" width="30.7109375" style="100" customWidth="1"/>
    <col min="270" max="271" width="2.7109375" style="100" customWidth="1"/>
    <col min="272" max="273" width="30.7109375" style="100" customWidth="1"/>
    <col min="274" max="275" width="4" style="100" customWidth="1"/>
    <col min="276" max="276" width="30.7109375" style="100" customWidth="1"/>
    <col min="277" max="278" width="3.85546875" style="100" customWidth="1"/>
    <col min="279" max="279" width="30.7109375" style="100" customWidth="1"/>
    <col min="280" max="510" width="9.140625" style="100"/>
    <col min="511" max="512" width="2.7109375" style="100" customWidth="1"/>
    <col min="513" max="513" width="30.7109375" style="100" customWidth="1"/>
    <col min="514" max="515" width="2.7109375" style="100" customWidth="1"/>
    <col min="516" max="516" width="30.7109375" style="100" customWidth="1"/>
    <col min="517" max="518" width="2.7109375" style="100" customWidth="1"/>
    <col min="519" max="519" width="30.7109375" style="100" customWidth="1"/>
    <col min="520" max="521" width="2.7109375" style="100" customWidth="1"/>
    <col min="522" max="522" width="30.7109375" style="100" customWidth="1"/>
    <col min="523" max="524" width="2.7109375" style="100" customWidth="1"/>
    <col min="525" max="525" width="30.7109375" style="100" customWidth="1"/>
    <col min="526" max="527" width="2.7109375" style="100" customWidth="1"/>
    <col min="528" max="529" width="30.7109375" style="100" customWidth="1"/>
    <col min="530" max="531" width="4" style="100" customWidth="1"/>
    <col min="532" max="532" width="30.7109375" style="100" customWidth="1"/>
    <col min="533" max="534" width="3.85546875" style="100" customWidth="1"/>
    <col min="535" max="535" width="30.7109375" style="100" customWidth="1"/>
    <col min="536" max="766" width="9.140625" style="100"/>
    <col min="767" max="768" width="2.7109375" style="100" customWidth="1"/>
    <col min="769" max="769" width="30.7109375" style="100" customWidth="1"/>
    <col min="770" max="771" width="2.7109375" style="100" customWidth="1"/>
    <col min="772" max="772" width="30.7109375" style="100" customWidth="1"/>
    <col min="773" max="774" width="2.7109375" style="100" customWidth="1"/>
    <col min="775" max="775" width="30.7109375" style="100" customWidth="1"/>
    <col min="776" max="777" width="2.7109375" style="100" customWidth="1"/>
    <col min="778" max="778" width="30.7109375" style="100" customWidth="1"/>
    <col min="779" max="780" width="2.7109375" style="100" customWidth="1"/>
    <col min="781" max="781" width="30.7109375" style="100" customWidth="1"/>
    <col min="782" max="783" width="2.7109375" style="100" customWidth="1"/>
    <col min="784" max="785" width="30.7109375" style="100" customWidth="1"/>
    <col min="786" max="787" width="4" style="100" customWidth="1"/>
    <col min="788" max="788" width="30.7109375" style="100" customWidth="1"/>
    <col min="789" max="790" width="3.85546875" style="100" customWidth="1"/>
    <col min="791" max="791" width="30.7109375" style="100" customWidth="1"/>
    <col min="792" max="1022" width="9.140625" style="100"/>
    <col min="1023" max="1024" width="2.7109375" style="100" customWidth="1"/>
    <col min="1025" max="1025" width="30.7109375" style="100" customWidth="1"/>
    <col min="1026" max="1027" width="2.7109375" style="100" customWidth="1"/>
    <col min="1028" max="1028" width="30.7109375" style="100" customWidth="1"/>
    <col min="1029" max="1030" width="2.7109375" style="100" customWidth="1"/>
    <col min="1031" max="1031" width="30.7109375" style="100" customWidth="1"/>
    <col min="1032" max="1033" width="2.7109375" style="100" customWidth="1"/>
    <col min="1034" max="1034" width="30.7109375" style="100" customWidth="1"/>
    <col min="1035" max="1036" width="2.7109375" style="100" customWidth="1"/>
    <col min="1037" max="1037" width="30.7109375" style="100" customWidth="1"/>
    <col min="1038" max="1039" width="2.7109375" style="100" customWidth="1"/>
    <col min="1040" max="1041" width="30.7109375" style="100" customWidth="1"/>
    <col min="1042" max="1043" width="4" style="100" customWidth="1"/>
    <col min="1044" max="1044" width="30.7109375" style="100" customWidth="1"/>
    <col min="1045" max="1046" width="3.85546875" style="100" customWidth="1"/>
    <col min="1047" max="1047" width="30.7109375" style="100" customWidth="1"/>
    <col min="1048" max="1278" width="9.140625" style="100"/>
    <col min="1279" max="1280" width="2.7109375" style="100" customWidth="1"/>
    <col min="1281" max="1281" width="30.7109375" style="100" customWidth="1"/>
    <col min="1282" max="1283" width="2.7109375" style="100" customWidth="1"/>
    <col min="1284" max="1284" width="30.7109375" style="100" customWidth="1"/>
    <col min="1285" max="1286" width="2.7109375" style="100" customWidth="1"/>
    <col min="1287" max="1287" width="30.7109375" style="100" customWidth="1"/>
    <col min="1288" max="1289" width="2.7109375" style="100" customWidth="1"/>
    <col min="1290" max="1290" width="30.7109375" style="100" customWidth="1"/>
    <col min="1291" max="1292" width="2.7109375" style="100" customWidth="1"/>
    <col min="1293" max="1293" width="30.7109375" style="100" customWidth="1"/>
    <col min="1294" max="1295" width="2.7109375" style="100" customWidth="1"/>
    <col min="1296" max="1297" width="30.7109375" style="100" customWidth="1"/>
    <col min="1298" max="1299" width="4" style="100" customWidth="1"/>
    <col min="1300" max="1300" width="30.7109375" style="100" customWidth="1"/>
    <col min="1301" max="1302" width="3.85546875" style="100" customWidth="1"/>
    <col min="1303" max="1303" width="30.7109375" style="100" customWidth="1"/>
    <col min="1304" max="1534" width="9.140625" style="100"/>
    <col min="1535" max="1536" width="2.7109375" style="100" customWidth="1"/>
    <col min="1537" max="1537" width="30.7109375" style="100" customWidth="1"/>
    <col min="1538" max="1539" width="2.7109375" style="100" customWidth="1"/>
    <col min="1540" max="1540" width="30.7109375" style="100" customWidth="1"/>
    <col min="1541" max="1542" width="2.7109375" style="100" customWidth="1"/>
    <col min="1543" max="1543" width="30.7109375" style="100" customWidth="1"/>
    <col min="1544" max="1545" width="2.7109375" style="100" customWidth="1"/>
    <col min="1546" max="1546" width="30.7109375" style="100" customWidth="1"/>
    <col min="1547" max="1548" width="2.7109375" style="100" customWidth="1"/>
    <col min="1549" max="1549" width="30.7109375" style="100" customWidth="1"/>
    <col min="1550" max="1551" width="2.7109375" style="100" customWidth="1"/>
    <col min="1552" max="1553" width="30.7109375" style="100" customWidth="1"/>
    <col min="1554" max="1555" width="4" style="100" customWidth="1"/>
    <col min="1556" max="1556" width="30.7109375" style="100" customWidth="1"/>
    <col min="1557" max="1558" width="3.85546875" style="100" customWidth="1"/>
    <col min="1559" max="1559" width="30.7109375" style="100" customWidth="1"/>
    <col min="1560" max="1790" width="9.140625" style="100"/>
    <col min="1791" max="1792" width="2.7109375" style="100" customWidth="1"/>
    <col min="1793" max="1793" width="30.7109375" style="100" customWidth="1"/>
    <col min="1794" max="1795" width="2.7109375" style="100" customWidth="1"/>
    <col min="1796" max="1796" width="30.7109375" style="100" customWidth="1"/>
    <col min="1797" max="1798" width="2.7109375" style="100" customWidth="1"/>
    <col min="1799" max="1799" width="30.7109375" style="100" customWidth="1"/>
    <col min="1800" max="1801" width="2.7109375" style="100" customWidth="1"/>
    <col min="1802" max="1802" width="30.7109375" style="100" customWidth="1"/>
    <col min="1803" max="1804" width="2.7109375" style="100" customWidth="1"/>
    <col min="1805" max="1805" width="30.7109375" style="100" customWidth="1"/>
    <col min="1806" max="1807" width="2.7109375" style="100" customWidth="1"/>
    <col min="1808" max="1809" width="30.7109375" style="100" customWidth="1"/>
    <col min="1810" max="1811" width="4" style="100" customWidth="1"/>
    <col min="1812" max="1812" width="30.7109375" style="100" customWidth="1"/>
    <col min="1813" max="1814" width="3.85546875" style="100" customWidth="1"/>
    <col min="1815" max="1815" width="30.7109375" style="100" customWidth="1"/>
    <col min="1816" max="2046" width="9.140625" style="100"/>
    <col min="2047" max="2048" width="2.7109375" style="100" customWidth="1"/>
    <col min="2049" max="2049" width="30.7109375" style="100" customWidth="1"/>
    <col min="2050" max="2051" width="2.7109375" style="100" customWidth="1"/>
    <col min="2052" max="2052" width="30.7109375" style="100" customWidth="1"/>
    <col min="2053" max="2054" width="2.7109375" style="100" customWidth="1"/>
    <col min="2055" max="2055" width="30.7109375" style="100" customWidth="1"/>
    <col min="2056" max="2057" width="2.7109375" style="100" customWidth="1"/>
    <col min="2058" max="2058" width="30.7109375" style="100" customWidth="1"/>
    <col min="2059" max="2060" width="2.7109375" style="100" customWidth="1"/>
    <col min="2061" max="2061" width="30.7109375" style="100" customWidth="1"/>
    <col min="2062" max="2063" width="2.7109375" style="100" customWidth="1"/>
    <col min="2064" max="2065" width="30.7109375" style="100" customWidth="1"/>
    <col min="2066" max="2067" width="4" style="100" customWidth="1"/>
    <col min="2068" max="2068" width="30.7109375" style="100" customWidth="1"/>
    <col min="2069" max="2070" width="3.85546875" style="100" customWidth="1"/>
    <col min="2071" max="2071" width="30.7109375" style="100" customWidth="1"/>
    <col min="2072" max="2302" width="9.140625" style="100"/>
    <col min="2303" max="2304" width="2.7109375" style="100" customWidth="1"/>
    <col min="2305" max="2305" width="30.7109375" style="100" customWidth="1"/>
    <col min="2306" max="2307" width="2.7109375" style="100" customWidth="1"/>
    <col min="2308" max="2308" width="30.7109375" style="100" customWidth="1"/>
    <col min="2309" max="2310" width="2.7109375" style="100" customWidth="1"/>
    <col min="2311" max="2311" width="30.7109375" style="100" customWidth="1"/>
    <col min="2312" max="2313" width="2.7109375" style="100" customWidth="1"/>
    <col min="2314" max="2314" width="30.7109375" style="100" customWidth="1"/>
    <col min="2315" max="2316" width="2.7109375" style="100" customWidth="1"/>
    <col min="2317" max="2317" width="30.7109375" style="100" customWidth="1"/>
    <col min="2318" max="2319" width="2.7109375" style="100" customWidth="1"/>
    <col min="2320" max="2321" width="30.7109375" style="100" customWidth="1"/>
    <col min="2322" max="2323" width="4" style="100" customWidth="1"/>
    <col min="2324" max="2324" width="30.7109375" style="100" customWidth="1"/>
    <col min="2325" max="2326" width="3.85546875" style="100" customWidth="1"/>
    <col min="2327" max="2327" width="30.7109375" style="100" customWidth="1"/>
    <col min="2328" max="2558" width="9.140625" style="100"/>
    <col min="2559" max="2560" width="2.7109375" style="100" customWidth="1"/>
    <col min="2561" max="2561" width="30.7109375" style="100" customWidth="1"/>
    <col min="2562" max="2563" width="2.7109375" style="100" customWidth="1"/>
    <col min="2564" max="2564" width="30.7109375" style="100" customWidth="1"/>
    <col min="2565" max="2566" width="2.7109375" style="100" customWidth="1"/>
    <col min="2567" max="2567" width="30.7109375" style="100" customWidth="1"/>
    <col min="2568" max="2569" width="2.7109375" style="100" customWidth="1"/>
    <col min="2570" max="2570" width="30.7109375" style="100" customWidth="1"/>
    <col min="2571" max="2572" width="2.7109375" style="100" customWidth="1"/>
    <col min="2573" max="2573" width="30.7109375" style="100" customWidth="1"/>
    <col min="2574" max="2575" width="2.7109375" style="100" customWidth="1"/>
    <col min="2576" max="2577" width="30.7109375" style="100" customWidth="1"/>
    <col min="2578" max="2579" width="4" style="100" customWidth="1"/>
    <col min="2580" max="2580" width="30.7109375" style="100" customWidth="1"/>
    <col min="2581" max="2582" width="3.85546875" style="100" customWidth="1"/>
    <col min="2583" max="2583" width="30.7109375" style="100" customWidth="1"/>
    <col min="2584" max="2814" width="9.140625" style="100"/>
    <col min="2815" max="2816" width="2.7109375" style="100" customWidth="1"/>
    <col min="2817" max="2817" width="30.7109375" style="100" customWidth="1"/>
    <col min="2818" max="2819" width="2.7109375" style="100" customWidth="1"/>
    <col min="2820" max="2820" width="30.7109375" style="100" customWidth="1"/>
    <col min="2821" max="2822" width="2.7109375" style="100" customWidth="1"/>
    <col min="2823" max="2823" width="30.7109375" style="100" customWidth="1"/>
    <col min="2824" max="2825" width="2.7109375" style="100" customWidth="1"/>
    <col min="2826" max="2826" width="30.7109375" style="100" customWidth="1"/>
    <col min="2827" max="2828" width="2.7109375" style="100" customWidth="1"/>
    <col min="2829" max="2829" width="30.7109375" style="100" customWidth="1"/>
    <col min="2830" max="2831" width="2.7109375" style="100" customWidth="1"/>
    <col min="2832" max="2833" width="30.7109375" style="100" customWidth="1"/>
    <col min="2834" max="2835" width="4" style="100" customWidth="1"/>
    <col min="2836" max="2836" width="30.7109375" style="100" customWidth="1"/>
    <col min="2837" max="2838" width="3.85546875" style="100" customWidth="1"/>
    <col min="2839" max="2839" width="30.7109375" style="100" customWidth="1"/>
    <col min="2840" max="3070" width="9.140625" style="100"/>
    <col min="3071" max="3072" width="2.7109375" style="100" customWidth="1"/>
    <col min="3073" max="3073" width="30.7109375" style="100" customWidth="1"/>
    <col min="3074" max="3075" width="2.7109375" style="100" customWidth="1"/>
    <col min="3076" max="3076" width="30.7109375" style="100" customWidth="1"/>
    <col min="3077" max="3078" width="2.7109375" style="100" customWidth="1"/>
    <col min="3079" max="3079" width="30.7109375" style="100" customWidth="1"/>
    <col min="3080" max="3081" width="2.7109375" style="100" customWidth="1"/>
    <col min="3082" max="3082" width="30.7109375" style="100" customWidth="1"/>
    <col min="3083" max="3084" width="2.7109375" style="100" customWidth="1"/>
    <col min="3085" max="3085" width="30.7109375" style="100" customWidth="1"/>
    <col min="3086" max="3087" width="2.7109375" style="100" customWidth="1"/>
    <col min="3088" max="3089" width="30.7109375" style="100" customWidth="1"/>
    <col min="3090" max="3091" width="4" style="100" customWidth="1"/>
    <col min="3092" max="3092" width="30.7109375" style="100" customWidth="1"/>
    <col min="3093" max="3094" width="3.85546875" style="100" customWidth="1"/>
    <col min="3095" max="3095" width="30.7109375" style="100" customWidth="1"/>
    <col min="3096" max="3326" width="9.140625" style="100"/>
    <col min="3327" max="3328" width="2.7109375" style="100" customWidth="1"/>
    <col min="3329" max="3329" width="30.7109375" style="100" customWidth="1"/>
    <col min="3330" max="3331" width="2.7109375" style="100" customWidth="1"/>
    <col min="3332" max="3332" width="30.7109375" style="100" customWidth="1"/>
    <col min="3333" max="3334" width="2.7109375" style="100" customWidth="1"/>
    <col min="3335" max="3335" width="30.7109375" style="100" customWidth="1"/>
    <col min="3336" max="3337" width="2.7109375" style="100" customWidth="1"/>
    <col min="3338" max="3338" width="30.7109375" style="100" customWidth="1"/>
    <col min="3339" max="3340" width="2.7109375" style="100" customWidth="1"/>
    <col min="3341" max="3341" width="30.7109375" style="100" customWidth="1"/>
    <col min="3342" max="3343" width="2.7109375" style="100" customWidth="1"/>
    <col min="3344" max="3345" width="30.7109375" style="100" customWidth="1"/>
    <col min="3346" max="3347" width="4" style="100" customWidth="1"/>
    <col min="3348" max="3348" width="30.7109375" style="100" customWidth="1"/>
    <col min="3349" max="3350" width="3.85546875" style="100" customWidth="1"/>
    <col min="3351" max="3351" width="30.7109375" style="100" customWidth="1"/>
    <col min="3352" max="3582" width="9.140625" style="100"/>
    <col min="3583" max="3584" width="2.7109375" style="100" customWidth="1"/>
    <col min="3585" max="3585" width="30.7109375" style="100" customWidth="1"/>
    <col min="3586" max="3587" width="2.7109375" style="100" customWidth="1"/>
    <col min="3588" max="3588" width="30.7109375" style="100" customWidth="1"/>
    <col min="3589" max="3590" width="2.7109375" style="100" customWidth="1"/>
    <col min="3591" max="3591" width="30.7109375" style="100" customWidth="1"/>
    <col min="3592" max="3593" width="2.7109375" style="100" customWidth="1"/>
    <col min="3594" max="3594" width="30.7109375" style="100" customWidth="1"/>
    <col min="3595" max="3596" width="2.7109375" style="100" customWidth="1"/>
    <col min="3597" max="3597" width="30.7109375" style="100" customWidth="1"/>
    <col min="3598" max="3599" width="2.7109375" style="100" customWidth="1"/>
    <col min="3600" max="3601" width="30.7109375" style="100" customWidth="1"/>
    <col min="3602" max="3603" width="4" style="100" customWidth="1"/>
    <col min="3604" max="3604" width="30.7109375" style="100" customWidth="1"/>
    <col min="3605" max="3606" width="3.85546875" style="100" customWidth="1"/>
    <col min="3607" max="3607" width="30.7109375" style="100" customWidth="1"/>
    <col min="3608" max="3838" width="9.140625" style="100"/>
    <col min="3839" max="3840" width="2.7109375" style="100" customWidth="1"/>
    <col min="3841" max="3841" width="30.7109375" style="100" customWidth="1"/>
    <col min="3842" max="3843" width="2.7109375" style="100" customWidth="1"/>
    <col min="3844" max="3844" width="30.7109375" style="100" customWidth="1"/>
    <col min="3845" max="3846" width="2.7109375" style="100" customWidth="1"/>
    <col min="3847" max="3847" width="30.7109375" style="100" customWidth="1"/>
    <col min="3848" max="3849" width="2.7109375" style="100" customWidth="1"/>
    <col min="3850" max="3850" width="30.7109375" style="100" customWidth="1"/>
    <col min="3851" max="3852" width="2.7109375" style="100" customWidth="1"/>
    <col min="3853" max="3853" width="30.7109375" style="100" customWidth="1"/>
    <col min="3854" max="3855" width="2.7109375" style="100" customWidth="1"/>
    <col min="3856" max="3857" width="30.7109375" style="100" customWidth="1"/>
    <col min="3858" max="3859" width="4" style="100" customWidth="1"/>
    <col min="3860" max="3860" width="30.7109375" style="100" customWidth="1"/>
    <col min="3861" max="3862" width="3.85546875" style="100" customWidth="1"/>
    <col min="3863" max="3863" width="30.7109375" style="100" customWidth="1"/>
    <col min="3864" max="4094" width="9.140625" style="100"/>
    <col min="4095" max="4096" width="2.7109375" style="100" customWidth="1"/>
    <col min="4097" max="4097" width="30.7109375" style="100" customWidth="1"/>
    <col min="4098" max="4099" width="2.7109375" style="100" customWidth="1"/>
    <col min="4100" max="4100" width="30.7109375" style="100" customWidth="1"/>
    <col min="4101" max="4102" width="2.7109375" style="100" customWidth="1"/>
    <col min="4103" max="4103" width="30.7109375" style="100" customWidth="1"/>
    <col min="4104" max="4105" width="2.7109375" style="100" customWidth="1"/>
    <col min="4106" max="4106" width="30.7109375" style="100" customWidth="1"/>
    <col min="4107" max="4108" width="2.7109375" style="100" customWidth="1"/>
    <col min="4109" max="4109" width="30.7109375" style="100" customWidth="1"/>
    <col min="4110" max="4111" width="2.7109375" style="100" customWidth="1"/>
    <col min="4112" max="4113" width="30.7109375" style="100" customWidth="1"/>
    <col min="4114" max="4115" width="4" style="100" customWidth="1"/>
    <col min="4116" max="4116" width="30.7109375" style="100" customWidth="1"/>
    <col min="4117" max="4118" width="3.85546875" style="100" customWidth="1"/>
    <col min="4119" max="4119" width="30.7109375" style="100" customWidth="1"/>
    <col min="4120" max="4350" width="9.140625" style="100"/>
    <col min="4351" max="4352" width="2.7109375" style="100" customWidth="1"/>
    <col min="4353" max="4353" width="30.7109375" style="100" customWidth="1"/>
    <col min="4354" max="4355" width="2.7109375" style="100" customWidth="1"/>
    <col min="4356" max="4356" width="30.7109375" style="100" customWidth="1"/>
    <col min="4357" max="4358" width="2.7109375" style="100" customWidth="1"/>
    <col min="4359" max="4359" width="30.7109375" style="100" customWidth="1"/>
    <col min="4360" max="4361" width="2.7109375" style="100" customWidth="1"/>
    <col min="4362" max="4362" width="30.7109375" style="100" customWidth="1"/>
    <col min="4363" max="4364" width="2.7109375" style="100" customWidth="1"/>
    <col min="4365" max="4365" width="30.7109375" style="100" customWidth="1"/>
    <col min="4366" max="4367" width="2.7109375" style="100" customWidth="1"/>
    <col min="4368" max="4369" width="30.7109375" style="100" customWidth="1"/>
    <col min="4370" max="4371" width="4" style="100" customWidth="1"/>
    <col min="4372" max="4372" width="30.7109375" style="100" customWidth="1"/>
    <col min="4373" max="4374" width="3.85546875" style="100" customWidth="1"/>
    <col min="4375" max="4375" width="30.7109375" style="100" customWidth="1"/>
    <col min="4376" max="4606" width="9.140625" style="100"/>
    <col min="4607" max="4608" width="2.7109375" style="100" customWidth="1"/>
    <col min="4609" max="4609" width="30.7109375" style="100" customWidth="1"/>
    <col min="4610" max="4611" width="2.7109375" style="100" customWidth="1"/>
    <col min="4612" max="4612" width="30.7109375" style="100" customWidth="1"/>
    <col min="4613" max="4614" width="2.7109375" style="100" customWidth="1"/>
    <col min="4615" max="4615" width="30.7109375" style="100" customWidth="1"/>
    <col min="4616" max="4617" width="2.7109375" style="100" customWidth="1"/>
    <col min="4618" max="4618" width="30.7109375" style="100" customWidth="1"/>
    <col min="4619" max="4620" width="2.7109375" style="100" customWidth="1"/>
    <col min="4621" max="4621" width="30.7109375" style="100" customWidth="1"/>
    <col min="4622" max="4623" width="2.7109375" style="100" customWidth="1"/>
    <col min="4624" max="4625" width="30.7109375" style="100" customWidth="1"/>
    <col min="4626" max="4627" width="4" style="100" customWidth="1"/>
    <col min="4628" max="4628" width="30.7109375" style="100" customWidth="1"/>
    <col min="4629" max="4630" width="3.85546875" style="100" customWidth="1"/>
    <col min="4631" max="4631" width="30.7109375" style="100" customWidth="1"/>
    <col min="4632" max="4862" width="9.140625" style="100"/>
    <col min="4863" max="4864" width="2.7109375" style="100" customWidth="1"/>
    <col min="4865" max="4865" width="30.7109375" style="100" customWidth="1"/>
    <col min="4866" max="4867" width="2.7109375" style="100" customWidth="1"/>
    <col min="4868" max="4868" width="30.7109375" style="100" customWidth="1"/>
    <col min="4869" max="4870" width="2.7109375" style="100" customWidth="1"/>
    <col min="4871" max="4871" width="30.7109375" style="100" customWidth="1"/>
    <col min="4872" max="4873" width="2.7109375" style="100" customWidth="1"/>
    <col min="4874" max="4874" width="30.7109375" style="100" customWidth="1"/>
    <col min="4875" max="4876" width="2.7109375" style="100" customWidth="1"/>
    <col min="4877" max="4877" width="30.7109375" style="100" customWidth="1"/>
    <col min="4878" max="4879" width="2.7109375" style="100" customWidth="1"/>
    <col min="4880" max="4881" width="30.7109375" style="100" customWidth="1"/>
    <col min="4882" max="4883" width="4" style="100" customWidth="1"/>
    <col min="4884" max="4884" width="30.7109375" style="100" customWidth="1"/>
    <col min="4885" max="4886" width="3.85546875" style="100" customWidth="1"/>
    <col min="4887" max="4887" width="30.7109375" style="100" customWidth="1"/>
    <col min="4888" max="5118" width="9.140625" style="100"/>
    <col min="5119" max="5120" width="2.7109375" style="100" customWidth="1"/>
    <col min="5121" max="5121" width="30.7109375" style="100" customWidth="1"/>
    <col min="5122" max="5123" width="2.7109375" style="100" customWidth="1"/>
    <col min="5124" max="5124" width="30.7109375" style="100" customWidth="1"/>
    <col min="5125" max="5126" width="2.7109375" style="100" customWidth="1"/>
    <col min="5127" max="5127" width="30.7109375" style="100" customWidth="1"/>
    <col min="5128" max="5129" width="2.7109375" style="100" customWidth="1"/>
    <col min="5130" max="5130" width="30.7109375" style="100" customWidth="1"/>
    <col min="5131" max="5132" width="2.7109375" style="100" customWidth="1"/>
    <col min="5133" max="5133" width="30.7109375" style="100" customWidth="1"/>
    <col min="5134" max="5135" width="2.7109375" style="100" customWidth="1"/>
    <col min="5136" max="5137" width="30.7109375" style="100" customWidth="1"/>
    <col min="5138" max="5139" width="4" style="100" customWidth="1"/>
    <col min="5140" max="5140" width="30.7109375" style="100" customWidth="1"/>
    <col min="5141" max="5142" width="3.85546875" style="100" customWidth="1"/>
    <col min="5143" max="5143" width="30.7109375" style="100" customWidth="1"/>
    <col min="5144" max="5374" width="9.140625" style="100"/>
    <col min="5375" max="5376" width="2.7109375" style="100" customWidth="1"/>
    <col min="5377" max="5377" width="30.7109375" style="100" customWidth="1"/>
    <col min="5378" max="5379" width="2.7109375" style="100" customWidth="1"/>
    <col min="5380" max="5380" width="30.7109375" style="100" customWidth="1"/>
    <col min="5381" max="5382" width="2.7109375" style="100" customWidth="1"/>
    <col min="5383" max="5383" width="30.7109375" style="100" customWidth="1"/>
    <col min="5384" max="5385" width="2.7109375" style="100" customWidth="1"/>
    <col min="5386" max="5386" width="30.7109375" style="100" customWidth="1"/>
    <col min="5387" max="5388" width="2.7109375" style="100" customWidth="1"/>
    <col min="5389" max="5389" width="30.7109375" style="100" customWidth="1"/>
    <col min="5390" max="5391" width="2.7109375" style="100" customWidth="1"/>
    <col min="5392" max="5393" width="30.7109375" style="100" customWidth="1"/>
    <col min="5394" max="5395" width="4" style="100" customWidth="1"/>
    <col min="5396" max="5396" width="30.7109375" style="100" customWidth="1"/>
    <col min="5397" max="5398" width="3.85546875" style="100" customWidth="1"/>
    <col min="5399" max="5399" width="30.7109375" style="100" customWidth="1"/>
    <col min="5400" max="5630" width="9.140625" style="100"/>
    <col min="5631" max="5632" width="2.7109375" style="100" customWidth="1"/>
    <col min="5633" max="5633" width="30.7109375" style="100" customWidth="1"/>
    <col min="5634" max="5635" width="2.7109375" style="100" customWidth="1"/>
    <col min="5636" max="5636" width="30.7109375" style="100" customWidth="1"/>
    <col min="5637" max="5638" width="2.7109375" style="100" customWidth="1"/>
    <col min="5639" max="5639" width="30.7109375" style="100" customWidth="1"/>
    <col min="5640" max="5641" width="2.7109375" style="100" customWidth="1"/>
    <col min="5642" max="5642" width="30.7109375" style="100" customWidth="1"/>
    <col min="5643" max="5644" width="2.7109375" style="100" customWidth="1"/>
    <col min="5645" max="5645" width="30.7109375" style="100" customWidth="1"/>
    <col min="5646" max="5647" width="2.7109375" style="100" customWidth="1"/>
    <col min="5648" max="5649" width="30.7109375" style="100" customWidth="1"/>
    <col min="5650" max="5651" width="4" style="100" customWidth="1"/>
    <col min="5652" max="5652" width="30.7109375" style="100" customWidth="1"/>
    <col min="5653" max="5654" width="3.85546875" style="100" customWidth="1"/>
    <col min="5655" max="5655" width="30.7109375" style="100" customWidth="1"/>
    <col min="5656" max="5886" width="9.140625" style="100"/>
    <col min="5887" max="5888" width="2.7109375" style="100" customWidth="1"/>
    <col min="5889" max="5889" width="30.7109375" style="100" customWidth="1"/>
    <col min="5890" max="5891" width="2.7109375" style="100" customWidth="1"/>
    <col min="5892" max="5892" width="30.7109375" style="100" customWidth="1"/>
    <col min="5893" max="5894" width="2.7109375" style="100" customWidth="1"/>
    <col min="5895" max="5895" width="30.7109375" style="100" customWidth="1"/>
    <col min="5896" max="5897" width="2.7109375" style="100" customWidth="1"/>
    <col min="5898" max="5898" width="30.7109375" style="100" customWidth="1"/>
    <col min="5899" max="5900" width="2.7109375" style="100" customWidth="1"/>
    <col min="5901" max="5901" width="30.7109375" style="100" customWidth="1"/>
    <col min="5902" max="5903" width="2.7109375" style="100" customWidth="1"/>
    <col min="5904" max="5905" width="30.7109375" style="100" customWidth="1"/>
    <col min="5906" max="5907" width="4" style="100" customWidth="1"/>
    <col min="5908" max="5908" width="30.7109375" style="100" customWidth="1"/>
    <col min="5909" max="5910" width="3.85546875" style="100" customWidth="1"/>
    <col min="5911" max="5911" width="30.7109375" style="100" customWidth="1"/>
    <col min="5912" max="6142" width="9.140625" style="100"/>
    <col min="6143" max="6144" width="2.7109375" style="100" customWidth="1"/>
    <col min="6145" max="6145" width="30.7109375" style="100" customWidth="1"/>
    <col min="6146" max="6147" width="2.7109375" style="100" customWidth="1"/>
    <col min="6148" max="6148" width="30.7109375" style="100" customWidth="1"/>
    <col min="6149" max="6150" width="2.7109375" style="100" customWidth="1"/>
    <col min="6151" max="6151" width="30.7109375" style="100" customWidth="1"/>
    <col min="6152" max="6153" width="2.7109375" style="100" customWidth="1"/>
    <col min="6154" max="6154" width="30.7109375" style="100" customWidth="1"/>
    <col min="6155" max="6156" width="2.7109375" style="100" customWidth="1"/>
    <col min="6157" max="6157" width="30.7109375" style="100" customWidth="1"/>
    <col min="6158" max="6159" width="2.7109375" style="100" customWidth="1"/>
    <col min="6160" max="6161" width="30.7109375" style="100" customWidth="1"/>
    <col min="6162" max="6163" width="4" style="100" customWidth="1"/>
    <col min="6164" max="6164" width="30.7109375" style="100" customWidth="1"/>
    <col min="6165" max="6166" width="3.85546875" style="100" customWidth="1"/>
    <col min="6167" max="6167" width="30.7109375" style="100" customWidth="1"/>
    <col min="6168" max="6398" width="9.140625" style="100"/>
    <col min="6399" max="6400" width="2.7109375" style="100" customWidth="1"/>
    <col min="6401" max="6401" width="30.7109375" style="100" customWidth="1"/>
    <col min="6402" max="6403" width="2.7109375" style="100" customWidth="1"/>
    <col min="6404" max="6404" width="30.7109375" style="100" customWidth="1"/>
    <col min="6405" max="6406" width="2.7109375" style="100" customWidth="1"/>
    <col min="6407" max="6407" width="30.7109375" style="100" customWidth="1"/>
    <col min="6408" max="6409" width="2.7109375" style="100" customWidth="1"/>
    <col min="6410" max="6410" width="30.7109375" style="100" customWidth="1"/>
    <col min="6411" max="6412" width="2.7109375" style="100" customWidth="1"/>
    <col min="6413" max="6413" width="30.7109375" style="100" customWidth="1"/>
    <col min="6414" max="6415" width="2.7109375" style="100" customWidth="1"/>
    <col min="6416" max="6417" width="30.7109375" style="100" customWidth="1"/>
    <col min="6418" max="6419" width="4" style="100" customWidth="1"/>
    <col min="6420" max="6420" width="30.7109375" style="100" customWidth="1"/>
    <col min="6421" max="6422" width="3.85546875" style="100" customWidth="1"/>
    <col min="6423" max="6423" width="30.7109375" style="100" customWidth="1"/>
    <col min="6424" max="6654" width="9.140625" style="100"/>
    <col min="6655" max="6656" width="2.7109375" style="100" customWidth="1"/>
    <col min="6657" max="6657" width="30.7109375" style="100" customWidth="1"/>
    <col min="6658" max="6659" width="2.7109375" style="100" customWidth="1"/>
    <col min="6660" max="6660" width="30.7109375" style="100" customWidth="1"/>
    <col min="6661" max="6662" width="2.7109375" style="100" customWidth="1"/>
    <col min="6663" max="6663" width="30.7109375" style="100" customWidth="1"/>
    <col min="6664" max="6665" width="2.7109375" style="100" customWidth="1"/>
    <col min="6666" max="6666" width="30.7109375" style="100" customWidth="1"/>
    <col min="6667" max="6668" width="2.7109375" style="100" customWidth="1"/>
    <col min="6669" max="6669" width="30.7109375" style="100" customWidth="1"/>
    <col min="6670" max="6671" width="2.7109375" style="100" customWidth="1"/>
    <col min="6672" max="6673" width="30.7109375" style="100" customWidth="1"/>
    <col min="6674" max="6675" width="4" style="100" customWidth="1"/>
    <col min="6676" max="6676" width="30.7109375" style="100" customWidth="1"/>
    <col min="6677" max="6678" width="3.85546875" style="100" customWidth="1"/>
    <col min="6679" max="6679" width="30.7109375" style="100" customWidth="1"/>
    <col min="6680" max="6910" width="9.140625" style="100"/>
    <col min="6911" max="6912" width="2.7109375" style="100" customWidth="1"/>
    <col min="6913" max="6913" width="30.7109375" style="100" customWidth="1"/>
    <col min="6914" max="6915" width="2.7109375" style="100" customWidth="1"/>
    <col min="6916" max="6916" width="30.7109375" style="100" customWidth="1"/>
    <col min="6917" max="6918" width="2.7109375" style="100" customWidth="1"/>
    <col min="6919" max="6919" width="30.7109375" style="100" customWidth="1"/>
    <col min="6920" max="6921" width="2.7109375" style="100" customWidth="1"/>
    <col min="6922" max="6922" width="30.7109375" style="100" customWidth="1"/>
    <col min="6923" max="6924" width="2.7109375" style="100" customWidth="1"/>
    <col min="6925" max="6925" width="30.7109375" style="100" customWidth="1"/>
    <col min="6926" max="6927" width="2.7109375" style="100" customWidth="1"/>
    <col min="6928" max="6929" width="30.7109375" style="100" customWidth="1"/>
    <col min="6930" max="6931" width="4" style="100" customWidth="1"/>
    <col min="6932" max="6932" width="30.7109375" style="100" customWidth="1"/>
    <col min="6933" max="6934" width="3.85546875" style="100" customWidth="1"/>
    <col min="6935" max="6935" width="30.7109375" style="100" customWidth="1"/>
    <col min="6936" max="7166" width="9.140625" style="100"/>
    <col min="7167" max="7168" width="2.7109375" style="100" customWidth="1"/>
    <col min="7169" max="7169" width="30.7109375" style="100" customWidth="1"/>
    <col min="7170" max="7171" width="2.7109375" style="100" customWidth="1"/>
    <col min="7172" max="7172" width="30.7109375" style="100" customWidth="1"/>
    <col min="7173" max="7174" width="2.7109375" style="100" customWidth="1"/>
    <col min="7175" max="7175" width="30.7109375" style="100" customWidth="1"/>
    <col min="7176" max="7177" width="2.7109375" style="100" customWidth="1"/>
    <col min="7178" max="7178" width="30.7109375" style="100" customWidth="1"/>
    <col min="7179" max="7180" width="2.7109375" style="100" customWidth="1"/>
    <col min="7181" max="7181" width="30.7109375" style="100" customWidth="1"/>
    <col min="7182" max="7183" width="2.7109375" style="100" customWidth="1"/>
    <col min="7184" max="7185" width="30.7109375" style="100" customWidth="1"/>
    <col min="7186" max="7187" width="4" style="100" customWidth="1"/>
    <col min="7188" max="7188" width="30.7109375" style="100" customWidth="1"/>
    <col min="7189" max="7190" width="3.85546875" style="100" customWidth="1"/>
    <col min="7191" max="7191" width="30.7109375" style="100" customWidth="1"/>
    <col min="7192" max="7422" width="9.140625" style="100"/>
    <col min="7423" max="7424" width="2.7109375" style="100" customWidth="1"/>
    <col min="7425" max="7425" width="30.7109375" style="100" customWidth="1"/>
    <col min="7426" max="7427" width="2.7109375" style="100" customWidth="1"/>
    <col min="7428" max="7428" width="30.7109375" style="100" customWidth="1"/>
    <col min="7429" max="7430" width="2.7109375" style="100" customWidth="1"/>
    <col min="7431" max="7431" width="30.7109375" style="100" customWidth="1"/>
    <col min="7432" max="7433" width="2.7109375" style="100" customWidth="1"/>
    <col min="7434" max="7434" width="30.7109375" style="100" customWidth="1"/>
    <col min="7435" max="7436" width="2.7109375" style="100" customWidth="1"/>
    <col min="7437" max="7437" width="30.7109375" style="100" customWidth="1"/>
    <col min="7438" max="7439" width="2.7109375" style="100" customWidth="1"/>
    <col min="7440" max="7441" width="30.7109375" style="100" customWidth="1"/>
    <col min="7442" max="7443" width="4" style="100" customWidth="1"/>
    <col min="7444" max="7444" width="30.7109375" style="100" customWidth="1"/>
    <col min="7445" max="7446" width="3.85546875" style="100" customWidth="1"/>
    <col min="7447" max="7447" width="30.7109375" style="100" customWidth="1"/>
    <col min="7448" max="7678" width="9.140625" style="100"/>
    <col min="7679" max="7680" width="2.7109375" style="100" customWidth="1"/>
    <col min="7681" max="7681" width="30.7109375" style="100" customWidth="1"/>
    <col min="7682" max="7683" width="2.7109375" style="100" customWidth="1"/>
    <col min="7684" max="7684" width="30.7109375" style="100" customWidth="1"/>
    <col min="7685" max="7686" width="2.7109375" style="100" customWidth="1"/>
    <col min="7687" max="7687" width="30.7109375" style="100" customWidth="1"/>
    <col min="7688" max="7689" width="2.7109375" style="100" customWidth="1"/>
    <col min="7690" max="7690" width="30.7109375" style="100" customWidth="1"/>
    <col min="7691" max="7692" width="2.7109375" style="100" customWidth="1"/>
    <col min="7693" max="7693" width="30.7109375" style="100" customWidth="1"/>
    <col min="7694" max="7695" width="2.7109375" style="100" customWidth="1"/>
    <col min="7696" max="7697" width="30.7109375" style="100" customWidth="1"/>
    <col min="7698" max="7699" width="4" style="100" customWidth="1"/>
    <col min="7700" max="7700" width="30.7109375" style="100" customWidth="1"/>
    <col min="7701" max="7702" width="3.85546875" style="100" customWidth="1"/>
    <col min="7703" max="7703" width="30.7109375" style="100" customWidth="1"/>
    <col min="7704" max="7934" width="9.140625" style="100"/>
    <col min="7935" max="7936" width="2.7109375" style="100" customWidth="1"/>
    <col min="7937" max="7937" width="30.7109375" style="100" customWidth="1"/>
    <col min="7938" max="7939" width="2.7109375" style="100" customWidth="1"/>
    <col min="7940" max="7940" width="30.7109375" style="100" customWidth="1"/>
    <col min="7941" max="7942" width="2.7109375" style="100" customWidth="1"/>
    <col min="7943" max="7943" width="30.7109375" style="100" customWidth="1"/>
    <col min="7944" max="7945" width="2.7109375" style="100" customWidth="1"/>
    <col min="7946" max="7946" width="30.7109375" style="100" customWidth="1"/>
    <col min="7947" max="7948" width="2.7109375" style="100" customWidth="1"/>
    <col min="7949" max="7949" width="30.7109375" style="100" customWidth="1"/>
    <col min="7950" max="7951" width="2.7109375" style="100" customWidth="1"/>
    <col min="7952" max="7953" width="30.7109375" style="100" customWidth="1"/>
    <col min="7954" max="7955" width="4" style="100" customWidth="1"/>
    <col min="7956" max="7956" width="30.7109375" style="100" customWidth="1"/>
    <col min="7957" max="7958" width="3.85546875" style="100" customWidth="1"/>
    <col min="7959" max="7959" width="30.7109375" style="100" customWidth="1"/>
    <col min="7960" max="8190" width="9.140625" style="100"/>
    <col min="8191" max="8192" width="2.7109375" style="100" customWidth="1"/>
    <col min="8193" max="8193" width="30.7109375" style="100" customWidth="1"/>
    <col min="8194" max="8195" width="2.7109375" style="100" customWidth="1"/>
    <col min="8196" max="8196" width="30.7109375" style="100" customWidth="1"/>
    <col min="8197" max="8198" width="2.7109375" style="100" customWidth="1"/>
    <col min="8199" max="8199" width="30.7109375" style="100" customWidth="1"/>
    <col min="8200" max="8201" width="2.7109375" style="100" customWidth="1"/>
    <col min="8202" max="8202" width="30.7109375" style="100" customWidth="1"/>
    <col min="8203" max="8204" width="2.7109375" style="100" customWidth="1"/>
    <col min="8205" max="8205" width="30.7109375" style="100" customWidth="1"/>
    <col min="8206" max="8207" width="2.7109375" style="100" customWidth="1"/>
    <col min="8208" max="8209" width="30.7109375" style="100" customWidth="1"/>
    <col min="8210" max="8211" width="4" style="100" customWidth="1"/>
    <col min="8212" max="8212" width="30.7109375" style="100" customWidth="1"/>
    <col min="8213" max="8214" width="3.85546875" style="100" customWidth="1"/>
    <col min="8215" max="8215" width="30.7109375" style="100" customWidth="1"/>
    <col min="8216" max="8446" width="9.140625" style="100"/>
    <col min="8447" max="8448" width="2.7109375" style="100" customWidth="1"/>
    <col min="8449" max="8449" width="30.7109375" style="100" customWidth="1"/>
    <col min="8450" max="8451" width="2.7109375" style="100" customWidth="1"/>
    <col min="8452" max="8452" width="30.7109375" style="100" customWidth="1"/>
    <col min="8453" max="8454" width="2.7109375" style="100" customWidth="1"/>
    <col min="8455" max="8455" width="30.7109375" style="100" customWidth="1"/>
    <col min="8456" max="8457" width="2.7109375" style="100" customWidth="1"/>
    <col min="8458" max="8458" width="30.7109375" style="100" customWidth="1"/>
    <col min="8459" max="8460" width="2.7109375" style="100" customWidth="1"/>
    <col min="8461" max="8461" width="30.7109375" style="100" customWidth="1"/>
    <col min="8462" max="8463" width="2.7109375" style="100" customWidth="1"/>
    <col min="8464" max="8465" width="30.7109375" style="100" customWidth="1"/>
    <col min="8466" max="8467" width="4" style="100" customWidth="1"/>
    <col min="8468" max="8468" width="30.7109375" style="100" customWidth="1"/>
    <col min="8469" max="8470" width="3.85546875" style="100" customWidth="1"/>
    <col min="8471" max="8471" width="30.7109375" style="100" customWidth="1"/>
    <col min="8472" max="8702" width="9.140625" style="100"/>
    <col min="8703" max="8704" width="2.7109375" style="100" customWidth="1"/>
    <col min="8705" max="8705" width="30.7109375" style="100" customWidth="1"/>
    <col min="8706" max="8707" width="2.7109375" style="100" customWidth="1"/>
    <col min="8708" max="8708" width="30.7109375" style="100" customWidth="1"/>
    <col min="8709" max="8710" width="2.7109375" style="100" customWidth="1"/>
    <col min="8711" max="8711" width="30.7109375" style="100" customWidth="1"/>
    <col min="8712" max="8713" width="2.7109375" style="100" customWidth="1"/>
    <col min="8714" max="8714" width="30.7109375" style="100" customWidth="1"/>
    <col min="8715" max="8716" width="2.7109375" style="100" customWidth="1"/>
    <col min="8717" max="8717" width="30.7109375" style="100" customWidth="1"/>
    <col min="8718" max="8719" width="2.7109375" style="100" customWidth="1"/>
    <col min="8720" max="8721" width="30.7109375" style="100" customWidth="1"/>
    <col min="8722" max="8723" width="4" style="100" customWidth="1"/>
    <col min="8724" max="8724" width="30.7109375" style="100" customWidth="1"/>
    <col min="8725" max="8726" width="3.85546875" style="100" customWidth="1"/>
    <col min="8727" max="8727" width="30.7109375" style="100" customWidth="1"/>
    <col min="8728" max="8958" width="9.140625" style="100"/>
    <col min="8959" max="8960" width="2.7109375" style="100" customWidth="1"/>
    <col min="8961" max="8961" width="30.7109375" style="100" customWidth="1"/>
    <col min="8962" max="8963" width="2.7109375" style="100" customWidth="1"/>
    <col min="8964" max="8964" width="30.7109375" style="100" customWidth="1"/>
    <col min="8965" max="8966" width="2.7109375" style="100" customWidth="1"/>
    <col min="8967" max="8967" width="30.7109375" style="100" customWidth="1"/>
    <col min="8968" max="8969" width="2.7109375" style="100" customWidth="1"/>
    <col min="8970" max="8970" width="30.7109375" style="100" customWidth="1"/>
    <col min="8971" max="8972" width="2.7109375" style="100" customWidth="1"/>
    <col min="8973" max="8973" width="30.7109375" style="100" customWidth="1"/>
    <col min="8974" max="8975" width="2.7109375" style="100" customWidth="1"/>
    <col min="8976" max="8977" width="30.7109375" style="100" customWidth="1"/>
    <col min="8978" max="8979" width="4" style="100" customWidth="1"/>
    <col min="8980" max="8980" width="30.7109375" style="100" customWidth="1"/>
    <col min="8981" max="8982" width="3.85546875" style="100" customWidth="1"/>
    <col min="8983" max="8983" width="30.7109375" style="100" customWidth="1"/>
    <col min="8984" max="9214" width="9.140625" style="100"/>
    <col min="9215" max="9216" width="2.7109375" style="100" customWidth="1"/>
    <col min="9217" max="9217" width="30.7109375" style="100" customWidth="1"/>
    <col min="9218" max="9219" width="2.7109375" style="100" customWidth="1"/>
    <col min="9220" max="9220" width="30.7109375" style="100" customWidth="1"/>
    <col min="9221" max="9222" width="2.7109375" style="100" customWidth="1"/>
    <col min="9223" max="9223" width="30.7109375" style="100" customWidth="1"/>
    <col min="9224" max="9225" width="2.7109375" style="100" customWidth="1"/>
    <col min="9226" max="9226" width="30.7109375" style="100" customWidth="1"/>
    <col min="9227" max="9228" width="2.7109375" style="100" customWidth="1"/>
    <col min="9229" max="9229" width="30.7109375" style="100" customWidth="1"/>
    <col min="9230" max="9231" width="2.7109375" style="100" customWidth="1"/>
    <col min="9232" max="9233" width="30.7109375" style="100" customWidth="1"/>
    <col min="9234" max="9235" width="4" style="100" customWidth="1"/>
    <col min="9236" max="9236" width="30.7109375" style="100" customWidth="1"/>
    <col min="9237" max="9238" width="3.85546875" style="100" customWidth="1"/>
    <col min="9239" max="9239" width="30.7109375" style="100" customWidth="1"/>
    <col min="9240" max="9470" width="9.140625" style="100"/>
    <col min="9471" max="9472" width="2.7109375" style="100" customWidth="1"/>
    <col min="9473" max="9473" width="30.7109375" style="100" customWidth="1"/>
    <col min="9474" max="9475" width="2.7109375" style="100" customWidth="1"/>
    <col min="9476" max="9476" width="30.7109375" style="100" customWidth="1"/>
    <col min="9477" max="9478" width="2.7109375" style="100" customWidth="1"/>
    <col min="9479" max="9479" width="30.7109375" style="100" customWidth="1"/>
    <col min="9480" max="9481" width="2.7109375" style="100" customWidth="1"/>
    <col min="9482" max="9482" width="30.7109375" style="100" customWidth="1"/>
    <col min="9483" max="9484" width="2.7109375" style="100" customWidth="1"/>
    <col min="9485" max="9485" width="30.7109375" style="100" customWidth="1"/>
    <col min="9486" max="9487" width="2.7109375" style="100" customWidth="1"/>
    <col min="9488" max="9489" width="30.7109375" style="100" customWidth="1"/>
    <col min="9490" max="9491" width="4" style="100" customWidth="1"/>
    <col min="9492" max="9492" width="30.7109375" style="100" customWidth="1"/>
    <col min="9493" max="9494" width="3.85546875" style="100" customWidth="1"/>
    <col min="9495" max="9495" width="30.7109375" style="100" customWidth="1"/>
    <col min="9496" max="9726" width="9.140625" style="100"/>
    <col min="9727" max="9728" width="2.7109375" style="100" customWidth="1"/>
    <col min="9729" max="9729" width="30.7109375" style="100" customWidth="1"/>
    <col min="9730" max="9731" width="2.7109375" style="100" customWidth="1"/>
    <col min="9732" max="9732" width="30.7109375" style="100" customWidth="1"/>
    <col min="9733" max="9734" width="2.7109375" style="100" customWidth="1"/>
    <col min="9735" max="9735" width="30.7109375" style="100" customWidth="1"/>
    <col min="9736" max="9737" width="2.7109375" style="100" customWidth="1"/>
    <col min="9738" max="9738" width="30.7109375" style="100" customWidth="1"/>
    <col min="9739" max="9740" width="2.7109375" style="100" customWidth="1"/>
    <col min="9741" max="9741" width="30.7109375" style="100" customWidth="1"/>
    <col min="9742" max="9743" width="2.7109375" style="100" customWidth="1"/>
    <col min="9744" max="9745" width="30.7109375" style="100" customWidth="1"/>
    <col min="9746" max="9747" width="4" style="100" customWidth="1"/>
    <col min="9748" max="9748" width="30.7109375" style="100" customWidth="1"/>
    <col min="9749" max="9750" width="3.85546875" style="100" customWidth="1"/>
    <col min="9751" max="9751" width="30.7109375" style="100" customWidth="1"/>
    <col min="9752" max="9982" width="9.140625" style="100"/>
    <col min="9983" max="9984" width="2.7109375" style="100" customWidth="1"/>
    <col min="9985" max="9985" width="30.7109375" style="100" customWidth="1"/>
    <col min="9986" max="9987" width="2.7109375" style="100" customWidth="1"/>
    <col min="9988" max="9988" width="30.7109375" style="100" customWidth="1"/>
    <col min="9989" max="9990" width="2.7109375" style="100" customWidth="1"/>
    <col min="9991" max="9991" width="30.7109375" style="100" customWidth="1"/>
    <col min="9992" max="9993" width="2.7109375" style="100" customWidth="1"/>
    <col min="9994" max="9994" width="30.7109375" style="100" customWidth="1"/>
    <col min="9995" max="9996" width="2.7109375" style="100" customWidth="1"/>
    <col min="9997" max="9997" width="30.7109375" style="100" customWidth="1"/>
    <col min="9998" max="9999" width="2.7109375" style="100" customWidth="1"/>
    <col min="10000" max="10001" width="30.7109375" style="100" customWidth="1"/>
    <col min="10002" max="10003" width="4" style="100" customWidth="1"/>
    <col min="10004" max="10004" width="30.7109375" style="100" customWidth="1"/>
    <col min="10005" max="10006" width="3.85546875" style="100" customWidth="1"/>
    <col min="10007" max="10007" width="30.7109375" style="100" customWidth="1"/>
    <col min="10008" max="10238" width="9.140625" style="100"/>
    <col min="10239" max="10240" width="2.7109375" style="100" customWidth="1"/>
    <col min="10241" max="10241" width="30.7109375" style="100" customWidth="1"/>
    <col min="10242" max="10243" width="2.7109375" style="100" customWidth="1"/>
    <col min="10244" max="10244" width="30.7109375" style="100" customWidth="1"/>
    <col min="10245" max="10246" width="2.7109375" style="100" customWidth="1"/>
    <col min="10247" max="10247" width="30.7109375" style="100" customWidth="1"/>
    <col min="10248" max="10249" width="2.7109375" style="100" customWidth="1"/>
    <col min="10250" max="10250" width="30.7109375" style="100" customWidth="1"/>
    <col min="10251" max="10252" width="2.7109375" style="100" customWidth="1"/>
    <col min="10253" max="10253" width="30.7109375" style="100" customWidth="1"/>
    <col min="10254" max="10255" width="2.7109375" style="100" customWidth="1"/>
    <col min="10256" max="10257" width="30.7109375" style="100" customWidth="1"/>
    <col min="10258" max="10259" width="4" style="100" customWidth="1"/>
    <col min="10260" max="10260" width="30.7109375" style="100" customWidth="1"/>
    <col min="10261" max="10262" width="3.85546875" style="100" customWidth="1"/>
    <col min="10263" max="10263" width="30.7109375" style="100" customWidth="1"/>
    <col min="10264" max="10494" width="9.140625" style="100"/>
    <col min="10495" max="10496" width="2.7109375" style="100" customWidth="1"/>
    <col min="10497" max="10497" width="30.7109375" style="100" customWidth="1"/>
    <col min="10498" max="10499" width="2.7109375" style="100" customWidth="1"/>
    <col min="10500" max="10500" width="30.7109375" style="100" customWidth="1"/>
    <col min="10501" max="10502" width="2.7109375" style="100" customWidth="1"/>
    <col min="10503" max="10503" width="30.7109375" style="100" customWidth="1"/>
    <col min="10504" max="10505" width="2.7109375" style="100" customWidth="1"/>
    <col min="10506" max="10506" width="30.7109375" style="100" customWidth="1"/>
    <col min="10507" max="10508" width="2.7109375" style="100" customWidth="1"/>
    <col min="10509" max="10509" width="30.7109375" style="100" customWidth="1"/>
    <col min="10510" max="10511" width="2.7109375" style="100" customWidth="1"/>
    <col min="10512" max="10513" width="30.7109375" style="100" customWidth="1"/>
    <col min="10514" max="10515" width="4" style="100" customWidth="1"/>
    <col min="10516" max="10516" width="30.7109375" style="100" customWidth="1"/>
    <col min="10517" max="10518" width="3.85546875" style="100" customWidth="1"/>
    <col min="10519" max="10519" width="30.7109375" style="100" customWidth="1"/>
    <col min="10520" max="10750" width="9.140625" style="100"/>
    <col min="10751" max="10752" width="2.7109375" style="100" customWidth="1"/>
    <col min="10753" max="10753" width="30.7109375" style="100" customWidth="1"/>
    <col min="10754" max="10755" width="2.7109375" style="100" customWidth="1"/>
    <col min="10756" max="10756" width="30.7109375" style="100" customWidth="1"/>
    <col min="10757" max="10758" width="2.7109375" style="100" customWidth="1"/>
    <col min="10759" max="10759" width="30.7109375" style="100" customWidth="1"/>
    <col min="10760" max="10761" width="2.7109375" style="100" customWidth="1"/>
    <col min="10762" max="10762" width="30.7109375" style="100" customWidth="1"/>
    <col min="10763" max="10764" width="2.7109375" style="100" customWidth="1"/>
    <col min="10765" max="10765" width="30.7109375" style="100" customWidth="1"/>
    <col min="10766" max="10767" width="2.7109375" style="100" customWidth="1"/>
    <col min="10768" max="10769" width="30.7109375" style="100" customWidth="1"/>
    <col min="10770" max="10771" width="4" style="100" customWidth="1"/>
    <col min="10772" max="10772" width="30.7109375" style="100" customWidth="1"/>
    <col min="10773" max="10774" width="3.85546875" style="100" customWidth="1"/>
    <col min="10775" max="10775" width="30.7109375" style="100" customWidth="1"/>
    <col min="10776" max="11006" width="9.140625" style="100"/>
    <col min="11007" max="11008" width="2.7109375" style="100" customWidth="1"/>
    <col min="11009" max="11009" width="30.7109375" style="100" customWidth="1"/>
    <col min="11010" max="11011" width="2.7109375" style="100" customWidth="1"/>
    <col min="11012" max="11012" width="30.7109375" style="100" customWidth="1"/>
    <col min="11013" max="11014" width="2.7109375" style="100" customWidth="1"/>
    <col min="11015" max="11015" width="30.7109375" style="100" customWidth="1"/>
    <col min="11016" max="11017" width="2.7109375" style="100" customWidth="1"/>
    <col min="11018" max="11018" width="30.7109375" style="100" customWidth="1"/>
    <col min="11019" max="11020" width="2.7109375" style="100" customWidth="1"/>
    <col min="11021" max="11021" width="30.7109375" style="100" customWidth="1"/>
    <col min="11022" max="11023" width="2.7109375" style="100" customWidth="1"/>
    <col min="11024" max="11025" width="30.7109375" style="100" customWidth="1"/>
    <col min="11026" max="11027" width="4" style="100" customWidth="1"/>
    <col min="11028" max="11028" width="30.7109375" style="100" customWidth="1"/>
    <col min="11029" max="11030" width="3.85546875" style="100" customWidth="1"/>
    <col min="11031" max="11031" width="30.7109375" style="100" customWidth="1"/>
    <col min="11032" max="11262" width="9.140625" style="100"/>
    <col min="11263" max="11264" width="2.7109375" style="100" customWidth="1"/>
    <col min="11265" max="11265" width="30.7109375" style="100" customWidth="1"/>
    <col min="11266" max="11267" width="2.7109375" style="100" customWidth="1"/>
    <col min="11268" max="11268" width="30.7109375" style="100" customWidth="1"/>
    <col min="11269" max="11270" width="2.7109375" style="100" customWidth="1"/>
    <col min="11271" max="11271" width="30.7109375" style="100" customWidth="1"/>
    <col min="11272" max="11273" width="2.7109375" style="100" customWidth="1"/>
    <col min="11274" max="11274" width="30.7109375" style="100" customWidth="1"/>
    <col min="11275" max="11276" width="2.7109375" style="100" customWidth="1"/>
    <col min="11277" max="11277" width="30.7109375" style="100" customWidth="1"/>
    <col min="11278" max="11279" width="2.7109375" style="100" customWidth="1"/>
    <col min="11280" max="11281" width="30.7109375" style="100" customWidth="1"/>
    <col min="11282" max="11283" width="4" style="100" customWidth="1"/>
    <col min="11284" max="11284" width="30.7109375" style="100" customWidth="1"/>
    <col min="11285" max="11286" width="3.85546875" style="100" customWidth="1"/>
    <col min="11287" max="11287" width="30.7109375" style="100" customWidth="1"/>
    <col min="11288" max="11518" width="9.140625" style="100"/>
    <col min="11519" max="11520" width="2.7109375" style="100" customWidth="1"/>
    <col min="11521" max="11521" width="30.7109375" style="100" customWidth="1"/>
    <col min="11522" max="11523" width="2.7109375" style="100" customWidth="1"/>
    <col min="11524" max="11524" width="30.7109375" style="100" customWidth="1"/>
    <col min="11525" max="11526" width="2.7109375" style="100" customWidth="1"/>
    <col min="11527" max="11527" width="30.7109375" style="100" customWidth="1"/>
    <col min="11528" max="11529" width="2.7109375" style="100" customWidth="1"/>
    <col min="11530" max="11530" width="30.7109375" style="100" customWidth="1"/>
    <col min="11531" max="11532" width="2.7109375" style="100" customWidth="1"/>
    <col min="11533" max="11533" width="30.7109375" style="100" customWidth="1"/>
    <col min="11534" max="11535" width="2.7109375" style="100" customWidth="1"/>
    <col min="11536" max="11537" width="30.7109375" style="100" customWidth="1"/>
    <col min="11538" max="11539" width="4" style="100" customWidth="1"/>
    <col min="11540" max="11540" width="30.7109375" style="100" customWidth="1"/>
    <col min="11541" max="11542" width="3.85546875" style="100" customWidth="1"/>
    <col min="11543" max="11543" width="30.7109375" style="100" customWidth="1"/>
    <col min="11544" max="11774" width="9.140625" style="100"/>
    <col min="11775" max="11776" width="2.7109375" style="100" customWidth="1"/>
    <col min="11777" max="11777" width="30.7109375" style="100" customWidth="1"/>
    <col min="11778" max="11779" width="2.7109375" style="100" customWidth="1"/>
    <col min="11780" max="11780" width="30.7109375" style="100" customWidth="1"/>
    <col min="11781" max="11782" width="2.7109375" style="100" customWidth="1"/>
    <col min="11783" max="11783" width="30.7109375" style="100" customWidth="1"/>
    <col min="11784" max="11785" width="2.7109375" style="100" customWidth="1"/>
    <col min="11786" max="11786" width="30.7109375" style="100" customWidth="1"/>
    <col min="11787" max="11788" width="2.7109375" style="100" customWidth="1"/>
    <col min="11789" max="11789" width="30.7109375" style="100" customWidth="1"/>
    <col min="11790" max="11791" width="2.7109375" style="100" customWidth="1"/>
    <col min="11792" max="11793" width="30.7109375" style="100" customWidth="1"/>
    <col min="11794" max="11795" width="4" style="100" customWidth="1"/>
    <col min="11796" max="11796" width="30.7109375" style="100" customWidth="1"/>
    <col min="11797" max="11798" width="3.85546875" style="100" customWidth="1"/>
    <col min="11799" max="11799" width="30.7109375" style="100" customWidth="1"/>
    <col min="11800" max="12030" width="9.140625" style="100"/>
    <col min="12031" max="12032" width="2.7109375" style="100" customWidth="1"/>
    <col min="12033" max="12033" width="30.7109375" style="100" customWidth="1"/>
    <col min="12034" max="12035" width="2.7109375" style="100" customWidth="1"/>
    <col min="12036" max="12036" width="30.7109375" style="100" customWidth="1"/>
    <col min="12037" max="12038" width="2.7109375" style="100" customWidth="1"/>
    <col min="12039" max="12039" width="30.7109375" style="100" customWidth="1"/>
    <col min="12040" max="12041" width="2.7109375" style="100" customWidth="1"/>
    <col min="12042" max="12042" width="30.7109375" style="100" customWidth="1"/>
    <col min="12043" max="12044" width="2.7109375" style="100" customWidth="1"/>
    <col min="12045" max="12045" width="30.7109375" style="100" customWidth="1"/>
    <col min="12046" max="12047" width="2.7109375" style="100" customWidth="1"/>
    <col min="12048" max="12049" width="30.7109375" style="100" customWidth="1"/>
    <col min="12050" max="12051" width="4" style="100" customWidth="1"/>
    <col min="12052" max="12052" width="30.7109375" style="100" customWidth="1"/>
    <col min="12053" max="12054" width="3.85546875" style="100" customWidth="1"/>
    <col min="12055" max="12055" width="30.7109375" style="100" customWidth="1"/>
    <col min="12056" max="12286" width="9.140625" style="100"/>
    <col min="12287" max="12288" width="2.7109375" style="100" customWidth="1"/>
    <col min="12289" max="12289" width="30.7109375" style="100" customWidth="1"/>
    <col min="12290" max="12291" width="2.7109375" style="100" customWidth="1"/>
    <col min="12292" max="12292" width="30.7109375" style="100" customWidth="1"/>
    <col min="12293" max="12294" width="2.7109375" style="100" customWidth="1"/>
    <col min="12295" max="12295" width="30.7109375" style="100" customWidth="1"/>
    <col min="12296" max="12297" width="2.7109375" style="100" customWidth="1"/>
    <col min="12298" max="12298" width="30.7109375" style="100" customWidth="1"/>
    <col min="12299" max="12300" width="2.7109375" style="100" customWidth="1"/>
    <col min="12301" max="12301" width="30.7109375" style="100" customWidth="1"/>
    <col min="12302" max="12303" width="2.7109375" style="100" customWidth="1"/>
    <col min="12304" max="12305" width="30.7109375" style="100" customWidth="1"/>
    <col min="12306" max="12307" width="4" style="100" customWidth="1"/>
    <col min="12308" max="12308" width="30.7109375" style="100" customWidth="1"/>
    <col min="12309" max="12310" width="3.85546875" style="100" customWidth="1"/>
    <col min="12311" max="12311" width="30.7109375" style="100" customWidth="1"/>
    <col min="12312" max="12542" width="9.140625" style="100"/>
    <col min="12543" max="12544" width="2.7109375" style="100" customWidth="1"/>
    <col min="12545" max="12545" width="30.7109375" style="100" customWidth="1"/>
    <col min="12546" max="12547" width="2.7109375" style="100" customWidth="1"/>
    <col min="12548" max="12548" width="30.7109375" style="100" customWidth="1"/>
    <col min="12549" max="12550" width="2.7109375" style="100" customWidth="1"/>
    <col min="12551" max="12551" width="30.7109375" style="100" customWidth="1"/>
    <col min="12552" max="12553" width="2.7109375" style="100" customWidth="1"/>
    <col min="12554" max="12554" width="30.7109375" style="100" customWidth="1"/>
    <col min="12555" max="12556" width="2.7109375" style="100" customWidth="1"/>
    <col min="12557" max="12557" width="30.7109375" style="100" customWidth="1"/>
    <col min="12558" max="12559" width="2.7109375" style="100" customWidth="1"/>
    <col min="12560" max="12561" width="30.7109375" style="100" customWidth="1"/>
    <col min="12562" max="12563" width="4" style="100" customWidth="1"/>
    <col min="12564" max="12564" width="30.7109375" style="100" customWidth="1"/>
    <col min="12565" max="12566" width="3.85546875" style="100" customWidth="1"/>
    <col min="12567" max="12567" width="30.7109375" style="100" customWidth="1"/>
    <col min="12568" max="12798" width="9.140625" style="100"/>
    <col min="12799" max="12800" width="2.7109375" style="100" customWidth="1"/>
    <col min="12801" max="12801" width="30.7109375" style="100" customWidth="1"/>
    <col min="12802" max="12803" width="2.7109375" style="100" customWidth="1"/>
    <col min="12804" max="12804" width="30.7109375" style="100" customWidth="1"/>
    <col min="12805" max="12806" width="2.7109375" style="100" customWidth="1"/>
    <col min="12807" max="12807" width="30.7109375" style="100" customWidth="1"/>
    <col min="12808" max="12809" width="2.7109375" style="100" customWidth="1"/>
    <col min="12810" max="12810" width="30.7109375" style="100" customWidth="1"/>
    <col min="12811" max="12812" width="2.7109375" style="100" customWidth="1"/>
    <col min="12813" max="12813" width="30.7109375" style="100" customWidth="1"/>
    <col min="12814" max="12815" width="2.7109375" style="100" customWidth="1"/>
    <col min="12816" max="12817" width="30.7109375" style="100" customWidth="1"/>
    <col min="12818" max="12819" width="4" style="100" customWidth="1"/>
    <col min="12820" max="12820" width="30.7109375" style="100" customWidth="1"/>
    <col min="12821" max="12822" width="3.85546875" style="100" customWidth="1"/>
    <col min="12823" max="12823" width="30.7109375" style="100" customWidth="1"/>
    <col min="12824" max="13054" width="9.140625" style="100"/>
    <col min="13055" max="13056" width="2.7109375" style="100" customWidth="1"/>
    <col min="13057" max="13057" width="30.7109375" style="100" customWidth="1"/>
    <col min="13058" max="13059" width="2.7109375" style="100" customWidth="1"/>
    <col min="13060" max="13060" width="30.7109375" style="100" customWidth="1"/>
    <col min="13061" max="13062" width="2.7109375" style="100" customWidth="1"/>
    <col min="13063" max="13063" width="30.7109375" style="100" customWidth="1"/>
    <col min="13064" max="13065" width="2.7109375" style="100" customWidth="1"/>
    <col min="13066" max="13066" width="30.7109375" style="100" customWidth="1"/>
    <col min="13067" max="13068" width="2.7109375" style="100" customWidth="1"/>
    <col min="13069" max="13069" width="30.7109375" style="100" customWidth="1"/>
    <col min="13070" max="13071" width="2.7109375" style="100" customWidth="1"/>
    <col min="13072" max="13073" width="30.7109375" style="100" customWidth="1"/>
    <col min="13074" max="13075" width="4" style="100" customWidth="1"/>
    <col min="13076" max="13076" width="30.7109375" style="100" customWidth="1"/>
    <col min="13077" max="13078" width="3.85546875" style="100" customWidth="1"/>
    <col min="13079" max="13079" width="30.7109375" style="100" customWidth="1"/>
    <col min="13080" max="13310" width="9.140625" style="100"/>
    <col min="13311" max="13312" width="2.7109375" style="100" customWidth="1"/>
    <col min="13313" max="13313" width="30.7109375" style="100" customWidth="1"/>
    <col min="13314" max="13315" width="2.7109375" style="100" customWidth="1"/>
    <col min="13316" max="13316" width="30.7109375" style="100" customWidth="1"/>
    <col min="13317" max="13318" width="2.7109375" style="100" customWidth="1"/>
    <col min="13319" max="13319" width="30.7109375" style="100" customWidth="1"/>
    <col min="13320" max="13321" width="2.7109375" style="100" customWidth="1"/>
    <col min="13322" max="13322" width="30.7109375" style="100" customWidth="1"/>
    <col min="13323" max="13324" width="2.7109375" style="100" customWidth="1"/>
    <col min="13325" max="13325" width="30.7109375" style="100" customWidth="1"/>
    <col min="13326" max="13327" width="2.7109375" style="100" customWidth="1"/>
    <col min="13328" max="13329" width="30.7109375" style="100" customWidth="1"/>
    <col min="13330" max="13331" width="4" style="100" customWidth="1"/>
    <col min="13332" max="13332" width="30.7109375" style="100" customWidth="1"/>
    <col min="13333" max="13334" width="3.85546875" style="100" customWidth="1"/>
    <col min="13335" max="13335" width="30.7109375" style="100" customWidth="1"/>
    <col min="13336" max="13566" width="9.140625" style="100"/>
    <col min="13567" max="13568" width="2.7109375" style="100" customWidth="1"/>
    <col min="13569" max="13569" width="30.7109375" style="100" customWidth="1"/>
    <col min="13570" max="13571" width="2.7109375" style="100" customWidth="1"/>
    <col min="13572" max="13572" width="30.7109375" style="100" customWidth="1"/>
    <col min="13573" max="13574" width="2.7109375" style="100" customWidth="1"/>
    <col min="13575" max="13575" width="30.7109375" style="100" customWidth="1"/>
    <col min="13576" max="13577" width="2.7109375" style="100" customWidth="1"/>
    <col min="13578" max="13578" width="30.7109375" style="100" customWidth="1"/>
    <col min="13579" max="13580" width="2.7109375" style="100" customWidth="1"/>
    <col min="13581" max="13581" width="30.7109375" style="100" customWidth="1"/>
    <col min="13582" max="13583" width="2.7109375" style="100" customWidth="1"/>
    <col min="13584" max="13585" width="30.7109375" style="100" customWidth="1"/>
    <col min="13586" max="13587" width="4" style="100" customWidth="1"/>
    <col min="13588" max="13588" width="30.7109375" style="100" customWidth="1"/>
    <col min="13589" max="13590" width="3.85546875" style="100" customWidth="1"/>
    <col min="13591" max="13591" width="30.7109375" style="100" customWidth="1"/>
    <col min="13592" max="13822" width="9.140625" style="100"/>
    <col min="13823" max="13824" width="2.7109375" style="100" customWidth="1"/>
    <col min="13825" max="13825" width="30.7109375" style="100" customWidth="1"/>
    <col min="13826" max="13827" width="2.7109375" style="100" customWidth="1"/>
    <col min="13828" max="13828" width="30.7109375" style="100" customWidth="1"/>
    <col min="13829" max="13830" width="2.7109375" style="100" customWidth="1"/>
    <col min="13831" max="13831" width="30.7109375" style="100" customWidth="1"/>
    <col min="13832" max="13833" width="2.7109375" style="100" customWidth="1"/>
    <col min="13834" max="13834" width="30.7109375" style="100" customWidth="1"/>
    <col min="13835" max="13836" width="2.7109375" style="100" customWidth="1"/>
    <col min="13837" max="13837" width="30.7109375" style="100" customWidth="1"/>
    <col min="13838" max="13839" width="2.7109375" style="100" customWidth="1"/>
    <col min="13840" max="13841" width="30.7109375" style="100" customWidth="1"/>
    <col min="13842" max="13843" width="4" style="100" customWidth="1"/>
    <col min="13844" max="13844" width="30.7109375" style="100" customWidth="1"/>
    <col min="13845" max="13846" width="3.85546875" style="100" customWidth="1"/>
    <col min="13847" max="13847" width="30.7109375" style="100" customWidth="1"/>
    <col min="13848" max="14078" width="9.140625" style="100"/>
    <col min="14079" max="14080" width="2.7109375" style="100" customWidth="1"/>
    <col min="14081" max="14081" width="30.7109375" style="100" customWidth="1"/>
    <col min="14082" max="14083" width="2.7109375" style="100" customWidth="1"/>
    <col min="14084" max="14084" width="30.7109375" style="100" customWidth="1"/>
    <col min="14085" max="14086" width="2.7109375" style="100" customWidth="1"/>
    <col min="14087" max="14087" width="30.7109375" style="100" customWidth="1"/>
    <col min="14088" max="14089" width="2.7109375" style="100" customWidth="1"/>
    <col min="14090" max="14090" width="30.7109375" style="100" customWidth="1"/>
    <col min="14091" max="14092" width="2.7109375" style="100" customWidth="1"/>
    <col min="14093" max="14093" width="30.7109375" style="100" customWidth="1"/>
    <col min="14094" max="14095" width="2.7109375" style="100" customWidth="1"/>
    <col min="14096" max="14097" width="30.7109375" style="100" customWidth="1"/>
    <col min="14098" max="14099" width="4" style="100" customWidth="1"/>
    <col min="14100" max="14100" width="30.7109375" style="100" customWidth="1"/>
    <col min="14101" max="14102" width="3.85546875" style="100" customWidth="1"/>
    <col min="14103" max="14103" width="30.7109375" style="100" customWidth="1"/>
    <col min="14104" max="14334" width="9.140625" style="100"/>
    <col min="14335" max="14336" width="2.7109375" style="100" customWidth="1"/>
    <col min="14337" max="14337" width="30.7109375" style="100" customWidth="1"/>
    <col min="14338" max="14339" width="2.7109375" style="100" customWidth="1"/>
    <col min="14340" max="14340" width="30.7109375" style="100" customWidth="1"/>
    <col min="14341" max="14342" width="2.7109375" style="100" customWidth="1"/>
    <col min="14343" max="14343" width="30.7109375" style="100" customWidth="1"/>
    <col min="14344" max="14345" width="2.7109375" style="100" customWidth="1"/>
    <col min="14346" max="14346" width="30.7109375" style="100" customWidth="1"/>
    <col min="14347" max="14348" width="2.7109375" style="100" customWidth="1"/>
    <col min="14349" max="14349" width="30.7109375" style="100" customWidth="1"/>
    <col min="14350" max="14351" width="2.7109375" style="100" customWidth="1"/>
    <col min="14352" max="14353" width="30.7109375" style="100" customWidth="1"/>
    <col min="14354" max="14355" width="4" style="100" customWidth="1"/>
    <col min="14356" max="14356" width="30.7109375" style="100" customWidth="1"/>
    <col min="14357" max="14358" width="3.85546875" style="100" customWidth="1"/>
    <col min="14359" max="14359" width="30.7109375" style="100" customWidth="1"/>
    <col min="14360" max="14590" width="9.140625" style="100"/>
    <col min="14591" max="14592" width="2.7109375" style="100" customWidth="1"/>
    <col min="14593" max="14593" width="30.7109375" style="100" customWidth="1"/>
    <col min="14594" max="14595" width="2.7109375" style="100" customWidth="1"/>
    <col min="14596" max="14596" width="30.7109375" style="100" customWidth="1"/>
    <col min="14597" max="14598" width="2.7109375" style="100" customWidth="1"/>
    <col min="14599" max="14599" width="30.7109375" style="100" customWidth="1"/>
    <col min="14600" max="14601" width="2.7109375" style="100" customWidth="1"/>
    <col min="14602" max="14602" width="30.7109375" style="100" customWidth="1"/>
    <col min="14603" max="14604" width="2.7109375" style="100" customWidth="1"/>
    <col min="14605" max="14605" width="30.7109375" style="100" customWidth="1"/>
    <col min="14606" max="14607" width="2.7109375" style="100" customWidth="1"/>
    <col min="14608" max="14609" width="30.7109375" style="100" customWidth="1"/>
    <col min="14610" max="14611" width="4" style="100" customWidth="1"/>
    <col min="14612" max="14612" width="30.7109375" style="100" customWidth="1"/>
    <col min="14613" max="14614" width="3.85546875" style="100" customWidth="1"/>
    <col min="14615" max="14615" width="30.7109375" style="100" customWidth="1"/>
    <col min="14616" max="14846" width="9.140625" style="100"/>
    <col min="14847" max="14848" width="2.7109375" style="100" customWidth="1"/>
    <col min="14849" max="14849" width="30.7109375" style="100" customWidth="1"/>
    <col min="14850" max="14851" width="2.7109375" style="100" customWidth="1"/>
    <col min="14852" max="14852" width="30.7109375" style="100" customWidth="1"/>
    <col min="14853" max="14854" width="2.7109375" style="100" customWidth="1"/>
    <col min="14855" max="14855" width="30.7109375" style="100" customWidth="1"/>
    <col min="14856" max="14857" width="2.7109375" style="100" customWidth="1"/>
    <col min="14858" max="14858" width="30.7109375" style="100" customWidth="1"/>
    <col min="14859" max="14860" width="2.7109375" style="100" customWidth="1"/>
    <col min="14861" max="14861" width="30.7109375" style="100" customWidth="1"/>
    <col min="14862" max="14863" width="2.7109375" style="100" customWidth="1"/>
    <col min="14864" max="14865" width="30.7109375" style="100" customWidth="1"/>
    <col min="14866" max="14867" width="4" style="100" customWidth="1"/>
    <col min="14868" max="14868" width="30.7109375" style="100" customWidth="1"/>
    <col min="14869" max="14870" width="3.85546875" style="100" customWidth="1"/>
    <col min="14871" max="14871" width="30.7109375" style="100" customWidth="1"/>
    <col min="14872" max="15102" width="9.140625" style="100"/>
    <col min="15103" max="15104" width="2.7109375" style="100" customWidth="1"/>
    <col min="15105" max="15105" width="30.7109375" style="100" customWidth="1"/>
    <col min="15106" max="15107" width="2.7109375" style="100" customWidth="1"/>
    <col min="15108" max="15108" width="30.7109375" style="100" customWidth="1"/>
    <col min="15109" max="15110" width="2.7109375" style="100" customWidth="1"/>
    <col min="15111" max="15111" width="30.7109375" style="100" customWidth="1"/>
    <col min="15112" max="15113" width="2.7109375" style="100" customWidth="1"/>
    <col min="15114" max="15114" width="30.7109375" style="100" customWidth="1"/>
    <col min="15115" max="15116" width="2.7109375" style="100" customWidth="1"/>
    <col min="15117" max="15117" width="30.7109375" style="100" customWidth="1"/>
    <col min="15118" max="15119" width="2.7109375" style="100" customWidth="1"/>
    <col min="15120" max="15121" width="30.7109375" style="100" customWidth="1"/>
    <col min="15122" max="15123" width="4" style="100" customWidth="1"/>
    <col min="15124" max="15124" width="30.7109375" style="100" customWidth="1"/>
    <col min="15125" max="15126" width="3.85546875" style="100" customWidth="1"/>
    <col min="15127" max="15127" width="30.7109375" style="100" customWidth="1"/>
    <col min="15128" max="15358" width="9.140625" style="100"/>
    <col min="15359" max="15360" width="2.7109375" style="100" customWidth="1"/>
    <col min="15361" max="15361" width="30.7109375" style="100" customWidth="1"/>
    <col min="15362" max="15363" width="2.7109375" style="100" customWidth="1"/>
    <col min="15364" max="15364" width="30.7109375" style="100" customWidth="1"/>
    <col min="15365" max="15366" width="2.7109375" style="100" customWidth="1"/>
    <col min="15367" max="15367" width="30.7109375" style="100" customWidth="1"/>
    <col min="15368" max="15369" width="2.7109375" style="100" customWidth="1"/>
    <col min="15370" max="15370" width="30.7109375" style="100" customWidth="1"/>
    <col min="15371" max="15372" width="2.7109375" style="100" customWidth="1"/>
    <col min="15373" max="15373" width="30.7109375" style="100" customWidth="1"/>
    <col min="15374" max="15375" width="2.7109375" style="100" customWidth="1"/>
    <col min="15376" max="15377" width="30.7109375" style="100" customWidth="1"/>
    <col min="15378" max="15379" width="4" style="100" customWidth="1"/>
    <col min="15380" max="15380" width="30.7109375" style="100" customWidth="1"/>
    <col min="15381" max="15382" width="3.85546875" style="100" customWidth="1"/>
    <col min="15383" max="15383" width="30.7109375" style="100" customWidth="1"/>
    <col min="15384" max="15614" width="9.140625" style="100"/>
    <col min="15615" max="15616" width="2.7109375" style="100" customWidth="1"/>
    <col min="15617" max="15617" width="30.7109375" style="100" customWidth="1"/>
    <col min="15618" max="15619" width="2.7109375" style="100" customWidth="1"/>
    <col min="15620" max="15620" width="30.7109375" style="100" customWidth="1"/>
    <col min="15621" max="15622" width="2.7109375" style="100" customWidth="1"/>
    <col min="15623" max="15623" width="30.7109375" style="100" customWidth="1"/>
    <col min="15624" max="15625" width="2.7109375" style="100" customWidth="1"/>
    <col min="15626" max="15626" width="30.7109375" style="100" customWidth="1"/>
    <col min="15627" max="15628" width="2.7109375" style="100" customWidth="1"/>
    <col min="15629" max="15629" width="30.7109375" style="100" customWidth="1"/>
    <col min="15630" max="15631" width="2.7109375" style="100" customWidth="1"/>
    <col min="15632" max="15633" width="30.7109375" style="100" customWidth="1"/>
    <col min="15634" max="15635" width="4" style="100" customWidth="1"/>
    <col min="15636" max="15636" width="30.7109375" style="100" customWidth="1"/>
    <col min="15637" max="15638" width="3.85546875" style="100" customWidth="1"/>
    <col min="15639" max="15639" width="30.7109375" style="100" customWidth="1"/>
    <col min="15640" max="15870" width="9.140625" style="100"/>
    <col min="15871" max="15872" width="2.7109375" style="100" customWidth="1"/>
    <col min="15873" max="15873" width="30.7109375" style="100" customWidth="1"/>
    <col min="15874" max="15875" width="2.7109375" style="100" customWidth="1"/>
    <col min="15876" max="15876" width="30.7109375" style="100" customWidth="1"/>
    <col min="15877" max="15878" width="2.7109375" style="100" customWidth="1"/>
    <col min="15879" max="15879" width="30.7109375" style="100" customWidth="1"/>
    <col min="15880" max="15881" width="2.7109375" style="100" customWidth="1"/>
    <col min="15882" max="15882" width="30.7109375" style="100" customWidth="1"/>
    <col min="15883" max="15884" width="2.7109375" style="100" customWidth="1"/>
    <col min="15885" max="15885" width="30.7109375" style="100" customWidth="1"/>
    <col min="15886" max="15887" width="2.7109375" style="100" customWidth="1"/>
    <col min="15888" max="15889" width="30.7109375" style="100" customWidth="1"/>
    <col min="15890" max="15891" width="4" style="100" customWidth="1"/>
    <col min="15892" max="15892" width="30.7109375" style="100" customWidth="1"/>
    <col min="15893" max="15894" width="3.85546875" style="100" customWidth="1"/>
    <col min="15895" max="15895" width="30.7109375" style="100" customWidth="1"/>
    <col min="15896" max="16126" width="9.140625" style="100"/>
    <col min="16127" max="16128" width="2.7109375" style="100" customWidth="1"/>
    <col min="16129" max="16129" width="30.7109375" style="100" customWidth="1"/>
    <col min="16130" max="16131" width="2.7109375" style="100" customWidth="1"/>
    <col min="16132" max="16132" width="30.7109375" style="100" customWidth="1"/>
    <col min="16133" max="16134" width="2.7109375" style="100" customWidth="1"/>
    <col min="16135" max="16135" width="30.7109375" style="100" customWidth="1"/>
    <col min="16136" max="16137" width="2.7109375" style="100" customWidth="1"/>
    <col min="16138" max="16138" width="30.7109375" style="100" customWidth="1"/>
    <col min="16139" max="16140" width="2.7109375" style="100" customWidth="1"/>
    <col min="16141" max="16141" width="30.7109375" style="100" customWidth="1"/>
    <col min="16142" max="16143" width="2.7109375" style="100" customWidth="1"/>
    <col min="16144" max="16145" width="30.7109375" style="100" customWidth="1"/>
    <col min="16146" max="16147" width="4" style="100" customWidth="1"/>
    <col min="16148" max="16148" width="30.7109375" style="100" customWidth="1"/>
    <col min="16149" max="16150" width="3.85546875" style="100" customWidth="1"/>
    <col min="16151" max="16151" width="30.7109375" style="100" customWidth="1"/>
    <col min="16152" max="16384" width="9.140625" style="100"/>
  </cols>
  <sheetData>
    <row r="1" spans="2:26" s="1" customFormat="1" ht="20.100000000000001" customHeight="1">
      <c r="B1" s="90"/>
      <c r="C1" s="90"/>
      <c r="D1" s="90"/>
      <c r="E1" s="90"/>
      <c r="F1" s="90"/>
      <c r="G1" s="90"/>
      <c r="H1" s="91"/>
      <c r="I1" s="90"/>
      <c r="J1" s="71"/>
      <c r="K1" s="71"/>
      <c r="L1" s="71"/>
      <c r="M1" s="90"/>
      <c r="N1" s="90"/>
      <c r="O1" s="471"/>
      <c r="P1" s="471"/>
      <c r="Q1" s="471"/>
      <c r="R1" s="471"/>
      <c r="S1" s="471"/>
      <c r="T1" s="471"/>
      <c r="U1" s="471"/>
      <c r="V1" s="471"/>
      <c r="W1" s="471"/>
      <c r="X1" s="90"/>
      <c r="Y1" s="90"/>
      <c r="Z1" s="90"/>
    </row>
    <row r="2" spans="2:26" s="1" customFormat="1" ht="20.100000000000001" customHeight="1">
      <c r="B2" s="71"/>
      <c r="H2" s="71"/>
      <c r="O2" s="88"/>
      <c r="P2" s="88"/>
      <c r="Q2" s="88"/>
      <c r="R2" s="88"/>
      <c r="S2" s="88"/>
      <c r="T2" s="88"/>
      <c r="U2" s="88"/>
      <c r="V2" s="88"/>
      <c r="W2" s="88"/>
    </row>
    <row r="3" spans="2:26" s="92" customFormat="1" ht="38.25" customHeight="1">
      <c r="B3" s="1174" t="s">
        <v>6</v>
      </c>
      <c r="C3" s="1175" t="s">
        <v>0</v>
      </c>
      <c r="D3" s="1175"/>
      <c r="E3" s="1175" t="s">
        <v>2</v>
      </c>
      <c r="F3" s="1175"/>
      <c r="G3" s="1175" t="s">
        <v>98</v>
      </c>
      <c r="H3" s="1174" t="s">
        <v>156</v>
      </c>
      <c r="I3" s="1172" t="s">
        <v>157</v>
      </c>
      <c r="J3" s="1183"/>
      <c r="K3" s="1184"/>
      <c r="L3" s="1184"/>
      <c r="M3" s="1185"/>
      <c r="N3" s="1175" t="s">
        <v>781</v>
      </c>
      <c r="O3" s="1175" t="s">
        <v>132</v>
      </c>
      <c r="P3" s="1175" t="s">
        <v>133</v>
      </c>
      <c r="Q3" s="1175"/>
      <c r="R3" s="1165" t="s">
        <v>2138</v>
      </c>
      <c r="S3" s="1165"/>
      <c r="T3" s="1165"/>
      <c r="U3" s="1165"/>
      <c r="V3" s="1165"/>
      <c r="W3" s="658" t="s">
        <v>136</v>
      </c>
      <c r="X3" s="1182" t="s">
        <v>134</v>
      </c>
      <c r="Y3" s="1182" t="s">
        <v>137</v>
      </c>
      <c r="Z3" s="1174" t="s">
        <v>138</v>
      </c>
    </row>
    <row r="4" spans="2:26" s="92" customFormat="1" ht="12.75">
      <c r="B4" s="1174"/>
      <c r="C4" s="1175"/>
      <c r="D4" s="1175"/>
      <c r="E4" s="1175"/>
      <c r="F4" s="1175"/>
      <c r="G4" s="1175"/>
      <c r="H4" s="1174"/>
      <c r="I4" s="1173"/>
      <c r="J4" s="1183"/>
      <c r="K4" s="1184"/>
      <c r="L4" s="1184"/>
      <c r="M4" s="1185"/>
      <c r="N4" s="1175"/>
      <c r="O4" s="1175"/>
      <c r="P4" s="657">
        <v>2012</v>
      </c>
      <c r="Q4" s="657">
        <v>2013</v>
      </c>
      <c r="R4" s="657">
        <v>2014</v>
      </c>
      <c r="S4" s="657">
        <v>2015</v>
      </c>
      <c r="T4" s="657">
        <v>2016</v>
      </c>
      <c r="U4" s="657">
        <v>2017</v>
      </c>
      <c r="V4" s="657">
        <v>2018</v>
      </c>
      <c r="W4" s="659">
        <v>2018</v>
      </c>
      <c r="X4" s="1182"/>
      <c r="Y4" s="1182"/>
      <c r="Z4" s="1174"/>
    </row>
    <row r="5" spans="2:26" s="74" customFormat="1" ht="18" customHeight="1">
      <c r="B5" s="93">
        <v>1</v>
      </c>
      <c r="C5" s="1159">
        <v>2</v>
      </c>
      <c r="D5" s="1160"/>
      <c r="E5" s="1159">
        <v>3</v>
      </c>
      <c r="F5" s="1160"/>
      <c r="G5" s="18">
        <v>4</v>
      </c>
      <c r="H5" s="94">
        <v>5</v>
      </c>
      <c r="I5" s="18">
        <v>6</v>
      </c>
      <c r="J5" s="1159"/>
      <c r="K5" s="1161"/>
      <c r="L5" s="1161"/>
      <c r="M5" s="1160"/>
      <c r="N5" s="18">
        <v>2</v>
      </c>
      <c r="O5" s="18">
        <v>3</v>
      </c>
      <c r="P5" s="18">
        <v>4</v>
      </c>
      <c r="Q5" s="18">
        <v>5</v>
      </c>
      <c r="R5" s="18">
        <v>6</v>
      </c>
      <c r="S5" s="18">
        <v>7</v>
      </c>
      <c r="T5" s="18">
        <v>8</v>
      </c>
      <c r="U5" s="18">
        <v>9</v>
      </c>
      <c r="V5" s="18">
        <v>10</v>
      </c>
      <c r="W5" s="18">
        <v>11</v>
      </c>
      <c r="X5" s="18">
        <v>13</v>
      </c>
      <c r="Y5" s="18">
        <v>26</v>
      </c>
      <c r="Z5" s="18">
        <v>27</v>
      </c>
    </row>
    <row r="6" spans="2:26" s="1" customFormat="1" ht="78.75">
      <c r="B6" s="37" t="s">
        <v>782</v>
      </c>
      <c r="C6" s="651">
        <v>1</v>
      </c>
      <c r="D6" s="651" t="s">
        <v>783</v>
      </c>
      <c r="E6" s="651">
        <v>1</v>
      </c>
      <c r="F6" s="651" t="s">
        <v>784</v>
      </c>
      <c r="G6" s="651" t="s">
        <v>785</v>
      </c>
      <c r="H6" s="651" t="s">
        <v>786</v>
      </c>
      <c r="I6" s="870" t="s">
        <v>4926</v>
      </c>
      <c r="J6" s="3"/>
      <c r="K6" s="3"/>
      <c r="L6" s="3"/>
      <c r="M6" s="3"/>
      <c r="N6" s="3"/>
      <c r="O6" s="31"/>
      <c r="P6" s="31"/>
      <c r="Q6" s="31"/>
      <c r="R6" s="31"/>
      <c r="S6" s="31"/>
      <c r="T6" s="31"/>
      <c r="U6" s="31"/>
      <c r="V6" s="31"/>
      <c r="W6" s="31"/>
      <c r="X6" s="3"/>
      <c r="Y6" s="3"/>
      <c r="Z6" s="3"/>
    </row>
    <row r="7" spans="2:26" s="1" customFormat="1" ht="141.75">
      <c r="B7" s="69"/>
      <c r="C7" s="652"/>
      <c r="D7" s="652"/>
      <c r="E7" s="652"/>
      <c r="F7" s="652"/>
      <c r="G7" s="652"/>
      <c r="H7" s="69"/>
      <c r="I7" s="652"/>
      <c r="J7" s="3" t="s">
        <v>361</v>
      </c>
      <c r="K7" s="3" t="s">
        <v>773</v>
      </c>
      <c r="L7" s="3">
        <v>16</v>
      </c>
      <c r="M7" s="3" t="s">
        <v>787</v>
      </c>
      <c r="N7" s="651" t="s">
        <v>788</v>
      </c>
      <c r="O7" s="673" t="s">
        <v>701</v>
      </c>
      <c r="P7" s="472">
        <v>18</v>
      </c>
      <c r="Q7" s="472">
        <v>18</v>
      </c>
      <c r="R7" s="472">
        <v>18</v>
      </c>
      <c r="S7" s="472">
        <v>18</v>
      </c>
      <c r="T7" s="472">
        <v>18</v>
      </c>
      <c r="U7" s="472">
        <v>18</v>
      </c>
      <c r="V7" s="472">
        <v>18</v>
      </c>
      <c r="W7" s="472">
        <v>18</v>
      </c>
      <c r="X7" s="651" t="s">
        <v>789</v>
      </c>
      <c r="Y7" s="651" t="s">
        <v>790</v>
      </c>
      <c r="Z7" s="651" t="s">
        <v>791</v>
      </c>
    </row>
    <row r="8" spans="2:26" s="1" customFormat="1" ht="63">
      <c r="B8" s="69"/>
      <c r="C8" s="652"/>
      <c r="D8" s="652"/>
      <c r="E8" s="652"/>
      <c r="F8" s="652"/>
      <c r="G8" s="652"/>
      <c r="H8" s="69"/>
      <c r="I8" s="652"/>
      <c r="J8" s="3" t="s">
        <v>361</v>
      </c>
      <c r="K8" s="3" t="s">
        <v>773</v>
      </c>
      <c r="L8" s="3">
        <v>17</v>
      </c>
      <c r="M8" s="3" t="s">
        <v>792</v>
      </c>
      <c r="N8" s="3" t="s">
        <v>793</v>
      </c>
      <c r="O8" s="31" t="s">
        <v>701</v>
      </c>
      <c r="P8" s="31">
        <v>0.76</v>
      </c>
      <c r="Q8" s="31">
        <v>0.93</v>
      </c>
      <c r="R8" s="31">
        <v>0.93</v>
      </c>
      <c r="S8" s="31">
        <v>1.28</v>
      </c>
      <c r="T8" s="31">
        <v>1.28</v>
      </c>
      <c r="U8" s="31">
        <v>1.28</v>
      </c>
      <c r="V8" s="31">
        <v>1.28</v>
      </c>
      <c r="W8" s="31">
        <v>1.28</v>
      </c>
      <c r="X8" s="3" t="s">
        <v>789</v>
      </c>
      <c r="Y8" s="3" t="s">
        <v>4328</v>
      </c>
      <c r="Z8" s="3"/>
    </row>
    <row r="9" spans="2:26" s="1" customFormat="1" ht="409.5">
      <c r="B9" s="69"/>
      <c r="C9" s="652"/>
      <c r="D9" s="652"/>
      <c r="E9" s="652"/>
      <c r="F9" s="652"/>
      <c r="G9" s="652"/>
      <c r="H9" s="69"/>
      <c r="I9" s="652"/>
      <c r="J9" s="3" t="s">
        <v>361</v>
      </c>
      <c r="K9" s="3" t="s">
        <v>773</v>
      </c>
      <c r="L9" s="3">
        <v>16</v>
      </c>
      <c r="M9" s="3" t="s">
        <v>794</v>
      </c>
      <c r="N9" s="3" t="s">
        <v>795</v>
      </c>
      <c r="O9" s="31" t="s">
        <v>701</v>
      </c>
      <c r="P9" s="31">
        <v>2.7</v>
      </c>
      <c r="Q9" s="31">
        <v>2.7</v>
      </c>
      <c r="R9" s="31">
        <v>2.88</v>
      </c>
      <c r="S9" s="31">
        <v>3.08</v>
      </c>
      <c r="T9" s="31">
        <v>3.18</v>
      </c>
      <c r="U9" s="31">
        <v>3.18</v>
      </c>
      <c r="V9" s="31">
        <v>3.18</v>
      </c>
      <c r="W9" s="31">
        <v>3.18</v>
      </c>
      <c r="X9" s="3" t="s">
        <v>789</v>
      </c>
      <c r="Y9" s="3" t="s">
        <v>4329</v>
      </c>
      <c r="Z9" s="3" t="s">
        <v>796</v>
      </c>
    </row>
    <row r="10" spans="2:26" s="1" customFormat="1" ht="204.75">
      <c r="B10" s="69"/>
      <c r="C10" s="652"/>
      <c r="D10" s="652"/>
      <c r="E10" s="652"/>
      <c r="F10" s="652"/>
      <c r="G10" s="652"/>
      <c r="H10" s="69"/>
      <c r="I10" s="652"/>
      <c r="J10" s="3" t="s">
        <v>361</v>
      </c>
      <c r="K10" s="3" t="s">
        <v>773</v>
      </c>
      <c r="L10" s="3">
        <v>18</v>
      </c>
      <c r="M10" s="3" t="s">
        <v>797</v>
      </c>
      <c r="N10" s="3" t="s">
        <v>798</v>
      </c>
      <c r="O10" s="31" t="s">
        <v>701</v>
      </c>
      <c r="P10" s="31">
        <v>0.94</v>
      </c>
      <c r="Q10" s="31">
        <v>0.94</v>
      </c>
      <c r="R10" s="31">
        <v>2.71</v>
      </c>
      <c r="S10" s="31">
        <v>2.71</v>
      </c>
      <c r="T10" s="31">
        <v>4.5999999999999996</v>
      </c>
      <c r="U10" s="31">
        <v>4.78</v>
      </c>
      <c r="V10" s="31">
        <v>5.0599999999999996</v>
      </c>
      <c r="W10" s="31">
        <v>5.0599999999999996</v>
      </c>
      <c r="X10" s="3" t="s">
        <v>789</v>
      </c>
      <c r="Y10" s="3" t="s">
        <v>1999</v>
      </c>
      <c r="Z10" s="3" t="s">
        <v>4370</v>
      </c>
    </row>
    <row r="11" spans="2:26" s="1" customFormat="1" ht="94.5">
      <c r="B11" s="69"/>
      <c r="C11" s="652"/>
      <c r="D11" s="652"/>
      <c r="E11" s="652"/>
      <c r="F11" s="652"/>
      <c r="G11" s="652"/>
      <c r="H11" s="69"/>
      <c r="I11" s="652"/>
      <c r="J11" s="3" t="s">
        <v>361</v>
      </c>
      <c r="K11" s="3" t="s">
        <v>773</v>
      </c>
      <c r="L11" s="3">
        <v>20</v>
      </c>
      <c r="M11" s="3" t="s">
        <v>370</v>
      </c>
      <c r="N11" s="3"/>
      <c r="O11" s="31"/>
      <c r="P11" s="31"/>
      <c r="Q11" s="31"/>
      <c r="R11" s="31"/>
      <c r="S11" s="31"/>
      <c r="T11" s="31"/>
      <c r="U11" s="31"/>
      <c r="V11" s="31"/>
      <c r="W11" s="31"/>
      <c r="X11" s="3"/>
      <c r="Y11" s="3"/>
      <c r="Z11" s="3"/>
    </row>
    <row r="12" spans="2:26" s="1" customFormat="1" ht="299.25">
      <c r="B12" s="69"/>
      <c r="C12" s="652"/>
      <c r="D12" s="652"/>
      <c r="E12" s="652"/>
      <c r="F12" s="652"/>
      <c r="G12" s="652"/>
      <c r="H12" s="69"/>
      <c r="I12" s="652"/>
      <c r="J12" s="3" t="s">
        <v>361</v>
      </c>
      <c r="K12" s="3" t="s">
        <v>773</v>
      </c>
      <c r="L12" s="3">
        <v>15</v>
      </c>
      <c r="M12" s="3" t="s">
        <v>105</v>
      </c>
      <c r="N12" s="3" t="s">
        <v>799</v>
      </c>
      <c r="O12" s="31" t="s">
        <v>701</v>
      </c>
      <c r="P12" s="31">
        <v>0.33</v>
      </c>
      <c r="Q12" s="31">
        <v>0.28999999999999998</v>
      </c>
      <c r="R12" s="31">
        <v>0.34</v>
      </c>
      <c r="S12" s="34">
        <v>1</v>
      </c>
      <c r="T12" s="31">
        <v>1.5</v>
      </c>
      <c r="U12" s="31">
        <v>2.25</v>
      </c>
      <c r="V12" s="34">
        <v>3</v>
      </c>
      <c r="W12" s="473">
        <f>V12</f>
        <v>3</v>
      </c>
      <c r="X12" s="3" t="s">
        <v>789</v>
      </c>
      <c r="Y12" s="30" t="s">
        <v>800</v>
      </c>
      <c r="Z12" s="3" t="s">
        <v>4371</v>
      </c>
    </row>
    <row r="13" spans="2:26" s="1" customFormat="1" ht="189">
      <c r="B13" s="69"/>
      <c r="C13" s="652"/>
      <c r="D13" s="652"/>
      <c r="E13" s="652"/>
      <c r="F13" s="652"/>
      <c r="G13" s="652"/>
      <c r="H13" s="69"/>
      <c r="I13" s="652"/>
      <c r="J13" s="3" t="s">
        <v>361</v>
      </c>
      <c r="K13" s="3" t="s">
        <v>773</v>
      </c>
      <c r="L13" s="3">
        <v>16</v>
      </c>
      <c r="M13" s="3" t="s">
        <v>106</v>
      </c>
      <c r="N13" s="3" t="s">
        <v>801</v>
      </c>
      <c r="O13" s="31" t="s">
        <v>701</v>
      </c>
      <c r="P13" s="34">
        <v>100</v>
      </c>
      <c r="Q13" s="34">
        <v>100</v>
      </c>
      <c r="R13" s="34">
        <v>100</v>
      </c>
      <c r="S13" s="34">
        <v>100</v>
      </c>
      <c r="T13" s="34">
        <v>100</v>
      </c>
      <c r="U13" s="34">
        <v>100</v>
      </c>
      <c r="V13" s="34">
        <v>100</v>
      </c>
      <c r="W13" s="34">
        <v>100</v>
      </c>
      <c r="X13" s="3" t="s">
        <v>789</v>
      </c>
      <c r="Y13" s="30" t="s">
        <v>802</v>
      </c>
      <c r="Z13" s="3" t="s">
        <v>803</v>
      </c>
    </row>
    <row r="14" spans="2:26" s="1" customFormat="1" ht="110.25">
      <c r="B14" s="69"/>
      <c r="C14" s="652"/>
      <c r="D14" s="652"/>
      <c r="E14" s="653"/>
      <c r="F14" s="653"/>
      <c r="G14" s="653"/>
      <c r="H14" s="77"/>
      <c r="I14" s="653"/>
      <c r="J14" s="3" t="s">
        <v>361</v>
      </c>
      <c r="K14" s="3" t="s">
        <v>773</v>
      </c>
      <c r="L14" s="3">
        <v>16</v>
      </c>
      <c r="M14" s="651" t="s">
        <v>106</v>
      </c>
      <c r="N14" s="3" t="s">
        <v>804</v>
      </c>
      <c r="O14" s="31" t="s">
        <v>701</v>
      </c>
      <c r="P14" s="31" t="s">
        <v>4363</v>
      </c>
      <c r="Q14" s="31" t="s">
        <v>4364</v>
      </c>
      <c r="R14" s="31" t="s">
        <v>4362</v>
      </c>
      <c r="S14" s="31" t="s">
        <v>4365</v>
      </c>
      <c r="T14" s="31" t="s">
        <v>4366</v>
      </c>
      <c r="U14" s="31" t="s">
        <v>4367</v>
      </c>
      <c r="V14" s="31" t="s">
        <v>4368</v>
      </c>
      <c r="W14" s="31" t="s">
        <v>4368</v>
      </c>
      <c r="X14" s="3" t="s">
        <v>789</v>
      </c>
      <c r="Y14" s="3" t="s">
        <v>805</v>
      </c>
      <c r="Z14" s="3" t="s">
        <v>4369</v>
      </c>
    </row>
    <row r="15" spans="2:26" s="1" customFormat="1" ht="126">
      <c r="B15" s="69"/>
      <c r="C15" s="652"/>
      <c r="D15" s="652"/>
      <c r="E15" s="651">
        <v>2</v>
      </c>
      <c r="F15" s="651" t="s">
        <v>806</v>
      </c>
      <c r="G15" s="651" t="s">
        <v>807</v>
      </c>
      <c r="H15" s="651" t="s">
        <v>786</v>
      </c>
      <c r="I15" s="870" t="s">
        <v>4927</v>
      </c>
      <c r="J15" s="3">
        <v>1.1299999999999999</v>
      </c>
      <c r="K15" s="3" t="s">
        <v>773</v>
      </c>
      <c r="L15" s="3">
        <v>16</v>
      </c>
      <c r="M15" s="651" t="s">
        <v>106</v>
      </c>
      <c r="N15" s="651"/>
      <c r="O15" s="673"/>
      <c r="P15" s="673"/>
      <c r="Q15" s="673"/>
      <c r="R15" s="673"/>
      <c r="S15" s="673"/>
      <c r="T15" s="673"/>
      <c r="U15" s="673"/>
      <c r="V15" s="673"/>
      <c r="W15" s="673"/>
      <c r="X15" s="651"/>
      <c r="Y15" s="651"/>
      <c r="Z15" s="651"/>
    </row>
    <row r="16" spans="2:26" s="1" customFormat="1" ht="204.75">
      <c r="B16" s="69"/>
      <c r="C16" s="652"/>
      <c r="D16" s="652"/>
      <c r="E16" s="652"/>
      <c r="F16" s="652"/>
      <c r="G16" s="652"/>
      <c r="H16" s="69"/>
      <c r="I16" s="652"/>
      <c r="J16" s="3">
        <v>1.1299999999999999</v>
      </c>
      <c r="K16" s="3" t="s">
        <v>773</v>
      </c>
      <c r="L16" s="3">
        <v>16</v>
      </c>
      <c r="M16" s="651" t="s">
        <v>106</v>
      </c>
      <c r="N16" s="653" t="s">
        <v>4317</v>
      </c>
      <c r="O16" s="675"/>
      <c r="P16" s="510">
        <v>100</v>
      </c>
      <c r="Q16" s="510">
        <v>100</v>
      </c>
      <c r="R16" s="510">
        <v>100</v>
      </c>
      <c r="S16" s="510">
        <v>100</v>
      </c>
      <c r="T16" s="510">
        <v>100</v>
      </c>
      <c r="U16" s="510">
        <v>100</v>
      </c>
      <c r="V16" s="510">
        <v>100</v>
      </c>
      <c r="W16" s="510">
        <v>100</v>
      </c>
      <c r="X16" s="653" t="s">
        <v>789</v>
      </c>
      <c r="Y16" s="653" t="s">
        <v>808</v>
      </c>
      <c r="Z16" s="653" t="s">
        <v>809</v>
      </c>
    </row>
    <row r="17" spans="2:26" s="1" customFormat="1" ht="267.75">
      <c r="B17" s="69"/>
      <c r="C17" s="652"/>
      <c r="D17" s="652"/>
      <c r="E17" s="652"/>
      <c r="F17" s="652"/>
      <c r="G17" s="652"/>
      <c r="H17" s="69"/>
      <c r="I17" s="652"/>
      <c r="J17" s="3">
        <v>1.1299999999999999</v>
      </c>
      <c r="K17" s="3" t="s">
        <v>773</v>
      </c>
      <c r="L17" s="3">
        <v>21</v>
      </c>
      <c r="M17" s="3" t="s">
        <v>108</v>
      </c>
      <c r="N17" s="3" t="s">
        <v>810</v>
      </c>
      <c r="O17" s="31" t="s">
        <v>701</v>
      </c>
      <c r="P17" s="34">
        <v>100</v>
      </c>
      <c r="Q17" s="34">
        <v>100</v>
      </c>
      <c r="R17" s="34">
        <v>100</v>
      </c>
      <c r="S17" s="34">
        <v>100</v>
      </c>
      <c r="T17" s="34">
        <v>100</v>
      </c>
      <c r="U17" s="34">
        <v>100</v>
      </c>
      <c r="V17" s="34">
        <v>100</v>
      </c>
      <c r="W17" s="34">
        <v>100</v>
      </c>
      <c r="X17" s="3" t="s">
        <v>789</v>
      </c>
      <c r="Y17" s="3" t="s">
        <v>811</v>
      </c>
      <c r="Z17" s="3" t="s">
        <v>812</v>
      </c>
    </row>
    <row r="18" spans="2:26" s="1" customFormat="1" ht="267.75">
      <c r="B18" s="69"/>
      <c r="C18" s="652"/>
      <c r="D18" s="652"/>
      <c r="E18" s="652"/>
      <c r="F18" s="652"/>
      <c r="G18" s="652"/>
      <c r="H18" s="69"/>
      <c r="I18" s="652"/>
      <c r="J18" s="3">
        <v>1.1299999999999999</v>
      </c>
      <c r="K18" s="3" t="s">
        <v>773</v>
      </c>
      <c r="L18" s="3">
        <v>21</v>
      </c>
      <c r="M18" s="3" t="s">
        <v>108</v>
      </c>
      <c r="N18" s="3" t="s">
        <v>813</v>
      </c>
      <c r="O18" s="31" t="s">
        <v>701</v>
      </c>
      <c r="P18" s="34">
        <v>100</v>
      </c>
      <c r="Q18" s="34">
        <v>100</v>
      </c>
      <c r="R18" s="34">
        <v>100</v>
      </c>
      <c r="S18" s="34">
        <v>100</v>
      </c>
      <c r="T18" s="34">
        <v>100</v>
      </c>
      <c r="U18" s="34">
        <v>100</v>
      </c>
      <c r="V18" s="34">
        <v>100</v>
      </c>
      <c r="W18" s="34">
        <v>100</v>
      </c>
      <c r="X18" s="3" t="s">
        <v>789</v>
      </c>
      <c r="Y18" s="3" t="s">
        <v>814</v>
      </c>
      <c r="Z18" s="3" t="s">
        <v>815</v>
      </c>
    </row>
    <row r="19" spans="2:26" s="1" customFormat="1" ht="409.5">
      <c r="B19" s="69"/>
      <c r="C19" s="653"/>
      <c r="D19" s="653"/>
      <c r="E19" s="653"/>
      <c r="F19" s="653"/>
      <c r="G19" s="653"/>
      <c r="H19" s="77"/>
      <c r="I19" s="653"/>
      <c r="J19" s="3">
        <v>1.1299999999999999</v>
      </c>
      <c r="K19" s="3" t="s">
        <v>773</v>
      </c>
      <c r="L19" s="3">
        <v>21</v>
      </c>
      <c r="M19" s="3" t="s">
        <v>108</v>
      </c>
      <c r="N19" s="3" t="s">
        <v>816</v>
      </c>
      <c r="O19" s="31" t="s">
        <v>701</v>
      </c>
      <c r="P19" s="34">
        <v>0</v>
      </c>
      <c r="Q19" s="34">
        <v>0</v>
      </c>
      <c r="R19" s="34">
        <v>0</v>
      </c>
      <c r="S19" s="34">
        <v>24.22</v>
      </c>
      <c r="T19" s="34">
        <v>24.22</v>
      </c>
      <c r="U19" s="34">
        <v>25.61</v>
      </c>
      <c r="V19" s="34">
        <v>25.95</v>
      </c>
      <c r="W19" s="34">
        <v>25.95</v>
      </c>
      <c r="X19" s="3" t="s">
        <v>789</v>
      </c>
      <c r="Y19" s="3" t="s">
        <v>817</v>
      </c>
      <c r="Z19" s="3" t="s">
        <v>818</v>
      </c>
    </row>
    <row r="20" spans="2:26" s="1" customFormat="1" ht="63">
      <c r="B20" s="69"/>
      <c r="C20" s="651">
        <v>2</v>
      </c>
      <c r="D20" s="651" t="s">
        <v>819</v>
      </c>
      <c r="E20" s="651">
        <v>3</v>
      </c>
      <c r="F20" s="651" t="s">
        <v>820</v>
      </c>
      <c r="G20" s="651" t="s">
        <v>821</v>
      </c>
      <c r="H20" s="37"/>
      <c r="I20" s="870" t="s">
        <v>4928</v>
      </c>
      <c r="J20" s="3"/>
      <c r="K20" s="3"/>
      <c r="L20" s="3"/>
      <c r="M20" s="3"/>
      <c r="N20" s="3"/>
      <c r="O20" s="31"/>
      <c r="P20" s="31"/>
      <c r="Q20" s="31"/>
      <c r="R20" s="31"/>
      <c r="S20" s="31"/>
      <c r="T20" s="31"/>
      <c r="U20" s="31"/>
      <c r="V20" s="31"/>
      <c r="W20" s="31"/>
      <c r="X20" s="3"/>
      <c r="Y20" s="3"/>
      <c r="Z20" s="3"/>
    </row>
    <row r="21" spans="2:26" s="1" customFormat="1" ht="94.5">
      <c r="B21" s="69"/>
      <c r="C21" s="652"/>
      <c r="D21" s="652"/>
      <c r="E21" s="652"/>
      <c r="F21" s="652"/>
      <c r="G21" s="652"/>
      <c r="H21" s="69"/>
      <c r="I21" s="652"/>
      <c r="J21" s="3">
        <v>1.1299999999999999</v>
      </c>
      <c r="K21" s="3" t="s">
        <v>773</v>
      </c>
      <c r="L21" s="3">
        <v>16</v>
      </c>
      <c r="M21" s="3" t="s">
        <v>106</v>
      </c>
      <c r="N21" s="651" t="s">
        <v>822</v>
      </c>
      <c r="O21" s="673" t="s">
        <v>701</v>
      </c>
      <c r="P21" s="472">
        <v>100</v>
      </c>
      <c r="Q21" s="472">
        <v>100</v>
      </c>
      <c r="R21" s="472">
        <v>100</v>
      </c>
      <c r="S21" s="472">
        <v>100</v>
      </c>
      <c r="T21" s="472">
        <v>100</v>
      </c>
      <c r="U21" s="472">
        <v>100</v>
      </c>
      <c r="V21" s="472">
        <v>100</v>
      </c>
      <c r="W21" s="472">
        <v>100</v>
      </c>
      <c r="X21" s="651" t="s">
        <v>2046</v>
      </c>
      <c r="Y21" s="651" t="s">
        <v>823</v>
      </c>
      <c r="Z21" s="651"/>
    </row>
    <row r="22" spans="2:26" s="1" customFormat="1" ht="47.25">
      <c r="B22" s="69"/>
      <c r="C22" s="652"/>
      <c r="D22" s="652"/>
      <c r="E22" s="652"/>
      <c r="F22" s="652"/>
      <c r="G22" s="652"/>
      <c r="H22" s="69"/>
      <c r="I22" s="652"/>
      <c r="J22" s="3">
        <v>1.1299999999999999</v>
      </c>
      <c r="K22" s="3" t="s">
        <v>773</v>
      </c>
      <c r="L22" s="3">
        <v>24</v>
      </c>
      <c r="M22" s="3" t="s">
        <v>824</v>
      </c>
      <c r="N22" s="653"/>
      <c r="O22" s="675"/>
      <c r="P22" s="675"/>
      <c r="Q22" s="675"/>
      <c r="R22" s="675"/>
      <c r="S22" s="675"/>
      <c r="T22" s="675"/>
      <c r="U22" s="675"/>
      <c r="V22" s="675"/>
      <c r="W22" s="675"/>
      <c r="X22" s="653"/>
      <c r="Y22" s="653"/>
      <c r="Z22" s="653"/>
    </row>
    <row r="23" spans="2:26" s="1" customFormat="1" ht="63">
      <c r="B23" s="69"/>
      <c r="C23" s="651">
        <v>3</v>
      </c>
      <c r="D23" s="651" t="s">
        <v>825</v>
      </c>
      <c r="E23" s="651">
        <v>4</v>
      </c>
      <c r="F23" s="651" t="s">
        <v>826</v>
      </c>
      <c r="G23" s="651" t="s">
        <v>827</v>
      </c>
      <c r="H23" s="651" t="s">
        <v>828</v>
      </c>
      <c r="I23" s="870" t="s">
        <v>4929</v>
      </c>
      <c r="J23" s="3"/>
      <c r="K23" s="3"/>
      <c r="L23" s="3"/>
      <c r="M23" s="3"/>
      <c r="N23" s="3"/>
      <c r="O23" s="31"/>
      <c r="P23" s="31"/>
      <c r="Q23" s="31"/>
      <c r="R23" s="31"/>
      <c r="S23" s="31"/>
      <c r="T23" s="31"/>
      <c r="U23" s="31"/>
      <c r="V23" s="31"/>
      <c r="W23" s="31"/>
      <c r="X23" s="3"/>
      <c r="Y23" s="3"/>
      <c r="Z23" s="3"/>
    </row>
    <row r="24" spans="2:26" s="1" customFormat="1" ht="31.5">
      <c r="B24" s="69"/>
      <c r="C24" s="652"/>
      <c r="D24" s="652"/>
      <c r="E24" s="652"/>
      <c r="F24" s="652"/>
      <c r="G24" s="652"/>
      <c r="H24" s="69"/>
      <c r="I24" s="652"/>
      <c r="J24" s="3">
        <v>1.1299999999999999</v>
      </c>
      <c r="K24" s="3" t="s">
        <v>773</v>
      </c>
      <c r="L24" s="3">
        <v>25</v>
      </c>
      <c r="M24" s="3" t="s">
        <v>829</v>
      </c>
      <c r="N24" s="651"/>
      <c r="O24" s="673"/>
      <c r="P24" s="673"/>
      <c r="Q24" s="673"/>
      <c r="R24" s="673"/>
      <c r="S24" s="673"/>
      <c r="T24" s="673"/>
      <c r="U24" s="673"/>
      <c r="V24" s="673"/>
      <c r="W24" s="673"/>
      <c r="X24" s="651"/>
      <c r="Y24" s="651"/>
      <c r="Z24" s="651"/>
    </row>
    <row r="25" spans="2:26" s="1" customFormat="1" ht="220.5">
      <c r="B25" s="69"/>
      <c r="C25" s="652"/>
      <c r="D25" s="652"/>
      <c r="E25" s="652"/>
      <c r="F25" s="652"/>
      <c r="G25" s="652"/>
      <c r="H25" s="69"/>
      <c r="I25" s="652"/>
      <c r="J25" s="3">
        <v>1.1299999999999999</v>
      </c>
      <c r="K25" s="3" t="s">
        <v>773</v>
      </c>
      <c r="L25" s="3">
        <v>26</v>
      </c>
      <c r="M25" s="3" t="s">
        <v>830</v>
      </c>
      <c r="N25" s="653" t="s">
        <v>4627</v>
      </c>
      <c r="O25" s="675" t="s">
        <v>701</v>
      </c>
      <c r="P25" s="510">
        <v>100</v>
      </c>
      <c r="Q25" s="510">
        <v>100</v>
      </c>
      <c r="R25" s="510">
        <v>100</v>
      </c>
      <c r="S25" s="510">
        <v>100</v>
      </c>
      <c r="T25" s="510">
        <v>100</v>
      </c>
      <c r="U25" s="510">
        <v>100</v>
      </c>
      <c r="V25" s="510">
        <v>100</v>
      </c>
      <c r="W25" s="510">
        <v>100</v>
      </c>
      <c r="X25" s="653" t="s">
        <v>1033</v>
      </c>
      <c r="Y25" s="653" t="s">
        <v>832</v>
      </c>
      <c r="Z25" s="653"/>
    </row>
    <row r="26" spans="2:26" s="1" customFormat="1" ht="157.5">
      <c r="B26" s="69"/>
      <c r="C26" s="652"/>
      <c r="D26" s="652"/>
      <c r="E26" s="652"/>
      <c r="F26" s="652"/>
      <c r="G26" s="652"/>
      <c r="H26" s="69"/>
      <c r="I26" s="652"/>
      <c r="J26" s="3">
        <v>1.1299999999999999</v>
      </c>
      <c r="K26" s="3" t="s">
        <v>773</v>
      </c>
      <c r="L26" s="3">
        <v>26</v>
      </c>
      <c r="M26" s="3" t="s">
        <v>830</v>
      </c>
      <c r="N26" s="3" t="s">
        <v>4628</v>
      </c>
      <c r="O26" s="31" t="s">
        <v>701</v>
      </c>
      <c r="P26" s="34">
        <v>100</v>
      </c>
      <c r="Q26" s="34">
        <v>100</v>
      </c>
      <c r="R26" s="34">
        <v>100</v>
      </c>
      <c r="S26" s="34">
        <v>100</v>
      </c>
      <c r="T26" s="34">
        <v>100</v>
      </c>
      <c r="U26" s="34">
        <v>100</v>
      </c>
      <c r="V26" s="34">
        <v>100</v>
      </c>
      <c r="W26" s="34">
        <v>100</v>
      </c>
      <c r="X26" s="3" t="s">
        <v>4569</v>
      </c>
      <c r="Y26" s="3" t="s">
        <v>4629</v>
      </c>
      <c r="Z26" s="3" t="s">
        <v>4630</v>
      </c>
    </row>
    <row r="27" spans="2:26" s="1" customFormat="1" ht="173.25">
      <c r="B27" s="69"/>
      <c r="C27" s="652"/>
      <c r="D27" s="652"/>
      <c r="E27" s="652"/>
      <c r="F27" s="652"/>
      <c r="G27" s="652"/>
      <c r="H27" s="69"/>
      <c r="I27" s="652"/>
      <c r="J27" s="3">
        <v>1.1299999999999999</v>
      </c>
      <c r="K27" s="3" t="s">
        <v>773</v>
      </c>
      <c r="L27" s="3">
        <v>27</v>
      </c>
      <c r="M27" s="651" t="s">
        <v>833</v>
      </c>
      <c r="N27" s="3" t="s">
        <v>834</v>
      </c>
      <c r="O27" s="31" t="s">
        <v>701</v>
      </c>
      <c r="P27" s="34">
        <v>100</v>
      </c>
      <c r="Q27" s="34">
        <v>100</v>
      </c>
      <c r="R27" s="34">
        <v>100</v>
      </c>
      <c r="S27" s="34">
        <v>100</v>
      </c>
      <c r="T27" s="34">
        <v>100</v>
      </c>
      <c r="U27" s="34">
        <v>100</v>
      </c>
      <c r="V27" s="34">
        <v>100</v>
      </c>
      <c r="W27" s="34">
        <v>100</v>
      </c>
      <c r="X27" s="3" t="s">
        <v>4318</v>
      </c>
      <c r="Y27" s="3" t="s">
        <v>835</v>
      </c>
      <c r="Z27" s="3"/>
    </row>
    <row r="28" spans="2:26" s="1" customFormat="1" ht="236.25">
      <c r="B28" s="69"/>
      <c r="C28" s="653"/>
      <c r="D28" s="653"/>
      <c r="E28" s="653"/>
      <c r="F28" s="653"/>
      <c r="G28" s="653"/>
      <c r="H28" s="77"/>
      <c r="I28" s="653"/>
      <c r="J28" s="3">
        <v>1.1299999999999999</v>
      </c>
      <c r="K28" s="3" t="s">
        <v>773</v>
      </c>
      <c r="L28" s="3">
        <v>27</v>
      </c>
      <c r="M28" s="651" t="s">
        <v>833</v>
      </c>
      <c r="N28" s="3" t="s">
        <v>836</v>
      </c>
      <c r="O28" s="31" t="s">
        <v>701</v>
      </c>
      <c r="P28" s="34">
        <v>100</v>
      </c>
      <c r="Q28" s="34">
        <v>100</v>
      </c>
      <c r="R28" s="34">
        <v>100</v>
      </c>
      <c r="S28" s="34">
        <v>100</v>
      </c>
      <c r="T28" s="34">
        <v>100</v>
      </c>
      <c r="U28" s="34">
        <v>100</v>
      </c>
      <c r="V28" s="34">
        <v>100</v>
      </c>
      <c r="W28" s="34">
        <v>100</v>
      </c>
      <c r="X28" s="3" t="s">
        <v>831</v>
      </c>
      <c r="Y28" s="3" t="s">
        <v>837</v>
      </c>
      <c r="Z28" s="3"/>
    </row>
    <row r="29" spans="2:26" s="1" customFormat="1" ht="141.75">
      <c r="B29" s="37" t="s">
        <v>838</v>
      </c>
      <c r="C29" s="651">
        <v>4</v>
      </c>
      <c r="D29" s="651" t="s">
        <v>839</v>
      </c>
      <c r="E29" s="651">
        <v>5</v>
      </c>
      <c r="F29" s="651" t="s">
        <v>840</v>
      </c>
      <c r="G29" s="651" t="s">
        <v>841</v>
      </c>
      <c r="H29" s="651" t="s">
        <v>828</v>
      </c>
      <c r="I29" s="870" t="s">
        <v>4930</v>
      </c>
      <c r="J29" s="3"/>
      <c r="K29" s="3"/>
      <c r="L29" s="3" t="s">
        <v>1798</v>
      </c>
      <c r="M29" s="3"/>
      <c r="N29" s="3"/>
      <c r="O29" s="31"/>
      <c r="P29" s="31"/>
      <c r="Q29" s="31"/>
      <c r="R29" s="31"/>
      <c r="S29" s="31"/>
      <c r="T29" s="31"/>
      <c r="U29" s="31"/>
      <c r="V29" s="31"/>
      <c r="W29" s="31"/>
      <c r="X29" s="3"/>
      <c r="Y29" s="3"/>
      <c r="Z29" s="3"/>
    </row>
    <row r="30" spans="2:26" s="1" customFormat="1" ht="78.75">
      <c r="B30" s="69"/>
      <c r="C30" s="652"/>
      <c r="D30" s="652"/>
      <c r="E30" s="652"/>
      <c r="F30" s="652"/>
      <c r="G30" s="652"/>
      <c r="H30" s="69"/>
      <c r="I30" s="652"/>
      <c r="J30" s="3">
        <v>1.1399999999999999</v>
      </c>
      <c r="K30" s="3" t="s">
        <v>773</v>
      </c>
      <c r="L30" s="3">
        <v>15</v>
      </c>
      <c r="M30" s="19" t="s">
        <v>139</v>
      </c>
      <c r="N30" s="3" t="s">
        <v>842</v>
      </c>
      <c r="O30" s="31" t="s">
        <v>701</v>
      </c>
      <c r="P30" s="34">
        <v>80</v>
      </c>
      <c r="Q30" s="34">
        <v>80</v>
      </c>
      <c r="R30" s="34">
        <v>80</v>
      </c>
      <c r="S30" s="34">
        <v>80</v>
      </c>
      <c r="T30" s="34">
        <v>80</v>
      </c>
      <c r="U30" s="34">
        <v>80</v>
      </c>
      <c r="V30" s="34">
        <v>80</v>
      </c>
      <c r="W30" s="34">
        <v>80</v>
      </c>
      <c r="X30" s="3" t="s">
        <v>843</v>
      </c>
      <c r="Y30" s="3" t="s">
        <v>844</v>
      </c>
      <c r="Z30" s="3"/>
    </row>
    <row r="31" spans="2:26" s="1" customFormat="1" ht="78.75">
      <c r="B31" s="69"/>
      <c r="C31" s="652"/>
      <c r="D31" s="652"/>
      <c r="E31" s="652"/>
      <c r="F31" s="652"/>
      <c r="G31" s="652"/>
      <c r="H31" s="69"/>
      <c r="I31" s="652"/>
      <c r="J31" s="3">
        <v>1.1399999999999999</v>
      </c>
      <c r="K31" s="3" t="s">
        <v>773</v>
      </c>
      <c r="L31" s="3">
        <v>15</v>
      </c>
      <c r="M31" s="19" t="s">
        <v>139</v>
      </c>
      <c r="N31" s="3" t="s">
        <v>845</v>
      </c>
      <c r="O31" s="31" t="s">
        <v>701</v>
      </c>
      <c r="P31" s="34" t="s">
        <v>1041</v>
      </c>
      <c r="Q31" s="34" t="s">
        <v>1041</v>
      </c>
      <c r="R31" s="34" t="s">
        <v>1041</v>
      </c>
      <c r="S31" s="34">
        <v>80</v>
      </c>
      <c r="T31" s="34">
        <v>85</v>
      </c>
      <c r="U31" s="34">
        <v>90</v>
      </c>
      <c r="V31" s="34">
        <v>95</v>
      </c>
      <c r="W31" s="34">
        <v>95</v>
      </c>
      <c r="X31" s="3" t="s">
        <v>843</v>
      </c>
      <c r="Y31" s="3" t="s">
        <v>846</v>
      </c>
      <c r="Z31" s="3"/>
    </row>
    <row r="32" spans="2:26" s="1" customFormat="1" ht="78.75">
      <c r="B32" s="69"/>
      <c r="C32" s="652"/>
      <c r="D32" s="652"/>
      <c r="E32" s="653"/>
      <c r="F32" s="653"/>
      <c r="G32" s="653"/>
      <c r="H32" s="77"/>
      <c r="I32" s="653"/>
      <c r="J32" s="3">
        <v>1.1399999999999999</v>
      </c>
      <c r="K32" s="3" t="s">
        <v>773</v>
      </c>
      <c r="L32" s="3">
        <v>15</v>
      </c>
      <c r="M32" s="19" t="s">
        <v>139</v>
      </c>
      <c r="N32" s="3" t="s">
        <v>847</v>
      </c>
      <c r="O32" s="31" t="s">
        <v>701</v>
      </c>
      <c r="P32" s="31" t="s">
        <v>1041</v>
      </c>
      <c r="Q32" s="34">
        <v>80</v>
      </c>
      <c r="R32" s="34">
        <v>80</v>
      </c>
      <c r="S32" s="34">
        <v>80</v>
      </c>
      <c r="T32" s="34">
        <v>80</v>
      </c>
      <c r="U32" s="34">
        <v>80</v>
      </c>
      <c r="V32" s="34">
        <v>80</v>
      </c>
      <c r="W32" s="34">
        <v>80</v>
      </c>
      <c r="X32" s="3" t="s">
        <v>843</v>
      </c>
      <c r="Y32" s="3" t="s">
        <v>848</v>
      </c>
      <c r="Z32" s="3"/>
    </row>
    <row r="33" spans="2:26" s="1" customFormat="1" ht="110.25">
      <c r="B33" s="69"/>
      <c r="C33" s="652"/>
      <c r="D33" s="652"/>
      <c r="E33" s="651">
        <v>6</v>
      </c>
      <c r="F33" s="651" t="s">
        <v>849</v>
      </c>
      <c r="G33" s="651" t="s">
        <v>850</v>
      </c>
      <c r="H33" s="651" t="s">
        <v>828</v>
      </c>
      <c r="I33" s="870" t="s">
        <v>4931</v>
      </c>
      <c r="J33" s="3"/>
      <c r="K33" s="3"/>
      <c r="L33" s="3"/>
      <c r="M33" s="3"/>
      <c r="N33" s="3"/>
      <c r="O33" s="31"/>
      <c r="P33" s="31"/>
      <c r="Q33" s="31"/>
      <c r="R33" s="31"/>
      <c r="S33" s="31"/>
      <c r="T33" s="31"/>
      <c r="U33" s="31"/>
      <c r="V33" s="31"/>
      <c r="W33" s="31"/>
      <c r="X33" s="3"/>
      <c r="Y33" s="3"/>
      <c r="Z33" s="3"/>
    </row>
    <row r="34" spans="2:26" s="1" customFormat="1" ht="63">
      <c r="B34" s="69"/>
      <c r="C34" s="652"/>
      <c r="D34" s="652"/>
      <c r="E34" s="652"/>
      <c r="F34" s="652"/>
      <c r="G34" s="652"/>
      <c r="H34" s="69"/>
      <c r="I34" s="652"/>
      <c r="J34" s="3">
        <v>1.1399999999999999</v>
      </c>
      <c r="K34" s="3" t="s">
        <v>773</v>
      </c>
      <c r="L34" s="3">
        <v>16</v>
      </c>
      <c r="M34" s="19" t="s">
        <v>140</v>
      </c>
      <c r="N34" s="3" t="s">
        <v>851</v>
      </c>
      <c r="O34" s="31" t="s">
        <v>701</v>
      </c>
      <c r="P34" s="34">
        <v>63</v>
      </c>
      <c r="Q34" s="34">
        <v>21</v>
      </c>
      <c r="R34" s="34">
        <v>65</v>
      </c>
      <c r="S34" s="34">
        <v>67</v>
      </c>
      <c r="T34" s="34">
        <v>70</v>
      </c>
      <c r="U34" s="34">
        <v>72</v>
      </c>
      <c r="V34" s="34">
        <v>75</v>
      </c>
      <c r="W34" s="34">
        <v>75</v>
      </c>
      <c r="X34" s="3" t="s">
        <v>843</v>
      </c>
      <c r="Y34" s="3" t="s">
        <v>852</v>
      </c>
      <c r="Z34" s="3"/>
    </row>
    <row r="35" spans="2:26" s="1" customFormat="1" ht="63">
      <c r="B35" s="69"/>
      <c r="C35" s="652"/>
      <c r="D35" s="652"/>
      <c r="E35" s="652"/>
      <c r="F35" s="652"/>
      <c r="G35" s="652"/>
      <c r="H35" s="69"/>
      <c r="I35" s="652"/>
      <c r="J35" s="3">
        <v>1.1399999999999999</v>
      </c>
      <c r="K35" s="3" t="s">
        <v>773</v>
      </c>
      <c r="L35" s="3">
        <v>16</v>
      </c>
      <c r="M35" s="19" t="s">
        <v>140</v>
      </c>
      <c r="N35" s="3" t="s">
        <v>853</v>
      </c>
      <c r="O35" s="31" t="s">
        <v>701</v>
      </c>
      <c r="P35" s="31" t="s">
        <v>4372</v>
      </c>
      <c r="Q35" s="34">
        <v>94.53</v>
      </c>
      <c r="R35" s="34">
        <v>94.75</v>
      </c>
      <c r="S35" s="34">
        <v>95</v>
      </c>
      <c r="T35" s="34">
        <v>95.25</v>
      </c>
      <c r="U35" s="34">
        <v>95.5</v>
      </c>
      <c r="V35" s="34">
        <v>95.75</v>
      </c>
      <c r="W35" s="34">
        <f>V35</f>
        <v>95.75</v>
      </c>
      <c r="X35" s="3" t="s">
        <v>843</v>
      </c>
      <c r="Y35" s="3" t="s">
        <v>854</v>
      </c>
      <c r="Z35" s="3"/>
    </row>
    <row r="36" spans="2:26" s="1" customFormat="1" ht="78.75">
      <c r="B36" s="69"/>
      <c r="C36" s="652"/>
      <c r="D36" s="652"/>
      <c r="E36" s="652"/>
      <c r="F36" s="652"/>
      <c r="G36" s="652"/>
      <c r="H36" s="69"/>
      <c r="I36" s="652"/>
      <c r="J36" s="3">
        <v>1.1399999999999999</v>
      </c>
      <c r="K36" s="3" t="s">
        <v>773</v>
      </c>
      <c r="L36" s="3">
        <v>16</v>
      </c>
      <c r="M36" s="19" t="s">
        <v>140</v>
      </c>
      <c r="N36" s="3" t="s">
        <v>855</v>
      </c>
      <c r="O36" s="31" t="s">
        <v>701</v>
      </c>
      <c r="P36" s="31" t="s">
        <v>4373</v>
      </c>
      <c r="Q36" s="34">
        <v>5.47</v>
      </c>
      <c r="R36" s="34">
        <v>5.25</v>
      </c>
      <c r="S36" s="34">
        <v>5</v>
      </c>
      <c r="T36" s="34">
        <v>4.75</v>
      </c>
      <c r="U36" s="34">
        <v>4.5</v>
      </c>
      <c r="V36" s="34">
        <v>4.25</v>
      </c>
      <c r="W36" s="34">
        <f>V36</f>
        <v>4.25</v>
      </c>
      <c r="X36" s="3" t="s">
        <v>843</v>
      </c>
      <c r="Y36" s="3" t="s">
        <v>856</v>
      </c>
      <c r="Z36" s="3"/>
    </row>
    <row r="37" spans="2:26" s="1" customFormat="1" ht="63">
      <c r="B37" s="69"/>
      <c r="C37" s="652"/>
      <c r="D37" s="652"/>
      <c r="E37" s="653"/>
      <c r="F37" s="653"/>
      <c r="G37" s="653"/>
      <c r="H37" s="77"/>
      <c r="I37" s="653"/>
      <c r="J37" s="3">
        <v>1.1399999999999999</v>
      </c>
      <c r="K37" s="3" t="s">
        <v>773</v>
      </c>
      <c r="L37" s="3">
        <v>16</v>
      </c>
      <c r="M37" s="19" t="s">
        <v>140</v>
      </c>
      <c r="N37" s="3" t="s">
        <v>857</v>
      </c>
      <c r="O37" s="31" t="s">
        <v>701</v>
      </c>
      <c r="P37" s="34" t="s">
        <v>4374</v>
      </c>
      <c r="Q37" s="34">
        <v>76.87</v>
      </c>
      <c r="R37" s="34">
        <v>78</v>
      </c>
      <c r="S37" s="34">
        <v>79</v>
      </c>
      <c r="T37" s="34">
        <v>80</v>
      </c>
      <c r="U37" s="34">
        <v>81</v>
      </c>
      <c r="V37" s="34">
        <v>82</v>
      </c>
      <c r="W37" s="34">
        <v>82</v>
      </c>
      <c r="X37" s="3" t="s">
        <v>843</v>
      </c>
      <c r="Y37" s="3" t="s">
        <v>858</v>
      </c>
      <c r="Z37" s="3" t="s">
        <v>859</v>
      </c>
    </row>
    <row r="38" spans="2:26" s="1" customFormat="1" ht="78.75">
      <c r="B38" s="69"/>
      <c r="C38" s="652"/>
      <c r="D38" s="652"/>
      <c r="E38" s="651">
        <v>7</v>
      </c>
      <c r="F38" s="651" t="s">
        <v>860</v>
      </c>
      <c r="G38" s="651" t="s">
        <v>861</v>
      </c>
      <c r="H38" s="651" t="s">
        <v>828</v>
      </c>
      <c r="I38" s="870" t="s">
        <v>4932</v>
      </c>
      <c r="J38" s="3"/>
      <c r="K38" s="3"/>
      <c r="L38" s="3"/>
      <c r="M38" s="3"/>
      <c r="N38" s="3"/>
      <c r="O38" s="31"/>
      <c r="P38" s="31"/>
      <c r="Q38" s="31"/>
      <c r="R38" s="31"/>
      <c r="S38" s="31"/>
      <c r="T38" s="31"/>
      <c r="U38" s="31"/>
      <c r="V38" s="31"/>
      <c r="W38" s="31"/>
      <c r="X38" s="3"/>
      <c r="Y38" s="3"/>
      <c r="Z38" s="3"/>
    </row>
    <row r="39" spans="2:26" s="1" customFormat="1" ht="78.75">
      <c r="B39" s="69"/>
      <c r="C39" s="652"/>
      <c r="D39" s="652"/>
      <c r="E39" s="652"/>
      <c r="F39" s="652"/>
      <c r="G39" s="652"/>
      <c r="H39" s="69"/>
      <c r="I39" s="652"/>
      <c r="J39" s="3">
        <v>1.1399999999999999</v>
      </c>
      <c r="K39" s="3" t="s">
        <v>773</v>
      </c>
      <c r="L39" s="3">
        <v>17</v>
      </c>
      <c r="M39" s="19" t="s">
        <v>141</v>
      </c>
      <c r="N39" s="3" t="s">
        <v>862</v>
      </c>
      <c r="O39" s="31" t="s">
        <v>701</v>
      </c>
      <c r="P39" s="34">
        <v>9.3000000000000007</v>
      </c>
      <c r="Q39" s="34">
        <v>9.3000000000000007</v>
      </c>
      <c r="R39" s="34">
        <v>13.3</v>
      </c>
      <c r="S39" s="34">
        <v>14</v>
      </c>
      <c r="T39" s="34">
        <v>16</v>
      </c>
      <c r="U39" s="34">
        <v>18</v>
      </c>
      <c r="V39" s="34">
        <v>19.399999999999999</v>
      </c>
      <c r="W39" s="34">
        <f>V39</f>
        <v>19.399999999999999</v>
      </c>
      <c r="X39" s="3" t="s">
        <v>843</v>
      </c>
      <c r="Y39" s="3" t="s">
        <v>863</v>
      </c>
      <c r="Z39" s="3"/>
    </row>
    <row r="40" spans="2:26" s="1" customFormat="1" ht="78.75">
      <c r="B40" s="69"/>
      <c r="C40" s="652"/>
      <c r="D40" s="652"/>
      <c r="E40" s="652"/>
      <c r="F40" s="652"/>
      <c r="G40" s="652"/>
      <c r="H40" s="69"/>
      <c r="I40" s="652"/>
      <c r="J40" s="3">
        <v>1.1399999999999999</v>
      </c>
      <c r="K40" s="3" t="s">
        <v>773</v>
      </c>
      <c r="L40" s="3">
        <v>17</v>
      </c>
      <c r="M40" s="19" t="s">
        <v>141</v>
      </c>
      <c r="N40" s="3" t="s">
        <v>4493</v>
      </c>
      <c r="O40" s="31" t="s">
        <v>701</v>
      </c>
      <c r="P40" s="31" t="s">
        <v>1041</v>
      </c>
      <c r="Q40" s="34">
        <v>62.4</v>
      </c>
      <c r="R40" s="34">
        <v>65.5</v>
      </c>
      <c r="S40" s="34">
        <v>65.5</v>
      </c>
      <c r="T40" s="34">
        <v>80</v>
      </c>
      <c r="U40" s="34">
        <v>90</v>
      </c>
      <c r="V40" s="34">
        <v>100</v>
      </c>
      <c r="W40" s="34">
        <v>100</v>
      </c>
      <c r="X40" s="3" t="s">
        <v>843</v>
      </c>
      <c r="Y40" s="3" t="s">
        <v>864</v>
      </c>
      <c r="Z40" s="3"/>
    </row>
    <row r="41" spans="2:26" s="1" customFormat="1" ht="78.75">
      <c r="B41" s="69"/>
      <c r="C41" s="652"/>
      <c r="D41" s="652"/>
      <c r="E41" s="652"/>
      <c r="F41" s="652"/>
      <c r="G41" s="652"/>
      <c r="H41" s="69"/>
      <c r="I41" s="652"/>
      <c r="J41" s="3">
        <v>1.1399999999999999</v>
      </c>
      <c r="K41" s="3" t="s">
        <v>773</v>
      </c>
      <c r="L41" s="3">
        <v>17</v>
      </c>
      <c r="M41" s="19" t="s">
        <v>141</v>
      </c>
      <c r="N41" s="3" t="s">
        <v>865</v>
      </c>
      <c r="O41" s="31" t="s">
        <v>701</v>
      </c>
      <c r="P41" s="34">
        <v>100</v>
      </c>
      <c r="Q41" s="34">
        <v>100</v>
      </c>
      <c r="R41" s="34">
        <v>100</v>
      </c>
      <c r="S41" s="34">
        <v>100</v>
      </c>
      <c r="T41" s="34">
        <v>100</v>
      </c>
      <c r="U41" s="34">
        <v>100</v>
      </c>
      <c r="V41" s="34">
        <v>100</v>
      </c>
      <c r="W41" s="34">
        <v>100</v>
      </c>
      <c r="X41" s="3" t="s">
        <v>843</v>
      </c>
      <c r="Y41" s="3" t="s">
        <v>866</v>
      </c>
      <c r="Z41" s="3"/>
    </row>
    <row r="42" spans="2:26" s="1" customFormat="1" ht="78.75">
      <c r="B42" s="77"/>
      <c r="C42" s="653"/>
      <c r="D42" s="653"/>
      <c r="E42" s="653"/>
      <c r="F42" s="653"/>
      <c r="G42" s="653"/>
      <c r="H42" s="77"/>
      <c r="I42" s="653"/>
      <c r="J42" s="3">
        <v>1.1399999999999999</v>
      </c>
      <c r="K42" s="3" t="s">
        <v>773</v>
      </c>
      <c r="L42" s="3">
        <v>17</v>
      </c>
      <c r="M42" s="19" t="s">
        <v>141</v>
      </c>
      <c r="N42" s="3" t="s">
        <v>867</v>
      </c>
      <c r="O42" s="31" t="s">
        <v>701</v>
      </c>
      <c r="P42" s="31" t="s">
        <v>1041</v>
      </c>
      <c r="Q42" s="34">
        <v>64</v>
      </c>
      <c r="R42" s="34">
        <v>67.5</v>
      </c>
      <c r="S42" s="34">
        <v>73</v>
      </c>
      <c r="T42" s="34">
        <v>76</v>
      </c>
      <c r="U42" s="34">
        <v>78</v>
      </c>
      <c r="V42" s="34">
        <v>82</v>
      </c>
      <c r="W42" s="34">
        <f>V42</f>
        <v>82</v>
      </c>
      <c r="X42" s="3" t="s">
        <v>843</v>
      </c>
      <c r="Y42" s="3" t="s">
        <v>868</v>
      </c>
      <c r="Z42" s="3"/>
    </row>
    <row r="43" spans="2:26" s="1" customFormat="1" ht="126">
      <c r="B43" s="37" t="s">
        <v>16</v>
      </c>
      <c r="C43" s="651">
        <v>5</v>
      </c>
      <c r="D43" s="651" t="s">
        <v>869</v>
      </c>
      <c r="E43" s="651">
        <v>8</v>
      </c>
      <c r="F43" s="651" t="s">
        <v>870</v>
      </c>
      <c r="G43" s="651" t="s">
        <v>871</v>
      </c>
      <c r="H43" s="651" t="s">
        <v>828</v>
      </c>
      <c r="I43" s="870" t="s">
        <v>4935</v>
      </c>
      <c r="J43" s="3"/>
      <c r="K43" s="3"/>
      <c r="L43" s="3"/>
      <c r="M43" s="3"/>
      <c r="N43" s="3"/>
      <c r="O43" s="31"/>
      <c r="P43" s="31"/>
      <c r="Q43" s="31"/>
      <c r="R43" s="31"/>
      <c r="S43" s="31"/>
      <c r="T43" s="31"/>
      <c r="U43" s="31"/>
      <c r="V43" s="31"/>
      <c r="W43" s="31"/>
      <c r="X43" s="3"/>
      <c r="Y43" s="3"/>
      <c r="Z43" s="3"/>
    </row>
    <row r="44" spans="2:26" s="1" customFormat="1" ht="47.25">
      <c r="B44" s="69"/>
      <c r="C44" s="652"/>
      <c r="D44" s="652"/>
      <c r="E44" s="652"/>
      <c r="F44" s="652"/>
      <c r="G44" s="652"/>
      <c r="H44" s="69"/>
      <c r="I44" s="652"/>
      <c r="J44" s="3">
        <v>1.22</v>
      </c>
      <c r="K44" s="3" t="s">
        <v>773</v>
      </c>
      <c r="L44" s="3">
        <v>22</v>
      </c>
      <c r="M44" s="3" t="s">
        <v>872</v>
      </c>
      <c r="N44" s="3" t="s">
        <v>4933</v>
      </c>
      <c r="O44" s="31" t="s">
        <v>701</v>
      </c>
      <c r="P44" s="473" t="s">
        <v>1556</v>
      </c>
      <c r="Q44" s="473" t="s">
        <v>1556</v>
      </c>
      <c r="R44" s="34">
        <v>10</v>
      </c>
      <c r="S44" s="34">
        <v>15</v>
      </c>
      <c r="T44" s="34">
        <v>20</v>
      </c>
      <c r="U44" s="34">
        <v>25</v>
      </c>
      <c r="V44" s="34">
        <v>30</v>
      </c>
      <c r="W44" s="34">
        <v>30</v>
      </c>
      <c r="X44" s="3" t="s">
        <v>873</v>
      </c>
      <c r="Y44" s="3" t="s">
        <v>4934</v>
      </c>
      <c r="Z44" s="3"/>
    </row>
    <row r="45" spans="2:26" s="1" customFormat="1" ht="110.25">
      <c r="B45" s="69"/>
      <c r="C45" s="652"/>
      <c r="D45" s="652"/>
      <c r="E45" s="652"/>
      <c r="F45" s="652"/>
      <c r="G45" s="652"/>
      <c r="H45" s="69"/>
      <c r="I45" s="652"/>
      <c r="J45" s="3">
        <v>1.22</v>
      </c>
      <c r="K45" s="3" t="s">
        <v>773</v>
      </c>
      <c r="L45" s="3">
        <v>17</v>
      </c>
      <c r="M45" s="3" t="s">
        <v>874</v>
      </c>
      <c r="N45" s="3" t="s">
        <v>875</v>
      </c>
      <c r="O45" s="473" t="s">
        <v>701</v>
      </c>
      <c r="P45" s="34">
        <v>100</v>
      </c>
      <c r="Q45" s="34">
        <v>100</v>
      </c>
      <c r="R45" s="34">
        <v>100</v>
      </c>
      <c r="S45" s="34">
        <v>100</v>
      </c>
      <c r="T45" s="34">
        <v>100</v>
      </c>
      <c r="U45" s="34">
        <v>100</v>
      </c>
      <c r="V45" s="34">
        <v>100</v>
      </c>
      <c r="W45" s="34">
        <v>100</v>
      </c>
      <c r="X45" s="3" t="s">
        <v>873</v>
      </c>
      <c r="Y45" s="3" t="s">
        <v>876</v>
      </c>
      <c r="Z45" s="3" t="s">
        <v>877</v>
      </c>
    </row>
    <row r="46" spans="2:26" s="1" customFormat="1" ht="94.5">
      <c r="B46" s="69"/>
      <c r="C46" s="652"/>
      <c r="D46" s="652"/>
      <c r="E46" s="652"/>
      <c r="F46" s="652"/>
      <c r="G46" s="652"/>
      <c r="H46" s="69"/>
      <c r="I46" s="652"/>
      <c r="J46" s="3">
        <v>1.22</v>
      </c>
      <c r="K46" s="3" t="s">
        <v>773</v>
      </c>
      <c r="L46" s="3">
        <v>16</v>
      </c>
      <c r="M46" s="3" t="s">
        <v>104</v>
      </c>
      <c r="N46" s="3" t="s">
        <v>878</v>
      </c>
      <c r="O46" s="31" t="s">
        <v>701</v>
      </c>
      <c r="P46" s="34">
        <v>12</v>
      </c>
      <c r="Q46" s="34">
        <v>12</v>
      </c>
      <c r="R46" s="34">
        <v>28</v>
      </c>
      <c r="S46" s="34">
        <v>34</v>
      </c>
      <c r="T46" s="34">
        <v>50</v>
      </c>
      <c r="U46" s="34">
        <v>65</v>
      </c>
      <c r="V46" s="34">
        <v>80</v>
      </c>
      <c r="W46" s="34">
        <v>80</v>
      </c>
      <c r="X46" s="3" t="s">
        <v>873</v>
      </c>
      <c r="Y46" s="3" t="s">
        <v>879</v>
      </c>
      <c r="Z46" s="3"/>
    </row>
    <row r="47" spans="2:26" s="1" customFormat="1" ht="78.75">
      <c r="B47" s="69"/>
      <c r="C47" s="652"/>
      <c r="D47" s="652"/>
      <c r="E47" s="652"/>
      <c r="F47" s="652"/>
      <c r="G47" s="652"/>
      <c r="H47" s="69"/>
      <c r="I47" s="652"/>
      <c r="J47" s="3">
        <v>1.22</v>
      </c>
      <c r="K47" s="3" t="s">
        <v>773</v>
      </c>
      <c r="L47" s="3">
        <v>15</v>
      </c>
      <c r="M47" s="3" t="s">
        <v>880</v>
      </c>
      <c r="N47" s="3" t="s">
        <v>4379</v>
      </c>
      <c r="O47" s="31" t="s">
        <v>701</v>
      </c>
      <c r="P47" s="31">
        <v>17.79</v>
      </c>
      <c r="Q47" s="31" t="s">
        <v>4476</v>
      </c>
      <c r="R47" s="31">
        <v>15.6</v>
      </c>
      <c r="S47" s="31">
        <v>14.4</v>
      </c>
      <c r="T47" s="34">
        <v>13.3</v>
      </c>
      <c r="U47" s="34">
        <v>12.2</v>
      </c>
      <c r="V47" s="34">
        <v>11</v>
      </c>
      <c r="W47" s="34">
        <v>11</v>
      </c>
      <c r="X47" s="3" t="s">
        <v>873</v>
      </c>
      <c r="Y47" s="3" t="s">
        <v>881</v>
      </c>
      <c r="Z47" s="3" t="s">
        <v>882</v>
      </c>
    </row>
    <row r="48" spans="2:26" s="1" customFormat="1" ht="94.5">
      <c r="B48" s="69"/>
      <c r="C48" s="652"/>
      <c r="D48" s="652"/>
      <c r="E48" s="652"/>
      <c r="F48" s="652"/>
      <c r="G48" s="652"/>
      <c r="H48" s="69"/>
      <c r="I48" s="652"/>
      <c r="J48" s="3">
        <v>1.22</v>
      </c>
      <c r="K48" s="3" t="s">
        <v>773</v>
      </c>
      <c r="L48" s="3">
        <v>15</v>
      </c>
      <c r="M48" s="3" t="s">
        <v>880</v>
      </c>
      <c r="N48" s="3" t="s">
        <v>883</v>
      </c>
      <c r="O48" s="31" t="s">
        <v>701</v>
      </c>
      <c r="P48" s="34">
        <v>5</v>
      </c>
      <c r="Q48" s="34">
        <v>9</v>
      </c>
      <c r="R48" s="34">
        <v>14</v>
      </c>
      <c r="S48" s="34">
        <v>19</v>
      </c>
      <c r="T48" s="34">
        <v>23</v>
      </c>
      <c r="U48" s="34">
        <v>28</v>
      </c>
      <c r="V48" s="34">
        <v>33</v>
      </c>
      <c r="W48" s="34">
        <v>37</v>
      </c>
      <c r="X48" s="3" t="s">
        <v>873</v>
      </c>
      <c r="Y48" s="3" t="s">
        <v>884</v>
      </c>
      <c r="Z48" s="3"/>
    </row>
    <row r="49" spans="2:26" s="1" customFormat="1" ht="63">
      <c r="B49" s="69"/>
      <c r="C49" s="652"/>
      <c r="D49" s="652"/>
      <c r="E49" s="652"/>
      <c r="F49" s="652"/>
      <c r="G49" s="652"/>
      <c r="H49" s="69"/>
      <c r="I49" s="652"/>
      <c r="J49" s="3">
        <v>1.22</v>
      </c>
      <c r="K49" s="3" t="s">
        <v>773</v>
      </c>
      <c r="L49" s="3">
        <v>15</v>
      </c>
      <c r="M49" s="3" t="s">
        <v>880</v>
      </c>
      <c r="N49" s="3" t="s">
        <v>885</v>
      </c>
      <c r="O49" s="31" t="s">
        <v>701</v>
      </c>
      <c r="P49" s="34">
        <v>0.12</v>
      </c>
      <c r="Q49" s="34">
        <v>0.24</v>
      </c>
      <c r="R49" s="34">
        <v>0.26</v>
      </c>
      <c r="S49" s="34">
        <v>0.26</v>
      </c>
      <c r="T49" s="34">
        <v>0.26</v>
      </c>
      <c r="U49" s="34">
        <v>0.26</v>
      </c>
      <c r="V49" s="34">
        <v>1.26</v>
      </c>
      <c r="W49" s="34">
        <v>1.35</v>
      </c>
      <c r="X49" s="3" t="s">
        <v>873</v>
      </c>
      <c r="Y49" s="3" t="s">
        <v>886</v>
      </c>
      <c r="Z49" s="3" t="s">
        <v>887</v>
      </c>
    </row>
    <row r="50" spans="2:26" s="1" customFormat="1" ht="94.5">
      <c r="B50" s="69"/>
      <c r="C50" s="652"/>
      <c r="D50" s="652"/>
      <c r="E50" s="652"/>
      <c r="F50" s="652"/>
      <c r="G50" s="652"/>
      <c r="H50" s="69"/>
      <c r="I50" s="652"/>
      <c r="J50" s="3">
        <v>1.22</v>
      </c>
      <c r="K50" s="3" t="s">
        <v>773</v>
      </c>
      <c r="L50" s="3">
        <v>17</v>
      </c>
      <c r="M50" s="3" t="s">
        <v>874</v>
      </c>
      <c r="N50" s="3" t="s">
        <v>888</v>
      </c>
      <c r="O50" s="31" t="s">
        <v>701</v>
      </c>
      <c r="P50" s="34">
        <v>20</v>
      </c>
      <c r="Q50" s="34">
        <v>20</v>
      </c>
      <c r="R50" s="34">
        <v>20</v>
      </c>
      <c r="S50" s="34">
        <v>20</v>
      </c>
      <c r="T50" s="34">
        <v>20</v>
      </c>
      <c r="U50" s="34">
        <v>20</v>
      </c>
      <c r="V50" s="34">
        <v>20</v>
      </c>
      <c r="W50" s="34">
        <v>20</v>
      </c>
      <c r="X50" s="3" t="s">
        <v>873</v>
      </c>
      <c r="Y50" s="3" t="s">
        <v>889</v>
      </c>
      <c r="Z50" s="3"/>
    </row>
    <row r="51" spans="2:26" s="1" customFormat="1" ht="110.25">
      <c r="B51" s="77"/>
      <c r="C51" s="653"/>
      <c r="D51" s="653"/>
      <c r="E51" s="653"/>
      <c r="F51" s="653"/>
      <c r="G51" s="653"/>
      <c r="H51" s="77"/>
      <c r="I51" s="653"/>
      <c r="J51" s="3">
        <v>1.22</v>
      </c>
      <c r="K51" s="3" t="s">
        <v>773</v>
      </c>
      <c r="L51" s="3">
        <v>18</v>
      </c>
      <c r="M51" s="3" t="s">
        <v>890</v>
      </c>
      <c r="N51" s="3" t="s">
        <v>891</v>
      </c>
      <c r="O51" s="31" t="s">
        <v>701</v>
      </c>
      <c r="P51" s="34">
        <v>0</v>
      </c>
      <c r="Q51" s="34">
        <v>48</v>
      </c>
      <c r="R51" s="34">
        <v>69</v>
      </c>
      <c r="S51" s="34">
        <v>87</v>
      </c>
      <c r="T51" s="34">
        <v>100</v>
      </c>
      <c r="U51" s="34">
        <v>100</v>
      </c>
      <c r="V51" s="34">
        <v>100</v>
      </c>
      <c r="W51" s="34">
        <v>100</v>
      </c>
      <c r="X51" s="3" t="s">
        <v>873</v>
      </c>
      <c r="Y51" s="3" t="s">
        <v>892</v>
      </c>
      <c r="Z51" s="3"/>
    </row>
    <row r="52" spans="2:26" s="1" customFormat="1" ht="78.75">
      <c r="B52" s="37" t="s">
        <v>17</v>
      </c>
      <c r="C52" s="651">
        <v>6</v>
      </c>
      <c r="D52" s="651" t="s">
        <v>893</v>
      </c>
      <c r="E52" s="651">
        <v>9</v>
      </c>
      <c r="F52" s="651" t="s">
        <v>894</v>
      </c>
      <c r="G52" s="651" t="s">
        <v>895</v>
      </c>
      <c r="H52" s="651" t="s">
        <v>828</v>
      </c>
      <c r="I52" s="870" t="s">
        <v>4936</v>
      </c>
      <c r="J52" s="3"/>
      <c r="K52" s="3"/>
      <c r="L52" s="3"/>
      <c r="M52" s="3"/>
      <c r="N52" s="3"/>
      <c r="O52" s="31"/>
      <c r="P52" s="31"/>
      <c r="Q52" s="31"/>
      <c r="R52" s="31"/>
      <c r="S52" s="31"/>
      <c r="T52" s="31"/>
      <c r="U52" s="31"/>
      <c r="V52" s="31"/>
      <c r="W52" s="31"/>
      <c r="X52" s="3"/>
      <c r="Y52" s="3"/>
      <c r="Z52" s="3"/>
    </row>
    <row r="53" spans="2:26" s="1" customFormat="1" ht="63">
      <c r="B53" s="77"/>
      <c r="C53" s="653"/>
      <c r="D53" s="653"/>
      <c r="E53" s="653"/>
      <c r="F53" s="653"/>
      <c r="G53" s="653"/>
      <c r="H53" s="77"/>
      <c r="I53" s="653"/>
      <c r="J53" s="95">
        <v>2.08</v>
      </c>
      <c r="K53" s="3" t="s">
        <v>773</v>
      </c>
      <c r="L53" s="3">
        <v>15</v>
      </c>
      <c r="M53" s="19" t="s">
        <v>142</v>
      </c>
      <c r="N53" s="3" t="s">
        <v>896</v>
      </c>
      <c r="O53" s="31" t="s">
        <v>701</v>
      </c>
      <c r="P53" s="34">
        <v>80</v>
      </c>
      <c r="Q53" s="34">
        <v>80</v>
      </c>
      <c r="R53" s="34">
        <v>80</v>
      </c>
      <c r="S53" s="34">
        <v>80</v>
      </c>
      <c r="T53" s="34">
        <v>80</v>
      </c>
      <c r="U53" s="34">
        <v>80</v>
      </c>
      <c r="V53" s="34">
        <v>80</v>
      </c>
      <c r="W53" s="34">
        <v>80</v>
      </c>
      <c r="X53" s="3" t="s">
        <v>843</v>
      </c>
      <c r="Y53" s="3" t="s">
        <v>897</v>
      </c>
      <c r="Z53" s="3"/>
    </row>
    <row r="54" spans="2:26" s="1" customFormat="1" ht="126">
      <c r="B54" s="37" t="s">
        <v>898</v>
      </c>
      <c r="C54" s="3">
        <v>7</v>
      </c>
      <c r="D54" s="3" t="s">
        <v>899</v>
      </c>
      <c r="E54" s="3">
        <v>10</v>
      </c>
      <c r="F54" s="3" t="s">
        <v>900</v>
      </c>
      <c r="G54" s="3" t="s">
        <v>901</v>
      </c>
      <c r="H54" s="3" t="s">
        <v>902</v>
      </c>
      <c r="I54" s="3" t="s">
        <v>4937</v>
      </c>
      <c r="J54" s="3"/>
      <c r="K54" s="3"/>
      <c r="L54" s="3"/>
      <c r="M54" s="3"/>
      <c r="N54" s="3"/>
      <c r="O54" s="31"/>
      <c r="P54" s="31"/>
      <c r="Q54" s="31"/>
      <c r="R54" s="31"/>
      <c r="S54" s="31"/>
      <c r="T54" s="31"/>
      <c r="U54" s="31"/>
      <c r="V54" s="31"/>
      <c r="W54" s="31"/>
      <c r="X54" s="3"/>
      <c r="Y54" s="3"/>
      <c r="Z54" s="3"/>
    </row>
    <row r="55" spans="2:26" s="1" customFormat="1" ht="189">
      <c r="B55" s="69"/>
      <c r="C55" s="651"/>
      <c r="D55" s="651"/>
      <c r="E55" s="651"/>
      <c r="F55" s="651"/>
      <c r="G55" s="651"/>
      <c r="H55" s="37"/>
      <c r="I55" s="651"/>
      <c r="J55" s="535">
        <v>1.1100000000000001</v>
      </c>
      <c r="K55" s="535" t="s">
        <v>773</v>
      </c>
      <c r="L55" s="535">
        <v>15</v>
      </c>
      <c r="M55" s="1179" t="s">
        <v>1818</v>
      </c>
      <c r="N55" s="3" t="s">
        <v>903</v>
      </c>
      <c r="O55" s="31" t="s">
        <v>701</v>
      </c>
      <c r="P55" s="31">
        <v>88</v>
      </c>
      <c r="Q55" s="31">
        <v>90</v>
      </c>
      <c r="R55" s="31">
        <v>100</v>
      </c>
      <c r="S55" s="31">
        <v>100</v>
      </c>
      <c r="T55" s="31">
        <v>100</v>
      </c>
      <c r="U55" s="31">
        <v>100</v>
      </c>
      <c r="V55" s="31">
        <v>100</v>
      </c>
      <c r="W55" s="31">
        <v>100</v>
      </c>
      <c r="X55" s="3" t="s">
        <v>904</v>
      </c>
      <c r="Y55" s="3" t="s">
        <v>905</v>
      </c>
      <c r="Z55" s="3"/>
    </row>
    <row r="56" spans="2:26" s="1" customFormat="1" ht="173.25">
      <c r="B56" s="69"/>
      <c r="C56" s="652"/>
      <c r="D56" s="652"/>
      <c r="E56" s="652"/>
      <c r="F56" s="652"/>
      <c r="G56" s="652"/>
      <c r="H56" s="69"/>
      <c r="I56" s="652"/>
      <c r="J56" s="536"/>
      <c r="K56" s="536"/>
      <c r="L56" s="536"/>
      <c r="M56" s="1180"/>
      <c r="N56" s="3" t="s">
        <v>906</v>
      </c>
      <c r="O56" s="31" t="s">
        <v>701</v>
      </c>
      <c r="P56" s="31">
        <v>100</v>
      </c>
      <c r="Q56" s="31">
        <v>100</v>
      </c>
      <c r="R56" s="31">
        <v>100</v>
      </c>
      <c r="S56" s="31">
        <v>100</v>
      </c>
      <c r="T56" s="31">
        <v>100</v>
      </c>
      <c r="U56" s="31">
        <v>100</v>
      </c>
      <c r="V56" s="31">
        <v>100</v>
      </c>
      <c r="W56" s="31">
        <v>100</v>
      </c>
      <c r="X56" s="3" t="s">
        <v>904</v>
      </c>
      <c r="Y56" s="3" t="s">
        <v>907</v>
      </c>
      <c r="Z56" s="3"/>
    </row>
    <row r="57" spans="2:26" s="1" customFormat="1" ht="189">
      <c r="B57" s="69"/>
      <c r="C57" s="652"/>
      <c r="D57" s="652"/>
      <c r="E57" s="652"/>
      <c r="F57" s="652"/>
      <c r="G57" s="652"/>
      <c r="H57" s="69"/>
      <c r="I57" s="652"/>
      <c r="J57" s="536"/>
      <c r="K57" s="536"/>
      <c r="L57" s="536"/>
      <c r="M57" s="1180"/>
      <c r="N57" s="3" t="s">
        <v>908</v>
      </c>
      <c r="O57" s="31" t="s">
        <v>701</v>
      </c>
      <c r="P57" s="31">
        <v>75</v>
      </c>
      <c r="Q57" s="31">
        <v>80</v>
      </c>
      <c r="R57" s="31">
        <v>85</v>
      </c>
      <c r="S57" s="31">
        <v>85</v>
      </c>
      <c r="T57" s="31">
        <v>85</v>
      </c>
      <c r="U57" s="31">
        <v>85</v>
      </c>
      <c r="V57" s="31">
        <v>90</v>
      </c>
      <c r="W57" s="31">
        <v>90</v>
      </c>
      <c r="X57" s="3" t="s">
        <v>904</v>
      </c>
      <c r="Y57" s="3" t="s">
        <v>909</v>
      </c>
      <c r="Z57" s="3"/>
    </row>
    <row r="58" spans="2:26" s="1" customFormat="1" ht="189">
      <c r="B58" s="69"/>
      <c r="C58" s="652"/>
      <c r="D58" s="652"/>
      <c r="E58" s="652"/>
      <c r="F58" s="652"/>
      <c r="G58" s="652"/>
      <c r="H58" s="69"/>
      <c r="I58" s="652"/>
      <c r="J58" s="536"/>
      <c r="K58" s="536"/>
      <c r="L58" s="536"/>
      <c r="M58" s="1180"/>
      <c r="N58" s="3" t="s">
        <v>910</v>
      </c>
      <c r="O58" s="31" t="s">
        <v>701</v>
      </c>
      <c r="P58" s="31">
        <v>60</v>
      </c>
      <c r="Q58" s="31">
        <v>60</v>
      </c>
      <c r="R58" s="31">
        <v>70</v>
      </c>
      <c r="S58" s="31">
        <v>70</v>
      </c>
      <c r="T58" s="31">
        <v>75</v>
      </c>
      <c r="U58" s="31">
        <v>75</v>
      </c>
      <c r="V58" s="31">
        <v>80</v>
      </c>
      <c r="W58" s="31">
        <v>80</v>
      </c>
      <c r="X58" s="3" t="s">
        <v>904</v>
      </c>
      <c r="Y58" s="3" t="s">
        <v>911</v>
      </c>
      <c r="Z58" s="3"/>
    </row>
    <row r="59" spans="2:26" s="1" customFormat="1" ht="126">
      <c r="B59" s="69"/>
      <c r="C59" s="652"/>
      <c r="D59" s="652"/>
      <c r="E59" s="652"/>
      <c r="F59" s="652"/>
      <c r="G59" s="652"/>
      <c r="H59" s="69"/>
      <c r="I59" s="652"/>
      <c r="J59" s="536"/>
      <c r="K59" s="536"/>
      <c r="L59" s="536"/>
      <c r="M59" s="1180"/>
      <c r="N59" s="3" t="s">
        <v>912</v>
      </c>
      <c r="O59" s="31" t="s">
        <v>701</v>
      </c>
      <c r="P59" s="31">
        <v>25</v>
      </c>
      <c r="Q59" s="31">
        <v>25</v>
      </c>
      <c r="R59" s="31">
        <v>25</v>
      </c>
      <c r="S59" s="31">
        <v>25</v>
      </c>
      <c r="T59" s="31">
        <v>25</v>
      </c>
      <c r="U59" s="31">
        <v>25</v>
      </c>
      <c r="V59" s="31">
        <v>25</v>
      </c>
      <c r="W59" s="31">
        <v>25</v>
      </c>
      <c r="X59" s="3" t="s">
        <v>904</v>
      </c>
      <c r="Y59" s="3" t="s">
        <v>913</v>
      </c>
      <c r="Z59" s="3"/>
    </row>
    <row r="60" spans="2:26" s="1" customFormat="1" ht="126">
      <c r="B60" s="69"/>
      <c r="C60" s="652"/>
      <c r="D60" s="652"/>
      <c r="E60" s="652"/>
      <c r="F60" s="652"/>
      <c r="G60" s="652"/>
      <c r="H60" s="69"/>
      <c r="I60" s="652"/>
      <c r="J60" s="536"/>
      <c r="K60" s="536"/>
      <c r="L60" s="536"/>
      <c r="M60" s="1180"/>
      <c r="N60" s="3" t="s">
        <v>914</v>
      </c>
      <c r="O60" s="31" t="s">
        <v>701</v>
      </c>
      <c r="P60" s="31">
        <v>90</v>
      </c>
      <c r="Q60" s="31">
        <v>94</v>
      </c>
      <c r="R60" s="31">
        <v>98</v>
      </c>
      <c r="S60" s="31">
        <v>98</v>
      </c>
      <c r="T60" s="31">
        <v>98</v>
      </c>
      <c r="U60" s="31">
        <v>98</v>
      </c>
      <c r="V60" s="31">
        <v>98</v>
      </c>
      <c r="W60" s="31">
        <v>98</v>
      </c>
      <c r="X60" s="3" t="s">
        <v>904</v>
      </c>
      <c r="Y60" s="3" t="s">
        <v>915</v>
      </c>
      <c r="Z60" s="3"/>
    </row>
    <row r="61" spans="2:26" s="1" customFormat="1" ht="126">
      <c r="B61" s="69"/>
      <c r="C61" s="652"/>
      <c r="D61" s="652"/>
      <c r="E61" s="652"/>
      <c r="F61" s="652"/>
      <c r="G61" s="652"/>
      <c r="H61" s="69"/>
      <c r="I61" s="652"/>
      <c r="J61" s="536"/>
      <c r="K61" s="536"/>
      <c r="L61" s="536"/>
      <c r="M61" s="1180"/>
      <c r="N61" s="3" t="s">
        <v>916</v>
      </c>
      <c r="O61" s="31" t="s">
        <v>701</v>
      </c>
      <c r="P61" s="31">
        <v>80</v>
      </c>
      <c r="Q61" s="31">
        <v>80</v>
      </c>
      <c r="R61" s="31">
        <v>84</v>
      </c>
      <c r="S61" s="31">
        <v>84</v>
      </c>
      <c r="T61" s="31">
        <v>86</v>
      </c>
      <c r="U61" s="31">
        <v>86</v>
      </c>
      <c r="V61" s="31">
        <v>86</v>
      </c>
      <c r="W61" s="31">
        <v>86</v>
      </c>
      <c r="X61" s="3" t="s">
        <v>904</v>
      </c>
      <c r="Y61" s="3" t="s">
        <v>917</v>
      </c>
      <c r="Z61" s="3"/>
    </row>
    <row r="62" spans="2:26" s="1" customFormat="1" ht="126">
      <c r="B62" s="69"/>
      <c r="C62" s="652"/>
      <c r="D62" s="652"/>
      <c r="E62" s="652"/>
      <c r="F62" s="652"/>
      <c r="G62" s="652"/>
      <c r="H62" s="69"/>
      <c r="I62" s="652"/>
      <c r="J62" s="536"/>
      <c r="K62" s="536"/>
      <c r="L62" s="536"/>
      <c r="M62" s="1180"/>
      <c r="N62" s="3" t="s">
        <v>918</v>
      </c>
      <c r="O62" s="31" t="s">
        <v>701</v>
      </c>
      <c r="P62" s="31">
        <v>40</v>
      </c>
      <c r="Q62" s="31">
        <v>40</v>
      </c>
      <c r="R62" s="31">
        <v>50</v>
      </c>
      <c r="S62" s="31">
        <v>50</v>
      </c>
      <c r="T62" s="31">
        <v>50</v>
      </c>
      <c r="U62" s="31">
        <v>50</v>
      </c>
      <c r="V62" s="31">
        <v>50</v>
      </c>
      <c r="W62" s="31">
        <v>50</v>
      </c>
      <c r="X62" s="3" t="s">
        <v>904</v>
      </c>
      <c r="Y62" s="3" t="s">
        <v>919</v>
      </c>
      <c r="Z62" s="3"/>
    </row>
    <row r="63" spans="2:26" s="1" customFormat="1" ht="94.5">
      <c r="B63" s="69"/>
      <c r="C63" s="653"/>
      <c r="D63" s="653"/>
      <c r="E63" s="653"/>
      <c r="F63" s="653"/>
      <c r="G63" s="653"/>
      <c r="H63" s="77"/>
      <c r="I63" s="653"/>
      <c r="J63" s="537"/>
      <c r="K63" s="537"/>
      <c r="L63" s="537"/>
      <c r="M63" s="1181"/>
      <c r="N63" s="3" t="s">
        <v>920</v>
      </c>
      <c r="O63" s="31" t="s">
        <v>921</v>
      </c>
      <c r="P63" s="32" t="s">
        <v>1953</v>
      </c>
      <c r="Q63" s="32" t="s">
        <v>1954</v>
      </c>
      <c r="R63" s="32" t="s">
        <v>1954</v>
      </c>
      <c r="S63" s="32" t="s">
        <v>1955</v>
      </c>
      <c r="T63" s="32" t="s">
        <v>1955</v>
      </c>
      <c r="U63" s="32" t="s">
        <v>1958</v>
      </c>
      <c r="V63" s="32" t="s">
        <v>1958</v>
      </c>
      <c r="W63" s="32" t="s">
        <v>1958</v>
      </c>
      <c r="X63" s="3" t="s">
        <v>904</v>
      </c>
      <c r="Y63" s="3" t="s">
        <v>922</v>
      </c>
      <c r="Z63" s="3"/>
    </row>
    <row r="64" spans="2:26" s="1" customFormat="1" ht="141.75">
      <c r="B64" s="69"/>
      <c r="C64" s="651">
        <v>8</v>
      </c>
      <c r="D64" s="651" t="s">
        <v>923</v>
      </c>
      <c r="E64" s="3">
        <v>11</v>
      </c>
      <c r="F64" s="3" t="s">
        <v>924</v>
      </c>
      <c r="G64" s="3" t="s">
        <v>925</v>
      </c>
      <c r="H64" s="3" t="s">
        <v>902</v>
      </c>
      <c r="I64" s="3" t="s">
        <v>4938</v>
      </c>
      <c r="J64" s="535">
        <v>1.1100000000000001</v>
      </c>
      <c r="K64" s="535" t="s">
        <v>773</v>
      </c>
      <c r="L64" s="535">
        <v>16</v>
      </c>
      <c r="M64" s="1176" t="s">
        <v>1819</v>
      </c>
      <c r="N64" s="3" t="s">
        <v>926</v>
      </c>
      <c r="O64" s="31" t="s">
        <v>701</v>
      </c>
      <c r="P64" s="31" t="s">
        <v>1956</v>
      </c>
      <c r="Q64" s="31" t="s">
        <v>1957</v>
      </c>
      <c r="R64" s="31">
        <v>30</v>
      </c>
      <c r="S64" s="31">
        <v>40</v>
      </c>
      <c r="T64" s="31">
        <v>50</v>
      </c>
      <c r="U64" s="31">
        <v>60</v>
      </c>
      <c r="V64" s="31">
        <v>70</v>
      </c>
      <c r="W64" s="31">
        <v>70</v>
      </c>
      <c r="X64" s="3" t="s">
        <v>904</v>
      </c>
      <c r="Y64" s="3" t="s">
        <v>1959</v>
      </c>
      <c r="Z64" s="3"/>
    </row>
    <row r="65" spans="2:26" s="1" customFormat="1" ht="126">
      <c r="B65" s="69"/>
      <c r="C65" s="652"/>
      <c r="D65" s="652"/>
      <c r="E65" s="651">
        <v>12</v>
      </c>
      <c r="F65" s="651" t="s">
        <v>927</v>
      </c>
      <c r="G65" s="651" t="s">
        <v>928</v>
      </c>
      <c r="H65" s="651" t="s">
        <v>902</v>
      </c>
      <c r="I65" s="870" t="s">
        <v>4939</v>
      </c>
      <c r="J65" s="536"/>
      <c r="K65" s="536"/>
      <c r="L65" s="536"/>
      <c r="M65" s="1177"/>
      <c r="N65" s="3"/>
      <c r="O65" s="31"/>
      <c r="P65" s="31"/>
      <c r="Q65" s="31"/>
      <c r="R65" s="31"/>
      <c r="S65" s="31"/>
      <c r="T65" s="31"/>
      <c r="U65" s="31"/>
      <c r="V65" s="31"/>
      <c r="W65" s="31"/>
      <c r="X65" s="3"/>
      <c r="Y65" s="3"/>
      <c r="Z65" s="3"/>
    </row>
    <row r="66" spans="2:26" s="1" customFormat="1" ht="94.5">
      <c r="B66" s="69"/>
      <c r="C66" s="652"/>
      <c r="D66" s="652"/>
      <c r="E66" s="652"/>
      <c r="F66" s="652"/>
      <c r="G66" s="652"/>
      <c r="H66" s="69"/>
      <c r="I66" s="652"/>
      <c r="J66" s="536"/>
      <c r="K66" s="536"/>
      <c r="L66" s="536"/>
      <c r="M66" s="1177"/>
      <c r="N66" s="653" t="s">
        <v>929</v>
      </c>
      <c r="O66" s="31" t="s">
        <v>701</v>
      </c>
      <c r="P66" s="31">
        <v>60</v>
      </c>
      <c r="Q66" s="31">
        <v>66</v>
      </c>
      <c r="R66" s="31">
        <v>70</v>
      </c>
      <c r="S66" s="31">
        <v>75</v>
      </c>
      <c r="T66" s="31">
        <v>80</v>
      </c>
      <c r="U66" s="31">
        <v>85</v>
      </c>
      <c r="V66" s="31">
        <v>90</v>
      </c>
      <c r="W66" s="31">
        <v>95</v>
      </c>
      <c r="X66" s="3" t="s">
        <v>904</v>
      </c>
      <c r="Y66" s="3" t="s">
        <v>930</v>
      </c>
      <c r="Z66" s="3"/>
    </row>
    <row r="67" spans="2:26" s="1" customFormat="1" ht="157.5">
      <c r="B67" s="69"/>
      <c r="C67" s="652"/>
      <c r="D67" s="652"/>
      <c r="E67" s="652"/>
      <c r="F67" s="652"/>
      <c r="G67" s="652"/>
      <c r="H67" s="69"/>
      <c r="I67" s="652"/>
      <c r="J67" s="536"/>
      <c r="K67" s="536"/>
      <c r="L67" s="536"/>
      <c r="M67" s="1177"/>
      <c r="N67" s="3" t="s">
        <v>931</v>
      </c>
      <c r="O67" s="31" t="s">
        <v>701</v>
      </c>
      <c r="P67" s="31">
        <v>60</v>
      </c>
      <c r="Q67" s="31">
        <v>60</v>
      </c>
      <c r="R67" s="31">
        <v>70</v>
      </c>
      <c r="S67" s="31">
        <v>70</v>
      </c>
      <c r="T67" s="31">
        <v>75</v>
      </c>
      <c r="U67" s="31">
        <v>75</v>
      </c>
      <c r="V67" s="31">
        <v>80</v>
      </c>
      <c r="W67" s="31">
        <v>80</v>
      </c>
      <c r="X67" s="3" t="s">
        <v>904</v>
      </c>
      <c r="Y67" s="3" t="s">
        <v>932</v>
      </c>
      <c r="Z67" s="3"/>
    </row>
    <row r="68" spans="2:26" s="1" customFormat="1" ht="94.5">
      <c r="B68" s="69"/>
      <c r="C68" s="652"/>
      <c r="D68" s="652"/>
      <c r="E68" s="652"/>
      <c r="F68" s="652"/>
      <c r="G68" s="652"/>
      <c r="H68" s="69"/>
      <c r="I68" s="652"/>
      <c r="J68" s="536"/>
      <c r="K68" s="536"/>
      <c r="L68" s="536"/>
      <c r="M68" s="1177"/>
      <c r="N68" s="3" t="s">
        <v>933</v>
      </c>
      <c r="O68" s="31" t="s">
        <v>701</v>
      </c>
      <c r="P68" s="31">
        <v>60</v>
      </c>
      <c r="Q68" s="31">
        <v>60</v>
      </c>
      <c r="R68" s="31">
        <v>70</v>
      </c>
      <c r="S68" s="31">
        <v>70</v>
      </c>
      <c r="T68" s="31">
        <v>75</v>
      </c>
      <c r="U68" s="31">
        <v>75</v>
      </c>
      <c r="V68" s="31">
        <v>80</v>
      </c>
      <c r="W68" s="31">
        <v>80</v>
      </c>
      <c r="X68" s="3" t="s">
        <v>904</v>
      </c>
      <c r="Y68" s="3" t="s">
        <v>934</v>
      </c>
      <c r="Z68" s="3"/>
    </row>
    <row r="69" spans="2:26" s="1" customFormat="1" ht="157.5">
      <c r="B69" s="69"/>
      <c r="C69" s="652"/>
      <c r="D69" s="652"/>
      <c r="E69" s="652"/>
      <c r="F69" s="652"/>
      <c r="G69" s="652"/>
      <c r="H69" s="69"/>
      <c r="I69" s="652"/>
      <c r="J69" s="536"/>
      <c r="K69" s="536"/>
      <c r="L69" s="536"/>
      <c r="M69" s="1177"/>
      <c r="N69" s="3" t="s">
        <v>935</v>
      </c>
      <c r="O69" s="31" t="s">
        <v>701</v>
      </c>
      <c r="P69" s="31">
        <v>70</v>
      </c>
      <c r="Q69" s="31">
        <v>70</v>
      </c>
      <c r="R69" s="31">
        <v>75</v>
      </c>
      <c r="S69" s="31">
        <v>75</v>
      </c>
      <c r="T69" s="31">
        <v>80</v>
      </c>
      <c r="U69" s="31">
        <v>80</v>
      </c>
      <c r="V69" s="31">
        <v>85</v>
      </c>
      <c r="W69" s="31">
        <v>85</v>
      </c>
      <c r="X69" s="3" t="s">
        <v>904</v>
      </c>
      <c r="Y69" s="3" t="s">
        <v>936</v>
      </c>
      <c r="Z69" s="3"/>
    </row>
    <row r="70" spans="2:26" s="1" customFormat="1" ht="94.5">
      <c r="B70" s="69"/>
      <c r="C70" s="652"/>
      <c r="D70" s="652"/>
      <c r="E70" s="653"/>
      <c r="F70" s="653"/>
      <c r="G70" s="653"/>
      <c r="H70" s="77"/>
      <c r="I70" s="653"/>
      <c r="J70" s="537"/>
      <c r="K70" s="537"/>
      <c r="L70" s="537"/>
      <c r="M70" s="1178"/>
      <c r="N70" s="3" t="s">
        <v>937</v>
      </c>
      <c r="O70" s="31" t="s">
        <v>701</v>
      </c>
      <c r="P70" s="31">
        <v>55</v>
      </c>
      <c r="Q70" s="31">
        <v>55</v>
      </c>
      <c r="R70" s="31">
        <v>60</v>
      </c>
      <c r="S70" s="31">
        <v>60</v>
      </c>
      <c r="T70" s="31">
        <v>65</v>
      </c>
      <c r="U70" s="31">
        <v>65</v>
      </c>
      <c r="V70" s="31">
        <v>70</v>
      </c>
      <c r="W70" s="31">
        <v>70</v>
      </c>
      <c r="X70" s="3" t="s">
        <v>904</v>
      </c>
      <c r="Y70" s="3" t="s">
        <v>938</v>
      </c>
      <c r="Z70" s="3"/>
    </row>
    <row r="71" spans="2:26" s="1" customFormat="1" ht="126">
      <c r="B71" s="37" t="s">
        <v>15</v>
      </c>
      <c r="C71" s="651">
        <v>9</v>
      </c>
      <c r="D71" s="651" t="s">
        <v>939</v>
      </c>
      <c r="E71" s="651">
        <v>13</v>
      </c>
      <c r="F71" s="651" t="s">
        <v>940</v>
      </c>
      <c r="G71" s="651" t="s">
        <v>941</v>
      </c>
      <c r="H71" s="651" t="s">
        <v>902</v>
      </c>
      <c r="I71" s="870" t="s">
        <v>4942</v>
      </c>
      <c r="J71" s="3"/>
      <c r="K71" s="3"/>
      <c r="L71" s="3"/>
      <c r="M71" s="3"/>
      <c r="N71" s="3"/>
      <c r="O71" s="31"/>
      <c r="P71" s="31"/>
      <c r="Q71" s="31"/>
      <c r="R71" s="31"/>
      <c r="S71" s="31"/>
      <c r="T71" s="31"/>
      <c r="U71" s="31"/>
      <c r="V71" s="31"/>
      <c r="W71" s="31"/>
      <c r="X71" s="3"/>
      <c r="Y71" s="3"/>
      <c r="Z71" s="3"/>
    </row>
    <row r="72" spans="2:26" s="1" customFormat="1" ht="141.75">
      <c r="B72" s="69"/>
      <c r="C72" s="652"/>
      <c r="D72" s="652"/>
      <c r="E72" s="652"/>
      <c r="F72" s="652"/>
      <c r="G72" s="652"/>
      <c r="H72" s="69"/>
      <c r="I72" s="652"/>
      <c r="J72" s="3">
        <v>1.18</v>
      </c>
      <c r="K72" s="3" t="s">
        <v>773</v>
      </c>
      <c r="L72" s="3">
        <v>20</v>
      </c>
      <c r="M72" s="19" t="s">
        <v>143</v>
      </c>
      <c r="N72" s="3" t="s">
        <v>942</v>
      </c>
      <c r="O72" s="31" t="s">
        <v>943</v>
      </c>
      <c r="P72" s="31">
        <v>9</v>
      </c>
      <c r="Q72" s="31">
        <v>9</v>
      </c>
      <c r="R72" s="31">
        <v>9</v>
      </c>
      <c r="S72" s="31">
        <v>10</v>
      </c>
      <c r="T72" s="31">
        <v>11</v>
      </c>
      <c r="U72" s="31">
        <v>12</v>
      </c>
      <c r="V72" s="31">
        <v>13</v>
      </c>
      <c r="W72" s="31">
        <v>13</v>
      </c>
      <c r="X72" s="3" t="s">
        <v>944</v>
      </c>
      <c r="Y72" s="3" t="s">
        <v>4319</v>
      </c>
      <c r="Z72" s="3" t="s">
        <v>945</v>
      </c>
    </row>
    <row r="73" spans="2:26" s="1" customFormat="1" ht="63">
      <c r="B73" s="69"/>
      <c r="C73" s="652"/>
      <c r="D73" s="652"/>
      <c r="E73" s="651">
        <v>14</v>
      </c>
      <c r="F73" s="651" t="s">
        <v>946</v>
      </c>
      <c r="G73" s="651" t="s">
        <v>947</v>
      </c>
      <c r="H73" s="37"/>
      <c r="I73" s="870" t="s">
        <v>4941</v>
      </c>
      <c r="J73" s="651"/>
      <c r="K73" s="651"/>
      <c r="L73" s="651"/>
      <c r="M73" s="651"/>
      <c r="N73" s="651"/>
      <c r="O73" s="31"/>
      <c r="P73" s="31"/>
      <c r="Q73" s="31"/>
      <c r="R73" s="31"/>
      <c r="S73" s="31"/>
      <c r="T73" s="31"/>
      <c r="U73" s="31"/>
      <c r="V73" s="31"/>
      <c r="W73" s="31"/>
      <c r="X73" s="3"/>
      <c r="Y73" s="3"/>
      <c r="Z73" s="3"/>
    </row>
    <row r="74" spans="2:26" s="1" customFormat="1" ht="78.75">
      <c r="B74" s="69"/>
      <c r="C74" s="652"/>
      <c r="D74" s="652"/>
      <c r="E74" s="652"/>
      <c r="F74" s="652"/>
      <c r="G74" s="652"/>
      <c r="H74" s="69"/>
      <c r="I74" s="652"/>
      <c r="J74" s="652">
        <v>1.18</v>
      </c>
      <c r="K74" s="652" t="s">
        <v>773</v>
      </c>
      <c r="L74" s="652">
        <v>21</v>
      </c>
      <c r="M74" s="661" t="s">
        <v>144</v>
      </c>
      <c r="N74" s="652" t="s">
        <v>2117</v>
      </c>
      <c r="O74" s="31" t="s">
        <v>701</v>
      </c>
      <c r="P74" s="474">
        <f>80/2004*100</f>
        <v>3.992015968063872</v>
      </c>
      <c r="Q74" s="474">
        <f>110/2004*100</f>
        <v>5.4890219560878242</v>
      </c>
      <c r="R74" s="474">
        <f>150/2004*100</f>
        <v>7.4850299401197598</v>
      </c>
      <c r="S74" s="474">
        <f>200/2004*100</f>
        <v>9.9800399201596814</v>
      </c>
      <c r="T74" s="474">
        <f>260/2004*100</f>
        <v>12.974051896207584</v>
      </c>
      <c r="U74" s="474">
        <f>330/2004*100</f>
        <v>16.467065868263472</v>
      </c>
      <c r="V74" s="474">
        <f>410/2004*100</f>
        <v>20.459081836327346</v>
      </c>
      <c r="W74" s="474">
        <f>410/2004*100</f>
        <v>20.459081836327346</v>
      </c>
      <c r="X74" s="3" t="s">
        <v>944</v>
      </c>
      <c r="Y74" s="3" t="s">
        <v>2118</v>
      </c>
      <c r="Z74" s="3" t="s">
        <v>2119</v>
      </c>
    </row>
    <row r="75" spans="2:26" s="1" customFormat="1" ht="94.5">
      <c r="B75" s="69"/>
      <c r="C75" s="652"/>
      <c r="D75" s="652"/>
      <c r="E75" s="651">
        <v>15</v>
      </c>
      <c r="F75" s="651" t="s">
        <v>948</v>
      </c>
      <c r="G75" s="651" t="s">
        <v>949</v>
      </c>
      <c r="H75" s="37"/>
      <c r="I75" s="870" t="s">
        <v>4940</v>
      </c>
      <c r="J75" s="651"/>
      <c r="K75" s="651"/>
      <c r="L75" s="651"/>
      <c r="M75" s="651"/>
      <c r="N75" s="3"/>
      <c r="O75" s="31"/>
      <c r="P75" s="31"/>
      <c r="Q75" s="31"/>
      <c r="R75" s="31"/>
      <c r="S75" s="31"/>
      <c r="T75" s="31"/>
      <c r="U75" s="31"/>
      <c r="V75" s="31"/>
      <c r="W75" s="31"/>
      <c r="X75" s="3"/>
      <c r="Y75" s="3"/>
      <c r="Z75" s="3"/>
    </row>
    <row r="76" spans="2:26" s="1" customFormat="1" ht="110.25">
      <c r="B76" s="69"/>
      <c r="C76" s="652"/>
      <c r="D76" s="652"/>
      <c r="E76" s="652"/>
      <c r="F76" s="652"/>
      <c r="G76" s="652"/>
      <c r="H76" s="69"/>
      <c r="I76" s="652"/>
      <c r="J76" s="652">
        <v>1.18</v>
      </c>
      <c r="K76" s="652" t="s">
        <v>773</v>
      </c>
      <c r="L76" s="652">
        <v>20</v>
      </c>
      <c r="M76" s="661" t="s">
        <v>143</v>
      </c>
      <c r="N76" s="3" t="s">
        <v>950</v>
      </c>
      <c r="O76" s="31" t="s">
        <v>951</v>
      </c>
      <c r="P76" s="31">
        <v>70</v>
      </c>
      <c r="Q76" s="31">
        <v>80</v>
      </c>
      <c r="R76" s="31">
        <v>80</v>
      </c>
      <c r="S76" s="31">
        <v>81</v>
      </c>
      <c r="T76" s="31">
        <v>80</v>
      </c>
      <c r="U76" s="31">
        <v>82</v>
      </c>
      <c r="V76" s="31">
        <v>85</v>
      </c>
      <c r="W76" s="31">
        <v>85</v>
      </c>
      <c r="X76" s="3" t="s">
        <v>944</v>
      </c>
      <c r="Y76" s="3" t="s">
        <v>952</v>
      </c>
      <c r="Z76" s="3" t="s">
        <v>953</v>
      </c>
    </row>
    <row r="77" spans="2:26" s="1" customFormat="1" ht="63">
      <c r="B77" s="69"/>
      <c r="C77" s="652"/>
      <c r="D77" s="652"/>
      <c r="E77" s="652"/>
      <c r="F77" s="652"/>
      <c r="G77" s="652"/>
      <c r="H77" s="69"/>
      <c r="I77" s="652"/>
      <c r="J77" s="652"/>
      <c r="K77" s="652"/>
      <c r="L77" s="652"/>
      <c r="M77" s="661"/>
      <c r="N77" s="3" t="s">
        <v>2120</v>
      </c>
      <c r="O77" s="31" t="s">
        <v>2121</v>
      </c>
      <c r="P77" s="31">
        <v>71</v>
      </c>
      <c r="Q77" s="31">
        <v>65</v>
      </c>
      <c r="R77" s="31">
        <v>70</v>
      </c>
      <c r="S77" s="31">
        <v>75</v>
      </c>
      <c r="T77" s="31">
        <v>80</v>
      </c>
      <c r="U77" s="31">
        <v>85</v>
      </c>
      <c r="V77" s="31">
        <v>90</v>
      </c>
      <c r="W77" s="31">
        <v>90</v>
      </c>
      <c r="X77" s="3" t="s">
        <v>944</v>
      </c>
      <c r="Y77" s="3" t="s">
        <v>2122</v>
      </c>
      <c r="Z77" s="3" t="s">
        <v>2123</v>
      </c>
    </row>
    <row r="78" spans="2:26" s="1" customFormat="1" ht="78.75">
      <c r="B78" s="77"/>
      <c r="C78" s="653"/>
      <c r="D78" s="653"/>
      <c r="E78" s="653"/>
      <c r="F78" s="653"/>
      <c r="G78" s="653"/>
      <c r="H78" s="77"/>
      <c r="I78" s="653"/>
      <c r="J78" s="653"/>
      <c r="K78" s="653"/>
      <c r="L78" s="653"/>
      <c r="M78" s="662"/>
      <c r="N78" s="3" t="s">
        <v>2124</v>
      </c>
      <c r="O78" s="31" t="s">
        <v>2125</v>
      </c>
      <c r="P78" s="31">
        <v>4</v>
      </c>
      <c r="Q78" s="31">
        <v>5</v>
      </c>
      <c r="R78" s="31">
        <v>5</v>
      </c>
      <c r="S78" s="31">
        <v>6</v>
      </c>
      <c r="T78" s="31">
        <v>6</v>
      </c>
      <c r="U78" s="31">
        <v>7</v>
      </c>
      <c r="V78" s="31">
        <v>7</v>
      </c>
      <c r="W78" s="31">
        <v>8</v>
      </c>
      <c r="X78" s="3" t="s">
        <v>944</v>
      </c>
      <c r="Y78" s="3" t="s">
        <v>2126</v>
      </c>
      <c r="Z78" s="3" t="s">
        <v>4320</v>
      </c>
    </row>
    <row r="79" spans="2:26" s="1" customFormat="1" ht="78.75">
      <c r="B79" s="37" t="s">
        <v>14</v>
      </c>
      <c r="C79" s="651">
        <v>11</v>
      </c>
      <c r="D79" s="651" t="s">
        <v>956</v>
      </c>
      <c r="E79" s="651">
        <v>17</v>
      </c>
      <c r="F79" s="651" t="s">
        <v>957</v>
      </c>
      <c r="G79" s="651" t="s">
        <v>958</v>
      </c>
      <c r="H79" s="37" t="s">
        <v>954</v>
      </c>
      <c r="I79" s="870" t="s">
        <v>4943</v>
      </c>
      <c r="J79" s="651"/>
      <c r="K79" s="651"/>
      <c r="L79" s="651"/>
      <c r="M79" s="651"/>
      <c r="N79" s="3"/>
      <c r="O79" s="31"/>
      <c r="P79" s="31"/>
      <c r="Q79" s="31"/>
      <c r="R79" s="31"/>
      <c r="S79" s="31"/>
      <c r="T79" s="31"/>
      <c r="U79" s="31"/>
      <c r="V79" s="31"/>
      <c r="W79" s="31"/>
      <c r="X79" s="3"/>
      <c r="Y79" s="3"/>
      <c r="Z79" s="3"/>
    </row>
    <row r="80" spans="2:26" s="1" customFormat="1" ht="78.75">
      <c r="B80" s="69"/>
      <c r="C80" s="652"/>
      <c r="D80" s="652"/>
      <c r="E80" s="652"/>
      <c r="F80" s="652"/>
      <c r="G80" s="652"/>
      <c r="H80" s="69"/>
      <c r="I80" s="652"/>
      <c r="J80" s="652">
        <v>1.17</v>
      </c>
      <c r="K80" s="652" t="s">
        <v>773</v>
      </c>
      <c r="L80" s="652">
        <v>19</v>
      </c>
      <c r="M80" s="665" t="s">
        <v>955</v>
      </c>
      <c r="N80" s="3" t="s">
        <v>959</v>
      </c>
      <c r="O80" s="31" t="s">
        <v>701</v>
      </c>
      <c r="P80" s="31">
        <v>100</v>
      </c>
      <c r="Q80" s="31">
        <v>100</v>
      </c>
      <c r="R80" s="31">
        <v>100</v>
      </c>
      <c r="S80" s="31">
        <v>100</v>
      </c>
      <c r="T80" s="31">
        <v>100</v>
      </c>
      <c r="U80" s="31">
        <v>100</v>
      </c>
      <c r="V80" s="31">
        <v>100</v>
      </c>
      <c r="W80" s="31">
        <v>100</v>
      </c>
      <c r="X80" s="3"/>
      <c r="Y80" s="3" t="s">
        <v>4378</v>
      </c>
      <c r="Z80" s="3"/>
    </row>
    <row r="81" spans="2:26" s="1" customFormat="1" ht="94.5">
      <c r="B81" s="69"/>
      <c r="C81" s="652"/>
      <c r="D81" s="652"/>
      <c r="E81" s="652"/>
      <c r="F81" s="652"/>
      <c r="G81" s="652"/>
      <c r="H81" s="69"/>
      <c r="I81" s="652"/>
      <c r="J81" s="652"/>
      <c r="K81" s="652"/>
      <c r="L81" s="652"/>
      <c r="M81" s="652"/>
      <c r="N81" s="3" t="s">
        <v>960</v>
      </c>
      <c r="O81" s="31" t="s">
        <v>701</v>
      </c>
      <c r="P81" s="31">
        <v>100</v>
      </c>
      <c r="Q81" s="31">
        <v>100</v>
      </c>
      <c r="R81" s="31">
        <v>100</v>
      </c>
      <c r="S81" s="31">
        <v>100</v>
      </c>
      <c r="T81" s="31">
        <v>100</v>
      </c>
      <c r="U81" s="31">
        <v>100</v>
      </c>
      <c r="V81" s="31">
        <v>100</v>
      </c>
      <c r="W81" s="31">
        <v>100</v>
      </c>
      <c r="X81" s="3"/>
      <c r="Y81" s="3" t="s">
        <v>4375</v>
      </c>
      <c r="Z81" s="3" t="s">
        <v>4494</v>
      </c>
    </row>
    <row r="82" spans="2:26" s="1" customFormat="1" ht="78.75">
      <c r="B82" s="69"/>
      <c r="C82" s="652"/>
      <c r="D82" s="652"/>
      <c r="E82" s="652"/>
      <c r="F82" s="652"/>
      <c r="G82" s="652"/>
      <c r="H82" s="69"/>
      <c r="I82" s="652"/>
      <c r="J82" s="652"/>
      <c r="K82" s="652"/>
      <c r="L82" s="652"/>
      <c r="M82" s="652"/>
      <c r="N82" s="3" t="s">
        <v>961</v>
      </c>
      <c r="O82" s="31" t="s">
        <v>701</v>
      </c>
      <c r="P82" s="31">
        <v>100</v>
      </c>
      <c r="Q82" s="31">
        <v>100</v>
      </c>
      <c r="R82" s="31">
        <v>100</v>
      </c>
      <c r="S82" s="31">
        <v>100</v>
      </c>
      <c r="T82" s="31">
        <v>100</v>
      </c>
      <c r="U82" s="31">
        <v>100</v>
      </c>
      <c r="V82" s="31">
        <v>100</v>
      </c>
      <c r="W82" s="31">
        <v>100</v>
      </c>
      <c r="X82" s="3"/>
      <c r="Y82" s="3" t="s">
        <v>4376</v>
      </c>
      <c r="Z82" s="3" t="s">
        <v>4495</v>
      </c>
    </row>
    <row r="83" spans="2:26" s="1" customFormat="1" ht="94.5">
      <c r="B83" s="69"/>
      <c r="C83" s="653"/>
      <c r="D83" s="653"/>
      <c r="E83" s="653"/>
      <c r="F83" s="653"/>
      <c r="G83" s="653"/>
      <c r="H83" s="77"/>
      <c r="I83" s="653"/>
      <c r="J83" s="653"/>
      <c r="K83" s="653"/>
      <c r="L83" s="653"/>
      <c r="M83" s="653"/>
      <c r="N83" s="3" t="s">
        <v>962</v>
      </c>
      <c r="O83" s="31" t="s">
        <v>701</v>
      </c>
      <c r="P83" s="31">
        <v>100</v>
      </c>
      <c r="Q83" s="31">
        <v>100</v>
      </c>
      <c r="R83" s="31">
        <v>100</v>
      </c>
      <c r="S83" s="31">
        <v>100</v>
      </c>
      <c r="T83" s="31">
        <v>100</v>
      </c>
      <c r="U83" s="31">
        <v>100</v>
      </c>
      <c r="V83" s="31">
        <v>100</v>
      </c>
      <c r="W83" s="31">
        <v>100</v>
      </c>
      <c r="X83" s="3"/>
      <c r="Y83" s="3" t="s">
        <v>4377</v>
      </c>
      <c r="Z83" s="3" t="s">
        <v>4496</v>
      </c>
    </row>
    <row r="84" spans="2:26" s="1" customFormat="1" ht="110.25">
      <c r="B84" s="69"/>
      <c r="C84" s="651">
        <v>12</v>
      </c>
      <c r="D84" s="651" t="s">
        <v>963</v>
      </c>
      <c r="E84" s="651">
        <v>18</v>
      </c>
      <c r="F84" s="651" t="s">
        <v>964</v>
      </c>
      <c r="G84" s="651" t="s">
        <v>965</v>
      </c>
      <c r="H84" s="37" t="s">
        <v>954</v>
      </c>
      <c r="I84" s="870" t="s">
        <v>4944</v>
      </c>
      <c r="J84" s="651"/>
      <c r="K84" s="651"/>
      <c r="L84" s="651"/>
      <c r="M84" s="651"/>
      <c r="N84" s="3"/>
      <c r="O84" s="31"/>
      <c r="P84" s="31"/>
      <c r="Q84" s="31"/>
      <c r="R84" s="31"/>
      <c r="S84" s="31"/>
      <c r="T84" s="31"/>
      <c r="U84" s="31"/>
      <c r="V84" s="31"/>
      <c r="W84" s="31"/>
      <c r="X84" s="3"/>
      <c r="Y84" s="3"/>
      <c r="Z84" s="3"/>
    </row>
    <row r="85" spans="2:26" s="1" customFormat="1" ht="63">
      <c r="B85" s="69"/>
      <c r="C85" s="652"/>
      <c r="D85" s="652"/>
      <c r="E85" s="652"/>
      <c r="F85" s="652"/>
      <c r="G85" s="652"/>
      <c r="H85" s="69"/>
      <c r="I85" s="652"/>
      <c r="J85" s="1155">
        <v>1.17</v>
      </c>
      <c r="K85" s="1155" t="s">
        <v>773</v>
      </c>
      <c r="L85" s="1155">
        <v>16</v>
      </c>
      <c r="M85" s="1189" t="s">
        <v>406</v>
      </c>
      <c r="N85" s="3" t="s">
        <v>966</v>
      </c>
      <c r="O85" s="31" t="s">
        <v>701</v>
      </c>
      <c r="P85" s="31">
        <v>0.05</v>
      </c>
      <c r="Q85" s="31">
        <v>0.1</v>
      </c>
      <c r="R85" s="31">
        <v>0.15</v>
      </c>
      <c r="S85" s="31">
        <v>0.18</v>
      </c>
      <c r="T85" s="31">
        <v>0.21</v>
      </c>
      <c r="U85" s="31">
        <v>0.25</v>
      </c>
      <c r="V85" s="31">
        <v>0.28000000000000003</v>
      </c>
      <c r="W85" s="31">
        <v>0.28000000000000003</v>
      </c>
      <c r="X85" s="3" t="s">
        <v>944</v>
      </c>
      <c r="Y85" s="3" t="s">
        <v>967</v>
      </c>
      <c r="Z85" s="3"/>
    </row>
    <row r="86" spans="2:26" s="1" customFormat="1" ht="126">
      <c r="B86" s="69"/>
      <c r="C86" s="652"/>
      <c r="D86" s="652"/>
      <c r="E86" s="653"/>
      <c r="F86" s="653"/>
      <c r="G86" s="653"/>
      <c r="H86" s="77"/>
      <c r="I86" s="653"/>
      <c r="J86" s="1187"/>
      <c r="K86" s="1187"/>
      <c r="L86" s="1187"/>
      <c r="M86" s="1190"/>
      <c r="N86" s="3" t="s">
        <v>968</v>
      </c>
      <c r="O86" s="31"/>
      <c r="P86" s="31">
        <v>6.38</v>
      </c>
      <c r="Q86" s="31">
        <v>6.38</v>
      </c>
      <c r="R86" s="31">
        <v>6.38</v>
      </c>
      <c r="S86" s="31">
        <v>6.38</v>
      </c>
      <c r="T86" s="31">
        <v>6.38</v>
      </c>
      <c r="U86" s="31">
        <v>6.38</v>
      </c>
      <c r="V86" s="31">
        <v>6.38</v>
      </c>
      <c r="W86" s="31">
        <v>6.38</v>
      </c>
      <c r="X86" s="3" t="s">
        <v>944</v>
      </c>
      <c r="Y86" s="3" t="s">
        <v>969</v>
      </c>
      <c r="Z86" s="3"/>
    </row>
    <row r="87" spans="2:26" s="1" customFormat="1" ht="141.75">
      <c r="B87" s="69"/>
      <c r="C87" s="652"/>
      <c r="D87" s="652"/>
      <c r="E87" s="651">
        <v>19</v>
      </c>
      <c r="F87" s="651" t="s">
        <v>970</v>
      </c>
      <c r="G87" s="651" t="s">
        <v>971</v>
      </c>
      <c r="H87" s="37" t="s">
        <v>954</v>
      </c>
      <c r="I87" s="870" t="s">
        <v>4945</v>
      </c>
      <c r="J87" s="3"/>
      <c r="K87" s="3"/>
      <c r="L87" s="3"/>
      <c r="M87" s="3"/>
      <c r="N87" s="3"/>
      <c r="O87" s="31"/>
      <c r="P87" s="31"/>
      <c r="Q87" s="31"/>
      <c r="R87" s="31"/>
      <c r="S87" s="31"/>
      <c r="T87" s="31"/>
      <c r="U87" s="31"/>
      <c r="V87" s="31"/>
      <c r="W87" s="31"/>
      <c r="X87" s="3"/>
      <c r="Y87" s="3"/>
      <c r="Z87" s="3"/>
    </row>
    <row r="88" spans="2:26" s="1" customFormat="1" ht="315">
      <c r="B88" s="69"/>
      <c r="C88" s="652"/>
      <c r="D88" s="652"/>
      <c r="E88" s="652"/>
      <c r="F88" s="652"/>
      <c r="G88" s="652"/>
      <c r="H88" s="69"/>
      <c r="I88" s="652"/>
      <c r="J88" s="1154">
        <v>1.17</v>
      </c>
      <c r="K88" s="1154" t="s">
        <v>773</v>
      </c>
      <c r="L88" s="1154">
        <v>17</v>
      </c>
      <c r="M88" s="1191" t="s">
        <v>408</v>
      </c>
      <c r="N88" s="3" t="s">
        <v>972</v>
      </c>
      <c r="O88" s="31" t="s">
        <v>701</v>
      </c>
      <c r="P88" s="31">
        <v>6.6</v>
      </c>
      <c r="Q88" s="31">
        <v>13.3</v>
      </c>
      <c r="R88" s="31">
        <v>20</v>
      </c>
      <c r="S88" s="31">
        <v>26.6</v>
      </c>
      <c r="T88" s="31">
        <v>26.6</v>
      </c>
      <c r="U88" s="31">
        <v>33.299999999999997</v>
      </c>
      <c r="V88" s="31">
        <v>33.299999999999997</v>
      </c>
      <c r="W88" s="31">
        <v>33.299999999999997</v>
      </c>
      <c r="X88" s="3" t="s">
        <v>944</v>
      </c>
      <c r="Y88" s="3" t="s">
        <v>973</v>
      </c>
      <c r="Z88" s="3" t="s">
        <v>974</v>
      </c>
    </row>
    <row r="89" spans="2:26" s="1" customFormat="1" ht="126">
      <c r="B89" s="69"/>
      <c r="C89" s="652"/>
      <c r="D89" s="652"/>
      <c r="E89" s="652"/>
      <c r="F89" s="652"/>
      <c r="G89" s="652"/>
      <c r="H89" s="69"/>
      <c r="I89" s="652"/>
      <c r="J89" s="1186"/>
      <c r="K89" s="1186"/>
      <c r="L89" s="1186"/>
      <c r="M89" s="1189"/>
      <c r="N89" s="3" t="s">
        <v>975</v>
      </c>
      <c r="O89" s="31" t="s">
        <v>701</v>
      </c>
      <c r="P89" s="31">
        <v>42.8</v>
      </c>
      <c r="Q89" s="31">
        <v>42.8</v>
      </c>
      <c r="R89" s="31">
        <v>57.1</v>
      </c>
      <c r="S89" s="31">
        <v>57.1</v>
      </c>
      <c r="T89" s="31">
        <v>71.400000000000006</v>
      </c>
      <c r="U89" s="31">
        <v>71.400000000000006</v>
      </c>
      <c r="V89" s="31">
        <v>85.7</v>
      </c>
      <c r="W89" s="31">
        <v>85.7</v>
      </c>
      <c r="X89" s="3" t="s">
        <v>944</v>
      </c>
      <c r="Y89" s="3" t="s">
        <v>976</v>
      </c>
      <c r="Z89" s="3" t="s">
        <v>977</v>
      </c>
    </row>
    <row r="90" spans="2:26" s="1" customFormat="1" ht="63">
      <c r="B90" s="69"/>
      <c r="C90" s="652"/>
      <c r="D90" s="652"/>
      <c r="E90" s="652"/>
      <c r="F90" s="652"/>
      <c r="G90" s="652"/>
      <c r="H90" s="69"/>
      <c r="I90" s="652"/>
      <c r="J90" s="1186"/>
      <c r="K90" s="1186"/>
      <c r="L90" s="1186"/>
      <c r="M90" s="1189"/>
      <c r="N90" s="3" t="s">
        <v>978</v>
      </c>
      <c r="O90" s="31" t="s">
        <v>701</v>
      </c>
      <c r="P90" s="34">
        <v>50</v>
      </c>
      <c r="Q90" s="34">
        <v>50</v>
      </c>
      <c r="R90" s="34">
        <v>50</v>
      </c>
      <c r="S90" s="34">
        <v>75</v>
      </c>
      <c r="T90" s="34">
        <v>75</v>
      </c>
      <c r="U90" s="34">
        <v>100</v>
      </c>
      <c r="V90" s="34">
        <v>100</v>
      </c>
      <c r="W90" s="34">
        <v>100</v>
      </c>
      <c r="X90" s="3" t="s">
        <v>944</v>
      </c>
      <c r="Y90" s="3" t="s">
        <v>979</v>
      </c>
      <c r="Z90" s="3" t="s">
        <v>980</v>
      </c>
    </row>
    <row r="91" spans="2:26" s="1" customFormat="1" ht="31.5">
      <c r="B91" s="69"/>
      <c r="C91" s="652"/>
      <c r="D91" s="652"/>
      <c r="E91" s="652"/>
      <c r="F91" s="652"/>
      <c r="G91" s="652"/>
      <c r="H91" s="69"/>
      <c r="I91" s="652"/>
      <c r="J91" s="1186"/>
      <c r="K91" s="1186"/>
      <c r="L91" s="1186"/>
      <c r="M91" s="1189"/>
      <c r="N91" s="3" t="s">
        <v>981</v>
      </c>
      <c r="O91" s="31" t="s">
        <v>701</v>
      </c>
      <c r="P91" s="34">
        <v>60</v>
      </c>
      <c r="Q91" s="34">
        <v>65</v>
      </c>
      <c r="R91" s="34">
        <v>75</v>
      </c>
      <c r="S91" s="34">
        <v>80</v>
      </c>
      <c r="T91" s="34">
        <v>85</v>
      </c>
      <c r="U91" s="34">
        <v>90</v>
      </c>
      <c r="V91" s="34">
        <v>95</v>
      </c>
      <c r="W91" s="34">
        <v>95</v>
      </c>
      <c r="X91" s="3" t="s">
        <v>944</v>
      </c>
      <c r="Y91" s="3" t="s">
        <v>982</v>
      </c>
      <c r="Z91" s="3"/>
    </row>
    <row r="92" spans="2:26" s="1" customFormat="1" ht="141.75">
      <c r="B92" s="69"/>
      <c r="C92" s="652"/>
      <c r="D92" s="652"/>
      <c r="E92" s="652"/>
      <c r="F92" s="652"/>
      <c r="G92" s="652"/>
      <c r="H92" s="69"/>
      <c r="I92" s="652"/>
      <c r="J92" s="1186"/>
      <c r="K92" s="1186"/>
      <c r="L92" s="1186"/>
      <c r="M92" s="1189"/>
      <c r="N92" s="3" t="s">
        <v>983</v>
      </c>
      <c r="O92" s="31" t="s">
        <v>701</v>
      </c>
      <c r="P92" s="34">
        <v>50</v>
      </c>
      <c r="Q92" s="34">
        <v>50</v>
      </c>
      <c r="R92" s="34">
        <v>50</v>
      </c>
      <c r="S92" s="34">
        <v>62.5</v>
      </c>
      <c r="T92" s="34">
        <v>75</v>
      </c>
      <c r="U92" s="34">
        <v>75</v>
      </c>
      <c r="V92" s="34">
        <v>87.5</v>
      </c>
      <c r="W92" s="34">
        <v>87.5</v>
      </c>
      <c r="X92" s="3" t="s">
        <v>944</v>
      </c>
      <c r="Y92" s="3" t="s">
        <v>984</v>
      </c>
      <c r="Z92" s="3" t="s">
        <v>985</v>
      </c>
    </row>
    <row r="93" spans="2:26" s="1" customFormat="1" ht="110.25">
      <c r="B93" s="69"/>
      <c r="C93" s="652"/>
      <c r="D93" s="652"/>
      <c r="E93" s="652"/>
      <c r="F93" s="652"/>
      <c r="G93" s="652"/>
      <c r="H93" s="69"/>
      <c r="I93" s="652"/>
      <c r="J93" s="1186"/>
      <c r="K93" s="1186"/>
      <c r="L93" s="1186"/>
      <c r="M93" s="1189"/>
      <c r="N93" s="3" t="s">
        <v>986</v>
      </c>
      <c r="O93" s="31" t="s">
        <v>701</v>
      </c>
      <c r="P93" s="34">
        <v>50</v>
      </c>
      <c r="Q93" s="34">
        <v>50</v>
      </c>
      <c r="R93" s="34">
        <v>50</v>
      </c>
      <c r="S93" s="34">
        <v>50</v>
      </c>
      <c r="T93" s="34">
        <v>50</v>
      </c>
      <c r="U93" s="34">
        <v>50</v>
      </c>
      <c r="V93" s="34">
        <v>50</v>
      </c>
      <c r="W93" s="34">
        <v>50</v>
      </c>
      <c r="X93" s="3" t="s">
        <v>944</v>
      </c>
      <c r="Y93" s="3" t="s">
        <v>987</v>
      </c>
      <c r="Z93" s="3" t="s">
        <v>988</v>
      </c>
    </row>
    <row r="94" spans="2:26" s="1" customFormat="1" ht="94.5">
      <c r="B94" s="69"/>
      <c r="C94" s="652"/>
      <c r="D94" s="652"/>
      <c r="E94" s="652"/>
      <c r="F94" s="652"/>
      <c r="G94" s="652"/>
      <c r="H94" s="69"/>
      <c r="I94" s="652"/>
      <c r="J94" s="1187"/>
      <c r="K94" s="1187"/>
      <c r="L94" s="1187"/>
      <c r="M94" s="1190"/>
      <c r="N94" s="3" t="s">
        <v>989</v>
      </c>
      <c r="O94" s="31" t="s">
        <v>701</v>
      </c>
      <c r="P94" s="34">
        <v>100</v>
      </c>
      <c r="Q94" s="34">
        <v>100</v>
      </c>
      <c r="R94" s="34">
        <v>100</v>
      </c>
      <c r="S94" s="34">
        <v>100</v>
      </c>
      <c r="T94" s="34">
        <v>100</v>
      </c>
      <c r="U94" s="34">
        <v>100</v>
      </c>
      <c r="V94" s="34">
        <v>100</v>
      </c>
      <c r="W94" s="34">
        <v>100</v>
      </c>
      <c r="X94" s="3" t="s">
        <v>944</v>
      </c>
      <c r="Y94" s="3" t="s">
        <v>990</v>
      </c>
      <c r="Z94" s="3" t="s">
        <v>991</v>
      </c>
    </row>
    <row r="95" spans="2:26" s="1" customFormat="1" ht="78.75">
      <c r="B95" s="69"/>
      <c r="C95" s="651">
        <v>13</v>
      </c>
      <c r="D95" s="651" t="s">
        <v>996</v>
      </c>
      <c r="E95" s="651">
        <v>20</v>
      </c>
      <c r="F95" s="651" t="s">
        <v>997</v>
      </c>
      <c r="G95" s="651" t="s">
        <v>998</v>
      </c>
      <c r="H95" s="37" t="s">
        <v>954</v>
      </c>
      <c r="I95" s="870" t="s">
        <v>4946</v>
      </c>
      <c r="J95" s="651"/>
      <c r="K95" s="651"/>
      <c r="L95" s="651"/>
      <c r="M95" s="660"/>
      <c r="N95" s="3"/>
      <c r="O95" s="31"/>
      <c r="P95" s="31"/>
      <c r="Q95" s="31"/>
      <c r="R95" s="31"/>
      <c r="S95" s="31"/>
      <c r="T95" s="31"/>
      <c r="U95" s="31"/>
      <c r="V95" s="31"/>
      <c r="W95" s="31"/>
      <c r="X95" s="3"/>
      <c r="Y95" s="3"/>
      <c r="Z95" s="3"/>
    </row>
    <row r="96" spans="2:26" s="1" customFormat="1" ht="63">
      <c r="B96" s="69"/>
      <c r="C96" s="652"/>
      <c r="D96" s="652"/>
      <c r="E96" s="652"/>
      <c r="F96" s="652"/>
      <c r="G96" s="652"/>
      <c r="H96" s="69"/>
      <c r="I96" s="652"/>
      <c r="J96" s="1155">
        <v>1.17</v>
      </c>
      <c r="K96" s="1155" t="s">
        <v>773</v>
      </c>
      <c r="L96" s="1155">
        <v>16</v>
      </c>
      <c r="M96" s="1189" t="s">
        <v>406</v>
      </c>
      <c r="N96" s="3" t="s">
        <v>992</v>
      </c>
      <c r="O96" s="31" t="s">
        <v>701</v>
      </c>
      <c r="P96" s="34">
        <v>2.12</v>
      </c>
      <c r="Q96" s="34">
        <v>2.12</v>
      </c>
      <c r="R96" s="34">
        <v>2.12</v>
      </c>
      <c r="S96" s="34">
        <v>2.12</v>
      </c>
      <c r="T96" s="34">
        <v>2.12</v>
      </c>
      <c r="U96" s="34">
        <v>2.12</v>
      </c>
      <c r="V96" s="34">
        <v>2.12</v>
      </c>
      <c r="W96" s="34">
        <v>2.12</v>
      </c>
      <c r="X96" s="3" t="s">
        <v>944</v>
      </c>
      <c r="Y96" s="3" t="s">
        <v>993</v>
      </c>
      <c r="Z96" s="3"/>
    </row>
    <row r="97" spans="2:26" s="1" customFormat="1" ht="63">
      <c r="B97" s="69"/>
      <c r="C97" s="652"/>
      <c r="D97" s="652"/>
      <c r="E97" s="652"/>
      <c r="F97" s="652"/>
      <c r="G97" s="652"/>
      <c r="H97" s="69"/>
      <c r="I97" s="652"/>
      <c r="J97" s="1155"/>
      <c r="K97" s="1155"/>
      <c r="L97" s="1155"/>
      <c r="M97" s="1189"/>
      <c r="N97" s="3" t="s">
        <v>994</v>
      </c>
      <c r="O97" s="31" t="s">
        <v>701</v>
      </c>
      <c r="P97" s="34">
        <v>0.02</v>
      </c>
      <c r="Q97" s="34">
        <v>0.02</v>
      </c>
      <c r="R97" s="34">
        <v>0.02</v>
      </c>
      <c r="S97" s="34">
        <v>0.31</v>
      </c>
      <c r="T97" s="34">
        <v>0.42</v>
      </c>
      <c r="U97" s="34">
        <v>0.53</v>
      </c>
      <c r="V97" s="34">
        <v>0.63</v>
      </c>
      <c r="W97" s="34">
        <v>0.65</v>
      </c>
      <c r="X97" s="3" t="s">
        <v>944</v>
      </c>
      <c r="Y97" s="3" t="s">
        <v>995</v>
      </c>
      <c r="Z97" s="3"/>
    </row>
    <row r="98" spans="2:26" s="1" customFormat="1" ht="110.25">
      <c r="B98" s="69"/>
      <c r="C98" s="652"/>
      <c r="D98" s="652"/>
      <c r="E98" s="652"/>
      <c r="F98" s="652"/>
      <c r="G98" s="652"/>
      <c r="H98" s="69"/>
      <c r="I98" s="652"/>
      <c r="J98" s="1156"/>
      <c r="K98" s="1156"/>
      <c r="L98" s="1156"/>
      <c r="M98" s="1190"/>
      <c r="N98" s="651" t="s">
        <v>999</v>
      </c>
      <c r="O98" s="31" t="s">
        <v>701</v>
      </c>
      <c r="P98" s="34">
        <v>100</v>
      </c>
      <c r="Q98" s="34">
        <v>100</v>
      </c>
      <c r="R98" s="34">
        <v>100</v>
      </c>
      <c r="S98" s="34">
        <v>100</v>
      </c>
      <c r="T98" s="34">
        <v>100</v>
      </c>
      <c r="U98" s="34">
        <v>100</v>
      </c>
      <c r="V98" s="34">
        <v>100</v>
      </c>
      <c r="W98" s="34">
        <v>100</v>
      </c>
      <c r="X98" s="3" t="s">
        <v>944</v>
      </c>
      <c r="Y98" s="3" t="s">
        <v>1000</v>
      </c>
      <c r="Z98" s="3"/>
    </row>
    <row r="99" spans="2:26" s="1" customFormat="1" ht="126">
      <c r="B99" s="37" t="s">
        <v>1001</v>
      </c>
      <c r="C99" s="651">
        <v>14</v>
      </c>
      <c r="D99" s="78" t="s">
        <v>1002</v>
      </c>
      <c r="E99" s="651">
        <v>21</v>
      </c>
      <c r="F99" s="651" t="s">
        <v>1003</v>
      </c>
      <c r="G99" s="651" t="s">
        <v>1004</v>
      </c>
      <c r="H99" s="37" t="s">
        <v>1005</v>
      </c>
      <c r="I99" s="870" t="s">
        <v>4947</v>
      </c>
      <c r="J99" s="3"/>
      <c r="K99" s="3"/>
      <c r="L99" s="3"/>
      <c r="M99" s="3"/>
      <c r="N99" s="3"/>
      <c r="O99" s="31"/>
      <c r="P99" s="31"/>
      <c r="Q99" s="31"/>
      <c r="R99" s="31"/>
      <c r="S99" s="31"/>
      <c r="T99" s="31"/>
      <c r="U99" s="31"/>
      <c r="V99" s="31"/>
      <c r="W99" s="31"/>
      <c r="X99" s="3"/>
      <c r="Y99" s="3"/>
      <c r="Z99" s="3"/>
    </row>
    <row r="100" spans="2:26" s="1" customFormat="1" ht="94.5">
      <c r="B100" s="69"/>
      <c r="C100" s="652"/>
      <c r="D100" s="79"/>
      <c r="E100" s="652"/>
      <c r="F100" s="652"/>
      <c r="G100" s="652"/>
      <c r="H100" s="69"/>
      <c r="I100" s="652"/>
      <c r="J100" s="3">
        <v>1.19</v>
      </c>
      <c r="K100" s="3" t="s">
        <v>773</v>
      </c>
      <c r="L100" s="95">
        <v>21</v>
      </c>
      <c r="M100" s="38" t="s">
        <v>437</v>
      </c>
      <c r="N100" s="3" t="s">
        <v>1006</v>
      </c>
      <c r="O100" s="31" t="s">
        <v>701</v>
      </c>
      <c r="P100" s="31">
        <v>100</v>
      </c>
      <c r="Q100" s="31">
        <v>100</v>
      </c>
      <c r="R100" s="31">
        <v>100</v>
      </c>
      <c r="S100" s="31">
        <v>100</v>
      </c>
      <c r="T100" s="31">
        <v>100</v>
      </c>
      <c r="U100" s="31">
        <v>100</v>
      </c>
      <c r="V100" s="31">
        <v>100</v>
      </c>
      <c r="W100" s="31">
        <v>100</v>
      </c>
      <c r="X100" s="3" t="s">
        <v>1007</v>
      </c>
      <c r="Y100" s="3" t="s">
        <v>1008</v>
      </c>
      <c r="Z100" s="3" t="s">
        <v>1009</v>
      </c>
    </row>
    <row r="101" spans="2:26" s="1" customFormat="1" ht="78.75">
      <c r="B101" s="69"/>
      <c r="C101" s="652"/>
      <c r="D101" s="79"/>
      <c r="E101" s="652"/>
      <c r="F101" s="652"/>
      <c r="G101" s="652"/>
      <c r="H101" s="69"/>
      <c r="I101" s="652"/>
      <c r="J101" s="3">
        <v>1.19</v>
      </c>
      <c r="K101" s="3" t="s">
        <v>773</v>
      </c>
      <c r="L101" s="95">
        <v>20</v>
      </c>
      <c r="M101" s="38" t="s">
        <v>1010</v>
      </c>
      <c r="N101" s="3" t="s">
        <v>1011</v>
      </c>
      <c r="O101" s="31" t="s">
        <v>701</v>
      </c>
      <c r="P101" s="31">
        <v>100</v>
      </c>
      <c r="Q101" s="31">
        <v>100</v>
      </c>
      <c r="R101" s="31">
        <v>100</v>
      </c>
      <c r="S101" s="31">
        <v>100</v>
      </c>
      <c r="T101" s="31">
        <v>100</v>
      </c>
      <c r="U101" s="31">
        <v>100</v>
      </c>
      <c r="V101" s="31">
        <v>100</v>
      </c>
      <c r="W101" s="31">
        <v>100</v>
      </c>
      <c r="X101" s="3" t="s">
        <v>1007</v>
      </c>
      <c r="Y101" s="3" t="s">
        <v>1012</v>
      </c>
      <c r="Z101" s="3"/>
    </row>
    <row r="102" spans="2:26" s="1" customFormat="1" ht="78.75">
      <c r="B102" s="69"/>
      <c r="C102" s="652"/>
      <c r="D102" s="79"/>
      <c r="E102" s="652"/>
      <c r="F102" s="652"/>
      <c r="G102" s="652"/>
      <c r="H102" s="69"/>
      <c r="I102" s="652"/>
      <c r="J102" s="3">
        <v>1.19</v>
      </c>
      <c r="K102" s="3" t="s">
        <v>773</v>
      </c>
      <c r="L102" s="95">
        <v>21</v>
      </c>
      <c r="M102" s="38" t="s">
        <v>437</v>
      </c>
      <c r="N102" s="3" t="s">
        <v>1013</v>
      </c>
      <c r="O102" s="31" t="s">
        <v>701</v>
      </c>
      <c r="P102" s="31" t="s">
        <v>1041</v>
      </c>
      <c r="Q102" s="31">
        <v>86</v>
      </c>
      <c r="R102" s="31" t="s">
        <v>1041</v>
      </c>
      <c r="S102" s="31" t="s">
        <v>1041</v>
      </c>
      <c r="T102" s="31" t="s">
        <v>1041</v>
      </c>
      <c r="U102" s="31" t="s">
        <v>1041</v>
      </c>
      <c r="V102" s="31">
        <v>100</v>
      </c>
      <c r="W102" s="31">
        <v>100</v>
      </c>
      <c r="X102" s="3" t="s">
        <v>1007</v>
      </c>
      <c r="Y102" s="3" t="s">
        <v>1014</v>
      </c>
      <c r="Z102" s="3"/>
    </row>
    <row r="103" spans="2:26" s="1" customFormat="1" ht="63">
      <c r="B103" s="69"/>
      <c r="C103" s="652"/>
      <c r="D103" s="79"/>
      <c r="E103" s="652"/>
      <c r="F103" s="652"/>
      <c r="G103" s="652"/>
      <c r="H103" s="69"/>
      <c r="I103" s="652"/>
      <c r="J103" s="3">
        <v>1.19</v>
      </c>
      <c r="K103" s="3" t="s">
        <v>773</v>
      </c>
      <c r="L103" s="95">
        <v>17</v>
      </c>
      <c r="M103" s="38" t="s">
        <v>430</v>
      </c>
      <c r="N103" s="3" t="s">
        <v>1015</v>
      </c>
      <c r="O103" s="31" t="s">
        <v>701</v>
      </c>
      <c r="P103" s="31"/>
      <c r="Q103" s="31">
        <v>100</v>
      </c>
      <c r="R103" s="31">
        <v>100</v>
      </c>
      <c r="S103" s="31">
        <v>100</v>
      </c>
      <c r="T103" s="31">
        <v>100</v>
      </c>
      <c r="U103" s="31">
        <v>100</v>
      </c>
      <c r="V103" s="31">
        <v>100</v>
      </c>
      <c r="W103" s="31">
        <v>100</v>
      </c>
      <c r="X103" s="3" t="s">
        <v>1007</v>
      </c>
      <c r="Y103" s="3" t="s">
        <v>1016</v>
      </c>
      <c r="Z103" s="3"/>
    </row>
    <row r="104" spans="2:26" s="1" customFormat="1" ht="126">
      <c r="B104" s="69"/>
      <c r="C104" s="652"/>
      <c r="D104" s="79"/>
      <c r="E104" s="653"/>
      <c r="F104" s="653"/>
      <c r="G104" s="653"/>
      <c r="H104" s="77"/>
      <c r="I104" s="653"/>
      <c r="J104" s="3">
        <v>1.19</v>
      </c>
      <c r="K104" s="3" t="s">
        <v>773</v>
      </c>
      <c r="L104" s="95">
        <v>16</v>
      </c>
      <c r="M104" s="38" t="s">
        <v>109</v>
      </c>
      <c r="N104" s="3" t="s">
        <v>1017</v>
      </c>
      <c r="O104" s="31" t="s">
        <v>701</v>
      </c>
      <c r="P104" s="31">
        <v>100</v>
      </c>
      <c r="Q104" s="31">
        <v>100</v>
      </c>
      <c r="R104" s="31">
        <v>100</v>
      </c>
      <c r="S104" s="31">
        <v>100</v>
      </c>
      <c r="T104" s="31">
        <v>100</v>
      </c>
      <c r="U104" s="31">
        <v>100</v>
      </c>
      <c r="V104" s="31">
        <v>100</v>
      </c>
      <c r="W104" s="31">
        <v>100</v>
      </c>
      <c r="X104" s="3" t="s">
        <v>1007</v>
      </c>
      <c r="Y104" s="3" t="s">
        <v>1018</v>
      </c>
      <c r="Z104" s="3"/>
    </row>
    <row r="105" spans="2:26" s="1" customFormat="1" ht="173.25">
      <c r="B105" s="69"/>
      <c r="C105" s="652"/>
      <c r="D105" s="79"/>
      <c r="E105" s="652">
        <v>22</v>
      </c>
      <c r="F105" s="652" t="s">
        <v>1019</v>
      </c>
      <c r="G105" s="652" t="s">
        <v>1020</v>
      </c>
      <c r="H105" s="69"/>
      <c r="I105" s="871" t="s">
        <v>4949</v>
      </c>
      <c r="J105" s="3"/>
      <c r="K105" s="3"/>
      <c r="L105" s="3"/>
      <c r="M105" s="3"/>
      <c r="N105" s="3"/>
      <c r="O105" s="31"/>
      <c r="P105" s="31"/>
      <c r="Q105" s="31"/>
      <c r="R105" s="31"/>
      <c r="S105" s="31"/>
      <c r="T105" s="31"/>
      <c r="U105" s="31"/>
      <c r="V105" s="31"/>
      <c r="W105" s="31"/>
      <c r="X105" s="3"/>
      <c r="Y105" s="3"/>
      <c r="Z105" s="3"/>
    </row>
    <row r="106" spans="2:26" s="1" customFormat="1" ht="189">
      <c r="B106" s="69"/>
      <c r="C106" s="652"/>
      <c r="D106" s="79"/>
      <c r="E106" s="652"/>
      <c r="F106" s="652"/>
      <c r="G106" s="652"/>
      <c r="H106" s="69"/>
      <c r="I106" s="652"/>
      <c r="J106" s="1154">
        <v>1.19</v>
      </c>
      <c r="K106" s="1154" t="s">
        <v>773</v>
      </c>
      <c r="L106" s="1188">
        <v>16</v>
      </c>
      <c r="M106" s="1154" t="s">
        <v>109</v>
      </c>
      <c r="N106" s="3" t="s">
        <v>1021</v>
      </c>
      <c r="O106" s="31" t="s">
        <v>701</v>
      </c>
      <c r="P106" s="34">
        <v>50</v>
      </c>
      <c r="Q106" s="34">
        <v>50</v>
      </c>
      <c r="R106" s="34">
        <v>100</v>
      </c>
      <c r="S106" s="34">
        <v>100</v>
      </c>
      <c r="T106" s="34">
        <v>100</v>
      </c>
      <c r="U106" s="34">
        <v>100</v>
      </c>
      <c r="V106" s="34">
        <v>100</v>
      </c>
      <c r="W106" s="34">
        <v>100</v>
      </c>
      <c r="X106" s="3" t="s">
        <v>1022</v>
      </c>
      <c r="Y106" s="3" t="s">
        <v>4331</v>
      </c>
      <c r="Z106" s="3" t="s">
        <v>4330</v>
      </c>
    </row>
    <row r="107" spans="2:26" s="1" customFormat="1" ht="63">
      <c r="B107" s="69"/>
      <c r="C107" s="652"/>
      <c r="D107" s="79"/>
      <c r="E107" s="652"/>
      <c r="F107" s="652"/>
      <c r="G107" s="652"/>
      <c r="H107" s="69"/>
      <c r="I107" s="652"/>
      <c r="J107" s="1186"/>
      <c r="K107" s="1186"/>
      <c r="L107" s="1186"/>
      <c r="M107" s="1155"/>
      <c r="N107" s="3" t="s">
        <v>1023</v>
      </c>
      <c r="O107" s="31" t="s">
        <v>2047</v>
      </c>
      <c r="P107" s="31" t="s">
        <v>2048</v>
      </c>
      <c r="Q107" s="31" t="s">
        <v>2049</v>
      </c>
      <c r="R107" s="31" t="s">
        <v>2050</v>
      </c>
      <c r="S107" s="31" t="s">
        <v>2051</v>
      </c>
      <c r="T107" s="31" t="s">
        <v>2052</v>
      </c>
      <c r="U107" s="31" t="s">
        <v>2052</v>
      </c>
      <c r="V107" s="31" t="s">
        <v>2048</v>
      </c>
      <c r="W107" s="31" t="s">
        <v>2048</v>
      </c>
      <c r="X107" s="3" t="s">
        <v>1022</v>
      </c>
      <c r="Y107" s="3" t="s">
        <v>1024</v>
      </c>
      <c r="Z107" s="3" t="s">
        <v>4334</v>
      </c>
    </row>
    <row r="108" spans="2:26" s="1" customFormat="1" ht="63">
      <c r="B108" s="69"/>
      <c r="C108" s="652"/>
      <c r="D108" s="79"/>
      <c r="E108" s="652"/>
      <c r="F108" s="652"/>
      <c r="G108" s="652"/>
      <c r="H108" s="69"/>
      <c r="I108" s="652"/>
      <c r="J108" s="1186"/>
      <c r="K108" s="1186"/>
      <c r="L108" s="1186"/>
      <c r="M108" s="1155"/>
      <c r="N108" s="3" t="s">
        <v>4948</v>
      </c>
      <c r="O108" s="31" t="s">
        <v>701</v>
      </c>
      <c r="P108" s="34">
        <v>100</v>
      </c>
      <c r="Q108" s="34">
        <v>100</v>
      </c>
      <c r="R108" s="34">
        <v>100</v>
      </c>
      <c r="S108" s="34">
        <v>100</v>
      </c>
      <c r="T108" s="34">
        <v>100</v>
      </c>
      <c r="U108" s="34">
        <v>100</v>
      </c>
      <c r="V108" s="34">
        <v>100</v>
      </c>
      <c r="W108" s="34">
        <v>100</v>
      </c>
      <c r="X108" s="3" t="s">
        <v>1022</v>
      </c>
      <c r="Y108" s="3" t="s">
        <v>4332</v>
      </c>
      <c r="Z108" s="3" t="s">
        <v>4333</v>
      </c>
    </row>
    <row r="109" spans="2:26" s="1" customFormat="1" ht="63">
      <c r="B109" s="69"/>
      <c r="C109" s="652"/>
      <c r="D109" s="79"/>
      <c r="E109" s="652"/>
      <c r="F109" s="652"/>
      <c r="G109" s="652"/>
      <c r="H109" s="69"/>
      <c r="I109" s="652"/>
      <c r="J109" s="1187"/>
      <c r="K109" s="1187"/>
      <c r="L109" s="1187"/>
      <c r="M109" s="1156"/>
      <c r="N109" s="3" t="s">
        <v>1025</v>
      </c>
      <c r="O109" s="31" t="s">
        <v>741</v>
      </c>
      <c r="P109" s="31">
        <v>1</v>
      </c>
      <c r="Q109" s="31">
        <v>1</v>
      </c>
      <c r="R109" s="31">
        <v>1</v>
      </c>
      <c r="S109" s="31">
        <v>1</v>
      </c>
      <c r="T109" s="31">
        <v>1</v>
      </c>
      <c r="U109" s="31">
        <v>2</v>
      </c>
      <c r="V109" s="31">
        <v>3</v>
      </c>
      <c r="W109" s="31">
        <v>3</v>
      </c>
      <c r="X109" s="3" t="s">
        <v>1022</v>
      </c>
      <c r="Y109" s="3" t="s">
        <v>4667</v>
      </c>
      <c r="Z109" s="3"/>
    </row>
    <row r="110" spans="2:26" s="1" customFormat="1" ht="78.75">
      <c r="B110" s="77"/>
      <c r="C110" s="653"/>
      <c r="D110" s="80"/>
      <c r="E110" s="653"/>
      <c r="F110" s="653"/>
      <c r="G110" s="653"/>
      <c r="H110" s="77"/>
      <c r="I110" s="653"/>
      <c r="J110" s="3">
        <v>1.19</v>
      </c>
      <c r="K110" s="3" t="s">
        <v>773</v>
      </c>
      <c r="L110" s="95">
        <v>19</v>
      </c>
      <c r="M110" s="3" t="s">
        <v>110</v>
      </c>
      <c r="N110" s="3" t="s">
        <v>1026</v>
      </c>
      <c r="O110" s="31" t="s">
        <v>921</v>
      </c>
      <c r="P110" s="31" t="s">
        <v>2053</v>
      </c>
      <c r="Q110" s="31" t="s">
        <v>2054</v>
      </c>
      <c r="R110" s="31" t="s">
        <v>2054</v>
      </c>
      <c r="S110" s="31" t="s">
        <v>2055</v>
      </c>
      <c r="T110" s="31" t="s">
        <v>2055</v>
      </c>
      <c r="U110" s="31" t="s">
        <v>2056</v>
      </c>
      <c r="V110" s="31" t="s">
        <v>2056</v>
      </c>
      <c r="W110" s="31" t="s">
        <v>2056</v>
      </c>
      <c r="X110" s="3" t="s">
        <v>1022</v>
      </c>
      <c r="Y110" s="3" t="s">
        <v>1027</v>
      </c>
      <c r="Z110" s="3" t="s">
        <v>4335</v>
      </c>
    </row>
    <row r="111" spans="2:26" s="97" customFormat="1">
      <c r="B111" s="96"/>
      <c r="E111" s="85"/>
      <c r="H111" s="96"/>
      <c r="J111" s="1"/>
      <c r="K111" s="1"/>
      <c r="L111" s="1"/>
      <c r="N111" s="85"/>
      <c r="O111" s="85"/>
      <c r="P111" s="475"/>
      <c r="Q111" s="475"/>
      <c r="R111" s="475"/>
      <c r="S111" s="475"/>
      <c r="T111" s="475"/>
      <c r="U111" s="475"/>
      <c r="V111" s="475"/>
      <c r="W111" s="475"/>
      <c r="Y111" s="98"/>
    </row>
    <row r="112" spans="2:26" s="97" customFormat="1">
      <c r="B112" s="96"/>
      <c r="E112" s="85"/>
      <c r="H112" s="96"/>
      <c r="J112" s="1"/>
      <c r="K112" s="1"/>
      <c r="L112" s="1"/>
      <c r="N112" s="85"/>
      <c r="O112" s="475"/>
      <c r="P112" s="475"/>
      <c r="Q112" s="475"/>
      <c r="R112" s="475"/>
      <c r="S112" s="475"/>
      <c r="T112" s="475"/>
      <c r="U112" s="475"/>
      <c r="V112" s="475"/>
      <c r="W112" s="475"/>
    </row>
    <row r="113" spans="2:24" s="97" customFormat="1">
      <c r="B113" s="96"/>
      <c r="E113" s="85"/>
      <c r="H113" s="96"/>
      <c r="J113" s="1"/>
      <c r="K113" s="1"/>
      <c r="L113" s="1"/>
      <c r="N113" s="85"/>
      <c r="O113" s="85"/>
      <c r="P113" s="475"/>
      <c r="Q113" s="475"/>
      <c r="R113" s="475"/>
      <c r="S113" s="475"/>
      <c r="T113" s="475"/>
      <c r="U113" s="475"/>
      <c r="V113" s="475"/>
      <c r="W113" s="475"/>
    </row>
    <row r="114" spans="2:24" s="97" customFormat="1">
      <c r="B114" s="96"/>
      <c r="E114" s="85"/>
      <c r="G114" s="85"/>
      <c r="H114" s="96"/>
      <c r="I114" s="85"/>
      <c r="J114" s="1"/>
      <c r="K114" s="1"/>
      <c r="L114" s="1"/>
      <c r="M114" s="85"/>
      <c r="N114" s="85"/>
      <c r="O114" s="85"/>
      <c r="P114" s="475"/>
      <c r="Q114" s="475"/>
      <c r="R114" s="475"/>
      <c r="S114" s="475"/>
      <c r="T114" s="475"/>
      <c r="U114" s="475"/>
      <c r="V114" s="475"/>
      <c r="W114" s="475"/>
      <c r="X114" s="85"/>
    </row>
    <row r="115" spans="2:24" s="97" customFormat="1">
      <c r="B115" s="96"/>
      <c r="E115" s="85"/>
      <c r="G115" s="84"/>
      <c r="H115" s="96"/>
      <c r="I115" s="84"/>
      <c r="J115" s="1"/>
      <c r="K115" s="1"/>
      <c r="L115" s="1"/>
      <c r="M115" s="84"/>
      <c r="N115" s="85"/>
      <c r="O115" s="475"/>
      <c r="P115" s="475"/>
      <c r="Q115" s="475"/>
      <c r="R115" s="475"/>
      <c r="S115" s="475"/>
      <c r="T115" s="475"/>
      <c r="U115" s="475"/>
      <c r="V115" s="475"/>
      <c r="W115" s="475"/>
      <c r="X115" s="84"/>
    </row>
    <row r="116" spans="2:24" s="97" customFormat="1">
      <c r="B116" s="96"/>
      <c r="E116" s="85"/>
      <c r="G116" s="84"/>
      <c r="H116" s="96"/>
      <c r="I116" s="84"/>
      <c r="J116" s="1"/>
      <c r="K116" s="1"/>
      <c r="L116" s="1"/>
      <c r="M116" s="84"/>
      <c r="N116" s="85"/>
      <c r="O116" s="475"/>
      <c r="P116" s="475"/>
      <c r="Q116" s="475"/>
      <c r="R116" s="475"/>
      <c r="S116" s="475"/>
      <c r="T116" s="475"/>
      <c r="U116" s="475"/>
      <c r="V116" s="475"/>
      <c r="W116" s="475"/>
      <c r="X116" s="84"/>
    </row>
    <row r="117" spans="2:24" s="97" customFormat="1">
      <c r="B117" s="96"/>
      <c r="E117" s="85"/>
      <c r="G117" s="84"/>
      <c r="H117" s="96"/>
      <c r="I117" s="84"/>
      <c r="J117" s="1"/>
      <c r="K117" s="1"/>
      <c r="L117" s="1"/>
      <c r="M117" s="84"/>
      <c r="N117" s="85"/>
      <c r="O117" s="475"/>
      <c r="P117" s="475"/>
      <c r="Q117" s="475"/>
      <c r="R117" s="475"/>
      <c r="S117" s="475"/>
      <c r="T117" s="475"/>
      <c r="U117" s="475"/>
      <c r="V117" s="475"/>
      <c r="W117" s="475"/>
      <c r="X117" s="84"/>
    </row>
    <row r="118" spans="2:24" s="97" customFormat="1">
      <c r="B118" s="96"/>
      <c r="E118" s="85"/>
      <c r="G118" s="84"/>
      <c r="H118" s="96"/>
      <c r="I118" s="84"/>
      <c r="J118" s="1"/>
      <c r="K118" s="1"/>
      <c r="L118" s="1"/>
      <c r="M118" s="84"/>
      <c r="N118" s="85"/>
      <c r="O118" s="475"/>
      <c r="P118" s="475"/>
      <c r="Q118" s="475"/>
      <c r="R118" s="475"/>
      <c r="S118" s="475"/>
      <c r="T118" s="475"/>
      <c r="U118" s="475"/>
      <c r="V118" s="475"/>
      <c r="W118" s="475"/>
      <c r="X118" s="84"/>
    </row>
    <row r="119" spans="2:24" s="97" customFormat="1">
      <c r="B119" s="96"/>
      <c r="E119" s="85"/>
      <c r="G119" s="84"/>
      <c r="H119" s="96"/>
      <c r="I119" s="84"/>
      <c r="J119" s="1"/>
      <c r="K119" s="1"/>
      <c r="L119" s="1"/>
      <c r="M119" s="84"/>
      <c r="N119" s="85"/>
      <c r="O119" s="475"/>
      <c r="P119" s="475"/>
      <c r="Q119" s="475"/>
      <c r="R119" s="475"/>
      <c r="S119" s="475"/>
      <c r="T119" s="475"/>
      <c r="U119" s="475"/>
      <c r="V119" s="475"/>
      <c r="W119" s="475"/>
      <c r="X119" s="84"/>
    </row>
    <row r="120" spans="2:24" s="97" customFormat="1">
      <c r="B120" s="96"/>
      <c r="E120" s="85"/>
      <c r="H120" s="96"/>
      <c r="J120" s="1"/>
      <c r="K120" s="1"/>
      <c r="L120" s="1"/>
      <c r="N120" s="85"/>
      <c r="O120" s="475"/>
      <c r="P120" s="475"/>
      <c r="Q120" s="475"/>
      <c r="R120" s="475"/>
      <c r="S120" s="475"/>
      <c r="T120" s="475"/>
      <c r="U120" s="475"/>
      <c r="V120" s="475"/>
      <c r="W120" s="475"/>
    </row>
    <row r="121" spans="2:24" s="97" customFormat="1">
      <c r="B121" s="96"/>
      <c r="H121" s="96"/>
      <c r="J121" s="1"/>
      <c r="K121" s="1"/>
      <c r="L121" s="1"/>
      <c r="O121" s="475"/>
      <c r="P121" s="475"/>
      <c r="Q121" s="475"/>
      <c r="R121" s="475"/>
      <c r="S121" s="475"/>
      <c r="T121" s="475"/>
      <c r="U121" s="475"/>
      <c r="V121" s="475"/>
      <c r="W121" s="475"/>
    </row>
    <row r="122" spans="2:24" s="97" customFormat="1">
      <c r="B122" s="96"/>
      <c r="H122" s="96"/>
      <c r="J122" s="1"/>
      <c r="K122" s="1"/>
      <c r="L122" s="1"/>
      <c r="O122" s="475"/>
      <c r="P122" s="475"/>
      <c r="Q122" s="475"/>
      <c r="R122" s="475"/>
      <c r="S122" s="475"/>
      <c r="T122" s="475"/>
      <c r="U122" s="475"/>
      <c r="V122" s="475"/>
      <c r="W122" s="475"/>
    </row>
    <row r="123" spans="2:24" s="97" customFormat="1">
      <c r="B123" s="96"/>
      <c r="H123" s="96"/>
      <c r="J123" s="1"/>
      <c r="K123" s="1"/>
      <c r="L123" s="1"/>
      <c r="O123" s="475"/>
      <c r="P123" s="475"/>
      <c r="Q123" s="475"/>
      <c r="R123" s="475"/>
      <c r="S123" s="475"/>
      <c r="T123" s="475"/>
      <c r="U123" s="475"/>
      <c r="V123" s="475"/>
      <c r="W123" s="475"/>
    </row>
    <row r="124" spans="2:24" s="97" customFormat="1">
      <c r="B124" s="96"/>
      <c r="G124" s="85"/>
      <c r="H124" s="96"/>
      <c r="I124" s="85"/>
      <c r="J124" s="1"/>
      <c r="K124" s="1"/>
      <c r="L124" s="1"/>
      <c r="M124" s="85"/>
      <c r="O124" s="475"/>
      <c r="P124" s="475"/>
      <c r="Q124" s="475"/>
      <c r="R124" s="475"/>
      <c r="S124" s="475"/>
      <c r="T124" s="475"/>
      <c r="U124" s="475"/>
      <c r="V124" s="475"/>
      <c r="W124" s="475"/>
      <c r="X124" s="85"/>
    </row>
    <row r="125" spans="2:24" s="97" customFormat="1">
      <c r="B125" s="96"/>
      <c r="G125" s="84"/>
      <c r="H125" s="96"/>
      <c r="I125" s="84"/>
      <c r="J125" s="1"/>
      <c r="K125" s="1"/>
      <c r="L125" s="1"/>
      <c r="M125" s="84"/>
      <c r="O125" s="475"/>
      <c r="P125" s="475"/>
      <c r="Q125" s="475"/>
      <c r="R125" s="475"/>
      <c r="S125" s="475"/>
      <c r="T125" s="475"/>
      <c r="U125" s="475"/>
      <c r="V125" s="475"/>
      <c r="W125" s="475"/>
      <c r="X125" s="84"/>
    </row>
    <row r="126" spans="2:24" s="97" customFormat="1">
      <c r="B126" s="96"/>
      <c r="G126" s="84"/>
      <c r="H126" s="96"/>
      <c r="I126" s="84"/>
      <c r="J126" s="1"/>
      <c r="K126" s="1"/>
      <c r="L126" s="1"/>
      <c r="M126" s="84"/>
      <c r="O126" s="475"/>
      <c r="P126" s="475"/>
      <c r="Q126" s="475"/>
      <c r="R126" s="475"/>
      <c r="S126" s="475"/>
      <c r="T126" s="475"/>
      <c r="U126" s="475"/>
      <c r="V126" s="475"/>
      <c r="W126" s="475"/>
      <c r="X126" s="84"/>
    </row>
    <row r="127" spans="2:24" s="97" customFormat="1">
      <c r="B127" s="96"/>
      <c r="H127" s="96"/>
      <c r="J127" s="1"/>
      <c r="K127" s="1"/>
      <c r="L127" s="1"/>
      <c r="O127" s="475"/>
      <c r="P127" s="475"/>
      <c r="Q127" s="475"/>
      <c r="R127" s="475"/>
      <c r="S127" s="475"/>
      <c r="T127" s="475"/>
      <c r="U127" s="475"/>
      <c r="V127" s="475"/>
      <c r="W127" s="475"/>
    </row>
    <row r="128" spans="2:24" s="97" customFormat="1">
      <c r="B128" s="96"/>
      <c r="H128" s="96"/>
      <c r="J128" s="1"/>
      <c r="K128" s="1"/>
      <c r="L128" s="1"/>
      <c r="O128" s="475"/>
      <c r="P128" s="475"/>
      <c r="Q128" s="475"/>
      <c r="R128" s="475"/>
      <c r="S128" s="475"/>
      <c r="T128" s="475"/>
      <c r="U128" s="475"/>
      <c r="V128" s="475"/>
      <c r="W128" s="475"/>
    </row>
    <row r="129" spans="2:24" s="97" customFormat="1">
      <c r="B129" s="96"/>
      <c r="H129" s="96"/>
      <c r="J129" s="1"/>
      <c r="K129" s="1"/>
      <c r="L129" s="1"/>
      <c r="O129" s="475"/>
      <c r="P129" s="475"/>
      <c r="Q129" s="475"/>
      <c r="R129" s="475"/>
      <c r="S129" s="475"/>
      <c r="T129" s="475"/>
      <c r="U129" s="475"/>
      <c r="V129" s="475"/>
      <c r="W129" s="475"/>
    </row>
    <row r="130" spans="2:24" s="97" customFormat="1">
      <c r="B130" s="96"/>
      <c r="H130" s="96"/>
      <c r="J130" s="1"/>
      <c r="K130" s="1"/>
      <c r="L130" s="1"/>
      <c r="O130" s="475"/>
      <c r="P130" s="475"/>
      <c r="Q130" s="475"/>
      <c r="R130" s="475"/>
      <c r="S130" s="475"/>
      <c r="T130" s="475"/>
      <c r="U130" s="475"/>
      <c r="V130" s="475"/>
      <c r="W130" s="475"/>
    </row>
    <row r="131" spans="2:24" s="97" customFormat="1">
      <c r="B131" s="96"/>
      <c r="G131" s="85"/>
      <c r="H131" s="96"/>
      <c r="I131" s="85"/>
      <c r="J131" s="1"/>
      <c r="K131" s="1"/>
      <c r="L131" s="1"/>
      <c r="M131" s="85"/>
      <c r="O131" s="475"/>
      <c r="P131" s="475"/>
      <c r="Q131" s="475"/>
      <c r="R131" s="475"/>
      <c r="S131" s="475"/>
      <c r="T131" s="475"/>
      <c r="U131" s="475"/>
      <c r="V131" s="475"/>
      <c r="W131" s="475"/>
      <c r="X131" s="85"/>
    </row>
    <row r="132" spans="2:24" s="97" customFormat="1">
      <c r="B132" s="96"/>
      <c r="G132" s="84"/>
      <c r="H132" s="96"/>
      <c r="I132" s="84"/>
      <c r="J132" s="1"/>
      <c r="K132" s="1"/>
      <c r="L132" s="1"/>
      <c r="M132" s="84"/>
      <c r="O132" s="475"/>
      <c r="P132" s="475"/>
      <c r="Q132" s="475"/>
      <c r="R132" s="475"/>
      <c r="S132" s="475"/>
      <c r="T132" s="475"/>
      <c r="U132" s="475"/>
      <c r="V132" s="475"/>
      <c r="W132" s="475"/>
      <c r="X132" s="84"/>
    </row>
    <row r="133" spans="2:24" s="97" customFormat="1">
      <c r="B133" s="96"/>
      <c r="G133" s="84"/>
      <c r="H133" s="96"/>
      <c r="I133" s="84"/>
      <c r="J133" s="1"/>
      <c r="K133" s="1"/>
      <c r="L133" s="1"/>
      <c r="M133" s="84"/>
      <c r="O133" s="475"/>
      <c r="P133" s="475"/>
      <c r="Q133" s="475"/>
      <c r="R133" s="475"/>
      <c r="S133" s="475"/>
      <c r="T133" s="475"/>
      <c r="U133" s="475"/>
      <c r="V133" s="475"/>
      <c r="W133" s="475"/>
      <c r="X133" s="84"/>
    </row>
    <row r="134" spans="2:24" s="97" customFormat="1">
      <c r="B134" s="96"/>
      <c r="H134" s="96"/>
      <c r="J134" s="1"/>
      <c r="K134" s="1"/>
      <c r="L134" s="1"/>
      <c r="O134" s="475"/>
      <c r="P134" s="475"/>
      <c r="Q134" s="475"/>
      <c r="R134" s="475"/>
      <c r="S134" s="475"/>
      <c r="T134" s="475"/>
      <c r="U134" s="475"/>
      <c r="V134" s="475"/>
      <c r="W134" s="475"/>
    </row>
    <row r="135" spans="2:24" s="97" customFormat="1">
      <c r="B135" s="96"/>
      <c r="H135" s="96"/>
      <c r="J135" s="1"/>
      <c r="K135" s="1"/>
      <c r="L135" s="1"/>
      <c r="O135" s="475"/>
      <c r="P135" s="475"/>
      <c r="Q135" s="475"/>
      <c r="R135" s="475"/>
      <c r="S135" s="475"/>
      <c r="T135" s="475"/>
      <c r="U135" s="475"/>
      <c r="V135" s="475"/>
      <c r="W135" s="475"/>
    </row>
    <row r="136" spans="2:24" s="97" customFormat="1">
      <c r="B136" s="96"/>
      <c r="H136" s="96"/>
      <c r="J136" s="1"/>
      <c r="K136" s="1"/>
      <c r="L136" s="1"/>
      <c r="O136" s="475"/>
      <c r="P136" s="475"/>
      <c r="Q136" s="475"/>
      <c r="R136" s="475"/>
      <c r="S136" s="475"/>
      <c r="T136" s="475"/>
      <c r="U136" s="475"/>
      <c r="V136" s="475"/>
      <c r="W136" s="475"/>
    </row>
    <row r="137" spans="2:24" s="97" customFormat="1">
      <c r="B137" s="96"/>
      <c r="H137" s="96"/>
      <c r="J137" s="1"/>
      <c r="K137" s="1"/>
      <c r="L137" s="1"/>
      <c r="O137" s="475"/>
      <c r="P137" s="475"/>
      <c r="Q137" s="475"/>
      <c r="R137" s="475"/>
      <c r="S137" s="475"/>
      <c r="T137" s="475"/>
      <c r="U137" s="475"/>
      <c r="V137" s="475"/>
      <c r="W137" s="475"/>
    </row>
    <row r="138" spans="2:24" s="97" customFormat="1">
      <c r="B138" s="96"/>
      <c r="G138" s="85"/>
      <c r="H138" s="96"/>
      <c r="I138" s="85"/>
      <c r="J138" s="1"/>
      <c r="K138" s="1"/>
      <c r="L138" s="1"/>
      <c r="M138" s="85"/>
      <c r="O138" s="475"/>
      <c r="P138" s="475"/>
      <c r="Q138" s="475"/>
      <c r="R138" s="475"/>
      <c r="S138" s="475"/>
      <c r="T138" s="475"/>
      <c r="U138" s="475"/>
      <c r="V138" s="475"/>
      <c r="W138" s="475"/>
      <c r="X138" s="85"/>
    </row>
    <row r="139" spans="2:24" s="97" customFormat="1">
      <c r="B139" s="96"/>
      <c r="G139" s="84"/>
      <c r="H139" s="96"/>
      <c r="I139" s="84"/>
      <c r="J139" s="1"/>
      <c r="K139" s="1"/>
      <c r="L139" s="1"/>
      <c r="M139" s="84"/>
      <c r="O139" s="475"/>
      <c r="P139" s="475"/>
      <c r="Q139" s="475"/>
      <c r="R139" s="475"/>
      <c r="S139" s="475"/>
      <c r="T139" s="475"/>
      <c r="U139" s="475"/>
      <c r="V139" s="475"/>
      <c r="W139" s="475"/>
      <c r="X139" s="84"/>
    </row>
    <row r="140" spans="2:24" s="97" customFormat="1">
      <c r="B140" s="96"/>
      <c r="G140" s="84"/>
      <c r="H140" s="96"/>
      <c r="I140" s="84"/>
      <c r="J140" s="1"/>
      <c r="K140" s="1"/>
      <c r="L140" s="1"/>
      <c r="M140" s="84"/>
      <c r="O140" s="475"/>
      <c r="P140" s="475"/>
      <c r="Q140" s="475"/>
      <c r="R140" s="475"/>
      <c r="S140" s="475"/>
      <c r="T140" s="475"/>
      <c r="U140" s="475"/>
      <c r="V140" s="475"/>
      <c r="W140" s="475"/>
      <c r="X140" s="84"/>
    </row>
    <row r="141" spans="2:24" s="97" customFormat="1">
      <c r="B141" s="96"/>
      <c r="H141" s="96"/>
      <c r="J141" s="1"/>
      <c r="K141" s="1"/>
      <c r="L141" s="1"/>
      <c r="O141" s="475"/>
      <c r="P141" s="475"/>
      <c r="Q141" s="475"/>
      <c r="R141" s="475"/>
      <c r="S141" s="475"/>
      <c r="T141" s="475"/>
      <c r="U141" s="475"/>
      <c r="V141" s="475"/>
      <c r="W141" s="475"/>
    </row>
    <row r="142" spans="2:24" s="97" customFormat="1">
      <c r="B142" s="96"/>
      <c r="H142" s="96"/>
      <c r="J142" s="1"/>
      <c r="K142" s="1"/>
      <c r="L142" s="1"/>
      <c r="O142" s="475"/>
      <c r="P142" s="475"/>
      <c r="Q142" s="475"/>
      <c r="R142" s="475"/>
      <c r="S142" s="475"/>
      <c r="T142" s="475"/>
      <c r="U142" s="475"/>
      <c r="V142" s="475"/>
      <c r="W142" s="475"/>
    </row>
    <row r="143" spans="2:24" s="97" customFormat="1">
      <c r="B143" s="96"/>
      <c r="H143" s="96"/>
      <c r="J143" s="1"/>
      <c r="K143" s="1"/>
      <c r="L143" s="1"/>
      <c r="O143" s="475"/>
      <c r="P143" s="475"/>
      <c r="Q143" s="475"/>
      <c r="R143" s="475"/>
      <c r="S143" s="475"/>
      <c r="T143" s="475"/>
      <c r="U143" s="475"/>
      <c r="V143" s="475"/>
      <c r="W143" s="475"/>
    </row>
    <row r="144" spans="2:24" s="97" customFormat="1">
      <c r="B144" s="96"/>
      <c r="H144" s="96"/>
      <c r="J144" s="1"/>
      <c r="K144" s="1"/>
      <c r="L144" s="1"/>
      <c r="O144" s="475"/>
      <c r="P144" s="475"/>
      <c r="Q144" s="475"/>
      <c r="R144" s="475"/>
      <c r="S144" s="475"/>
      <c r="T144" s="475"/>
      <c r="U144" s="475"/>
      <c r="V144" s="475"/>
      <c r="W144" s="475"/>
    </row>
    <row r="145" spans="2:24" s="97" customFormat="1">
      <c r="B145" s="96"/>
      <c r="H145" s="96"/>
      <c r="J145" s="1"/>
      <c r="K145" s="1"/>
      <c r="L145" s="1"/>
      <c r="O145" s="475"/>
      <c r="P145" s="475"/>
      <c r="Q145" s="475"/>
      <c r="R145" s="475"/>
      <c r="S145" s="475"/>
      <c r="T145" s="475"/>
      <c r="U145" s="475"/>
      <c r="V145" s="475"/>
      <c r="W145" s="475"/>
    </row>
    <row r="146" spans="2:24" s="97" customFormat="1">
      <c r="B146" s="96"/>
      <c r="G146" s="85"/>
      <c r="H146" s="96"/>
      <c r="I146" s="85"/>
      <c r="J146" s="1"/>
      <c r="K146" s="1"/>
      <c r="L146" s="1"/>
      <c r="M146" s="85"/>
      <c r="O146" s="475"/>
      <c r="P146" s="475"/>
      <c r="Q146" s="475"/>
      <c r="R146" s="475"/>
      <c r="S146" s="475"/>
      <c r="T146" s="475"/>
      <c r="U146" s="475"/>
      <c r="V146" s="475"/>
      <c r="W146" s="475"/>
      <c r="X146" s="85"/>
    </row>
    <row r="147" spans="2:24" s="97" customFormat="1">
      <c r="B147" s="96"/>
      <c r="G147" s="84"/>
      <c r="H147" s="96"/>
      <c r="I147" s="84"/>
      <c r="J147" s="1"/>
      <c r="K147" s="1"/>
      <c r="L147" s="1"/>
      <c r="M147" s="84"/>
      <c r="O147" s="475"/>
      <c r="P147" s="475"/>
      <c r="Q147" s="475"/>
      <c r="R147" s="475"/>
      <c r="S147" s="475"/>
      <c r="T147" s="475"/>
      <c r="U147" s="475"/>
      <c r="V147" s="475"/>
      <c r="W147" s="475"/>
      <c r="X147" s="84"/>
    </row>
    <row r="148" spans="2:24" s="97" customFormat="1">
      <c r="B148" s="96"/>
      <c r="G148" s="84"/>
      <c r="H148" s="96"/>
      <c r="I148" s="84"/>
      <c r="J148" s="1"/>
      <c r="K148" s="1"/>
      <c r="L148" s="1"/>
      <c r="M148" s="84"/>
      <c r="O148" s="475"/>
      <c r="P148" s="475"/>
      <c r="Q148" s="475"/>
      <c r="R148" s="475"/>
      <c r="S148" s="475"/>
      <c r="T148" s="475"/>
      <c r="U148" s="475"/>
      <c r="V148" s="475"/>
      <c r="W148" s="475"/>
      <c r="X148" s="84"/>
    </row>
    <row r="149" spans="2:24" s="97" customFormat="1">
      <c r="B149" s="96"/>
      <c r="H149" s="96"/>
      <c r="J149" s="1"/>
      <c r="K149" s="1"/>
      <c r="L149" s="1"/>
      <c r="O149" s="475"/>
      <c r="P149" s="475"/>
      <c r="Q149" s="475"/>
      <c r="R149" s="475"/>
      <c r="S149" s="475"/>
      <c r="T149" s="475"/>
      <c r="U149" s="475"/>
      <c r="V149" s="475"/>
      <c r="W149" s="475"/>
    </row>
    <row r="150" spans="2:24" s="97" customFormat="1">
      <c r="B150" s="96"/>
      <c r="H150" s="96"/>
      <c r="J150" s="1"/>
      <c r="K150" s="1"/>
      <c r="L150" s="1"/>
      <c r="O150" s="475"/>
      <c r="P150" s="475"/>
      <c r="Q150" s="475"/>
      <c r="R150" s="475"/>
      <c r="S150" s="475"/>
      <c r="T150" s="475"/>
      <c r="U150" s="475"/>
      <c r="V150" s="475"/>
      <c r="W150" s="475"/>
    </row>
    <row r="151" spans="2:24" s="97" customFormat="1">
      <c r="B151" s="96"/>
      <c r="H151" s="96"/>
      <c r="J151" s="1"/>
      <c r="K151" s="1"/>
      <c r="L151" s="1"/>
      <c r="O151" s="475"/>
      <c r="P151" s="475"/>
      <c r="Q151" s="475"/>
      <c r="R151" s="475"/>
      <c r="S151" s="475"/>
      <c r="T151" s="475"/>
      <c r="U151" s="475"/>
      <c r="V151" s="475"/>
      <c r="W151" s="475"/>
    </row>
    <row r="152" spans="2:24" s="97" customFormat="1">
      <c r="B152" s="96"/>
      <c r="H152" s="96"/>
      <c r="J152" s="1"/>
      <c r="K152" s="1"/>
      <c r="L152" s="1"/>
      <c r="O152" s="475"/>
      <c r="P152" s="475"/>
      <c r="Q152" s="475"/>
      <c r="R152" s="475"/>
      <c r="S152" s="475"/>
      <c r="T152" s="475"/>
      <c r="U152" s="475"/>
      <c r="V152" s="475"/>
      <c r="W152" s="475"/>
    </row>
    <row r="153" spans="2:24" s="97" customFormat="1">
      <c r="B153" s="96"/>
      <c r="H153" s="96"/>
      <c r="J153" s="1"/>
      <c r="K153" s="1"/>
      <c r="L153" s="1"/>
      <c r="O153" s="475"/>
      <c r="P153" s="475"/>
      <c r="Q153" s="475"/>
      <c r="R153" s="475"/>
      <c r="S153" s="475"/>
      <c r="T153" s="475"/>
      <c r="U153" s="475"/>
      <c r="V153" s="475"/>
      <c r="W153" s="475"/>
    </row>
    <row r="154" spans="2:24" s="97" customFormat="1">
      <c r="B154" s="96"/>
      <c r="G154" s="85"/>
      <c r="H154" s="96"/>
      <c r="I154" s="85"/>
      <c r="J154" s="1"/>
      <c r="K154" s="1"/>
      <c r="L154" s="1"/>
      <c r="M154" s="85"/>
      <c r="O154" s="475"/>
      <c r="P154" s="475"/>
      <c r="Q154" s="475"/>
      <c r="R154" s="475"/>
      <c r="S154" s="475"/>
      <c r="T154" s="475"/>
      <c r="U154" s="475"/>
      <c r="V154" s="475"/>
      <c r="W154" s="475"/>
      <c r="X154" s="85"/>
    </row>
    <row r="155" spans="2:24" s="97" customFormat="1">
      <c r="B155" s="96"/>
      <c r="G155" s="84"/>
      <c r="H155" s="96"/>
      <c r="I155" s="84"/>
      <c r="J155" s="1"/>
      <c r="K155" s="1"/>
      <c r="L155" s="1"/>
      <c r="M155" s="84"/>
      <c r="O155" s="475"/>
      <c r="P155" s="475"/>
      <c r="Q155" s="475"/>
      <c r="R155" s="475"/>
      <c r="S155" s="475"/>
      <c r="T155" s="475"/>
      <c r="U155" s="475"/>
      <c r="V155" s="475"/>
      <c r="W155" s="475"/>
      <c r="X155" s="84"/>
    </row>
    <row r="156" spans="2:24" s="97" customFormat="1">
      <c r="B156" s="96"/>
      <c r="G156" s="84"/>
      <c r="H156" s="96"/>
      <c r="I156" s="84"/>
      <c r="J156" s="1"/>
      <c r="K156" s="1"/>
      <c r="L156" s="1"/>
      <c r="M156" s="84"/>
      <c r="O156" s="475"/>
      <c r="P156" s="475"/>
      <c r="Q156" s="475"/>
      <c r="R156" s="475"/>
      <c r="S156" s="475"/>
      <c r="T156" s="475"/>
      <c r="U156" s="475"/>
      <c r="V156" s="475"/>
      <c r="W156" s="475"/>
      <c r="X156" s="84"/>
    </row>
    <row r="157" spans="2:24" s="97" customFormat="1">
      <c r="B157" s="96"/>
      <c r="H157" s="96"/>
      <c r="J157" s="1"/>
      <c r="K157" s="1"/>
      <c r="L157" s="1"/>
      <c r="O157" s="475"/>
      <c r="P157" s="475"/>
      <c r="Q157" s="475"/>
      <c r="R157" s="475"/>
      <c r="S157" s="475"/>
      <c r="T157" s="475"/>
      <c r="U157" s="475"/>
      <c r="V157" s="475"/>
      <c r="W157" s="475"/>
    </row>
    <row r="158" spans="2:24" s="97" customFormat="1">
      <c r="B158" s="96"/>
      <c r="H158" s="96"/>
      <c r="J158" s="1"/>
      <c r="K158" s="1"/>
      <c r="L158" s="1"/>
      <c r="O158" s="475"/>
      <c r="P158" s="475"/>
      <c r="Q158" s="475"/>
      <c r="R158" s="475"/>
      <c r="S158" s="475"/>
      <c r="T158" s="475"/>
      <c r="U158" s="475"/>
      <c r="V158" s="475"/>
      <c r="W158" s="475"/>
    </row>
    <row r="159" spans="2:24" s="97" customFormat="1">
      <c r="B159" s="96"/>
      <c r="H159" s="96"/>
      <c r="J159" s="1"/>
      <c r="K159" s="1"/>
      <c r="L159" s="1"/>
      <c r="M159" s="85"/>
      <c r="O159" s="475"/>
      <c r="P159" s="475"/>
      <c r="Q159" s="475"/>
      <c r="R159" s="475"/>
      <c r="S159" s="475"/>
      <c r="T159" s="475"/>
      <c r="U159" s="475"/>
      <c r="V159" s="475"/>
      <c r="W159" s="475"/>
      <c r="X159" s="85"/>
    </row>
    <row r="160" spans="2:24" s="97" customFormat="1">
      <c r="B160" s="96"/>
      <c r="H160" s="96"/>
      <c r="J160" s="1"/>
      <c r="K160" s="1"/>
      <c r="L160" s="1"/>
      <c r="O160" s="475"/>
      <c r="P160" s="475"/>
      <c r="Q160" s="475"/>
      <c r="R160" s="475"/>
      <c r="S160" s="475"/>
      <c r="T160" s="475"/>
      <c r="U160" s="475"/>
      <c r="V160" s="475"/>
      <c r="W160" s="475"/>
    </row>
    <row r="161" spans="2:24" s="97" customFormat="1">
      <c r="B161" s="96"/>
      <c r="H161" s="96"/>
      <c r="J161" s="1"/>
      <c r="K161" s="1"/>
      <c r="L161" s="1"/>
      <c r="M161" s="85"/>
      <c r="O161" s="475"/>
      <c r="P161" s="475"/>
      <c r="Q161" s="475"/>
      <c r="R161" s="475"/>
      <c r="S161" s="475"/>
      <c r="T161" s="475"/>
      <c r="U161" s="475"/>
      <c r="V161" s="475"/>
      <c r="W161" s="475"/>
      <c r="X161" s="85"/>
    </row>
    <row r="162" spans="2:24" s="97" customFormat="1">
      <c r="B162" s="96"/>
      <c r="G162" s="85"/>
      <c r="H162" s="96"/>
      <c r="I162" s="85"/>
      <c r="J162" s="1"/>
      <c r="K162" s="1"/>
      <c r="L162" s="1"/>
      <c r="M162" s="85"/>
      <c r="O162" s="475"/>
      <c r="P162" s="475"/>
      <c r="Q162" s="475"/>
      <c r="R162" s="475"/>
      <c r="S162" s="475"/>
      <c r="T162" s="475"/>
      <c r="U162" s="475"/>
      <c r="V162" s="475"/>
      <c r="W162" s="475"/>
      <c r="X162" s="85"/>
    </row>
    <row r="163" spans="2:24" s="97" customFormat="1">
      <c r="B163" s="96"/>
      <c r="G163" s="84"/>
      <c r="H163" s="96"/>
      <c r="I163" s="84"/>
      <c r="J163" s="1"/>
      <c r="K163" s="1"/>
      <c r="L163" s="1"/>
      <c r="M163" s="84"/>
      <c r="O163" s="475"/>
      <c r="P163" s="475"/>
      <c r="Q163" s="475"/>
      <c r="R163" s="475"/>
      <c r="S163" s="475"/>
      <c r="T163" s="475"/>
      <c r="U163" s="475"/>
      <c r="V163" s="475"/>
      <c r="W163" s="475"/>
      <c r="X163" s="84"/>
    </row>
    <row r="164" spans="2:24" s="97" customFormat="1">
      <c r="B164" s="96"/>
      <c r="G164" s="84"/>
      <c r="H164" s="96"/>
      <c r="I164" s="84"/>
      <c r="J164" s="1"/>
      <c r="K164" s="1"/>
      <c r="L164" s="1"/>
      <c r="M164" s="84"/>
      <c r="O164" s="475"/>
      <c r="P164" s="475"/>
      <c r="Q164" s="475"/>
      <c r="R164" s="475"/>
      <c r="S164" s="475"/>
      <c r="T164" s="475"/>
      <c r="U164" s="475"/>
      <c r="V164" s="475"/>
      <c r="W164" s="475"/>
      <c r="X164" s="84"/>
    </row>
    <row r="165" spans="2:24" s="97" customFormat="1">
      <c r="B165" s="96"/>
      <c r="H165" s="96"/>
      <c r="J165" s="1"/>
      <c r="K165" s="1"/>
      <c r="L165" s="1"/>
      <c r="M165" s="85"/>
      <c r="O165" s="475"/>
      <c r="P165" s="475"/>
      <c r="Q165" s="475"/>
      <c r="R165" s="475"/>
      <c r="S165" s="475"/>
      <c r="T165" s="475"/>
      <c r="U165" s="475"/>
      <c r="V165" s="475"/>
      <c r="W165" s="475"/>
      <c r="X165" s="85"/>
    </row>
    <row r="166" spans="2:24" s="97" customFormat="1">
      <c r="B166" s="96"/>
      <c r="H166" s="96"/>
      <c r="J166" s="1"/>
      <c r="K166" s="1"/>
      <c r="L166" s="1"/>
      <c r="M166" s="85"/>
      <c r="O166" s="475"/>
      <c r="P166" s="475"/>
      <c r="Q166" s="475"/>
      <c r="R166" s="475"/>
      <c r="S166" s="475"/>
      <c r="T166" s="475"/>
      <c r="U166" s="475"/>
      <c r="V166" s="475"/>
      <c r="W166" s="475"/>
      <c r="X166" s="85"/>
    </row>
    <row r="167" spans="2:24" s="97" customFormat="1">
      <c r="B167" s="96"/>
      <c r="H167" s="96"/>
      <c r="J167" s="1"/>
      <c r="K167" s="1"/>
      <c r="L167" s="1"/>
      <c r="M167" s="85"/>
      <c r="O167" s="475"/>
      <c r="P167" s="475"/>
      <c r="Q167" s="475"/>
      <c r="R167" s="475"/>
      <c r="S167" s="475"/>
      <c r="T167" s="475"/>
      <c r="U167" s="475"/>
      <c r="V167" s="475"/>
      <c r="W167" s="475"/>
      <c r="X167" s="85"/>
    </row>
    <row r="168" spans="2:24" s="97" customFormat="1">
      <c r="B168" s="96"/>
      <c r="H168" s="96"/>
      <c r="J168" s="1"/>
      <c r="K168" s="1"/>
      <c r="L168" s="1"/>
      <c r="M168" s="85"/>
      <c r="O168" s="475"/>
      <c r="P168" s="475"/>
      <c r="Q168" s="475"/>
      <c r="R168" s="475"/>
      <c r="S168" s="475"/>
      <c r="T168" s="475"/>
      <c r="U168" s="475"/>
      <c r="V168" s="475"/>
      <c r="W168" s="475"/>
      <c r="X168" s="85"/>
    </row>
    <row r="169" spans="2:24" s="97" customFormat="1">
      <c r="B169" s="96"/>
      <c r="G169" s="85"/>
      <c r="H169" s="96"/>
      <c r="I169" s="85"/>
      <c r="J169" s="1"/>
      <c r="K169" s="1"/>
      <c r="L169" s="1"/>
      <c r="M169" s="85"/>
      <c r="O169" s="475"/>
      <c r="P169" s="475"/>
      <c r="Q169" s="475"/>
      <c r="R169" s="475"/>
      <c r="S169" s="475"/>
      <c r="T169" s="475"/>
      <c r="U169" s="475"/>
      <c r="V169" s="475"/>
      <c r="W169" s="475"/>
      <c r="X169" s="85"/>
    </row>
    <row r="170" spans="2:24" s="97" customFormat="1">
      <c r="B170" s="96"/>
      <c r="G170" s="84"/>
      <c r="H170" s="96"/>
      <c r="I170" s="84"/>
      <c r="J170" s="1"/>
      <c r="K170" s="1"/>
      <c r="L170" s="1"/>
      <c r="M170" s="84"/>
      <c r="O170" s="475"/>
      <c r="P170" s="475"/>
      <c r="Q170" s="475"/>
      <c r="R170" s="475"/>
      <c r="S170" s="475"/>
      <c r="T170" s="475"/>
      <c r="U170" s="475"/>
      <c r="V170" s="475"/>
      <c r="W170" s="475"/>
      <c r="X170" s="84"/>
    </row>
    <row r="171" spans="2:24" s="97" customFormat="1">
      <c r="B171" s="96"/>
      <c r="G171" s="84"/>
      <c r="H171" s="96"/>
      <c r="I171" s="84"/>
      <c r="J171" s="1"/>
      <c r="K171" s="1"/>
      <c r="L171" s="1"/>
      <c r="M171" s="84"/>
      <c r="O171" s="475"/>
      <c r="P171" s="475"/>
      <c r="Q171" s="475"/>
      <c r="R171" s="475"/>
      <c r="S171" s="475"/>
      <c r="T171" s="475"/>
      <c r="U171" s="475"/>
      <c r="V171" s="475"/>
      <c r="W171" s="475"/>
      <c r="X171" s="84"/>
    </row>
    <row r="172" spans="2:24" s="97" customFormat="1">
      <c r="B172" s="96"/>
      <c r="H172" s="96"/>
      <c r="J172" s="1"/>
      <c r="K172" s="1"/>
      <c r="L172" s="1"/>
      <c r="M172" s="85"/>
      <c r="O172" s="475"/>
      <c r="P172" s="475"/>
      <c r="Q172" s="475"/>
      <c r="R172" s="475"/>
      <c r="S172" s="475"/>
      <c r="T172" s="475"/>
      <c r="U172" s="475"/>
      <c r="V172" s="475"/>
      <c r="W172" s="475"/>
      <c r="X172" s="85"/>
    </row>
    <row r="173" spans="2:24" s="97" customFormat="1">
      <c r="B173" s="96"/>
      <c r="H173" s="96"/>
      <c r="J173" s="1"/>
      <c r="K173" s="1"/>
      <c r="L173" s="1"/>
      <c r="O173" s="475"/>
      <c r="P173" s="475"/>
      <c r="Q173" s="475"/>
      <c r="R173" s="475"/>
      <c r="S173" s="475"/>
      <c r="T173" s="475"/>
      <c r="U173" s="475"/>
      <c r="V173" s="475"/>
      <c r="W173" s="475"/>
    </row>
    <row r="174" spans="2:24" s="97" customFormat="1">
      <c r="B174" s="96"/>
      <c r="H174" s="96"/>
      <c r="J174" s="1"/>
      <c r="K174" s="1"/>
      <c r="L174" s="1"/>
      <c r="M174" s="85"/>
      <c r="O174" s="475"/>
      <c r="P174" s="475"/>
      <c r="Q174" s="475"/>
      <c r="R174" s="475"/>
      <c r="S174" s="475"/>
      <c r="T174" s="475"/>
      <c r="U174" s="475"/>
      <c r="V174" s="475"/>
      <c r="W174" s="475"/>
      <c r="X174" s="85"/>
    </row>
    <row r="175" spans="2:24" s="97" customFormat="1">
      <c r="B175" s="96"/>
      <c r="H175" s="96"/>
      <c r="J175" s="1"/>
      <c r="K175" s="1"/>
      <c r="L175" s="1"/>
      <c r="M175" s="85"/>
      <c r="O175" s="475"/>
      <c r="P175" s="475"/>
      <c r="Q175" s="475"/>
      <c r="R175" s="475"/>
      <c r="S175" s="475"/>
      <c r="T175" s="475"/>
      <c r="U175" s="475"/>
      <c r="V175" s="475"/>
      <c r="W175" s="475"/>
      <c r="X175" s="85"/>
    </row>
    <row r="176" spans="2:24" s="97" customFormat="1">
      <c r="B176" s="96"/>
      <c r="G176" s="85"/>
      <c r="H176" s="96"/>
      <c r="I176" s="85"/>
      <c r="J176" s="1"/>
      <c r="K176" s="1"/>
      <c r="L176" s="1"/>
      <c r="M176" s="85"/>
      <c r="O176" s="475"/>
      <c r="P176" s="475"/>
      <c r="Q176" s="475"/>
      <c r="R176" s="475"/>
      <c r="S176" s="475"/>
      <c r="T176" s="475"/>
      <c r="U176" s="475"/>
      <c r="V176" s="475"/>
      <c r="W176" s="475"/>
      <c r="X176" s="85"/>
    </row>
    <row r="177" spans="2:24" s="97" customFormat="1">
      <c r="B177" s="96"/>
      <c r="G177" s="84"/>
      <c r="H177" s="96"/>
      <c r="I177" s="84"/>
      <c r="J177" s="1"/>
      <c r="K177" s="1"/>
      <c r="L177" s="1"/>
      <c r="M177" s="84"/>
      <c r="O177" s="475"/>
      <c r="P177" s="475"/>
      <c r="Q177" s="475"/>
      <c r="R177" s="475"/>
      <c r="S177" s="475"/>
      <c r="T177" s="475"/>
      <c r="U177" s="475"/>
      <c r="V177" s="475"/>
      <c r="W177" s="475"/>
      <c r="X177" s="84"/>
    </row>
    <row r="178" spans="2:24" s="97" customFormat="1">
      <c r="B178" s="96"/>
      <c r="G178" s="84"/>
      <c r="H178" s="96"/>
      <c r="I178" s="84"/>
      <c r="J178" s="1"/>
      <c r="K178" s="1"/>
      <c r="L178" s="1"/>
      <c r="M178" s="84"/>
      <c r="O178" s="475"/>
      <c r="P178" s="475"/>
      <c r="Q178" s="475"/>
      <c r="R178" s="475"/>
      <c r="S178" s="475"/>
      <c r="T178" s="475"/>
      <c r="U178" s="475"/>
      <c r="V178" s="475"/>
      <c r="W178" s="475"/>
      <c r="X178" s="84"/>
    </row>
    <row r="179" spans="2:24" s="97" customFormat="1">
      <c r="B179" s="96"/>
      <c r="G179" s="84"/>
      <c r="H179" s="96"/>
      <c r="I179" s="84"/>
      <c r="J179" s="1"/>
      <c r="K179" s="1"/>
      <c r="L179" s="1"/>
      <c r="M179" s="84"/>
      <c r="O179" s="475"/>
      <c r="P179" s="475"/>
      <c r="Q179" s="475"/>
      <c r="R179" s="475"/>
      <c r="S179" s="475"/>
      <c r="T179" s="475"/>
      <c r="U179" s="475"/>
      <c r="V179" s="475"/>
      <c r="W179" s="475"/>
      <c r="X179" s="84"/>
    </row>
    <row r="180" spans="2:24" s="97" customFormat="1">
      <c r="B180" s="96"/>
      <c r="H180" s="96"/>
      <c r="J180" s="1"/>
      <c r="K180" s="1"/>
      <c r="L180" s="1"/>
      <c r="M180" s="85"/>
      <c r="O180" s="475"/>
      <c r="P180" s="475"/>
      <c r="Q180" s="475"/>
      <c r="R180" s="475"/>
      <c r="S180" s="475"/>
      <c r="T180" s="475"/>
      <c r="U180" s="475"/>
      <c r="V180" s="475"/>
      <c r="W180" s="475"/>
      <c r="X180" s="85"/>
    </row>
    <row r="181" spans="2:24" s="97" customFormat="1">
      <c r="B181" s="96"/>
      <c r="H181" s="96"/>
      <c r="J181" s="1"/>
      <c r="K181" s="1"/>
      <c r="L181" s="1"/>
      <c r="O181" s="475"/>
      <c r="P181" s="475"/>
      <c r="Q181" s="475"/>
      <c r="R181" s="475"/>
      <c r="S181" s="475"/>
      <c r="T181" s="475"/>
      <c r="U181" s="475"/>
      <c r="V181" s="475"/>
      <c r="W181" s="475"/>
    </row>
    <row r="182" spans="2:24" s="97" customFormat="1">
      <c r="B182" s="96"/>
      <c r="H182" s="96"/>
      <c r="J182" s="1"/>
      <c r="K182" s="1"/>
      <c r="L182" s="1"/>
      <c r="O182" s="475"/>
      <c r="P182" s="475"/>
      <c r="Q182" s="475"/>
      <c r="R182" s="475"/>
      <c r="S182" s="475"/>
      <c r="T182" s="475"/>
      <c r="U182" s="475"/>
      <c r="V182" s="475"/>
      <c r="W182" s="475"/>
    </row>
    <row r="183" spans="2:24" s="97" customFormat="1">
      <c r="B183" s="96"/>
      <c r="H183" s="96"/>
      <c r="J183" s="1"/>
      <c r="K183" s="1"/>
      <c r="L183" s="1"/>
      <c r="O183" s="475"/>
      <c r="P183" s="475"/>
      <c r="Q183" s="475"/>
      <c r="R183" s="475"/>
      <c r="S183" s="475"/>
      <c r="T183" s="475"/>
      <c r="U183" s="475"/>
      <c r="V183" s="475"/>
      <c r="W183" s="475"/>
    </row>
    <row r="184" spans="2:24" s="97" customFormat="1">
      <c r="B184" s="96"/>
      <c r="G184" s="85"/>
      <c r="H184" s="96"/>
      <c r="I184" s="85"/>
      <c r="J184" s="1"/>
      <c r="K184" s="1"/>
      <c r="L184" s="1"/>
      <c r="M184" s="85"/>
      <c r="O184" s="475"/>
      <c r="P184" s="475"/>
      <c r="Q184" s="475"/>
      <c r="R184" s="475"/>
      <c r="S184" s="475"/>
      <c r="T184" s="475"/>
      <c r="U184" s="475"/>
      <c r="V184" s="475"/>
      <c r="W184" s="475"/>
      <c r="X184" s="85"/>
    </row>
    <row r="185" spans="2:24" s="97" customFormat="1">
      <c r="B185" s="96"/>
      <c r="G185" s="84"/>
      <c r="H185" s="96"/>
      <c r="I185" s="84"/>
      <c r="J185" s="1"/>
      <c r="K185" s="1"/>
      <c r="L185" s="1"/>
      <c r="M185" s="84"/>
      <c r="O185" s="475"/>
      <c r="P185" s="475"/>
      <c r="Q185" s="475"/>
      <c r="R185" s="475"/>
      <c r="S185" s="475"/>
      <c r="T185" s="475"/>
      <c r="U185" s="475"/>
      <c r="V185" s="475"/>
      <c r="W185" s="475"/>
      <c r="X185" s="84"/>
    </row>
    <row r="186" spans="2:24" s="97" customFormat="1">
      <c r="B186" s="96"/>
      <c r="G186" s="84"/>
      <c r="H186" s="96"/>
      <c r="I186" s="84"/>
      <c r="J186" s="1"/>
      <c r="K186" s="1"/>
      <c r="L186" s="1"/>
      <c r="M186" s="84"/>
      <c r="O186" s="475"/>
      <c r="P186" s="475"/>
      <c r="Q186" s="475"/>
      <c r="R186" s="475"/>
      <c r="S186" s="475"/>
      <c r="T186" s="475"/>
      <c r="U186" s="475"/>
      <c r="V186" s="475"/>
      <c r="W186" s="475"/>
      <c r="X186" s="84"/>
    </row>
    <row r="187" spans="2:24" s="97" customFormat="1">
      <c r="B187" s="96"/>
      <c r="H187" s="96"/>
      <c r="J187" s="1"/>
      <c r="K187" s="1"/>
      <c r="L187" s="1"/>
      <c r="O187" s="475"/>
      <c r="P187" s="475"/>
      <c r="Q187" s="475"/>
      <c r="R187" s="475"/>
      <c r="S187" s="475"/>
      <c r="T187" s="475"/>
      <c r="U187" s="475"/>
      <c r="V187" s="475"/>
      <c r="W187" s="475"/>
    </row>
    <row r="188" spans="2:24" s="97" customFormat="1">
      <c r="B188" s="96"/>
      <c r="H188" s="96"/>
      <c r="J188" s="1"/>
      <c r="K188" s="1"/>
      <c r="L188" s="1"/>
      <c r="O188" s="475"/>
      <c r="P188" s="475"/>
      <c r="Q188" s="475"/>
      <c r="R188" s="475"/>
      <c r="S188" s="475"/>
      <c r="T188" s="475"/>
      <c r="U188" s="475"/>
      <c r="V188" s="475"/>
      <c r="W188" s="475"/>
    </row>
    <row r="189" spans="2:24" s="97" customFormat="1">
      <c r="B189" s="96"/>
      <c r="H189" s="96"/>
      <c r="J189" s="1"/>
      <c r="K189" s="1"/>
      <c r="L189" s="1"/>
      <c r="O189" s="475"/>
      <c r="P189" s="475"/>
      <c r="Q189" s="475"/>
      <c r="R189" s="475"/>
      <c r="S189" s="475"/>
      <c r="T189" s="475"/>
      <c r="U189" s="475"/>
      <c r="V189" s="475"/>
      <c r="W189" s="475"/>
    </row>
    <row r="190" spans="2:24" s="97" customFormat="1">
      <c r="B190" s="96"/>
      <c r="H190" s="96"/>
      <c r="J190" s="1"/>
      <c r="K190" s="1"/>
      <c r="L190" s="1"/>
      <c r="O190" s="475"/>
      <c r="P190" s="475"/>
      <c r="Q190" s="475"/>
      <c r="R190" s="475"/>
      <c r="S190" s="475"/>
      <c r="T190" s="475"/>
      <c r="U190" s="475"/>
      <c r="V190" s="475"/>
      <c r="W190" s="475"/>
    </row>
    <row r="191" spans="2:24" s="97" customFormat="1">
      <c r="B191" s="96"/>
      <c r="H191" s="96"/>
      <c r="J191" s="1"/>
      <c r="K191" s="1"/>
      <c r="L191" s="1"/>
      <c r="O191" s="475"/>
      <c r="P191" s="475"/>
      <c r="Q191" s="475"/>
      <c r="R191" s="475"/>
      <c r="S191" s="475"/>
      <c r="T191" s="475"/>
      <c r="U191" s="475"/>
      <c r="V191" s="475"/>
      <c r="W191" s="475"/>
    </row>
    <row r="192" spans="2:24" s="97" customFormat="1">
      <c r="B192" s="96"/>
      <c r="H192" s="96"/>
      <c r="J192" s="1"/>
      <c r="K192" s="1"/>
      <c r="L192" s="1"/>
      <c r="O192" s="475"/>
      <c r="P192" s="475"/>
      <c r="Q192" s="475"/>
      <c r="R192" s="475"/>
      <c r="S192" s="475"/>
      <c r="T192" s="475"/>
      <c r="U192" s="475"/>
      <c r="V192" s="475"/>
      <c r="W192" s="475"/>
    </row>
    <row r="193" spans="2:23" s="97" customFormat="1">
      <c r="B193" s="96"/>
      <c r="H193" s="96"/>
      <c r="J193" s="1"/>
      <c r="K193" s="1"/>
      <c r="L193" s="1"/>
      <c r="O193" s="475"/>
      <c r="P193" s="475"/>
      <c r="Q193" s="475"/>
      <c r="R193" s="475"/>
      <c r="S193" s="475"/>
      <c r="T193" s="475"/>
      <c r="U193" s="475"/>
      <c r="V193" s="475"/>
      <c r="W193" s="475"/>
    </row>
    <row r="194" spans="2:23" s="97" customFormat="1">
      <c r="B194" s="96"/>
      <c r="H194" s="96"/>
      <c r="J194" s="1"/>
      <c r="K194" s="1"/>
      <c r="L194" s="1"/>
      <c r="O194" s="475"/>
      <c r="P194" s="475"/>
      <c r="Q194" s="475"/>
      <c r="R194" s="475"/>
      <c r="S194" s="475"/>
      <c r="T194" s="475"/>
      <c r="U194" s="475"/>
      <c r="V194" s="475"/>
      <c r="W194" s="475"/>
    </row>
    <row r="195" spans="2:23" s="97" customFormat="1">
      <c r="B195" s="96"/>
      <c r="H195" s="96"/>
      <c r="J195" s="1"/>
      <c r="K195" s="1"/>
      <c r="L195" s="1"/>
      <c r="O195" s="475"/>
      <c r="P195" s="475"/>
      <c r="Q195" s="475"/>
      <c r="R195" s="475"/>
      <c r="S195" s="475"/>
      <c r="T195" s="475"/>
      <c r="U195" s="475"/>
      <c r="V195" s="475"/>
      <c r="W195" s="475"/>
    </row>
    <row r="196" spans="2:23" s="97" customFormat="1">
      <c r="B196" s="96"/>
      <c r="H196" s="96"/>
      <c r="J196" s="1"/>
      <c r="K196" s="1"/>
      <c r="L196" s="1"/>
      <c r="O196" s="475"/>
      <c r="P196" s="475"/>
      <c r="Q196" s="475"/>
      <c r="R196" s="475"/>
      <c r="S196" s="475"/>
      <c r="T196" s="475"/>
      <c r="U196" s="475"/>
      <c r="V196" s="475"/>
      <c r="W196" s="475"/>
    </row>
    <row r="197" spans="2:23" s="97" customFormat="1">
      <c r="B197" s="96"/>
      <c r="H197" s="96"/>
      <c r="J197" s="1"/>
      <c r="K197" s="1"/>
      <c r="L197" s="1"/>
      <c r="O197" s="475"/>
      <c r="P197" s="475"/>
      <c r="Q197" s="475"/>
      <c r="R197" s="475"/>
      <c r="S197" s="475"/>
      <c r="T197" s="475"/>
      <c r="U197" s="475"/>
      <c r="V197" s="475"/>
      <c r="W197" s="475"/>
    </row>
    <row r="198" spans="2:23" s="97" customFormat="1">
      <c r="B198" s="96"/>
      <c r="H198" s="96"/>
      <c r="J198" s="1"/>
      <c r="K198" s="1"/>
      <c r="L198" s="1"/>
      <c r="O198" s="475"/>
      <c r="P198" s="475"/>
      <c r="Q198" s="475"/>
      <c r="R198" s="475"/>
      <c r="S198" s="475"/>
      <c r="T198" s="475"/>
      <c r="U198" s="475"/>
      <c r="V198" s="475"/>
      <c r="W198" s="475"/>
    </row>
    <row r="199" spans="2:23" s="97" customFormat="1">
      <c r="B199" s="96"/>
      <c r="H199" s="96"/>
      <c r="J199" s="1"/>
      <c r="K199" s="1"/>
      <c r="L199" s="1"/>
      <c r="O199" s="475"/>
      <c r="P199" s="475"/>
      <c r="Q199" s="475"/>
      <c r="R199" s="475"/>
      <c r="S199" s="475"/>
      <c r="T199" s="475"/>
      <c r="U199" s="475"/>
      <c r="V199" s="475"/>
      <c r="W199" s="475"/>
    </row>
    <row r="200" spans="2:23" s="97" customFormat="1">
      <c r="B200" s="96"/>
      <c r="H200" s="96"/>
      <c r="J200" s="1"/>
      <c r="K200" s="1"/>
      <c r="L200" s="1"/>
      <c r="O200" s="475"/>
      <c r="P200" s="475"/>
      <c r="Q200" s="475"/>
      <c r="R200" s="475"/>
      <c r="S200" s="475"/>
      <c r="T200" s="475"/>
      <c r="U200" s="475"/>
      <c r="V200" s="475"/>
      <c r="W200" s="475"/>
    </row>
    <row r="201" spans="2:23" s="97" customFormat="1">
      <c r="B201" s="96"/>
      <c r="H201" s="96"/>
      <c r="J201" s="1"/>
      <c r="K201" s="1"/>
      <c r="L201" s="1"/>
      <c r="O201" s="475"/>
      <c r="P201" s="475"/>
      <c r="Q201" s="475"/>
      <c r="R201" s="475"/>
      <c r="S201" s="475"/>
      <c r="T201" s="475"/>
      <c r="U201" s="475"/>
      <c r="V201" s="475"/>
      <c r="W201" s="475"/>
    </row>
    <row r="202" spans="2:23" s="97" customFormat="1">
      <c r="B202" s="96"/>
      <c r="H202" s="96"/>
      <c r="J202" s="1"/>
      <c r="K202" s="1"/>
      <c r="L202" s="1"/>
      <c r="O202" s="475"/>
      <c r="P202" s="475"/>
      <c r="Q202" s="475"/>
      <c r="R202" s="475"/>
      <c r="S202" s="475"/>
      <c r="T202" s="475"/>
      <c r="U202" s="475"/>
      <c r="V202" s="475"/>
      <c r="W202" s="475"/>
    </row>
    <row r="203" spans="2:23" s="97" customFormat="1">
      <c r="B203" s="96"/>
      <c r="H203" s="96"/>
      <c r="J203" s="1"/>
      <c r="K203" s="1"/>
      <c r="L203" s="1"/>
      <c r="O203" s="475"/>
      <c r="P203" s="475"/>
      <c r="Q203" s="475"/>
      <c r="R203" s="475"/>
      <c r="S203" s="475"/>
      <c r="T203" s="475"/>
      <c r="U203" s="475"/>
      <c r="V203" s="475"/>
      <c r="W203" s="475"/>
    </row>
    <row r="204" spans="2:23" s="97" customFormat="1">
      <c r="B204" s="96"/>
      <c r="H204" s="96"/>
      <c r="J204" s="1"/>
      <c r="K204" s="1"/>
      <c r="L204" s="1"/>
      <c r="O204" s="475"/>
      <c r="P204" s="475"/>
      <c r="Q204" s="475"/>
      <c r="R204" s="475"/>
      <c r="S204" s="475"/>
      <c r="T204" s="475"/>
      <c r="U204" s="475"/>
      <c r="V204" s="475"/>
      <c r="W204" s="475"/>
    </row>
    <row r="205" spans="2:23" s="97" customFormat="1">
      <c r="B205" s="96"/>
      <c r="H205" s="96"/>
      <c r="J205" s="1"/>
      <c r="K205" s="1"/>
      <c r="L205" s="1"/>
      <c r="O205" s="475"/>
      <c r="P205" s="475"/>
      <c r="Q205" s="475"/>
      <c r="R205" s="475"/>
      <c r="S205" s="475"/>
      <c r="T205" s="475"/>
      <c r="U205" s="475"/>
      <c r="V205" s="475"/>
      <c r="W205" s="475"/>
    </row>
    <row r="206" spans="2:23" s="97" customFormat="1">
      <c r="B206" s="96"/>
      <c r="H206" s="96"/>
      <c r="J206" s="1"/>
      <c r="K206" s="1"/>
      <c r="L206" s="1"/>
      <c r="O206" s="475"/>
      <c r="P206" s="475"/>
      <c r="Q206" s="475"/>
      <c r="R206" s="475"/>
      <c r="S206" s="475"/>
      <c r="T206" s="475"/>
      <c r="U206" s="475"/>
      <c r="V206" s="475"/>
      <c r="W206" s="475"/>
    </row>
    <row r="207" spans="2:23" s="97" customFormat="1">
      <c r="B207" s="96"/>
      <c r="H207" s="96"/>
      <c r="J207" s="1"/>
      <c r="K207" s="1"/>
      <c r="L207" s="1"/>
      <c r="O207" s="475"/>
      <c r="P207" s="475"/>
      <c r="Q207" s="475"/>
      <c r="R207" s="475"/>
      <c r="S207" s="475"/>
      <c r="T207" s="475"/>
      <c r="U207" s="475"/>
      <c r="V207" s="475"/>
      <c r="W207" s="475"/>
    </row>
    <row r="208" spans="2:23" s="97" customFormat="1">
      <c r="B208" s="96"/>
      <c r="H208" s="96"/>
      <c r="J208" s="1"/>
      <c r="K208" s="1"/>
      <c r="L208" s="1"/>
      <c r="O208" s="475"/>
      <c r="P208" s="475"/>
      <c r="Q208" s="475"/>
      <c r="R208" s="475"/>
      <c r="S208" s="475"/>
      <c r="T208" s="475"/>
      <c r="U208" s="475"/>
      <c r="V208" s="475"/>
      <c r="W208" s="475"/>
    </row>
    <row r="209" spans="2:23" s="97" customFormat="1">
      <c r="B209" s="96"/>
      <c r="H209" s="96"/>
      <c r="J209" s="1"/>
      <c r="K209" s="1"/>
      <c r="L209" s="1"/>
      <c r="O209" s="475"/>
      <c r="P209" s="475"/>
      <c r="Q209" s="475"/>
      <c r="R209" s="475"/>
      <c r="S209" s="475"/>
      <c r="T209" s="475"/>
      <c r="U209" s="475"/>
      <c r="V209" s="475"/>
      <c r="W209" s="475"/>
    </row>
    <row r="210" spans="2:23" s="97" customFormat="1">
      <c r="B210" s="96"/>
      <c r="H210" s="96"/>
      <c r="J210" s="1"/>
      <c r="K210" s="1"/>
      <c r="L210" s="1"/>
      <c r="O210" s="475"/>
      <c r="P210" s="475"/>
      <c r="Q210" s="475"/>
      <c r="R210" s="475"/>
      <c r="S210" s="475"/>
      <c r="T210" s="475"/>
      <c r="U210" s="475"/>
      <c r="V210" s="475"/>
      <c r="W210" s="475"/>
    </row>
    <row r="211" spans="2:23" s="97" customFormat="1">
      <c r="B211" s="96"/>
      <c r="H211" s="96"/>
      <c r="J211" s="1"/>
      <c r="K211" s="1"/>
      <c r="L211" s="1"/>
      <c r="O211" s="475"/>
      <c r="P211" s="475"/>
      <c r="Q211" s="475"/>
      <c r="R211" s="475"/>
      <c r="S211" s="475"/>
      <c r="T211" s="475"/>
      <c r="U211" s="475"/>
      <c r="V211" s="475"/>
      <c r="W211" s="475"/>
    </row>
    <row r="212" spans="2:23" s="97" customFormat="1">
      <c r="B212" s="96"/>
      <c r="H212" s="96"/>
      <c r="J212" s="1"/>
      <c r="K212" s="1"/>
      <c r="L212" s="1"/>
      <c r="O212" s="475"/>
      <c r="P212" s="475"/>
      <c r="Q212" s="475"/>
      <c r="R212" s="475"/>
      <c r="S212" s="475"/>
      <c r="T212" s="475"/>
      <c r="U212" s="475"/>
      <c r="V212" s="475"/>
      <c r="W212" s="475"/>
    </row>
    <row r="213" spans="2:23" s="97" customFormat="1">
      <c r="B213" s="96"/>
      <c r="H213" s="96"/>
      <c r="J213" s="1"/>
      <c r="K213" s="1"/>
      <c r="L213" s="1"/>
      <c r="O213" s="475"/>
      <c r="P213" s="475"/>
      <c r="Q213" s="475"/>
      <c r="R213" s="475"/>
      <c r="S213" s="475"/>
      <c r="T213" s="475"/>
      <c r="U213" s="475"/>
      <c r="V213" s="475"/>
      <c r="W213" s="475"/>
    </row>
    <row r="214" spans="2:23" s="97" customFormat="1">
      <c r="B214" s="96"/>
      <c r="H214" s="96"/>
      <c r="J214" s="1"/>
      <c r="K214" s="1"/>
      <c r="L214" s="1"/>
      <c r="O214" s="475"/>
      <c r="P214" s="475"/>
      <c r="Q214" s="475"/>
      <c r="R214" s="475"/>
      <c r="S214" s="475"/>
      <c r="T214" s="475"/>
      <c r="U214" s="475"/>
      <c r="V214" s="475"/>
      <c r="W214" s="475"/>
    </row>
    <row r="215" spans="2:23" s="97" customFormat="1">
      <c r="B215" s="96"/>
      <c r="H215" s="96"/>
      <c r="J215" s="1"/>
      <c r="K215" s="1"/>
      <c r="L215" s="1"/>
      <c r="O215" s="475"/>
      <c r="P215" s="475"/>
      <c r="Q215" s="475"/>
      <c r="R215" s="475"/>
      <c r="S215" s="475"/>
      <c r="T215" s="475"/>
      <c r="U215" s="475"/>
      <c r="V215" s="475"/>
      <c r="W215" s="475"/>
    </row>
    <row r="216" spans="2:23" s="97" customFormat="1">
      <c r="B216" s="96"/>
      <c r="H216" s="96"/>
      <c r="J216" s="1"/>
      <c r="K216" s="1"/>
      <c r="L216" s="1"/>
      <c r="O216" s="475"/>
      <c r="P216" s="475"/>
      <c r="Q216" s="475"/>
      <c r="R216" s="475"/>
      <c r="S216" s="475"/>
      <c r="T216" s="475"/>
      <c r="U216" s="475"/>
      <c r="V216" s="475"/>
      <c r="W216" s="475"/>
    </row>
    <row r="217" spans="2:23" s="97" customFormat="1">
      <c r="B217" s="96"/>
      <c r="H217" s="96"/>
      <c r="J217" s="1"/>
      <c r="K217" s="1"/>
      <c r="L217" s="1"/>
      <c r="O217" s="475"/>
      <c r="P217" s="475"/>
      <c r="Q217" s="475"/>
      <c r="R217" s="475"/>
      <c r="S217" s="475"/>
      <c r="T217" s="475"/>
      <c r="U217" s="475"/>
      <c r="V217" s="475"/>
      <c r="W217" s="475"/>
    </row>
    <row r="218" spans="2:23" s="97" customFormat="1">
      <c r="B218" s="96"/>
      <c r="H218" s="96"/>
      <c r="J218" s="1"/>
      <c r="K218" s="1"/>
      <c r="L218" s="1"/>
      <c r="O218" s="475"/>
      <c r="P218" s="475"/>
      <c r="Q218" s="475"/>
      <c r="R218" s="475"/>
      <c r="S218" s="475"/>
      <c r="T218" s="475"/>
      <c r="U218" s="475"/>
      <c r="V218" s="475"/>
      <c r="W218" s="475"/>
    </row>
    <row r="219" spans="2:23" s="97" customFormat="1">
      <c r="B219" s="96"/>
      <c r="H219" s="96"/>
      <c r="J219" s="1"/>
      <c r="K219" s="1"/>
      <c r="L219" s="1"/>
      <c r="O219" s="475"/>
      <c r="P219" s="475"/>
      <c r="Q219" s="475"/>
      <c r="R219" s="475"/>
      <c r="S219" s="475"/>
      <c r="T219" s="475"/>
      <c r="U219" s="475"/>
      <c r="V219" s="475"/>
      <c r="W219" s="475"/>
    </row>
    <row r="220" spans="2:23" s="97" customFormat="1">
      <c r="B220" s="96"/>
      <c r="H220" s="96"/>
      <c r="J220" s="1"/>
      <c r="K220" s="1"/>
      <c r="L220" s="1"/>
      <c r="O220" s="475"/>
      <c r="P220" s="475"/>
      <c r="Q220" s="475"/>
      <c r="R220" s="475"/>
      <c r="S220" s="475"/>
      <c r="T220" s="475"/>
      <c r="U220" s="475"/>
      <c r="V220" s="475"/>
      <c r="W220" s="475"/>
    </row>
    <row r="221" spans="2:23" s="97" customFormat="1">
      <c r="B221" s="96"/>
      <c r="H221" s="96"/>
      <c r="J221" s="1"/>
      <c r="K221" s="1"/>
      <c r="L221" s="1"/>
      <c r="O221" s="475"/>
      <c r="P221" s="475"/>
      <c r="Q221" s="475"/>
      <c r="R221" s="475"/>
      <c r="S221" s="475"/>
      <c r="T221" s="475"/>
      <c r="U221" s="475"/>
      <c r="V221" s="475"/>
      <c r="W221" s="475"/>
    </row>
    <row r="222" spans="2:23" s="97" customFormat="1">
      <c r="B222" s="96"/>
      <c r="H222" s="96"/>
      <c r="J222" s="1"/>
      <c r="K222" s="1"/>
      <c r="L222" s="1"/>
      <c r="O222" s="475"/>
      <c r="P222" s="475"/>
      <c r="Q222" s="475"/>
      <c r="R222" s="475"/>
      <c r="S222" s="475"/>
      <c r="T222" s="475"/>
      <c r="U222" s="475"/>
      <c r="V222" s="475"/>
      <c r="W222" s="475"/>
    </row>
    <row r="223" spans="2:23" s="97" customFormat="1">
      <c r="B223" s="96"/>
      <c r="H223" s="96"/>
      <c r="J223" s="1"/>
      <c r="K223" s="1"/>
      <c r="L223" s="1"/>
      <c r="O223" s="475"/>
      <c r="P223" s="475"/>
      <c r="Q223" s="475"/>
      <c r="R223" s="475"/>
      <c r="S223" s="475"/>
      <c r="T223" s="475"/>
      <c r="U223" s="475"/>
      <c r="V223" s="475"/>
      <c r="W223" s="475"/>
    </row>
    <row r="224" spans="2:23" s="97" customFormat="1">
      <c r="B224" s="96"/>
      <c r="H224" s="96"/>
      <c r="J224" s="1"/>
      <c r="K224" s="1"/>
      <c r="L224" s="1"/>
      <c r="O224" s="475"/>
      <c r="P224" s="475"/>
      <c r="Q224" s="475"/>
      <c r="R224" s="475"/>
      <c r="S224" s="475"/>
      <c r="T224" s="475"/>
      <c r="U224" s="475"/>
      <c r="V224" s="475"/>
      <c r="W224" s="475"/>
    </row>
    <row r="225" spans="2:23" s="97" customFormat="1">
      <c r="B225" s="96"/>
      <c r="H225" s="96"/>
      <c r="J225" s="1"/>
      <c r="K225" s="1"/>
      <c r="L225" s="1"/>
      <c r="O225" s="475"/>
      <c r="P225" s="475"/>
      <c r="Q225" s="475"/>
      <c r="R225" s="475"/>
      <c r="S225" s="475"/>
      <c r="T225" s="475"/>
      <c r="U225" s="475"/>
      <c r="V225" s="475"/>
      <c r="W225" s="475"/>
    </row>
    <row r="226" spans="2:23" s="97" customFormat="1">
      <c r="B226" s="96"/>
      <c r="H226" s="96"/>
      <c r="J226" s="1"/>
      <c r="K226" s="1"/>
      <c r="L226" s="1"/>
      <c r="O226" s="475"/>
      <c r="P226" s="475"/>
      <c r="Q226" s="475"/>
      <c r="R226" s="475"/>
      <c r="S226" s="475"/>
      <c r="T226" s="475"/>
      <c r="U226" s="475"/>
      <c r="V226" s="475"/>
      <c r="W226" s="475"/>
    </row>
    <row r="227" spans="2:23" s="97" customFormat="1">
      <c r="B227" s="96"/>
      <c r="H227" s="96"/>
      <c r="J227" s="1"/>
      <c r="K227" s="1"/>
      <c r="L227" s="1"/>
      <c r="O227" s="475"/>
      <c r="P227" s="475"/>
      <c r="Q227" s="475"/>
      <c r="R227" s="475"/>
      <c r="S227" s="475"/>
      <c r="T227" s="475"/>
      <c r="U227" s="475"/>
      <c r="V227" s="475"/>
      <c r="W227" s="475"/>
    </row>
    <row r="228" spans="2:23" s="97" customFormat="1">
      <c r="B228" s="96"/>
      <c r="H228" s="96"/>
      <c r="J228" s="1"/>
      <c r="K228" s="1"/>
      <c r="L228" s="1"/>
      <c r="O228" s="475"/>
      <c r="P228" s="475"/>
      <c r="Q228" s="475"/>
      <c r="R228" s="475"/>
      <c r="S228" s="475"/>
      <c r="T228" s="475"/>
      <c r="U228" s="475"/>
      <c r="V228" s="475"/>
      <c r="W228" s="475"/>
    </row>
    <row r="229" spans="2:23" s="97" customFormat="1">
      <c r="B229" s="96"/>
      <c r="H229" s="96"/>
      <c r="J229" s="1"/>
      <c r="K229" s="1"/>
      <c r="L229" s="1"/>
      <c r="O229" s="475"/>
      <c r="P229" s="475"/>
      <c r="Q229" s="475"/>
      <c r="R229" s="475"/>
      <c r="S229" s="475"/>
      <c r="T229" s="475"/>
      <c r="U229" s="475"/>
      <c r="V229" s="475"/>
      <c r="W229" s="475"/>
    </row>
    <row r="230" spans="2:23" s="97" customFormat="1">
      <c r="B230" s="96"/>
      <c r="H230" s="96"/>
      <c r="J230" s="1"/>
      <c r="K230" s="1"/>
      <c r="L230" s="1"/>
      <c r="O230" s="475"/>
      <c r="P230" s="475"/>
      <c r="Q230" s="475"/>
      <c r="R230" s="475"/>
      <c r="S230" s="475"/>
      <c r="T230" s="475"/>
      <c r="U230" s="475"/>
      <c r="V230" s="475"/>
      <c r="W230" s="475"/>
    </row>
    <row r="231" spans="2:23" s="97" customFormat="1">
      <c r="B231" s="96"/>
      <c r="H231" s="96"/>
      <c r="J231" s="1"/>
      <c r="K231" s="1"/>
      <c r="L231" s="1"/>
      <c r="O231" s="475"/>
      <c r="P231" s="475"/>
      <c r="Q231" s="475"/>
      <c r="R231" s="475"/>
      <c r="S231" s="475"/>
      <c r="T231" s="475"/>
      <c r="U231" s="475"/>
      <c r="V231" s="475"/>
      <c r="W231" s="475"/>
    </row>
    <row r="232" spans="2:23" s="97" customFormat="1">
      <c r="B232" s="96"/>
      <c r="H232" s="96"/>
      <c r="J232" s="1"/>
      <c r="K232" s="1"/>
      <c r="L232" s="1"/>
      <c r="O232" s="475"/>
      <c r="P232" s="475"/>
      <c r="Q232" s="475"/>
      <c r="R232" s="475"/>
      <c r="S232" s="475"/>
      <c r="T232" s="475"/>
      <c r="U232" s="475"/>
      <c r="V232" s="475"/>
      <c r="W232" s="475"/>
    </row>
    <row r="233" spans="2:23" s="97" customFormat="1">
      <c r="B233" s="96"/>
      <c r="H233" s="96"/>
      <c r="J233" s="1"/>
      <c r="K233" s="1"/>
      <c r="L233" s="1"/>
      <c r="O233" s="475"/>
      <c r="P233" s="475"/>
      <c r="Q233" s="475"/>
      <c r="R233" s="475"/>
      <c r="S233" s="475"/>
      <c r="T233" s="475"/>
      <c r="U233" s="475"/>
      <c r="V233" s="475"/>
      <c r="W233" s="475"/>
    </row>
    <row r="234" spans="2:23" s="97" customFormat="1">
      <c r="B234" s="96"/>
      <c r="H234" s="96"/>
      <c r="J234" s="1"/>
      <c r="K234" s="1"/>
      <c r="L234" s="1"/>
      <c r="O234" s="475"/>
      <c r="P234" s="475"/>
      <c r="Q234" s="475"/>
      <c r="R234" s="475"/>
      <c r="S234" s="475"/>
      <c r="T234" s="475"/>
      <c r="U234" s="475"/>
      <c r="V234" s="475"/>
      <c r="W234" s="475"/>
    </row>
    <row r="235" spans="2:23" s="97" customFormat="1">
      <c r="B235" s="96"/>
      <c r="H235" s="96"/>
      <c r="J235" s="1"/>
      <c r="K235" s="1"/>
      <c r="L235" s="1"/>
      <c r="O235" s="475"/>
      <c r="P235" s="475"/>
      <c r="Q235" s="475"/>
      <c r="R235" s="475"/>
      <c r="S235" s="475"/>
      <c r="T235" s="475"/>
      <c r="U235" s="475"/>
      <c r="V235" s="475"/>
      <c r="W235" s="475"/>
    </row>
    <row r="236" spans="2:23" s="97" customFormat="1">
      <c r="B236" s="96"/>
      <c r="H236" s="96"/>
      <c r="J236" s="1"/>
      <c r="K236" s="1"/>
      <c r="L236" s="1"/>
      <c r="O236" s="475"/>
      <c r="P236" s="475"/>
      <c r="Q236" s="475"/>
      <c r="R236" s="475"/>
      <c r="S236" s="475"/>
      <c r="T236" s="475"/>
      <c r="U236" s="475"/>
      <c r="V236" s="475"/>
      <c r="W236" s="475"/>
    </row>
    <row r="237" spans="2:23" s="97" customFormat="1">
      <c r="B237" s="96"/>
      <c r="H237" s="96"/>
      <c r="J237" s="1"/>
      <c r="K237" s="1"/>
      <c r="L237" s="1"/>
      <c r="O237" s="475"/>
      <c r="P237" s="475"/>
      <c r="Q237" s="475"/>
      <c r="R237" s="475"/>
      <c r="S237" s="475"/>
      <c r="T237" s="475"/>
      <c r="U237" s="475"/>
      <c r="V237" s="475"/>
      <c r="W237" s="475"/>
    </row>
    <row r="238" spans="2:23" s="97" customFormat="1">
      <c r="B238" s="96"/>
      <c r="H238" s="96"/>
      <c r="J238" s="1"/>
      <c r="K238" s="1"/>
      <c r="L238" s="1"/>
      <c r="O238" s="475"/>
      <c r="P238" s="475"/>
      <c r="Q238" s="475"/>
      <c r="R238" s="475"/>
      <c r="S238" s="475"/>
      <c r="T238" s="475"/>
      <c r="U238" s="475"/>
      <c r="V238" s="475"/>
      <c r="W238" s="475"/>
    </row>
    <row r="239" spans="2:23" s="97" customFormat="1">
      <c r="B239" s="96"/>
      <c r="H239" s="96"/>
      <c r="J239" s="1"/>
      <c r="K239" s="1"/>
      <c r="L239" s="1"/>
      <c r="O239" s="475"/>
      <c r="P239" s="475"/>
      <c r="Q239" s="475"/>
      <c r="R239" s="475"/>
      <c r="S239" s="475"/>
      <c r="T239" s="475"/>
      <c r="U239" s="475"/>
      <c r="V239" s="475"/>
      <c r="W239" s="475"/>
    </row>
    <row r="240" spans="2:23" s="97" customFormat="1">
      <c r="B240" s="96"/>
      <c r="H240" s="96"/>
      <c r="J240" s="1"/>
      <c r="K240" s="1"/>
      <c r="L240" s="1"/>
      <c r="O240" s="475"/>
      <c r="P240" s="475"/>
      <c r="Q240" s="475"/>
      <c r="R240" s="475"/>
      <c r="S240" s="475"/>
      <c r="T240" s="475"/>
      <c r="U240" s="475"/>
      <c r="V240" s="475"/>
      <c r="W240" s="475"/>
    </row>
    <row r="241" spans="2:23" s="97" customFormat="1">
      <c r="B241" s="96"/>
      <c r="H241" s="96"/>
      <c r="J241" s="1"/>
      <c r="K241" s="1"/>
      <c r="L241" s="1"/>
      <c r="O241" s="475"/>
      <c r="P241" s="475"/>
      <c r="Q241" s="475"/>
      <c r="R241" s="475"/>
      <c r="S241" s="475"/>
      <c r="T241" s="475"/>
      <c r="U241" s="475"/>
      <c r="V241" s="475"/>
      <c r="W241" s="475"/>
    </row>
    <row r="242" spans="2:23" s="97" customFormat="1">
      <c r="B242" s="96"/>
      <c r="H242" s="96"/>
      <c r="J242" s="1"/>
      <c r="K242" s="1"/>
      <c r="L242" s="1"/>
      <c r="O242" s="475"/>
      <c r="P242" s="475"/>
      <c r="Q242" s="475"/>
      <c r="R242" s="475"/>
      <c r="S242" s="475"/>
      <c r="T242" s="475"/>
      <c r="U242" s="475"/>
      <c r="V242" s="475"/>
      <c r="W242" s="475"/>
    </row>
    <row r="243" spans="2:23" s="97" customFormat="1">
      <c r="B243" s="96"/>
      <c r="H243" s="96"/>
      <c r="J243" s="1"/>
      <c r="K243" s="1"/>
      <c r="L243" s="1"/>
      <c r="O243" s="475"/>
      <c r="P243" s="475"/>
      <c r="Q243" s="475"/>
      <c r="R243" s="475"/>
      <c r="S243" s="475"/>
      <c r="T243" s="475"/>
      <c r="U243" s="475"/>
      <c r="V243" s="475"/>
      <c r="W243" s="475"/>
    </row>
    <row r="244" spans="2:23" s="97" customFormat="1">
      <c r="B244" s="96"/>
      <c r="H244" s="96"/>
      <c r="J244" s="1"/>
      <c r="K244" s="1"/>
      <c r="L244" s="1"/>
      <c r="O244" s="475"/>
      <c r="P244" s="475"/>
      <c r="Q244" s="475"/>
      <c r="R244" s="475"/>
      <c r="S244" s="475"/>
      <c r="T244" s="475"/>
      <c r="U244" s="475"/>
      <c r="V244" s="475"/>
      <c r="W244" s="475"/>
    </row>
    <row r="245" spans="2:23" s="97" customFormat="1">
      <c r="B245" s="96"/>
      <c r="H245" s="96"/>
      <c r="J245" s="1"/>
      <c r="K245" s="1"/>
      <c r="L245" s="1"/>
      <c r="O245" s="475"/>
      <c r="P245" s="475"/>
      <c r="Q245" s="475"/>
      <c r="R245" s="475"/>
      <c r="S245" s="475"/>
      <c r="T245" s="475"/>
      <c r="U245" s="475"/>
      <c r="V245" s="475"/>
      <c r="W245" s="475"/>
    </row>
    <row r="246" spans="2:23" s="97" customFormat="1">
      <c r="B246" s="96"/>
      <c r="H246" s="96"/>
      <c r="J246" s="1"/>
      <c r="K246" s="1"/>
      <c r="L246" s="1"/>
      <c r="O246" s="475"/>
      <c r="P246" s="475"/>
      <c r="Q246" s="475"/>
      <c r="R246" s="475"/>
      <c r="S246" s="475"/>
      <c r="T246" s="475"/>
      <c r="U246" s="475"/>
      <c r="V246" s="475"/>
      <c r="W246" s="475"/>
    </row>
    <row r="247" spans="2:23" s="97" customFormat="1">
      <c r="B247" s="96"/>
      <c r="H247" s="96"/>
      <c r="J247" s="1"/>
      <c r="K247" s="1"/>
      <c r="L247" s="1"/>
      <c r="O247" s="475"/>
      <c r="P247" s="475"/>
      <c r="Q247" s="475"/>
      <c r="R247" s="475"/>
      <c r="S247" s="475"/>
      <c r="T247" s="475"/>
      <c r="U247" s="475"/>
      <c r="V247" s="475"/>
      <c r="W247" s="475"/>
    </row>
    <row r="248" spans="2:23" s="97" customFormat="1">
      <c r="B248" s="96"/>
      <c r="H248" s="96"/>
      <c r="J248" s="1"/>
      <c r="K248" s="1"/>
      <c r="L248" s="1"/>
      <c r="O248" s="475"/>
      <c r="P248" s="475"/>
      <c r="Q248" s="475"/>
      <c r="R248" s="475"/>
      <c r="S248" s="475"/>
      <c r="T248" s="475"/>
      <c r="U248" s="475"/>
      <c r="V248" s="475"/>
      <c r="W248" s="475"/>
    </row>
    <row r="249" spans="2:23" s="97" customFormat="1">
      <c r="B249" s="96"/>
      <c r="H249" s="96"/>
      <c r="J249" s="1"/>
      <c r="K249" s="1"/>
      <c r="L249" s="1"/>
      <c r="O249" s="475"/>
      <c r="P249" s="475"/>
      <c r="Q249" s="475"/>
      <c r="R249" s="475"/>
      <c r="S249" s="475"/>
      <c r="T249" s="475"/>
      <c r="U249" s="475"/>
      <c r="V249" s="475"/>
      <c r="W249" s="475"/>
    </row>
    <row r="250" spans="2:23" s="97" customFormat="1">
      <c r="B250" s="96"/>
      <c r="H250" s="96"/>
      <c r="J250" s="1"/>
      <c r="K250" s="1"/>
      <c r="L250" s="1"/>
      <c r="O250" s="475"/>
      <c r="P250" s="475"/>
      <c r="Q250" s="475"/>
      <c r="R250" s="475"/>
      <c r="S250" s="475"/>
      <c r="T250" s="475"/>
      <c r="U250" s="475"/>
      <c r="V250" s="475"/>
      <c r="W250" s="475"/>
    </row>
    <row r="251" spans="2:23" s="97" customFormat="1">
      <c r="B251" s="96"/>
      <c r="H251" s="96"/>
      <c r="J251" s="1"/>
      <c r="K251" s="1"/>
      <c r="L251" s="1"/>
      <c r="O251" s="475"/>
      <c r="P251" s="475"/>
      <c r="Q251" s="475"/>
      <c r="R251" s="475"/>
      <c r="S251" s="475"/>
      <c r="T251" s="475"/>
      <c r="U251" s="475"/>
      <c r="V251" s="475"/>
      <c r="W251" s="475"/>
    </row>
    <row r="252" spans="2:23" s="97" customFormat="1">
      <c r="B252" s="96"/>
      <c r="H252" s="96"/>
      <c r="J252" s="1"/>
      <c r="K252" s="1"/>
      <c r="L252" s="1"/>
      <c r="O252" s="475"/>
      <c r="P252" s="475"/>
      <c r="Q252" s="475"/>
      <c r="R252" s="475"/>
      <c r="S252" s="475"/>
      <c r="T252" s="475"/>
      <c r="U252" s="475"/>
      <c r="V252" s="475"/>
      <c r="W252" s="475"/>
    </row>
    <row r="253" spans="2:23" s="97" customFormat="1">
      <c r="B253" s="96"/>
      <c r="H253" s="96"/>
      <c r="J253" s="1"/>
      <c r="K253" s="1"/>
      <c r="L253" s="1"/>
      <c r="O253" s="475"/>
      <c r="P253" s="475"/>
      <c r="Q253" s="475"/>
      <c r="R253" s="475"/>
      <c r="S253" s="475"/>
      <c r="T253" s="475"/>
      <c r="U253" s="475"/>
      <c r="V253" s="475"/>
      <c r="W253" s="475"/>
    </row>
    <row r="254" spans="2:23" s="97" customFormat="1">
      <c r="B254" s="96"/>
      <c r="H254" s="96"/>
      <c r="J254" s="1"/>
      <c r="K254" s="1"/>
      <c r="L254" s="1"/>
      <c r="O254" s="475"/>
      <c r="P254" s="475"/>
      <c r="Q254" s="475"/>
      <c r="R254" s="475"/>
      <c r="S254" s="475"/>
      <c r="T254" s="475"/>
      <c r="U254" s="475"/>
      <c r="V254" s="475"/>
      <c r="W254" s="475"/>
    </row>
    <row r="255" spans="2:23" s="97" customFormat="1">
      <c r="B255" s="96"/>
      <c r="H255" s="96"/>
      <c r="J255" s="1"/>
      <c r="K255" s="1"/>
      <c r="L255" s="1"/>
      <c r="O255" s="475"/>
      <c r="P255" s="475"/>
      <c r="Q255" s="475"/>
      <c r="R255" s="475"/>
      <c r="S255" s="475"/>
      <c r="T255" s="475"/>
      <c r="U255" s="475"/>
      <c r="V255" s="475"/>
      <c r="W255" s="475"/>
    </row>
    <row r="256" spans="2:23" s="97" customFormat="1">
      <c r="B256" s="96"/>
      <c r="H256" s="96"/>
      <c r="J256" s="1"/>
      <c r="K256" s="1"/>
      <c r="L256" s="1"/>
      <c r="O256" s="475"/>
      <c r="P256" s="475"/>
      <c r="Q256" s="475"/>
      <c r="R256" s="475"/>
      <c r="S256" s="475"/>
      <c r="T256" s="475"/>
      <c r="U256" s="475"/>
      <c r="V256" s="475"/>
      <c r="W256" s="475"/>
    </row>
    <row r="257" spans="2:23" s="97" customFormat="1">
      <c r="B257" s="96"/>
      <c r="H257" s="96"/>
      <c r="J257" s="1"/>
      <c r="K257" s="1"/>
      <c r="L257" s="1"/>
      <c r="O257" s="475"/>
      <c r="P257" s="475"/>
      <c r="Q257" s="475"/>
      <c r="R257" s="475"/>
      <c r="S257" s="475"/>
      <c r="T257" s="475"/>
      <c r="U257" s="475"/>
      <c r="V257" s="475"/>
      <c r="W257" s="475"/>
    </row>
    <row r="258" spans="2:23" s="97" customFormat="1">
      <c r="B258" s="96"/>
      <c r="H258" s="96"/>
      <c r="J258" s="1"/>
      <c r="K258" s="1"/>
      <c r="L258" s="1"/>
      <c r="O258" s="475"/>
      <c r="P258" s="475"/>
      <c r="Q258" s="475"/>
      <c r="R258" s="475"/>
      <c r="S258" s="475"/>
      <c r="T258" s="475"/>
      <c r="U258" s="475"/>
      <c r="V258" s="475"/>
      <c r="W258" s="475"/>
    </row>
    <row r="259" spans="2:23" s="97" customFormat="1">
      <c r="B259" s="96"/>
      <c r="H259" s="96"/>
      <c r="J259" s="1"/>
      <c r="K259" s="1"/>
      <c r="L259" s="1"/>
      <c r="O259" s="475"/>
      <c r="P259" s="475"/>
      <c r="Q259" s="475"/>
      <c r="R259" s="475"/>
      <c r="S259" s="475"/>
      <c r="T259" s="475"/>
      <c r="U259" s="475"/>
      <c r="V259" s="475"/>
      <c r="W259" s="475"/>
    </row>
    <row r="260" spans="2:23" s="97" customFormat="1">
      <c r="B260" s="96"/>
      <c r="H260" s="96"/>
      <c r="J260" s="1"/>
      <c r="K260" s="1"/>
      <c r="L260" s="1"/>
      <c r="O260" s="475"/>
      <c r="P260" s="475"/>
      <c r="Q260" s="475"/>
      <c r="R260" s="475"/>
      <c r="S260" s="475"/>
      <c r="T260" s="475"/>
      <c r="U260" s="475"/>
      <c r="V260" s="475"/>
      <c r="W260" s="475"/>
    </row>
    <row r="261" spans="2:23" s="97" customFormat="1">
      <c r="B261" s="96"/>
      <c r="H261" s="96"/>
      <c r="J261" s="1"/>
      <c r="K261" s="1"/>
      <c r="L261" s="1"/>
      <c r="O261" s="475"/>
      <c r="P261" s="475"/>
      <c r="Q261" s="475"/>
      <c r="R261" s="475"/>
      <c r="S261" s="475"/>
      <c r="T261" s="475"/>
      <c r="U261" s="475"/>
      <c r="V261" s="475"/>
      <c r="W261" s="475"/>
    </row>
    <row r="262" spans="2:23" s="97" customFormat="1">
      <c r="B262" s="96"/>
      <c r="H262" s="96"/>
      <c r="J262" s="1"/>
      <c r="K262" s="1"/>
      <c r="L262" s="1"/>
      <c r="O262" s="475"/>
      <c r="P262" s="475"/>
      <c r="Q262" s="475"/>
      <c r="R262" s="475"/>
      <c r="S262" s="475"/>
      <c r="T262" s="475"/>
      <c r="U262" s="475"/>
      <c r="V262" s="475"/>
      <c r="W262" s="475"/>
    </row>
    <row r="263" spans="2:23" s="97" customFormat="1">
      <c r="B263" s="96"/>
      <c r="H263" s="96"/>
      <c r="J263" s="1"/>
      <c r="K263" s="1"/>
      <c r="L263" s="1"/>
      <c r="O263" s="475"/>
      <c r="P263" s="475"/>
      <c r="Q263" s="475"/>
      <c r="R263" s="475"/>
      <c r="S263" s="475"/>
      <c r="T263" s="475"/>
      <c r="U263" s="475"/>
      <c r="V263" s="475"/>
      <c r="W263" s="475"/>
    </row>
    <row r="264" spans="2:23" s="97" customFormat="1">
      <c r="B264" s="96"/>
      <c r="H264" s="96"/>
      <c r="J264" s="1"/>
      <c r="K264" s="1"/>
      <c r="L264" s="1"/>
      <c r="O264" s="475"/>
      <c r="P264" s="475"/>
      <c r="Q264" s="475"/>
      <c r="R264" s="475"/>
      <c r="S264" s="475"/>
      <c r="T264" s="475"/>
      <c r="U264" s="475"/>
      <c r="V264" s="475"/>
      <c r="W264" s="475"/>
    </row>
    <row r="265" spans="2:23" s="97" customFormat="1">
      <c r="B265" s="96"/>
      <c r="H265" s="96"/>
      <c r="J265" s="1"/>
      <c r="K265" s="1"/>
      <c r="L265" s="1"/>
      <c r="O265" s="475"/>
      <c r="P265" s="475"/>
      <c r="Q265" s="475"/>
      <c r="R265" s="475"/>
      <c r="S265" s="475"/>
      <c r="T265" s="475"/>
      <c r="U265" s="475"/>
      <c r="V265" s="475"/>
      <c r="W265" s="475"/>
    </row>
    <row r="266" spans="2:23" s="97" customFormat="1">
      <c r="B266" s="96"/>
      <c r="H266" s="96"/>
      <c r="J266" s="1"/>
      <c r="K266" s="1"/>
      <c r="L266" s="1"/>
      <c r="O266" s="475"/>
      <c r="P266" s="475"/>
      <c r="Q266" s="475"/>
      <c r="R266" s="475"/>
      <c r="S266" s="475"/>
      <c r="T266" s="475"/>
      <c r="U266" s="475"/>
      <c r="V266" s="475"/>
      <c r="W266" s="475"/>
    </row>
    <row r="267" spans="2:23" s="97" customFormat="1">
      <c r="B267" s="96"/>
      <c r="H267" s="96"/>
      <c r="J267" s="1"/>
      <c r="K267" s="1"/>
      <c r="L267" s="1"/>
      <c r="O267" s="475"/>
      <c r="P267" s="475"/>
      <c r="Q267" s="475"/>
      <c r="R267" s="475"/>
      <c r="S267" s="475"/>
      <c r="T267" s="475"/>
      <c r="U267" s="475"/>
      <c r="V267" s="475"/>
      <c r="W267" s="475"/>
    </row>
    <row r="268" spans="2:23" s="97" customFormat="1">
      <c r="B268" s="96"/>
      <c r="H268" s="96"/>
      <c r="J268" s="1"/>
      <c r="K268" s="1"/>
      <c r="L268" s="1"/>
      <c r="O268" s="475"/>
      <c r="P268" s="475"/>
      <c r="Q268" s="475"/>
      <c r="R268" s="475"/>
      <c r="S268" s="475"/>
      <c r="T268" s="475"/>
      <c r="U268" s="475"/>
      <c r="V268" s="475"/>
      <c r="W268" s="475"/>
    </row>
    <row r="269" spans="2:23" s="97" customFormat="1">
      <c r="B269" s="96"/>
      <c r="H269" s="96"/>
      <c r="J269" s="1"/>
      <c r="K269" s="1"/>
      <c r="L269" s="1"/>
      <c r="O269" s="475"/>
      <c r="P269" s="475"/>
      <c r="Q269" s="475"/>
      <c r="R269" s="475"/>
      <c r="S269" s="475"/>
      <c r="T269" s="475"/>
      <c r="U269" s="475"/>
      <c r="V269" s="475"/>
      <c r="W269" s="475"/>
    </row>
    <row r="270" spans="2:23" s="97" customFormat="1">
      <c r="B270" s="96"/>
      <c r="H270" s="96"/>
      <c r="J270" s="1"/>
      <c r="K270" s="1"/>
      <c r="L270" s="1"/>
      <c r="O270" s="475"/>
      <c r="P270" s="475"/>
      <c r="Q270" s="475"/>
      <c r="R270" s="475"/>
      <c r="S270" s="475"/>
      <c r="T270" s="475"/>
      <c r="U270" s="475"/>
      <c r="V270" s="475"/>
      <c r="W270" s="475"/>
    </row>
    <row r="271" spans="2:23" s="97" customFormat="1">
      <c r="B271" s="96"/>
      <c r="H271" s="96"/>
      <c r="J271" s="1"/>
      <c r="K271" s="1"/>
      <c r="L271" s="1"/>
      <c r="O271" s="475"/>
      <c r="P271" s="475"/>
      <c r="Q271" s="475"/>
      <c r="R271" s="475"/>
      <c r="S271" s="475"/>
      <c r="T271" s="475"/>
      <c r="U271" s="475"/>
      <c r="V271" s="475"/>
      <c r="W271" s="475"/>
    </row>
    <row r="272" spans="2:23" s="97" customFormat="1">
      <c r="B272" s="96"/>
      <c r="H272" s="96"/>
      <c r="J272" s="1"/>
      <c r="K272" s="1"/>
      <c r="L272" s="1"/>
      <c r="O272" s="475"/>
      <c r="P272" s="475"/>
      <c r="Q272" s="475"/>
      <c r="R272" s="475"/>
      <c r="S272" s="475"/>
      <c r="T272" s="475"/>
      <c r="U272" s="475"/>
      <c r="V272" s="475"/>
      <c r="W272" s="475"/>
    </row>
    <row r="273" spans="2:23" s="97" customFormat="1">
      <c r="B273" s="96"/>
      <c r="H273" s="96"/>
      <c r="J273" s="1"/>
      <c r="K273" s="1"/>
      <c r="L273" s="1"/>
      <c r="O273" s="475"/>
      <c r="P273" s="475"/>
      <c r="Q273" s="475"/>
      <c r="R273" s="475"/>
      <c r="S273" s="475"/>
      <c r="T273" s="475"/>
      <c r="U273" s="475"/>
      <c r="V273" s="475"/>
      <c r="W273" s="475"/>
    </row>
    <row r="274" spans="2:23" s="97" customFormat="1">
      <c r="B274" s="96"/>
      <c r="H274" s="96"/>
      <c r="J274" s="1"/>
      <c r="K274" s="1"/>
      <c r="L274" s="1"/>
      <c r="O274" s="475"/>
      <c r="P274" s="475"/>
      <c r="Q274" s="475"/>
      <c r="R274" s="475"/>
      <c r="S274" s="475"/>
      <c r="T274" s="475"/>
      <c r="U274" s="475"/>
      <c r="V274" s="475"/>
      <c r="W274" s="475"/>
    </row>
    <row r="275" spans="2:23" s="97" customFormat="1">
      <c r="B275" s="96"/>
      <c r="H275" s="96"/>
      <c r="J275" s="1"/>
      <c r="K275" s="1"/>
      <c r="L275" s="1"/>
      <c r="O275" s="475"/>
      <c r="P275" s="475"/>
      <c r="Q275" s="475"/>
      <c r="R275" s="475"/>
      <c r="S275" s="475"/>
      <c r="T275" s="475"/>
      <c r="U275" s="475"/>
      <c r="V275" s="475"/>
      <c r="W275" s="475"/>
    </row>
    <row r="276" spans="2:23" s="97" customFormat="1">
      <c r="B276" s="96"/>
      <c r="H276" s="96"/>
      <c r="J276" s="1"/>
      <c r="K276" s="1"/>
      <c r="L276" s="1"/>
      <c r="O276" s="475"/>
      <c r="P276" s="475"/>
      <c r="Q276" s="475"/>
      <c r="R276" s="475"/>
      <c r="S276" s="475"/>
      <c r="T276" s="475"/>
      <c r="U276" s="475"/>
      <c r="V276" s="475"/>
      <c r="W276" s="475"/>
    </row>
    <row r="277" spans="2:23" s="97" customFormat="1">
      <c r="B277" s="96"/>
      <c r="H277" s="96"/>
      <c r="J277" s="1"/>
      <c r="K277" s="1"/>
      <c r="L277" s="1"/>
      <c r="O277" s="475"/>
      <c r="P277" s="475"/>
      <c r="Q277" s="475"/>
      <c r="R277" s="475"/>
      <c r="S277" s="475"/>
      <c r="T277" s="475"/>
      <c r="U277" s="475"/>
      <c r="V277" s="475"/>
      <c r="W277" s="475"/>
    </row>
    <row r="278" spans="2:23" s="97" customFormat="1">
      <c r="B278" s="96"/>
      <c r="H278" s="96"/>
      <c r="J278" s="1"/>
      <c r="K278" s="1"/>
      <c r="L278" s="1"/>
      <c r="O278" s="475"/>
      <c r="P278" s="475"/>
      <c r="Q278" s="475"/>
      <c r="R278" s="475"/>
      <c r="S278" s="475"/>
      <c r="T278" s="475"/>
      <c r="U278" s="475"/>
      <c r="V278" s="475"/>
      <c r="W278" s="475"/>
    </row>
    <row r="279" spans="2:23" s="97" customFormat="1">
      <c r="B279" s="96"/>
      <c r="H279" s="96"/>
      <c r="J279" s="1"/>
      <c r="K279" s="1"/>
      <c r="L279" s="1"/>
      <c r="O279" s="475"/>
      <c r="P279" s="475"/>
      <c r="Q279" s="475"/>
      <c r="R279" s="475"/>
      <c r="S279" s="475"/>
      <c r="T279" s="475"/>
      <c r="U279" s="475"/>
      <c r="V279" s="475"/>
      <c r="W279" s="475"/>
    </row>
    <row r="280" spans="2:23" s="97" customFormat="1">
      <c r="B280" s="96"/>
      <c r="H280" s="96"/>
      <c r="J280" s="1"/>
      <c r="K280" s="1"/>
      <c r="L280" s="1"/>
      <c r="O280" s="475"/>
      <c r="P280" s="475"/>
      <c r="Q280" s="475"/>
      <c r="R280" s="475"/>
      <c r="S280" s="475"/>
      <c r="T280" s="475"/>
      <c r="U280" s="475"/>
      <c r="V280" s="475"/>
      <c r="W280" s="475"/>
    </row>
    <row r="281" spans="2:23" s="97" customFormat="1">
      <c r="B281" s="96"/>
      <c r="H281" s="96"/>
      <c r="J281" s="1"/>
      <c r="K281" s="1"/>
      <c r="L281" s="1"/>
      <c r="O281" s="475"/>
      <c r="P281" s="475"/>
      <c r="Q281" s="475"/>
      <c r="R281" s="475"/>
      <c r="S281" s="475"/>
      <c r="T281" s="475"/>
      <c r="U281" s="475"/>
      <c r="V281" s="475"/>
      <c r="W281" s="475"/>
    </row>
    <row r="282" spans="2:23" s="97" customFormat="1">
      <c r="B282" s="96"/>
      <c r="H282" s="96"/>
      <c r="J282" s="1"/>
      <c r="K282" s="1"/>
      <c r="L282" s="1"/>
      <c r="O282" s="475"/>
      <c r="P282" s="475"/>
      <c r="Q282" s="475"/>
      <c r="R282" s="475"/>
      <c r="S282" s="475"/>
      <c r="T282" s="475"/>
      <c r="U282" s="475"/>
      <c r="V282" s="475"/>
      <c r="W282" s="475"/>
    </row>
    <row r="283" spans="2:23" s="97" customFormat="1">
      <c r="B283" s="96"/>
      <c r="H283" s="96"/>
      <c r="J283" s="1"/>
      <c r="K283" s="1"/>
      <c r="L283" s="1"/>
      <c r="O283" s="475"/>
      <c r="P283" s="475"/>
      <c r="Q283" s="475"/>
      <c r="R283" s="475"/>
      <c r="S283" s="475"/>
      <c r="T283" s="475"/>
      <c r="U283" s="475"/>
      <c r="V283" s="475"/>
      <c r="W283" s="475"/>
    </row>
    <row r="284" spans="2:23" s="97" customFormat="1">
      <c r="B284" s="96"/>
      <c r="H284" s="96"/>
      <c r="J284" s="1"/>
      <c r="K284" s="1"/>
      <c r="L284" s="1"/>
      <c r="O284" s="475"/>
      <c r="P284" s="475"/>
      <c r="Q284" s="475"/>
      <c r="R284" s="475"/>
      <c r="S284" s="475"/>
      <c r="T284" s="475"/>
      <c r="U284" s="475"/>
      <c r="V284" s="475"/>
      <c r="W284" s="475"/>
    </row>
    <row r="285" spans="2:23" s="97" customFormat="1">
      <c r="B285" s="96"/>
      <c r="H285" s="96"/>
      <c r="J285" s="1"/>
      <c r="K285" s="1"/>
      <c r="L285" s="1"/>
      <c r="O285" s="475"/>
      <c r="P285" s="475"/>
      <c r="Q285" s="475"/>
      <c r="R285" s="475"/>
      <c r="S285" s="475"/>
      <c r="T285" s="475"/>
      <c r="U285" s="475"/>
      <c r="V285" s="475"/>
      <c r="W285" s="475"/>
    </row>
    <row r="286" spans="2:23" s="97" customFormat="1">
      <c r="B286" s="96"/>
      <c r="H286" s="96"/>
      <c r="J286" s="1"/>
      <c r="K286" s="1"/>
      <c r="L286" s="1"/>
      <c r="O286" s="475"/>
      <c r="P286" s="475"/>
      <c r="Q286" s="475"/>
      <c r="R286" s="475"/>
      <c r="S286" s="475"/>
      <c r="T286" s="475"/>
      <c r="U286" s="475"/>
      <c r="V286" s="475"/>
      <c r="W286" s="475"/>
    </row>
    <row r="287" spans="2:23" s="97" customFormat="1">
      <c r="B287" s="96"/>
      <c r="H287" s="96"/>
      <c r="J287" s="1"/>
      <c r="K287" s="1"/>
      <c r="L287" s="1"/>
      <c r="O287" s="475"/>
      <c r="P287" s="475"/>
      <c r="Q287" s="475"/>
      <c r="R287" s="475"/>
      <c r="S287" s="475"/>
      <c r="T287" s="475"/>
      <c r="U287" s="475"/>
      <c r="V287" s="475"/>
      <c r="W287" s="475"/>
    </row>
    <row r="288" spans="2:23" s="97" customFormat="1">
      <c r="B288" s="96"/>
      <c r="H288" s="96"/>
      <c r="J288" s="1"/>
      <c r="K288" s="1"/>
      <c r="L288" s="1"/>
      <c r="O288" s="475"/>
      <c r="P288" s="475"/>
      <c r="Q288" s="475"/>
      <c r="R288" s="475"/>
      <c r="S288" s="475"/>
      <c r="T288" s="475"/>
      <c r="U288" s="475"/>
      <c r="V288" s="475"/>
      <c r="W288" s="475"/>
    </row>
    <row r="289" spans="2:23" s="97" customFormat="1">
      <c r="B289" s="96"/>
      <c r="H289" s="96"/>
      <c r="J289" s="1"/>
      <c r="K289" s="1"/>
      <c r="L289" s="1"/>
      <c r="O289" s="475"/>
      <c r="P289" s="475"/>
      <c r="Q289" s="475"/>
      <c r="R289" s="475"/>
      <c r="S289" s="475"/>
      <c r="T289" s="475"/>
      <c r="U289" s="475"/>
      <c r="V289" s="475"/>
      <c r="W289" s="475"/>
    </row>
    <row r="290" spans="2:23" s="97" customFormat="1">
      <c r="B290" s="96"/>
      <c r="H290" s="96"/>
      <c r="J290" s="1"/>
      <c r="K290" s="1"/>
      <c r="L290" s="1"/>
      <c r="O290" s="475"/>
      <c r="P290" s="475"/>
      <c r="Q290" s="475"/>
      <c r="R290" s="475"/>
      <c r="S290" s="475"/>
      <c r="T290" s="475"/>
      <c r="U290" s="475"/>
      <c r="V290" s="475"/>
      <c r="W290" s="475"/>
    </row>
    <row r="291" spans="2:23" s="97" customFormat="1">
      <c r="B291" s="96"/>
      <c r="H291" s="96"/>
      <c r="J291" s="1"/>
      <c r="K291" s="1"/>
      <c r="L291" s="1"/>
      <c r="O291" s="475"/>
      <c r="P291" s="475"/>
      <c r="Q291" s="475"/>
      <c r="R291" s="475"/>
      <c r="S291" s="475"/>
      <c r="T291" s="475"/>
      <c r="U291" s="475"/>
      <c r="V291" s="475"/>
      <c r="W291" s="475"/>
    </row>
    <row r="292" spans="2:23" s="97" customFormat="1">
      <c r="B292" s="96"/>
      <c r="H292" s="96"/>
      <c r="J292" s="1"/>
      <c r="K292" s="1"/>
      <c r="L292" s="1"/>
      <c r="O292" s="475"/>
      <c r="P292" s="475"/>
      <c r="Q292" s="475"/>
      <c r="R292" s="475"/>
      <c r="S292" s="475"/>
      <c r="T292" s="475"/>
      <c r="U292" s="475"/>
      <c r="V292" s="475"/>
      <c r="W292" s="475"/>
    </row>
    <row r="293" spans="2:23" s="97" customFormat="1">
      <c r="B293" s="96"/>
      <c r="H293" s="96"/>
      <c r="J293" s="1"/>
      <c r="K293" s="1"/>
      <c r="L293" s="1"/>
      <c r="O293" s="475"/>
      <c r="P293" s="475"/>
      <c r="Q293" s="475"/>
      <c r="R293" s="475"/>
      <c r="S293" s="475"/>
      <c r="T293" s="475"/>
      <c r="U293" s="475"/>
      <c r="V293" s="475"/>
      <c r="W293" s="475"/>
    </row>
    <row r="294" spans="2:23" s="97" customFormat="1">
      <c r="B294" s="96"/>
      <c r="H294" s="96"/>
      <c r="J294" s="1"/>
      <c r="K294" s="1"/>
      <c r="L294" s="1"/>
      <c r="O294" s="475"/>
      <c r="P294" s="475"/>
      <c r="Q294" s="475"/>
      <c r="R294" s="475"/>
      <c r="S294" s="475"/>
      <c r="T294" s="475"/>
      <c r="U294" s="475"/>
      <c r="V294" s="475"/>
      <c r="W294" s="475"/>
    </row>
    <row r="295" spans="2:23" s="97" customFormat="1">
      <c r="B295" s="96"/>
      <c r="H295" s="96"/>
      <c r="J295" s="1"/>
      <c r="K295" s="1"/>
      <c r="L295" s="1"/>
      <c r="O295" s="475"/>
      <c r="P295" s="475"/>
      <c r="Q295" s="475"/>
      <c r="R295" s="475"/>
      <c r="S295" s="475"/>
      <c r="T295" s="475"/>
      <c r="U295" s="475"/>
      <c r="V295" s="475"/>
      <c r="W295" s="475"/>
    </row>
    <row r="296" spans="2:23" s="97" customFormat="1">
      <c r="B296" s="96"/>
      <c r="H296" s="96"/>
      <c r="J296" s="1"/>
      <c r="K296" s="1"/>
      <c r="L296" s="1"/>
      <c r="O296" s="475"/>
      <c r="P296" s="475"/>
      <c r="Q296" s="475"/>
      <c r="R296" s="475"/>
      <c r="S296" s="475"/>
      <c r="T296" s="475"/>
      <c r="U296" s="475"/>
      <c r="V296" s="475"/>
      <c r="W296" s="475"/>
    </row>
    <row r="297" spans="2:23" s="97" customFormat="1">
      <c r="B297" s="96"/>
      <c r="H297" s="96"/>
      <c r="J297" s="1"/>
      <c r="K297" s="1"/>
      <c r="L297" s="1"/>
      <c r="O297" s="475"/>
      <c r="P297" s="475"/>
      <c r="Q297" s="475"/>
      <c r="R297" s="475"/>
      <c r="S297" s="475"/>
      <c r="T297" s="475"/>
      <c r="U297" s="475"/>
      <c r="V297" s="475"/>
      <c r="W297" s="475"/>
    </row>
    <row r="298" spans="2:23" s="97" customFormat="1">
      <c r="B298" s="96"/>
      <c r="H298" s="96"/>
      <c r="J298" s="1"/>
      <c r="K298" s="1"/>
      <c r="L298" s="1"/>
      <c r="O298" s="475"/>
      <c r="P298" s="475"/>
      <c r="Q298" s="475"/>
      <c r="R298" s="475"/>
      <c r="S298" s="475"/>
      <c r="T298" s="475"/>
      <c r="U298" s="475"/>
      <c r="V298" s="475"/>
      <c r="W298" s="475"/>
    </row>
    <row r="299" spans="2:23" s="97" customFormat="1">
      <c r="B299" s="96"/>
      <c r="H299" s="96"/>
      <c r="J299" s="1"/>
      <c r="K299" s="1"/>
      <c r="L299" s="1"/>
      <c r="O299" s="475"/>
      <c r="P299" s="475"/>
      <c r="Q299" s="475"/>
      <c r="R299" s="475"/>
      <c r="S299" s="475"/>
      <c r="T299" s="475"/>
      <c r="U299" s="475"/>
      <c r="V299" s="475"/>
      <c r="W299" s="475"/>
    </row>
    <row r="300" spans="2:23" s="97" customFormat="1">
      <c r="B300" s="96"/>
      <c r="H300" s="96"/>
      <c r="J300" s="1"/>
      <c r="K300" s="1"/>
      <c r="L300" s="1"/>
      <c r="O300" s="475"/>
      <c r="P300" s="475"/>
      <c r="Q300" s="475"/>
      <c r="R300" s="475"/>
      <c r="S300" s="475"/>
      <c r="T300" s="475"/>
      <c r="U300" s="475"/>
      <c r="V300" s="475"/>
      <c r="W300" s="475"/>
    </row>
    <row r="301" spans="2:23" s="97" customFormat="1">
      <c r="B301" s="96"/>
      <c r="H301" s="96"/>
      <c r="J301" s="1"/>
      <c r="K301" s="1"/>
      <c r="L301" s="1"/>
      <c r="O301" s="475"/>
      <c r="P301" s="475"/>
      <c r="Q301" s="475"/>
      <c r="R301" s="475"/>
      <c r="S301" s="475"/>
      <c r="T301" s="475"/>
      <c r="U301" s="475"/>
      <c r="V301" s="475"/>
      <c r="W301" s="475"/>
    </row>
    <row r="302" spans="2:23" s="97" customFormat="1">
      <c r="B302" s="96"/>
      <c r="H302" s="96"/>
      <c r="J302" s="1"/>
      <c r="K302" s="1"/>
      <c r="L302" s="1"/>
      <c r="O302" s="475"/>
      <c r="P302" s="475"/>
      <c r="Q302" s="475"/>
      <c r="R302" s="475"/>
      <c r="S302" s="475"/>
      <c r="T302" s="475"/>
      <c r="U302" s="475"/>
      <c r="V302" s="475"/>
      <c r="W302" s="475"/>
    </row>
    <row r="303" spans="2:23" s="97" customFormat="1">
      <c r="B303" s="96"/>
      <c r="H303" s="96"/>
      <c r="J303" s="1"/>
      <c r="K303" s="1"/>
      <c r="L303" s="1"/>
      <c r="O303" s="475"/>
      <c r="P303" s="475"/>
      <c r="Q303" s="475"/>
      <c r="R303" s="475"/>
      <c r="S303" s="475"/>
      <c r="T303" s="475"/>
      <c r="U303" s="475"/>
      <c r="V303" s="475"/>
      <c r="W303" s="475"/>
    </row>
    <row r="304" spans="2:23" s="97" customFormat="1">
      <c r="B304" s="96"/>
      <c r="H304" s="96"/>
      <c r="J304" s="1"/>
      <c r="K304" s="1"/>
      <c r="L304" s="1"/>
      <c r="O304" s="475"/>
      <c r="P304" s="475"/>
      <c r="Q304" s="475"/>
      <c r="R304" s="475"/>
      <c r="S304" s="475"/>
      <c r="T304" s="475"/>
      <c r="U304" s="475"/>
      <c r="V304" s="475"/>
      <c r="W304" s="475"/>
    </row>
    <row r="305" spans="2:23" s="97" customFormat="1">
      <c r="B305" s="96"/>
      <c r="H305" s="96"/>
      <c r="J305" s="1"/>
      <c r="K305" s="1"/>
      <c r="L305" s="1"/>
      <c r="O305" s="475"/>
      <c r="P305" s="475"/>
      <c r="Q305" s="475"/>
      <c r="R305" s="475"/>
      <c r="S305" s="475"/>
      <c r="T305" s="475"/>
      <c r="U305" s="475"/>
      <c r="V305" s="475"/>
      <c r="W305" s="475"/>
    </row>
    <row r="306" spans="2:23" s="97" customFormat="1">
      <c r="B306" s="96"/>
      <c r="H306" s="96"/>
      <c r="J306" s="1"/>
      <c r="K306" s="1"/>
      <c r="L306" s="1"/>
      <c r="O306" s="475"/>
      <c r="P306" s="475"/>
      <c r="Q306" s="475"/>
      <c r="R306" s="475"/>
      <c r="S306" s="475"/>
      <c r="T306" s="475"/>
      <c r="U306" s="475"/>
      <c r="V306" s="475"/>
      <c r="W306" s="475"/>
    </row>
    <row r="307" spans="2:23" s="97" customFormat="1">
      <c r="B307" s="96"/>
      <c r="H307" s="96"/>
      <c r="J307" s="1"/>
      <c r="K307" s="1"/>
      <c r="L307" s="1"/>
      <c r="O307" s="475"/>
      <c r="P307" s="475"/>
      <c r="Q307" s="475"/>
      <c r="R307" s="475"/>
      <c r="S307" s="475"/>
      <c r="T307" s="475"/>
      <c r="U307" s="475"/>
      <c r="V307" s="475"/>
      <c r="W307" s="475"/>
    </row>
    <row r="308" spans="2:23" s="97" customFormat="1">
      <c r="B308" s="96"/>
      <c r="H308" s="96"/>
      <c r="J308" s="1"/>
      <c r="K308" s="1"/>
      <c r="L308" s="1"/>
      <c r="O308" s="475"/>
      <c r="P308" s="475"/>
      <c r="Q308" s="475"/>
      <c r="R308" s="475"/>
      <c r="S308" s="475"/>
      <c r="T308" s="475"/>
      <c r="U308" s="475"/>
      <c r="V308" s="475"/>
      <c r="W308" s="475"/>
    </row>
    <row r="309" spans="2:23" s="97" customFormat="1">
      <c r="B309" s="96"/>
      <c r="H309" s="96"/>
      <c r="J309" s="1"/>
      <c r="K309" s="1"/>
      <c r="L309" s="1"/>
      <c r="O309" s="475"/>
      <c r="P309" s="475"/>
      <c r="Q309" s="475"/>
      <c r="R309" s="475"/>
      <c r="S309" s="475"/>
      <c r="T309" s="475"/>
      <c r="U309" s="475"/>
      <c r="V309" s="475"/>
      <c r="W309" s="475"/>
    </row>
    <row r="310" spans="2:23" s="97" customFormat="1">
      <c r="B310" s="96"/>
      <c r="H310" s="96"/>
      <c r="J310" s="1"/>
      <c r="K310" s="1"/>
      <c r="L310" s="1"/>
      <c r="O310" s="475"/>
      <c r="P310" s="475"/>
      <c r="Q310" s="475"/>
      <c r="R310" s="475"/>
      <c r="S310" s="475"/>
      <c r="T310" s="475"/>
      <c r="U310" s="475"/>
      <c r="V310" s="475"/>
      <c r="W310" s="475"/>
    </row>
    <row r="311" spans="2:23" s="97" customFormat="1">
      <c r="B311" s="96"/>
      <c r="H311" s="96"/>
      <c r="J311" s="1"/>
      <c r="K311" s="1"/>
      <c r="L311" s="1"/>
      <c r="O311" s="475"/>
      <c r="P311" s="475"/>
      <c r="Q311" s="475"/>
      <c r="R311" s="475"/>
      <c r="S311" s="475"/>
      <c r="T311" s="475"/>
      <c r="U311" s="475"/>
      <c r="V311" s="475"/>
      <c r="W311" s="475"/>
    </row>
    <row r="312" spans="2:23" s="97" customFormat="1">
      <c r="B312" s="96"/>
      <c r="H312" s="96"/>
      <c r="J312" s="1"/>
      <c r="K312" s="1"/>
      <c r="L312" s="1"/>
      <c r="O312" s="475"/>
      <c r="P312" s="475"/>
      <c r="Q312" s="475"/>
      <c r="R312" s="475"/>
      <c r="S312" s="475"/>
      <c r="T312" s="475"/>
      <c r="U312" s="475"/>
      <c r="V312" s="475"/>
      <c r="W312" s="475"/>
    </row>
    <row r="313" spans="2:23" s="97" customFormat="1">
      <c r="B313" s="96"/>
      <c r="H313" s="96"/>
      <c r="J313" s="1"/>
      <c r="K313" s="1"/>
      <c r="L313" s="1"/>
      <c r="O313" s="475"/>
      <c r="P313" s="475"/>
      <c r="Q313" s="475"/>
      <c r="R313" s="475"/>
      <c r="S313" s="475"/>
      <c r="T313" s="475"/>
      <c r="U313" s="475"/>
      <c r="V313" s="475"/>
      <c r="W313" s="475"/>
    </row>
    <row r="314" spans="2:23" s="97" customFormat="1">
      <c r="B314" s="96"/>
      <c r="H314" s="96"/>
      <c r="J314" s="1"/>
      <c r="K314" s="1"/>
      <c r="L314" s="1"/>
      <c r="O314" s="475"/>
      <c r="P314" s="475"/>
      <c r="Q314" s="475"/>
      <c r="R314" s="475"/>
      <c r="S314" s="475"/>
      <c r="T314" s="475"/>
      <c r="U314" s="475"/>
      <c r="V314" s="475"/>
      <c r="W314" s="475"/>
    </row>
    <row r="315" spans="2:23" s="97" customFormat="1">
      <c r="B315" s="96"/>
      <c r="H315" s="96"/>
      <c r="J315" s="1"/>
      <c r="K315" s="1"/>
      <c r="L315" s="1"/>
      <c r="O315" s="475"/>
      <c r="P315" s="475"/>
      <c r="Q315" s="475"/>
      <c r="R315" s="475"/>
      <c r="S315" s="475"/>
      <c r="T315" s="475"/>
      <c r="U315" s="475"/>
      <c r="V315" s="475"/>
      <c r="W315" s="475"/>
    </row>
    <row r="316" spans="2:23" s="97" customFormat="1">
      <c r="B316" s="96"/>
      <c r="H316" s="96"/>
      <c r="J316" s="1"/>
      <c r="K316" s="1"/>
      <c r="L316" s="1"/>
      <c r="O316" s="475"/>
      <c r="P316" s="475"/>
      <c r="Q316" s="475"/>
      <c r="R316" s="475"/>
      <c r="S316" s="475"/>
      <c r="T316" s="475"/>
      <c r="U316" s="475"/>
      <c r="V316" s="475"/>
      <c r="W316" s="475"/>
    </row>
    <row r="317" spans="2:23" s="97" customFormat="1">
      <c r="B317" s="96"/>
      <c r="H317" s="96"/>
      <c r="J317" s="1"/>
      <c r="K317" s="1"/>
      <c r="L317" s="1"/>
      <c r="O317" s="475"/>
      <c r="P317" s="475"/>
      <c r="Q317" s="475"/>
      <c r="R317" s="475"/>
      <c r="S317" s="475"/>
      <c r="T317" s="475"/>
      <c r="U317" s="475"/>
      <c r="V317" s="475"/>
      <c r="W317" s="475"/>
    </row>
    <row r="318" spans="2:23" s="97" customFormat="1">
      <c r="B318" s="96"/>
      <c r="H318" s="96"/>
      <c r="J318" s="1"/>
      <c r="K318" s="1"/>
      <c r="L318" s="1"/>
      <c r="O318" s="475"/>
      <c r="P318" s="475"/>
      <c r="Q318" s="475"/>
      <c r="R318" s="475"/>
      <c r="S318" s="475"/>
      <c r="T318" s="475"/>
      <c r="U318" s="475"/>
      <c r="V318" s="475"/>
      <c r="W318" s="475"/>
    </row>
    <row r="319" spans="2:23" s="97" customFormat="1">
      <c r="B319" s="96"/>
      <c r="H319" s="96"/>
      <c r="J319" s="1"/>
      <c r="K319" s="1"/>
      <c r="L319" s="1"/>
      <c r="O319" s="475"/>
      <c r="P319" s="475"/>
      <c r="Q319" s="475"/>
      <c r="R319" s="475"/>
      <c r="S319" s="475"/>
      <c r="T319" s="475"/>
      <c r="U319" s="475"/>
      <c r="V319" s="475"/>
      <c r="W319" s="475"/>
    </row>
    <row r="320" spans="2:23" s="97" customFormat="1">
      <c r="B320" s="96"/>
      <c r="H320" s="96"/>
      <c r="J320" s="1"/>
      <c r="K320" s="1"/>
      <c r="L320" s="1"/>
      <c r="O320" s="475"/>
      <c r="P320" s="475"/>
      <c r="Q320" s="475"/>
      <c r="R320" s="475"/>
      <c r="S320" s="475"/>
      <c r="T320" s="475"/>
      <c r="U320" s="475"/>
      <c r="V320" s="475"/>
      <c r="W320" s="475"/>
    </row>
    <row r="321" spans="2:23" s="97" customFormat="1">
      <c r="B321" s="96"/>
      <c r="H321" s="96"/>
      <c r="J321" s="1"/>
      <c r="K321" s="1"/>
      <c r="L321" s="1"/>
      <c r="O321" s="475"/>
      <c r="P321" s="475"/>
      <c r="Q321" s="475"/>
      <c r="R321" s="475"/>
      <c r="S321" s="475"/>
      <c r="T321" s="475"/>
      <c r="U321" s="475"/>
      <c r="V321" s="475"/>
      <c r="W321" s="475"/>
    </row>
    <row r="322" spans="2:23" s="97" customFormat="1">
      <c r="B322" s="96"/>
      <c r="H322" s="96"/>
      <c r="J322" s="1"/>
      <c r="K322" s="1"/>
      <c r="L322" s="1"/>
      <c r="O322" s="475"/>
      <c r="P322" s="475"/>
      <c r="Q322" s="475"/>
      <c r="R322" s="475"/>
      <c r="S322" s="475"/>
      <c r="T322" s="475"/>
      <c r="U322" s="475"/>
      <c r="V322" s="475"/>
      <c r="W322" s="475"/>
    </row>
    <row r="323" spans="2:23" s="97" customFormat="1">
      <c r="B323" s="96"/>
      <c r="H323" s="96"/>
      <c r="J323" s="1"/>
      <c r="K323" s="1"/>
      <c r="L323" s="1"/>
      <c r="O323" s="475"/>
      <c r="P323" s="475"/>
      <c r="Q323" s="475"/>
      <c r="R323" s="475"/>
      <c r="S323" s="475"/>
      <c r="T323" s="475"/>
      <c r="U323" s="475"/>
      <c r="V323" s="475"/>
      <c r="W323" s="475"/>
    </row>
    <row r="324" spans="2:23" s="97" customFormat="1">
      <c r="B324" s="96"/>
      <c r="H324" s="96"/>
      <c r="J324" s="1"/>
      <c r="K324" s="1"/>
      <c r="L324" s="1"/>
      <c r="O324" s="475"/>
      <c r="P324" s="475"/>
      <c r="Q324" s="475"/>
      <c r="R324" s="475"/>
      <c r="S324" s="475"/>
      <c r="T324" s="475"/>
      <c r="U324" s="475"/>
      <c r="V324" s="475"/>
      <c r="W324" s="475"/>
    </row>
    <row r="325" spans="2:23" s="97" customFormat="1">
      <c r="B325" s="96"/>
      <c r="H325" s="96"/>
      <c r="J325" s="1"/>
      <c r="K325" s="1"/>
      <c r="L325" s="1"/>
      <c r="O325" s="475"/>
      <c r="P325" s="475"/>
      <c r="Q325" s="475"/>
      <c r="R325" s="475"/>
      <c r="S325" s="475"/>
      <c r="T325" s="475"/>
      <c r="U325" s="475"/>
      <c r="V325" s="475"/>
      <c r="W325" s="475"/>
    </row>
    <row r="326" spans="2:23" s="97" customFormat="1">
      <c r="B326" s="96"/>
      <c r="H326" s="96"/>
      <c r="J326" s="1"/>
      <c r="K326" s="1"/>
      <c r="L326" s="1"/>
      <c r="O326" s="475"/>
      <c r="P326" s="475"/>
      <c r="Q326" s="475"/>
      <c r="R326" s="475"/>
      <c r="S326" s="475"/>
      <c r="T326" s="475"/>
      <c r="U326" s="475"/>
      <c r="V326" s="475"/>
      <c r="W326" s="475"/>
    </row>
    <row r="327" spans="2:23" s="97" customFormat="1">
      <c r="B327" s="96"/>
      <c r="H327" s="96"/>
      <c r="J327" s="1"/>
      <c r="K327" s="1"/>
      <c r="L327" s="1"/>
      <c r="O327" s="475"/>
      <c r="P327" s="475"/>
      <c r="Q327" s="475"/>
      <c r="R327" s="475"/>
      <c r="S327" s="475"/>
      <c r="T327" s="475"/>
      <c r="U327" s="475"/>
      <c r="V327" s="475"/>
      <c r="W327" s="475"/>
    </row>
    <row r="328" spans="2:23" s="97" customFormat="1">
      <c r="B328" s="96"/>
      <c r="H328" s="96"/>
      <c r="J328" s="1"/>
      <c r="K328" s="1"/>
      <c r="L328" s="1"/>
      <c r="O328" s="475"/>
      <c r="P328" s="475"/>
      <c r="Q328" s="475"/>
      <c r="R328" s="475"/>
      <c r="S328" s="475"/>
      <c r="T328" s="475"/>
      <c r="U328" s="475"/>
      <c r="V328" s="475"/>
      <c r="W328" s="475"/>
    </row>
    <row r="329" spans="2:23" s="97" customFormat="1">
      <c r="B329" s="96"/>
      <c r="H329" s="96"/>
      <c r="J329" s="1"/>
      <c r="K329" s="1"/>
      <c r="L329" s="1"/>
      <c r="O329" s="475"/>
      <c r="P329" s="475"/>
      <c r="Q329" s="475"/>
      <c r="R329" s="475"/>
      <c r="S329" s="475"/>
      <c r="T329" s="475"/>
      <c r="U329" s="475"/>
      <c r="V329" s="475"/>
      <c r="W329" s="475"/>
    </row>
    <row r="330" spans="2:23" s="97" customFormat="1">
      <c r="B330" s="96"/>
      <c r="H330" s="96"/>
      <c r="J330" s="1"/>
      <c r="K330" s="1"/>
      <c r="L330" s="1"/>
      <c r="O330" s="475"/>
      <c r="P330" s="475"/>
      <c r="Q330" s="475"/>
      <c r="R330" s="475"/>
      <c r="S330" s="475"/>
      <c r="T330" s="475"/>
      <c r="U330" s="475"/>
      <c r="V330" s="475"/>
      <c r="W330" s="475"/>
    </row>
    <row r="331" spans="2:23" s="97" customFormat="1">
      <c r="B331" s="96"/>
      <c r="H331" s="96"/>
      <c r="J331" s="1"/>
      <c r="K331" s="1"/>
      <c r="L331" s="1"/>
      <c r="O331" s="475"/>
      <c r="P331" s="475"/>
      <c r="Q331" s="475"/>
      <c r="R331" s="475"/>
      <c r="S331" s="475"/>
      <c r="T331" s="475"/>
      <c r="U331" s="475"/>
      <c r="V331" s="475"/>
      <c r="W331" s="475"/>
    </row>
    <row r="332" spans="2:23" s="97" customFormat="1">
      <c r="B332" s="96"/>
      <c r="H332" s="96"/>
      <c r="J332" s="1"/>
      <c r="K332" s="1"/>
      <c r="L332" s="1"/>
      <c r="O332" s="475"/>
      <c r="P332" s="475"/>
      <c r="Q332" s="475"/>
      <c r="R332" s="475"/>
      <c r="S332" s="475"/>
      <c r="T332" s="475"/>
      <c r="U332" s="475"/>
      <c r="V332" s="475"/>
      <c r="W332" s="475"/>
    </row>
    <row r="333" spans="2:23" s="97" customFormat="1">
      <c r="B333" s="96"/>
      <c r="H333" s="96"/>
      <c r="J333" s="1"/>
      <c r="K333" s="1"/>
      <c r="L333" s="1"/>
      <c r="O333" s="475"/>
      <c r="P333" s="475"/>
      <c r="Q333" s="475"/>
      <c r="R333" s="475"/>
      <c r="S333" s="475"/>
      <c r="T333" s="475"/>
      <c r="U333" s="475"/>
      <c r="V333" s="475"/>
      <c r="W333" s="475"/>
    </row>
    <row r="334" spans="2:23" s="97" customFormat="1">
      <c r="B334" s="96"/>
      <c r="H334" s="96"/>
      <c r="J334" s="1"/>
      <c r="K334" s="1"/>
      <c r="L334" s="1"/>
      <c r="O334" s="475"/>
      <c r="P334" s="475"/>
      <c r="Q334" s="475"/>
      <c r="R334" s="475"/>
      <c r="S334" s="475"/>
      <c r="T334" s="475"/>
      <c r="U334" s="475"/>
      <c r="V334" s="475"/>
      <c r="W334" s="475"/>
    </row>
    <row r="335" spans="2:23" s="97" customFormat="1">
      <c r="B335" s="96"/>
      <c r="H335" s="96"/>
      <c r="J335" s="1"/>
      <c r="K335" s="1"/>
      <c r="L335" s="1"/>
      <c r="O335" s="475"/>
      <c r="P335" s="475"/>
      <c r="Q335" s="475"/>
      <c r="R335" s="475"/>
      <c r="S335" s="475"/>
      <c r="T335" s="475"/>
      <c r="U335" s="475"/>
      <c r="V335" s="475"/>
      <c r="W335" s="475"/>
    </row>
    <row r="336" spans="2:23" s="97" customFormat="1">
      <c r="B336" s="96"/>
      <c r="H336" s="96"/>
      <c r="J336" s="1"/>
      <c r="K336" s="1"/>
      <c r="L336" s="1"/>
      <c r="O336" s="475"/>
      <c r="P336" s="475"/>
      <c r="Q336" s="475"/>
      <c r="R336" s="475"/>
      <c r="S336" s="475"/>
      <c r="T336" s="475"/>
      <c r="U336" s="475"/>
      <c r="V336" s="475"/>
      <c r="W336" s="475"/>
    </row>
    <row r="337" spans="2:23" s="97" customFormat="1">
      <c r="B337" s="96"/>
      <c r="H337" s="96"/>
      <c r="J337" s="1"/>
      <c r="K337" s="1"/>
      <c r="L337" s="1"/>
      <c r="O337" s="475"/>
      <c r="P337" s="475"/>
      <c r="Q337" s="475"/>
      <c r="R337" s="475"/>
      <c r="S337" s="475"/>
      <c r="T337" s="475"/>
      <c r="U337" s="475"/>
      <c r="V337" s="475"/>
      <c r="W337" s="475"/>
    </row>
    <row r="338" spans="2:23" s="97" customFormat="1">
      <c r="B338" s="96"/>
      <c r="H338" s="96"/>
      <c r="J338" s="1"/>
      <c r="K338" s="1"/>
      <c r="L338" s="1"/>
      <c r="O338" s="475"/>
      <c r="P338" s="475"/>
      <c r="Q338" s="475"/>
      <c r="R338" s="475"/>
      <c r="S338" s="475"/>
      <c r="T338" s="475"/>
      <c r="U338" s="475"/>
      <c r="V338" s="475"/>
      <c r="W338" s="475"/>
    </row>
    <row r="339" spans="2:23" s="97" customFormat="1">
      <c r="B339" s="96"/>
      <c r="H339" s="96"/>
      <c r="J339" s="1"/>
      <c r="K339" s="1"/>
      <c r="L339" s="1"/>
      <c r="O339" s="475"/>
      <c r="P339" s="475"/>
      <c r="Q339" s="475"/>
      <c r="R339" s="475"/>
      <c r="S339" s="475"/>
      <c r="T339" s="475"/>
      <c r="U339" s="475"/>
      <c r="V339" s="475"/>
      <c r="W339" s="475"/>
    </row>
    <row r="340" spans="2:23" s="97" customFormat="1">
      <c r="B340" s="96"/>
      <c r="H340" s="96"/>
      <c r="J340" s="1"/>
      <c r="K340" s="1"/>
      <c r="L340" s="1"/>
      <c r="O340" s="475"/>
      <c r="P340" s="475"/>
      <c r="Q340" s="475"/>
      <c r="R340" s="475"/>
      <c r="S340" s="475"/>
      <c r="T340" s="475"/>
      <c r="U340" s="475"/>
      <c r="V340" s="475"/>
      <c r="W340" s="475"/>
    </row>
    <row r="341" spans="2:23" s="97" customFormat="1">
      <c r="B341" s="96"/>
      <c r="H341" s="96"/>
      <c r="J341" s="1"/>
      <c r="K341" s="1"/>
      <c r="L341" s="1"/>
      <c r="O341" s="475"/>
      <c r="P341" s="475"/>
      <c r="Q341" s="475"/>
      <c r="R341" s="475"/>
      <c r="S341" s="475"/>
      <c r="T341" s="475"/>
      <c r="U341" s="475"/>
      <c r="V341" s="475"/>
      <c r="W341" s="475"/>
    </row>
    <row r="342" spans="2:23" s="97" customFormat="1">
      <c r="B342" s="96"/>
      <c r="H342" s="96"/>
      <c r="J342" s="1"/>
      <c r="K342" s="1"/>
      <c r="L342" s="1"/>
      <c r="O342" s="475"/>
      <c r="P342" s="475"/>
      <c r="Q342" s="475"/>
      <c r="R342" s="475"/>
      <c r="S342" s="475"/>
      <c r="T342" s="475"/>
      <c r="U342" s="475"/>
      <c r="V342" s="475"/>
      <c r="W342" s="475"/>
    </row>
    <row r="343" spans="2:23" s="97" customFormat="1">
      <c r="B343" s="96"/>
      <c r="H343" s="96"/>
      <c r="J343" s="1"/>
      <c r="K343" s="1"/>
      <c r="L343" s="1"/>
      <c r="O343" s="475"/>
      <c r="P343" s="475"/>
      <c r="Q343" s="475"/>
      <c r="R343" s="475"/>
      <c r="S343" s="475"/>
      <c r="T343" s="475"/>
      <c r="U343" s="475"/>
      <c r="V343" s="475"/>
      <c r="W343" s="475"/>
    </row>
    <row r="344" spans="2:23" s="97" customFormat="1">
      <c r="B344" s="96"/>
      <c r="H344" s="96"/>
      <c r="J344" s="1"/>
      <c r="K344" s="1"/>
      <c r="L344" s="1"/>
      <c r="O344" s="475"/>
      <c r="P344" s="475"/>
      <c r="Q344" s="475"/>
      <c r="R344" s="475"/>
      <c r="S344" s="475"/>
      <c r="T344" s="475"/>
      <c r="U344" s="475"/>
      <c r="V344" s="475"/>
      <c r="W344" s="475"/>
    </row>
    <row r="345" spans="2:23" s="97" customFormat="1">
      <c r="B345" s="96"/>
      <c r="H345" s="96"/>
      <c r="J345" s="1"/>
      <c r="K345" s="1"/>
      <c r="L345" s="1"/>
      <c r="O345" s="475"/>
      <c r="P345" s="475"/>
      <c r="Q345" s="475"/>
      <c r="R345" s="475"/>
      <c r="S345" s="475"/>
      <c r="T345" s="475"/>
      <c r="U345" s="475"/>
      <c r="V345" s="475"/>
      <c r="W345" s="475"/>
    </row>
    <row r="346" spans="2:23" s="97" customFormat="1">
      <c r="B346" s="96"/>
      <c r="H346" s="96"/>
      <c r="J346" s="1"/>
      <c r="K346" s="1"/>
      <c r="L346" s="1"/>
      <c r="O346" s="475"/>
      <c r="P346" s="475"/>
      <c r="Q346" s="475"/>
      <c r="R346" s="475"/>
      <c r="S346" s="475"/>
      <c r="T346" s="475"/>
      <c r="U346" s="475"/>
      <c r="V346" s="475"/>
      <c r="W346" s="475"/>
    </row>
    <row r="347" spans="2:23" s="97" customFormat="1">
      <c r="B347" s="96"/>
      <c r="H347" s="96"/>
      <c r="J347" s="1"/>
      <c r="K347" s="1"/>
      <c r="L347" s="1"/>
      <c r="O347" s="475"/>
      <c r="P347" s="475"/>
      <c r="Q347" s="475"/>
      <c r="R347" s="475"/>
      <c r="S347" s="475"/>
      <c r="T347" s="475"/>
      <c r="U347" s="475"/>
      <c r="V347" s="475"/>
      <c r="W347" s="475"/>
    </row>
    <row r="348" spans="2:23" s="97" customFormat="1">
      <c r="B348" s="96"/>
      <c r="H348" s="96"/>
      <c r="J348" s="1"/>
      <c r="K348" s="1"/>
      <c r="L348" s="1"/>
      <c r="O348" s="475"/>
      <c r="P348" s="475"/>
      <c r="Q348" s="475"/>
      <c r="R348" s="475"/>
      <c r="S348" s="475"/>
      <c r="T348" s="475"/>
      <c r="U348" s="475"/>
      <c r="V348" s="475"/>
      <c r="W348" s="475"/>
    </row>
    <row r="349" spans="2:23" s="97" customFormat="1">
      <c r="B349" s="96"/>
      <c r="H349" s="96"/>
      <c r="J349" s="1"/>
      <c r="K349" s="1"/>
      <c r="L349" s="1"/>
      <c r="O349" s="475"/>
      <c r="P349" s="475"/>
      <c r="Q349" s="475"/>
      <c r="R349" s="475"/>
      <c r="S349" s="475"/>
      <c r="T349" s="475"/>
      <c r="U349" s="475"/>
      <c r="V349" s="475"/>
      <c r="W349" s="475"/>
    </row>
    <row r="350" spans="2:23" s="97" customFormat="1">
      <c r="B350" s="96"/>
      <c r="H350" s="96"/>
      <c r="J350" s="1"/>
      <c r="K350" s="1"/>
      <c r="L350" s="1"/>
      <c r="O350" s="475"/>
      <c r="P350" s="475"/>
      <c r="Q350" s="475"/>
      <c r="R350" s="475"/>
      <c r="S350" s="475"/>
      <c r="T350" s="475"/>
      <c r="U350" s="475"/>
      <c r="V350" s="475"/>
      <c r="W350" s="475"/>
    </row>
    <row r="351" spans="2:23" s="97" customFormat="1">
      <c r="B351" s="96"/>
      <c r="H351" s="96"/>
      <c r="J351" s="1"/>
      <c r="K351" s="1"/>
      <c r="L351" s="1"/>
      <c r="O351" s="475"/>
      <c r="P351" s="475"/>
      <c r="Q351" s="475"/>
      <c r="R351" s="475"/>
      <c r="S351" s="475"/>
      <c r="T351" s="475"/>
      <c r="U351" s="475"/>
      <c r="V351" s="475"/>
      <c r="W351" s="475"/>
    </row>
    <row r="352" spans="2:23" s="97" customFormat="1">
      <c r="B352" s="96"/>
      <c r="H352" s="96"/>
      <c r="J352" s="1"/>
      <c r="K352" s="1"/>
      <c r="L352" s="1"/>
      <c r="O352" s="475"/>
      <c r="P352" s="475"/>
      <c r="Q352" s="475"/>
      <c r="R352" s="475"/>
      <c r="S352" s="475"/>
      <c r="T352" s="475"/>
      <c r="U352" s="475"/>
      <c r="V352" s="475"/>
      <c r="W352" s="475"/>
    </row>
    <row r="353" spans="2:23" s="97" customFormat="1">
      <c r="B353" s="96"/>
      <c r="H353" s="96"/>
      <c r="J353" s="1"/>
      <c r="K353" s="1"/>
      <c r="L353" s="1"/>
      <c r="O353" s="475"/>
      <c r="P353" s="475"/>
      <c r="Q353" s="475"/>
      <c r="R353" s="475"/>
      <c r="S353" s="475"/>
      <c r="T353" s="475"/>
      <c r="U353" s="475"/>
      <c r="V353" s="475"/>
      <c r="W353" s="475"/>
    </row>
    <row r="354" spans="2:23" s="97" customFormat="1">
      <c r="B354" s="96"/>
      <c r="H354" s="96"/>
      <c r="J354" s="1"/>
      <c r="K354" s="1"/>
      <c r="L354" s="1"/>
      <c r="O354" s="475"/>
      <c r="P354" s="475"/>
      <c r="Q354" s="475"/>
      <c r="R354" s="475"/>
      <c r="S354" s="475"/>
      <c r="T354" s="475"/>
      <c r="U354" s="475"/>
      <c r="V354" s="475"/>
      <c r="W354" s="475"/>
    </row>
    <row r="355" spans="2:23" s="97" customFormat="1">
      <c r="B355" s="96"/>
      <c r="H355" s="96"/>
      <c r="J355" s="1"/>
      <c r="K355" s="1"/>
      <c r="L355" s="1"/>
      <c r="O355" s="475"/>
      <c r="P355" s="475"/>
      <c r="Q355" s="475"/>
      <c r="R355" s="475"/>
      <c r="S355" s="475"/>
      <c r="T355" s="475"/>
      <c r="U355" s="475"/>
      <c r="V355" s="475"/>
      <c r="W355" s="475"/>
    </row>
    <row r="356" spans="2:23" s="97" customFormat="1">
      <c r="B356" s="96"/>
      <c r="H356" s="96"/>
      <c r="J356" s="1"/>
      <c r="K356" s="1"/>
      <c r="L356" s="1"/>
      <c r="O356" s="475"/>
      <c r="P356" s="475"/>
      <c r="Q356" s="475"/>
      <c r="R356" s="475"/>
      <c r="S356" s="475"/>
      <c r="T356" s="475"/>
      <c r="U356" s="475"/>
      <c r="V356" s="475"/>
      <c r="W356" s="475"/>
    </row>
    <row r="357" spans="2:23" s="97" customFormat="1">
      <c r="B357" s="96"/>
      <c r="H357" s="96"/>
      <c r="J357" s="1"/>
      <c r="K357" s="1"/>
      <c r="L357" s="1"/>
      <c r="O357" s="475"/>
      <c r="P357" s="475"/>
      <c r="Q357" s="475"/>
      <c r="R357" s="475"/>
      <c r="S357" s="475"/>
      <c r="T357" s="475"/>
      <c r="U357" s="475"/>
      <c r="V357" s="475"/>
      <c r="W357" s="475"/>
    </row>
    <row r="358" spans="2:23" s="97" customFormat="1">
      <c r="B358" s="96"/>
      <c r="H358" s="96"/>
      <c r="J358" s="1"/>
      <c r="K358" s="1"/>
      <c r="L358" s="1"/>
      <c r="O358" s="475"/>
      <c r="P358" s="475"/>
      <c r="Q358" s="475"/>
      <c r="R358" s="475"/>
      <c r="S358" s="475"/>
      <c r="T358" s="475"/>
      <c r="U358" s="475"/>
      <c r="V358" s="475"/>
      <c r="W358" s="475"/>
    </row>
    <row r="359" spans="2:23" s="97" customFormat="1">
      <c r="B359" s="96"/>
      <c r="H359" s="96"/>
      <c r="J359" s="1"/>
      <c r="K359" s="1"/>
      <c r="L359" s="1"/>
      <c r="O359" s="475"/>
      <c r="P359" s="475"/>
      <c r="Q359" s="475"/>
      <c r="R359" s="475"/>
      <c r="S359" s="475"/>
      <c r="T359" s="475"/>
      <c r="U359" s="475"/>
      <c r="V359" s="475"/>
      <c r="W359" s="475"/>
    </row>
    <row r="360" spans="2:23" s="97" customFormat="1">
      <c r="B360" s="96"/>
      <c r="H360" s="96"/>
      <c r="J360" s="1"/>
      <c r="K360" s="1"/>
      <c r="L360" s="1"/>
      <c r="O360" s="475"/>
      <c r="P360" s="475"/>
      <c r="Q360" s="475"/>
      <c r="R360" s="475"/>
      <c r="S360" s="475"/>
      <c r="T360" s="475"/>
      <c r="U360" s="475"/>
      <c r="V360" s="475"/>
      <c r="W360" s="475"/>
    </row>
    <row r="361" spans="2:23" s="97" customFormat="1">
      <c r="B361" s="96"/>
      <c r="H361" s="96"/>
      <c r="J361" s="1"/>
      <c r="K361" s="1"/>
      <c r="L361" s="1"/>
      <c r="O361" s="475"/>
      <c r="P361" s="475"/>
      <c r="Q361" s="475"/>
      <c r="R361" s="475"/>
      <c r="S361" s="475"/>
      <c r="T361" s="475"/>
      <c r="U361" s="475"/>
      <c r="V361" s="475"/>
      <c r="W361" s="475"/>
    </row>
    <row r="362" spans="2:23" s="97" customFormat="1">
      <c r="B362" s="96"/>
      <c r="H362" s="96"/>
      <c r="J362" s="1"/>
      <c r="K362" s="1"/>
      <c r="L362" s="1"/>
      <c r="O362" s="475"/>
      <c r="P362" s="475"/>
      <c r="Q362" s="475"/>
      <c r="R362" s="475"/>
      <c r="S362" s="475"/>
      <c r="T362" s="475"/>
      <c r="U362" s="475"/>
      <c r="V362" s="475"/>
      <c r="W362" s="475"/>
    </row>
    <row r="363" spans="2:23" s="97" customFormat="1">
      <c r="B363" s="96"/>
      <c r="H363" s="96"/>
      <c r="J363" s="1"/>
      <c r="K363" s="1"/>
      <c r="L363" s="1"/>
      <c r="O363" s="475"/>
      <c r="P363" s="475"/>
      <c r="Q363" s="475"/>
      <c r="R363" s="475"/>
      <c r="S363" s="475"/>
      <c r="T363" s="475"/>
      <c r="U363" s="475"/>
      <c r="V363" s="475"/>
      <c r="W363" s="475"/>
    </row>
    <row r="364" spans="2:23" s="97" customFormat="1">
      <c r="B364" s="96"/>
      <c r="H364" s="96"/>
      <c r="J364" s="1"/>
      <c r="K364" s="1"/>
      <c r="L364" s="1"/>
      <c r="O364" s="475"/>
      <c r="P364" s="475"/>
      <c r="Q364" s="475"/>
      <c r="R364" s="475"/>
      <c r="S364" s="475"/>
      <c r="T364" s="475"/>
      <c r="U364" s="475"/>
      <c r="V364" s="475"/>
      <c r="W364" s="475"/>
    </row>
    <row r="365" spans="2:23" s="97" customFormat="1">
      <c r="B365" s="96"/>
      <c r="H365" s="96"/>
      <c r="J365" s="1"/>
      <c r="K365" s="1"/>
      <c r="L365" s="1"/>
      <c r="O365" s="475"/>
      <c r="P365" s="475"/>
      <c r="Q365" s="475"/>
      <c r="R365" s="475"/>
      <c r="S365" s="475"/>
      <c r="T365" s="475"/>
      <c r="U365" s="475"/>
      <c r="V365" s="475"/>
      <c r="W365" s="475"/>
    </row>
    <row r="366" spans="2:23" s="97" customFormat="1">
      <c r="B366" s="96"/>
      <c r="H366" s="96"/>
      <c r="J366" s="1"/>
      <c r="K366" s="1"/>
      <c r="L366" s="1"/>
      <c r="O366" s="475"/>
      <c r="P366" s="475"/>
      <c r="Q366" s="475"/>
      <c r="R366" s="475"/>
      <c r="S366" s="475"/>
      <c r="T366" s="475"/>
      <c r="U366" s="475"/>
      <c r="V366" s="475"/>
      <c r="W366" s="475"/>
    </row>
    <row r="367" spans="2:23" s="97" customFormat="1">
      <c r="B367" s="96"/>
      <c r="H367" s="96"/>
      <c r="J367" s="1"/>
      <c r="K367" s="1"/>
      <c r="L367" s="1"/>
      <c r="O367" s="475"/>
      <c r="P367" s="475"/>
      <c r="Q367" s="475"/>
      <c r="R367" s="475"/>
      <c r="S367" s="475"/>
      <c r="T367" s="475"/>
      <c r="U367" s="475"/>
      <c r="V367" s="475"/>
      <c r="W367" s="475"/>
    </row>
    <row r="368" spans="2:23" s="97" customFormat="1">
      <c r="B368" s="96"/>
      <c r="H368" s="96"/>
      <c r="J368" s="1"/>
      <c r="K368" s="1"/>
      <c r="L368" s="1"/>
      <c r="O368" s="475"/>
      <c r="P368" s="475"/>
      <c r="Q368" s="475"/>
      <c r="R368" s="475"/>
      <c r="S368" s="475"/>
      <c r="T368" s="475"/>
      <c r="U368" s="475"/>
      <c r="V368" s="475"/>
      <c r="W368" s="475"/>
    </row>
    <row r="369" spans="2:23" s="97" customFormat="1">
      <c r="B369" s="96"/>
      <c r="H369" s="96"/>
      <c r="J369" s="1"/>
      <c r="K369" s="1"/>
      <c r="L369" s="1"/>
      <c r="O369" s="475"/>
      <c r="P369" s="475"/>
      <c r="Q369" s="475"/>
      <c r="R369" s="475"/>
      <c r="S369" s="475"/>
      <c r="T369" s="475"/>
      <c r="U369" s="475"/>
      <c r="V369" s="475"/>
      <c r="W369" s="475"/>
    </row>
    <row r="370" spans="2:23" s="97" customFormat="1">
      <c r="B370" s="96"/>
      <c r="H370" s="96"/>
      <c r="J370" s="1"/>
      <c r="K370" s="1"/>
      <c r="L370" s="1"/>
      <c r="O370" s="475"/>
      <c r="P370" s="475"/>
      <c r="Q370" s="475"/>
      <c r="R370" s="475"/>
      <c r="S370" s="475"/>
      <c r="T370" s="475"/>
      <c r="U370" s="475"/>
      <c r="V370" s="475"/>
      <c r="W370" s="475"/>
    </row>
    <row r="371" spans="2:23" s="97" customFormat="1">
      <c r="B371" s="96"/>
      <c r="H371" s="96"/>
      <c r="J371" s="1"/>
      <c r="K371" s="1"/>
      <c r="L371" s="1"/>
      <c r="O371" s="475"/>
      <c r="P371" s="475"/>
      <c r="Q371" s="475"/>
      <c r="R371" s="475"/>
      <c r="S371" s="475"/>
      <c r="T371" s="475"/>
      <c r="U371" s="475"/>
      <c r="V371" s="475"/>
      <c r="W371" s="475"/>
    </row>
    <row r="372" spans="2:23" s="97" customFormat="1">
      <c r="B372" s="96"/>
      <c r="H372" s="96"/>
      <c r="J372" s="1"/>
      <c r="K372" s="1"/>
      <c r="L372" s="1"/>
      <c r="O372" s="475"/>
      <c r="P372" s="475"/>
      <c r="Q372" s="475"/>
      <c r="R372" s="475"/>
      <c r="S372" s="475"/>
      <c r="T372" s="475"/>
      <c r="U372" s="475"/>
      <c r="V372" s="475"/>
      <c r="W372" s="475"/>
    </row>
    <row r="373" spans="2:23" s="97" customFormat="1">
      <c r="B373" s="96"/>
      <c r="H373" s="96"/>
      <c r="J373" s="1"/>
      <c r="K373" s="1"/>
      <c r="L373" s="1"/>
      <c r="O373" s="475"/>
      <c r="P373" s="475"/>
      <c r="Q373" s="475"/>
      <c r="R373" s="475"/>
      <c r="S373" s="475"/>
      <c r="T373" s="475"/>
      <c r="U373" s="475"/>
      <c r="V373" s="475"/>
      <c r="W373" s="475"/>
    </row>
    <row r="374" spans="2:23" s="97" customFormat="1">
      <c r="B374" s="96"/>
      <c r="H374" s="96"/>
      <c r="J374" s="1"/>
      <c r="K374" s="1"/>
      <c r="L374" s="1"/>
      <c r="O374" s="475"/>
      <c r="P374" s="475"/>
      <c r="Q374" s="475"/>
      <c r="R374" s="475"/>
      <c r="S374" s="475"/>
      <c r="T374" s="475"/>
      <c r="U374" s="475"/>
      <c r="V374" s="475"/>
      <c r="W374" s="475"/>
    </row>
    <row r="375" spans="2:23" s="97" customFormat="1">
      <c r="B375" s="96"/>
      <c r="H375" s="96"/>
      <c r="J375" s="1"/>
      <c r="K375" s="1"/>
      <c r="L375" s="1"/>
      <c r="O375" s="475"/>
      <c r="P375" s="475"/>
      <c r="Q375" s="475"/>
      <c r="R375" s="475"/>
      <c r="S375" s="475"/>
      <c r="T375" s="475"/>
      <c r="U375" s="475"/>
      <c r="V375" s="475"/>
      <c r="W375" s="475"/>
    </row>
    <row r="376" spans="2:23" s="97" customFormat="1">
      <c r="B376" s="96"/>
      <c r="H376" s="96"/>
      <c r="J376" s="1"/>
      <c r="K376" s="1"/>
      <c r="L376" s="1"/>
      <c r="O376" s="475"/>
      <c r="P376" s="475"/>
      <c r="Q376" s="475"/>
      <c r="R376" s="475"/>
      <c r="S376" s="475"/>
      <c r="T376" s="475"/>
      <c r="U376" s="475"/>
      <c r="V376" s="475"/>
      <c r="W376" s="475"/>
    </row>
    <row r="377" spans="2:23" s="97" customFormat="1">
      <c r="B377" s="96"/>
      <c r="H377" s="96"/>
      <c r="J377" s="1"/>
      <c r="K377" s="1"/>
      <c r="L377" s="1"/>
      <c r="O377" s="475"/>
      <c r="P377" s="475"/>
      <c r="Q377" s="475"/>
      <c r="R377" s="475"/>
      <c r="S377" s="475"/>
      <c r="T377" s="475"/>
      <c r="U377" s="475"/>
      <c r="V377" s="475"/>
      <c r="W377" s="475"/>
    </row>
    <row r="378" spans="2:23" s="97" customFormat="1">
      <c r="B378" s="96"/>
      <c r="H378" s="96"/>
      <c r="J378" s="1"/>
      <c r="K378" s="1"/>
      <c r="L378" s="1"/>
      <c r="O378" s="475"/>
      <c r="P378" s="475"/>
      <c r="Q378" s="475"/>
      <c r="R378" s="475"/>
      <c r="S378" s="475"/>
      <c r="T378" s="475"/>
      <c r="U378" s="475"/>
      <c r="V378" s="475"/>
      <c r="W378" s="475"/>
    </row>
    <row r="379" spans="2:23" s="97" customFormat="1">
      <c r="B379" s="96"/>
      <c r="H379" s="96"/>
      <c r="J379" s="1"/>
      <c r="K379" s="1"/>
      <c r="L379" s="1"/>
      <c r="O379" s="475"/>
      <c r="P379" s="475"/>
      <c r="Q379" s="475"/>
      <c r="R379" s="475"/>
      <c r="S379" s="475"/>
      <c r="T379" s="475"/>
      <c r="U379" s="475"/>
      <c r="V379" s="475"/>
      <c r="W379" s="475"/>
    </row>
    <row r="380" spans="2:23" s="97" customFormat="1">
      <c r="B380" s="96"/>
      <c r="H380" s="96"/>
      <c r="J380" s="1"/>
      <c r="K380" s="1"/>
      <c r="L380" s="1"/>
      <c r="O380" s="475"/>
      <c r="P380" s="475"/>
      <c r="Q380" s="475"/>
      <c r="R380" s="475"/>
      <c r="S380" s="475"/>
      <c r="T380" s="475"/>
      <c r="U380" s="475"/>
      <c r="V380" s="475"/>
      <c r="W380" s="475"/>
    </row>
    <row r="381" spans="2:23" s="97" customFormat="1">
      <c r="B381" s="96"/>
      <c r="H381" s="96"/>
      <c r="J381" s="1"/>
      <c r="K381" s="1"/>
      <c r="L381" s="1"/>
      <c r="O381" s="475"/>
      <c r="P381" s="475"/>
      <c r="Q381" s="475"/>
      <c r="R381" s="475"/>
      <c r="S381" s="475"/>
      <c r="T381" s="475"/>
      <c r="U381" s="475"/>
      <c r="V381" s="475"/>
      <c r="W381" s="475"/>
    </row>
    <row r="382" spans="2:23" s="97" customFormat="1">
      <c r="B382" s="96"/>
      <c r="H382" s="96"/>
      <c r="J382" s="1"/>
      <c r="K382" s="1"/>
      <c r="L382" s="1"/>
      <c r="O382" s="475"/>
      <c r="P382" s="475"/>
      <c r="Q382" s="475"/>
      <c r="R382" s="475"/>
      <c r="S382" s="475"/>
      <c r="T382" s="475"/>
      <c r="U382" s="475"/>
      <c r="V382" s="475"/>
      <c r="W382" s="475"/>
    </row>
    <row r="383" spans="2:23" s="97" customFormat="1">
      <c r="B383" s="96"/>
      <c r="H383" s="96"/>
      <c r="J383" s="1"/>
      <c r="K383" s="1"/>
      <c r="L383" s="1"/>
      <c r="O383" s="475"/>
      <c r="P383" s="475"/>
      <c r="Q383" s="475"/>
      <c r="R383" s="475"/>
      <c r="S383" s="475"/>
      <c r="T383" s="475"/>
      <c r="U383" s="475"/>
      <c r="V383" s="475"/>
      <c r="W383" s="475"/>
    </row>
    <row r="384" spans="2:23" s="97" customFormat="1">
      <c r="B384" s="96"/>
      <c r="H384" s="96"/>
      <c r="J384" s="1"/>
      <c r="K384" s="1"/>
      <c r="L384" s="1"/>
      <c r="O384" s="475"/>
      <c r="P384" s="475"/>
      <c r="Q384" s="475"/>
      <c r="R384" s="475"/>
      <c r="S384" s="475"/>
      <c r="T384" s="475"/>
      <c r="U384" s="475"/>
      <c r="V384" s="475"/>
      <c r="W384" s="475"/>
    </row>
    <row r="385" spans="2:23" s="97" customFormat="1">
      <c r="B385" s="96"/>
      <c r="H385" s="96"/>
      <c r="J385" s="1"/>
      <c r="K385" s="1"/>
      <c r="L385" s="1"/>
      <c r="O385" s="475"/>
      <c r="P385" s="475"/>
      <c r="Q385" s="475"/>
      <c r="R385" s="475"/>
      <c r="S385" s="475"/>
      <c r="T385" s="475"/>
      <c r="U385" s="475"/>
      <c r="V385" s="475"/>
      <c r="W385" s="475"/>
    </row>
    <row r="386" spans="2:23" s="97" customFormat="1">
      <c r="B386" s="96"/>
      <c r="H386" s="96"/>
      <c r="J386" s="1"/>
      <c r="K386" s="1"/>
      <c r="L386" s="1"/>
      <c r="O386" s="475"/>
      <c r="P386" s="475"/>
      <c r="Q386" s="475"/>
      <c r="R386" s="475"/>
      <c r="S386" s="475"/>
      <c r="T386" s="475"/>
      <c r="U386" s="475"/>
      <c r="V386" s="475"/>
      <c r="W386" s="475"/>
    </row>
    <row r="387" spans="2:23" s="97" customFormat="1">
      <c r="B387" s="96"/>
      <c r="H387" s="96"/>
      <c r="J387" s="1"/>
      <c r="K387" s="1"/>
      <c r="L387" s="1"/>
      <c r="O387" s="475"/>
      <c r="P387" s="475"/>
      <c r="Q387" s="475"/>
      <c r="R387" s="475"/>
      <c r="S387" s="475"/>
      <c r="T387" s="475"/>
      <c r="U387" s="475"/>
      <c r="V387" s="475"/>
      <c r="W387" s="475"/>
    </row>
    <row r="388" spans="2:23" s="97" customFormat="1">
      <c r="B388" s="96"/>
      <c r="H388" s="96"/>
      <c r="J388" s="1"/>
      <c r="K388" s="1"/>
      <c r="L388" s="1"/>
      <c r="O388" s="475"/>
      <c r="P388" s="475"/>
      <c r="Q388" s="475"/>
      <c r="R388" s="475"/>
      <c r="S388" s="475"/>
      <c r="T388" s="475"/>
      <c r="U388" s="475"/>
      <c r="V388" s="475"/>
      <c r="W388" s="475"/>
    </row>
    <row r="389" spans="2:23" s="97" customFormat="1">
      <c r="B389" s="96"/>
      <c r="H389" s="96"/>
      <c r="J389" s="1"/>
      <c r="K389" s="1"/>
      <c r="L389" s="1"/>
      <c r="O389" s="475"/>
      <c r="P389" s="475"/>
      <c r="Q389" s="475"/>
      <c r="R389" s="475"/>
      <c r="S389" s="475"/>
      <c r="T389" s="475"/>
      <c r="U389" s="475"/>
      <c r="V389" s="475"/>
      <c r="W389" s="475"/>
    </row>
    <row r="390" spans="2:23" s="97" customFormat="1">
      <c r="B390" s="96"/>
      <c r="H390" s="96"/>
      <c r="J390" s="1"/>
      <c r="K390" s="1"/>
      <c r="L390" s="1"/>
      <c r="O390" s="475"/>
      <c r="P390" s="475"/>
      <c r="Q390" s="475"/>
      <c r="R390" s="475"/>
      <c r="S390" s="475"/>
      <c r="T390" s="475"/>
      <c r="U390" s="475"/>
      <c r="V390" s="475"/>
      <c r="W390" s="475"/>
    </row>
    <row r="391" spans="2:23" s="97" customFormat="1">
      <c r="B391" s="96"/>
      <c r="H391" s="96"/>
      <c r="J391" s="1"/>
      <c r="K391" s="1"/>
      <c r="L391" s="1"/>
      <c r="O391" s="475"/>
      <c r="P391" s="475"/>
      <c r="Q391" s="475"/>
      <c r="R391" s="475"/>
      <c r="S391" s="475"/>
      <c r="T391" s="475"/>
      <c r="U391" s="475"/>
      <c r="V391" s="475"/>
      <c r="W391" s="475"/>
    </row>
    <row r="392" spans="2:23" s="97" customFormat="1">
      <c r="B392" s="96"/>
      <c r="H392" s="96"/>
      <c r="J392" s="1"/>
      <c r="K392" s="1"/>
      <c r="L392" s="1"/>
      <c r="O392" s="475"/>
      <c r="P392" s="475"/>
      <c r="Q392" s="475"/>
      <c r="R392" s="475"/>
      <c r="S392" s="475"/>
      <c r="T392" s="475"/>
      <c r="U392" s="475"/>
      <c r="V392" s="475"/>
      <c r="W392" s="475"/>
    </row>
    <row r="393" spans="2:23" s="97" customFormat="1">
      <c r="B393" s="96"/>
      <c r="H393" s="96"/>
      <c r="J393" s="1"/>
      <c r="K393" s="1"/>
      <c r="L393" s="1"/>
      <c r="O393" s="475"/>
      <c r="P393" s="475"/>
      <c r="Q393" s="475"/>
      <c r="R393" s="475"/>
      <c r="S393" s="475"/>
      <c r="T393" s="475"/>
      <c r="U393" s="475"/>
      <c r="V393" s="475"/>
      <c r="W393" s="475"/>
    </row>
    <row r="394" spans="2:23" s="97" customFormat="1">
      <c r="B394" s="96"/>
      <c r="H394" s="96"/>
      <c r="J394" s="1"/>
      <c r="K394" s="1"/>
      <c r="L394" s="1"/>
      <c r="O394" s="475"/>
      <c r="P394" s="475"/>
      <c r="Q394" s="475"/>
      <c r="R394" s="475"/>
      <c r="S394" s="475"/>
      <c r="T394" s="475"/>
      <c r="U394" s="475"/>
      <c r="V394" s="475"/>
      <c r="W394" s="475"/>
    </row>
    <row r="395" spans="2:23" s="97" customFormat="1">
      <c r="B395" s="96"/>
      <c r="H395" s="96"/>
      <c r="J395" s="1"/>
      <c r="K395" s="1"/>
      <c r="L395" s="1"/>
      <c r="O395" s="475"/>
      <c r="P395" s="475"/>
      <c r="Q395" s="475"/>
      <c r="R395" s="475"/>
      <c r="S395" s="475"/>
      <c r="T395" s="475"/>
      <c r="U395" s="475"/>
      <c r="V395" s="475"/>
      <c r="W395" s="475"/>
    </row>
    <row r="396" spans="2:23" s="97" customFormat="1">
      <c r="B396" s="96"/>
      <c r="H396" s="96"/>
      <c r="J396" s="1"/>
      <c r="K396" s="1"/>
      <c r="L396" s="1"/>
      <c r="O396" s="475"/>
      <c r="P396" s="475"/>
      <c r="Q396" s="475"/>
      <c r="R396" s="475"/>
      <c r="S396" s="475"/>
      <c r="T396" s="475"/>
      <c r="U396" s="475"/>
      <c r="V396" s="475"/>
      <c r="W396" s="475"/>
    </row>
    <row r="397" spans="2:23" s="97" customFormat="1">
      <c r="B397" s="96"/>
      <c r="H397" s="96"/>
      <c r="J397" s="1"/>
      <c r="K397" s="1"/>
      <c r="L397" s="1"/>
      <c r="O397" s="475"/>
      <c r="P397" s="475"/>
      <c r="Q397" s="475"/>
      <c r="R397" s="475"/>
      <c r="S397" s="475"/>
      <c r="T397" s="475"/>
      <c r="U397" s="475"/>
      <c r="V397" s="475"/>
      <c r="W397" s="475"/>
    </row>
    <row r="398" spans="2:23" s="97" customFormat="1">
      <c r="B398" s="96"/>
      <c r="H398" s="96"/>
      <c r="J398" s="1"/>
      <c r="K398" s="1"/>
      <c r="L398" s="1"/>
      <c r="O398" s="475"/>
      <c r="P398" s="475"/>
      <c r="Q398" s="475"/>
      <c r="R398" s="475"/>
      <c r="S398" s="475"/>
      <c r="T398" s="475"/>
      <c r="U398" s="475"/>
      <c r="V398" s="475"/>
      <c r="W398" s="475"/>
    </row>
    <row r="399" spans="2:23" s="97" customFormat="1">
      <c r="B399" s="96"/>
      <c r="H399" s="96"/>
      <c r="J399" s="1"/>
      <c r="K399" s="1"/>
      <c r="L399" s="1"/>
      <c r="O399" s="475"/>
      <c r="P399" s="475"/>
      <c r="Q399" s="475"/>
      <c r="R399" s="475"/>
      <c r="S399" s="475"/>
      <c r="T399" s="475"/>
      <c r="U399" s="475"/>
      <c r="V399" s="475"/>
      <c r="W399" s="475"/>
    </row>
    <row r="400" spans="2:23" s="97" customFormat="1">
      <c r="B400" s="96"/>
      <c r="H400" s="96"/>
      <c r="J400" s="1"/>
      <c r="K400" s="1"/>
      <c r="L400" s="1"/>
      <c r="O400" s="475"/>
      <c r="P400" s="475"/>
      <c r="Q400" s="475"/>
      <c r="R400" s="475"/>
      <c r="S400" s="475"/>
      <c r="T400" s="475"/>
      <c r="U400" s="475"/>
      <c r="V400" s="475"/>
      <c r="W400" s="475"/>
    </row>
    <row r="401" spans="2:23" s="97" customFormat="1">
      <c r="B401" s="96"/>
      <c r="H401" s="96"/>
      <c r="J401" s="1"/>
      <c r="K401" s="1"/>
      <c r="L401" s="1"/>
      <c r="O401" s="475"/>
      <c r="P401" s="475"/>
      <c r="Q401" s="475"/>
      <c r="R401" s="475"/>
      <c r="S401" s="475"/>
      <c r="T401" s="475"/>
      <c r="U401" s="475"/>
      <c r="V401" s="475"/>
      <c r="W401" s="475"/>
    </row>
    <row r="402" spans="2:23" s="97" customFormat="1">
      <c r="B402" s="96"/>
      <c r="H402" s="96"/>
      <c r="J402" s="1"/>
      <c r="K402" s="1"/>
      <c r="L402" s="1"/>
      <c r="O402" s="475"/>
      <c r="P402" s="475"/>
      <c r="Q402" s="475"/>
      <c r="R402" s="475"/>
      <c r="S402" s="475"/>
      <c r="T402" s="475"/>
      <c r="U402" s="475"/>
      <c r="V402" s="475"/>
      <c r="W402" s="475"/>
    </row>
    <row r="403" spans="2:23" s="97" customFormat="1">
      <c r="B403" s="96"/>
      <c r="H403" s="96"/>
      <c r="J403" s="1"/>
      <c r="K403" s="1"/>
      <c r="L403" s="1"/>
      <c r="O403" s="475"/>
      <c r="P403" s="475"/>
      <c r="Q403" s="475"/>
      <c r="R403" s="475"/>
      <c r="S403" s="475"/>
      <c r="T403" s="475"/>
      <c r="U403" s="475"/>
      <c r="V403" s="475"/>
      <c r="W403" s="475"/>
    </row>
    <row r="404" spans="2:23" s="97" customFormat="1">
      <c r="B404" s="96"/>
      <c r="H404" s="96"/>
      <c r="J404" s="1"/>
      <c r="K404" s="1"/>
      <c r="L404" s="1"/>
      <c r="O404" s="475"/>
      <c r="P404" s="475"/>
      <c r="Q404" s="475"/>
      <c r="R404" s="475"/>
      <c r="S404" s="475"/>
      <c r="T404" s="475"/>
      <c r="U404" s="475"/>
      <c r="V404" s="475"/>
      <c r="W404" s="475"/>
    </row>
    <row r="405" spans="2:23" s="97" customFormat="1">
      <c r="B405" s="96"/>
      <c r="H405" s="96"/>
      <c r="J405" s="1"/>
      <c r="K405" s="1"/>
      <c r="L405" s="1"/>
      <c r="O405" s="475"/>
      <c r="P405" s="475"/>
      <c r="Q405" s="475"/>
      <c r="R405" s="475"/>
      <c r="S405" s="475"/>
      <c r="T405" s="475"/>
      <c r="U405" s="475"/>
      <c r="V405" s="475"/>
      <c r="W405" s="475"/>
    </row>
    <row r="406" spans="2:23" s="97" customFormat="1">
      <c r="B406" s="96"/>
      <c r="H406" s="96"/>
      <c r="J406" s="1"/>
      <c r="K406" s="1"/>
      <c r="L406" s="1"/>
      <c r="O406" s="475"/>
      <c r="P406" s="475"/>
      <c r="Q406" s="475"/>
      <c r="R406" s="475"/>
      <c r="S406" s="475"/>
      <c r="T406" s="475"/>
      <c r="U406" s="475"/>
      <c r="V406" s="475"/>
      <c r="W406" s="475"/>
    </row>
    <row r="407" spans="2:23" s="97" customFormat="1">
      <c r="B407" s="96"/>
      <c r="H407" s="96"/>
      <c r="J407" s="1"/>
      <c r="K407" s="1"/>
      <c r="L407" s="1"/>
      <c r="O407" s="475"/>
      <c r="P407" s="475"/>
      <c r="Q407" s="475"/>
      <c r="R407" s="475"/>
      <c r="S407" s="475"/>
      <c r="T407" s="475"/>
      <c r="U407" s="475"/>
      <c r="V407" s="475"/>
      <c r="W407" s="475"/>
    </row>
    <row r="408" spans="2:23" s="97" customFormat="1">
      <c r="B408" s="96"/>
      <c r="H408" s="96"/>
      <c r="J408" s="1"/>
      <c r="K408" s="1"/>
      <c r="L408" s="1"/>
      <c r="O408" s="475"/>
      <c r="P408" s="475"/>
      <c r="Q408" s="475"/>
      <c r="R408" s="475"/>
      <c r="S408" s="475"/>
      <c r="T408" s="475"/>
      <c r="U408" s="475"/>
      <c r="V408" s="475"/>
      <c r="W408" s="475"/>
    </row>
    <row r="409" spans="2:23" s="97" customFormat="1">
      <c r="B409" s="96"/>
      <c r="H409" s="96"/>
      <c r="J409" s="1"/>
      <c r="K409" s="1"/>
      <c r="L409" s="1"/>
      <c r="O409" s="475"/>
      <c r="P409" s="475"/>
      <c r="Q409" s="475"/>
      <c r="R409" s="475"/>
      <c r="S409" s="475"/>
      <c r="T409" s="475"/>
      <c r="U409" s="475"/>
      <c r="V409" s="475"/>
      <c r="W409" s="475"/>
    </row>
    <row r="410" spans="2:23" s="97" customFormat="1">
      <c r="B410" s="96"/>
      <c r="H410" s="96"/>
      <c r="J410" s="1"/>
      <c r="K410" s="1"/>
      <c r="L410" s="1"/>
      <c r="O410" s="475"/>
      <c r="P410" s="475"/>
      <c r="Q410" s="475"/>
      <c r="R410" s="475"/>
      <c r="S410" s="475"/>
      <c r="T410" s="475"/>
      <c r="U410" s="475"/>
      <c r="V410" s="475"/>
      <c r="W410" s="475"/>
    </row>
    <row r="411" spans="2:23" s="97" customFormat="1">
      <c r="B411" s="96"/>
      <c r="H411" s="96"/>
      <c r="J411" s="1"/>
      <c r="K411" s="1"/>
      <c r="L411" s="1"/>
      <c r="O411" s="475"/>
      <c r="P411" s="475"/>
      <c r="Q411" s="475"/>
      <c r="R411" s="475"/>
      <c r="S411" s="475"/>
      <c r="T411" s="475"/>
      <c r="U411" s="475"/>
      <c r="V411" s="475"/>
      <c r="W411" s="475"/>
    </row>
    <row r="412" spans="2:23" s="97" customFormat="1">
      <c r="B412" s="96"/>
      <c r="H412" s="96"/>
      <c r="J412" s="1"/>
      <c r="K412" s="1"/>
      <c r="L412" s="1"/>
      <c r="O412" s="475"/>
      <c r="P412" s="475"/>
      <c r="Q412" s="475"/>
      <c r="R412" s="475"/>
      <c r="S412" s="475"/>
      <c r="T412" s="475"/>
      <c r="U412" s="475"/>
      <c r="V412" s="475"/>
      <c r="W412" s="475"/>
    </row>
    <row r="413" spans="2:23" s="97" customFormat="1">
      <c r="B413" s="96"/>
      <c r="H413" s="96"/>
      <c r="J413" s="1"/>
      <c r="K413" s="1"/>
      <c r="L413" s="1"/>
      <c r="O413" s="475"/>
      <c r="P413" s="475"/>
      <c r="Q413" s="475"/>
      <c r="R413" s="475"/>
      <c r="S413" s="475"/>
      <c r="T413" s="475"/>
      <c r="U413" s="475"/>
      <c r="V413" s="475"/>
      <c r="W413" s="475"/>
    </row>
    <row r="414" spans="2:23" s="97" customFormat="1">
      <c r="B414" s="96"/>
      <c r="H414" s="96"/>
      <c r="J414" s="1"/>
      <c r="K414" s="1"/>
      <c r="L414" s="1"/>
      <c r="O414" s="475"/>
      <c r="P414" s="475"/>
      <c r="Q414" s="475"/>
      <c r="R414" s="475"/>
      <c r="S414" s="475"/>
      <c r="T414" s="475"/>
      <c r="U414" s="475"/>
      <c r="V414" s="475"/>
      <c r="W414" s="475"/>
    </row>
    <row r="415" spans="2:23" s="97" customFormat="1">
      <c r="B415" s="96"/>
      <c r="H415" s="96"/>
      <c r="J415" s="1"/>
      <c r="K415" s="1"/>
      <c r="L415" s="1"/>
      <c r="O415" s="475"/>
      <c r="P415" s="475"/>
      <c r="Q415" s="475"/>
      <c r="R415" s="475"/>
      <c r="S415" s="475"/>
      <c r="T415" s="475"/>
      <c r="U415" s="475"/>
      <c r="V415" s="475"/>
      <c r="W415" s="475"/>
    </row>
    <row r="416" spans="2:23" s="97" customFormat="1">
      <c r="B416" s="96"/>
      <c r="H416" s="96"/>
      <c r="J416" s="1"/>
      <c r="K416" s="1"/>
      <c r="L416" s="1"/>
      <c r="O416" s="475"/>
      <c r="P416" s="475"/>
      <c r="Q416" s="475"/>
      <c r="R416" s="475"/>
      <c r="S416" s="475"/>
      <c r="T416" s="475"/>
      <c r="U416" s="475"/>
      <c r="V416" s="475"/>
      <c r="W416" s="475"/>
    </row>
    <row r="417" spans="2:23" s="97" customFormat="1">
      <c r="B417" s="96"/>
      <c r="H417" s="96"/>
      <c r="J417" s="1"/>
      <c r="K417" s="1"/>
      <c r="L417" s="1"/>
      <c r="O417" s="475"/>
      <c r="P417" s="475"/>
      <c r="Q417" s="475"/>
      <c r="R417" s="475"/>
      <c r="S417" s="475"/>
      <c r="T417" s="475"/>
      <c r="U417" s="475"/>
      <c r="V417" s="475"/>
      <c r="W417" s="475"/>
    </row>
    <row r="418" spans="2:23" s="97" customFormat="1">
      <c r="B418" s="96"/>
      <c r="H418" s="96"/>
      <c r="J418" s="1"/>
      <c r="K418" s="1"/>
      <c r="L418" s="1"/>
      <c r="O418" s="475"/>
      <c r="P418" s="475"/>
      <c r="Q418" s="475"/>
      <c r="R418" s="475"/>
      <c r="S418" s="475"/>
      <c r="T418" s="475"/>
      <c r="U418" s="475"/>
      <c r="V418" s="475"/>
      <c r="W418" s="475"/>
    </row>
    <row r="419" spans="2:23" s="97" customFormat="1">
      <c r="B419" s="96"/>
      <c r="H419" s="96"/>
      <c r="J419" s="1"/>
      <c r="K419" s="1"/>
      <c r="L419" s="1"/>
      <c r="O419" s="475"/>
      <c r="P419" s="475"/>
      <c r="Q419" s="475"/>
      <c r="R419" s="475"/>
      <c r="S419" s="475"/>
      <c r="T419" s="475"/>
      <c r="U419" s="475"/>
      <c r="V419" s="475"/>
      <c r="W419" s="475"/>
    </row>
    <row r="420" spans="2:23" s="97" customFormat="1">
      <c r="B420" s="96"/>
      <c r="H420" s="96"/>
      <c r="J420" s="1"/>
      <c r="K420" s="1"/>
      <c r="L420" s="1"/>
      <c r="O420" s="475"/>
      <c r="P420" s="475"/>
      <c r="Q420" s="475"/>
      <c r="R420" s="475"/>
      <c r="S420" s="475"/>
      <c r="T420" s="475"/>
      <c r="U420" s="475"/>
      <c r="V420" s="475"/>
      <c r="W420" s="475"/>
    </row>
    <row r="421" spans="2:23" s="97" customFormat="1">
      <c r="B421" s="96"/>
      <c r="H421" s="96"/>
      <c r="J421" s="1"/>
      <c r="K421" s="1"/>
      <c r="L421" s="1"/>
      <c r="O421" s="475"/>
      <c r="P421" s="475"/>
      <c r="Q421" s="475"/>
      <c r="R421" s="475"/>
      <c r="S421" s="475"/>
      <c r="T421" s="475"/>
      <c r="U421" s="475"/>
      <c r="V421" s="475"/>
      <c r="W421" s="475"/>
    </row>
    <row r="422" spans="2:23" s="97" customFormat="1">
      <c r="B422" s="96"/>
      <c r="H422" s="96"/>
      <c r="J422" s="1"/>
      <c r="K422" s="1"/>
      <c r="L422" s="1"/>
      <c r="O422" s="475"/>
      <c r="P422" s="475"/>
      <c r="Q422" s="475"/>
      <c r="R422" s="475"/>
      <c r="S422" s="475"/>
      <c r="T422" s="475"/>
      <c r="U422" s="475"/>
      <c r="V422" s="475"/>
      <c r="W422" s="475"/>
    </row>
    <row r="423" spans="2:23" s="97" customFormat="1">
      <c r="B423" s="96"/>
      <c r="H423" s="96"/>
      <c r="J423" s="1"/>
      <c r="K423" s="1"/>
      <c r="L423" s="1"/>
      <c r="O423" s="475"/>
      <c r="P423" s="475"/>
      <c r="Q423" s="475"/>
      <c r="R423" s="475"/>
      <c r="S423" s="475"/>
      <c r="T423" s="475"/>
      <c r="U423" s="475"/>
      <c r="V423" s="475"/>
      <c r="W423" s="475"/>
    </row>
    <row r="424" spans="2:23" s="97" customFormat="1">
      <c r="B424" s="96"/>
      <c r="H424" s="96"/>
      <c r="J424" s="1"/>
      <c r="K424" s="1"/>
      <c r="L424" s="1"/>
      <c r="O424" s="475"/>
      <c r="P424" s="475"/>
      <c r="Q424" s="475"/>
      <c r="R424" s="475"/>
      <c r="S424" s="475"/>
      <c r="T424" s="475"/>
      <c r="U424" s="475"/>
      <c r="V424" s="475"/>
      <c r="W424" s="475"/>
    </row>
    <row r="425" spans="2:23" s="97" customFormat="1">
      <c r="B425" s="96"/>
      <c r="H425" s="96"/>
      <c r="J425" s="1"/>
      <c r="K425" s="1"/>
      <c r="L425" s="1"/>
      <c r="O425" s="475"/>
      <c r="P425" s="475"/>
      <c r="Q425" s="475"/>
      <c r="R425" s="475"/>
      <c r="S425" s="475"/>
      <c r="T425" s="475"/>
      <c r="U425" s="475"/>
      <c r="V425" s="475"/>
      <c r="W425" s="475"/>
    </row>
    <row r="426" spans="2:23" s="97" customFormat="1">
      <c r="B426" s="96"/>
      <c r="H426" s="96"/>
      <c r="J426" s="1"/>
      <c r="K426" s="1"/>
      <c r="L426" s="1"/>
      <c r="O426" s="475"/>
      <c r="P426" s="475"/>
      <c r="Q426" s="475"/>
      <c r="R426" s="475"/>
      <c r="S426" s="475"/>
      <c r="T426" s="475"/>
      <c r="U426" s="475"/>
      <c r="V426" s="475"/>
      <c r="W426" s="475"/>
    </row>
    <row r="427" spans="2:23" s="97" customFormat="1">
      <c r="B427" s="96"/>
      <c r="H427" s="96"/>
      <c r="J427" s="1"/>
      <c r="K427" s="1"/>
      <c r="L427" s="1"/>
      <c r="O427" s="475"/>
      <c r="P427" s="475"/>
      <c r="Q427" s="475"/>
      <c r="R427" s="475"/>
      <c r="S427" s="475"/>
      <c r="T427" s="475"/>
      <c r="U427" s="475"/>
      <c r="V427" s="475"/>
      <c r="W427" s="475"/>
    </row>
    <row r="428" spans="2:23" s="97" customFormat="1">
      <c r="B428" s="96"/>
      <c r="H428" s="96"/>
      <c r="J428" s="1"/>
      <c r="K428" s="1"/>
      <c r="L428" s="1"/>
      <c r="O428" s="475"/>
      <c r="P428" s="475"/>
      <c r="Q428" s="475"/>
      <c r="R428" s="475"/>
      <c r="S428" s="475"/>
      <c r="T428" s="475"/>
      <c r="U428" s="475"/>
      <c r="V428" s="475"/>
      <c r="W428" s="475"/>
    </row>
    <row r="429" spans="2:23" s="97" customFormat="1">
      <c r="B429" s="96"/>
      <c r="H429" s="96"/>
      <c r="J429" s="1"/>
      <c r="K429" s="1"/>
      <c r="L429" s="1"/>
      <c r="O429" s="475"/>
      <c r="P429" s="475"/>
      <c r="Q429" s="475"/>
      <c r="R429" s="475"/>
      <c r="S429" s="475"/>
      <c r="T429" s="475"/>
      <c r="U429" s="475"/>
      <c r="V429" s="475"/>
      <c r="W429" s="475"/>
    </row>
    <row r="430" spans="2:23" s="97" customFormat="1">
      <c r="B430" s="96"/>
      <c r="H430" s="96"/>
      <c r="J430" s="1"/>
      <c r="K430" s="1"/>
      <c r="L430" s="1"/>
      <c r="O430" s="475"/>
      <c r="P430" s="475"/>
      <c r="Q430" s="475"/>
      <c r="R430" s="475"/>
      <c r="S430" s="475"/>
      <c r="T430" s="475"/>
      <c r="U430" s="475"/>
      <c r="V430" s="475"/>
      <c r="W430" s="475"/>
    </row>
    <row r="431" spans="2:23" s="97" customFormat="1">
      <c r="B431" s="96"/>
      <c r="H431" s="96"/>
      <c r="J431" s="1"/>
      <c r="K431" s="1"/>
      <c r="L431" s="1"/>
      <c r="O431" s="475"/>
      <c r="P431" s="475"/>
      <c r="Q431" s="475"/>
      <c r="R431" s="475"/>
      <c r="S431" s="475"/>
      <c r="T431" s="475"/>
      <c r="U431" s="475"/>
      <c r="V431" s="475"/>
      <c r="W431" s="475"/>
    </row>
    <row r="432" spans="2:23" s="97" customFormat="1">
      <c r="B432" s="96"/>
      <c r="H432" s="96"/>
      <c r="J432" s="1"/>
      <c r="K432" s="1"/>
      <c r="L432" s="1"/>
      <c r="O432" s="475"/>
      <c r="P432" s="475"/>
      <c r="Q432" s="475"/>
      <c r="R432" s="475"/>
      <c r="S432" s="475"/>
      <c r="T432" s="475"/>
      <c r="U432" s="475"/>
      <c r="V432" s="475"/>
      <c r="W432" s="475"/>
    </row>
    <row r="433" spans="2:23" s="97" customFormat="1">
      <c r="B433" s="96"/>
      <c r="H433" s="96"/>
      <c r="J433" s="1"/>
      <c r="K433" s="1"/>
      <c r="L433" s="1"/>
      <c r="O433" s="475"/>
      <c r="P433" s="475"/>
      <c r="Q433" s="475"/>
      <c r="R433" s="475"/>
      <c r="S433" s="475"/>
      <c r="T433" s="475"/>
      <c r="U433" s="475"/>
      <c r="V433" s="475"/>
      <c r="W433" s="475"/>
    </row>
    <row r="434" spans="2:23" s="97" customFormat="1">
      <c r="B434" s="96"/>
      <c r="H434" s="96"/>
      <c r="J434" s="1"/>
      <c r="K434" s="1"/>
      <c r="L434" s="1"/>
      <c r="O434" s="475"/>
      <c r="P434" s="475"/>
      <c r="Q434" s="475"/>
      <c r="R434" s="475"/>
      <c r="S434" s="475"/>
      <c r="T434" s="475"/>
      <c r="U434" s="475"/>
      <c r="V434" s="475"/>
      <c r="W434" s="475"/>
    </row>
    <row r="435" spans="2:23" s="97" customFormat="1">
      <c r="B435" s="96"/>
      <c r="H435" s="96"/>
      <c r="J435" s="1"/>
      <c r="K435" s="1"/>
      <c r="L435" s="1"/>
      <c r="O435" s="475"/>
      <c r="P435" s="475"/>
      <c r="Q435" s="475"/>
      <c r="R435" s="475"/>
      <c r="S435" s="475"/>
      <c r="T435" s="475"/>
      <c r="U435" s="475"/>
      <c r="V435" s="475"/>
      <c r="W435" s="475"/>
    </row>
    <row r="436" spans="2:23" s="97" customFormat="1">
      <c r="B436" s="96"/>
      <c r="H436" s="96"/>
      <c r="J436" s="1"/>
      <c r="K436" s="1"/>
      <c r="L436" s="1"/>
      <c r="O436" s="475"/>
      <c r="P436" s="475"/>
      <c r="Q436" s="475"/>
      <c r="R436" s="475"/>
      <c r="S436" s="475"/>
      <c r="T436" s="475"/>
      <c r="U436" s="475"/>
      <c r="V436" s="475"/>
      <c r="W436" s="475"/>
    </row>
    <row r="437" spans="2:23" s="97" customFormat="1">
      <c r="B437" s="96"/>
      <c r="H437" s="96"/>
      <c r="J437" s="1"/>
      <c r="K437" s="1"/>
      <c r="L437" s="1"/>
      <c r="O437" s="475"/>
      <c r="P437" s="475"/>
      <c r="Q437" s="475"/>
      <c r="R437" s="475"/>
      <c r="S437" s="475"/>
      <c r="T437" s="475"/>
      <c r="U437" s="475"/>
      <c r="V437" s="475"/>
      <c r="W437" s="475"/>
    </row>
    <row r="438" spans="2:23" s="97" customFormat="1">
      <c r="B438" s="96"/>
      <c r="H438" s="96"/>
      <c r="J438" s="1"/>
      <c r="K438" s="1"/>
      <c r="L438" s="1"/>
      <c r="O438" s="475"/>
      <c r="P438" s="475"/>
      <c r="Q438" s="475"/>
      <c r="R438" s="475"/>
      <c r="S438" s="475"/>
      <c r="T438" s="475"/>
      <c r="U438" s="475"/>
      <c r="V438" s="475"/>
      <c r="W438" s="475"/>
    </row>
    <row r="439" spans="2:23" s="97" customFormat="1">
      <c r="B439" s="96"/>
      <c r="H439" s="96"/>
      <c r="J439" s="1"/>
      <c r="K439" s="1"/>
      <c r="L439" s="1"/>
      <c r="O439" s="475"/>
      <c r="P439" s="475"/>
      <c r="Q439" s="475"/>
      <c r="R439" s="475"/>
      <c r="S439" s="475"/>
      <c r="T439" s="475"/>
      <c r="U439" s="475"/>
      <c r="V439" s="475"/>
      <c r="W439" s="475"/>
    </row>
    <row r="440" spans="2:23" s="97" customFormat="1">
      <c r="B440" s="96"/>
      <c r="H440" s="96"/>
      <c r="J440" s="1"/>
      <c r="K440" s="1"/>
      <c r="L440" s="1"/>
      <c r="O440" s="475"/>
      <c r="P440" s="475"/>
      <c r="Q440" s="475"/>
      <c r="R440" s="475"/>
      <c r="S440" s="475"/>
      <c r="T440" s="475"/>
      <c r="U440" s="475"/>
      <c r="V440" s="475"/>
      <c r="W440" s="475"/>
    </row>
    <row r="441" spans="2:23" s="97" customFormat="1">
      <c r="B441" s="96"/>
      <c r="H441" s="96"/>
      <c r="J441" s="1"/>
      <c r="K441" s="1"/>
      <c r="L441" s="1"/>
      <c r="O441" s="475"/>
      <c r="P441" s="475"/>
      <c r="Q441" s="475"/>
      <c r="R441" s="475"/>
      <c r="S441" s="475"/>
      <c r="T441" s="475"/>
      <c r="U441" s="475"/>
      <c r="V441" s="475"/>
      <c r="W441" s="475"/>
    </row>
    <row r="442" spans="2:23" s="97" customFormat="1">
      <c r="B442" s="96"/>
      <c r="H442" s="96"/>
      <c r="J442" s="1"/>
      <c r="K442" s="1"/>
      <c r="L442" s="1"/>
      <c r="O442" s="475"/>
      <c r="P442" s="475"/>
      <c r="Q442" s="475"/>
      <c r="R442" s="475"/>
      <c r="S442" s="475"/>
      <c r="T442" s="475"/>
      <c r="U442" s="475"/>
      <c r="V442" s="475"/>
      <c r="W442" s="475"/>
    </row>
    <row r="443" spans="2:23" s="97" customFormat="1">
      <c r="B443" s="96"/>
      <c r="H443" s="96"/>
      <c r="J443" s="1"/>
      <c r="K443" s="1"/>
      <c r="L443" s="1"/>
      <c r="O443" s="475"/>
      <c r="P443" s="475"/>
      <c r="Q443" s="475"/>
      <c r="R443" s="475"/>
      <c r="S443" s="475"/>
      <c r="T443" s="475"/>
      <c r="U443" s="475"/>
      <c r="V443" s="475"/>
      <c r="W443" s="475"/>
    </row>
    <row r="444" spans="2:23" s="97" customFormat="1">
      <c r="B444" s="96"/>
      <c r="H444" s="96"/>
      <c r="J444" s="1"/>
      <c r="K444" s="1"/>
      <c r="L444" s="1"/>
      <c r="O444" s="475"/>
      <c r="P444" s="475"/>
      <c r="Q444" s="475"/>
      <c r="R444" s="475"/>
      <c r="S444" s="475"/>
      <c r="T444" s="475"/>
      <c r="U444" s="475"/>
      <c r="V444" s="475"/>
      <c r="W444" s="475"/>
    </row>
    <row r="445" spans="2:23" s="97" customFormat="1">
      <c r="B445" s="96"/>
      <c r="H445" s="96"/>
      <c r="J445" s="1"/>
      <c r="K445" s="1"/>
      <c r="L445" s="1"/>
      <c r="O445" s="475"/>
      <c r="P445" s="475"/>
      <c r="Q445" s="475"/>
      <c r="R445" s="475"/>
      <c r="S445" s="475"/>
      <c r="T445" s="475"/>
      <c r="U445" s="475"/>
      <c r="V445" s="475"/>
      <c r="W445" s="475"/>
    </row>
    <row r="446" spans="2:23" s="97" customFormat="1">
      <c r="B446" s="96"/>
      <c r="H446" s="96"/>
      <c r="J446" s="1"/>
      <c r="K446" s="1"/>
      <c r="L446" s="1"/>
      <c r="O446" s="475"/>
      <c r="P446" s="475"/>
      <c r="Q446" s="475"/>
      <c r="R446" s="475"/>
      <c r="S446" s="475"/>
      <c r="T446" s="475"/>
      <c r="U446" s="475"/>
      <c r="V446" s="475"/>
      <c r="W446" s="475"/>
    </row>
    <row r="447" spans="2:23" s="97" customFormat="1">
      <c r="B447" s="96"/>
      <c r="H447" s="96"/>
      <c r="J447" s="1"/>
      <c r="K447" s="1"/>
      <c r="L447" s="1"/>
      <c r="O447" s="475"/>
      <c r="P447" s="475"/>
      <c r="Q447" s="475"/>
      <c r="R447" s="475"/>
      <c r="S447" s="475"/>
      <c r="T447" s="475"/>
      <c r="U447" s="475"/>
      <c r="V447" s="475"/>
      <c r="W447" s="475"/>
    </row>
    <row r="448" spans="2:23" s="97" customFormat="1">
      <c r="B448" s="96"/>
      <c r="H448" s="96"/>
      <c r="J448" s="1"/>
      <c r="K448" s="1"/>
      <c r="L448" s="1"/>
      <c r="O448" s="475"/>
      <c r="P448" s="475"/>
      <c r="Q448" s="475"/>
      <c r="R448" s="475"/>
      <c r="S448" s="475"/>
      <c r="T448" s="475"/>
      <c r="U448" s="475"/>
      <c r="V448" s="475"/>
      <c r="W448" s="475"/>
    </row>
    <row r="449" spans="2:23" s="97" customFormat="1">
      <c r="B449" s="96"/>
      <c r="H449" s="96"/>
      <c r="J449" s="1"/>
      <c r="K449" s="1"/>
      <c r="L449" s="1"/>
      <c r="O449" s="475"/>
      <c r="P449" s="475"/>
      <c r="Q449" s="475"/>
      <c r="R449" s="475"/>
      <c r="S449" s="475"/>
      <c r="T449" s="475"/>
      <c r="U449" s="475"/>
      <c r="V449" s="475"/>
      <c r="W449" s="475"/>
    </row>
    <row r="450" spans="2:23" s="97" customFormat="1">
      <c r="B450" s="96"/>
      <c r="H450" s="96"/>
      <c r="J450" s="1"/>
      <c r="K450" s="1"/>
      <c r="L450" s="1"/>
      <c r="O450" s="475"/>
      <c r="P450" s="475"/>
      <c r="Q450" s="475"/>
      <c r="R450" s="475"/>
      <c r="S450" s="475"/>
      <c r="T450" s="475"/>
      <c r="U450" s="475"/>
      <c r="V450" s="475"/>
      <c r="W450" s="475"/>
    </row>
    <row r="451" spans="2:23" s="97" customFormat="1">
      <c r="B451" s="96"/>
      <c r="H451" s="96"/>
      <c r="J451" s="1"/>
      <c r="K451" s="1"/>
      <c r="L451" s="1"/>
      <c r="O451" s="475"/>
      <c r="P451" s="475"/>
      <c r="Q451" s="475"/>
      <c r="R451" s="475"/>
      <c r="S451" s="475"/>
      <c r="T451" s="475"/>
      <c r="U451" s="475"/>
      <c r="V451" s="475"/>
      <c r="W451" s="475"/>
    </row>
    <row r="452" spans="2:23" s="97" customFormat="1">
      <c r="B452" s="96"/>
      <c r="H452" s="96"/>
      <c r="J452" s="1"/>
      <c r="K452" s="1"/>
      <c r="L452" s="1"/>
      <c r="O452" s="475"/>
      <c r="P452" s="475"/>
      <c r="Q452" s="475"/>
      <c r="R452" s="475"/>
      <c r="S452" s="475"/>
      <c r="T452" s="475"/>
      <c r="U452" s="475"/>
      <c r="V452" s="475"/>
      <c r="W452" s="475"/>
    </row>
    <row r="453" spans="2:23" s="97" customFormat="1">
      <c r="B453" s="96"/>
      <c r="H453" s="96"/>
      <c r="J453" s="1"/>
      <c r="K453" s="1"/>
      <c r="L453" s="1"/>
      <c r="O453" s="475"/>
      <c r="P453" s="475"/>
      <c r="Q453" s="475"/>
      <c r="R453" s="475"/>
      <c r="S453" s="475"/>
      <c r="T453" s="475"/>
      <c r="U453" s="475"/>
      <c r="V453" s="475"/>
      <c r="W453" s="475"/>
    </row>
    <row r="454" spans="2:23" s="97" customFormat="1">
      <c r="B454" s="96"/>
      <c r="H454" s="96"/>
      <c r="J454" s="1"/>
      <c r="K454" s="1"/>
      <c r="L454" s="1"/>
      <c r="O454" s="475"/>
      <c r="P454" s="475"/>
      <c r="Q454" s="475"/>
      <c r="R454" s="475"/>
      <c r="S454" s="475"/>
      <c r="T454" s="475"/>
      <c r="U454" s="475"/>
      <c r="V454" s="475"/>
      <c r="W454" s="475"/>
    </row>
    <row r="455" spans="2:23" s="97" customFormat="1">
      <c r="B455" s="96"/>
      <c r="H455" s="96"/>
      <c r="J455" s="1"/>
      <c r="K455" s="1"/>
      <c r="L455" s="1"/>
      <c r="O455" s="475"/>
      <c r="P455" s="475"/>
      <c r="Q455" s="475"/>
      <c r="R455" s="475"/>
      <c r="S455" s="475"/>
      <c r="T455" s="475"/>
      <c r="U455" s="475"/>
      <c r="V455" s="475"/>
      <c r="W455" s="475"/>
    </row>
    <row r="456" spans="2:23" s="97" customFormat="1">
      <c r="B456" s="96"/>
      <c r="H456" s="96"/>
      <c r="J456" s="1"/>
      <c r="K456" s="1"/>
      <c r="L456" s="1"/>
      <c r="O456" s="475"/>
      <c r="P456" s="475"/>
      <c r="Q456" s="475"/>
      <c r="R456" s="475"/>
      <c r="S456" s="475"/>
      <c r="T456" s="475"/>
      <c r="U456" s="475"/>
      <c r="V456" s="475"/>
      <c r="W456" s="475"/>
    </row>
    <row r="457" spans="2:23" s="97" customFormat="1">
      <c r="B457" s="96"/>
      <c r="H457" s="96"/>
      <c r="J457" s="1"/>
      <c r="K457" s="1"/>
      <c r="L457" s="1"/>
      <c r="O457" s="475"/>
      <c r="P457" s="475"/>
      <c r="Q457" s="475"/>
      <c r="R457" s="475"/>
      <c r="S457" s="475"/>
      <c r="T457" s="475"/>
      <c r="U457" s="475"/>
      <c r="V457" s="475"/>
      <c r="W457" s="475"/>
    </row>
    <row r="458" spans="2:23" s="97" customFormat="1">
      <c r="B458" s="96"/>
      <c r="H458" s="96"/>
      <c r="J458" s="1"/>
      <c r="K458" s="1"/>
      <c r="L458" s="1"/>
      <c r="O458" s="475"/>
      <c r="P458" s="475"/>
      <c r="Q458" s="475"/>
      <c r="R458" s="475"/>
      <c r="S458" s="475"/>
      <c r="T458" s="475"/>
      <c r="U458" s="475"/>
      <c r="V458" s="475"/>
      <c r="W458" s="475"/>
    </row>
    <row r="459" spans="2:23" s="97" customFormat="1">
      <c r="B459" s="96"/>
      <c r="H459" s="96"/>
      <c r="J459" s="1"/>
      <c r="K459" s="1"/>
      <c r="L459" s="1"/>
      <c r="O459" s="475"/>
      <c r="P459" s="475"/>
      <c r="Q459" s="475"/>
      <c r="R459" s="475"/>
      <c r="S459" s="475"/>
      <c r="T459" s="475"/>
      <c r="U459" s="475"/>
      <c r="V459" s="475"/>
      <c r="W459" s="475"/>
    </row>
    <row r="460" spans="2:23" s="97" customFormat="1">
      <c r="B460" s="96"/>
      <c r="H460" s="96"/>
      <c r="J460" s="1"/>
      <c r="K460" s="1"/>
      <c r="L460" s="1"/>
      <c r="O460" s="475"/>
      <c r="P460" s="475"/>
      <c r="Q460" s="475"/>
      <c r="R460" s="475"/>
      <c r="S460" s="475"/>
      <c r="T460" s="475"/>
      <c r="U460" s="475"/>
      <c r="V460" s="475"/>
      <c r="W460" s="475"/>
    </row>
    <row r="461" spans="2:23" s="97" customFormat="1">
      <c r="B461" s="96"/>
      <c r="H461" s="96"/>
      <c r="J461" s="1"/>
      <c r="K461" s="1"/>
      <c r="L461" s="1"/>
      <c r="O461" s="475"/>
      <c r="P461" s="475"/>
      <c r="Q461" s="475"/>
      <c r="R461" s="475"/>
      <c r="S461" s="475"/>
      <c r="T461" s="475"/>
      <c r="U461" s="475"/>
      <c r="V461" s="475"/>
      <c r="W461" s="475"/>
    </row>
    <row r="462" spans="2:23" s="97" customFormat="1">
      <c r="B462" s="96"/>
      <c r="H462" s="96"/>
      <c r="J462" s="1"/>
      <c r="K462" s="1"/>
      <c r="L462" s="1"/>
      <c r="O462" s="475"/>
      <c r="P462" s="475"/>
      <c r="Q462" s="475"/>
      <c r="R462" s="475"/>
      <c r="S462" s="475"/>
      <c r="T462" s="475"/>
      <c r="U462" s="475"/>
      <c r="V462" s="475"/>
      <c r="W462" s="475"/>
    </row>
    <row r="463" spans="2:23" s="97" customFormat="1">
      <c r="B463" s="96"/>
      <c r="H463" s="96"/>
      <c r="J463" s="1"/>
      <c r="K463" s="1"/>
      <c r="L463" s="1"/>
      <c r="O463" s="475"/>
      <c r="P463" s="475"/>
      <c r="Q463" s="475"/>
      <c r="R463" s="475"/>
      <c r="S463" s="475"/>
      <c r="T463" s="475"/>
      <c r="U463" s="475"/>
      <c r="V463" s="475"/>
      <c r="W463" s="475"/>
    </row>
    <row r="464" spans="2:23" s="97" customFormat="1">
      <c r="B464" s="96"/>
      <c r="H464" s="96"/>
      <c r="J464" s="1"/>
      <c r="K464" s="1"/>
      <c r="L464" s="1"/>
      <c r="O464" s="475"/>
      <c r="P464" s="475"/>
      <c r="Q464" s="475"/>
      <c r="R464" s="475"/>
      <c r="S464" s="475"/>
      <c r="T464" s="475"/>
      <c r="U464" s="475"/>
      <c r="V464" s="475"/>
      <c r="W464" s="475"/>
    </row>
    <row r="465" spans="2:23" s="97" customFormat="1">
      <c r="B465" s="96"/>
      <c r="H465" s="96"/>
      <c r="J465" s="1"/>
      <c r="K465" s="1"/>
      <c r="L465" s="1"/>
      <c r="O465" s="475"/>
      <c r="P465" s="475"/>
      <c r="Q465" s="475"/>
      <c r="R465" s="475"/>
      <c r="S465" s="475"/>
      <c r="T465" s="475"/>
      <c r="U465" s="475"/>
      <c r="V465" s="475"/>
      <c r="W465" s="475"/>
    </row>
    <row r="466" spans="2:23" s="97" customFormat="1">
      <c r="B466" s="96"/>
      <c r="H466" s="96"/>
      <c r="J466" s="1"/>
      <c r="K466" s="1"/>
      <c r="L466" s="1"/>
      <c r="O466" s="475"/>
      <c r="P466" s="475"/>
      <c r="Q466" s="475"/>
      <c r="R466" s="475"/>
      <c r="S466" s="475"/>
      <c r="T466" s="475"/>
      <c r="U466" s="475"/>
      <c r="V466" s="475"/>
      <c r="W466" s="475"/>
    </row>
    <row r="467" spans="2:23" s="97" customFormat="1">
      <c r="B467" s="96"/>
      <c r="H467" s="96"/>
      <c r="J467" s="1"/>
      <c r="K467" s="1"/>
      <c r="L467" s="1"/>
      <c r="O467" s="475"/>
      <c r="P467" s="475"/>
      <c r="Q467" s="475"/>
      <c r="R467" s="475"/>
      <c r="S467" s="475"/>
      <c r="T467" s="475"/>
      <c r="U467" s="475"/>
      <c r="V467" s="475"/>
      <c r="W467" s="475"/>
    </row>
    <row r="468" spans="2:23" s="97" customFormat="1">
      <c r="B468" s="96"/>
      <c r="H468" s="96"/>
      <c r="J468" s="1"/>
      <c r="K468" s="1"/>
      <c r="L468" s="1"/>
      <c r="O468" s="475"/>
      <c r="P468" s="475"/>
      <c r="Q468" s="475"/>
      <c r="R468" s="475"/>
      <c r="S468" s="475"/>
      <c r="T468" s="475"/>
      <c r="U468" s="475"/>
      <c r="V468" s="475"/>
      <c r="W468" s="475"/>
    </row>
    <row r="469" spans="2:23" s="97" customFormat="1">
      <c r="B469" s="96"/>
      <c r="H469" s="96"/>
      <c r="J469" s="1"/>
      <c r="K469" s="1"/>
      <c r="L469" s="1"/>
      <c r="O469" s="475"/>
      <c r="P469" s="475"/>
      <c r="Q469" s="475"/>
      <c r="R469" s="475"/>
      <c r="S469" s="475"/>
      <c r="T469" s="475"/>
      <c r="U469" s="475"/>
      <c r="V469" s="475"/>
      <c r="W469" s="475"/>
    </row>
    <row r="470" spans="2:23" s="97" customFormat="1">
      <c r="B470" s="96"/>
      <c r="H470" s="96"/>
      <c r="J470" s="1"/>
      <c r="K470" s="1"/>
      <c r="L470" s="1"/>
      <c r="O470" s="475"/>
      <c r="P470" s="475"/>
      <c r="Q470" s="475"/>
      <c r="R470" s="475"/>
      <c r="S470" s="475"/>
      <c r="T470" s="475"/>
      <c r="U470" s="475"/>
      <c r="V470" s="475"/>
      <c r="W470" s="475"/>
    </row>
    <row r="471" spans="2:23" s="97" customFormat="1">
      <c r="B471" s="96"/>
      <c r="H471" s="96"/>
      <c r="J471" s="1"/>
      <c r="K471" s="1"/>
      <c r="L471" s="1"/>
      <c r="O471" s="475"/>
      <c r="P471" s="475"/>
      <c r="Q471" s="475"/>
      <c r="R471" s="475"/>
      <c r="S471" s="475"/>
      <c r="T471" s="475"/>
      <c r="U471" s="475"/>
      <c r="V471" s="475"/>
      <c r="W471" s="475"/>
    </row>
    <row r="472" spans="2:23" s="97" customFormat="1">
      <c r="B472" s="96"/>
      <c r="H472" s="96"/>
      <c r="J472" s="1"/>
      <c r="K472" s="1"/>
      <c r="L472" s="1"/>
      <c r="O472" s="475"/>
      <c r="P472" s="475"/>
      <c r="Q472" s="475"/>
      <c r="R472" s="475"/>
      <c r="S472" s="475"/>
      <c r="T472" s="475"/>
      <c r="U472" s="475"/>
      <c r="V472" s="475"/>
      <c r="W472" s="475"/>
    </row>
    <row r="473" spans="2:23" s="97" customFormat="1">
      <c r="B473" s="96"/>
      <c r="H473" s="96"/>
      <c r="J473" s="1"/>
      <c r="K473" s="1"/>
      <c r="L473" s="1"/>
      <c r="O473" s="475"/>
      <c r="P473" s="475"/>
      <c r="Q473" s="475"/>
      <c r="R473" s="475"/>
      <c r="S473" s="475"/>
      <c r="T473" s="475"/>
      <c r="U473" s="475"/>
      <c r="V473" s="475"/>
      <c r="W473" s="475"/>
    </row>
    <row r="474" spans="2:23" s="97" customFormat="1">
      <c r="B474" s="96"/>
      <c r="H474" s="96"/>
      <c r="J474" s="1"/>
      <c r="K474" s="1"/>
      <c r="L474" s="1"/>
      <c r="O474" s="475"/>
      <c r="P474" s="475"/>
      <c r="Q474" s="475"/>
      <c r="R474" s="475"/>
      <c r="S474" s="475"/>
      <c r="T474" s="475"/>
      <c r="U474" s="475"/>
      <c r="V474" s="475"/>
      <c r="W474" s="475"/>
    </row>
    <row r="475" spans="2:23" s="97" customFormat="1">
      <c r="B475" s="96"/>
      <c r="H475" s="96"/>
      <c r="J475" s="1"/>
      <c r="K475" s="1"/>
      <c r="L475" s="1"/>
      <c r="O475" s="475"/>
      <c r="P475" s="475"/>
      <c r="Q475" s="475"/>
      <c r="R475" s="475"/>
      <c r="S475" s="475"/>
      <c r="T475" s="475"/>
      <c r="U475" s="475"/>
      <c r="V475" s="475"/>
      <c r="W475" s="475"/>
    </row>
    <row r="476" spans="2:23" s="97" customFormat="1">
      <c r="B476" s="96"/>
      <c r="H476" s="96"/>
      <c r="J476" s="1"/>
      <c r="K476" s="1"/>
      <c r="L476" s="1"/>
      <c r="O476" s="475"/>
      <c r="P476" s="475"/>
      <c r="Q476" s="475"/>
      <c r="R476" s="475"/>
      <c r="S476" s="475"/>
      <c r="T476" s="475"/>
      <c r="U476" s="475"/>
      <c r="V476" s="475"/>
      <c r="W476" s="475"/>
    </row>
    <row r="477" spans="2:23" s="97" customFormat="1">
      <c r="B477" s="96"/>
      <c r="H477" s="96"/>
      <c r="J477" s="1"/>
      <c r="K477" s="1"/>
      <c r="L477" s="1"/>
      <c r="O477" s="475"/>
      <c r="P477" s="475"/>
      <c r="Q477" s="475"/>
      <c r="R477" s="475"/>
      <c r="S477" s="475"/>
      <c r="T477" s="475"/>
      <c r="U477" s="475"/>
      <c r="V477" s="475"/>
      <c r="W477" s="475"/>
    </row>
    <row r="478" spans="2:23" s="97" customFormat="1">
      <c r="B478" s="96"/>
      <c r="H478" s="96"/>
      <c r="J478" s="1"/>
      <c r="K478" s="1"/>
      <c r="L478" s="1"/>
      <c r="O478" s="475"/>
      <c r="P478" s="475"/>
      <c r="Q478" s="475"/>
      <c r="R478" s="475"/>
      <c r="S478" s="475"/>
      <c r="T478" s="475"/>
      <c r="U478" s="475"/>
      <c r="V478" s="475"/>
      <c r="W478" s="475"/>
    </row>
    <row r="479" spans="2:23" s="97" customFormat="1">
      <c r="B479" s="96"/>
      <c r="H479" s="96"/>
      <c r="J479" s="1"/>
      <c r="K479" s="1"/>
      <c r="L479" s="1"/>
      <c r="O479" s="475"/>
      <c r="P479" s="475"/>
      <c r="Q479" s="475"/>
      <c r="R479" s="475"/>
      <c r="S479" s="475"/>
      <c r="T479" s="475"/>
      <c r="U479" s="475"/>
      <c r="V479" s="475"/>
      <c r="W479" s="475"/>
    </row>
    <row r="480" spans="2:23" s="97" customFormat="1">
      <c r="B480" s="96"/>
      <c r="H480" s="96"/>
      <c r="J480" s="1"/>
      <c r="K480" s="1"/>
      <c r="L480" s="1"/>
      <c r="O480" s="475"/>
      <c r="P480" s="475"/>
      <c r="Q480" s="475"/>
      <c r="R480" s="475"/>
      <c r="S480" s="475"/>
      <c r="T480" s="475"/>
      <c r="U480" s="475"/>
      <c r="V480" s="475"/>
      <c r="W480" s="475"/>
    </row>
    <row r="481" spans="2:23" s="97" customFormat="1">
      <c r="B481" s="96"/>
      <c r="H481" s="96"/>
      <c r="J481" s="1"/>
      <c r="K481" s="1"/>
      <c r="L481" s="1"/>
      <c r="O481" s="475"/>
      <c r="P481" s="475"/>
      <c r="Q481" s="475"/>
      <c r="R481" s="475"/>
      <c r="S481" s="475"/>
      <c r="T481" s="475"/>
      <c r="U481" s="475"/>
      <c r="V481" s="475"/>
      <c r="W481" s="475"/>
    </row>
    <row r="482" spans="2:23" s="97" customFormat="1">
      <c r="B482" s="96"/>
      <c r="H482" s="96"/>
      <c r="J482" s="1"/>
      <c r="K482" s="1"/>
      <c r="L482" s="1"/>
      <c r="O482" s="475"/>
      <c r="P482" s="475"/>
      <c r="Q482" s="475"/>
      <c r="R482" s="475"/>
      <c r="S482" s="475"/>
      <c r="T482" s="475"/>
      <c r="U482" s="475"/>
      <c r="V482" s="475"/>
      <c r="W482" s="475"/>
    </row>
    <row r="483" spans="2:23" s="97" customFormat="1">
      <c r="B483" s="96"/>
      <c r="H483" s="96"/>
      <c r="J483" s="1"/>
      <c r="K483" s="1"/>
      <c r="L483" s="1"/>
      <c r="O483" s="475"/>
      <c r="P483" s="475"/>
      <c r="Q483" s="475"/>
      <c r="R483" s="475"/>
      <c r="S483" s="475"/>
      <c r="T483" s="475"/>
      <c r="U483" s="475"/>
      <c r="V483" s="475"/>
      <c r="W483" s="475"/>
    </row>
    <row r="484" spans="2:23" s="97" customFormat="1">
      <c r="B484" s="96"/>
      <c r="H484" s="96"/>
      <c r="J484" s="1"/>
      <c r="K484" s="1"/>
      <c r="L484" s="1"/>
      <c r="O484" s="475"/>
      <c r="P484" s="475"/>
      <c r="Q484" s="475"/>
      <c r="R484" s="475"/>
      <c r="S484" s="475"/>
      <c r="T484" s="475"/>
      <c r="U484" s="475"/>
      <c r="V484" s="475"/>
      <c r="W484" s="475"/>
    </row>
    <row r="485" spans="2:23" s="97" customFormat="1">
      <c r="B485" s="96"/>
      <c r="H485" s="96"/>
      <c r="J485" s="1"/>
      <c r="K485" s="1"/>
      <c r="L485" s="1"/>
      <c r="O485" s="475"/>
      <c r="P485" s="475"/>
      <c r="Q485" s="475"/>
      <c r="R485" s="475"/>
      <c r="S485" s="475"/>
      <c r="T485" s="475"/>
      <c r="U485" s="475"/>
      <c r="V485" s="475"/>
      <c r="W485" s="475"/>
    </row>
    <row r="486" spans="2:23" s="97" customFormat="1">
      <c r="B486" s="96"/>
      <c r="H486" s="96"/>
      <c r="J486" s="1"/>
      <c r="K486" s="1"/>
      <c r="L486" s="1"/>
      <c r="O486" s="475"/>
      <c r="P486" s="475"/>
      <c r="Q486" s="475"/>
      <c r="R486" s="475"/>
      <c r="S486" s="475"/>
      <c r="T486" s="475"/>
      <c r="U486" s="475"/>
      <c r="V486" s="475"/>
      <c r="W486" s="475"/>
    </row>
    <row r="487" spans="2:23" s="97" customFormat="1">
      <c r="B487" s="96"/>
      <c r="H487" s="96"/>
      <c r="J487" s="1"/>
      <c r="K487" s="1"/>
      <c r="L487" s="1"/>
      <c r="O487" s="475"/>
      <c r="P487" s="475"/>
      <c r="Q487" s="475"/>
      <c r="R487" s="475"/>
      <c r="S487" s="475"/>
      <c r="T487" s="475"/>
      <c r="U487" s="475"/>
      <c r="V487" s="475"/>
      <c r="W487" s="475"/>
    </row>
    <row r="488" spans="2:23" s="97" customFormat="1">
      <c r="B488" s="96"/>
      <c r="H488" s="96"/>
      <c r="J488" s="1"/>
      <c r="K488" s="1"/>
      <c r="L488" s="1"/>
      <c r="O488" s="475"/>
      <c r="P488" s="475"/>
      <c r="Q488" s="475"/>
      <c r="R488" s="475"/>
      <c r="S488" s="475"/>
      <c r="T488" s="475"/>
      <c r="U488" s="475"/>
      <c r="V488" s="475"/>
      <c r="W488" s="475"/>
    </row>
    <row r="489" spans="2:23" s="97" customFormat="1">
      <c r="B489" s="96"/>
      <c r="H489" s="96"/>
      <c r="J489" s="1"/>
      <c r="K489" s="1"/>
      <c r="L489" s="1"/>
      <c r="O489" s="475"/>
      <c r="P489" s="475"/>
      <c r="Q489" s="475"/>
      <c r="R489" s="475"/>
      <c r="S489" s="475"/>
      <c r="T489" s="475"/>
      <c r="U489" s="475"/>
      <c r="V489" s="475"/>
      <c r="W489" s="475"/>
    </row>
    <row r="490" spans="2:23" s="97" customFormat="1">
      <c r="B490" s="96"/>
      <c r="H490" s="96"/>
      <c r="J490" s="1"/>
      <c r="K490" s="1"/>
      <c r="L490" s="1"/>
      <c r="O490" s="475"/>
      <c r="P490" s="475"/>
      <c r="Q490" s="475"/>
      <c r="R490" s="475"/>
      <c r="S490" s="475"/>
      <c r="T490" s="475"/>
      <c r="U490" s="475"/>
      <c r="V490" s="475"/>
      <c r="W490" s="475"/>
    </row>
    <row r="491" spans="2:23" s="97" customFormat="1">
      <c r="B491" s="96"/>
      <c r="H491" s="96"/>
      <c r="J491" s="1"/>
      <c r="K491" s="1"/>
      <c r="L491" s="1"/>
      <c r="O491" s="475"/>
      <c r="P491" s="475"/>
      <c r="Q491" s="475"/>
      <c r="R491" s="475"/>
      <c r="S491" s="475"/>
      <c r="T491" s="475"/>
      <c r="U491" s="475"/>
      <c r="V491" s="475"/>
      <c r="W491" s="475"/>
    </row>
    <row r="492" spans="2:23" s="97" customFormat="1">
      <c r="B492" s="96"/>
      <c r="H492" s="96"/>
      <c r="J492" s="1"/>
      <c r="K492" s="1"/>
      <c r="L492" s="1"/>
      <c r="O492" s="475"/>
      <c r="P492" s="475"/>
      <c r="Q492" s="475"/>
      <c r="R492" s="475"/>
      <c r="S492" s="475"/>
      <c r="T492" s="475"/>
      <c r="U492" s="475"/>
      <c r="V492" s="475"/>
      <c r="W492" s="475"/>
    </row>
    <row r="493" spans="2:23" s="97" customFormat="1">
      <c r="B493" s="96"/>
      <c r="H493" s="96"/>
      <c r="J493" s="1"/>
      <c r="K493" s="1"/>
      <c r="L493" s="1"/>
      <c r="O493" s="475"/>
      <c r="P493" s="475"/>
      <c r="Q493" s="475"/>
      <c r="R493" s="475"/>
      <c r="S493" s="475"/>
      <c r="T493" s="475"/>
      <c r="U493" s="475"/>
      <c r="V493" s="475"/>
      <c r="W493" s="475"/>
    </row>
    <row r="494" spans="2:23" s="97" customFormat="1">
      <c r="B494" s="96"/>
      <c r="H494" s="96"/>
      <c r="J494" s="1"/>
      <c r="K494" s="1"/>
      <c r="L494" s="1"/>
      <c r="O494" s="475"/>
      <c r="P494" s="475"/>
      <c r="Q494" s="475"/>
      <c r="R494" s="475"/>
      <c r="S494" s="475"/>
      <c r="T494" s="475"/>
      <c r="U494" s="475"/>
      <c r="V494" s="475"/>
      <c r="W494" s="475"/>
    </row>
    <row r="495" spans="2:23" s="97" customFormat="1">
      <c r="B495" s="96"/>
      <c r="H495" s="96"/>
      <c r="J495" s="1"/>
      <c r="K495" s="1"/>
      <c r="L495" s="1"/>
      <c r="O495" s="475"/>
      <c r="P495" s="475"/>
      <c r="Q495" s="475"/>
      <c r="R495" s="475"/>
      <c r="S495" s="475"/>
      <c r="T495" s="475"/>
      <c r="U495" s="475"/>
      <c r="V495" s="475"/>
      <c r="W495" s="475"/>
    </row>
    <row r="496" spans="2:23" s="97" customFormat="1">
      <c r="B496" s="96"/>
      <c r="H496" s="96"/>
      <c r="J496" s="1"/>
      <c r="K496" s="1"/>
      <c r="L496" s="1"/>
      <c r="O496" s="475"/>
      <c r="P496" s="475"/>
      <c r="Q496" s="475"/>
      <c r="R496" s="475"/>
      <c r="S496" s="475"/>
      <c r="T496" s="475"/>
      <c r="U496" s="475"/>
      <c r="V496" s="475"/>
      <c r="W496" s="475"/>
    </row>
    <row r="497" spans="2:23" s="97" customFormat="1">
      <c r="B497" s="96"/>
      <c r="H497" s="96"/>
      <c r="J497" s="1"/>
      <c r="K497" s="1"/>
      <c r="L497" s="1"/>
      <c r="O497" s="475"/>
      <c r="P497" s="475"/>
      <c r="Q497" s="475"/>
      <c r="R497" s="475"/>
      <c r="S497" s="475"/>
      <c r="T497" s="475"/>
      <c r="U497" s="475"/>
      <c r="V497" s="475"/>
      <c r="W497" s="475"/>
    </row>
    <row r="498" spans="2:23" s="97" customFormat="1">
      <c r="B498" s="96"/>
      <c r="H498" s="96"/>
      <c r="J498" s="1"/>
      <c r="K498" s="1"/>
      <c r="L498" s="1"/>
      <c r="O498" s="475"/>
      <c r="P498" s="475"/>
      <c r="Q498" s="475"/>
      <c r="R498" s="475"/>
      <c r="S498" s="475"/>
      <c r="T498" s="475"/>
      <c r="U498" s="475"/>
      <c r="V498" s="475"/>
      <c r="W498" s="475"/>
    </row>
    <row r="499" spans="2:23" s="97" customFormat="1">
      <c r="B499" s="96"/>
      <c r="H499" s="96"/>
      <c r="J499" s="1"/>
      <c r="K499" s="1"/>
      <c r="L499" s="1"/>
      <c r="O499" s="475"/>
      <c r="P499" s="475"/>
      <c r="Q499" s="475"/>
      <c r="R499" s="475"/>
      <c r="S499" s="475"/>
      <c r="T499" s="475"/>
      <c r="U499" s="475"/>
      <c r="V499" s="475"/>
      <c r="W499" s="475"/>
    </row>
    <row r="500" spans="2:23" s="97" customFormat="1">
      <c r="B500" s="96"/>
      <c r="H500" s="96"/>
      <c r="J500" s="1"/>
      <c r="K500" s="1"/>
      <c r="L500" s="1"/>
      <c r="O500" s="475"/>
      <c r="P500" s="475"/>
      <c r="Q500" s="475"/>
      <c r="R500" s="475"/>
      <c r="S500" s="475"/>
      <c r="T500" s="475"/>
      <c r="U500" s="475"/>
      <c r="V500" s="475"/>
      <c r="W500" s="475"/>
    </row>
    <row r="501" spans="2:23" s="97" customFormat="1">
      <c r="B501" s="96"/>
      <c r="H501" s="96"/>
      <c r="J501" s="1"/>
      <c r="K501" s="1"/>
      <c r="L501" s="1"/>
      <c r="O501" s="475"/>
      <c r="P501" s="475"/>
      <c r="Q501" s="475"/>
      <c r="R501" s="475"/>
      <c r="S501" s="475"/>
      <c r="T501" s="475"/>
      <c r="U501" s="475"/>
      <c r="V501" s="475"/>
      <c r="W501" s="475"/>
    </row>
    <row r="502" spans="2:23" s="97" customFormat="1">
      <c r="B502" s="96"/>
      <c r="H502" s="96"/>
      <c r="J502" s="1"/>
      <c r="K502" s="1"/>
      <c r="L502" s="1"/>
      <c r="O502" s="475"/>
      <c r="P502" s="475"/>
      <c r="Q502" s="475"/>
      <c r="R502" s="475"/>
      <c r="S502" s="475"/>
      <c r="T502" s="475"/>
      <c r="U502" s="475"/>
      <c r="V502" s="475"/>
      <c r="W502" s="475"/>
    </row>
    <row r="503" spans="2:23" s="97" customFormat="1">
      <c r="B503" s="96"/>
      <c r="H503" s="96"/>
      <c r="J503" s="1"/>
      <c r="K503" s="1"/>
      <c r="L503" s="1"/>
      <c r="O503" s="475"/>
      <c r="P503" s="475"/>
      <c r="Q503" s="475"/>
      <c r="R503" s="475"/>
      <c r="S503" s="475"/>
      <c r="T503" s="475"/>
      <c r="U503" s="475"/>
      <c r="V503" s="475"/>
      <c r="W503" s="475"/>
    </row>
    <row r="504" spans="2:23" s="97" customFormat="1">
      <c r="B504" s="96"/>
      <c r="H504" s="96"/>
      <c r="J504" s="1"/>
      <c r="K504" s="1"/>
      <c r="L504" s="1"/>
      <c r="O504" s="475"/>
      <c r="P504" s="475"/>
      <c r="Q504" s="475"/>
      <c r="R504" s="475"/>
      <c r="S504" s="475"/>
      <c r="T504" s="475"/>
      <c r="U504" s="475"/>
      <c r="V504" s="475"/>
      <c r="W504" s="475"/>
    </row>
    <row r="505" spans="2:23" s="97" customFormat="1">
      <c r="B505" s="96"/>
      <c r="H505" s="96"/>
      <c r="J505" s="1"/>
      <c r="K505" s="1"/>
      <c r="L505" s="1"/>
      <c r="O505" s="475"/>
      <c r="P505" s="475"/>
      <c r="Q505" s="475"/>
      <c r="R505" s="475"/>
      <c r="S505" s="475"/>
      <c r="T505" s="475"/>
      <c r="U505" s="475"/>
      <c r="V505" s="475"/>
      <c r="W505" s="475"/>
    </row>
    <row r="506" spans="2:23" s="97" customFormat="1">
      <c r="B506" s="96"/>
      <c r="H506" s="96"/>
      <c r="J506" s="1"/>
      <c r="K506" s="1"/>
      <c r="L506" s="1"/>
      <c r="O506" s="475"/>
      <c r="P506" s="475"/>
      <c r="Q506" s="475"/>
      <c r="R506" s="475"/>
      <c r="S506" s="475"/>
      <c r="T506" s="475"/>
      <c r="U506" s="475"/>
      <c r="V506" s="475"/>
      <c r="W506" s="475"/>
    </row>
    <row r="507" spans="2:23" s="97" customFormat="1">
      <c r="B507" s="96"/>
      <c r="H507" s="96"/>
      <c r="J507" s="1"/>
      <c r="K507" s="1"/>
      <c r="L507" s="1"/>
      <c r="O507" s="475"/>
      <c r="P507" s="475"/>
      <c r="Q507" s="475"/>
      <c r="R507" s="475"/>
      <c r="S507" s="475"/>
      <c r="T507" s="475"/>
      <c r="U507" s="475"/>
      <c r="V507" s="475"/>
      <c r="W507" s="475"/>
    </row>
    <row r="508" spans="2:23" s="97" customFormat="1">
      <c r="B508" s="96"/>
      <c r="H508" s="96"/>
      <c r="J508" s="1"/>
      <c r="K508" s="1"/>
      <c r="L508" s="1"/>
      <c r="O508" s="475"/>
      <c r="P508" s="475"/>
      <c r="Q508" s="475"/>
      <c r="R508" s="475"/>
      <c r="S508" s="475"/>
      <c r="T508" s="475"/>
      <c r="U508" s="475"/>
      <c r="V508" s="475"/>
      <c r="W508" s="475"/>
    </row>
    <row r="509" spans="2:23" s="97" customFormat="1">
      <c r="B509" s="96"/>
      <c r="H509" s="96"/>
      <c r="J509" s="1"/>
      <c r="K509" s="1"/>
      <c r="L509" s="1"/>
      <c r="O509" s="475"/>
      <c r="P509" s="475"/>
      <c r="Q509" s="475"/>
      <c r="R509" s="475"/>
      <c r="S509" s="475"/>
      <c r="T509" s="475"/>
      <c r="U509" s="475"/>
      <c r="V509" s="475"/>
      <c r="W509" s="475"/>
    </row>
    <row r="510" spans="2:23" s="97" customFormat="1">
      <c r="B510" s="96"/>
      <c r="H510" s="96"/>
      <c r="J510" s="1"/>
      <c r="K510" s="1"/>
      <c r="L510" s="1"/>
      <c r="O510" s="475"/>
      <c r="P510" s="475"/>
      <c r="Q510" s="475"/>
      <c r="R510" s="475"/>
      <c r="S510" s="475"/>
      <c r="T510" s="475"/>
      <c r="U510" s="475"/>
      <c r="V510" s="475"/>
      <c r="W510" s="475"/>
    </row>
    <row r="511" spans="2:23" s="97" customFormat="1">
      <c r="B511" s="96"/>
      <c r="H511" s="96"/>
      <c r="J511" s="1"/>
      <c r="K511" s="1"/>
      <c r="L511" s="1"/>
      <c r="O511" s="475"/>
      <c r="P511" s="475"/>
      <c r="Q511" s="475"/>
      <c r="R511" s="475"/>
      <c r="S511" s="475"/>
      <c r="T511" s="475"/>
      <c r="U511" s="475"/>
      <c r="V511" s="475"/>
      <c r="W511" s="475"/>
    </row>
    <row r="512" spans="2:23" s="97" customFormat="1">
      <c r="B512" s="96"/>
      <c r="H512" s="96"/>
      <c r="J512" s="1"/>
      <c r="K512" s="1"/>
      <c r="L512" s="1"/>
      <c r="O512" s="475"/>
      <c r="P512" s="475"/>
      <c r="Q512" s="475"/>
      <c r="R512" s="475"/>
      <c r="S512" s="475"/>
      <c r="T512" s="475"/>
      <c r="U512" s="475"/>
      <c r="V512" s="475"/>
      <c r="W512" s="475"/>
    </row>
    <row r="513" spans="2:23" s="97" customFormat="1">
      <c r="B513" s="96"/>
      <c r="H513" s="96"/>
      <c r="J513" s="1"/>
      <c r="K513" s="1"/>
      <c r="L513" s="1"/>
      <c r="O513" s="475"/>
      <c r="P513" s="475"/>
      <c r="Q513" s="475"/>
      <c r="R513" s="475"/>
      <c r="S513" s="475"/>
      <c r="T513" s="475"/>
      <c r="U513" s="475"/>
      <c r="V513" s="475"/>
      <c r="W513" s="475"/>
    </row>
    <row r="514" spans="2:23" s="97" customFormat="1">
      <c r="B514" s="96"/>
      <c r="H514" s="96"/>
      <c r="J514" s="1"/>
      <c r="K514" s="1"/>
      <c r="L514" s="1"/>
      <c r="O514" s="475"/>
      <c r="P514" s="475"/>
      <c r="Q514" s="475"/>
      <c r="R514" s="475"/>
      <c r="S514" s="475"/>
      <c r="T514" s="475"/>
      <c r="U514" s="475"/>
      <c r="V514" s="475"/>
      <c r="W514" s="475"/>
    </row>
    <row r="515" spans="2:23" s="97" customFormat="1">
      <c r="B515" s="96"/>
      <c r="H515" s="96"/>
      <c r="J515" s="1"/>
      <c r="K515" s="1"/>
      <c r="L515" s="1"/>
      <c r="O515" s="475"/>
      <c r="P515" s="475"/>
      <c r="Q515" s="475"/>
      <c r="R515" s="475"/>
      <c r="S515" s="475"/>
      <c r="T515" s="475"/>
      <c r="U515" s="475"/>
      <c r="V515" s="475"/>
      <c r="W515" s="475"/>
    </row>
    <row r="516" spans="2:23" s="97" customFormat="1">
      <c r="B516" s="96"/>
      <c r="H516" s="96"/>
      <c r="J516" s="1"/>
      <c r="K516" s="1"/>
      <c r="L516" s="1"/>
      <c r="O516" s="475"/>
      <c r="P516" s="475"/>
      <c r="Q516" s="475"/>
      <c r="R516" s="475"/>
      <c r="S516" s="475"/>
      <c r="T516" s="475"/>
      <c r="U516" s="475"/>
      <c r="V516" s="475"/>
      <c r="W516" s="475"/>
    </row>
    <row r="517" spans="2:23" s="97" customFormat="1">
      <c r="B517" s="96"/>
      <c r="H517" s="96"/>
      <c r="J517" s="1"/>
      <c r="K517" s="1"/>
      <c r="L517" s="1"/>
      <c r="O517" s="475"/>
      <c r="P517" s="475"/>
      <c r="Q517" s="475"/>
      <c r="R517" s="475"/>
      <c r="S517" s="475"/>
      <c r="T517" s="475"/>
      <c r="U517" s="475"/>
      <c r="V517" s="475"/>
      <c r="W517" s="475"/>
    </row>
    <row r="518" spans="2:23" s="97" customFormat="1">
      <c r="B518" s="96"/>
      <c r="H518" s="96"/>
      <c r="J518" s="1"/>
      <c r="K518" s="1"/>
      <c r="L518" s="1"/>
      <c r="O518" s="475"/>
      <c r="P518" s="475"/>
      <c r="Q518" s="475"/>
      <c r="R518" s="475"/>
      <c r="S518" s="475"/>
      <c r="T518" s="475"/>
      <c r="U518" s="475"/>
      <c r="V518" s="475"/>
      <c r="W518" s="475"/>
    </row>
    <row r="519" spans="2:23" s="97" customFormat="1">
      <c r="B519" s="96"/>
      <c r="H519" s="96"/>
      <c r="J519" s="1"/>
      <c r="K519" s="1"/>
      <c r="L519" s="1"/>
      <c r="O519" s="475"/>
      <c r="P519" s="475"/>
      <c r="Q519" s="475"/>
      <c r="R519" s="475"/>
      <c r="S519" s="475"/>
      <c r="T519" s="475"/>
      <c r="U519" s="475"/>
      <c r="V519" s="475"/>
      <c r="W519" s="475"/>
    </row>
    <row r="520" spans="2:23" s="97" customFormat="1">
      <c r="B520" s="96"/>
      <c r="H520" s="96"/>
      <c r="J520" s="1"/>
      <c r="K520" s="1"/>
      <c r="L520" s="1"/>
      <c r="O520" s="475"/>
      <c r="P520" s="475"/>
      <c r="Q520" s="475"/>
      <c r="R520" s="475"/>
      <c r="S520" s="475"/>
      <c r="T520" s="475"/>
      <c r="U520" s="475"/>
      <c r="V520" s="475"/>
      <c r="W520" s="475"/>
    </row>
    <row r="521" spans="2:23" s="97" customFormat="1">
      <c r="B521" s="96"/>
      <c r="H521" s="96"/>
      <c r="J521" s="1"/>
      <c r="K521" s="1"/>
      <c r="L521" s="1"/>
      <c r="O521" s="475"/>
      <c r="P521" s="475"/>
      <c r="Q521" s="475"/>
      <c r="R521" s="475"/>
      <c r="S521" s="475"/>
      <c r="T521" s="475"/>
      <c r="U521" s="475"/>
      <c r="V521" s="475"/>
      <c r="W521" s="475"/>
    </row>
    <row r="522" spans="2:23" s="97" customFormat="1">
      <c r="B522" s="96"/>
      <c r="H522" s="96"/>
      <c r="J522" s="1"/>
      <c r="K522" s="1"/>
      <c r="L522" s="1"/>
      <c r="O522" s="475"/>
      <c r="P522" s="475"/>
      <c r="Q522" s="475"/>
      <c r="R522" s="475"/>
      <c r="S522" s="475"/>
      <c r="T522" s="475"/>
      <c r="U522" s="475"/>
      <c r="V522" s="475"/>
      <c r="W522" s="475"/>
    </row>
    <row r="523" spans="2:23" s="97" customFormat="1">
      <c r="B523" s="96"/>
      <c r="H523" s="96"/>
      <c r="J523" s="1"/>
      <c r="K523" s="1"/>
      <c r="L523" s="1"/>
      <c r="O523" s="475"/>
      <c r="P523" s="475"/>
      <c r="Q523" s="475"/>
      <c r="R523" s="475"/>
      <c r="S523" s="475"/>
      <c r="T523" s="475"/>
      <c r="U523" s="475"/>
      <c r="V523" s="475"/>
      <c r="W523" s="475"/>
    </row>
    <row r="524" spans="2:23" s="97" customFormat="1">
      <c r="B524" s="96"/>
      <c r="H524" s="96"/>
      <c r="J524" s="1"/>
      <c r="K524" s="1"/>
      <c r="L524" s="1"/>
      <c r="O524" s="475"/>
      <c r="P524" s="475"/>
      <c r="Q524" s="475"/>
      <c r="R524" s="475"/>
      <c r="S524" s="475"/>
      <c r="T524" s="475"/>
      <c r="U524" s="475"/>
      <c r="V524" s="475"/>
      <c r="W524" s="475"/>
    </row>
    <row r="525" spans="2:23" s="97" customFormat="1">
      <c r="B525" s="96"/>
      <c r="H525" s="96"/>
      <c r="J525" s="1"/>
      <c r="K525" s="1"/>
      <c r="L525" s="1"/>
      <c r="O525" s="475"/>
      <c r="P525" s="475"/>
      <c r="Q525" s="475"/>
      <c r="R525" s="475"/>
      <c r="S525" s="475"/>
      <c r="T525" s="475"/>
      <c r="U525" s="475"/>
      <c r="V525" s="475"/>
      <c r="W525" s="475"/>
    </row>
    <row r="526" spans="2:23" s="97" customFormat="1">
      <c r="B526" s="96"/>
      <c r="H526" s="96"/>
      <c r="J526" s="1"/>
      <c r="K526" s="1"/>
      <c r="L526" s="1"/>
      <c r="O526" s="475"/>
      <c r="P526" s="475"/>
      <c r="Q526" s="475"/>
      <c r="R526" s="475"/>
      <c r="S526" s="475"/>
      <c r="T526" s="475"/>
      <c r="U526" s="475"/>
      <c r="V526" s="475"/>
      <c r="W526" s="475"/>
    </row>
    <row r="527" spans="2:23" s="97" customFormat="1">
      <c r="B527" s="96"/>
      <c r="H527" s="96"/>
      <c r="J527" s="1"/>
      <c r="K527" s="1"/>
      <c r="L527" s="1"/>
      <c r="O527" s="475"/>
      <c r="P527" s="475"/>
      <c r="Q527" s="475"/>
      <c r="R527" s="475"/>
      <c r="S527" s="475"/>
      <c r="T527" s="475"/>
      <c r="U527" s="475"/>
      <c r="V527" s="475"/>
      <c r="W527" s="475"/>
    </row>
    <row r="528" spans="2:23" s="97" customFormat="1">
      <c r="B528" s="96"/>
      <c r="H528" s="96"/>
      <c r="J528" s="1"/>
      <c r="K528" s="1"/>
      <c r="L528" s="1"/>
      <c r="O528" s="475"/>
      <c r="P528" s="475"/>
      <c r="Q528" s="475"/>
      <c r="R528" s="475"/>
      <c r="S528" s="475"/>
      <c r="T528" s="475"/>
      <c r="U528" s="475"/>
      <c r="V528" s="475"/>
      <c r="W528" s="475"/>
    </row>
    <row r="529" spans="2:23" s="97" customFormat="1">
      <c r="B529" s="96"/>
      <c r="H529" s="96"/>
      <c r="J529" s="1"/>
      <c r="K529" s="1"/>
      <c r="L529" s="1"/>
      <c r="O529" s="475"/>
      <c r="P529" s="475"/>
      <c r="Q529" s="475"/>
      <c r="R529" s="475"/>
      <c r="S529" s="475"/>
      <c r="T529" s="475"/>
      <c r="U529" s="475"/>
      <c r="V529" s="475"/>
      <c r="W529" s="475"/>
    </row>
    <row r="530" spans="2:23" s="97" customFormat="1">
      <c r="B530" s="96"/>
      <c r="H530" s="96"/>
      <c r="J530" s="1"/>
      <c r="K530" s="1"/>
      <c r="L530" s="1"/>
      <c r="O530" s="475"/>
      <c r="P530" s="475"/>
      <c r="Q530" s="475"/>
      <c r="R530" s="475"/>
      <c r="S530" s="475"/>
      <c r="T530" s="475"/>
      <c r="U530" s="475"/>
      <c r="V530" s="475"/>
      <c r="W530" s="475"/>
    </row>
    <row r="531" spans="2:23" s="97" customFormat="1">
      <c r="B531" s="96"/>
      <c r="H531" s="96"/>
      <c r="J531" s="1"/>
      <c r="K531" s="1"/>
      <c r="L531" s="1"/>
      <c r="O531" s="475"/>
      <c r="P531" s="475"/>
      <c r="Q531" s="475"/>
      <c r="R531" s="475"/>
      <c r="S531" s="475"/>
      <c r="T531" s="475"/>
      <c r="U531" s="475"/>
      <c r="V531" s="475"/>
      <c r="W531" s="475"/>
    </row>
    <row r="532" spans="2:23" s="97" customFormat="1">
      <c r="B532" s="96"/>
      <c r="H532" s="96"/>
      <c r="J532" s="1"/>
      <c r="K532" s="1"/>
      <c r="L532" s="1"/>
      <c r="O532" s="475"/>
      <c r="P532" s="475"/>
      <c r="Q532" s="475"/>
      <c r="R532" s="475"/>
      <c r="S532" s="475"/>
      <c r="T532" s="475"/>
      <c r="U532" s="475"/>
      <c r="V532" s="475"/>
      <c r="W532" s="475"/>
    </row>
    <row r="533" spans="2:23" s="97" customFormat="1">
      <c r="B533" s="96"/>
      <c r="H533" s="96"/>
      <c r="J533" s="1"/>
      <c r="K533" s="1"/>
      <c r="L533" s="1"/>
      <c r="O533" s="475"/>
      <c r="P533" s="475"/>
      <c r="Q533" s="475"/>
      <c r="R533" s="475"/>
      <c r="S533" s="475"/>
      <c r="T533" s="475"/>
      <c r="U533" s="475"/>
      <c r="V533" s="475"/>
      <c r="W533" s="475"/>
    </row>
    <row r="534" spans="2:23" s="97" customFormat="1">
      <c r="B534" s="96"/>
      <c r="H534" s="96"/>
      <c r="J534" s="1"/>
      <c r="K534" s="1"/>
      <c r="L534" s="1"/>
      <c r="O534" s="475"/>
      <c r="P534" s="475"/>
      <c r="Q534" s="475"/>
      <c r="R534" s="475"/>
      <c r="S534" s="475"/>
      <c r="T534" s="475"/>
      <c r="U534" s="475"/>
      <c r="V534" s="475"/>
      <c r="W534" s="475"/>
    </row>
    <row r="535" spans="2:23" s="97" customFormat="1">
      <c r="B535" s="96"/>
      <c r="H535" s="96"/>
      <c r="J535" s="1"/>
      <c r="K535" s="1"/>
      <c r="L535" s="1"/>
      <c r="O535" s="475"/>
      <c r="P535" s="475"/>
      <c r="Q535" s="475"/>
      <c r="R535" s="475"/>
      <c r="S535" s="475"/>
      <c r="T535" s="475"/>
      <c r="U535" s="475"/>
      <c r="V535" s="475"/>
      <c r="W535" s="475"/>
    </row>
    <row r="536" spans="2:23" s="97" customFormat="1">
      <c r="B536" s="96"/>
      <c r="H536" s="96"/>
      <c r="J536" s="1"/>
      <c r="K536" s="1"/>
      <c r="L536" s="1"/>
      <c r="O536" s="475"/>
      <c r="P536" s="475"/>
      <c r="Q536" s="475"/>
      <c r="R536" s="475"/>
      <c r="S536" s="475"/>
      <c r="T536" s="475"/>
      <c r="U536" s="475"/>
      <c r="V536" s="475"/>
      <c r="W536" s="475"/>
    </row>
    <row r="537" spans="2:23" s="97" customFormat="1">
      <c r="B537" s="96"/>
      <c r="H537" s="96"/>
      <c r="J537" s="1"/>
      <c r="K537" s="1"/>
      <c r="L537" s="1"/>
      <c r="O537" s="475"/>
      <c r="P537" s="475"/>
      <c r="Q537" s="475"/>
      <c r="R537" s="475"/>
      <c r="S537" s="475"/>
      <c r="T537" s="475"/>
      <c r="U537" s="475"/>
      <c r="V537" s="475"/>
      <c r="W537" s="475"/>
    </row>
    <row r="538" spans="2:23" s="97" customFormat="1">
      <c r="B538" s="96"/>
      <c r="H538" s="96"/>
      <c r="J538" s="1"/>
      <c r="K538" s="1"/>
      <c r="L538" s="1"/>
      <c r="O538" s="475"/>
      <c r="P538" s="475"/>
      <c r="Q538" s="475"/>
      <c r="R538" s="475"/>
      <c r="S538" s="475"/>
      <c r="T538" s="475"/>
      <c r="U538" s="475"/>
      <c r="V538" s="475"/>
      <c r="W538" s="475"/>
    </row>
    <row r="539" spans="2:23" s="97" customFormat="1">
      <c r="B539" s="96"/>
      <c r="H539" s="96"/>
      <c r="J539" s="1"/>
      <c r="K539" s="1"/>
      <c r="L539" s="1"/>
      <c r="O539" s="475"/>
      <c r="P539" s="475"/>
      <c r="Q539" s="475"/>
      <c r="R539" s="475"/>
      <c r="S539" s="475"/>
      <c r="T539" s="475"/>
      <c r="U539" s="475"/>
      <c r="V539" s="475"/>
      <c r="W539" s="475"/>
    </row>
    <row r="540" spans="2:23" s="97" customFormat="1">
      <c r="B540" s="96"/>
      <c r="H540" s="96"/>
      <c r="J540" s="1"/>
      <c r="K540" s="1"/>
      <c r="L540" s="1"/>
      <c r="O540" s="475"/>
      <c r="P540" s="475"/>
      <c r="Q540" s="475"/>
      <c r="R540" s="475"/>
      <c r="S540" s="475"/>
      <c r="T540" s="475"/>
      <c r="U540" s="475"/>
      <c r="V540" s="475"/>
      <c r="W540" s="475"/>
    </row>
    <row r="541" spans="2:23" s="97" customFormat="1">
      <c r="B541" s="96"/>
      <c r="H541" s="96"/>
      <c r="J541" s="1"/>
      <c r="K541" s="1"/>
      <c r="L541" s="1"/>
      <c r="O541" s="475"/>
      <c r="P541" s="475"/>
      <c r="Q541" s="475"/>
      <c r="R541" s="475"/>
      <c r="S541" s="475"/>
      <c r="T541" s="475"/>
      <c r="U541" s="475"/>
      <c r="V541" s="475"/>
      <c r="W541" s="475"/>
    </row>
    <row r="542" spans="2:23" s="97" customFormat="1">
      <c r="B542" s="96"/>
      <c r="H542" s="96"/>
      <c r="J542" s="1"/>
      <c r="K542" s="1"/>
      <c r="L542" s="1"/>
      <c r="O542" s="475"/>
      <c r="P542" s="475"/>
      <c r="Q542" s="475"/>
      <c r="R542" s="475"/>
      <c r="S542" s="475"/>
      <c r="T542" s="475"/>
      <c r="U542" s="475"/>
      <c r="V542" s="475"/>
      <c r="W542" s="475"/>
    </row>
    <row r="543" spans="2:23" s="97" customFormat="1">
      <c r="B543" s="96"/>
      <c r="H543" s="96"/>
      <c r="J543" s="1"/>
      <c r="K543" s="1"/>
      <c r="L543" s="1"/>
      <c r="O543" s="475"/>
      <c r="P543" s="475"/>
      <c r="Q543" s="475"/>
      <c r="R543" s="475"/>
      <c r="S543" s="475"/>
      <c r="T543" s="475"/>
      <c r="U543" s="475"/>
      <c r="V543" s="475"/>
      <c r="W543" s="475"/>
    </row>
    <row r="544" spans="2:23" s="97" customFormat="1">
      <c r="B544" s="96"/>
      <c r="H544" s="96"/>
      <c r="J544" s="1"/>
      <c r="K544" s="1"/>
      <c r="L544" s="1"/>
      <c r="O544" s="475"/>
      <c r="P544" s="475"/>
      <c r="Q544" s="475"/>
      <c r="R544" s="475"/>
      <c r="S544" s="475"/>
      <c r="T544" s="475"/>
      <c r="U544" s="475"/>
      <c r="V544" s="475"/>
      <c r="W544" s="475"/>
    </row>
    <row r="545" spans="2:23" s="97" customFormat="1">
      <c r="B545" s="96"/>
      <c r="H545" s="96"/>
      <c r="J545" s="1"/>
      <c r="K545" s="1"/>
      <c r="L545" s="1"/>
      <c r="O545" s="475"/>
      <c r="P545" s="475"/>
      <c r="Q545" s="475"/>
      <c r="R545" s="475"/>
      <c r="S545" s="475"/>
      <c r="T545" s="475"/>
      <c r="U545" s="475"/>
      <c r="V545" s="475"/>
      <c r="W545" s="475"/>
    </row>
    <row r="546" spans="2:23" s="97" customFormat="1">
      <c r="B546" s="96"/>
      <c r="H546" s="96"/>
      <c r="J546" s="1"/>
      <c r="K546" s="1"/>
      <c r="L546" s="1"/>
      <c r="O546" s="475"/>
      <c r="P546" s="475"/>
      <c r="Q546" s="475"/>
      <c r="R546" s="475"/>
      <c r="S546" s="475"/>
      <c r="T546" s="475"/>
      <c r="U546" s="475"/>
      <c r="V546" s="475"/>
      <c r="W546" s="475"/>
    </row>
    <row r="547" spans="2:23" s="97" customFormat="1">
      <c r="B547" s="96"/>
      <c r="H547" s="96"/>
      <c r="J547" s="1"/>
      <c r="K547" s="1"/>
      <c r="L547" s="1"/>
      <c r="O547" s="475"/>
      <c r="P547" s="475"/>
      <c r="Q547" s="475"/>
      <c r="R547" s="475"/>
      <c r="S547" s="475"/>
      <c r="T547" s="475"/>
      <c r="U547" s="475"/>
      <c r="V547" s="475"/>
      <c r="W547" s="475"/>
    </row>
    <row r="548" spans="2:23" s="97" customFormat="1">
      <c r="B548" s="96"/>
      <c r="H548" s="96"/>
      <c r="J548" s="1"/>
      <c r="K548" s="1"/>
      <c r="L548" s="1"/>
      <c r="O548" s="475"/>
      <c r="P548" s="475"/>
      <c r="Q548" s="475"/>
      <c r="R548" s="475"/>
      <c r="S548" s="475"/>
      <c r="T548" s="475"/>
      <c r="U548" s="475"/>
      <c r="V548" s="475"/>
      <c r="W548" s="475"/>
    </row>
    <row r="549" spans="2:23" s="97" customFormat="1">
      <c r="B549" s="96"/>
      <c r="H549" s="96"/>
      <c r="J549" s="1"/>
      <c r="K549" s="1"/>
      <c r="L549" s="1"/>
      <c r="O549" s="475"/>
      <c r="P549" s="475"/>
      <c r="Q549" s="475"/>
      <c r="R549" s="475"/>
      <c r="S549" s="475"/>
      <c r="T549" s="475"/>
      <c r="U549" s="475"/>
      <c r="V549" s="475"/>
      <c r="W549" s="475"/>
    </row>
    <row r="550" spans="2:23" s="97" customFormat="1">
      <c r="B550" s="96"/>
      <c r="H550" s="96"/>
      <c r="J550" s="1"/>
      <c r="K550" s="1"/>
      <c r="L550" s="1"/>
      <c r="O550" s="475"/>
      <c r="P550" s="475"/>
      <c r="Q550" s="475"/>
      <c r="R550" s="475"/>
      <c r="S550" s="475"/>
      <c r="T550" s="475"/>
      <c r="U550" s="475"/>
      <c r="V550" s="475"/>
      <c r="W550" s="475"/>
    </row>
    <row r="551" spans="2:23" s="97" customFormat="1">
      <c r="B551" s="96"/>
      <c r="H551" s="96"/>
      <c r="J551" s="1"/>
      <c r="K551" s="1"/>
      <c r="L551" s="1"/>
      <c r="O551" s="475"/>
      <c r="P551" s="475"/>
      <c r="Q551" s="475"/>
      <c r="R551" s="475"/>
      <c r="S551" s="475"/>
      <c r="T551" s="475"/>
      <c r="U551" s="475"/>
      <c r="V551" s="475"/>
      <c r="W551" s="475"/>
    </row>
    <row r="552" spans="2:23" s="97" customFormat="1">
      <c r="B552" s="96"/>
      <c r="H552" s="96"/>
      <c r="J552" s="1"/>
      <c r="K552" s="1"/>
      <c r="L552" s="1"/>
      <c r="O552" s="475"/>
      <c r="P552" s="475"/>
      <c r="Q552" s="475"/>
      <c r="R552" s="475"/>
      <c r="S552" s="475"/>
      <c r="T552" s="475"/>
      <c r="U552" s="475"/>
      <c r="V552" s="475"/>
      <c r="W552" s="475"/>
    </row>
    <row r="553" spans="2:23" s="97" customFormat="1">
      <c r="B553" s="96"/>
      <c r="H553" s="96"/>
      <c r="J553" s="1"/>
      <c r="K553" s="1"/>
      <c r="L553" s="1"/>
      <c r="O553" s="475"/>
      <c r="P553" s="475"/>
      <c r="Q553" s="475"/>
      <c r="R553" s="475"/>
      <c r="S553" s="475"/>
      <c r="T553" s="475"/>
      <c r="U553" s="475"/>
      <c r="V553" s="475"/>
      <c r="W553" s="475"/>
    </row>
    <row r="554" spans="2:23" s="97" customFormat="1">
      <c r="B554" s="96"/>
      <c r="H554" s="96"/>
      <c r="J554" s="1"/>
      <c r="K554" s="1"/>
      <c r="L554" s="1"/>
      <c r="O554" s="475"/>
      <c r="P554" s="475"/>
      <c r="Q554" s="475"/>
      <c r="R554" s="475"/>
      <c r="S554" s="475"/>
      <c r="T554" s="475"/>
      <c r="U554" s="475"/>
      <c r="V554" s="475"/>
      <c r="W554" s="475"/>
    </row>
    <row r="555" spans="2:23" s="97" customFormat="1">
      <c r="B555" s="96"/>
      <c r="H555" s="96"/>
      <c r="J555" s="1"/>
      <c r="K555" s="1"/>
      <c r="L555" s="1"/>
      <c r="O555" s="475"/>
      <c r="P555" s="475"/>
      <c r="Q555" s="475"/>
      <c r="R555" s="475"/>
      <c r="S555" s="475"/>
      <c r="T555" s="475"/>
      <c r="U555" s="475"/>
      <c r="V555" s="475"/>
      <c r="W555" s="475"/>
    </row>
    <row r="556" spans="2:23" s="97" customFormat="1">
      <c r="B556" s="96"/>
      <c r="H556" s="96"/>
      <c r="J556" s="1"/>
      <c r="K556" s="1"/>
      <c r="L556" s="1"/>
      <c r="O556" s="475"/>
      <c r="P556" s="475"/>
      <c r="Q556" s="475"/>
      <c r="R556" s="475"/>
      <c r="S556" s="475"/>
      <c r="T556" s="475"/>
      <c r="U556" s="475"/>
      <c r="V556" s="475"/>
      <c r="W556" s="475"/>
    </row>
    <row r="557" spans="2:23" s="97" customFormat="1">
      <c r="B557" s="96"/>
      <c r="H557" s="96"/>
      <c r="J557" s="1"/>
      <c r="K557" s="1"/>
      <c r="L557" s="1"/>
      <c r="O557" s="475"/>
      <c r="P557" s="475"/>
      <c r="Q557" s="475"/>
      <c r="R557" s="475"/>
      <c r="S557" s="475"/>
      <c r="T557" s="475"/>
      <c r="U557" s="475"/>
      <c r="V557" s="475"/>
      <c r="W557" s="475"/>
    </row>
    <row r="558" spans="2:23" s="97" customFormat="1">
      <c r="B558" s="96"/>
      <c r="H558" s="96"/>
      <c r="J558" s="1"/>
      <c r="K558" s="1"/>
      <c r="L558" s="1"/>
      <c r="O558" s="475"/>
      <c r="P558" s="475"/>
      <c r="Q558" s="475"/>
      <c r="R558" s="475"/>
      <c r="S558" s="475"/>
      <c r="T558" s="475"/>
      <c r="U558" s="475"/>
      <c r="V558" s="475"/>
      <c r="W558" s="475"/>
    </row>
    <row r="559" spans="2:23" s="97" customFormat="1">
      <c r="B559" s="96"/>
      <c r="H559" s="96"/>
      <c r="J559" s="1"/>
      <c r="K559" s="1"/>
      <c r="L559" s="1"/>
      <c r="O559" s="475"/>
      <c r="P559" s="475"/>
      <c r="Q559" s="475"/>
      <c r="R559" s="475"/>
      <c r="S559" s="475"/>
      <c r="T559" s="475"/>
      <c r="U559" s="475"/>
      <c r="V559" s="475"/>
      <c r="W559" s="475"/>
    </row>
    <row r="560" spans="2:23" s="97" customFormat="1">
      <c r="B560" s="96"/>
      <c r="H560" s="96"/>
      <c r="J560" s="1"/>
      <c r="K560" s="1"/>
      <c r="L560" s="1"/>
      <c r="O560" s="475"/>
      <c r="P560" s="475"/>
      <c r="Q560" s="475"/>
      <c r="R560" s="475"/>
      <c r="S560" s="475"/>
      <c r="T560" s="475"/>
      <c r="U560" s="475"/>
      <c r="V560" s="475"/>
      <c r="W560" s="475"/>
    </row>
    <row r="561" spans="2:23" s="97" customFormat="1">
      <c r="B561" s="96"/>
      <c r="H561" s="96"/>
      <c r="J561" s="1"/>
      <c r="K561" s="1"/>
      <c r="L561" s="1"/>
      <c r="O561" s="475"/>
      <c r="P561" s="475"/>
      <c r="Q561" s="475"/>
      <c r="R561" s="475"/>
      <c r="S561" s="475"/>
      <c r="T561" s="475"/>
      <c r="U561" s="475"/>
      <c r="V561" s="475"/>
      <c r="W561" s="475"/>
    </row>
    <row r="562" spans="2:23" s="97" customFormat="1">
      <c r="B562" s="96"/>
      <c r="H562" s="96"/>
      <c r="J562" s="1"/>
      <c r="K562" s="1"/>
      <c r="L562" s="1"/>
      <c r="O562" s="475"/>
      <c r="P562" s="475"/>
      <c r="Q562" s="475"/>
      <c r="R562" s="475"/>
      <c r="S562" s="475"/>
      <c r="T562" s="475"/>
      <c r="U562" s="475"/>
      <c r="V562" s="475"/>
      <c r="W562" s="475"/>
    </row>
    <row r="563" spans="2:23" s="97" customFormat="1">
      <c r="B563" s="96"/>
      <c r="H563" s="96"/>
      <c r="J563" s="1"/>
      <c r="K563" s="1"/>
      <c r="L563" s="1"/>
      <c r="O563" s="475"/>
      <c r="P563" s="475"/>
      <c r="Q563" s="475"/>
      <c r="R563" s="475"/>
      <c r="S563" s="475"/>
      <c r="T563" s="475"/>
      <c r="U563" s="475"/>
      <c r="V563" s="475"/>
      <c r="W563" s="475"/>
    </row>
    <row r="564" spans="2:23" s="97" customFormat="1">
      <c r="B564" s="96"/>
      <c r="H564" s="96"/>
      <c r="J564" s="1"/>
      <c r="K564" s="1"/>
      <c r="L564" s="1"/>
      <c r="O564" s="475"/>
      <c r="P564" s="475"/>
      <c r="Q564" s="475"/>
      <c r="R564" s="475"/>
      <c r="S564" s="475"/>
      <c r="T564" s="475"/>
      <c r="U564" s="475"/>
      <c r="V564" s="475"/>
      <c r="W564" s="475"/>
    </row>
    <row r="565" spans="2:23" s="97" customFormat="1">
      <c r="B565" s="96"/>
      <c r="H565" s="96"/>
      <c r="J565" s="1"/>
      <c r="K565" s="1"/>
      <c r="L565" s="1"/>
      <c r="O565" s="475"/>
      <c r="P565" s="475"/>
      <c r="Q565" s="475"/>
      <c r="R565" s="475"/>
      <c r="S565" s="475"/>
      <c r="T565" s="475"/>
      <c r="U565" s="475"/>
      <c r="V565" s="475"/>
      <c r="W565" s="475"/>
    </row>
    <row r="566" spans="2:23" s="97" customFormat="1">
      <c r="B566" s="96"/>
      <c r="H566" s="96"/>
      <c r="J566" s="1"/>
      <c r="K566" s="1"/>
      <c r="L566" s="1"/>
      <c r="O566" s="475"/>
      <c r="P566" s="475"/>
      <c r="Q566" s="475"/>
      <c r="R566" s="475"/>
      <c r="S566" s="475"/>
      <c r="T566" s="475"/>
      <c r="U566" s="475"/>
      <c r="V566" s="475"/>
      <c r="W566" s="475"/>
    </row>
    <row r="567" spans="2:23" s="97" customFormat="1">
      <c r="B567" s="96"/>
      <c r="H567" s="96"/>
      <c r="J567" s="1"/>
      <c r="K567" s="1"/>
      <c r="L567" s="1"/>
      <c r="O567" s="475"/>
      <c r="P567" s="475"/>
      <c r="Q567" s="475"/>
      <c r="R567" s="475"/>
      <c r="S567" s="475"/>
      <c r="T567" s="475"/>
      <c r="U567" s="475"/>
      <c r="V567" s="475"/>
      <c r="W567" s="475"/>
    </row>
    <row r="568" spans="2:23" s="97" customFormat="1">
      <c r="B568" s="96"/>
      <c r="H568" s="96"/>
      <c r="J568" s="1"/>
      <c r="K568" s="1"/>
      <c r="L568" s="1"/>
      <c r="O568" s="475"/>
      <c r="P568" s="475"/>
      <c r="Q568" s="475"/>
      <c r="R568" s="475"/>
      <c r="S568" s="475"/>
      <c r="T568" s="475"/>
      <c r="U568" s="475"/>
      <c r="V568" s="475"/>
      <c r="W568" s="475"/>
    </row>
    <row r="569" spans="2:23" s="97" customFormat="1">
      <c r="B569" s="96"/>
      <c r="H569" s="96"/>
      <c r="J569" s="1"/>
      <c r="K569" s="1"/>
      <c r="L569" s="1"/>
      <c r="O569" s="475"/>
      <c r="P569" s="475"/>
      <c r="Q569" s="475"/>
      <c r="R569" s="475"/>
      <c r="S569" s="475"/>
      <c r="T569" s="475"/>
      <c r="U569" s="475"/>
      <c r="V569" s="475"/>
      <c r="W569" s="475"/>
    </row>
    <row r="570" spans="2:23" s="97" customFormat="1">
      <c r="B570" s="96"/>
      <c r="H570" s="96"/>
      <c r="J570" s="1"/>
      <c r="K570" s="1"/>
      <c r="L570" s="1"/>
      <c r="O570" s="475"/>
      <c r="P570" s="475"/>
      <c r="Q570" s="475"/>
      <c r="R570" s="475"/>
      <c r="S570" s="475"/>
      <c r="T570" s="475"/>
      <c r="U570" s="475"/>
      <c r="V570" s="475"/>
      <c r="W570" s="475"/>
    </row>
    <row r="571" spans="2:23" s="97" customFormat="1">
      <c r="B571" s="96"/>
      <c r="H571" s="96"/>
      <c r="J571" s="1"/>
      <c r="K571" s="1"/>
      <c r="L571" s="1"/>
      <c r="O571" s="475"/>
      <c r="P571" s="475"/>
      <c r="Q571" s="475"/>
      <c r="R571" s="475"/>
      <c r="S571" s="475"/>
      <c r="T571" s="475"/>
      <c r="U571" s="475"/>
      <c r="V571" s="475"/>
      <c r="W571" s="475"/>
    </row>
    <row r="572" spans="2:23" s="97" customFormat="1">
      <c r="B572" s="96"/>
      <c r="H572" s="96"/>
      <c r="J572" s="1"/>
      <c r="K572" s="1"/>
      <c r="L572" s="1"/>
      <c r="O572" s="475"/>
      <c r="P572" s="475"/>
      <c r="Q572" s="475"/>
      <c r="R572" s="475"/>
      <c r="S572" s="475"/>
      <c r="T572" s="475"/>
      <c r="U572" s="475"/>
      <c r="V572" s="475"/>
      <c r="W572" s="475"/>
    </row>
    <row r="573" spans="2:23" s="97" customFormat="1">
      <c r="B573" s="96"/>
      <c r="H573" s="96"/>
      <c r="J573" s="1"/>
      <c r="K573" s="1"/>
      <c r="L573" s="1"/>
      <c r="O573" s="475"/>
      <c r="P573" s="475"/>
      <c r="Q573" s="475"/>
      <c r="R573" s="475"/>
      <c r="S573" s="475"/>
      <c r="T573" s="475"/>
      <c r="U573" s="475"/>
      <c r="V573" s="475"/>
      <c r="W573" s="475"/>
    </row>
    <row r="574" spans="2:23" s="97" customFormat="1">
      <c r="B574" s="96"/>
      <c r="H574" s="96"/>
      <c r="J574" s="1"/>
      <c r="K574" s="1"/>
      <c r="L574" s="1"/>
      <c r="O574" s="475"/>
      <c r="P574" s="475"/>
      <c r="Q574" s="475"/>
      <c r="R574" s="475"/>
      <c r="S574" s="475"/>
      <c r="T574" s="475"/>
      <c r="U574" s="475"/>
      <c r="V574" s="475"/>
      <c r="W574" s="475"/>
    </row>
    <row r="575" spans="2:23" s="97" customFormat="1">
      <c r="B575" s="96"/>
      <c r="H575" s="96"/>
      <c r="J575" s="1"/>
      <c r="K575" s="1"/>
      <c r="L575" s="1"/>
      <c r="O575" s="475"/>
      <c r="P575" s="475"/>
      <c r="Q575" s="475"/>
      <c r="R575" s="475"/>
      <c r="S575" s="475"/>
      <c r="T575" s="475"/>
      <c r="U575" s="475"/>
      <c r="V575" s="475"/>
      <c r="W575" s="475"/>
    </row>
    <row r="576" spans="2:23" s="97" customFormat="1">
      <c r="B576" s="96"/>
      <c r="H576" s="96"/>
      <c r="J576" s="1"/>
      <c r="K576" s="1"/>
      <c r="L576" s="1"/>
      <c r="O576" s="475"/>
      <c r="P576" s="475"/>
      <c r="Q576" s="475"/>
      <c r="R576" s="475"/>
      <c r="S576" s="475"/>
      <c r="T576" s="475"/>
      <c r="U576" s="475"/>
      <c r="V576" s="475"/>
      <c r="W576" s="475"/>
    </row>
    <row r="577" spans="2:23" s="97" customFormat="1">
      <c r="B577" s="96"/>
      <c r="H577" s="96"/>
      <c r="J577" s="1"/>
      <c r="K577" s="1"/>
      <c r="L577" s="1"/>
      <c r="O577" s="475"/>
      <c r="P577" s="475"/>
      <c r="Q577" s="475"/>
      <c r="R577" s="475"/>
      <c r="S577" s="475"/>
      <c r="T577" s="475"/>
      <c r="U577" s="475"/>
      <c r="V577" s="475"/>
      <c r="W577" s="475"/>
    </row>
    <row r="578" spans="2:23" s="97" customFormat="1">
      <c r="B578" s="96"/>
      <c r="H578" s="96"/>
      <c r="J578" s="1"/>
      <c r="K578" s="1"/>
      <c r="L578" s="1"/>
      <c r="O578" s="475"/>
      <c r="P578" s="475"/>
      <c r="Q578" s="475"/>
      <c r="R578" s="475"/>
      <c r="S578" s="475"/>
      <c r="T578" s="475"/>
      <c r="U578" s="475"/>
      <c r="V578" s="475"/>
      <c r="W578" s="475"/>
    </row>
    <row r="579" spans="2:23" s="97" customFormat="1">
      <c r="B579" s="96"/>
      <c r="H579" s="96"/>
      <c r="J579" s="1"/>
      <c r="K579" s="1"/>
      <c r="L579" s="1"/>
      <c r="O579" s="475"/>
      <c r="P579" s="475"/>
      <c r="Q579" s="475"/>
      <c r="R579" s="475"/>
      <c r="S579" s="475"/>
      <c r="T579" s="475"/>
      <c r="U579" s="475"/>
      <c r="V579" s="475"/>
      <c r="W579" s="475"/>
    </row>
    <row r="580" spans="2:23" s="97" customFormat="1">
      <c r="B580" s="96"/>
      <c r="H580" s="96"/>
      <c r="J580" s="1"/>
      <c r="K580" s="1"/>
      <c r="L580" s="1"/>
      <c r="O580" s="475"/>
      <c r="P580" s="475"/>
      <c r="Q580" s="475"/>
      <c r="R580" s="475"/>
      <c r="S580" s="475"/>
      <c r="T580" s="475"/>
      <c r="U580" s="475"/>
      <c r="V580" s="475"/>
      <c r="W580" s="475"/>
    </row>
    <row r="581" spans="2:23" s="97" customFormat="1">
      <c r="B581" s="96"/>
      <c r="H581" s="96"/>
      <c r="J581" s="1"/>
      <c r="K581" s="1"/>
      <c r="L581" s="1"/>
      <c r="O581" s="475"/>
      <c r="P581" s="475"/>
      <c r="Q581" s="475"/>
      <c r="R581" s="475"/>
      <c r="S581" s="475"/>
      <c r="T581" s="475"/>
      <c r="U581" s="475"/>
      <c r="V581" s="475"/>
      <c r="W581" s="475"/>
    </row>
    <row r="582" spans="2:23" s="97" customFormat="1">
      <c r="B582" s="96"/>
      <c r="H582" s="96"/>
      <c r="J582" s="1"/>
      <c r="K582" s="1"/>
      <c r="L582" s="1"/>
      <c r="O582" s="475"/>
      <c r="P582" s="475"/>
      <c r="Q582" s="475"/>
      <c r="R582" s="475"/>
      <c r="S582" s="475"/>
      <c r="T582" s="475"/>
      <c r="U582" s="475"/>
      <c r="V582" s="475"/>
      <c r="W582" s="475"/>
    </row>
    <row r="583" spans="2:23" s="97" customFormat="1">
      <c r="B583" s="96"/>
      <c r="H583" s="96"/>
      <c r="J583" s="1"/>
      <c r="K583" s="1"/>
      <c r="L583" s="1"/>
      <c r="O583" s="475"/>
      <c r="P583" s="475"/>
      <c r="Q583" s="475"/>
      <c r="R583" s="475"/>
      <c r="S583" s="475"/>
      <c r="T583" s="475"/>
      <c r="U583" s="475"/>
      <c r="V583" s="475"/>
      <c r="W583" s="475"/>
    </row>
    <row r="584" spans="2:23" s="97" customFormat="1">
      <c r="B584" s="96"/>
      <c r="H584" s="96"/>
      <c r="J584" s="1"/>
      <c r="K584" s="1"/>
      <c r="L584" s="1"/>
      <c r="O584" s="475"/>
      <c r="P584" s="475"/>
      <c r="Q584" s="475"/>
      <c r="R584" s="475"/>
      <c r="S584" s="475"/>
      <c r="T584" s="475"/>
      <c r="U584" s="475"/>
      <c r="V584" s="475"/>
      <c r="W584" s="475"/>
    </row>
    <row r="585" spans="2:23" s="97" customFormat="1">
      <c r="B585" s="96"/>
      <c r="H585" s="96"/>
      <c r="J585" s="1"/>
      <c r="K585" s="1"/>
      <c r="L585" s="1"/>
      <c r="O585" s="475"/>
      <c r="P585" s="475"/>
      <c r="Q585" s="475"/>
      <c r="R585" s="475"/>
      <c r="S585" s="475"/>
      <c r="T585" s="475"/>
      <c r="U585" s="475"/>
      <c r="V585" s="475"/>
      <c r="W585" s="475"/>
    </row>
    <row r="586" spans="2:23" s="97" customFormat="1">
      <c r="B586" s="96"/>
      <c r="H586" s="96"/>
      <c r="J586" s="1"/>
      <c r="K586" s="1"/>
      <c r="L586" s="1"/>
      <c r="O586" s="475"/>
      <c r="P586" s="475"/>
      <c r="Q586" s="475"/>
      <c r="R586" s="475"/>
      <c r="S586" s="475"/>
      <c r="T586" s="475"/>
      <c r="U586" s="475"/>
      <c r="V586" s="475"/>
      <c r="W586" s="475"/>
    </row>
    <row r="587" spans="2:23" s="97" customFormat="1">
      <c r="B587" s="96"/>
      <c r="H587" s="96"/>
      <c r="J587" s="1"/>
      <c r="K587" s="1"/>
      <c r="L587" s="1"/>
      <c r="O587" s="475"/>
      <c r="P587" s="475"/>
      <c r="Q587" s="475"/>
      <c r="R587" s="475"/>
      <c r="S587" s="475"/>
      <c r="T587" s="475"/>
      <c r="U587" s="475"/>
      <c r="V587" s="475"/>
      <c r="W587" s="475"/>
    </row>
    <row r="588" spans="2:23" s="97" customFormat="1">
      <c r="B588" s="96"/>
      <c r="H588" s="96"/>
      <c r="J588" s="1"/>
      <c r="K588" s="1"/>
      <c r="L588" s="1"/>
      <c r="O588" s="475"/>
      <c r="P588" s="475"/>
      <c r="Q588" s="475"/>
      <c r="R588" s="475"/>
      <c r="S588" s="475"/>
      <c r="T588" s="475"/>
      <c r="U588" s="475"/>
      <c r="V588" s="475"/>
      <c r="W588" s="475"/>
    </row>
    <row r="589" spans="2:23" s="97" customFormat="1">
      <c r="B589" s="96"/>
      <c r="H589" s="96"/>
      <c r="J589" s="1"/>
      <c r="K589" s="1"/>
      <c r="L589" s="1"/>
      <c r="O589" s="475"/>
      <c r="P589" s="475"/>
      <c r="Q589" s="475"/>
      <c r="R589" s="475"/>
      <c r="S589" s="475"/>
      <c r="T589" s="475"/>
      <c r="U589" s="475"/>
      <c r="V589" s="475"/>
      <c r="W589" s="475"/>
    </row>
    <row r="590" spans="2:23" s="97" customFormat="1">
      <c r="B590" s="96"/>
      <c r="H590" s="96"/>
      <c r="J590" s="1"/>
      <c r="K590" s="1"/>
      <c r="L590" s="1"/>
      <c r="O590" s="475"/>
      <c r="P590" s="475"/>
      <c r="Q590" s="475"/>
      <c r="R590" s="475"/>
      <c r="S590" s="475"/>
      <c r="T590" s="475"/>
      <c r="U590" s="475"/>
      <c r="V590" s="475"/>
      <c r="W590" s="475"/>
    </row>
    <row r="591" spans="2:23" s="97" customFormat="1">
      <c r="B591" s="96"/>
      <c r="H591" s="96"/>
      <c r="J591" s="1"/>
      <c r="K591" s="1"/>
      <c r="L591" s="1"/>
      <c r="O591" s="475"/>
      <c r="P591" s="475"/>
      <c r="Q591" s="475"/>
      <c r="R591" s="475"/>
      <c r="S591" s="475"/>
      <c r="T591" s="475"/>
      <c r="U591" s="475"/>
      <c r="V591" s="475"/>
      <c r="W591" s="475"/>
    </row>
    <row r="592" spans="2:23" s="97" customFormat="1">
      <c r="B592" s="96"/>
      <c r="H592" s="96"/>
      <c r="J592" s="1"/>
      <c r="K592" s="1"/>
      <c r="L592" s="1"/>
      <c r="O592" s="475"/>
      <c r="P592" s="475"/>
      <c r="Q592" s="475"/>
      <c r="R592" s="475"/>
      <c r="S592" s="475"/>
      <c r="T592" s="475"/>
      <c r="U592" s="475"/>
      <c r="V592" s="475"/>
      <c r="W592" s="475"/>
    </row>
    <row r="593" spans="2:23" s="97" customFormat="1">
      <c r="B593" s="96"/>
      <c r="H593" s="96"/>
      <c r="J593" s="1"/>
      <c r="K593" s="1"/>
      <c r="L593" s="1"/>
      <c r="O593" s="475"/>
      <c r="P593" s="475"/>
      <c r="Q593" s="475"/>
      <c r="R593" s="475"/>
      <c r="S593" s="475"/>
      <c r="T593" s="475"/>
      <c r="U593" s="475"/>
      <c r="V593" s="475"/>
      <c r="W593" s="475"/>
    </row>
    <row r="594" spans="2:23" s="97" customFormat="1">
      <c r="B594" s="96"/>
      <c r="H594" s="96"/>
      <c r="J594" s="1"/>
      <c r="K594" s="1"/>
      <c r="L594" s="1"/>
      <c r="O594" s="475"/>
      <c r="P594" s="475"/>
      <c r="Q594" s="475"/>
      <c r="R594" s="475"/>
      <c r="S594" s="475"/>
      <c r="T594" s="475"/>
      <c r="U594" s="475"/>
      <c r="V594" s="475"/>
      <c r="W594" s="475"/>
    </row>
    <row r="595" spans="2:23" s="97" customFormat="1">
      <c r="B595" s="96"/>
      <c r="H595" s="96"/>
      <c r="J595" s="1"/>
      <c r="K595" s="1"/>
      <c r="L595" s="1"/>
      <c r="O595" s="475"/>
      <c r="P595" s="475"/>
      <c r="Q595" s="475"/>
      <c r="R595" s="475"/>
      <c r="S595" s="475"/>
      <c r="T595" s="475"/>
      <c r="U595" s="475"/>
      <c r="V595" s="475"/>
      <c r="W595" s="475"/>
    </row>
    <row r="596" spans="2:23" s="97" customFormat="1">
      <c r="B596" s="96"/>
      <c r="H596" s="96"/>
      <c r="J596" s="1"/>
      <c r="K596" s="1"/>
      <c r="L596" s="1"/>
      <c r="O596" s="475"/>
      <c r="P596" s="475"/>
      <c r="Q596" s="475"/>
      <c r="R596" s="475"/>
      <c r="S596" s="475"/>
      <c r="T596" s="475"/>
      <c r="U596" s="475"/>
      <c r="V596" s="475"/>
      <c r="W596" s="475"/>
    </row>
    <row r="597" spans="2:23" s="97" customFormat="1">
      <c r="B597" s="96"/>
      <c r="H597" s="96"/>
      <c r="J597" s="1"/>
      <c r="K597" s="1"/>
      <c r="L597" s="1"/>
      <c r="O597" s="475"/>
      <c r="P597" s="475"/>
      <c r="Q597" s="475"/>
      <c r="R597" s="475"/>
      <c r="S597" s="475"/>
      <c r="T597" s="475"/>
      <c r="U597" s="475"/>
      <c r="V597" s="475"/>
      <c r="W597" s="475"/>
    </row>
    <row r="598" spans="2:23" s="97" customFormat="1">
      <c r="B598" s="96"/>
      <c r="H598" s="96"/>
      <c r="J598" s="1"/>
      <c r="K598" s="1"/>
      <c r="L598" s="1"/>
      <c r="O598" s="475"/>
      <c r="P598" s="475"/>
      <c r="Q598" s="475"/>
      <c r="R598" s="475"/>
      <c r="S598" s="475"/>
      <c r="T598" s="475"/>
      <c r="U598" s="475"/>
      <c r="V598" s="475"/>
      <c r="W598" s="475"/>
    </row>
    <row r="599" spans="2:23" s="97" customFormat="1">
      <c r="B599" s="96"/>
      <c r="H599" s="96"/>
      <c r="J599" s="1"/>
      <c r="K599" s="1"/>
      <c r="L599" s="1"/>
      <c r="O599" s="475"/>
      <c r="P599" s="475"/>
      <c r="Q599" s="475"/>
      <c r="R599" s="475"/>
      <c r="S599" s="475"/>
      <c r="T599" s="475"/>
      <c r="U599" s="475"/>
      <c r="V599" s="475"/>
      <c r="W599" s="475"/>
    </row>
    <row r="600" spans="2:23" s="97" customFormat="1">
      <c r="B600" s="96"/>
      <c r="H600" s="96"/>
      <c r="J600" s="1"/>
      <c r="K600" s="1"/>
      <c r="L600" s="1"/>
      <c r="O600" s="475"/>
      <c r="P600" s="475"/>
      <c r="Q600" s="475"/>
      <c r="R600" s="475"/>
      <c r="S600" s="475"/>
      <c r="T600" s="475"/>
      <c r="U600" s="475"/>
      <c r="V600" s="475"/>
      <c r="W600" s="475"/>
    </row>
    <row r="601" spans="2:23" s="97" customFormat="1">
      <c r="B601" s="96"/>
      <c r="H601" s="96"/>
      <c r="J601" s="1"/>
      <c r="K601" s="1"/>
      <c r="L601" s="1"/>
      <c r="O601" s="475"/>
      <c r="P601" s="475"/>
      <c r="Q601" s="475"/>
      <c r="R601" s="475"/>
      <c r="S601" s="475"/>
      <c r="T601" s="475"/>
      <c r="U601" s="475"/>
      <c r="V601" s="475"/>
      <c r="W601" s="475"/>
    </row>
    <row r="602" spans="2:23" s="97" customFormat="1">
      <c r="B602" s="96"/>
      <c r="H602" s="96"/>
      <c r="J602" s="1"/>
      <c r="K602" s="1"/>
      <c r="L602" s="1"/>
      <c r="O602" s="475"/>
      <c r="P602" s="475"/>
      <c r="Q602" s="475"/>
      <c r="R602" s="475"/>
      <c r="S602" s="475"/>
      <c r="T602" s="475"/>
      <c r="U602" s="475"/>
      <c r="V602" s="475"/>
      <c r="W602" s="475"/>
    </row>
    <row r="603" spans="2:23" s="97" customFormat="1">
      <c r="B603" s="96"/>
      <c r="H603" s="96"/>
      <c r="J603" s="1"/>
      <c r="K603" s="1"/>
      <c r="L603" s="1"/>
      <c r="O603" s="475"/>
      <c r="P603" s="475"/>
      <c r="Q603" s="475"/>
      <c r="R603" s="475"/>
      <c r="S603" s="475"/>
      <c r="T603" s="475"/>
      <c r="U603" s="475"/>
      <c r="V603" s="475"/>
      <c r="W603" s="475"/>
    </row>
    <row r="604" spans="2:23" s="97" customFormat="1">
      <c r="B604" s="96"/>
      <c r="H604" s="96"/>
      <c r="J604" s="1"/>
      <c r="K604" s="1"/>
      <c r="L604" s="1"/>
      <c r="O604" s="475"/>
      <c r="P604" s="475"/>
      <c r="Q604" s="475"/>
      <c r="R604" s="475"/>
      <c r="S604" s="475"/>
      <c r="T604" s="475"/>
      <c r="U604" s="475"/>
      <c r="V604" s="475"/>
      <c r="W604" s="475"/>
    </row>
    <row r="605" spans="2:23" s="97" customFormat="1">
      <c r="B605" s="96"/>
      <c r="H605" s="96"/>
      <c r="J605" s="1"/>
      <c r="K605" s="1"/>
      <c r="L605" s="1"/>
      <c r="O605" s="475"/>
      <c r="P605" s="475"/>
      <c r="Q605" s="475"/>
      <c r="R605" s="475"/>
      <c r="S605" s="475"/>
      <c r="T605" s="475"/>
      <c r="U605" s="475"/>
      <c r="V605" s="475"/>
      <c r="W605" s="475"/>
    </row>
    <row r="606" spans="2:23" s="97" customFormat="1">
      <c r="B606" s="96"/>
      <c r="H606" s="96"/>
      <c r="J606" s="1"/>
      <c r="K606" s="1"/>
      <c r="L606" s="1"/>
      <c r="O606" s="475"/>
      <c r="P606" s="475"/>
      <c r="Q606" s="475"/>
      <c r="R606" s="475"/>
      <c r="S606" s="475"/>
      <c r="T606" s="475"/>
      <c r="U606" s="475"/>
      <c r="V606" s="475"/>
      <c r="W606" s="475"/>
    </row>
    <row r="607" spans="2:23" s="97" customFormat="1">
      <c r="B607" s="96"/>
      <c r="H607" s="96"/>
      <c r="J607" s="1"/>
      <c r="K607" s="1"/>
      <c r="L607" s="1"/>
      <c r="O607" s="475"/>
      <c r="P607" s="475"/>
      <c r="Q607" s="475"/>
      <c r="R607" s="475"/>
      <c r="S607" s="475"/>
      <c r="T607" s="475"/>
      <c r="U607" s="475"/>
      <c r="V607" s="475"/>
      <c r="W607" s="475"/>
    </row>
    <row r="608" spans="2:23" s="97" customFormat="1">
      <c r="B608" s="96"/>
      <c r="H608" s="96"/>
      <c r="J608" s="1"/>
      <c r="K608" s="1"/>
      <c r="L608" s="1"/>
      <c r="O608" s="475"/>
      <c r="P608" s="475"/>
      <c r="Q608" s="475"/>
      <c r="R608" s="475"/>
      <c r="S608" s="475"/>
      <c r="T608" s="475"/>
      <c r="U608" s="475"/>
      <c r="V608" s="475"/>
      <c r="W608" s="475"/>
    </row>
    <row r="609" spans="2:23" s="97" customFormat="1">
      <c r="B609" s="96"/>
      <c r="H609" s="96"/>
      <c r="J609" s="1"/>
      <c r="K609" s="1"/>
      <c r="L609" s="1"/>
      <c r="O609" s="475"/>
      <c r="P609" s="475"/>
      <c r="Q609" s="475"/>
      <c r="R609" s="475"/>
      <c r="S609" s="475"/>
      <c r="T609" s="475"/>
      <c r="U609" s="475"/>
      <c r="V609" s="475"/>
      <c r="W609" s="475"/>
    </row>
    <row r="610" spans="2:23" s="97" customFormat="1">
      <c r="B610" s="96"/>
      <c r="H610" s="96"/>
      <c r="J610" s="1"/>
      <c r="K610" s="1"/>
      <c r="L610" s="1"/>
      <c r="O610" s="475"/>
      <c r="P610" s="475"/>
      <c r="Q610" s="475"/>
      <c r="R610" s="475"/>
      <c r="S610" s="475"/>
      <c r="T610" s="475"/>
      <c r="U610" s="475"/>
      <c r="V610" s="475"/>
      <c r="W610" s="475"/>
    </row>
    <row r="611" spans="2:23" s="97" customFormat="1">
      <c r="B611" s="96"/>
      <c r="H611" s="96"/>
      <c r="J611" s="1"/>
      <c r="K611" s="1"/>
      <c r="L611" s="1"/>
      <c r="O611" s="475"/>
      <c r="P611" s="475"/>
      <c r="Q611" s="475"/>
      <c r="R611" s="475"/>
      <c r="S611" s="475"/>
      <c r="T611" s="475"/>
      <c r="U611" s="475"/>
      <c r="V611" s="475"/>
      <c r="W611" s="475"/>
    </row>
    <row r="612" spans="2:23" s="97" customFormat="1">
      <c r="B612" s="96"/>
      <c r="H612" s="96"/>
      <c r="J612" s="1"/>
      <c r="K612" s="1"/>
      <c r="L612" s="1"/>
      <c r="O612" s="475"/>
      <c r="P612" s="475"/>
      <c r="Q612" s="475"/>
      <c r="R612" s="475"/>
      <c r="S612" s="475"/>
      <c r="T612" s="475"/>
      <c r="U612" s="475"/>
      <c r="V612" s="475"/>
      <c r="W612" s="475"/>
    </row>
    <row r="613" spans="2:23" s="97" customFormat="1">
      <c r="B613" s="96"/>
      <c r="H613" s="96"/>
      <c r="J613" s="1"/>
      <c r="K613" s="1"/>
      <c r="L613" s="1"/>
      <c r="O613" s="475"/>
      <c r="P613" s="475"/>
      <c r="Q613" s="475"/>
      <c r="R613" s="475"/>
      <c r="S613" s="475"/>
      <c r="T613" s="475"/>
      <c r="U613" s="475"/>
      <c r="V613" s="475"/>
      <c r="W613" s="475"/>
    </row>
    <row r="614" spans="2:23" s="97" customFormat="1">
      <c r="B614" s="96"/>
      <c r="H614" s="96"/>
      <c r="J614" s="1"/>
      <c r="K614" s="1"/>
      <c r="L614" s="1"/>
      <c r="O614" s="475"/>
      <c r="P614" s="475"/>
      <c r="Q614" s="475"/>
      <c r="R614" s="475"/>
      <c r="S614" s="475"/>
      <c r="T614" s="475"/>
      <c r="U614" s="475"/>
      <c r="V614" s="475"/>
      <c r="W614" s="475"/>
    </row>
    <row r="615" spans="2:23" s="97" customFormat="1">
      <c r="B615" s="96"/>
      <c r="H615" s="96"/>
      <c r="J615" s="1"/>
      <c r="K615" s="1"/>
      <c r="L615" s="1"/>
      <c r="O615" s="475"/>
      <c r="P615" s="475"/>
      <c r="Q615" s="475"/>
      <c r="R615" s="475"/>
      <c r="S615" s="475"/>
      <c r="T615" s="475"/>
      <c r="U615" s="475"/>
      <c r="V615" s="475"/>
      <c r="W615" s="475"/>
    </row>
    <row r="616" spans="2:23" s="97" customFormat="1">
      <c r="B616" s="96"/>
      <c r="H616" s="96"/>
      <c r="J616" s="1"/>
      <c r="K616" s="1"/>
      <c r="L616" s="1"/>
      <c r="O616" s="475"/>
      <c r="P616" s="475"/>
      <c r="Q616" s="475"/>
      <c r="R616" s="475"/>
      <c r="S616" s="475"/>
      <c r="T616" s="475"/>
      <c r="U616" s="475"/>
      <c r="V616" s="475"/>
      <c r="W616" s="475"/>
    </row>
    <row r="617" spans="2:23" s="97" customFormat="1">
      <c r="B617" s="96"/>
      <c r="H617" s="96"/>
      <c r="J617" s="1"/>
      <c r="K617" s="1"/>
      <c r="L617" s="1"/>
      <c r="O617" s="475"/>
      <c r="P617" s="475"/>
      <c r="Q617" s="475"/>
      <c r="R617" s="475"/>
      <c r="S617" s="475"/>
      <c r="T617" s="475"/>
      <c r="U617" s="475"/>
      <c r="V617" s="475"/>
      <c r="W617" s="475"/>
    </row>
    <row r="618" spans="2:23" s="97" customFormat="1">
      <c r="B618" s="96"/>
      <c r="H618" s="96"/>
      <c r="J618" s="1"/>
      <c r="K618" s="1"/>
      <c r="L618" s="1"/>
      <c r="O618" s="475"/>
      <c r="P618" s="475"/>
      <c r="Q618" s="475"/>
      <c r="R618" s="475"/>
      <c r="S618" s="475"/>
      <c r="T618" s="475"/>
      <c r="U618" s="475"/>
      <c r="V618" s="475"/>
      <c r="W618" s="475"/>
    </row>
    <row r="619" spans="2:23" s="97" customFormat="1">
      <c r="B619" s="96"/>
      <c r="H619" s="96"/>
      <c r="J619" s="1"/>
      <c r="K619" s="1"/>
      <c r="L619" s="1"/>
      <c r="O619" s="475"/>
      <c r="P619" s="475"/>
      <c r="Q619" s="475"/>
      <c r="R619" s="475"/>
      <c r="S619" s="475"/>
      <c r="T619" s="475"/>
      <c r="U619" s="475"/>
      <c r="V619" s="475"/>
      <c r="W619" s="475"/>
    </row>
    <row r="620" spans="2:23" s="97" customFormat="1">
      <c r="B620" s="96"/>
      <c r="H620" s="96"/>
      <c r="J620" s="1"/>
      <c r="K620" s="1"/>
      <c r="L620" s="1"/>
      <c r="O620" s="475"/>
      <c r="P620" s="475"/>
      <c r="Q620" s="475"/>
      <c r="R620" s="475"/>
      <c r="S620" s="475"/>
      <c r="T620" s="475"/>
      <c r="U620" s="475"/>
      <c r="V620" s="475"/>
      <c r="W620" s="475"/>
    </row>
    <row r="621" spans="2:23" s="97" customFormat="1">
      <c r="B621" s="96"/>
      <c r="H621" s="96"/>
      <c r="J621" s="1"/>
      <c r="K621" s="1"/>
      <c r="L621" s="1"/>
      <c r="O621" s="475"/>
      <c r="P621" s="475"/>
      <c r="Q621" s="475"/>
      <c r="R621" s="475"/>
      <c r="S621" s="475"/>
      <c r="T621" s="475"/>
      <c r="U621" s="475"/>
      <c r="V621" s="475"/>
      <c r="W621" s="475"/>
    </row>
    <row r="622" spans="2:23" s="97" customFormat="1">
      <c r="B622" s="96"/>
      <c r="H622" s="96"/>
      <c r="J622" s="1"/>
      <c r="K622" s="1"/>
      <c r="L622" s="1"/>
      <c r="O622" s="475"/>
      <c r="P622" s="475"/>
      <c r="Q622" s="475"/>
      <c r="R622" s="475"/>
      <c r="S622" s="475"/>
      <c r="T622" s="475"/>
      <c r="U622" s="475"/>
      <c r="V622" s="475"/>
      <c r="W622" s="475"/>
    </row>
    <row r="623" spans="2:23" s="97" customFormat="1">
      <c r="B623" s="96"/>
      <c r="H623" s="96"/>
      <c r="J623" s="1"/>
      <c r="K623" s="1"/>
      <c r="L623" s="1"/>
      <c r="O623" s="475"/>
      <c r="P623" s="475"/>
      <c r="Q623" s="475"/>
      <c r="R623" s="475"/>
      <c r="S623" s="475"/>
      <c r="T623" s="475"/>
      <c r="U623" s="475"/>
      <c r="V623" s="475"/>
      <c r="W623" s="475"/>
    </row>
    <row r="624" spans="2:23" s="97" customFormat="1">
      <c r="B624" s="96"/>
      <c r="H624" s="96"/>
      <c r="J624" s="1"/>
      <c r="K624" s="1"/>
      <c r="L624" s="1"/>
      <c r="O624" s="475"/>
      <c r="P624" s="475"/>
      <c r="Q624" s="475"/>
      <c r="R624" s="475"/>
      <c r="S624" s="475"/>
      <c r="T624" s="475"/>
      <c r="U624" s="475"/>
      <c r="V624" s="475"/>
      <c r="W624" s="475"/>
    </row>
    <row r="625" spans="2:23" s="97" customFormat="1">
      <c r="B625" s="96"/>
      <c r="H625" s="96"/>
      <c r="J625" s="1"/>
      <c r="K625" s="1"/>
      <c r="L625" s="1"/>
      <c r="O625" s="475"/>
      <c r="P625" s="475"/>
      <c r="Q625" s="475"/>
      <c r="R625" s="475"/>
      <c r="S625" s="475"/>
      <c r="T625" s="475"/>
      <c r="U625" s="475"/>
      <c r="V625" s="475"/>
      <c r="W625" s="475"/>
    </row>
    <row r="626" spans="2:23" s="97" customFormat="1">
      <c r="B626" s="96"/>
      <c r="H626" s="96"/>
      <c r="J626" s="1"/>
      <c r="K626" s="1"/>
      <c r="L626" s="1"/>
      <c r="O626" s="475"/>
      <c r="P626" s="475"/>
      <c r="Q626" s="475"/>
      <c r="R626" s="475"/>
      <c r="S626" s="475"/>
      <c r="T626" s="475"/>
      <c r="U626" s="475"/>
      <c r="V626" s="475"/>
      <c r="W626" s="475"/>
    </row>
    <row r="627" spans="2:23" s="97" customFormat="1">
      <c r="B627" s="96"/>
      <c r="H627" s="96"/>
      <c r="J627" s="1"/>
      <c r="K627" s="1"/>
      <c r="L627" s="1"/>
      <c r="O627" s="475"/>
      <c r="P627" s="475"/>
      <c r="Q627" s="475"/>
      <c r="R627" s="475"/>
      <c r="S627" s="475"/>
      <c r="T627" s="475"/>
      <c r="U627" s="475"/>
      <c r="V627" s="475"/>
      <c r="W627" s="475"/>
    </row>
    <row r="628" spans="2:23" s="97" customFormat="1">
      <c r="B628" s="96"/>
      <c r="H628" s="96"/>
      <c r="J628" s="1"/>
      <c r="K628" s="1"/>
      <c r="L628" s="1"/>
      <c r="O628" s="475"/>
      <c r="P628" s="475"/>
      <c r="Q628" s="475"/>
      <c r="R628" s="475"/>
      <c r="S628" s="475"/>
      <c r="T628" s="475"/>
      <c r="U628" s="475"/>
      <c r="V628" s="475"/>
      <c r="W628" s="475"/>
    </row>
    <row r="629" spans="2:23" s="97" customFormat="1">
      <c r="B629" s="96"/>
      <c r="H629" s="96"/>
      <c r="J629" s="1"/>
      <c r="K629" s="1"/>
      <c r="L629" s="1"/>
      <c r="O629" s="475"/>
      <c r="P629" s="475"/>
      <c r="Q629" s="475"/>
      <c r="R629" s="475"/>
      <c r="S629" s="475"/>
      <c r="T629" s="475"/>
      <c r="U629" s="475"/>
      <c r="V629" s="475"/>
      <c r="W629" s="475"/>
    </row>
    <row r="630" spans="2:23" s="97" customFormat="1">
      <c r="B630" s="96"/>
      <c r="H630" s="96"/>
      <c r="J630" s="1"/>
      <c r="K630" s="1"/>
      <c r="L630" s="1"/>
      <c r="O630" s="475"/>
      <c r="P630" s="475"/>
      <c r="Q630" s="475"/>
      <c r="R630" s="475"/>
      <c r="S630" s="475"/>
      <c r="T630" s="475"/>
      <c r="U630" s="475"/>
      <c r="V630" s="475"/>
      <c r="W630" s="475"/>
    </row>
    <row r="631" spans="2:23" s="97" customFormat="1">
      <c r="B631" s="96"/>
      <c r="H631" s="96"/>
      <c r="J631" s="1"/>
      <c r="K631" s="1"/>
      <c r="L631" s="1"/>
      <c r="O631" s="475"/>
      <c r="P631" s="475"/>
      <c r="Q631" s="475"/>
      <c r="R631" s="475"/>
      <c r="S631" s="475"/>
      <c r="T631" s="475"/>
      <c r="U631" s="475"/>
      <c r="V631" s="475"/>
      <c r="W631" s="475"/>
    </row>
    <row r="632" spans="2:23" s="97" customFormat="1">
      <c r="B632" s="96"/>
      <c r="H632" s="96"/>
      <c r="J632" s="1"/>
      <c r="K632" s="1"/>
      <c r="L632" s="1"/>
      <c r="O632" s="475"/>
      <c r="P632" s="475"/>
      <c r="Q632" s="475"/>
      <c r="R632" s="475"/>
      <c r="S632" s="475"/>
      <c r="T632" s="475"/>
      <c r="U632" s="475"/>
      <c r="V632" s="475"/>
      <c r="W632" s="475"/>
    </row>
    <row r="633" spans="2:23" s="97" customFormat="1">
      <c r="B633" s="96"/>
      <c r="H633" s="96"/>
      <c r="J633" s="1"/>
      <c r="K633" s="1"/>
      <c r="L633" s="1"/>
      <c r="O633" s="475"/>
      <c r="P633" s="475"/>
      <c r="Q633" s="475"/>
      <c r="R633" s="475"/>
      <c r="S633" s="475"/>
      <c r="T633" s="475"/>
      <c r="U633" s="475"/>
      <c r="V633" s="475"/>
      <c r="W633" s="475"/>
    </row>
    <row r="634" spans="2:23" s="97" customFormat="1">
      <c r="B634" s="96"/>
      <c r="H634" s="96"/>
      <c r="J634" s="1"/>
      <c r="K634" s="1"/>
      <c r="L634" s="1"/>
      <c r="O634" s="475"/>
      <c r="P634" s="475"/>
      <c r="Q634" s="475"/>
      <c r="R634" s="475"/>
      <c r="S634" s="475"/>
      <c r="T634" s="475"/>
      <c r="U634" s="475"/>
      <c r="V634" s="475"/>
      <c r="W634" s="475"/>
    </row>
    <row r="635" spans="2:23" s="97" customFormat="1">
      <c r="B635" s="96"/>
      <c r="H635" s="96"/>
      <c r="J635" s="1"/>
      <c r="K635" s="1"/>
      <c r="L635" s="1"/>
      <c r="O635" s="475"/>
      <c r="P635" s="475"/>
      <c r="Q635" s="475"/>
      <c r="R635" s="475"/>
      <c r="S635" s="475"/>
      <c r="T635" s="475"/>
      <c r="U635" s="475"/>
      <c r="V635" s="475"/>
      <c r="W635" s="475"/>
    </row>
    <row r="636" spans="2:23" s="97" customFormat="1">
      <c r="B636" s="96"/>
      <c r="H636" s="96"/>
      <c r="J636" s="1"/>
      <c r="K636" s="1"/>
      <c r="L636" s="1"/>
      <c r="O636" s="475"/>
      <c r="P636" s="475"/>
      <c r="Q636" s="475"/>
      <c r="R636" s="475"/>
      <c r="S636" s="475"/>
      <c r="T636" s="475"/>
      <c r="U636" s="475"/>
      <c r="V636" s="475"/>
      <c r="W636" s="475"/>
    </row>
    <row r="637" spans="2:23" s="97" customFormat="1">
      <c r="B637" s="96"/>
      <c r="H637" s="96"/>
      <c r="J637" s="1"/>
      <c r="K637" s="1"/>
      <c r="L637" s="1"/>
      <c r="O637" s="475"/>
      <c r="P637" s="475"/>
      <c r="Q637" s="475"/>
      <c r="R637" s="475"/>
      <c r="S637" s="475"/>
      <c r="T637" s="475"/>
      <c r="U637" s="475"/>
      <c r="V637" s="475"/>
      <c r="W637" s="475"/>
    </row>
    <row r="638" spans="2:23" s="97" customFormat="1">
      <c r="B638" s="96"/>
      <c r="H638" s="96"/>
      <c r="J638" s="1"/>
      <c r="K638" s="1"/>
      <c r="L638" s="1"/>
      <c r="O638" s="475"/>
      <c r="P638" s="475"/>
      <c r="Q638" s="475"/>
      <c r="R638" s="475"/>
      <c r="S638" s="475"/>
      <c r="T638" s="475"/>
      <c r="U638" s="475"/>
      <c r="V638" s="475"/>
      <c r="W638" s="475"/>
    </row>
    <row r="639" spans="2:23" s="97" customFormat="1">
      <c r="B639" s="96"/>
      <c r="H639" s="96"/>
      <c r="J639" s="1"/>
      <c r="K639" s="1"/>
      <c r="L639" s="1"/>
      <c r="O639" s="475"/>
      <c r="P639" s="475"/>
      <c r="Q639" s="475"/>
      <c r="R639" s="475"/>
      <c r="S639" s="475"/>
      <c r="T639" s="475"/>
      <c r="U639" s="475"/>
      <c r="V639" s="475"/>
      <c r="W639" s="475"/>
    </row>
    <row r="640" spans="2:23" s="97" customFormat="1">
      <c r="B640" s="96"/>
      <c r="H640" s="96"/>
      <c r="J640" s="1"/>
      <c r="K640" s="1"/>
      <c r="L640" s="1"/>
      <c r="O640" s="475"/>
      <c r="P640" s="475"/>
      <c r="Q640" s="475"/>
      <c r="R640" s="475"/>
      <c r="S640" s="475"/>
      <c r="T640" s="475"/>
      <c r="U640" s="475"/>
      <c r="V640" s="475"/>
      <c r="W640" s="475"/>
    </row>
    <row r="641" spans="2:23" s="97" customFormat="1">
      <c r="B641" s="96"/>
      <c r="H641" s="96"/>
      <c r="J641" s="1"/>
      <c r="K641" s="1"/>
      <c r="L641" s="1"/>
      <c r="O641" s="475"/>
      <c r="P641" s="475"/>
      <c r="Q641" s="475"/>
      <c r="R641" s="475"/>
      <c r="S641" s="475"/>
      <c r="T641" s="475"/>
      <c r="U641" s="475"/>
      <c r="V641" s="475"/>
      <c r="W641" s="475"/>
    </row>
    <row r="642" spans="2:23" s="97" customFormat="1">
      <c r="B642" s="96"/>
      <c r="H642" s="96"/>
      <c r="J642" s="1"/>
      <c r="K642" s="1"/>
      <c r="L642" s="1"/>
      <c r="O642" s="475"/>
      <c r="P642" s="475"/>
      <c r="Q642" s="475"/>
      <c r="R642" s="475"/>
      <c r="S642" s="475"/>
      <c r="T642" s="475"/>
      <c r="U642" s="475"/>
      <c r="V642" s="475"/>
      <c r="W642" s="475"/>
    </row>
    <row r="643" spans="2:23" s="97" customFormat="1">
      <c r="B643" s="96"/>
      <c r="H643" s="96"/>
      <c r="J643" s="1"/>
      <c r="K643" s="1"/>
      <c r="L643" s="1"/>
      <c r="O643" s="475"/>
      <c r="P643" s="475"/>
      <c r="Q643" s="475"/>
      <c r="R643" s="475"/>
      <c r="S643" s="475"/>
      <c r="T643" s="475"/>
      <c r="U643" s="475"/>
      <c r="V643" s="475"/>
      <c r="W643" s="475"/>
    </row>
    <row r="644" spans="2:23" s="97" customFormat="1">
      <c r="B644" s="96"/>
      <c r="H644" s="96"/>
      <c r="J644" s="1"/>
      <c r="K644" s="1"/>
      <c r="L644" s="1"/>
      <c r="O644" s="475"/>
      <c r="P644" s="475"/>
      <c r="Q644" s="475"/>
      <c r="R644" s="475"/>
      <c r="S644" s="475"/>
      <c r="T644" s="475"/>
      <c r="U644" s="475"/>
      <c r="V644" s="475"/>
      <c r="W644" s="475"/>
    </row>
    <row r="645" spans="2:23" s="97" customFormat="1">
      <c r="B645" s="96"/>
      <c r="H645" s="96"/>
      <c r="J645" s="1"/>
      <c r="K645" s="1"/>
      <c r="L645" s="1"/>
      <c r="O645" s="475"/>
      <c r="P645" s="475"/>
      <c r="Q645" s="475"/>
      <c r="R645" s="475"/>
      <c r="S645" s="475"/>
      <c r="T645" s="475"/>
      <c r="U645" s="475"/>
      <c r="V645" s="475"/>
      <c r="W645" s="475"/>
    </row>
    <row r="646" spans="2:23" s="97" customFormat="1">
      <c r="B646" s="96"/>
      <c r="H646" s="96"/>
      <c r="J646" s="1"/>
      <c r="K646" s="1"/>
      <c r="L646" s="1"/>
      <c r="O646" s="475"/>
      <c r="P646" s="475"/>
      <c r="Q646" s="475"/>
      <c r="R646" s="475"/>
      <c r="S646" s="475"/>
      <c r="T646" s="475"/>
      <c r="U646" s="475"/>
      <c r="V646" s="475"/>
      <c r="W646" s="475"/>
    </row>
    <row r="647" spans="2:23" s="97" customFormat="1">
      <c r="B647" s="96"/>
      <c r="H647" s="96"/>
      <c r="J647" s="1"/>
      <c r="K647" s="1"/>
      <c r="L647" s="1"/>
      <c r="O647" s="475"/>
      <c r="P647" s="475"/>
      <c r="Q647" s="475"/>
      <c r="R647" s="475"/>
      <c r="S647" s="475"/>
      <c r="T647" s="475"/>
      <c r="U647" s="475"/>
      <c r="V647" s="475"/>
      <c r="W647" s="475"/>
    </row>
    <row r="648" spans="2:23" s="97" customFormat="1">
      <c r="B648" s="96"/>
      <c r="H648" s="96"/>
      <c r="J648" s="1"/>
      <c r="K648" s="1"/>
      <c r="L648" s="1"/>
      <c r="O648" s="475"/>
      <c r="P648" s="475"/>
      <c r="Q648" s="475"/>
      <c r="R648" s="475"/>
      <c r="S648" s="475"/>
      <c r="T648" s="475"/>
      <c r="U648" s="475"/>
      <c r="V648" s="475"/>
      <c r="W648" s="475"/>
    </row>
    <row r="649" spans="2:23" s="97" customFormat="1">
      <c r="B649" s="96"/>
      <c r="H649" s="96"/>
      <c r="J649" s="1"/>
      <c r="K649" s="1"/>
      <c r="L649" s="1"/>
      <c r="O649" s="475"/>
      <c r="P649" s="475"/>
      <c r="Q649" s="475"/>
      <c r="R649" s="475"/>
      <c r="S649" s="475"/>
      <c r="T649" s="475"/>
      <c r="U649" s="475"/>
      <c r="V649" s="475"/>
      <c r="W649" s="475"/>
    </row>
    <row r="650" spans="2:23" s="97" customFormat="1">
      <c r="B650" s="96"/>
      <c r="H650" s="96"/>
      <c r="J650" s="1"/>
      <c r="K650" s="1"/>
      <c r="L650" s="1"/>
      <c r="O650" s="475"/>
      <c r="P650" s="475"/>
      <c r="Q650" s="475"/>
      <c r="R650" s="475"/>
      <c r="S650" s="475"/>
      <c r="T650" s="475"/>
      <c r="U650" s="475"/>
      <c r="V650" s="475"/>
      <c r="W650" s="475"/>
    </row>
    <row r="651" spans="2:23" s="97" customFormat="1">
      <c r="B651" s="96"/>
      <c r="H651" s="96"/>
      <c r="J651" s="1"/>
      <c r="K651" s="1"/>
      <c r="L651" s="1"/>
      <c r="O651" s="475"/>
      <c r="P651" s="475"/>
      <c r="Q651" s="475"/>
      <c r="R651" s="475"/>
      <c r="S651" s="475"/>
      <c r="T651" s="475"/>
      <c r="U651" s="475"/>
      <c r="V651" s="475"/>
      <c r="W651" s="475"/>
    </row>
    <row r="652" spans="2:23" s="97" customFormat="1">
      <c r="B652" s="96"/>
      <c r="H652" s="96"/>
      <c r="J652" s="1"/>
      <c r="K652" s="1"/>
      <c r="L652" s="1"/>
      <c r="O652" s="475"/>
      <c r="P652" s="475"/>
      <c r="Q652" s="475"/>
      <c r="R652" s="475"/>
      <c r="S652" s="475"/>
      <c r="T652" s="475"/>
      <c r="U652" s="475"/>
      <c r="V652" s="475"/>
      <c r="W652" s="475"/>
    </row>
    <row r="653" spans="2:23" s="97" customFormat="1">
      <c r="B653" s="96"/>
      <c r="H653" s="96"/>
      <c r="J653" s="1"/>
      <c r="K653" s="1"/>
      <c r="L653" s="1"/>
      <c r="O653" s="475"/>
      <c r="P653" s="475"/>
      <c r="Q653" s="475"/>
      <c r="R653" s="475"/>
      <c r="S653" s="475"/>
      <c r="T653" s="475"/>
      <c r="U653" s="475"/>
      <c r="V653" s="475"/>
      <c r="W653" s="475"/>
    </row>
    <row r="654" spans="2:23" s="97" customFormat="1">
      <c r="B654" s="96"/>
      <c r="H654" s="96"/>
      <c r="J654" s="1"/>
      <c r="K654" s="1"/>
      <c r="L654" s="1"/>
      <c r="O654" s="475"/>
      <c r="P654" s="475"/>
      <c r="Q654" s="475"/>
      <c r="R654" s="475"/>
      <c r="S654" s="475"/>
      <c r="T654" s="475"/>
      <c r="U654" s="475"/>
      <c r="V654" s="475"/>
      <c r="W654" s="475"/>
    </row>
    <row r="655" spans="2:23" s="97" customFormat="1">
      <c r="B655" s="96"/>
      <c r="H655" s="96"/>
      <c r="J655" s="1"/>
      <c r="K655" s="1"/>
      <c r="L655" s="1"/>
      <c r="O655" s="475"/>
      <c r="P655" s="475"/>
      <c r="Q655" s="475"/>
      <c r="R655" s="475"/>
      <c r="S655" s="475"/>
      <c r="T655" s="475"/>
      <c r="U655" s="475"/>
      <c r="V655" s="475"/>
      <c r="W655" s="475"/>
    </row>
    <row r="656" spans="2:23" s="97" customFormat="1">
      <c r="B656" s="96"/>
      <c r="H656" s="96"/>
      <c r="J656" s="1"/>
      <c r="K656" s="1"/>
      <c r="L656" s="1"/>
      <c r="O656" s="475"/>
      <c r="P656" s="475"/>
      <c r="Q656" s="475"/>
      <c r="R656" s="475"/>
      <c r="S656" s="475"/>
      <c r="T656" s="475"/>
      <c r="U656" s="475"/>
      <c r="V656" s="475"/>
      <c r="W656" s="475"/>
    </row>
    <row r="657" spans="2:23" s="97" customFormat="1">
      <c r="B657" s="96"/>
      <c r="H657" s="96"/>
      <c r="J657" s="1"/>
      <c r="K657" s="1"/>
      <c r="L657" s="1"/>
      <c r="O657" s="475"/>
      <c r="P657" s="475"/>
      <c r="Q657" s="475"/>
      <c r="R657" s="475"/>
      <c r="S657" s="475"/>
      <c r="T657" s="475"/>
      <c r="U657" s="475"/>
      <c r="V657" s="475"/>
      <c r="W657" s="475"/>
    </row>
    <row r="658" spans="2:23" s="97" customFormat="1">
      <c r="B658" s="96"/>
      <c r="H658" s="96"/>
      <c r="J658" s="1"/>
      <c r="K658" s="1"/>
      <c r="L658" s="1"/>
      <c r="O658" s="475"/>
      <c r="P658" s="475"/>
      <c r="Q658" s="475"/>
      <c r="R658" s="475"/>
      <c r="S658" s="475"/>
      <c r="T658" s="475"/>
      <c r="U658" s="475"/>
      <c r="V658" s="475"/>
      <c r="W658" s="475"/>
    </row>
    <row r="659" spans="2:23" s="97" customFormat="1">
      <c r="B659" s="96"/>
      <c r="H659" s="96"/>
      <c r="J659" s="1"/>
      <c r="K659" s="1"/>
      <c r="L659" s="1"/>
      <c r="O659" s="475"/>
      <c r="P659" s="475"/>
      <c r="Q659" s="475"/>
      <c r="R659" s="475"/>
      <c r="S659" s="475"/>
      <c r="T659" s="475"/>
      <c r="U659" s="475"/>
      <c r="V659" s="475"/>
      <c r="W659" s="475"/>
    </row>
    <row r="660" spans="2:23" s="97" customFormat="1">
      <c r="B660" s="96"/>
      <c r="H660" s="96"/>
      <c r="J660" s="1"/>
      <c r="K660" s="1"/>
      <c r="L660" s="1"/>
      <c r="O660" s="475"/>
      <c r="P660" s="475"/>
      <c r="Q660" s="475"/>
      <c r="R660" s="475"/>
      <c r="S660" s="475"/>
      <c r="T660" s="475"/>
      <c r="U660" s="475"/>
      <c r="V660" s="475"/>
      <c r="W660" s="475"/>
    </row>
    <row r="661" spans="2:23" s="97" customFormat="1">
      <c r="B661" s="96"/>
      <c r="H661" s="96"/>
      <c r="J661" s="1"/>
      <c r="K661" s="1"/>
      <c r="L661" s="1"/>
      <c r="O661" s="475"/>
      <c r="P661" s="475"/>
      <c r="Q661" s="475"/>
      <c r="R661" s="475"/>
      <c r="S661" s="475"/>
      <c r="T661" s="475"/>
      <c r="U661" s="475"/>
      <c r="V661" s="475"/>
      <c r="W661" s="475"/>
    </row>
    <row r="662" spans="2:23" s="97" customFormat="1">
      <c r="B662" s="96"/>
      <c r="H662" s="96"/>
      <c r="J662" s="1"/>
      <c r="K662" s="1"/>
      <c r="L662" s="1"/>
      <c r="O662" s="475"/>
      <c r="P662" s="475"/>
      <c r="Q662" s="475"/>
      <c r="R662" s="475"/>
      <c r="S662" s="475"/>
      <c r="T662" s="475"/>
      <c r="U662" s="475"/>
      <c r="V662" s="475"/>
      <c r="W662" s="475"/>
    </row>
    <row r="663" spans="2:23" s="97" customFormat="1">
      <c r="B663" s="96"/>
      <c r="H663" s="96"/>
      <c r="J663" s="1"/>
      <c r="K663" s="1"/>
      <c r="L663" s="1"/>
      <c r="O663" s="475"/>
      <c r="P663" s="475"/>
      <c r="Q663" s="475"/>
      <c r="R663" s="475"/>
      <c r="S663" s="475"/>
      <c r="T663" s="475"/>
      <c r="U663" s="475"/>
      <c r="V663" s="475"/>
      <c r="W663" s="475"/>
    </row>
    <row r="664" spans="2:23" s="97" customFormat="1">
      <c r="B664" s="96"/>
      <c r="H664" s="96"/>
      <c r="J664" s="1"/>
      <c r="K664" s="1"/>
      <c r="L664" s="1"/>
      <c r="O664" s="475"/>
      <c r="P664" s="475"/>
      <c r="Q664" s="475"/>
      <c r="R664" s="475"/>
      <c r="S664" s="475"/>
      <c r="T664" s="475"/>
      <c r="U664" s="475"/>
      <c r="V664" s="475"/>
      <c r="W664" s="475"/>
    </row>
    <row r="665" spans="2:23" s="97" customFormat="1">
      <c r="B665" s="96"/>
      <c r="H665" s="96"/>
      <c r="J665" s="1"/>
      <c r="K665" s="1"/>
      <c r="L665" s="1"/>
      <c r="O665" s="475"/>
      <c r="P665" s="475"/>
      <c r="Q665" s="475"/>
      <c r="R665" s="475"/>
      <c r="S665" s="475"/>
      <c r="T665" s="475"/>
      <c r="U665" s="475"/>
      <c r="V665" s="475"/>
      <c r="W665" s="475"/>
    </row>
    <row r="666" spans="2:23" s="97" customFormat="1">
      <c r="B666" s="96"/>
      <c r="H666" s="96"/>
      <c r="J666" s="1"/>
      <c r="K666" s="1"/>
      <c r="L666" s="1"/>
      <c r="O666" s="475"/>
      <c r="P666" s="475"/>
      <c r="Q666" s="475"/>
      <c r="R666" s="475"/>
      <c r="S666" s="475"/>
      <c r="T666" s="475"/>
      <c r="U666" s="475"/>
      <c r="V666" s="475"/>
      <c r="W666" s="475"/>
    </row>
    <row r="667" spans="2:23" s="97" customFormat="1">
      <c r="B667" s="96"/>
      <c r="H667" s="96"/>
      <c r="J667" s="1"/>
      <c r="K667" s="1"/>
      <c r="L667" s="1"/>
      <c r="O667" s="475"/>
      <c r="P667" s="475"/>
      <c r="Q667" s="475"/>
      <c r="R667" s="475"/>
      <c r="S667" s="475"/>
      <c r="T667" s="475"/>
      <c r="U667" s="475"/>
      <c r="V667" s="475"/>
      <c r="W667" s="475"/>
    </row>
    <row r="668" spans="2:23" s="97" customFormat="1">
      <c r="B668" s="96"/>
      <c r="H668" s="96"/>
      <c r="J668" s="1"/>
      <c r="K668" s="1"/>
      <c r="L668" s="1"/>
      <c r="O668" s="475"/>
      <c r="P668" s="475"/>
      <c r="Q668" s="475"/>
      <c r="R668" s="475"/>
      <c r="S668" s="475"/>
      <c r="T668" s="475"/>
      <c r="U668" s="475"/>
      <c r="V668" s="475"/>
      <c r="W668" s="475"/>
    </row>
    <row r="669" spans="2:23" s="97" customFormat="1">
      <c r="B669" s="96"/>
      <c r="H669" s="96"/>
      <c r="J669" s="1"/>
      <c r="K669" s="1"/>
      <c r="L669" s="1"/>
      <c r="O669" s="475"/>
      <c r="P669" s="475"/>
      <c r="Q669" s="475"/>
      <c r="R669" s="475"/>
      <c r="S669" s="475"/>
      <c r="T669" s="475"/>
      <c r="U669" s="475"/>
      <c r="V669" s="475"/>
      <c r="W669" s="475"/>
    </row>
    <row r="670" spans="2:23" s="97" customFormat="1">
      <c r="B670" s="96"/>
      <c r="H670" s="96"/>
      <c r="J670" s="1"/>
      <c r="K670" s="1"/>
      <c r="L670" s="1"/>
      <c r="O670" s="475"/>
      <c r="P670" s="475"/>
      <c r="Q670" s="475"/>
      <c r="R670" s="475"/>
      <c r="S670" s="475"/>
      <c r="T670" s="475"/>
      <c r="U670" s="475"/>
      <c r="V670" s="475"/>
      <c r="W670" s="475"/>
    </row>
    <row r="671" spans="2:23" s="97" customFormat="1">
      <c r="B671" s="96"/>
      <c r="H671" s="96"/>
      <c r="J671" s="1"/>
      <c r="K671" s="1"/>
      <c r="L671" s="1"/>
      <c r="O671" s="475"/>
      <c r="P671" s="475"/>
      <c r="Q671" s="475"/>
      <c r="R671" s="475"/>
      <c r="S671" s="475"/>
      <c r="T671" s="475"/>
      <c r="U671" s="475"/>
      <c r="V671" s="475"/>
      <c r="W671" s="475"/>
    </row>
    <row r="672" spans="2:23" s="97" customFormat="1">
      <c r="B672" s="96"/>
      <c r="H672" s="96"/>
      <c r="J672" s="1"/>
      <c r="K672" s="1"/>
      <c r="L672" s="1"/>
      <c r="O672" s="475"/>
      <c r="P672" s="475"/>
      <c r="Q672" s="475"/>
      <c r="R672" s="475"/>
      <c r="S672" s="475"/>
      <c r="T672" s="475"/>
      <c r="U672" s="475"/>
      <c r="V672" s="475"/>
      <c r="W672" s="475"/>
    </row>
    <row r="673" spans="2:23" s="97" customFormat="1">
      <c r="B673" s="96"/>
      <c r="H673" s="96"/>
      <c r="J673" s="1"/>
      <c r="K673" s="1"/>
      <c r="L673" s="1"/>
      <c r="O673" s="475"/>
      <c r="P673" s="475"/>
      <c r="Q673" s="475"/>
      <c r="R673" s="475"/>
      <c r="S673" s="475"/>
      <c r="T673" s="475"/>
      <c r="U673" s="475"/>
      <c r="V673" s="475"/>
      <c r="W673" s="475"/>
    </row>
    <row r="674" spans="2:23" s="97" customFormat="1">
      <c r="B674" s="96"/>
      <c r="H674" s="96"/>
      <c r="J674" s="1"/>
      <c r="K674" s="1"/>
      <c r="L674" s="1"/>
      <c r="O674" s="475"/>
      <c r="P674" s="475"/>
      <c r="Q674" s="475"/>
      <c r="R674" s="475"/>
      <c r="S674" s="475"/>
      <c r="T674" s="475"/>
      <c r="U674" s="475"/>
      <c r="V674" s="475"/>
      <c r="W674" s="475"/>
    </row>
    <row r="675" spans="2:23" s="97" customFormat="1">
      <c r="B675" s="96"/>
      <c r="H675" s="96"/>
      <c r="J675" s="1"/>
      <c r="K675" s="1"/>
      <c r="L675" s="1"/>
      <c r="O675" s="475"/>
      <c r="P675" s="475"/>
      <c r="Q675" s="475"/>
      <c r="R675" s="475"/>
      <c r="S675" s="475"/>
      <c r="T675" s="475"/>
      <c r="U675" s="475"/>
      <c r="V675" s="475"/>
      <c r="W675" s="475"/>
    </row>
    <row r="676" spans="2:23" s="97" customFormat="1">
      <c r="B676" s="96"/>
      <c r="H676" s="96"/>
      <c r="J676" s="1"/>
      <c r="K676" s="1"/>
      <c r="L676" s="1"/>
      <c r="O676" s="475"/>
      <c r="P676" s="475"/>
      <c r="Q676" s="475"/>
      <c r="R676" s="475"/>
      <c r="S676" s="475"/>
      <c r="T676" s="475"/>
      <c r="U676" s="475"/>
      <c r="V676" s="475"/>
      <c r="W676" s="475"/>
    </row>
    <row r="677" spans="2:23" s="97" customFormat="1">
      <c r="B677" s="96"/>
      <c r="H677" s="96"/>
      <c r="J677" s="1"/>
      <c r="K677" s="1"/>
      <c r="L677" s="1"/>
      <c r="O677" s="475"/>
      <c r="P677" s="475"/>
      <c r="Q677" s="475"/>
      <c r="R677" s="475"/>
      <c r="S677" s="475"/>
      <c r="T677" s="475"/>
      <c r="U677" s="475"/>
      <c r="V677" s="475"/>
      <c r="W677" s="475"/>
    </row>
    <row r="678" spans="2:23" s="97" customFormat="1">
      <c r="B678" s="96"/>
      <c r="H678" s="96"/>
      <c r="J678" s="1"/>
      <c r="K678" s="1"/>
      <c r="L678" s="1"/>
      <c r="O678" s="475"/>
      <c r="P678" s="475"/>
      <c r="Q678" s="475"/>
      <c r="R678" s="475"/>
      <c r="S678" s="475"/>
      <c r="T678" s="475"/>
      <c r="U678" s="475"/>
      <c r="V678" s="475"/>
      <c r="W678" s="475"/>
    </row>
    <row r="679" spans="2:23" s="97" customFormat="1">
      <c r="B679" s="96"/>
      <c r="H679" s="96"/>
      <c r="J679" s="1"/>
      <c r="K679" s="1"/>
      <c r="L679" s="1"/>
      <c r="O679" s="475"/>
      <c r="P679" s="475"/>
      <c r="Q679" s="475"/>
      <c r="R679" s="475"/>
      <c r="S679" s="475"/>
      <c r="T679" s="475"/>
      <c r="U679" s="475"/>
      <c r="V679" s="475"/>
      <c r="W679" s="475"/>
    </row>
    <row r="680" spans="2:23" s="97" customFormat="1">
      <c r="B680" s="96"/>
      <c r="H680" s="96"/>
      <c r="J680" s="1"/>
      <c r="K680" s="1"/>
      <c r="L680" s="1"/>
      <c r="O680" s="475"/>
      <c r="P680" s="475"/>
      <c r="Q680" s="475"/>
      <c r="R680" s="475"/>
      <c r="S680" s="475"/>
      <c r="T680" s="475"/>
      <c r="U680" s="475"/>
      <c r="V680" s="475"/>
      <c r="W680" s="475"/>
    </row>
    <row r="681" spans="2:23" s="97" customFormat="1">
      <c r="B681" s="96"/>
      <c r="H681" s="96"/>
      <c r="J681" s="1"/>
      <c r="K681" s="1"/>
      <c r="L681" s="1"/>
      <c r="O681" s="475"/>
      <c r="P681" s="475"/>
      <c r="Q681" s="475"/>
      <c r="R681" s="475"/>
      <c r="S681" s="475"/>
      <c r="T681" s="475"/>
      <c r="U681" s="475"/>
      <c r="V681" s="475"/>
      <c r="W681" s="475"/>
    </row>
    <row r="682" spans="2:23" s="97" customFormat="1">
      <c r="B682" s="96"/>
      <c r="H682" s="96"/>
      <c r="J682" s="1"/>
      <c r="K682" s="1"/>
      <c r="L682" s="1"/>
      <c r="O682" s="475"/>
      <c r="P682" s="475"/>
      <c r="Q682" s="475"/>
      <c r="R682" s="475"/>
      <c r="S682" s="475"/>
      <c r="T682" s="475"/>
      <c r="U682" s="475"/>
      <c r="V682" s="475"/>
      <c r="W682" s="475"/>
    </row>
    <row r="683" spans="2:23" s="97" customFormat="1">
      <c r="B683" s="96"/>
      <c r="H683" s="96"/>
      <c r="J683" s="1"/>
      <c r="K683" s="1"/>
      <c r="L683" s="1"/>
      <c r="O683" s="475"/>
      <c r="P683" s="475"/>
      <c r="Q683" s="475"/>
      <c r="R683" s="475"/>
      <c r="S683" s="475"/>
      <c r="T683" s="475"/>
      <c r="U683" s="475"/>
      <c r="V683" s="475"/>
      <c r="W683" s="475"/>
    </row>
    <row r="684" spans="2:23" s="97" customFormat="1">
      <c r="B684" s="96"/>
      <c r="H684" s="96"/>
      <c r="J684" s="1"/>
      <c r="K684" s="1"/>
      <c r="L684" s="1"/>
      <c r="O684" s="475"/>
      <c r="P684" s="475"/>
      <c r="Q684" s="475"/>
      <c r="R684" s="475"/>
      <c r="S684" s="475"/>
      <c r="T684" s="475"/>
      <c r="U684" s="475"/>
      <c r="V684" s="475"/>
      <c r="W684" s="475"/>
    </row>
    <row r="685" spans="2:23" s="97" customFormat="1">
      <c r="B685" s="96"/>
      <c r="H685" s="96"/>
      <c r="J685" s="1"/>
      <c r="K685" s="1"/>
      <c r="L685" s="1"/>
      <c r="O685" s="475"/>
      <c r="P685" s="475"/>
      <c r="Q685" s="475"/>
      <c r="R685" s="475"/>
      <c r="S685" s="475"/>
      <c r="T685" s="475"/>
      <c r="U685" s="475"/>
      <c r="V685" s="475"/>
      <c r="W685" s="475"/>
    </row>
    <row r="686" spans="2:23" s="97" customFormat="1">
      <c r="B686" s="96"/>
      <c r="H686" s="96"/>
      <c r="J686" s="1"/>
      <c r="K686" s="1"/>
      <c r="L686" s="1"/>
      <c r="O686" s="475"/>
      <c r="P686" s="475"/>
      <c r="Q686" s="475"/>
      <c r="R686" s="475"/>
      <c r="S686" s="475"/>
      <c r="T686" s="475"/>
      <c r="U686" s="475"/>
      <c r="V686" s="475"/>
      <c r="W686" s="475"/>
    </row>
    <row r="687" spans="2:23" s="97" customFormat="1">
      <c r="B687" s="96"/>
      <c r="H687" s="96"/>
      <c r="J687" s="1"/>
      <c r="K687" s="1"/>
      <c r="L687" s="1"/>
      <c r="O687" s="475"/>
      <c r="P687" s="475"/>
      <c r="Q687" s="475"/>
      <c r="R687" s="475"/>
      <c r="S687" s="475"/>
      <c r="T687" s="475"/>
      <c r="U687" s="475"/>
      <c r="V687" s="475"/>
      <c r="W687" s="475"/>
    </row>
    <row r="688" spans="2:23" s="97" customFormat="1">
      <c r="B688" s="96"/>
      <c r="H688" s="96"/>
      <c r="J688" s="1"/>
      <c r="K688" s="1"/>
      <c r="L688" s="1"/>
      <c r="O688" s="475"/>
      <c r="P688" s="475"/>
      <c r="Q688" s="475"/>
      <c r="R688" s="475"/>
      <c r="S688" s="475"/>
      <c r="T688" s="475"/>
      <c r="U688" s="475"/>
      <c r="V688" s="475"/>
      <c r="W688" s="475"/>
    </row>
    <row r="689" spans="2:23" s="97" customFormat="1">
      <c r="B689" s="96"/>
      <c r="H689" s="96"/>
      <c r="J689" s="1"/>
      <c r="K689" s="1"/>
      <c r="L689" s="1"/>
      <c r="O689" s="475"/>
      <c r="P689" s="475"/>
      <c r="Q689" s="475"/>
      <c r="R689" s="475"/>
      <c r="S689" s="475"/>
      <c r="T689" s="475"/>
      <c r="U689" s="475"/>
      <c r="V689" s="475"/>
      <c r="W689" s="475"/>
    </row>
    <row r="690" spans="2:23" s="97" customFormat="1">
      <c r="B690" s="96"/>
      <c r="H690" s="96"/>
      <c r="J690" s="1"/>
      <c r="K690" s="1"/>
      <c r="L690" s="1"/>
      <c r="O690" s="475"/>
      <c r="P690" s="475"/>
      <c r="Q690" s="475"/>
      <c r="R690" s="475"/>
      <c r="S690" s="475"/>
      <c r="T690" s="475"/>
      <c r="U690" s="475"/>
      <c r="V690" s="475"/>
      <c r="W690" s="475"/>
    </row>
    <row r="691" spans="2:23" s="97" customFormat="1">
      <c r="B691" s="96"/>
      <c r="H691" s="96"/>
      <c r="J691" s="1"/>
      <c r="K691" s="1"/>
      <c r="L691" s="1"/>
      <c r="O691" s="475"/>
      <c r="P691" s="475"/>
      <c r="Q691" s="475"/>
      <c r="R691" s="475"/>
      <c r="S691" s="475"/>
      <c r="T691" s="475"/>
      <c r="U691" s="475"/>
      <c r="V691" s="475"/>
      <c r="W691" s="475"/>
    </row>
    <row r="692" spans="2:23" s="97" customFormat="1">
      <c r="B692" s="96"/>
      <c r="H692" s="96"/>
      <c r="J692" s="1"/>
      <c r="K692" s="1"/>
      <c r="L692" s="1"/>
      <c r="O692" s="475"/>
      <c r="P692" s="475"/>
      <c r="Q692" s="475"/>
      <c r="R692" s="475"/>
      <c r="S692" s="475"/>
      <c r="T692" s="475"/>
      <c r="U692" s="475"/>
      <c r="V692" s="475"/>
      <c r="W692" s="475"/>
    </row>
    <row r="693" spans="2:23" s="97" customFormat="1">
      <c r="B693" s="96"/>
      <c r="H693" s="96"/>
      <c r="J693" s="1"/>
      <c r="K693" s="1"/>
      <c r="L693" s="1"/>
      <c r="O693" s="475"/>
      <c r="P693" s="475"/>
      <c r="Q693" s="475"/>
      <c r="R693" s="475"/>
      <c r="S693" s="475"/>
      <c r="T693" s="475"/>
      <c r="U693" s="475"/>
      <c r="V693" s="475"/>
      <c r="W693" s="475"/>
    </row>
    <row r="694" spans="2:23" s="97" customFormat="1">
      <c r="B694" s="96"/>
      <c r="H694" s="96"/>
      <c r="J694" s="1"/>
      <c r="K694" s="1"/>
      <c r="L694" s="1"/>
      <c r="O694" s="475"/>
      <c r="P694" s="475"/>
      <c r="Q694" s="475"/>
      <c r="R694" s="475"/>
      <c r="S694" s="475"/>
      <c r="T694" s="475"/>
      <c r="U694" s="475"/>
      <c r="V694" s="475"/>
      <c r="W694" s="475"/>
    </row>
    <row r="695" spans="2:23" s="97" customFormat="1">
      <c r="B695" s="96"/>
      <c r="H695" s="96"/>
      <c r="J695" s="1"/>
      <c r="K695" s="1"/>
      <c r="L695" s="1"/>
      <c r="O695" s="475"/>
      <c r="P695" s="475"/>
      <c r="Q695" s="475"/>
      <c r="R695" s="475"/>
      <c r="S695" s="475"/>
      <c r="T695" s="475"/>
      <c r="U695" s="475"/>
      <c r="V695" s="475"/>
      <c r="W695" s="475"/>
    </row>
    <row r="696" spans="2:23" s="97" customFormat="1">
      <c r="B696" s="96"/>
      <c r="H696" s="96"/>
      <c r="J696" s="1"/>
      <c r="K696" s="1"/>
      <c r="L696" s="1"/>
      <c r="O696" s="475"/>
      <c r="P696" s="475"/>
      <c r="Q696" s="475"/>
      <c r="R696" s="475"/>
      <c r="S696" s="475"/>
      <c r="T696" s="475"/>
      <c r="U696" s="475"/>
      <c r="V696" s="475"/>
      <c r="W696" s="475"/>
    </row>
    <row r="697" spans="2:23" s="97" customFormat="1">
      <c r="B697" s="96"/>
      <c r="H697" s="96"/>
      <c r="J697" s="1"/>
      <c r="K697" s="1"/>
      <c r="L697" s="1"/>
      <c r="O697" s="475"/>
      <c r="P697" s="475"/>
      <c r="Q697" s="475"/>
      <c r="R697" s="475"/>
      <c r="S697" s="475"/>
      <c r="T697" s="475"/>
      <c r="U697" s="475"/>
      <c r="V697" s="475"/>
      <c r="W697" s="475"/>
    </row>
    <row r="698" spans="2:23" s="97" customFormat="1">
      <c r="B698" s="96"/>
      <c r="H698" s="96"/>
      <c r="J698" s="1"/>
      <c r="K698" s="1"/>
      <c r="L698" s="1"/>
      <c r="O698" s="475"/>
      <c r="P698" s="475"/>
      <c r="Q698" s="475"/>
      <c r="R698" s="475"/>
      <c r="S698" s="475"/>
      <c r="T698" s="475"/>
      <c r="U698" s="475"/>
      <c r="V698" s="475"/>
      <c r="W698" s="475"/>
    </row>
    <row r="699" spans="2:23" s="97" customFormat="1">
      <c r="B699" s="96"/>
      <c r="H699" s="96"/>
      <c r="J699" s="1"/>
      <c r="K699" s="1"/>
      <c r="L699" s="1"/>
      <c r="O699" s="475"/>
      <c r="P699" s="475"/>
      <c r="Q699" s="475"/>
      <c r="R699" s="475"/>
      <c r="S699" s="475"/>
      <c r="T699" s="475"/>
      <c r="U699" s="475"/>
      <c r="V699" s="475"/>
      <c r="W699" s="475"/>
    </row>
    <row r="700" spans="2:23" s="97" customFormat="1">
      <c r="B700" s="96"/>
      <c r="H700" s="96"/>
      <c r="J700" s="1"/>
      <c r="K700" s="1"/>
      <c r="L700" s="1"/>
      <c r="O700" s="475"/>
      <c r="P700" s="475"/>
      <c r="Q700" s="475"/>
      <c r="R700" s="475"/>
      <c r="S700" s="475"/>
      <c r="T700" s="475"/>
      <c r="U700" s="475"/>
      <c r="V700" s="475"/>
      <c r="W700" s="475"/>
    </row>
    <row r="701" spans="2:23" s="97" customFormat="1">
      <c r="B701" s="96"/>
      <c r="H701" s="96"/>
      <c r="J701" s="1"/>
      <c r="K701" s="1"/>
      <c r="L701" s="1"/>
      <c r="O701" s="475"/>
      <c r="P701" s="475"/>
      <c r="Q701" s="475"/>
      <c r="R701" s="475"/>
      <c r="S701" s="475"/>
      <c r="T701" s="475"/>
      <c r="U701" s="475"/>
      <c r="V701" s="475"/>
      <c r="W701" s="475"/>
    </row>
    <row r="702" spans="2:23" s="97" customFormat="1">
      <c r="B702" s="96"/>
      <c r="H702" s="96"/>
      <c r="J702" s="1"/>
      <c r="K702" s="1"/>
      <c r="L702" s="1"/>
      <c r="O702" s="475"/>
      <c r="P702" s="475"/>
      <c r="Q702" s="475"/>
      <c r="R702" s="475"/>
      <c r="S702" s="475"/>
      <c r="T702" s="475"/>
      <c r="U702" s="475"/>
      <c r="V702" s="475"/>
      <c r="W702" s="475"/>
    </row>
    <row r="703" spans="2:23" s="97" customFormat="1">
      <c r="B703" s="96"/>
      <c r="H703" s="96"/>
      <c r="J703" s="1"/>
      <c r="K703" s="1"/>
      <c r="L703" s="1"/>
      <c r="O703" s="475"/>
      <c r="P703" s="475"/>
      <c r="Q703" s="475"/>
      <c r="R703" s="475"/>
      <c r="S703" s="475"/>
      <c r="T703" s="475"/>
      <c r="U703" s="475"/>
      <c r="V703" s="475"/>
      <c r="W703" s="475"/>
    </row>
    <row r="704" spans="2:23" s="97" customFormat="1">
      <c r="B704" s="96"/>
      <c r="H704" s="96"/>
      <c r="J704" s="1"/>
      <c r="K704" s="1"/>
      <c r="L704" s="1"/>
      <c r="O704" s="475"/>
      <c r="P704" s="475"/>
      <c r="Q704" s="475"/>
      <c r="R704" s="475"/>
      <c r="S704" s="475"/>
      <c r="T704" s="475"/>
      <c r="U704" s="475"/>
      <c r="V704" s="475"/>
      <c r="W704" s="475"/>
    </row>
    <row r="705" spans="2:23" s="97" customFormat="1">
      <c r="B705" s="96"/>
      <c r="H705" s="96"/>
      <c r="J705" s="1"/>
      <c r="K705" s="1"/>
      <c r="L705" s="1"/>
      <c r="O705" s="475"/>
      <c r="P705" s="475"/>
      <c r="Q705" s="475"/>
      <c r="R705" s="475"/>
      <c r="S705" s="475"/>
      <c r="T705" s="475"/>
      <c r="U705" s="475"/>
      <c r="V705" s="475"/>
      <c r="W705" s="475"/>
    </row>
    <row r="706" spans="2:23" s="97" customFormat="1">
      <c r="B706" s="96"/>
      <c r="H706" s="96"/>
      <c r="J706" s="1"/>
      <c r="K706" s="1"/>
      <c r="L706" s="1"/>
      <c r="O706" s="475"/>
      <c r="P706" s="475"/>
      <c r="Q706" s="475"/>
      <c r="R706" s="475"/>
      <c r="S706" s="475"/>
      <c r="T706" s="475"/>
      <c r="U706" s="475"/>
      <c r="V706" s="475"/>
      <c r="W706" s="475"/>
    </row>
    <row r="707" spans="2:23" s="97" customFormat="1">
      <c r="B707" s="96"/>
      <c r="H707" s="96"/>
      <c r="J707" s="1"/>
      <c r="K707" s="1"/>
      <c r="L707" s="1"/>
      <c r="O707" s="475"/>
      <c r="P707" s="475"/>
      <c r="Q707" s="475"/>
      <c r="R707" s="475"/>
      <c r="S707" s="475"/>
      <c r="T707" s="475"/>
      <c r="U707" s="475"/>
      <c r="V707" s="475"/>
      <c r="W707" s="475"/>
    </row>
    <row r="708" spans="2:23" s="97" customFormat="1">
      <c r="B708" s="96"/>
      <c r="H708" s="96"/>
      <c r="J708" s="1"/>
      <c r="K708" s="1"/>
      <c r="L708" s="1"/>
      <c r="O708" s="475"/>
      <c r="P708" s="475"/>
      <c r="Q708" s="475"/>
      <c r="R708" s="475"/>
      <c r="S708" s="475"/>
      <c r="T708" s="475"/>
      <c r="U708" s="475"/>
      <c r="V708" s="475"/>
      <c r="W708" s="475"/>
    </row>
    <row r="709" spans="2:23" s="97" customFormat="1">
      <c r="B709" s="96"/>
      <c r="H709" s="96"/>
      <c r="J709" s="1"/>
      <c r="K709" s="1"/>
      <c r="L709" s="1"/>
      <c r="O709" s="475"/>
      <c r="P709" s="475"/>
      <c r="Q709" s="475"/>
      <c r="R709" s="475"/>
      <c r="S709" s="475"/>
      <c r="T709" s="475"/>
      <c r="U709" s="475"/>
      <c r="V709" s="475"/>
      <c r="W709" s="475"/>
    </row>
    <row r="710" spans="2:23" s="97" customFormat="1">
      <c r="B710" s="96"/>
      <c r="H710" s="96"/>
      <c r="J710" s="1"/>
      <c r="K710" s="1"/>
      <c r="L710" s="1"/>
      <c r="O710" s="475"/>
      <c r="P710" s="475"/>
      <c r="Q710" s="475"/>
      <c r="R710" s="475"/>
      <c r="S710" s="475"/>
      <c r="T710" s="475"/>
      <c r="U710" s="475"/>
      <c r="V710" s="475"/>
      <c r="W710" s="475"/>
    </row>
    <row r="711" spans="2:23" s="97" customFormat="1">
      <c r="B711" s="96"/>
      <c r="H711" s="96"/>
      <c r="J711" s="1"/>
      <c r="K711" s="1"/>
      <c r="L711" s="1"/>
      <c r="O711" s="475"/>
      <c r="P711" s="475"/>
      <c r="Q711" s="475"/>
      <c r="R711" s="475"/>
      <c r="S711" s="475"/>
      <c r="T711" s="475"/>
      <c r="U711" s="475"/>
      <c r="V711" s="475"/>
      <c r="W711" s="475"/>
    </row>
    <row r="712" spans="2:23" s="97" customFormat="1">
      <c r="B712" s="96"/>
      <c r="H712" s="96"/>
      <c r="J712" s="1"/>
      <c r="K712" s="1"/>
      <c r="L712" s="1"/>
      <c r="O712" s="475"/>
      <c r="P712" s="475"/>
      <c r="Q712" s="475"/>
      <c r="R712" s="475"/>
      <c r="S712" s="475"/>
      <c r="T712" s="475"/>
      <c r="U712" s="475"/>
      <c r="V712" s="475"/>
      <c r="W712" s="475"/>
    </row>
    <row r="713" spans="2:23" s="97" customFormat="1">
      <c r="B713" s="96"/>
      <c r="H713" s="96"/>
      <c r="J713" s="1"/>
      <c r="K713" s="1"/>
      <c r="L713" s="1"/>
      <c r="O713" s="475"/>
      <c r="P713" s="475"/>
      <c r="Q713" s="475"/>
      <c r="R713" s="475"/>
      <c r="S713" s="475"/>
      <c r="T713" s="475"/>
      <c r="U713" s="475"/>
      <c r="V713" s="475"/>
      <c r="W713" s="475"/>
    </row>
    <row r="714" spans="2:23" s="97" customFormat="1">
      <c r="B714" s="96"/>
      <c r="H714" s="96"/>
      <c r="J714" s="1"/>
      <c r="K714" s="1"/>
      <c r="L714" s="1"/>
      <c r="O714" s="475"/>
      <c r="P714" s="475"/>
      <c r="Q714" s="475"/>
      <c r="R714" s="475"/>
      <c r="S714" s="475"/>
      <c r="T714" s="475"/>
      <c r="U714" s="475"/>
      <c r="V714" s="475"/>
      <c r="W714" s="475"/>
    </row>
    <row r="715" spans="2:23" s="97" customFormat="1">
      <c r="B715" s="96"/>
      <c r="H715" s="96"/>
      <c r="J715" s="1"/>
      <c r="K715" s="1"/>
      <c r="L715" s="1"/>
      <c r="O715" s="475"/>
      <c r="P715" s="475"/>
      <c r="Q715" s="475"/>
      <c r="R715" s="475"/>
      <c r="S715" s="475"/>
      <c r="T715" s="475"/>
      <c r="U715" s="475"/>
      <c r="V715" s="475"/>
      <c r="W715" s="475"/>
    </row>
    <row r="716" spans="2:23" s="97" customFormat="1">
      <c r="B716" s="96"/>
      <c r="H716" s="96"/>
      <c r="J716" s="1"/>
      <c r="K716" s="1"/>
      <c r="L716" s="1"/>
      <c r="O716" s="475"/>
      <c r="P716" s="475"/>
      <c r="Q716" s="475"/>
      <c r="R716" s="475"/>
      <c r="S716" s="475"/>
      <c r="T716" s="475"/>
      <c r="U716" s="475"/>
      <c r="V716" s="475"/>
      <c r="W716" s="475"/>
    </row>
    <row r="717" spans="2:23" s="97" customFormat="1">
      <c r="B717" s="96"/>
      <c r="H717" s="96"/>
      <c r="J717" s="1"/>
      <c r="K717" s="1"/>
      <c r="L717" s="1"/>
      <c r="O717" s="475"/>
      <c r="P717" s="475"/>
      <c r="Q717" s="475"/>
      <c r="R717" s="475"/>
      <c r="S717" s="475"/>
      <c r="T717" s="475"/>
      <c r="U717" s="475"/>
      <c r="V717" s="475"/>
      <c r="W717" s="475"/>
    </row>
    <row r="718" spans="2:23" s="97" customFormat="1">
      <c r="B718" s="96"/>
      <c r="H718" s="96"/>
      <c r="J718" s="1"/>
      <c r="K718" s="1"/>
      <c r="L718" s="1"/>
      <c r="O718" s="475"/>
      <c r="P718" s="475"/>
      <c r="Q718" s="475"/>
      <c r="R718" s="475"/>
      <c r="S718" s="475"/>
      <c r="T718" s="475"/>
      <c r="U718" s="475"/>
      <c r="V718" s="475"/>
      <c r="W718" s="475"/>
    </row>
    <row r="719" spans="2:23" s="97" customFormat="1">
      <c r="B719" s="96"/>
      <c r="H719" s="96"/>
      <c r="J719" s="1"/>
      <c r="K719" s="1"/>
      <c r="L719" s="1"/>
      <c r="O719" s="475"/>
      <c r="P719" s="475"/>
      <c r="Q719" s="475"/>
      <c r="R719" s="475"/>
      <c r="S719" s="475"/>
      <c r="T719" s="475"/>
      <c r="U719" s="475"/>
      <c r="V719" s="475"/>
      <c r="W719" s="475"/>
    </row>
    <row r="720" spans="2:23" s="97" customFormat="1">
      <c r="B720" s="96"/>
      <c r="H720" s="96"/>
      <c r="J720" s="1"/>
      <c r="K720" s="1"/>
      <c r="L720" s="1"/>
      <c r="O720" s="475"/>
      <c r="P720" s="475"/>
      <c r="Q720" s="475"/>
      <c r="R720" s="475"/>
      <c r="S720" s="475"/>
      <c r="T720" s="475"/>
      <c r="U720" s="475"/>
      <c r="V720" s="475"/>
      <c r="W720" s="475"/>
    </row>
    <row r="721" spans="2:23" s="97" customFormat="1">
      <c r="B721" s="96"/>
      <c r="H721" s="96"/>
      <c r="J721" s="1"/>
      <c r="K721" s="1"/>
      <c r="L721" s="1"/>
      <c r="O721" s="475"/>
      <c r="P721" s="475"/>
      <c r="Q721" s="475"/>
      <c r="R721" s="475"/>
      <c r="S721" s="475"/>
      <c r="T721" s="475"/>
      <c r="U721" s="475"/>
      <c r="V721" s="475"/>
      <c r="W721" s="475"/>
    </row>
    <row r="722" spans="2:23" s="97" customFormat="1">
      <c r="B722" s="96"/>
      <c r="H722" s="96"/>
      <c r="J722" s="1"/>
      <c r="K722" s="1"/>
      <c r="L722" s="1"/>
      <c r="O722" s="475"/>
      <c r="P722" s="475"/>
      <c r="Q722" s="475"/>
      <c r="R722" s="475"/>
      <c r="S722" s="475"/>
      <c r="T722" s="475"/>
      <c r="U722" s="475"/>
      <c r="V722" s="475"/>
      <c r="W722" s="475"/>
    </row>
    <row r="723" spans="2:23" s="97" customFormat="1">
      <c r="B723" s="96"/>
      <c r="H723" s="96"/>
      <c r="J723" s="1"/>
      <c r="K723" s="1"/>
      <c r="L723" s="1"/>
      <c r="O723" s="475"/>
      <c r="P723" s="475"/>
      <c r="Q723" s="475"/>
      <c r="R723" s="475"/>
      <c r="S723" s="475"/>
      <c r="T723" s="475"/>
      <c r="U723" s="475"/>
      <c r="V723" s="475"/>
      <c r="W723" s="475"/>
    </row>
    <row r="724" spans="2:23" s="97" customFormat="1">
      <c r="B724" s="96"/>
      <c r="H724" s="96"/>
      <c r="J724" s="1"/>
      <c r="K724" s="1"/>
      <c r="L724" s="1"/>
      <c r="O724" s="475"/>
      <c r="P724" s="475"/>
      <c r="Q724" s="475"/>
      <c r="R724" s="475"/>
      <c r="S724" s="475"/>
      <c r="T724" s="475"/>
      <c r="U724" s="475"/>
      <c r="V724" s="475"/>
      <c r="W724" s="475"/>
    </row>
    <row r="725" spans="2:23" s="97" customFormat="1">
      <c r="B725" s="96"/>
      <c r="H725" s="96"/>
      <c r="J725" s="1"/>
      <c r="K725" s="1"/>
      <c r="L725" s="1"/>
      <c r="O725" s="475"/>
      <c r="P725" s="475"/>
      <c r="Q725" s="475"/>
      <c r="R725" s="475"/>
      <c r="S725" s="475"/>
      <c r="T725" s="475"/>
      <c r="U725" s="475"/>
      <c r="V725" s="475"/>
      <c r="W725" s="475"/>
    </row>
    <row r="726" spans="2:23" s="97" customFormat="1">
      <c r="B726" s="96"/>
      <c r="H726" s="96"/>
      <c r="J726" s="1"/>
      <c r="K726" s="1"/>
      <c r="L726" s="1"/>
      <c r="O726" s="475"/>
      <c r="P726" s="475"/>
      <c r="Q726" s="475"/>
      <c r="R726" s="475"/>
      <c r="S726" s="475"/>
      <c r="T726" s="475"/>
      <c r="U726" s="475"/>
      <c r="V726" s="475"/>
      <c r="W726" s="475"/>
    </row>
    <row r="727" spans="2:23" s="97" customFormat="1">
      <c r="B727" s="96"/>
      <c r="H727" s="96"/>
      <c r="J727" s="1"/>
      <c r="K727" s="1"/>
      <c r="L727" s="1"/>
      <c r="O727" s="475"/>
      <c r="P727" s="475"/>
      <c r="Q727" s="475"/>
      <c r="R727" s="475"/>
      <c r="S727" s="475"/>
      <c r="T727" s="475"/>
      <c r="U727" s="475"/>
      <c r="V727" s="475"/>
      <c r="W727" s="475"/>
    </row>
    <row r="728" spans="2:23" s="97" customFormat="1">
      <c r="B728" s="96"/>
      <c r="H728" s="96"/>
      <c r="J728" s="1"/>
      <c r="K728" s="1"/>
      <c r="L728" s="1"/>
      <c r="O728" s="475"/>
      <c r="P728" s="475"/>
      <c r="Q728" s="475"/>
      <c r="R728" s="475"/>
      <c r="S728" s="475"/>
      <c r="T728" s="475"/>
      <c r="U728" s="475"/>
      <c r="V728" s="475"/>
      <c r="W728" s="475"/>
    </row>
    <row r="729" spans="2:23" s="97" customFormat="1">
      <c r="B729" s="96"/>
      <c r="H729" s="96"/>
      <c r="J729" s="1"/>
      <c r="K729" s="1"/>
      <c r="L729" s="1"/>
      <c r="O729" s="475"/>
      <c r="P729" s="475"/>
      <c r="Q729" s="475"/>
      <c r="R729" s="475"/>
      <c r="S729" s="475"/>
      <c r="T729" s="475"/>
      <c r="U729" s="475"/>
      <c r="V729" s="475"/>
      <c r="W729" s="475"/>
    </row>
    <row r="730" spans="2:23" s="97" customFormat="1">
      <c r="B730" s="96"/>
      <c r="H730" s="96"/>
      <c r="J730" s="1"/>
      <c r="K730" s="1"/>
      <c r="L730" s="1"/>
      <c r="O730" s="475"/>
      <c r="P730" s="475"/>
      <c r="Q730" s="475"/>
      <c r="R730" s="475"/>
      <c r="S730" s="475"/>
      <c r="T730" s="475"/>
      <c r="U730" s="475"/>
      <c r="V730" s="475"/>
      <c r="W730" s="475"/>
    </row>
    <row r="731" spans="2:23" s="97" customFormat="1">
      <c r="B731" s="96"/>
      <c r="H731" s="96"/>
      <c r="J731" s="1"/>
      <c r="K731" s="1"/>
      <c r="L731" s="1"/>
      <c r="O731" s="475"/>
      <c r="P731" s="475"/>
      <c r="Q731" s="475"/>
      <c r="R731" s="475"/>
      <c r="S731" s="475"/>
      <c r="T731" s="475"/>
      <c r="U731" s="475"/>
      <c r="V731" s="475"/>
      <c r="W731" s="475"/>
    </row>
    <row r="732" spans="2:23" s="97" customFormat="1">
      <c r="B732" s="96"/>
      <c r="H732" s="96"/>
      <c r="J732" s="1"/>
      <c r="K732" s="1"/>
      <c r="L732" s="1"/>
      <c r="O732" s="475"/>
      <c r="P732" s="475"/>
      <c r="Q732" s="475"/>
      <c r="R732" s="475"/>
      <c r="S732" s="475"/>
      <c r="T732" s="475"/>
      <c r="U732" s="475"/>
      <c r="V732" s="475"/>
      <c r="W732" s="475"/>
    </row>
    <row r="733" spans="2:23" s="97" customFormat="1">
      <c r="B733" s="96"/>
      <c r="H733" s="96"/>
      <c r="J733" s="1"/>
      <c r="K733" s="1"/>
      <c r="L733" s="1"/>
      <c r="O733" s="475"/>
      <c r="P733" s="475"/>
      <c r="Q733" s="475"/>
      <c r="R733" s="475"/>
      <c r="S733" s="475"/>
      <c r="T733" s="475"/>
      <c r="U733" s="475"/>
      <c r="V733" s="475"/>
      <c r="W733" s="475"/>
    </row>
    <row r="734" spans="2:23" s="97" customFormat="1">
      <c r="B734" s="96"/>
      <c r="H734" s="96"/>
      <c r="J734" s="1"/>
      <c r="K734" s="1"/>
      <c r="L734" s="1"/>
      <c r="O734" s="475"/>
      <c r="P734" s="475"/>
      <c r="Q734" s="475"/>
      <c r="R734" s="475"/>
      <c r="S734" s="475"/>
      <c r="T734" s="475"/>
      <c r="U734" s="475"/>
      <c r="V734" s="475"/>
      <c r="W734" s="475"/>
    </row>
    <row r="735" spans="2:23" s="97" customFormat="1">
      <c r="B735" s="96"/>
      <c r="H735" s="96"/>
      <c r="J735" s="1"/>
      <c r="K735" s="1"/>
      <c r="L735" s="1"/>
      <c r="O735" s="475"/>
      <c r="P735" s="475"/>
      <c r="Q735" s="475"/>
      <c r="R735" s="475"/>
      <c r="S735" s="475"/>
      <c r="T735" s="475"/>
      <c r="U735" s="475"/>
      <c r="V735" s="475"/>
      <c r="W735" s="475"/>
    </row>
    <row r="736" spans="2:23" s="97" customFormat="1">
      <c r="B736" s="96"/>
      <c r="H736" s="96"/>
      <c r="J736" s="1"/>
      <c r="K736" s="1"/>
      <c r="L736" s="1"/>
      <c r="O736" s="475"/>
      <c r="P736" s="475"/>
      <c r="Q736" s="475"/>
      <c r="R736" s="475"/>
      <c r="S736" s="475"/>
      <c r="T736" s="475"/>
      <c r="U736" s="475"/>
      <c r="V736" s="475"/>
      <c r="W736" s="475"/>
    </row>
    <row r="737" spans="2:23" s="97" customFormat="1">
      <c r="B737" s="96"/>
      <c r="H737" s="96"/>
      <c r="J737" s="1"/>
      <c r="K737" s="1"/>
      <c r="L737" s="1"/>
      <c r="O737" s="475"/>
      <c r="P737" s="475"/>
      <c r="Q737" s="475"/>
      <c r="R737" s="475"/>
      <c r="S737" s="475"/>
      <c r="T737" s="475"/>
      <c r="U737" s="475"/>
      <c r="V737" s="475"/>
      <c r="W737" s="475"/>
    </row>
    <row r="738" spans="2:23" s="97" customFormat="1">
      <c r="B738" s="96"/>
      <c r="H738" s="96"/>
      <c r="J738" s="1"/>
      <c r="K738" s="1"/>
      <c r="L738" s="1"/>
      <c r="O738" s="475"/>
      <c r="P738" s="475"/>
      <c r="Q738" s="475"/>
      <c r="R738" s="475"/>
      <c r="S738" s="475"/>
      <c r="T738" s="475"/>
      <c r="U738" s="475"/>
      <c r="V738" s="475"/>
      <c r="W738" s="475"/>
    </row>
    <row r="739" spans="2:23" s="97" customFormat="1">
      <c r="B739" s="96"/>
      <c r="H739" s="96"/>
      <c r="J739" s="1"/>
      <c r="K739" s="1"/>
      <c r="L739" s="1"/>
      <c r="O739" s="475"/>
      <c r="P739" s="475"/>
      <c r="Q739" s="475"/>
      <c r="R739" s="475"/>
      <c r="S739" s="475"/>
      <c r="T739" s="475"/>
      <c r="U739" s="475"/>
      <c r="V739" s="475"/>
      <c r="W739" s="475"/>
    </row>
    <row r="740" spans="2:23" s="97" customFormat="1">
      <c r="B740" s="96"/>
      <c r="H740" s="96"/>
      <c r="J740" s="1"/>
      <c r="K740" s="1"/>
      <c r="L740" s="1"/>
      <c r="O740" s="475"/>
      <c r="P740" s="475"/>
      <c r="Q740" s="475"/>
      <c r="R740" s="475"/>
      <c r="S740" s="475"/>
      <c r="T740" s="475"/>
      <c r="U740" s="475"/>
      <c r="V740" s="475"/>
      <c r="W740" s="475"/>
    </row>
    <row r="741" spans="2:23" s="97" customFormat="1">
      <c r="B741" s="96"/>
      <c r="H741" s="96"/>
      <c r="J741" s="1"/>
      <c r="K741" s="1"/>
      <c r="L741" s="1"/>
      <c r="O741" s="475"/>
      <c r="P741" s="475"/>
      <c r="Q741" s="475"/>
      <c r="R741" s="475"/>
      <c r="S741" s="475"/>
      <c r="T741" s="475"/>
      <c r="U741" s="475"/>
      <c r="V741" s="475"/>
      <c r="W741" s="475"/>
    </row>
    <row r="742" spans="2:23" s="97" customFormat="1">
      <c r="B742" s="96"/>
      <c r="H742" s="96"/>
      <c r="J742" s="1"/>
      <c r="K742" s="1"/>
      <c r="L742" s="1"/>
      <c r="O742" s="475"/>
      <c r="P742" s="475"/>
      <c r="Q742" s="475"/>
      <c r="R742" s="475"/>
      <c r="S742" s="475"/>
      <c r="T742" s="475"/>
      <c r="U742" s="475"/>
      <c r="V742" s="475"/>
      <c r="W742" s="475"/>
    </row>
    <row r="743" spans="2:23" s="97" customFormat="1">
      <c r="B743" s="96"/>
      <c r="H743" s="96"/>
      <c r="J743" s="1"/>
      <c r="K743" s="1"/>
      <c r="L743" s="1"/>
      <c r="O743" s="475"/>
      <c r="P743" s="475"/>
      <c r="Q743" s="475"/>
      <c r="R743" s="475"/>
      <c r="S743" s="475"/>
      <c r="T743" s="475"/>
      <c r="U743" s="475"/>
      <c r="V743" s="475"/>
      <c r="W743" s="475"/>
    </row>
    <row r="744" spans="2:23" s="97" customFormat="1">
      <c r="B744" s="96"/>
      <c r="H744" s="96"/>
      <c r="J744" s="1"/>
      <c r="K744" s="1"/>
      <c r="L744" s="1"/>
      <c r="O744" s="475"/>
      <c r="P744" s="475"/>
      <c r="Q744" s="475"/>
      <c r="R744" s="475"/>
      <c r="S744" s="475"/>
      <c r="T744" s="475"/>
      <c r="U744" s="475"/>
      <c r="V744" s="475"/>
      <c r="W744" s="475"/>
    </row>
    <row r="745" spans="2:23" s="97" customFormat="1">
      <c r="B745" s="96"/>
      <c r="H745" s="96"/>
      <c r="J745" s="1"/>
      <c r="K745" s="1"/>
      <c r="L745" s="1"/>
      <c r="O745" s="475"/>
      <c r="P745" s="475"/>
      <c r="Q745" s="475"/>
      <c r="R745" s="475"/>
      <c r="S745" s="475"/>
      <c r="T745" s="475"/>
      <c r="U745" s="475"/>
      <c r="V745" s="475"/>
      <c r="W745" s="475"/>
    </row>
    <row r="746" spans="2:23" s="97" customFormat="1">
      <c r="B746" s="96"/>
      <c r="H746" s="96"/>
      <c r="J746" s="1"/>
      <c r="K746" s="1"/>
      <c r="L746" s="1"/>
      <c r="O746" s="475"/>
      <c r="P746" s="475"/>
      <c r="Q746" s="475"/>
      <c r="R746" s="475"/>
      <c r="S746" s="475"/>
      <c r="T746" s="475"/>
      <c r="U746" s="475"/>
      <c r="V746" s="475"/>
      <c r="W746" s="475"/>
    </row>
    <row r="747" spans="2:23" s="97" customFormat="1">
      <c r="B747" s="96"/>
      <c r="H747" s="96"/>
      <c r="J747" s="1"/>
      <c r="K747" s="1"/>
      <c r="L747" s="1"/>
      <c r="O747" s="475"/>
      <c r="P747" s="475"/>
      <c r="Q747" s="475"/>
      <c r="R747" s="475"/>
      <c r="S747" s="475"/>
      <c r="T747" s="475"/>
      <c r="U747" s="475"/>
      <c r="V747" s="475"/>
      <c r="W747" s="475"/>
    </row>
    <row r="748" spans="2:23" s="97" customFormat="1">
      <c r="B748" s="96"/>
      <c r="H748" s="96"/>
      <c r="J748" s="1"/>
      <c r="K748" s="1"/>
      <c r="L748" s="1"/>
      <c r="O748" s="475"/>
      <c r="P748" s="475"/>
      <c r="Q748" s="475"/>
      <c r="R748" s="475"/>
      <c r="S748" s="475"/>
      <c r="T748" s="475"/>
      <c r="U748" s="475"/>
      <c r="V748" s="475"/>
      <c r="W748" s="475"/>
    </row>
    <row r="749" spans="2:23" s="97" customFormat="1">
      <c r="B749" s="96"/>
      <c r="H749" s="96"/>
      <c r="J749" s="1"/>
      <c r="K749" s="1"/>
      <c r="L749" s="1"/>
      <c r="O749" s="475"/>
      <c r="P749" s="475"/>
      <c r="Q749" s="475"/>
      <c r="R749" s="475"/>
      <c r="S749" s="475"/>
      <c r="T749" s="475"/>
      <c r="U749" s="475"/>
      <c r="V749" s="475"/>
      <c r="W749" s="475"/>
    </row>
    <row r="750" spans="2:23" s="97" customFormat="1">
      <c r="B750" s="96"/>
      <c r="H750" s="96"/>
      <c r="J750" s="1"/>
      <c r="K750" s="1"/>
      <c r="L750" s="1"/>
      <c r="O750" s="475"/>
      <c r="P750" s="475"/>
      <c r="Q750" s="475"/>
      <c r="R750" s="475"/>
      <c r="S750" s="475"/>
      <c r="T750" s="475"/>
      <c r="U750" s="475"/>
      <c r="V750" s="475"/>
      <c r="W750" s="475"/>
    </row>
    <row r="751" spans="2:23" s="97" customFormat="1">
      <c r="B751" s="96"/>
      <c r="H751" s="96"/>
      <c r="J751" s="1"/>
      <c r="K751" s="1"/>
      <c r="L751" s="1"/>
      <c r="O751" s="475"/>
      <c r="P751" s="475"/>
      <c r="Q751" s="475"/>
      <c r="R751" s="475"/>
      <c r="S751" s="475"/>
      <c r="T751" s="475"/>
      <c r="U751" s="475"/>
      <c r="V751" s="475"/>
      <c r="W751" s="475"/>
    </row>
    <row r="752" spans="2:23" s="97" customFormat="1">
      <c r="B752" s="96"/>
      <c r="H752" s="96"/>
      <c r="J752" s="1"/>
      <c r="K752" s="1"/>
      <c r="L752" s="1"/>
      <c r="O752" s="475"/>
      <c r="P752" s="475"/>
      <c r="Q752" s="475"/>
      <c r="R752" s="475"/>
      <c r="S752" s="475"/>
      <c r="T752" s="475"/>
      <c r="U752" s="475"/>
      <c r="V752" s="475"/>
      <c r="W752" s="475"/>
    </row>
    <row r="753" spans="2:23" s="97" customFormat="1">
      <c r="B753" s="96"/>
      <c r="H753" s="96"/>
      <c r="J753" s="1"/>
      <c r="K753" s="1"/>
      <c r="L753" s="1"/>
      <c r="O753" s="475"/>
      <c r="P753" s="475"/>
      <c r="Q753" s="475"/>
      <c r="R753" s="475"/>
      <c r="S753" s="475"/>
      <c r="T753" s="475"/>
      <c r="U753" s="475"/>
      <c r="V753" s="475"/>
      <c r="W753" s="475"/>
    </row>
    <row r="754" spans="2:23" s="97" customFormat="1">
      <c r="B754" s="96"/>
      <c r="H754" s="96"/>
      <c r="J754" s="1"/>
      <c r="K754" s="1"/>
      <c r="L754" s="1"/>
      <c r="O754" s="475"/>
      <c r="P754" s="475"/>
      <c r="Q754" s="475"/>
      <c r="R754" s="475"/>
      <c r="S754" s="475"/>
      <c r="T754" s="475"/>
      <c r="U754" s="475"/>
      <c r="V754" s="475"/>
      <c r="W754" s="475"/>
    </row>
    <row r="755" spans="2:23" s="97" customFormat="1">
      <c r="B755" s="96"/>
      <c r="H755" s="96"/>
      <c r="J755" s="1"/>
      <c r="K755" s="1"/>
      <c r="L755" s="1"/>
      <c r="O755" s="475"/>
      <c r="P755" s="475"/>
      <c r="Q755" s="475"/>
      <c r="R755" s="475"/>
      <c r="S755" s="475"/>
      <c r="T755" s="475"/>
      <c r="U755" s="475"/>
      <c r="V755" s="475"/>
      <c r="W755" s="475"/>
    </row>
    <row r="756" spans="2:23" s="97" customFormat="1">
      <c r="B756" s="96"/>
      <c r="H756" s="96"/>
      <c r="J756" s="1"/>
      <c r="K756" s="1"/>
      <c r="L756" s="1"/>
      <c r="O756" s="475"/>
      <c r="P756" s="475"/>
      <c r="Q756" s="475"/>
      <c r="R756" s="475"/>
      <c r="S756" s="475"/>
      <c r="T756" s="475"/>
      <c r="U756" s="475"/>
      <c r="V756" s="475"/>
      <c r="W756" s="475"/>
    </row>
    <row r="757" spans="2:23" s="97" customFormat="1">
      <c r="B757" s="96"/>
      <c r="H757" s="96"/>
      <c r="J757" s="1"/>
      <c r="K757" s="1"/>
      <c r="L757" s="1"/>
      <c r="O757" s="475"/>
      <c r="P757" s="475"/>
      <c r="Q757" s="475"/>
      <c r="R757" s="475"/>
      <c r="S757" s="475"/>
      <c r="T757" s="475"/>
      <c r="U757" s="475"/>
      <c r="V757" s="475"/>
      <c r="W757" s="475"/>
    </row>
    <row r="758" spans="2:23" s="97" customFormat="1">
      <c r="B758" s="96"/>
      <c r="H758" s="96"/>
      <c r="J758" s="1"/>
      <c r="K758" s="1"/>
      <c r="L758" s="1"/>
      <c r="O758" s="475"/>
      <c r="P758" s="475"/>
      <c r="Q758" s="475"/>
      <c r="R758" s="475"/>
      <c r="S758" s="475"/>
      <c r="T758" s="475"/>
      <c r="U758" s="475"/>
      <c r="V758" s="475"/>
      <c r="W758" s="475"/>
    </row>
    <row r="759" spans="2:23" s="97" customFormat="1">
      <c r="B759" s="96"/>
      <c r="H759" s="96"/>
      <c r="J759" s="1"/>
      <c r="K759" s="1"/>
      <c r="L759" s="1"/>
      <c r="O759" s="475"/>
      <c r="P759" s="475"/>
      <c r="Q759" s="475"/>
      <c r="R759" s="475"/>
      <c r="S759" s="475"/>
      <c r="T759" s="475"/>
      <c r="U759" s="475"/>
      <c r="V759" s="475"/>
      <c r="W759" s="475"/>
    </row>
    <row r="760" spans="2:23" s="97" customFormat="1">
      <c r="B760" s="96"/>
      <c r="H760" s="96"/>
      <c r="J760" s="1"/>
      <c r="K760" s="1"/>
      <c r="L760" s="1"/>
      <c r="O760" s="475"/>
      <c r="P760" s="475"/>
      <c r="Q760" s="475"/>
      <c r="R760" s="475"/>
      <c r="S760" s="475"/>
      <c r="T760" s="475"/>
      <c r="U760" s="475"/>
      <c r="V760" s="475"/>
      <c r="W760" s="475"/>
    </row>
    <row r="761" spans="2:23" s="97" customFormat="1">
      <c r="B761" s="96"/>
      <c r="H761" s="96"/>
      <c r="J761" s="1"/>
      <c r="K761" s="1"/>
      <c r="L761" s="1"/>
      <c r="O761" s="475"/>
      <c r="P761" s="475"/>
      <c r="Q761" s="475"/>
      <c r="R761" s="475"/>
      <c r="S761" s="475"/>
      <c r="T761" s="475"/>
      <c r="U761" s="475"/>
      <c r="V761" s="475"/>
      <c r="W761" s="475"/>
    </row>
    <row r="762" spans="2:23" s="97" customFormat="1">
      <c r="B762" s="96"/>
      <c r="H762" s="96"/>
      <c r="J762" s="1"/>
      <c r="K762" s="1"/>
      <c r="L762" s="1"/>
      <c r="O762" s="475"/>
      <c r="P762" s="475"/>
      <c r="Q762" s="475"/>
      <c r="R762" s="475"/>
      <c r="S762" s="475"/>
      <c r="T762" s="475"/>
      <c r="U762" s="475"/>
      <c r="V762" s="475"/>
      <c r="W762" s="475"/>
    </row>
    <row r="763" spans="2:23" s="97" customFormat="1">
      <c r="B763" s="96"/>
      <c r="H763" s="96"/>
      <c r="J763" s="1"/>
      <c r="K763" s="1"/>
      <c r="L763" s="1"/>
      <c r="O763" s="475"/>
      <c r="P763" s="475"/>
      <c r="Q763" s="475"/>
      <c r="R763" s="475"/>
      <c r="S763" s="475"/>
      <c r="T763" s="475"/>
      <c r="U763" s="475"/>
      <c r="V763" s="475"/>
      <c r="W763" s="475"/>
    </row>
    <row r="764" spans="2:23" s="97" customFormat="1">
      <c r="B764" s="96"/>
      <c r="H764" s="96"/>
      <c r="J764" s="1"/>
      <c r="K764" s="1"/>
      <c r="L764" s="1"/>
      <c r="O764" s="475"/>
      <c r="P764" s="475"/>
      <c r="Q764" s="475"/>
      <c r="R764" s="475"/>
      <c r="S764" s="475"/>
      <c r="T764" s="475"/>
      <c r="U764" s="475"/>
      <c r="V764" s="475"/>
      <c r="W764" s="475"/>
    </row>
    <row r="765" spans="2:23" s="97" customFormat="1">
      <c r="B765" s="96"/>
      <c r="H765" s="96"/>
      <c r="J765" s="1"/>
      <c r="K765" s="1"/>
      <c r="L765" s="1"/>
      <c r="O765" s="475"/>
      <c r="P765" s="475"/>
      <c r="Q765" s="475"/>
      <c r="R765" s="475"/>
      <c r="S765" s="475"/>
      <c r="T765" s="475"/>
      <c r="U765" s="475"/>
      <c r="V765" s="475"/>
      <c r="W765" s="475"/>
    </row>
    <row r="766" spans="2:23" s="97" customFormat="1">
      <c r="B766" s="96"/>
      <c r="H766" s="96"/>
      <c r="J766" s="1"/>
      <c r="K766" s="1"/>
      <c r="L766" s="1"/>
      <c r="O766" s="475"/>
      <c r="P766" s="475"/>
      <c r="Q766" s="475"/>
      <c r="R766" s="475"/>
      <c r="S766" s="475"/>
      <c r="T766" s="475"/>
      <c r="U766" s="475"/>
      <c r="V766" s="475"/>
      <c r="W766" s="475"/>
    </row>
    <row r="767" spans="2:23" s="97" customFormat="1">
      <c r="B767" s="96"/>
      <c r="H767" s="96"/>
      <c r="J767" s="1"/>
      <c r="K767" s="1"/>
      <c r="L767" s="1"/>
      <c r="O767" s="475"/>
      <c r="P767" s="475"/>
      <c r="Q767" s="475"/>
      <c r="R767" s="475"/>
      <c r="S767" s="475"/>
      <c r="T767" s="475"/>
      <c r="U767" s="475"/>
      <c r="V767" s="475"/>
      <c r="W767" s="475"/>
    </row>
    <row r="768" spans="2:23" s="97" customFormat="1">
      <c r="B768" s="96"/>
      <c r="H768" s="96"/>
      <c r="J768" s="1"/>
      <c r="K768" s="1"/>
      <c r="L768" s="1"/>
      <c r="O768" s="475"/>
      <c r="P768" s="475"/>
      <c r="Q768" s="475"/>
      <c r="R768" s="475"/>
      <c r="S768" s="475"/>
      <c r="T768" s="475"/>
      <c r="U768" s="475"/>
      <c r="V768" s="475"/>
      <c r="W768" s="475"/>
    </row>
    <row r="769" spans="2:23" s="97" customFormat="1">
      <c r="B769" s="96"/>
      <c r="H769" s="96"/>
      <c r="J769" s="1"/>
      <c r="K769" s="1"/>
      <c r="L769" s="1"/>
      <c r="O769" s="475"/>
      <c r="P769" s="475"/>
      <c r="Q769" s="475"/>
      <c r="R769" s="475"/>
      <c r="S769" s="475"/>
      <c r="T769" s="475"/>
      <c r="U769" s="475"/>
      <c r="V769" s="475"/>
      <c r="W769" s="475"/>
    </row>
    <row r="770" spans="2:23" s="97" customFormat="1">
      <c r="B770" s="96"/>
      <c r="H770" s="96"/>
      <c r="J770" s="1"/>
      <c r="K770" s="1"/>
      <c r="L770" s="1"/>
      <c r="O770" s="475"/>
      <c r="P770" s="475"/>
      <c r="Q770" s="475"/>
      <c r="R770" s="475"/>
      <c r="S770" s="475"/>
      <c r="T770" s="475"/>
      <c r="U770" s="475"/>
      <c r="V770" s="475"/>
      <c r="W770" s="475"/>
    </row>
    <row r="771" spans="2:23" s="97" customFormat="1">
      <c r="B771" s="96"/>
      <c r="H771" s="96"/>
      <c r="J771" s="1"/>
      <c r="K771" s="1"/>
      <c r="L771" s="1"/>
      <c r="O771" s="475"/>
      <c r="P771" s="475"/>
      <c r="Q771" s="475"/>
      <c r="R771" s="475"/>
      <c r="S771" s="475"/>
      <c r="T771" s="475"/>
      <c r="U771" s="475"/>
      <c r="V771" s="475"/>
      <c r="W771" s="475"/>
    </row>
    <row r="772" spans="2:23" s="97" customFormat="1">
      <c r="B772" s="96"/>
      <c r="H772" s="96"/>
      <c r="J772" s="1"/>
      <c r="K772" s="1"/>
      <c r="L772" s="1"/>
      <c r="O772" s="475"/>
      <c r="P772" s="475"/>
      <c r="Q772" s="475"/>
      <c r="R772" s="475"/>
      <c r="S772" s="475"/>
      <c r="T772" s="475"/>
      <c r="U772" s="475"/>
      <c r="V772" s="475"/>
      <c r="W772" s="475"/>
    </row>
    <row r="773" spans="2:23" s="97" customFormat="1">
      <c r="B773" s="96"/>
      <c r="H773" s="96"/>
      <c r="J773" s="1"/>
      <c r="K773" s="1"/>
      <c r="L773" s="1"/>
      <c r="O773" s="475"/>
      <c r="P773" s="475"/>
      <c r="Q773" s="475"/>
      <c r="R773" s="475"/>
      <c r="S773" s="475"/>
      <c r="T773" s="475"/>
      <c r="U773" s="475"/>
      <c r="V773" s="475"/>
      <c r="W773" s="475"/>
    </row>
    <row r="774" spans="2:23" s="97" customFormat="1">
      <c r="B774" s="96"/>
      <c r="H774" s="96"/>
      <c r="J774" s="1"/>
      <c r="K774" s="1"/>
      <c r="L774" s="1"/>
      <c r="O774" s="475"/>
      <c r="P774" s="475"/>
      <c r="Q774" s="475"/>
      <c r="R774" s="475"/>
      <c r="S774" s="475"/>
      <c r="T774" s="475"/>
      <c r="U774" s="475"/>
      <c r="V774" s="475"/>
      <c r="W774" s="475"/>
    </row>
    <row r="775" spans="2:23" s="97" customFormat="1">
      <c r="B775" s="96"/>
      <c r="H775" s="96"/>
      <c r="J775" s="1"/>
      <c r="K775" s="1"/>
      <c r="L775" s="1"/>
      <c r="O775" s="475"/>
      <c r="P775" s="475"/>
      <c r="Q775" s="475"/>
      <c r="R775" s="475"/>
      <c r="S775" s="475"/>
      <c r="T775" s="475"/>
      <c r="U775" s="475"/>
      <c r="V775" s="475"/>
      <c r="W775" s="475"/>
    </row>
    <row r="776" spans="2:23" s="97" customFormat="1">
      <c r="B776" s="96"/>
      <c r="H776" s="96"/>
      <c r="J776" s="1"/>
      <c r="K776" s="1"/>
      <c r="L776" s="1"/>
      <c r="O776" s="475"/>
      <c r="P776" s="475"/>
      <c r="Q776" s="475"/>
      <c r="R776" s="475"/>
      <c r="S776" s="475"/>
      <c r="T776" s="475"/>
      <c r="U776" s="475"/>
      <c r="V776" s="475"/>
      <c r="W776" s="475"/>
    </row>
    <row r="777" spans="2:23" s="97" customFormat="1">
      <c r="B777" s="96"/>
      <c r="H777" s="96"/>
      <c r="J777" s="1"/>
      <c r="K777" s="1"/>
      <c r="L777" s="1"/>
      <c r="O777" s="475"/>
      <c r="P777" s="475"/>
      <c r="Q777" s="475"/>
      <c r="R777" s="475"/>
      <c r="S777" s="475"/>
      <c r="T777" s="475"/>
      <c r="U777" s="475"/>
      <c r="V777" s="475"/>
      <c r="W777" s="475"/>
    </row>
    <row r="778" spans="2:23" s="97" customFormat="1">
      <c r="B778" s="96"/>
      <c r="H778" s="96"/>
      <c r="J778" s="1"/>
      <c r="K778" s="1"/>
      <c r="L778" s="1"/>
      <c r="O778" s="475"/>
      <c r="P778" s="475"/>
      <c r="Q778" s="475"/>
      <c r="R778" s="475"/>
      <c r="S778" s="475"/>
      <c r="T778" s="475"/>
      <c r="U778" s="475"/>
      <c r="V778" s="475"/>
      <c r="W778" s="475"/>
    </row>
    <row r="779" spans="2:23" s="97" customFormat="1">
      <c r="B779" s="96"/>
      <c r="H779" s="96"/>
      <c r="J779" s="1"/>
      <c r="K779" s="1"/>
      <c r="L779" s="1"/>
      <c r="O779" s="475"/>
      <c r="P779" s="475"/>
      <c r="Q779" s="475"/>
      <c r="R779" s="475"/>
      <c r="S779" s="475"/>
      <c r="T779" s="475"/>
      <c r="U779" s="475"/>
      <c r="V779" s="475"/>
      <c r="W779" s="475"/>
    </row>
    <row r="780" spans="2:23" s="97" customFormat="1">
      <c r="B780" s="96"/>
      <c r="H780" s="96"/>
      <c r="J780" s="1"/>
      <c r="K780" s="1"/>
      <c r="L780" s="1"/>
      <c r="O780" s="475"/>
      <c r="P780" s="475"/>
      <c r="Q780" s="475"/>
      <c r="R780" s="475"/>
      <c r="S780" s="475"/>
      <c r="T780" s="475"/>
      <c r="U780" s="475"/>
      <c r="V780" s="475"/>
      <c r="W780" s="475"/>
    </row>
    <row r="781" spans="2:23" s="97" customFormat="1">
      <c r="B781" s="96"/>
      <c r="H781" s="96"/>
      <c r="J781" s="1"/>
      <c r="K781" s="1"/>
      <c r="L781" s="1"/>
      <c r="O781" s="475"/>
      <c r="P781" s="475"/>
      <c r="Q781" s="475"/>
      <c r="R781" s="475"/>
      <c r="S781" s="475"/>
      <c r="T781" s="475"/>
      <c r="U781" s="475"/>
      <c r="V781" s="475"/>
      <c r="W781" s="475"/>
    </row>
    <row r="782" spans="2:23" s="97" customFormat="1">
      <c r="B782" s="96"/>
      <c r="H782" s="96"/>
      <c r="J782" s="1"/>
      <c r="K782" s="1"/>
      <c r="L782" s="1"/>
      <c r="O782" s="475"/>
      <c r="P782" s="475"/>
      <c r="Q782" s="475"/>
      <c r="R782" s="475"/>
      <c r="S782" s="475"/>
      <c r="T782" s="475"/>
      <c r="U782" s="475"/>
      <c r="V782" s="475"/>
      <c r="W782" s="475"/>
    </row>
    <row r="783" spans="2:23" s="97" customFormat="1">
      <c r="B783" s="96"/>
      <c r="H783" s="96"/>
      <c r="J783" s="1"/>
      <c r="K783" s="1"/>
      <c r="L783" s="1"/>
      <c r="O783" s="475"/>
      <c r="P783" s="475"/>
      <c r="Q783" s="475"/>
      <c r="R783" s="475"/>
      <c r="S783" s="475"/>
      <c r="T783" s="475"/>
      <c r="U783" s="475"/>
      <c r="V783" s="475"/>
      <c r="W783" s="475"/>
    </row>
    <row r="784" spans="2:23" s="97" customFormat="1">
      <c r="B784" s="96"/>
      <c r="H784" s="96"/>
      <c r="J784" s="1"/>
      <c r="K784" s="1"/>
      <c r="L784" s="1"/>
      <c r="O784" s="475"/>
      <c r="P784" s="475"/>
      <c r="Q784" s="475"/>
      <c r="R784" s="475"/>
      <c r="S784" s="475"/>
      <c r="T784" s="475"/>
      <c r="U784" s="475"/>
      <c r="V784" s="475"/>
      <c r="W784" s="475"/>
    </row>
    <row r="785" spans="2:23" s="97" customFormat="1">
      <c r="B785" s="96"/>
      <c r="H785" s="96"/>
      <c r="J785" s="1"/>
      <c r="K785" s="1"/>
      <c r="L785" s="1"/>
      <c r="O785" s="475"/>
      <c r="P785" s="475"/>
      <c r="Q785" s="475"/>
      <c r="R785" s="475"/>
      <c r="S785" s="475"/>
      <c r="T785" s="475"/>
      <c r="U785" s="475"/>
      <c r="V785" s="475"/>
      <c r="W785" s="475"/>
    </row>
    <row r="786" spans="2:23" s="97" customFormat="1">
      <c r="B786" s="96"/>
      <c r="H786" s="96"/>
      <c r="J786" s="1"/>
      <c r="K786" s="1"/>
      <c r="L786" s="1"/>
      <c r="O786" s="475"/>
      <c r="P786" s="475"/>
      <c r="Q786" s="475"/>
      <c r="R786" s="475"/>
      <c r="S786" s="475"/>
      <c r="T786" s="475"/>
      <c r="U786" s="475"/>
      <c r="V786" s="475"/>
      <c r="W786" s="475"/>
    </row>
    <row r="787" spans="2:23" s="97" customFormat="1">
      <c r="B787" s="96"/>
      <c r="H787" s="96"/>
      <c r="J787" s="1"/>
      <c r="K787" s="1"/>
      <c r="L787" s="1"/>
      <c r="O787" s="475"/>
      <c r="P787" s="475"/>
      <c r="Q787" s="475"/>
      <c r="R787" s="475"/>
      <c r="S787" s="475"/>
      <c r="T787" s="475"/>
      <c r="U787" s="475"/>
      <c r="V787" s="475"/>
      <c r="W787" s="475"/>
    </row>
    <row r="788" spans="2:23" s="97" customFormat="1">
      <c r="B788" s="96"/>
      <c r="H788" s="96"/>
      <c r="J788" s="1"/>
      <c r="K788" s="1"/>
      <c r="L788" s="1"/>
      <c r="O788" s="475"/>
      <c r="P788" s="475"/>
      <c r="Q788" s="475"/>
      <c r="R788" s="475"/>
      <c r="S788" s="475"/>
      <c r="T788" s="475"/>
      <c r="U788" s="475"/>
      <c r="V788" s="475"/>
      <c r="W788" s="475"/>
    </row>
    <row r="789" spans="2:23" s="97" customFormat="1">
      <c r="B789" s="96"/>
      <c r="H789" s="96"/>
      <c r="J789" s="1"/>
      <c r="K789" s="1"/>
      <c r="L789" s="1"/>
      <c r="O789" s="475"/>
      <c r="P789" s="475"/>
      <c r="Q789" s="475"/>
      <c r="R789" s="475"/>
      <c r="S789" s="475"/>
      <c r="T789" s="475"/>
      <c r="U789" s="475"/>
      <c r="V789" s="475"/>
      <c r="W789" s="475"/>
    </row>
    <row r="790" spans="2:23" s="97" customFormat="1">
      <c r="B790" s="96"/>
      <c r="H790" s="96"/>
      <c r="J790" s="1"/>
      <c r="K790" s="1"/>
      <c r="L790" s="1"/>
      <c r="O790" s="475"/>
      <c r="P790" s="475"/>
      <c r="Q790" s="475"/>
      <c r="R790" s="475"/>
      <c r="S790" s="475"/>
      <c r="T790" s="475"/>
      <c r="U790" s="475"/>
      <c r="V790" s="475"/>
      <c r="W790" s="475"/>
    </row>
    <row r="791" spans="2:23" s="97" customFormat="1">
      <c r="B791" s="96"/>
      <c r="H791" s="96"/>
      <c r="J791" s="1"/>
      <c r="K791" s="1"/>
      <c r="L791" s="1"/>
      <c r="O791" s="475"/>
      <c r="P791" s="475"/>
      <c r="Q791" s="475"/>
      <c r="R791" s="475"/>
      <c r="S791" s="475"/>
      <c r="T791" s="475"/>
      <c r="U791" s="475"/>
      <c r="V791" s="475"/>
      <c r="W791" s="475"/>
    </row>
    <row r="792" spans="2:23" s="97" customFormat="1">
      <c r="B792" s="96"/>
      <c r="H792" s="96"/>
      <c r="J792" s="1"/>
      <c r="K792" s="1"/>
      <c r="L792" s="1"/>
      <c r="O792" s="475"/>
      <c r="P792" s="475"/>
      <c r="Q792" s="475"/>
      <c r="R792" s="475"/>
      <c r="S792" s="475"/>
      <c r="T792" s="475"/>
      <c r="U792" s="475"/>
      <c r="V792" s="475"/>
      <c r="W792" s="475"/>
    </row>
    <row r="793" spans="2:23" s="97" customFormat="1">
      <c r="B793" s="96"/>
      <c r="H793" s="96"/>
      <c r="J793" s="1"/>
      <c r="K793" s="1"/>
      <c r="L793" s="1"/>
      <c r="O793" s="475"/>
      <c r="P793" s="475"/>
      <c r="Q793" s="475"/>
      <c r="R793" s="475"/>
      <c r="S793" s="475"/>
      <c r="T793" s="475"/>
      <c r="U793" s="475"/>
      <c r="V793" s="475"/>
      <c r="W793" s="475"/>
    </row>
    <row r="794" spans="2:23" s="97" customFormat="1">
      <c r="B794" s="96"/>
      <c r="H794" s="96"/>
      <c r="J794" s="1"/>
      <c r="K794" s="1"/>
      <c r="L794" s="1"/>
      <c r="O794" s="475"/>
      <c r="P794" s="475"/>
      <c r="Q794" s="475"/>
      <c r="R794" s="475"/>
      <c r="S794" s="475"/>
      <c r="T794" s="475"/>
      <c r="U794" s="475"/>
      <c r="V794" s="475"/>
      <c r="W794" s="475"/>
    </row>
    <row r="795" spans="2:23" s="97" customFormat="1">
      <c r="B795" s="96"/>
      <c r="H795" s="96"/>
      <c r="J795" s="1"/>
      <c r="K795" s="1"/>
      <c r="L795" s="1"/>
      <c r="O795" s="475"/>
      <c r="P795" s="475"/>
      <c r="Q795" s="475"/>
      <c r="R795" s="475"/>
      <c r="S795" s="475"/>
      <c r="T795" s="475"/>
      <c r="U795" s="475"/>
      <c r="V795" s="475"/>
      <c r="W795" s="475"/>
    </row>
    <row r="796" spans="2:23" s="97" customFormat="1">
      <c r="B796" s="96"/>
      <c r="H796" s="96"/>
      <c r="J796" s="1"/>
      <c r="K796" s="1"/>
      <c r="L796" s="1"/>
      <c r="O796" s="475"/>
      <c r="P796" s="475"/>
      <c r="Q796" s="475"/>
      <c r="R796" s="475"/>
      <c r="S796" s="475"/>
      <c r="T796" s="475"/>
      <c r="U796" s="475"/>
      <c r="V796" s="475"/>
      <c r="W796" s="475"/>
    </row>
    <row r="797" spans="2:23" s="97" customFormat="1">
      <c r="B797" s="96"/>
      <c r="H797" s="96"/>
      <c r="J797" s="1"/>
      <c r="K797" s="1"/>
      <c r="L797" s="1"/>
      <c r="O797" s="475"/>
      <c r="P797" s="475"/>
      <c r="Q797" s="475"/>
      <c r="R797" s="475"/>
      <c r="S797" s="475"/>
      <c r="T797" s="475"/>
      <c r="U797" s="475"/>
      <c r="V797" s="475"/>
      <c r="W797" s="475"/>
    </row>
    <row r="798" spans="2:23" s="97" customFormat="1">
      <c r="B798" s="96"/>
      <c r="H798" s="96"/>
      <c r="J798" s="1"/>
      <c r="K798" s="1"/>
      <c r="L798" s="1"/>
      <c r="O798" s="475"/>
      <c r="P798" s="475"/>
      <c r="Q798" s="475"/>
      <c r="R798" s="475"/>
      <c r="S798" s="475"/>
      <c r="T798" s="475"/>
      <c r="U798" s="475"/>
      <c r="V798" s="475"/>
      <c r="W798" s="475"/>
    </row>
    <row r="799" spans="2:23" s="97" customFormat="1">
      <c r="B799" s="96"/>
      <c r="H799" s="96"/>
      <c r="J799" s="1"/>
      <c r="K799" s="1"/>
      <c r="L799" s="1"/>
      <c r="O799" s="475"/>
      <c r="P799" s="475"/>
      <c r="Q799" s="475"/>
      <c r="R799" s="475"/>
      <c r="S799" s="475"/>
      <c r="T799" s="475"/>
      <c r="U799" s="475"/>
      <c r="V799" s="475"/>
      <c r="W799" s="475"/>
    </row>
    <row r="800" spans="2:23" s="97" customFormat="1">
      <c r="B800" s="96"/>
      <c r="H800" s="96"/>
      <c r="J800" s="1"/>
      <c r="K800" s="1"/>
      <c r="L800" s="1"/>
      <c r="O800" s="475"/>
      <c r="P800" s="475"/>
      <c r="Q800" s="475"/>
      <c r="R800" s="475"/>
      <c r="S800" s="475"/>
      <c r="T800" s="475"/>
      <c r="U800" s="475"/>
      <c r="V800" s="475"/>
      <c r="W800" s="475"/>
    </row>
    <row r="801" spans="2:23" s="97" customFormat="1">
      <c r="B801" s="96"/>
      <c r="H801" s="96"/>
      <c r="J801" s="1"/>
      <c r="K801" s="1"/>
      <c r="L801" s="1"/>
      <c r="O801" s="475"/>
      <c r="P801" s="475"/>
      <c r="Q801" s="475"/>
      <c r="R801" s="475"/>
      <c r="S801" s="475"/>
      <c r="T801" s="475"/>
      <c r="U801" s="475"/>
      <c r="V801" s="475"/>
      <c r="W801" s="475"/>
    </row>
    <row r="802" spans="2:23" s="97" customFormat="1">
      <c r="B802" s="96"/>
      <c r="H802" s="96"/>
      <c r="J802" s="1"/>
      <c r="K802" s="1"/>
      <c r="L802" s="1"/>
      <c r="O802" s="475"/>
      <c r="P802" s="475"/>
      <c r="Q802" s="475"/>
      <c r="R802" s="475"/>
      <c r="S802" s="475"/>
      <c r="T802" s="475"/>
      <c r="U802" s="475"/>
      <c r="V802" s="475"/>
      <c r="W802" s="475"/>
    </row>
    <row r="803" spans="2:23" s="97" customFormat="1">
      <c r="B803" s="96"/>
      <c r="H803" s="96"/>
      <c r="J803" s="1"/>
      <c r="K803" s="1"/>
      <c r="L803" s="1"/>
      <c r="O803" s="475"/>
      <c r="P803" s="475"/>
      <c r="Q803" s="475"/>
      <c r="R803" s="475"/>
      <c r="S803" s="475"/>
      <c r="T803" s="475"/>
      <c r="U803" s="475"/>
      <c r="V803" s="475"/>
      <c r="W803" s="475"/>
    </row>
    <row r="804" spans="2:23" s="97" customFormat="1">
      <c r="B804" s="96"/>
      <c r="H804" s="96"/>
      <c r="J804" s="1"/>
      <c r="K804" s="1"/>
      <c r="L804" s="1"/>
      <c r="O804" s="475"/>
      <c r="P804" s="475"/>
      <c r="Q804" s="475"/>
      <c r="R804" s="475"/>
      <c r="S804" s="475"/>
      <c r="T804" s="475"/>
      <c r="U804" s="475"/>
      <c r="V804" s="475"/>
      <c r="W804" s="475"/>
    </row>
    <row r="805" spans="2:23" s="97" customFormat="1">
      <c r="B805" s="96"/>
      <c r="H805" s="96"/>
      <c r="J805" s="1"/>
      <c r="K805" s="1"/>
      <c r="L805" s="1"/>
      <c r="O805" s="475"/>
      <c r="P805" s="475"/>
      <c r="Q805" s="475"/>
      <c r="R805" s="475"/>
      <c r="S805" s="475"/>
      <c r="T805" s="475"/>
      <c r="U805" s="475"/>
      <c r="V805" s="475"/>
      <c r="W805" s="475"/>
    </row>
    <row r="806" spans="2:23" s="97" customFormat="1">
      <c r="B806" s="96"/>
      <c r="H806" s="96"/>
      <c r="J806" s="1"/>
      <c r="K806" s="1"/>
      <c r="L806" s="1"/>
      <c r="O806" s="475"/>
      <c r="P806" s="475"/>
      <c r="Q806" s="475"/>
      <c r="R806" s="475"/>
      <c r="S806" s="475"/>
      <c r="T806" s="475"/>
      <c r="U806" s="475"/>
      <c r="V806" s="475"/>
      <c r="W806" s="475"/>
    </row>
    <row r="807" spans="2:23" s="97" customFormat="1">
      <c r="B807" s="96"/>
      <c r="H807" s="96"/>
      <c r="J807" s="1"/>
      <c r="K807" s="1"/>
      <c r="L807" s="1"/>
      <c r="O807" s="475"/>
      <c r="P807" s="475"/>
      <c r="Q807" s="475"/>
      <c r="R807" s="475"/>
      <c r="S807" s="475"/>
      <c r="T807" s="475"/>
      <c r="U807" s="475"/>
      <c r="V807" s="475"/>
      <c r="W807" s="475"/>
    </row>
    <row r="808" spans="2:23" s="97" customFormat="1">
      <c r="B808" s="96"/>
      <c r="H808" s="96"/>
      <c r="J808" s="1"/>
      <c r="K808" s="1"/>
      <c r="L808" s="1"/>
      <c r="O808" s="475"/>
      <c r="P808" s="475"/>
      <c r="Q808" s="475"/>
      <c r="R808" s="475"/>
      <c r="S808" s="475"/>
      <c r="T808" s="475"/>
      <c r="U808" s="475"/>
      <c r="V808" s="475"/>
      <c r="W808" s="475"/>
    </row>
    <row r="809" spans="2:23" s="97" customFormat="1">
      <c r="B809" s="96"/>
      <c r="H809" s="96"/>
      <c r="J809" s="1"/>
      <c r="K809" s="1"/>
      <c r="L809" s="1"/>
      <c r="O809" s="475"/>
      <c r="P809" s="475"/>
      <c r="Q809" s="475"/>
      <c r="R809" s="475"/>
      <c r="S809" s="475"/>
      <c r="T809" s="475"/>
      <c r="U809" s="475"/>
      <c r="V809" s="475"/>
      <c r="W809" s="475"/>
    </row>
    <row r="810" spans="2:23" s="97" customFormat="1">
      <c r="B810" s="96"/>
      <c r="H810" s="96"/>
      <c r="J810" s="1"/>
      <c r="K810" s="1"/>
      <c r="L810" s="1"/>
      <c r="O810" s="475"/>
      <c r="P810" s="475"/>
      <c r="Q810" s="475"/>
      <c r="R810" s="475"/>
      <c r="S810" s="475"/>
      <c r="T810" s="475"/>
      <c r="U810" s="475"/>
      <c r="V810" s="475"/>
      <c r="W810" s="475"/>
    </row>
    <row r="811" spans="2:23" s="97" customFormat="1">
      <c r="B811" s="96"/>
      <c r="H811" s="96"/>
      <c r="J811" s="1"/>
      <c r="K811" s="1"/>
      <c r="L811" s="1"/>
      <c r="O811" s="475"/>
      <c r="P811" s="475"/>
      <c r="Q811" s="475"/>
      <c r="R811" s="475"/>
      <c r="S811" s="475"/>
      <c r="T811" s="475"/>
      <c r="U811" s="475"/>
      <c r="V811" s="475"/>
      <c r="W811" s="475"/>
    </row>
    <row r="812" spans="2:23" s="97" customFormat="1">
      <c r="B812" s="96"/>
      <c r="H812" s="96"/>
      <c r="J812" s="1"/>
      <c r="K812" s="1"/>
      <c r="L812" s="1"/>
      <c r="O812" s="475"/>
      <c r="P812" s="475"/>
      <c r="Q812" s="475"/>
      <c r="R812" s="475"/>
      <c r="S812" s="475"/>
      <c r="T812" s="475"/>
      <c r="U812" s="475"/>
      <c r="V812" s="475"/>
      <c r="W812" s="475"/>
    </row>
    <row r="813" spans="2:23" s="97" customFormat="1">
      <c r="B813" s="96"/>
      <c r="H813" s="96"/>
      <c r="J813" s="1"/>
      <c r="K813" s="1"/>
      <c r="L813" s="1"/>
      <c r="O813" s="475"/>
      <c r="P813" s="475"/>
      <c r="Q813" s="475"/>
      <c r="R813" s="475"/>
      <c r="S813" s="475"/>
      <c r="T813" s="475"/>
      <c r="U813" s="475"/>
      <c r="V813" s="475"/>
      <c r="W813" s="475"/>
    </row>
    <row r="814" spans="2:23" s="97" customFormat="1">
      <c r="B814" s="96"/>
      <c r="H814" s="96"/>
      <c r="J814" s="1"/>
      <c r="K814" s="1"/>
      <c r="L814" s="1"/>
      <c r="O814" s="475"/>
      <c r="P814" s="475"/>
      <c r="Q814" s="475"/>
      <c r="R814" s="475"/>
      <c r="S814" s="475"/>
      <c r="T814" s="475"/>
      <c r="U814" s="475"/>
      <c r="V814" s="475"/>
      <c r="W814" s="475"/>
    </row>
    <row r="815" spans="2:23" s="97" customFormat="1">
      <c r="B815" s="96"/>
      <c r="H815" s="96"/>
      <c r="J815" s="1"/>
      <c r="K815" s="1"/>
      <c r="L815" s="1"/>
      <c r="O815" s="475"/>
      <c r="P815" s="475"/>
      <c r="Q815" s="475"/>
      <c r="R815" s="475"/>
      <c r="S815" s="475"/>
      <c r="T815" s="475"/>
      <c r="U815" s="475"/>
      <c r="V815" s="475"/>
      <c r="W815" s="475"/>
    </row>
    <row r="816" spans="2:23" s="97" customFormat="1">
      <c r="B816" s="96"/>
      <c r="H816" s="96"/>
      <c r="J816" s="1"/>
      <c r="K816" s="1"/>
      <c r="L816" s="1"/>
      <c r="O816" s="475"/>
      <c r="P816" s="475"/>
      <c r="Q816" s="475"/>
      <c r="R816" s="475"/>
      <c r="S816" s="475"/>
      <c r="T816" s="475"/>
      <c r="U816" s="475"/>
      <c r="V816" s="475"/>
      <c r="W816" s="475"/>
    </row>
    <row r="817" spans="2:23" s="97" customFormat="1">
      <c r="B817" s="96"/>
      <c r="H817" s="96"/>
      <c r="J817" s="1"/>
      <c r="K817" s="1"/>
      <c r="L817" s="1"/>
      <c r="O817" s="475"/>
      <c r="P817" s="475"/>
      <c r="Q817" s="475"/>
      <c r="R817" s="475"/>
      <c r="S817" s="475"/>
      <c r="T817" s="475"/>
      <c r="U817" s="475"/>
      <c r="V817" s="475"/>
      <c r="W817" s="475"/>
    </row>
    <row r="818" spans="2:23" s="97" customFormat="1">
      <c r="B818" s="96"/>
      <c r="H818" s="96"/>
      <c r="J818" s="1"/>
      <c r="K818" s="1"/>
      <c r="L818" s="1"/>
      <c r="O818" s="475"/>
      <c r="P818" s="475"/>
      <c r="Q818" s="475"/>
      <c r="R818" s="475"/>
      <c r="S818" s="475"/>
      <c r="T818" s="475"/>
      <c r="U818" s="475"/>
      <c r="V818" s="475"/>
      <c r="W818" s="475"/>
    </row>
    <row r="819" spans="2:23" s="97" customFormat="1">
      <c r="B819" s="96"/>
      <c r="H819" s="96"/>
      <c r="J819" s="1"/>
      <c r="K819" s="1"/>
      <c r="L819" s="1"/>
      <c r="O819" s="475"/>
      <c r="P819" s="475"/>
      <c r="Q819" s="475"/>
      <c r="R819" s="475"/>
      <c r="S819" s="475"/>
      <c r="T819" s="475"/>
      <c r="U819" s="475"/>
      <c r="V819" s="475"/>
      <c r="W819" s="475"/>
    </row>
    <row r="820" spans="2:23" s="97" customFormat="1">
      <c r="B820" s="96"/>
      <c r="H820" s="96"/>
      <c r="J820" s="1"/>
      <c r="K820" s="1"/>
      <c r="L820" s="1"/>
      <c r="O820" s="475"/>
      <c r="P820" s="475"/>
      <c r="Q820" s="475"/>
      <c r="R820" s="475"/>
      <c r="S820" s="475"/>
      <c r="T820" s="475"/>
      <c r="U820" s="475"/>
      <c r="V820" s="475"/>
      <c r="W820" s="475"/>
    </row>
    <row r="821" spans="2:23" s="97" customFormat="1">
      <c r="B821" s="96"/>
      <c r="H821" s="96"/>
      <c r="J821" s="1"/>
      <c r="K821" s="1"/>
      <c r="L821" s="1"/>
      <c r="O821" s="475"/>
      <c r="P821" s="475"/>
      <c r="Q821" s="475"/>
      <c r="R821" s="475"/>
      <c r="S821" s="475"/>
      <c r="T821" s="475"/>
      <c r="U821" s="475"/>
      <c r="V821" s="475"/>
      <c r="W821" s="475"/>
    </row>
    <row r="822" spans="2:23" s="97" customFormat="1">
      <c r="B822" s="96"/>
      <c r="H822" s="96"/>
      <c r="J822" s="1"/>
      <c r="K822" s="1"/>
      <c r="L822" s="1"/>
      <c r="O822" s="475"/>
      <c r="P822" s="475"/>
      <c r="Q822" s="475"/>
      <c r="R822" s="475"/>
      <c r="S822" s="475"/>
      <c r="T822" s="475"/>
      <c r="U822" s="475"/>
      <c r="V822" s="475"/>
      <c r="W822" s="475"/>
    </row>
    <row r="823" spans="2:23" s="97" customFormat="1">
      <c r="B823" s="96"/>
      <c r="H823" s="96"/>
      <c r="J823" s="1"/>
      <c r="K823" s="1"/>
      <c r="L823" s="1"/>
      <c r="O823" s="475"/>
      <c r="P823" s="475"/>
      <c r="Q823" s="475"/>
      <c r="R823" s="475"/>
      <c r="S823" s="475"/>
      <c r="T823" s="475"/>
      <c r="U823" s="475"/>
      <c r="V823" s="475"/>
      <c r="W823" s="475"/>
    </row>
    <row r="824" spans="2:23" s="97" customFormat="1">
      <c r="B824" s="96"/>
      <c r="H824" s="96"/>
      <c r="J824" s="1"/>
      <c r="K824" s="1"/>
      <c r="L824" s="1"/>
      <c r="O824" s="475"/>
      <c r="P824" s="475"/>
      <c r="Q824" s="475"/>
      <c r="R824" s="475"/>
      <c r="S824" s="475"/>
      <c r="T824" s="475"/>
      <c r="U824" s="475"/>
      <c r="V824" s="475"/>
      <c r="W824" s="475"/>
    </row>
    <row r="825" spans="2:23" s="97" customFormat="1">
      <c r="B825" s="96"/>
      <c r="H825" s="96"/>
      <c r="J825" s="1"/>
      <c r="K825" s="1"/>
      <c r="L825" s="1"/>
      <c r="O825" s="475"/>
      <c r="P825" s="475"/>
      <c r="Q825" s="475"/>
      <c r="R825" s="475"/>
      <c r="S825" s="475"/>
      <c r="T825" s="475"/>
      <c r="U825" s="475"/>
      <c r="V825" s="475"/>
      <c r="W825" s="475"/>
    </row>
    <row r="826" spans="2:23" s="97" customFormat="1">
      <c r="B826" s="96"/>
      <c r="H826" s="96"/>
      <c r="J826" s="1"/>
      <c r="K826" s="1"/>
      <c r="L826" s="1"/>
      <c r="O826" s="475"/>
      <c r="P826" s="475"/>
      <c r="Q826" s="475"/>
      <c r="R826" s="475"/>
      <c r="S826" s="475"/>
      <c r="T826" s="475"/>
      <c r="U826" s="475"/>
      <c r="V826" s="475"/>
      <c r="W826" s="475"/>
    </row>
    <row r="827" spans="2:23" s="97" customFormat="1">
      <c r="B827" s="96"/>
      <c r="H827" s="96"/>
      <c r="J827" s="1"/>
      <c r="K827" s="1"/>
      <c r="L827" s="1"/>
      <c r="O827" s="475"/>
      <c r="P827" s="475"/>
      <c r="Q827" s="475"/>
      <c r="R827" s="475"/>
      <c r="S827" s="475"/>
      <c r="T827" s="475"/>
      <c r="U827" s="475"/>
      <c r="V827" s="475"/>
      <c r="W827" s="475"/>
    </row>
    <row r="828" spans="2:23" s="97" customFormat="1">
      <c r="B828" s="96"/>
      <c r="H828" s="96"/>
      <c r="J828" s="1"/>
      <c r="K828" s="1"/>
      <c r="L828" s="1"/>
      <c r="O828" s="475"/>
      <c r="P828" s="475"/>
      <c r="Q828" s="475"/>
      <c r="R828" s="475"/>
      <c r="S828" s="475"/>
      <c r="T828" s="475"/>
      <c r="U828" s="475"/>
      <c r="V828" s="475"/>
      <c r="W828" s="475"/>
    </row>
    <row r="829" spans="2:23" s="97" customFormat="1">
      <c r="B829" s="96"/>
      <c r="H829" s="96"/>
      <c r="J829" s="1"/>
      <c r="K829" s="1"/>
      <c r="L829" s="1"/>
      <c r="O829" s="475"/>
      <c r="P829" s="475"/>
      <c r="Q829" s="475"/>
      <c r="R829" s="475"/>
      <c r="S829" s="475"/>
      <c r="T829" s="475"/>
      <c r="U829" s="475"/>
      <c r="V829" s="475"/>
      <c r="W829" s="475"/>
    </row>
    <row r="830" spans="2:23" s="97" customFormat="1">
      <c r="B830" s="96"/>
      <c r="H830" s="96"/>
      <c r="J830" s="1"/>
      <c r="K830" s="1"/>
      <c r="L830" s="1"/>
      <c r="O830" s="475"/>
      <c r="P830" s="475"/>
      <c r="Q830" s="475"/>
      <c r="R830" s="475"/>
      <c r="S830" s="475"/>
      <c r="T830" s="475"/>
      <c r="U830" s="475"/>
      <c r="V830" s="475"/>
      <c r="W830" s="475"/>
    </row>
    <row r="831" spans="2:23" s="97" customFormat="1">
      <c r="B831" s="96"/>
      <c r="H831" s="96"/>
      <c r="J831" s="1"/>
      <c r="K831" s="1"/>
      <c r="L831" s="1"/>
      <c r="O831" s="475"/>
      <c r="P831" s="475"/>
      <c r="Q831" s="475"/>
      <c r="R831" s="475"/>
      <c r="S831" s="475"/>
      <c r="T831" s="475"/>
      <c r="U831" s="475"/>
      <c r="V831" s="475"/>
      <c r="W831" s="475"/>
    </row>
    <row r="832" spans="2:23" s="97" customFormat="1">
      <c r="B832" s="96"/>
      <c r="H832" s="96"/>
      <c r="J832" s="1"/>
      <c r="K832" s="1"/>
      <c r="L832" s="1"/>
      <c r="O832" s="475"/>
      <c r="P832" s="475"/>
      <c r="Q832" s="475"/>
      <c r="R832" s="475"/>
      <c r="S832" s="475"/>
      <c r="T832" s="475"/>
      <c r="U832" s="475"/>
      <c r="V832" s="475"/>
      <c r="W832" s="475"/>
    </row>
    <row r="833" spans="2:23" s="97" customFormat="1">
      <c r="B833" s="96"/>
      <c r="H833" s="96"/>
      <c r="J833" s="1"/>
      <c r="K833" s="1"/>
      <c r="L833" s="1"/>
      <c r="O833" s="475"/>
      <c r="P833" s="475"/>
      <c r="Q833" s="475"/>
      <c r="R833" s="475"/>
      <c r="S833" s="475"/>
      <c r="T833" s="475"/>
      <c r="U833" s="475"/>
      <c r="V833" s="475"/>
      <c r="W833" s="475"/>
    </row>
    <row r="834" spans="2:23" s="97" customFormat="1">
      <c r="B834" s="96"/>
      <c r="H834" s="96"/>
      <c r="J834" s="1"/>
      <c r="K834" s="1"/>
      <c r="L834" s="1"/>
      <c r="O834" s="475"/>
      <c r="P834" s="475"/>
      <c r="Q834" s="475"/>
      <c r="R834" s="475"/>
      <c r="S834" s="475"/>
      <c r="T834" s="475"/>
      <c r="U834" s="475"/>
      <c r="V834" s="475"/>
      <c r="W834" s="475"/>
    </row>
    <row r="835" spans="2:23" s="97" customFormat="1">
      <c r="B835" s="96"/>
      <c r="H835" s="96"/>
      <c r="J835" s="1"/>
      <c r="K835" s="1"/>
      <c r="L835" s="1"/>
      <c r="O835" s="475"/>
      <c r="P835" s="475"/>
      <c r="Q835" s="475"/>
      <c r="R835" s="475"/>
      <c r="S835" s="475"/>
      <c r="T835" s="475"/>
      <c r="U835" s="475"/>
      <c r="V835" s="475"/>
      <c r="W835" s="475"/>
    </row>
    <row r="836" spans="2:23" s="97" customFormat="1">
      <c r="B836" s="96"/>
      <c r="H836" s="96"/>
      <c r="J836" s="1"/>
      <c r="K836" s="1"/>
      <c r="L836" s="1"/>
      <c r="O836" s="475"/>
      <c r="P836" s="475"/>
      <c r="Q836" s="475"/>
      <c r="R836" s="475"/>
      <c r="S836" s="475"/>
      <c r="T836" s="475"/>
      <c r="U836" s="475"/>
      <c r="V836" s="475"/>
      <c r="W836" s="475"/>
    </row>
    <row r="837" spans="2:23" s="97" customFormat="1">
      <c r="B837" s="96"/>
      <c r="H837" s="96"/>
      <c r="J837" s="1"/>
      <c r="K837" s="1"/>
      <c r="L837" s="1"/>
      <c r="O837" s="475"/>
      <c r="P837" s="475"/>
      <c r="Q837" s="475"/>
      <c r="R837" s="475"/>
      <c r="S837" s="475"/>
      <c r="T837" s="475"/>
      <c r="U837" s="475"/>
      <c r="V837" s="475"/>
      <c r="W837" s="475"/>
    </row>
    <row r="838" spans="2:23" s="97" customFormat="1">
      <c r="B838" s="96"/>
      <c r="H838" s="96"/>
      <c r="J838" s="1"/>
      <c r="K838" s="1"/>
      <c r="L838" s="1"/>
      <c r="O838" s="475"/>
      <c r="P838" s="475"/>
      <c r="Q838" s="475"/>
      <c r="R838" s="475"/>
      <c r="S838" s="475"/>
      <c r="T838" s="475"/>
      <c r="U838" s="475"/>
      <c r="V838" s="475"/>
      <c r="W838" s="475"/>
    </row>
    <row r="839" spans="2:23" s="97" customFormat="1">
      <c r="B839" s="96"/>
      <c r="H839" s="96"/>
      <c r="J839" s="1"/>
      <c r="K839" s="1"/>
      <c r="L839" s="1"/>
      <c r="O839" s="475"/>
      <c r="P839" s="475"/>
      <c r="Q839" s="475"/>
      <c r="R839" s="475"/>
      <c r="S839" s="475"/>
      <c r="T839" s="475"/>
      <c r="U839" s="475"/>
      <c r="V839" s="475"/>
      <c r="W839" s="475"/>
    </row>
    <row r="840" spans="2:23" s="97" customFormat="1">
      <c r="B840" s="96"/>
      <c r="H840" s="96"/>
      <c r="J840" s="1"/>
      <c r="K840" s="1"/>
      <c r="L840" s="1"/>
      <c r="O840" s="475"/>
      <c r="P840" s="475"/>
      <c r="Q840" s="475"/>
      <c r="R840" s="475"/>
      <c r="S840" s="475"/>
      <c r="T840" s="475"/>
      <c r="U840" s="475"/>
      <c r="V840" s="475"/>
      <c r="W840" s="475"/>
    </row>
    <row r="841" spans="2:23" s="97" customFormat="1">
      <c r="B841" s="96"/>
      <c r="H841" s="96"/>
      <c r="J841" s="1"/>
      <c r="K841" s="1"/>
      <c r="L841" s="1"/>
      <c r="O841" s="475"/>
      <c r="P841" s="475"/>
      <c r="Q841" s="475"/>
      <c r="R841" s="475"/>
      <c r="S841" s="475"/>
      <c r="T841" s="475"/>
      <c r="U841" s="475"/>
      <c r="V841" s="475"/>
      <c r="W841" s="475"/>
    </row>
    <row r="842" spans="2:23" s="97" customFormat="1">
      <c r="B842" s="96"/>
      <c r="H842" s="96"/>
      <c r="J842" s="1"/>
      <c r="K842" s="1"/>
      <c r="L842" s="1"/>
      <c r="O842" s="475"/>
      <c r="P842" s="475"/>
      <c r="Q842" s="475"/>
      <c r="R842" s="475"/>
      <c r="S842" s="475"/>
      <c r="T842" s="475"/>
      <c r="U842" s="475"/>
      <c r="V842" s="475"/>
      <c r="W842" s="475"/>
    </row>
    <row r="843" spans="2:23" s="97" customFormat="1">
      <c r="B843" s="96"/>
      <c r="H843" s="96"/>
      <c r="J843" s="1"/>
      <c r="K843" s="1"/>
      <c r="L843" s="1"/>
      <c r="O843" s="475"/>
      <c r="P843" s="475"/>
      <c r="Q843" s="475"/>
      <c r="R843" s="475"/>
      <c r="S843" s="475"/>
      <c r="T843" s="475"/>
      <c r="U843" s="475"/>
      <c r="V843" s="475"/>
      <c r="W843" s="475"/>
    </row>
    <row r="844" spans="2:23" s="97" customFormat="1">
      <c r="B844" s="96"/>
      <c r="H844" s="96"/>
      <c r="J844" s="1"/>
      <c r="K844" s="1"/>
      <c r="L844" s="1"/>
      <c r="O844" s="475"/>
      <c r="P844" s="475"/>
      <c r="Q844" s="475"/>
      <c r="R844" s="475"/>
      <c r="S844" s="475"/>
      <c r="T844" s="475"/>
      <c r="U844" s="475"/>
      <c r="V844" s="475"/>
      <c r="W844" s="475"/>
    </row>
    <row r="845" spans="2:23" s="97" customFormat="1">
      <c r="B845" s="96"/>
      <c r="H845" s="96"/>
      <c r="J845" s="1"/>
      <c r="K845" s="1"/>
      <c r="L845" s="1"/>
      <c r="O845" s="475"/>
      <c r="P845" s="475"/>
      <c r="Q845" s="475"/>
      <c r="R845" s="475"/>
      <c r="S845" s="475"/>
      <c r="T845" s="475"/>
      <c r="U845" s="475"/>
      <c r="V845" s="475"/>
      <c r="W845" s="475"/>
    </row>
    <row r="846" spans="2:23" s="97" customFormat="1">
      <c r="B846" s="96"/>
      <c r="H846" s="96"/>
      <c r="J846" s="1"/>
      <c r="K846" s="1"/>
      <c r="L846" s="1"/>
      <c r="O846" s="475"/>
      <c r="P846" s="475"/>
      <c r="Q846" s="475"/>
      <c r="R846" s="475"/>
      <c r="S846" s="475"/>
      <c r="T846" s="475"/>
      <c r="U846" s="475"/>
      <c r="V846" s="475"/>
      <c r="W846" s="475"/>
    </row>
    <row r="847" spans="2:23" s="97" customFormat="1">
      <c r="B847" s="96"/>
      <c r="H847" s="96"/>
      <c r="J847" s="1"/>
      <c r="K847" s="1"/>
      <c r="L847" s="1"/>
      <c r="O847" s="475"/>
      <c r="P847" s="475"/>
      <c r="Q847" s="475"/>
      <c r="R847" s="475"/>
      <c r="S847" s="475"/>
      <c r="T847" s="475"/>
      <c r="U847" s="475"/>
      <c r="V847" s="475"/>
      <c r="W847" s="475"/>
    </row>
    <row r="848" spans="2:23" s="97" customFormat="1">
      <c r="B848" s="96"/>
      <c r="H848" s="96"/>
      <c r="J848" s="1"/>
      <c r="K848" s="1"/>
      <c r="L848" s="1"/>
      <c r="O848" s="475"/>
      <c r="P848" s="475"/>
      <c r="Q848" s="475"/>
      <c r="R848" s="475"/>
      <c r="S848" s="475"/>
      <c r="T848" s="475"/>
      <c r="U848" s="475"/>
      <c r="V848" s="475"/>
      <c r="W848" s="475"/>
    </row>
    <row r="849" spans="2:23" s="97" customFormat="1">
      <c r="B849" s="96"/>
      <c r="H849" s="96"/>
      <c r="J849" s="1"/>
      <c r="K849" s="1"/>
      <c r="L849" s="1"/>
      <c r="O849" s="475"/>
      <c r="P849" s="475"/>
      <c r="Q849" s="475"/>
      <c r="R849" s="475"/>
      <c r="S849" s="475"/>
      <c r="T849" s="475"/>
      <c r="U849" s="475"/>
      <c r="V849" s="475"/>
      <c r="W849" s="475"/>
    </row>
    <row r="850" spans="2:23" s="97" customFormat="1">
      <c r="B850" s="96"/>
      <c r="H850" s="96"/>
      <c r="J850" s="1"/>
      <c r="K850" s="1"/>
      <c r="L850" s="1"/>
      <c r="O850" s="475"/>
      <c r="P850" s="475"/>
      <c r="Q850" s="475"/>
      <c r="R850" s="475"/>
      <c r="S850" s="475"/>
      <c r="T850" s="475"/>
      <c r="U850" s="475"/>
      <c r="V850" s="475"/>
      <c r="W850" s="475"/>
    </row>
    <row r="851" spans="2:23" s="97" customFormat="1">
      <c r="B851" s="96"/>
      <c r="H851" s="96"/>
      <c r="J851" s="1"/>
      <c r="K851" s="1"/>
      <c r="L851" s="1"/>
      <c r="O851" s="475"/>
      <c r="P851" s="475"/>
      <c r="Q851" s="475"/>
      <c r="R851" s="475"/>
      <c r="S851" s="475"/>
      <c r="T851" s="475"/>
      <c r="U851" s="475"/>
      <c r="V851" s="475"/>
      <c r="W851" s="475"/>
    </row>
    <row r="852" spans="2:23" s="97" customFormat="1">
      <c r="B852" s="96"/>
      <c r="H852" s="96"/>
      <c r="J852" s="1"/>
      <c r="K852" s="1"/>
      <c r="L852" s="1"/>
      <c r="O852" s="475"/>
      <c r="P852" s="475"/>
      <c r="Q852" s="475"/>
      <c r="R852" s="475"/>
      <c r="S852" s="475"/>
      <c r="T852" s="475"/>
      <c r="U852" s="475"/>
      <c r="V852" s="475"/>
      <c r="W852" s="475"/>
    </row>
    <row r="853" spans="2:23" s="97" customFormat="1">
      <c r="B853" s="96"/>
      <c r="H853" s="96"/>
      <c r="J853" s="1"/>
      <c r="K853" s="1"/>
      <c r="L853" s="1"/>
      <c r="O853" s="475"/>
      <c r="P853" s="475"/>
      <c r="Q853" s="475"/>
      <c r="R853" s="475"/>
      <c r="S853" s="475"/>
      <c r="T853" s="475"/>
      <c r="U853" s="475"/>
      <c r="V853" s="475"/>
      <c r="W853" s="475"/>
    </row>
    <row r="854" spans="2:23" s="97" customFormat="1">
      <c r="B854" s="96"/>
      <c r="H854" s="96"/>
      <c r="J854" s="1"/>
      <c r="K854" s="1"/>
      <c r="L854" s="1"/>
      <c r="O854" s="475"/>
      <c r="P854" s="475"/>
      <c r="Q854" s="475"/>
      <c r="R854" s="475"/>
      <c r="S854" s="475"/>
      <c r="T854" s="475"/>
      <c r="U854" s="475"/>
      <c r="V854" s="475"/>
      <c r="W854" s="475"/>
    </row>
    <row r="855" spans="2:23" s="97" customFormat="1">
      <c r="B855" s="96"/>
      <c r="H855" s="96"/>
      <c r="J855" s="1"/>
      <c r="K855" s="1"/>
      <c r="L855" s="1"/>
      <c r="O855" s="475"/>
      <c r="P855" s="475"/>
      <c r="Q855" s="475"/>
      <c r="R855" s="475"/>
      <c r="S855" s="475"/>
      <c r="T855" s="475"/>
      <c r="U855" s="475"/>
      <c r="V855" s="475"/>
      <c r="W855" s="475"/>
    </row>
    <row r="856" spans="2:23" s="97" customFormat="1">
      <c r="B856" s="96"/>
      <c r="H856" s="96"/>
      <c r="J856" s="1"/>
      <c r="K856" s="1"/>
      <c r="L856" s="1"/>
      <c r="O856" s="475"/>
      <c r="P856" s="475"/>
      <c r="Q856" s="475"/>
      <c r="R856" s="475"/>
      <c r="S856" s="475"/>
      <c r="T856" s="475"/>
      <c r="U856" s="475"/>
      <c r="V856" s="475"/>
      <c r="W856" s="475"/>
    </row>
    <row r="857" spans="2:23" s="97" customFormat="1">
      <c r="B857" s="96"/>
      <c r="H857" s="96"/>
      <c r="J857" s="1"/>
      <c r="K857" s="1"/>
      <c r="L857" s="1"/>
      <c r="O857" s="475"/>
      <c r="P857" s="475"/>
      <c r="Q857" s="475"/>
      <c r="R857" s="475"/>
      <c r="S857" s="475"/>
      <c r="T857" s="475"/>
      <c r="U857" s="475"/>
      <c r="V857" s="475"/>
      <c r="W857" s="475"/>
    </row>
    <row r="858" spans="2:23" s="97" customFormat="1">
      <c r="B858" s="96"/>
      <c r="H858" s="96"/>
      <c r="J858" s="1"/>
      <c r="K858" s="1"/>
      <c r="L858" s="1"/>
      <c r="O858" s="475"/>
      <c r="P858" s="475"/>
      <c r="Q858" s="475"/>
      <c r="R858" s="475"/>
      <c r="S858" s="475"/>
      <c r="T858" s="475"/>
      <c r="U858" s="475"/>
      <c r="V858" s="475"/>
      <c r="W858" s="475"/>
    </row>
    <row r="859" spans="2:23" s="97" customFormat="1">
      <c r="B859" s="96"/>
      <c r="H859" s="96"/>
      <c r="J859" s="1"/>
      <c r="K859" s="1"/>
      <c r="L859" s="1"/>
      <c r="O859" s="475"/>
      <c r="P859" s="475"/>
      <c r="Q859" s="475"/>
      <c r="R859" s="475"/>
      <c r="S859" s="475"/>
      <c r="T859" s="475"/>
      <c r="U859" s="475"/>
      <c r="V859" s="475"/>
      <c r="W859" s="475"/>
    </row>
    <row r="860" spans="2:23" s="97" customFormat="1">
      <c r="B860" s="96"/>
      <c r="H860" s="96"/>
      <c r="J860" s="1"/>
      <c r="K860" s="1"/>
      <c r="L860" s="1"/>
      <c r="O860" s="475"/>
      <c r="P860" s="475"/>
      <c r="Q860" s="475"/>
      <c r="R860" s="475"/>
      <c r="S860" s="475"/>
      <c r="T860" s="475"/>
      <c r="U860" s="475"/>
      <c r="V860" s="475"/>
      <c r="W860" s="475"/>
    </row>
    <row r="861" spans="2:23" s="97" customFormat="1">
      <c r="B861" s="96"/>
      <c r="H861" s="96"/>
      <c r="J861" s="1"/>
      <c r="K861" s="1"/>
      <c r="L861" s="1"/>
      <c r="O861" s="475"/>
      <c r="P861" s="475"/>
      <c r="Q861" s="475"/>
      <c r="R861" s="475"/>
      <c r="S861" s="475"/>
      <c r="T861" s="475"/>
      <c r="U861" s="475"/>
      <c r="V861" s="475"/>
      <c r="W861" s="475"/>
    </row>
    <row r="862" spans="2:23" s="97" customFormat="1">
      <c r="B862" s="96"/>
      <c r="H862" s="96"/>
      <c r="J862" s="1"/>
      <c r="K862" s="1"/>
      <c r="L862" s="1"/>
      <c r="O862" s="475"/>
      <c r="P862" s="475"/>
      <c r="Q862" s="475"/>
      <c r="R862" s="475"/>
      <c r="S862" s="475"/>
      <c r="T862" s="475"/>
      <c r="U862" s="475"/>
      <c r="V862" s="475"/>
      <c r="W862" s="475"/>
    </row>
    <row r="863" spans="2:23" s="97" customFormat="1">
      <c r="B863" s="96"/>
      <c r="H863" s="96"/>
      <c r="J863" s="1"/>
      <c r="K863" s="1"/>
      <c r="L863" s="1"/>
      <c r="O863" s="475"/>
      <c r="P863" s="475"/>
      <c r="Q863" s="475"/>
      <c r="R863" s="475"/>
      <c r="S863" s="475"/>
      <c r="T863" s="475"/>
      <c r="U863" s="475"/>
      <c r="V863" s="475"/>
      <c r="W863" s="475"/>
    </row>
    <row r="864" spans="2:23" s="97" customFormat="1">
      <c r="B864" s="96"/>
      <c r="H864" s="96"/>
      <c r="J864" s="1"/>
      <c r="K864" s="1"/>
      <c r="L864" s="1"/>
      <c r="O864" s="475"/>
      <c r="P864" s="475"/>
      <c r="Q864" s="475"/>
      <c r="R864" s="475"/>
      <c r="S864" s="475"/>
      <c r="T864" s="475"/>
      <c r="U864" s="475"/>
      <c r="V864" s="475"/>
      <c r="W864" s="475"/>
    </row>
    <row r="865" spans="2:23" s="97" customFormat="1">
      <c r="B865" s="96"/>
      <c r="H865" s="96"/>
      <c r="J865" s="1"/>
      <c r="K865" s="1"/>
      <c r="L865" s="1"/>
      <c r="O865" s="475"/>
      <c r="P865" s="475"/>
      <c r="Q865" s="475"/>
      <c r="R865" s="475"/>
      <c r="S865" s="475"/>
      <c r="T865" s="475"/>
      <c r="U865" s="475"/>
      <c r="V865" s="475"/>
      <c r="W865" s="475"/>
    </row>
    <row r="866" spans="2:23" s="97" customFormat="1">
      <c r="B866" s="96"/>
      <c r="H866" s="96"/>
      <c r="J866" s="1"/>
      <c r="K866" s="1"/>
      <c r="L866" s="1"/>
      <c r="O866" s="475"/>
      <c r="P866" s="475"/>
      <c r="Q866" s="475"/>
      <c r="R866" s="475"/>
      <c r="S866" s="475"/>
      <c r="T866" s="475"/>
      <c r="U866" s="475"/>
      <c r="V866" s="475"/>
      <c r="W866" s="475"/>
    </row>
    <row r="867" spans="2:23" s="97" customFormat="1">
      <c r="B867" s="96"/>
      <c r="H867" s="96"/>
      <c r="J867" s="1"/>
      <c r="K867" s="1"/>
      <c r="L867" s="1"/>
      <c r="O867" s="475"/>
      <c r="P867" s="475"/>
      <c r="Q867" s="475"/>
      <c r="R867" s="475"/>
      <c r="S867" s="475"/>
      <c r="T867" s="475"/>
      <c r="U867" s="475"/>
      <c r="V867" s="475"/>
      <c r="W867" s="475"/>
    </row>
    <row r="868" spans="2:23" s="97" customFormat="1">
      <c r="B868" s="96"/>
      <c r="H868" s="96"/>
      <c r="J868" s="1"/>
      <c r="K868" s="1"/>
      <c r="L868" s="1"/>
      <c r="O868" s="475"/>
      <c r="P868" s="475"/>
      <c r="Q868" s="475"/>
      <c r="R868" s="475"/>
      <c r="S868" s="475"/>
      <c r="T868" s="475"/>
      <c r="U868" s="475"/>
      <c r="V868" s="475"/>
      <c r="W868" s="475"/>
    </row>
    <row r="869" spans="2:23" s="97" customFormat="1">
      <c r="B869" s="96"/>
      <c r="H869" s="96"/>
      <c r="J869" s="1"/>
      <c r="K869" s="1"/>
      <c r="L869" s="1"/>
      <c r="O869" s="475"/>
      <c r="P869" s="475"/>
      <c r="Q869" s="475"/>
      <c r="R869" s="475"/>
      <c r="S869" s="475"/>
      <c r="T869" s="475"/>
      <c r="U869" s="475"/>
      <c r="V869" s="475"/>
      <c r="W869" s="475"/>
    </row>
    <row r="870" spans="2:23" s="97" customFormat="1">
      <c r="B870" s="96"/>
      <c r="H870" s="96"/>
      <c r="J870" s="1"/>
      <c r="K870" s="1"/>
      <c r="L870" s="1"/>
      <c r="O870" s="475"/>
      <c r="P870" s="475"/>
      <c r="Q870" s="475"/>
      <c r="R870" s="475"/>
      <c r="S870" s="475"/>
      <c r="T870" s="475"/>
      <c r="U870" s="475"/>
      <c r="V870" s="475"/>
      <c r="W870" s="475"/>
    </row>
    <row r="871" spans="2:23" s="97" customFormat="1">
      <c r="B871" s="96"/>
      <c r="H871" s="96"/>
      <c r="J871" s="1"/>
      <c r="K871" s="1"/>
      <c r="L871" s="1"/>
      <c r="O871" s="475"/>
      <c r="P871" s="475"/>
      <c r="Q871" s="475"/>
      <c r="R871" s="475"/>
      <c r="S871" s="475"/>
      <c r="T871" s="475"/>
      <c r="U871" s="475"/>
      <c r="V871" s="475"/>
      <c r="W871" s="475"/>
    </row>
    <row r="872" spans="2:23" s="97" customFormat="1">
      <c r="B872" s="96"/>
      <c r="H872" s="96"/>
      <c r="J872" s="1"/>
      <c r="K872" s="1"/>
      <c r="L872" s="1"/>
      <c r="O872" s="475"/>
      <c r="P872" s="475"/>
      <c r="Q872" s="475"/>
      <c r="R872" s="475"/>
      <c r="S872" s="475"/>
      <c r="T872" s="475"/>
      <c r="U872" s="475"/>
      <c r="V872" s="475"/>
      <c r="W872" s="475"/>
    </row>
    <row r="873" spans="2:23" s="97" customFormat="1">
      <c r="B873" s="96"/>
      <c r="H873" s="96"/>
      <c r="J873" s="1"/>
      <c r="K873" s="1"/>
      <c r="L873" s="1"/>
      <c r="O873" s="475"/>
      <c r="P873" s="475"/>
      <c r="Q873" s="475"/>
      <c r="R873" s="475"/>
      <c r="S873" s="475"/>
      <c r="T873" s="475"/>
      <c r="U873" s="475"/>
      <c r="V873" s="475"/>
      <c r="W873" s="475"/>
    </row>
    <row r="874" spans="2:23" s="97" customFormat="1">
      <c r="B874" s="96"/>
      <c r="H874" s="96"/>
      <c r="J874" s="1"/>
      <c r="K874" s="1"/>
      <c r="L874" s="1"/>
      <c r="O874" s="475"/>
      <c r="P874" s="475"/>
      <c r="Q874" s="475"/>
      <c r="R874" s="475"/>
      <c r="S874" s="475"/>
      <c r="T874" s="475"/>
      <c r="U874" s="475"/>
      <c r="V874" s="475"/>
      <c r="W874" s="475"/>
    </row>
    <row r="875" spans="2:23" s="97" customFormat="1">
      <c r="B875" s="96"/>
      <c r="H875" s="96"/>
      <c r="J875" s="1"/>
      <c r="K875" s="1"/>
      <c r="L875" s="1"/>
      <c r="O875" s="475"/>
      <c r="P875" s="475"/>
      <c r="Q875" s="475"/>
      <c r="R875" s="475"/>
      <c r="S875" s="475"/>
      <c r="T875" s="475"/>
      <c r="U875" s="475"/>
      <c r="V875" s="475"/>
      <c r="W875" s="475"/>
    </row>
    <row r="876" spans="2:23" s="97" customFormat="1">
      <c r="B876" s="96"/>
      <c r="H876" s="96"/>
      <c r="J876" s="1"/>
      <c r="K876" s="1"/>
      <c r="L876" s="1"/>
      <c r="O876" s="475"/>
      <c r="P876" s="475"/>
      <c r="Q876" s="475"/>
      <c r="R876" s="475"/>
      <c r="S876" s="475"/>
      <c r="T876" s="475"/>
      <c r="U876" s="475"/>
      <c r="V876" s="475"/>
      <c r="W876" s="475"/>
    </row>
    <row r="877" spans="2:23" s="97" customFormat="1">
      <c r="B877" s="96"/>
      <c r="H877" s="96"/>
      <c r="J877" s="1"/>
      <c r="K877" s="1"/>
      <c r="L877" s="1"/>
      <c r="O877" s="475"/>
      <c r="P877" s="475"/>
      <c r="Q877" s="475"/>
      <c r="R877" s="475"/>
      <c r="S877" s="475"/>
      <c r="T877" s="475"/>
      <c r="U877" s="475"/>
      <c r="V877" s="475"/>
      <c r="W877" s="475"/>
    </row>
    <row r="878" spans="2:23" s="97" customFormat="1">
      <c r="B878" s="96"/>
      <c r="H878" s="96"/>
      <c r="J878" s="1"/>
      <c r="K878" s="1"/>
      <c r="L878" s="1"/>
      <c r="O878" s="475"/>
      <c r="P878" s="475"/>
      <c r="Q878" s="475"/>
      <c r="R878" s="475"/>
      <c r="S878" s="475"/>
      <c r="T878" s="475"/>
      <c r="U878" s="475"/>
      <c r="V878" s="475"/>
      <c r="W878" s="475"/>
    </row>
    <row r="879" spans="2:23" s="97" customFormat="1">
      <c r="B879" s="96"/>
      <c r="H879" s="96"/>
      <c r="J879" s="1"/>
      <c r="K879" s="1"/>
      <c r="L879" s="1"/>
      <c r="O879" s="475"/>
      <c r="P879" s="475"/>
      <c r="Q879" s="475"/>
      <c r="R879" s="475"/>
      <c r="S879" s="475"/>
      <c r="T879" s="475"/>
      <c r="U879" s="475"/>
      <c r="V879" s="475"/>
      <c r="W879" s="475"/>
    </row>
    <row r="880" spans="2:23" s="97" customFormat="1">
      <c r="B880" s="96"/>
      <c r="H880" s="96"/>
      <c r="J880" s="1"/>
      <c r="K880" s="1"/>
      <c r="L880" s="1"/>
      <c r="O880" s="475"/>
      <c r="P880" s="475"/>
      <c r="Q880" s="475"/>
      <c r="R880" s="475"/>
      <c r="S880" s="475"/>
      <c r="T880" s="475"/>
      <c r="U880" s="475"/>
      <c r="V880" s="475"/>
      <c r="W880" s="475"/>
    </row>
    <row r="881" spans="2:23" s="97" customFormat="1">
      <c r="B881" s="96"/>
      <c r="H881" s="96"/>
      <c r="J881" s="1"/>
      <c r="K881" s="1"/>
      <c r="L881" s="1"/>
      <c r="O881" s="475"/>
      <c r="P881" s="475"/>
      <c r="Q881" s="475"/>
      <c r="R881" s="475"/>
      <c r="S881" s="475"/>
      <c r="T881" s="475"/>
      <c r="U881" s="475"/>
      <c r="V881" s="475"/>
      <c r="W881" s="475"/>
    </row>
    <row r="882" spans="2:23" s="97" customFormat="1">
      <c r="B882" s="96"/>
      <c r="H882" s="96"/>
      <c r="J882" s="1"/>
      <c r="K882" s="1"/>
      <c r="L882" s="1"/>
      <c r="O882" s="475"/>
      <c r="P882" s="475"/>
      <c r="Q882" s="475"/>
      <c r="R882" s="475"/>
      <c r="S882" s="475"/>
      <c r="T882" s="475"/>
      <c r="U882" s="475"/>
      <c r="V882" s="475"/>
      <c r="W882" s="475"/>
    </row>
    <row r="883" spans="2:23" s="97" customFormat="1">
      <c r="B883" s="96"/>
      <c r="H883" s="96"/>
      <c r="J883" s="1"/>
      <c r="K883" s="1"/>
      <c r="L883" s="1"/>
      <c r="O883" s="475"/>
      <c r="P883" s="475"/>
      <c r="Q883" s="475"/>
      <c r="R883" s="475"/>
      <c r="S883" s="475"/>
      <c r="T883" s="475"/>
      <c r="U883" s="475"/>
      <c r="V883" s="475"/>
      <c r="W883" s="475"/>
    </row>
    <row r="884" spans="2:23" s="97" customFormat="1">
      <c r="B884" s="96"/>
      <c r="H884" s="96"/>
      <c r="J884" s="1"/>
      <c r="K884" s="1"/>
      <c r="L884" s="1"/>
      <c r="O884" s="475"/>
      <c r="P884" s="475"/>
      <c r="Q884" s="475"/>
      <c r="R884" s="475"/>
      <c r="S884" s="475"/>
      <c r="T884" s="475"/>
      <c r="U884" s="475"/>
      <c r="V884" s="475"/>
      <c r="W884" s="475"/>
    </row>
    <row r="885" spans="2:23" s="97" customFormat="1">
      <c r="B885" s="96"/>
      <c r="H885" s="96"/>
      <c r="J885" s="1"/>
      <c r="K885" s="1"/>
      <c r="L885" s="1"/>
      <c r="O885" s="475"/>
      <c r="P885" s="475"/>
      <c r="Q885" s="475"/>
      <c r="R885" s="475"/>
      <c r="S885" s="475"/>
      <c r="T885" s="475"/>
      <c r="U885" s="475"/>
      <c r="V885" s="475"/>
      <c r="W885" s="475"/>
    </row>
    <row r="886" spans="2:23" s="97" customFormat="1">
      <c r="B886" s="96"/>
      <c r="H886" s="96"/>
      <c r="J886" s="1"/>
      <c r="K886" s="1"/>
      <c r="L886" s="1"/>
      <c r="O886" s="475"/>
      <c r="P886" s="475"/>
      <c r="Q886" s="475"/>
      <c r="R886" s="475"/>
      <c r="S886" s="475"/>
      <c r="T886" s="475"/>
      <c r="U886" s="475"/>
      <c r="V886" s="475"/>
      <c r="W886" s="475"/>
    </row>
    <row r="887" spans="2:23" s="97" customFormat="1">
      <c r="B887" s="96"/>
      <c r="H887" s="96"/>
      <c r="J887" s="1"/>
      <c r="K887" s="1"/>
      <c r="L887" s="1"/>
      <c r="O887" s="475"/>
      <c r="P887" s="475"/>
      <c r="Q887" s="475"/>
      <c r="R887" s="475"/>
      <c r="S887" s="475"/>
      <c r="T887" s="475"/>
      <c r="U887" s="475"/>
      <c r="V887" s="475"/>
      <c r="W887" s="475"/>
    </row>
    <row r="888" spans="2:23" s="97" customFormat="1">
      <c r="B888" s="96"/>
      <c r="H888" s="96"/>
      <c r="J888" s="1"/>
      <c r="K888" s="1"/>
      <c r="L888" s="1"/>
      <c r="O888" s="475"/>
      <c r="P888" s="475"/>
      <c r="Q888" s="475"/>
      <c r="R888" s="475"/>
      <c r="S888" s="475"/>
      <c r="T888" s="475"/>
      <c r="U888" s="475"/>
      <c r="V888" s="475"/>
      <c r="W888" s="475"/>
    </row>
    <row r="889" spans="2:23" s="97" customFormat="1">
      <c r="B889" s="96"/>
      <c r="H889" s="96"/>
      <c r="J889" s="1"/>
      <c r="K889" s="1"/>
      <c r="L889" s="1"/>
      <c r="O889" s="475"/>
      <c r="P889" s="475"/>
      <c r="Q889" s="475"/>
      <c r="R889" s="475"/>
      <c r="S889" s="475"/>
      <c r="T889" s="475"/>
      <c r="U889" s="475"/>
      <c r="V889" s="475"/>
      <c r="W889" s="475"/>
    </row>
    <row r="890" spans="2:23" s="97" customFormat="1">
      <c r="B890" s="96"/>
      <c r="H890" s="96"/>
      <c r="J890" s="1"/>
      <c r="K890" s="1"/>
      <c r="L890" s="1"/>
      <c r="O890" s="475"/>
      <c r="P890" s="475"/>
      <c r="Q890" s="475"/>
      <c r="R890" s="475"/>
      <c r="S890" s="475"/>
      <c r="T890" s="475"/>
      <c r="U890" s="475"/>
      <c r="V890" s="475"/>
      <c r="W890" s="475"/>
    </row>
    <row r="891" spans="2:23" s="97" customFormat="1">
      <c r="B891" s="96"/>
      <c r="H891" s="96"/>
      <c r="J891" s="1"/>
      <c r="K891" s="1"/>
      <c r="L891" s="1"/>
      <c r="O891" s="475"/>
      <c r="P891" s="475"/>
      <c r="Q891" s="475"/>
      <c r="R891" s="475"/>
      <c r="S891" s="475"/>
      <c r="T891" s="475"/>
      <c r="U891" s="475"/>
      <c r="V891" s="475"/>
      <c r="W891" s="475"/>
    </row>
    <row r="892" spans="2:23" s="97" customFormat="1">
      <c r="B892" s="96"/>
      <c r="H892" s="96"/>
      <c r="J892" s="1"/>
      <c r="K892" s="1"/>
      <c r="L892" s="1"/>
      <c r="O892" s="475"/>
      <c r="P892" s="475"/>
      <c r="Q892" s="475"/>
      <c r="R892" s="475"/>
      <c r="S892" s="475"/>
      <c r="T892" s="475"/>
      <c r="U892" s="475"/>
      <c r="V892" s="475"/>
      <c r="W892" s="475"/>
    </row>
    <row r="893" spans="2:23" s="97" customFormat="1">
      <c r="B893" s="96"/>
      <c r="H893" s="96"/>
      <c r="J893" s="1"/>
      <c r="K893" s="1"/>
      <c r="L893" s="1"/>
      <c r="O893" s="475"/>
      <c r="P893" s="475"/>
      <c r="Q893" s="475"/>
      <c r="R893" s="475"/>
      <c r="S893" s="475"/>
      <c r="T893" s="475"/>
      <c r="U893" s="475"/>
      <c r="V893" s="475"/>
      <c r="W893" s="475"/>
    </row>
    <row r="894" spans="2:23" s="97" customFormat="1">
      <c r="B894" s="96"/>
      <c r="H894" s="96"/>
      <c r="J894" s="1"/>
      <c r="K894" s="1"/>
      <c r="L894" s="1"/>
      <c r="O894" s="475"/>
      <c r="P894" s="475"/>
      <c r="Q894" s="475"/>
      <c r="R894" s="475"/>
      <c r="S894" s="475"/>
      <c r="T894" s="475"/>
      <c r="U894" s="475"/>
      <c r="V894" s="475"/>
      <c r="W894" s="475"/>
    </row>
    <row r="895" spans="2:23" s="97" customFormat="1">
      <c r="B895" s="96"/>
      <c r="H895" s="96"/>
      <c r="J895" s="1"/>
      <c r="K895" s="1"/>
      <c r="L895" s="1"/>
      <c r="O895" s="475"/>
      <c r="P895" s="475"/>
      <c r="Q895" s="475"/>
      <c r="R895" s="475"/>
      <c r="S895" s="475"/>
      <c r="T895" s="475"/>
      <c r="U895" s="475"/>
      <c r="V895" s="475"/>
      <c r="W895" s="475"/>
    </row>
    <row r="896" spans="2:23" s="97" customFormat="1">
      <c r="B896" s="96"/>
      <c r="H896" s="96"/>
      <c r="J896" s="1"/>
      <c r="K896" s="1"/>
      <c r="L896" s="1"/>
      <c r="O896" s="475"/>
      <c r="P896" s="475"/>
      <c r="Q896" s="475"/>
      <c r="R896" s="475"/>
      <c r="S896" s="475"/>
      <c r="T896" s="475"/>
      <c r="U896" s="475"/>
      <c r="V896" s="475"/>
      <c r="W896" s="475"/>
    </row>
    <row r="897" spans="2:23" s="97" customFormat="1">
      <c r="B897" s="96"/>
      <c r="H897" s="96"/>
      <c r="J897" s="1"/>
      <c r="K897" s="1"/>
      <c r="L897" s="1"/>
      <c r="O897" s="475"/>
      <c r="P897" s="475"/>
      <c r="Q897" s="475"/>
      <c r="R897" s="475"/>
      <c r="S897" s="475"/>
      <c r="T897" s="475"/>
      <c r="U897" s="475"/>
      <c r="V897" s="475"/>
      <c r="W897" s="475"/>
    </row>
    <row r="898" spans="2:23" s="97" customFormat="1">
      <c r="B898" s="96"/>
      <c r="H898" s="96"/>
      <c r="J898" s="1"/>
      <c r="K898" s="1"/>
      <c r="L898" s="1"/>
      <c r="O898" s="475"/>
      <c r="P898" s="475"/>
      <c r="Q898" s="475"/>
      <c r="R898" s="475"/>
      <c r="S898" s="475"/>
      <c r="T898" s="475"/>
      <c r="U898" s="475"/>
      <c r="V898" s="475"/>
      <c r="W898" s="475"/>
    </row>
    <row r="899" spans="2:23" s="97" customFormat="1">
      <c r="B899" s="96"/>
      <c r="H899" s="96"/>
      <c r="J899" s="1"/>
      <c r="K899" s="1"/>
      <c r="L899" s="1"/>
      <c r="O899" s="475"/>
      <c r="P899" s="475"/>
      <c r="Q899" s="475"/>
      <c r="R899" s="475"/>
      <c r="S899" s="475"/>
      <c r="T899" s="475"/>
      <c r="U899" s="475"/>
      <c r="V899" s="475"/>
      <c r="W899" s="475"/>
    </row>
    <row r="900" spans="2:23" s="97" customFormat="1">
      <c r="B900" s="96"/>
      <c r="H900" s="96"/>
      <c r="J900" s="1"/>
      <c r="K900" s="1"/>
      <c r="L900" s="1"/>
      <c r="O900" s="475"/>
      <c r="P900" s="475"/>
      <c r="Q900" s="475"/>
      <c r="R900" s="475"/>
      <c r="S900" s="475"/>
      <c r="T900" s="475"/>
      <c r="U900" s="475"/>
      <c r="V900" s="475"/>
      <c r="W900" s="475"/>
    </row>
    <row r="901" spans="2:23" s="97" customFormat="1">
      <c r="B901" s="96"/>
      <c r="H901" s="96"/>
      <c r="J901" s="1"/>
      <c r="K901" s="1"/>
      <c r="L901" s="1"/>
      <c r="O901" s="475"/>
      <c r="P901" s="475"/>
      <c r="Q901" s="475"/>
      <c r="R901" s="475"/>
      <c r="S901" s="475"/>
      <c r="T901" s="475"/>
      <c r="U901" s="475"/>
      <c r="V901" s="475"/>
      <c r="W901" s="475"/>
    </row>
    <row r="902" spans="2:23" s="97" customFormat="1">
      <c r="B902" s="96"/>
      <c r="H902" s="96"/>
      <c r="J902" s="1"/>
      <c r="K902" s="1"/>
      <c r="L902" s="1"/>
      <c r="O902" s="475"/>
      <c r="P902" s="475"/>
      <c r="Q902" s="475"/>
      <c r="R902" s="475"/>
      <c r="S902" s="475"/>
      <c r="T902" s="475"/>
      <c r="U902" s="475"/>
      <c r="V902" s="475"/>
      <c r="W902" s="475"/>
    </row>
    <row r="903" spans="2:23" s="97" customFormat="1">
      <c r="B903" s="96"/>
      <c r="H903" s="96"/>
      <c r="J903" s="1"/>
      <c r="K903" s="1"/>
      <c r="L903" s="1"/>
      <c r="O903" s="475"/>
      <c r="P903" s="475"/>
      <c r="Q903" s="475"/>
      <c r="R903" s="475"/>
      <c r="S903" s="475"/>
      <c r="T903" s="475"/>
      <c r="U903" s="475"/>
      <c r="V903" s="475"/>
      <c r="W903" s="475"/>
    </row>
    <row r="904" spans="2:23" s="97" customFormat="1">
      <c r="B904" s="96"/>
      <c r="H904" s="96"/>
      <c r="J904" s="1"/>
      <c r="K904" s="1"/>
      <c r="L904" s="1"/>
      <c r="O904" s="475"/>
      <c r="P904" s="475"/>
      <c r="Q904" s="475"/>
      <c r="R904" s="475"/>
      <c r="S904" s="475"/>
      <c r="T904" s="475"/>
      <c r="U904" s="475"/>
      <c r="V904" s="475"/>
      <c r="W904" s="475"/>
    </row>
    <row r="905" spans="2:23" s="97" customFormat="1">
      <c r="B905" s="96"/>
      <c r="H905" s="96"/>
      <c r="J905" s="1"/>
      <c r="K905" s="1"/>
      <c r="L905" s="1"/>
      <c r="O905" s="475"/>
      <c r="P905" s="475"/>
      <c r="Q905" s="475"/>
      <c r="R905" s="475"/>
      <c r="S905" s="475"/>
      <c r="T905" s="475"/>
      <c r="U905" s="475"/>
      <c r="V905" s="475"/>
      <c r="W905" s="475"/>
    </row>
    <row r="906" spans="2:23" s="97" customFormat="1">
      <c r="B906" s="96"/>
      <c r="H906" s="96"/>
      <c r="J906" s="1"/>
      <c r="K906" s="1"/>
      <c r="L906" s="1"/>
      <c r="O906" s="475"/>
      <c r="P906" s="475"/>
      <c r="Q906" s="475"/>
      <c r="R906" s="475"/>
      <c r="S906" s="475"/>
      <c r="T906" s="475"/>
      <c r="U906" s="475"/>
      <c r="V906" s="475"/>
      <c r="W906" s="475"/>
    </row>
    <row r="907" spans="2:23" s="97" customFormat="1">
      <c r="B907" s="96"/>
      <c r="H907" s="96"/>
      <c r="J907" s="1"/>
      <c r="K907" s="1"/>
      <c r="L907" s="1"/>
      <c r="O907" s="475"/>
      <c r="P907" s="475"/>
      <c r="Q907" s="475"/>
      <c r="R907" s="475"/>
      <c r="S907" s="475"/>
      <c r="T907" s="475"/>
      <c r="U907" s="475"/>
      <c r="V907" s="475"/>
      <c r="W907" s="475"/>
    </row>
    <row r="908" spans="2:23" s="97" customFormat="1">
      <c r="B908" s="96"/>
      <c r="H908" s="96"/>
      <c r="J908" s="1"/>
      <c r="K908" s="1"/>
      <c r="L908" s="1"/>
      <c r="O908" s="475"/>
      <c r="P908" s="475"/>
      <c r="Q908" s="475"/>
      <c r="R908" s="475"/>
      <c r="S908" s="475"/>
      <c r="T908" s="475"/>
      <c r="U908" s="475"/>
      <c r="V908" s="475"/>
      <c r="W908" s="475"/>
    </row>
    <row r="909" spans="2:23" s="97" customFormat="1">
      <c r="B909" s="96"/>
      <c r="H909" s="96"/>
      <c r="J909" s="1"/>
      <c r="K909" s="1"/>
      <c r="L909" s="1"/>
      <c r="O909" s="475"/>
      <c r="P909" s="475"/>
      <c r="Q909" s="475"/>
      <c r="R909" s="475"/>
      <c r="S909" s="475"/>
      <c r="T909" s="475"/>
      <c r="U909" s="475"/>
      <c r="V909" s="475"/>
      <c r="W909" s="475"/>
    </row>
    <row r="910" spans="2:23" s="97" customFormat="1">
      <c r="B910" s="96"/>
      <c r="H910" s="96"/>
      <c r="J910" s="1"/>
      <c r="K910" s="1"/>
      <c r="L910" s="1"/>
      <c r="O910" s="475"/>
      <c r="P910" s="475"/>
      <c r="Q910" s="475"/>
      <c r="R910" s="475"/>
      <c r="S910" s="475"/>
      <c r="T910" s="475"/>
      <c r="U910" s="475"/>
      <c r="V910" s="475"/>
      <c r="W910" s="475"/>
    </row>
    <row r="911" spans="2:23" s="97" customFormat="1">
      <c r="B911" s="96"/>
      <c r="H911" s="96"/>
      <c r="J911" s="1"/>
      <c r="K911" s="1"/>
      <c r="L911" s="1"/>
      <c r="O911" s="475"/>
      <c r="P911" s="475"/>
      <c r="Q911" s="475"/>
      <c r="R911" s="475"/>
      <c r="S911" s="475"/>
      <c r="T911" s="475"/>
      <c r="U911" s="475"/>
      <c r="V911" s="475"/>
      <c r="W911" s="475"/>
    </row>
    <row r="912" spans="2:23" s="97" customFormat="1">
      <c r="B912" s="96"/>
      <c r="H912" s="96"/>
      <c r="J912" s="1"/>
      <c r="K912" s="1"/>
      <c r="L912" s="1"/>
      <c r="O912" s="475"/>
      <c r="P912" s="475"/>
      <c r="Q912" s="475"/>
      <c r="R912" s="475"/>
      <c r="S912" s="475"/>
      <c r="T912" s="475"/>
      <c r="U912" s="475"/>
      <c r="V912" s="475"/>
      <c r="W912" s="475"/>
    </row>
    <row r="913" spans="2:23" s="97" customFormat="1">
      <c r="B913" s="96"/>
      <c r="H913" s="96"/>
      <c r="J913" s="1"/>
      <c r="K913" s="1"/>
      <c r="L913" s="1"/>
      <c r="O913" s="475"/>
      <c r="P913" s="475"/>
      <c r="Q913" s="475"/>
      <c r="R913" s="475"/>
      <c r="S913" s="475"/>
      <c r="T913" s="475"/>
      <c r="U913" s="475"/>
      <c r="V913" s="475"/>
      <c r="W913" s="475"/>
    </row>
    <row r="914" spans="2:23" s="97" customFormat="1">
      <c r="B914" s="96"/>
      <c r="H914" s="96"/>
      <c r="J914" s="1"/>
      <c r="K914" s="1"/>
      <c r="L914" s="1"/>
      <c r="O914" s="475"/>
      <c r="P914" s="475"/>
      <c r="Q914" s="475"/>
      <c r="R914" s="475"/>
      <c r="S914" s="475"/>
      <c r="T914" s="475"/>
      <c r="U914" s="475"/>
      <c r="V914" s="475"/>
      <c r="W914" s="475"/>
    </row>
    <row r="915" spans="2:23" s="97" customFormat="1">
      <c r="B915" s="96"/>
      <c r="H915" s="96"/>
      <c r="J915" s="1"/>
      <c r="K915" s="1"/>
      <c r="L915" s="1"/>
      <c r="O915" s="475"/>
      <c r="P915" s="475"/>
      <c r="Q915" s="475"/>
      <c r="R915" s="475"/>
      <c r="S915" s="475"/>
      <c r="T915" s="475"/>
      <c r="U915" s="475"/>
      <c r="V915" s="475"/>
      <c r="W915" s="475"/>
    </row>
    <row r="916" spans="2:23" s="97" customFormat="1">
      <c r="B916" s="96"/>
      <c r="H916" s="96"/>
      <c r="J916" s="1"/>
      <c r="K916" s="1"/>
      <c r="L916" s="1"/>
      <c r="O916" s="475"/>
      <c r="P916" s="475"/>
      <c r="Q916" s="475"/>
      <c r="R916" s="475"/>
      <c r="S916" s="475"/>
      <c r="T916" s="475"/>
      <c r="U916" s="475"/>
      <c r="V916" s="475"/>
      <c r="W916" s="475"/>
    </row>
    <row r="917" spans="2:23" s="97" customFormat="1">
      <c r="B917" s="96"/>
      <c r="H917" s="96"/>
      <c r="J917" s="1"/>
      <c r="K917" s="1"/>
      <c r="L917" s="1"/>
      <c r="O917" s="475"/>
      <c r="P917" s="475"/>
      <c r="Q917" s="475"/>
      <c r="R917" s="475"/>
      <c r="S917" s="475"/>
      <c r="T917" s="475"/>
      <c r="U917" s="475"/>
      <c r="V917" s="475"/>
      <c r="W917" s="475"/>
    </row>
    <row r="918" spans="2:23" s="97" customFormat="1">
      <c r="B918" s="96"/>
      <c r="H918" s="96"/>
      <c r="J918" s="1"/>
      <c r="K918" s="1"/>
      <c r="L918" s="1"/>
      <c r="O918" s="475"/>
      <c r="P918" s="475"/>
      <c r="Q918" s="475"/>
      <c r="R918" s="475"/>
      <c r="S918" s="475"/>
      <c r="T918" s="475"/>
      <c r="U918" s="475"/>
      <c r="V918" s="475"/>
      <c r="W918" s="475"/>
    </row>
    <row r="919" spans="2:23" s="97" customFormat="1">
      <c r="B919" s="96"/>
      <c r="H919" s="96"/>
      <c r="J919" s="1"/>
      <c r="K919" s="1"/>
      <c r="L919" s="1"/>
      <c r="O919" s="475"/>
      <c r="P919" s="475"/>
      <c r="Q919" s="475"/>
      <c r="R919" s="475"/>
      <c r="S919" s="475"/>
      <c r="T919" s="475"/>
      <c r="U919" s="475"/>
      <c r="V919" s="475"/>
      <c r="W919" s="475"/>
    </row>
    <row r="920" spans="2:23" s="97" customFormat="1">
      <c r="B920" s="96"/>
      <c r="H920" s="96"/>
      <c r="J920" s="1"/>
      <c r="K920" s="1"/>
      <c r="L920" s="1"/>
      <c r="O920" s="475"/>
      <c r="P920" s="475"/>
      <c r="Q920" s="475"/>
      <c r="R920" s="475"/>
      <c r="S920" s="475"/>
      <c r="T920" s="475"/>
      <c r="U920" s="475"/>
      <c r="V920" s="475"/>
      <c r="W920" s="475"/>
    </row>
    <row r="921" spans="2:23" s="97" customFormat="1">
      <c r="B921" s="96"/>
      <c r="H921" s="96"/>
      <c r="J921" s="1"/>
      <c r="K921" s="1"/>
      <c r="L921" s="1"/>
      <c r="O921" s="475"/>
      <c r="P921" s="475"/>
      <c r="Q921" s="475"/>
      <c r="R921" s="475"/>
      <c r="S921" s="475"/>
      <c r="T921" s="475"/>
      <c r="U921" s="475"/>
      <c r="V921" s="475"/>
      <c r="W921" s="475"/>
    </row>
    <row r="922" spans="2:23" s="97" customFormat="1">
      <c r="B922" s="96"/>
      <c r="H922" s="96"/>
      <c r="J922" s="1"/>
      <c r="K922" s="1"/>
      <c r="L922" s="1"/>
      <c r="O922" s="475"/>
      <c r="P922" s="475"/>
      <c r="Q922" s="475"/>
      <c r="R922" s="475"/>
      <c r="S922" s="475"/>
      <c r="T922" s="475"/>
      <c r="U922" s="475"/>
      <c r="V922" s="475"/>
      <c r="W922" s="475"/>
    </row>
    <row r="923" spans="2:23" s="97" customFormat="1">
      <c r="B923" s="96"/>
      <c r="H923" s="96"/>
      <c r="J923" s="1"/>
      <c r="K923" s="1"/>
      <c r="L923" s="1"/>
      <c r="O923" s="475"/>
      <c r="P923" s="475"/>
      <c r="Q923" s="475"/>
      <c r="R923" s="475"/>
      <c r="S923" s="475"/>
      <c r="T923" s="475"/>
      <c r="U923" s="475"/>
      <c r="V923" s="475"/>
      <c r="W923" s="475"/>
    </row>
    <row r="924" spans="2:23" s="97" customFormat="1">
      <c r="B924" s="96"/>
      <c r="H924" s="96"/>
      <c r="J924" s="1"/>
      <c r="K924" s="1"/>
      <c r="L924" s="1"/>
      <c r="O924" s="475"/>
      <c r="P924" s="475"/>
      <c r="Q924" s="475"/>
      <c r="R924" s="475"/>
      <c r="S924" s="475"/>
      <c r="T924" s="475"/>
      <c r="U924" s="475"/>
      <c r="V924" s="475"/>
      <c r="W924" s="475"/>
    </row>
    <row r="925" spans="2:23" s="97" customFormat="1">
      <c r="B925" s="96"/>
      <c r="H925" s="96"/>
      <c r="J925" s="1"/>
      <c r="K925" s="1"/>
      <c r="L925" s="1"/>
      <c r="O925" s="475"/>
      <c r="P925" s="475"/>
      <c r="Q925" s="475"/>
      <c r="R925" s="475"/>
      <c r="S925" s="475"/>
      <c r="T925" s="475"/>
      <c r="U925" s="475"/>
      <c r="V925" s="475"/>
      <c r="W925" s="475"/>
    </row>
    <row r="926" spans="2:23" s="97" customFormat="1">
      <c r="B926" s="96"/>
      <c r="H926" s="96"/>
      <c r="J926" s="1"/>
      <c r="K926" s="1"/>
      <c r="L926" s="1"/>
      <c r="O926" s="475"/>
      <c r="P926" s="475"/>
      <c r="Q926" s="475"/>
      <c r="R926" s="475"/>
      <c r="S926" s="475"/>
      <c r="T926" s="475"/>
      <c r="U926" s="475"/>
      <c r="V926" s="475"/>
      <c r="W926" s="475"/>
    </row>
    <row r="927" spans="2:23" s="97" customFormat="1">
      <c r="B927" s="96"/>
      <c r="H927" s="96"/>
      <c r="J927" s="1"/>
      <c r="K927" s="1"/>
      <c r="L927" s="1"/>
      <c r="O927" s="475"/>
      <c r="P927" s="475"/>
      <c r="Q927" s="475"/>
      <c r="R927" s="475"/>
      <c r="S927" s="475"/>
      <c r="T927" s="475"/>
      <c r="U927" s="475"/>
      <c r="V927" s="475"/>
      <c r="W927" s="475"/>
    </row>
    <row r="928" spans="2:23" s="97" customFormat="1">
      <c r="B928" s="96"/>
      <c r="H928" s="96"/>
      <c r="J928" s="1"/>
      <c r="K928" s="1"/>
      <c r="L928" s="1"/>
      <c r="O928" s="475"/>
      <c r="P928" s="475"/>
      <c r="Q928" s="475"/>
      <c r="R928" s="475"/>
      <c r="S928" s="475"/>
      <c r="T928" s="475"/>
      <c r="U928" s="475"/>
      <c r="V928" s="475"/>
      <c r="W928" s="475"/>
    </row>
    <row r="929" spans="2:23" s="97" customFormat="1">
      <c r="B929" s="96"/>
      <c r="H929" s="96"/>
      <c r="J929" s="1"/>
      <c r="K929" s="1"/>
      <c r="L929" s="1"/>
      <c r="O929" s="475"/>
      <c r="P929" s="475"/>
      <c r="Q929" s="475"/>
      <c r="R929" s="475"/>
      <c r="S929" s="475"/>
      <c r="T929" s="475"/>
      <c r="U929" s="475"/>
      <c r="V929" s="475"/>
      <c r="W929" s="475"/>
    </row>
    <row r="930" spans="2:23" s="97" customFormat="1">
      <c r="B930" s="96"/>
      <c r="H930" s="96"/>
      <c r="J930" s="1"/>
      <c r="K930" s="1"/>
      <c r="L930" s="1"/>
      <c r="O930" s="475"/>
      <c r="P930" s="475"/>
      <c r="Q930" s="475"/>
      <c r="R930" s="475"/>
      <c r="S930" s="475"/>
      <c r="T930" s="475"/>
      <c r="U930" s="475"/>
      <c r="V930" s="475"/>
      <c r="W930" s="475"/>
    </row>
    <row r="931" spans="2:23" s="97" customFormat="1">
      <c r="B931" s="96"/>
      <c r="H931" s="96"/>
      <c r="J931" s="1"/>
      <c r="K931" s="1"/>
      <c r="L931" s="1"/>
      <c r="O931" s="475"/>
      <c r="P931" s="475"/>
      <c r="Q931" s="475"/>
      <c r="R931" s="475"/>
      <c r="S931" s="475"/>
      <c r="T931" s="475"/>
      <c r="U931" s="475"/>
      <c r="V931" s="475"/>
      <c r="W931" s="475"/>
    </row>
    <row r="932" spans="2:23" s="97" customFormat="1">
      <c r="B932" s="96"/>
      <c r="H932" s="96"/>
      <c r="J932" s="1"/>
      <c r="K932" s="1"/>
      <c r="L932" s="1"/>
      <c r="O932" s="475"/>
      <c r="P932" s="475"/>
      <c r="Q932" s="475"/>
      <c r="R932" s="475"/>
      <c r="S932" s="475"/>
      <c r="T932" s="475"/>
      <c r="U932" s="475"/>
      <c r="V932" s="475"/>
      <c r="W932" s="475"/>
    </row>
    <row r="933" spans="2:23" s="97" customFormat="1">
      <c r="B933" s="96"/>
      <c r="H933" s="96"/>
      <c r="J933" s="1"/>
      <c r="K933" s="1"/>
      <c r="L933" s="1"/>
      <c r="O933" s="475"/>
      <c r="P933" s="475"/>
      <c r="Q933" s="475"/>
      <c r="R933" s="475"/>
      <c r="S933" s="475"/>
      <c r="T933" s="475"/>
      <c r="U933" s="475"/>
      <c r="V933" s="475"/>
      <c r="W933" s="475"/>
    </row>
    <row r="934" spans="2:23" s="97" customFormat="1">
      <c r="B934" s="96"/>
      <c r="H934" s="96"/>
      <c r="J934" s="1"/>
      <c r="K934" s="1"/>
      <c r="L934" s="1"/>
      <c r="O934" s="475"/>
      <c r="P934" s="475"/>
      <c r="Q934" s="475"/>
      <c r="R934" s="475"/>
      <c r="S934" s="475"/>
      <c r="T934" s="475"/>
      <c r="U934" s="475"/>
      <c r="V934" s="475"/>
      <c r="W934" s="475"/>
    </row>
    <row r="935" spans="2:23" s="97" customFormat="1">
      <c r="B935" s="96"/>
      <c r="H935" s="96"/>
      <c r="J935" s="1"/>
      <c r="K935" s="1"/>
      <c r="L935" s="1"/>
      <c r="O935" s="475"/>
      <c r="P935" s="475"/>
      <c r="Q935" s="475"/>
      <c r="R935" s="475"/>
      <c r="S935" s="475"/>
      <c r="T935" s="475"/>
      <c r="U935" s="475"/>
      <c r="V935" s="475"/>
      <c r="W935" s="475"/>
    </row>
    <row r="936" spans="2:23" s="97" customFormat="1">
      <c r="B936" s="96"/>
      <c r="H936" s="96"/>
      <c r="J936" s="1"/>
      <c r="K936" s="1"/>
      <c r="L936" s="1"/>
      <c r="O936" s="475"/>
      <c r="P936" s="475"/>
      <c r="Q936" s="475"/>
      <c r="R936" s="475"/>
      <c r="S936" s="475"/>
      <c r="T936" s="475"/>
      <c r="U936" s="475"/>
      <c r="V936" s="475"/>
      <c r="W936" s="475"/>
    </row>
    <row r="937" spans="2:23" s="97" customFormat="1">
      <c r="B937" s="96"/>
      <c r="H937" s="96"/>
      <c r="J937" s="1"/>
      <c r="K937" s="1"/>
      <c r="L937" s="1"/>
      <c r="O937" s="475"/>
      <c r="P937" s="475"/>
      <c r="Q937" s="475"/>
      <c r="R937" s="475"/>
      <c r="S937" s="475"/>
      <c r="T937" s="475"/>
      <c r="U937" s="475"/>
      <c r="V937" s="475"/>
      <c r="W937" s="475"/>
    </row>
    <row r="938" spans="2:23" s="97" customFormat="1">
      <c r="B938" s="96"/>
      <c r="H938" s="96"/>
      <c r="J938" s="1"/>
      <c r="K938" s="1"/>
      <c r="L938" s="1"/>
      <c r="O938" s="475"/>
      <c r="P938" s="475"/>
      <c r="Q938" s="475"/>
      <c r="R938" s="475"/>
      <c r="S938" s="475"/>
      <c r="T938" s="475"/>
      <c r="U938" s="475"/>
      <c r="V938" s="475"/>
      <c r="W938" s="475"/>
    </row>
    <row r="939" spans="2:23" s="97" customFormat="1">
      <c r="B939" s="96"/>
      <c r="H939" s="96"/>
      <c r="J939" s="1"/>
      <c r="K939" s="1"/>
      <c r="L939" s="1"/>
      <c r="O939" s="475"/>
      <c r="P939" s="475"/>
      <c r="Q939" s="475"/>
      <c r="R939" s="475"/>
      <c r="S939" s="475"/>
      <c r="T939" s="475"/>
      <c r="U939" s="475"/>
      <c r="V939" s="475"/>
      <c r="W939" s="475"/>
    </row>
    <row r="940" spans="2:23" s="97" customFormat="1">
      <c r="B940" s="96"/>
      <c r="H940" s="96"/>
      <c r="J940" s="1"/>
      <c r="K940" s="1"/>
      <c r="L940" s="1"/>
      <c r="O940" s="475"/>
      <c r="P940" s="475"/>
      <c r="Q940" s="475"/>
      <c r="R940" s="475"/>
      <c r="S940" s="475"/>
      <c r="T940" s="475"/>
      <c r="U940" s="475"/>
      <c r="V940" s="475"/>
      <c r="W940" s="475"/>
    </row>
    <row r="941" spans="2:23" s="97" customFormat="1">
      <c r="B941" s="96"/>
      <c r="H941" s="96"/>
      <c r="J941" s="1"/>
      <c r="K941" s="1"/>
      <c r="L941" s="1"/>
      <c r="O941" s="475"/>
      <c r="P941" s="475"/>
      <c r="Q941" s="475"/>
      <c r="R941" s="475"/>
      <c r="S941" s="475"/>
      <c r="T941" s="475"/>
      <c r="U941" s="475"/>
      <c r="V941" s="475"/>
      <c r="W941" s="475"/>
    </row>
    <row r="942" spans="2:23" s="97" customFormat="1">
      <c r="B942" s="96"/>
      <c r="H942" s="96"/>
      <c r="J942" s="1"/>
      <c r="K942" s="1"/>
      <c r="L942" s="1"/>
      <c r="O942" s="475"/>
      <c r="P942" s="475"/>
      <c r="Q942" s="475"/>
      <c r="R942" s="475"/>
      <c r="S942" s="475"/>
      <c r="T942" s="475"/>
      <c r="U942" s="475"/>
      <c r="V942" s="475"/>
      <c r="W942" s="475"/>
    </row>
    <row r="943" spans="2:23" s="97" customFormat="1">
      <c r="B943" s="96"/>
      <c r="H943" s="96"/>
      <c r="J943" s="1"/>
      <c r="K943" s="1"/>
      <c r="L943" s="1"/>
      <c r="O943" s="475"/>
      <c r="P943" s="475"/>
      <c r="Q943" s="475"/>
      <c r="R943" s="475"/>
      <c r="S943" s="475"/>
      <c r="T943" s="475"/>
      <c r="U943" s="475"/>
      <c r="V943" s="475"/>
      <c r="W943" s="475"/>
    </row>
    <row r="944" spans="2:23" s="97" customFormat="1">
      <c r="B944" s="96"/>
      <c r="H944" s="96"/>
      <c r="J944" s="1"/>
      <c r="K944" s="1"/>
      <c r="L944" s="1"/>
      <c r="O944" s="475"/>
      <c r="P944" s="475"/>
      <c r="Q944" s="475"/>
      <c r="R944" s="475"/>
      <c r="S944" s="475"/>
      <c r="T944" s="475"/>
      <c r="U944" s="475"/>
      <c r="V944" s="475"/>
      <c r="W944" s="475"/>
    </row>
    <row r="945" spans="2:23" s="97" customFormat="1">
      <c r="B945" s="96"/>
      <c r="H945" s="96"/>
      <c r="J945" s="1"/>
      <c r="K945" s="1"/>
      <c r="L945" s="1"/>
      <c r="O945" s="475"/>
      <c r="P945" s="475"/>
      <c r="Q945" s="475"/>
      <c r="R945" s="475"/>
      <c r="S945" s="475"/>
      <c r="T945" s="475"/>
      <c r="U945" s="475"/>
      <c r="V945" s="475"/>
      <c r="W945" s="475"/>
    </row>
    <row r="946" spans="2:23" s="97" customFormat="1">
      <c r="B946" s="96"/>
      <c r="H946" s="96"/>
      <c r="J946" s="1"/>
      <c r="K946" s="1"/>
      <c r="L946" s="1"/>
      <c r="O946" s="475"/>
      <c r="P946" s="475"/>
      <c r="Q946" s="475"/>
      <c r="R946" s="475"/>
      <c r="S946" s="475"/>
      <c r="T946" s="475"/>
      <c r="U946" s="475"/>
      <c r="V946" s="475"/>
      <c r="W946" s="475"/>
    </row>
    <row r="947" spans="2:23" s="97" customFormat="1">
      <c r="B947" s="96"/>
      <c r="H947" s="96"/>
      <c r="J947" s="1"/>
      <c r="K947" s="1"/>
      <c r="L947" s="1"/>
      <c r="O947" s="475"/>
      <c r="P947" s="475"/>
      <c r="Q947" s="475"/>
      <c r="R947" s="475"/>
      <c r="S947" s="475"/>
      <c r="T947" s="475"/>
      <c r="U947" s="475"/>
      <c r="V947" s="475"/>
      <c r="W947" s="475"/>
    </row>
    <row r="948" spans="2:23" s="97" customFormat="1">
      <c r="B948" s="96"/>
      <c r="H948" s="96"/>
      <c r="J948" s="1"/>
      <c r="K948" s="1"/>
      <c r="L948" s="1"/>
      <c r="O948" s="475"/>
      <c r="P948" s="475"/>
      <c r="Q948" s="475"/>
      <c r="R948" s="475"/>
      <c r="S948" s="475"/>
      <c r="T948" s="475"/>
      <c r="U948" s="475"/>
      <c r="V948" s="475"/>
      <c r="W948" s="475"/>
    </row>
    <row r="949" spans="2:23" s="97" customFormat="1">
      <c r="B949" s="96"/>
      <c r="H949" s="96"/>
      <c r="J949" s="1"/>
      <c r="K949" s="1"/>
      <c r="L949" s="1"/>
      <c r="O949" s="475"/>
      <c r="P949" s="475"/>
      <c r="Q949" s="475"/>
      <c r="R949" s="475"/>
      <c r="S949" s="475"/>
      <c r="T949" s="475"/>
      <c r="U949" s="475"/>
      <c r="V949" s="475"/>
      <c r="W949" s="475"/>
    </row>
    <row r="950" spans="2:23" s="97" customFormat="1">
      <c r="B950" s="96"/>
      <c r="H950" s="96"/>
      <c r="J950" s="1"/>
      <c r="K950" s="1"/>
      <c r="L950" s="1"/>
      <c r="O950" s="475"/>
      <c r="P950" s="475"/>
      <c r="Q950" s="475"/>
      <c r="R950" s="475"/>
      <c r="S950" s="475"/>
      <c r="T950" s="475"/>
      <c r="U950" s="475"/>
      <c r="V950" s="475"/>
      <c r="W950" s="475"/>
    </row>
    <row r="951" spans="2:23" s="97" customFormat="1">
      <c r="B951" s="96"/>
      <c r="H951" s="96"/>
      <c r="J951" s="1"/>
      <c r="K951" s="1"/>
      <c r="L951" s="1"/>
      <c r="O951" s="475"/>
      <c r="P951" s="475"/>
      <c r="Q951" s="475"/>
      <c r="R951" s="475"/>
      <c r="S951" s="475"/>
      <c r="T951" s="475"/>
      <c r="U951" s="475"/>
      <c r="V951" s="475"/>
      <c r="W951" s="475"/>
    </row>
    <row r="952" spans="2:23" s="97" customFormat="1">
      <c r="B952" s="96"/>
      <c r="H952" s="96"/>
      <c r="J952" s="1"/>
      <c r="K952" s="1"/>
      <c r="L952" s="1"/>
      <c r="O952" s="475"/>
      <c r="P952" s="475"/>
      <c r="Q952" s="475"/>
      <c r="R952" s="475"/>
      <c r="S952" s="475"/>
      <c r="T952" s="475"/>
      <c r="U952" s="475"/>
      <c r="V952" s="475"/>
      <c r="W952" s="475"/>
    </row>
    <row r="953" spans="2:23" s="97" customFormat="1">
      <c r="B953" s="96"/>
      <c r="H953" s="96"/>
      <c r="J953" s="1"/>
      <c r="K953" s="1"/>
      <c r="L953" s="1"/>
      <c r="O953" s="475"/>
      <c r="P953" s="475"/>
      <c r="Q953" s="475"/>
      <c r="R953" s="475"/>
      <c r="S953" s="475"/>
      <c r="T953" s="475"/>
      <c r="U953" s="475"/>
      <c r="V953" s="475"/>
      <c r="W953" s="475"/>
    </row>
    <row r="954" spans="2:23" s="97" customFormat="1">
      <c r="B954" s="96"/>
      <c r="H954" s="96"/>
      <c r="J954" s="1"/>
      <c r="K954" s="1"/>
      <c r="L954" s="1"/>
      <c r="O954" s="475"/>
      <c r="P954" s="475"/>
      <c r="Q954" s="475"/>
      <c r="R954" s="475"/>
      <c r="S954" s="475"/>
      <c r="T954" s="475"/>
      <c r="U954" s="475"/>
      <c r="V954" s="475"/>
      <c r="W954" s="475"/>
    </row>
    <row r="955" spans="2:23" s="97" customFormat="1">
      <c r="B955" s="96"/>
      <c r="H955" s="96"/>
      <c r="J955" s="1"/>
      <c r="K955" s="1"/>
      <c r="L955" s="1"/>
      <c r="O955" s="475"/>
      <c r="P955" s="475"/>
      <c r="Q955" s="475"/>
      <c r="R955" s="475"/>
      <c r="S955" s="475"/>
      <c r="T955" s="475"/>
      <c r="U955" s="475"/>
      <c r="V955" s="475"/>
      <c r="W955" s="475"/>
    </row>
    <row r="956" spans="2:23" s="97" customFormat="1">
      <c r="B956" s="96"/>
      <c r="H956" s="96"/>
      <c r="J956" s="1"/>
      <c r="K956" s="1"/>
      <c r="L956" s="1"/>
      <c r="O956" s="475"/>
      <c r="P956" s="475"/>
      <c r="Q956" s="475"/>
      <c r="R956" s="475"/>
      <c r="S956" s="475"/>
      <c r="T956" s="475"/>
      <c r="U956" s="475"/>
      <c r="V956" s="475"/>
      <c r="W956" s="475"/>
    </row>
    <row r="957" spans="2:23" s="97" customFormat="1">
      <c r="B957" s="96"/>
      <c r="H957" s="96"/>
      <c r="J957" s="1"/>
      <c r="K957" s="1"/>
      <c r="L957" s="1"/>
      <c r="O957" s="475"/>
      <c r="P957" s="475"/>
      <c r="Q957" s="475"/>
      <c r="R957" s="475"/>
      <c r="S957" s="475"/>
      <c r="T957" s="475"/>
      <c r="U957" s="475"/>
      <c r="V957" s="475"/>
      <c r="W957" s="475"/>
    </row>
    <row r="958" spans="2:23" s="97" customFormat="1">
      <c r="B958" s="96"/>
      <c r="H958" s="96"/>
      <c r="J958" s="1"/>
      <c r="K958" s="1"/>
      <c r="L958" s="1"/>
      <c r="O958" s="475"/>
      <c r="P958" s="475"/>
      <c r="Q958" s="475"/>
      <c r="R958" s="475"/>
      <c r="S958" s="475"/>
      <c r="T958" s="475"/>
      <c r="U958" s="475"/>
      <c r="V958" s="475"/>
      <c r="W958" s="475"/>
    </row>
    <row r="959" spans="2:23" s="97" customFormat="1">
      <c r="B959" s="96"/>
      <c r="H959" s="96"/>
      <c r="J959" s="1"/>
      <c r="K959" s="1"/>
      <c r="L959" s="1"/>
      <c r="O959" s="475"/>
      <c r="P959" s="475"/>
      <c r="Q959" s="475"/>
      <c r="R959" s="475"/>
      <c r="S959" s="475"/>
      <c r="T959" s="475"/>
      <c r="U959" s="475"/>
      <c r="V959" s="475"/>
      <c r="W959" s="475"/>
    </row>
    <row r="960" spans="2:23" s="97" customFormat="1">
      <c r="B960" s="96"/>
      <c r="H960" s="96"/>
      <c r="J960" s="1"/>
      <c r="K960" s="1"/>
      <c r="L960" s="1"/>
      <c r="O960" s="475"/>
      <c r="P960" s="475"/>
      <c r="Q960" s="475"/>
      <c r="R960" s="475"/>
      <c r="S960" s="475"/>
      <c r="T960" s="475"/>
      <c r="U960" s="475"/>
      <c r="V960" s="475"/>
      <c r="W960" s="475"/>
    </row>
    <row r="961" spans="2:23" s="97" customFormat="1">
      <c r="B961" s="96"/>
      <c r="H961" s="96"/>
      <c r="J961" s="1"/>
      <c r="K961" s="1"/>
      <c r="L961" s="1"/>
      <c r="O961" s="475"/>
      <c r="P961" s="475"/>
      <c r="Q961" s="475"/>
      <c r="R961" s="475"/>
      <c r="S961" s="475"/>
      <c r="T961" s="475"/>
      <c r="U961" s="475"/>
      <c r="V961" s="475"/>
      <c r="W961" s="475"/>
    </row>
    <row r="962" spans="2:23" s="97" customFormat="1">
      <c r="B962" s="96"/>
      <c r="H962" s="96"/>
      <c r="J962" s="1"/>
      <c r="K962" s="1"/>
      <c r="L962" s="1"/>
      <c r="O962" s="475"/>
      <c r="P962" s="475"/>
      <c r="Q962" s="475"/>
      <c r="R962" s="475"/>
      <c r="S962" s="475"/>
      <c r="T962" s="475"/>
      <c r="U962" s="475"/>
      <c r="V962" s="475"/>
      <c r="W962" s="475"/>
    </row>
    <row r="963" spans="2:23" s="97" customFormat="1">
      <c r="B963" s="96"/>
      <c r="H963" s="96"/>
      <c r="J963" s="1"/>
      <c r="K963" s="1"/>
      <c r="L963" s="1"/>
      <c r="O963" s="475"/>
      <c r="P963" s="475"/>
      <c r="Q963" s="475"/>
      <c r="R963" s="475"/>
      <c r="S963" s="475"/>
      <c r="T963" s="475"/>
      <c r="U963" s="475"/>
      <c r="V963" s="475"/>
      <c r="W963" s="475"/>
    </row>
    <row r="964" spans="2:23" s="97" customFormat="1">
      <c r="B964" s="96"/>
      <c r="H964" s="96"/>
      <c r="J964" s="1"/>
      <c r="K964" s="1"/>
      <c r="L964" s="1"/>
      <c r="O964" s="475"/>
      <c r="P964" s="475"/>
      <c r="Q964" s="475"/>
      <c r="R964" s="475"/>
      <c r="S964" s="475"/>
      <c r="T964" s="475"/>
      <c r="U964" s="475"/>
      <c r="V964" s="475"/>
      <c r="W964" s="475"/>
    </row>
    <row r="965" spans="2:23" s="97" customFormat="1">
      <c r="B965" s="96"/>
      <c r="H965" s="96"/>
      <c r="J965" s="1"/>
      <c r="K965" s="1"/>
      <c r="L965" s="1"/>
      <c r="O965" s="475"/>
      <c r="P965" s="475"/>
      <c r="Q965" s="475"/>
      <c r="R965" s="475"/>
      <c r="S965" s="475"/>
      <c r="T965" s="475"/>
      <c r="U965" s="475"/>
      <c r="V965" s="475"/>
      <c r="W965" s="475"/>
    </row>
    <row r="966" spans="2:23" s="97" customFormat="1">
      <c r="B966" s="96"/>
      <c r="H966" s="96"/>
      <c r="J966" s="1"/>
      <c r="K966" s="1"/>
      <c r="L966" s="1"/>
      <c r="O966" s="475"/>
      <c r="P966" s="475"/>
      <c r="Q966" s="475"/>
      <c r="R966" s="475"/>
      <c r="S966" s="475"/>
      <c r="T966" s="475"/>
      <c r="U966" s="475"/>
      <c r="V966" s="475"/>
      <c r="W966" s="475"/>
    </row>
    <row r="967" spans="2:23" s="97" customFormat="1">
      <c r="B967" s="96"/>
      <c r="H967" s="96"/>
      <c r="J967" s="1"/>
      <c r="K967" s="1"/>
      <c r="L967" s="1"/>
      <c r="O967" s="475"/>
      <c r="P967" s="475"/>
      <c r="Q967" s="475"/>
      <c r="R967" s="475"/>
      <c r="S967" s="475"/>
      <c r="T967" s="475"/>
      <c r="U967" s="475"/>
      <c r="V967" s="475"/>
      <c r="W967" s="475"/>
    </row>
    <row r="968" spans="2:23" s="97" customFormat="1">
      <c r="B968" s="96"/>
      <c r="H968" s="96"/>
      <c r="J968" s="1"/>
      <c r="K968" s="1"/>
      <c r="L968" s="1"/>
      <c r="O968" s="475"/>
      <c r="P968" s="475"/>
      <c r="Q968" s="475"/>
      <c r="R968" s="475"/>
      <c r="S968" s="475"/>
      <c r="T968" s="475"/>
      <c r="U968" s="475"/>
      <c r="V968" s="475"/>
      <c r="W968" s="475"/>
    </row>
    <row r="969" spans="2:23" s="97" customFormat="1">
      <c r="B969" s="96"/>
      <c r="H969" s="96"/>
      <c r="J969" s="1"/>
      <c r="K969" s="1"/>
      <c r="L969" s="1"/>
      <c r="O969" s="475"/>
      <c r="P969" s="475"/>
      <c r="Q969" s="475"/>
      <c r="R969" s="475"/>
      <c r="S969" s="475"/>
      <c r="T969" s="475"/>
      <c r="U969" s="475"/>
      <c r="V969" s="475"/>
      <c r="W969" s="475"/>
    </row>
    <row r="970" spans="2:23" s="97" customFormat="1">
      <c r="B970" s="96"/>
      <c r="H970" s="96"/>
      <c r="J970" s="1"/>
      <c r="K970" s="1"/>
      <c r="L970" s="1"/>
      <c r="O970" s="475"/>
      <c r="P970" s="475"/>
      <c r="Q970" s="475"/>
      <c r="R970" s="475"/>
      <c r="S970" s="475"/>
      <c r="T970" s="475"/>
      <c r="U970" s="475"/>
      <c r="V970" s="475"/>
      <c r="W970" s="475"/>
    </row>
    <row r="971" spans="2:23" s="97" customFormat="1">
      <c r="B971" s="96"/>
      <c r="H971" s="96"/>
      <c r="J971" s="1"/>
      <c r="K971" s="1"/>
      <c r="L971" s="1"/>
      <c r="O971" s="475"/>
      <c r="P971" s="475"/>
      <c r="Q971" s="475"/>
      <c r="R971" s="475"/>
      <c r="S971" s="475"/>
      <c r="T971" s="475"/>
      <c r="U971" s="475"/>
      <c r="V971" s="475"/>
      <c r="W971" s="475"/>
    </row>
    <row r="972" spans="2:23" s="97" customFormat="1">
      <c r="B972" s="96"/>
      <c r="H972" s="96"/>
      <c r="J972" s="1"/>
      <c r="K972" s="1"/>
      <c r="L972" s="1"/>
      <c r="O972" s="475"/>
      <c r="P972" s="475"/>
      <c r="Q972" s="475"/>
      <c r="R972" s="475"/>
      <c r="S972" s="475"/>
      <c r="T972" s="475"/>
      <c r="U972" s="475"/>
      <c r="V972" s="475"/>
      <c r="W972" s="475"/>
    </row>
    <row r="973" spans="2:23" s="97" customFormat="1">
      <c r="B973" s="96"/>
      <c r="H973" s="96"/>
      <c r="J973" s="1"/>
      <c r="K973" s="1"/>
      <c r="L973" s="1"/>
      <c r="O973" s="475"/>
      <c r="P973" s="475"/>
      <c r="Q973" s="475"/>
      <c r="R973" s="475"/>
      <c r="S973" s="475"/>
      <c r="T973" s="475"/>
      <c r="U973" s="475"/>
      <c r="V973" s="475"/>
      <c r="W973" s="475"/>
    </row>
    <row r="974" spans="2:23" s="97" customFormat="1">
      <c r="B974" s="96"/>
      <c r="H974" s="96"/>
      <c r="J974" s="1"/>
      <c r="K974" s="1"/>
      <c r="L974" s="1"/>
      <c r="O974" s="475"/>
      <c r="P974" s="475"/>
      <c r="Q974" s="475"/>
      <c r="R974" s="475"/>
      <c r="S974" s="475"/>
      <c r="T974" s="475"/>
      <c r="U974" s="475"/>
      <c r="V974" s="475"/>
      <c r="W974" s="475"/>
    </row>
    <row r="975" spans="2:23" s="97" customFormat="1">
      <c r="B975" s="96"/>
      <c r="H975" s="96"/>
      <c r="J975" s="1"/>
      <c r="K975" s="1"/>
      <c r="L975" s="1"/>
      <c r="O975" s="475"/>
      <c r="P975" s="475"/>
      <c r="Q975" s="475"/>
      <c r="R975" s="475"/>
      <c r="S975" s="475"/>
      <c r="T975" s="475"/>
      <c r="U975" s="475"/>
      <c r="V975" s="475"/>
      <c r="W975" s="475"/>
    </row>
    <row r="976" spans="2:23" s="97" customFormat="1">
      <c r="B976" s="96"/>
      <c r="H976" s="96"/>
      <c r="J976" s="1"/>
      <c r="K976" s="1"/>
      <c r="L976" s="1"/>
      <c r="O976" s="475"/>
      <c r="P976" s="475"/>
      <c r="Q976" s="475"/>
      <c r="R976" s="475"/>
      <c r="S976" s="475"/>
      <c r="T976" s="475"/>
      <c r="U976" s="475"/>
      <c r="V976" s="475"/>
      <c r="W976" s="475"/>
    </row>
    <row r="977" spans="2:23" s="97" customFormat="1">
      <c r="B977" s="96"/>
      <c r="H977" s="96"/>
      <c r="J977" s="1"/>
      <c r="K977" s="1"/>
      <c r="L977" s="1"/>
      <c r="O977" s="475"/>
      <c r="P977" s="475"/>
      <c r="Q977" s="475"/>
      <c r="R977" s="475"/>
      <c r="S977" s="475"/>
      <c r="T977" s="475"/>
      <c r="U977" s="475"/>
      <c r="V977" s="475"/>
      <c r="W977" s="475"/>
    </row>
    <row r="978" spans="2:23" s="97" customFormat="1">
      <c r="B978" s="96"/>
      <c r="H978" s="96"/>
      <c r="J978" s="1"/>
      <c r="K978" s="1"/>
      <c r="L978" s="1"/>
      <c r="O978" s="475"/>
      <c r="P978" s="475"/>
      <c r="Q978" s="475"/>
      <c r="R978" s="475"/>
      <c r="S978" s="475"/>
      <c r="T978" s="475"/>
      <c r="U978" s="475"/>
      <c r="V978" s="475"/>
      <c r="W978" s="475"/>
    </row>
    <row r="979" spans="2:23" s="97" customFormat="1">
      <c r="B979" s="96"/>
      <c r="H979" s="96"/>
      <c r="J979" s="1"/>
      <c r="K979" s="1"/>
      <c r="L979" s="1"/>
      <c r="O979" s="475"/>
      <c r="P979" s="475"/>
      <c r="Q979" s="475"/>
      <c r="R979" s="475"/>
      <c r="S979" s="475"/>
      <c r="T979" s="475"/>
      <c r="U979" s="475"/>
      <c r="V979" s="475"/>
      <c r="W979" s="475"/>
    </row>
    <row r="980" spans="2:23" s="97" customFormat="1">
      <c r="B980" s="96"/>
      <c r="H980" s="96"/>
      <c r="J980" s="1"/>
      <c r="K980" s="1"/>
      <c r="L980" s="1"/>
      <c r="O980" s="475"/>
      <c r="P980" s="475"/>
      <c r="Q980" s="475"/>
      <c r="R980" s="475"/>
      <c r="S980" s="475"/>
      <c r="T980" s="475"/>
      <c r="U980" s="475"/>
      <c r="V980" s="475"/>
      <c r="W980" s="475"/>
    </row>
    <row r="981" spans="2:23" s="97" customFormat="1">
      <c r="B981" s="96"/>
      <c r="H981" s="96"/>
      <c r="J981" s="1"/>
      <c r="K981" s="1"/>
      <c r="L981" s="1"/>
      <c r="O981" s="475"/>
      <c r="P981" s="475"/>
      <c r="Q981" s="475"/>
      <c r="R981" s="475"/>
      <c r="S981" s="475"/>
      <c r="T981" s="475"/>
      <c r="U981" s="475"/>
      <c r="V981" s="475"/>
      <c r="W981" s="475"/>
    </row>
    <row r="982" spans="2:23" s="97" customFormat="1">
      <c r="B982" s="96"/>
      <c r="H982" s="96"/>
      <c r="J982" s="1"/>
      <c r="K982" s="1"/>
      <c r="L982" s="1"/>
      <c r="O982" s="475"/>
      <c r="P982" s="475"/>
      <c r="Q982" s="475"/>
      <c r="R982" s="475"/>
      <c r="S982" s="475"/>
      <c r="T982" s="475"/>
      <c r="U982" s="475"/>
      <c r="V982" s="475"/>
      <c r="W982" s="475"/>
    </row>
    <row r="983" spans="2:23" s="97" customFormat="1">
      <c r="B983" s="96"/>
      <c r="H983" s="96"/>
      <c r="J983" s="1"/>
      <c r="K983" s="1"/>
      <c r="L983" s="1"/>
      <c r="O983" s="475"/>
      <c r="P983" s="475"/>
      <c r="Q983" s="475"/>
      <c r="R983" s="475"/>
      <c r="S983" s="475"/>
      <c r="T983" s="475"/>
      <c r="U983" s="475"/>
      <c r="V983" s="475"/>
      <c r="W983" s="475"/>
    </row>
    <row r="984" spans="2:23" s="97" customFormat="1">
      <c r="B984" s="96"/>
      <c r="H984" s="96"/>
      <c r="J984" s="1"/>
      <c r="K984" s="1"/>
      <c r="L984" s="1"/>
      <c r="O984" s="475"/>
      <c r="P984" s="475"/>
      <c r="Q984" s="475"/>
      <c r="R984" s="475"/>
      <c r="S984" s="475"/>
      <c r="T984" s="475"/>
      <c r="U984" s="475"/>
      <c r="V984" s="475"/>
      <c r="W984" s="475"/>
    </row>
    <row r="985" spans="2:23" s="97" customFormat="1">
      <c r="B985" s="96"/>
      <c r="H985" s="96"/>
      <c r="J985" s="1"/>
      <c r="K985" s="1"/>
      <c r="L985" s="1"/>
      <c r="O985" s="475"/>
      <c r="P985" s="475"/>
      <c r="Q985" s="475"/>
      <c r="R985" s="475"/>
      <c r="S985" s="475"/>
      <c r="T985" s="475"/>
      <c r="U985" s="475"/>
      <c r="V985" s="475"/>
      <c r="W985" s="475"/>
    </row>
    <row r="986" spans="2:23" s="97" customFormat="1">
      <c r="B986" s="96"/>
      <c r="H986" s="96"/>
      <c r="J986" s="1"/>
      <c r="K986" s="1"/>
      <c r="L986" s="1"/>
      <c r="O986" s="475"/>
      <c r="P986" s="475"/>
      <c r="Q986" s="475"/>
      <c r="R986" s="475"/>
      <c r="S986" s="475"/>
      <c r="T986" s="475"/>
      <c r="U986" s="475"/>
      <c r="V986" s="475"/>
      <c r="W986" s="475"/>
    </row>
    <row r="987" spans="2:23" s="97" customFormat="1">
      <c r="B987" s="96"/>
      <c r="H987" s="96"/>
      <c r="J987" s="1"/>
      <c r="K987" s="1"/>
      <c r="L987" s="1"/>
      <c r="O987" s="475"/>
      <c r="P987" s="475"/>
      <c r="Q987" s="475"/>
      <c r="R987" s="475"/>
      <c r="S987" s="475"/>
      <c r="T987" s="475"/>
      <c r="U987" s="475"/>
      <c r="V987" s="475"/>
      <c r="W987" s="475"/>
    </row>
    <row r="988" spans="2:23" s="97" customFormat="1">
      <c r="B988" s="96"/>
      <c r="H988" s="96"/>
      <c r="J988" s="1"/>
      <c r="K988" s="1"/>
      <c r="L988" s="1"/>
      <c r="O988" s="475"/>
      <c r="P988" s="475"/>
      <c r="Q988" s="475"/>
      <c r="R988" s="475"/>
      <c r="S988" s="475"/>
      <c r="T988" s="475"/>
      <c r="U988" s="475"/>
      <c r="V988" s="475"/>
      <c r="W988" s="475"/>
    </row>
    <row r="989" spans="2:23" s="97" customFormat="1">
      <c r="B989" s="96"/>
      <c r="H989" s="96"/>
      <c r="J989" s="1"/>
      <c r="K989" s="1"/>
      <c r="L989" s="1"/>
      <c r="O989" s="475"/>
      <c r="P989" s="475"/>
      <c r="Q989" s="475"/>
      <c r="R989" s="475"/>
      <c r="S989" s="475"/>
      <c r="T989" s="475"/>
      <c r="U989" s="475"/>
      <c r="V989" s="475"/>
      <c r="W989" s="475"/>
    </row>
    <row r="990" spans="2:23" s="97" customFormat="1">
      <c r="B990" s="96"/>
      <c r="H990" s="96"/>
      <c r="J990" s="1"/>
      <c r="K990" s="1"/>
      <c r="L990" s="1"/>
      <c r="O990" s="475"/>
      <c r="P990" s="475"/>
      <c r="Q990" s="475"/>
      <c r="R990" s="475"/>
      <c r="S990" s="475"/>
      <c r="T990" s="475"/>
      <c r="U990" s="475"/>
      <c r="V990" s="475"/>
      <c r="W990" s="475"/>
    </row>
    <row r="991" spans="2:23" s="97" customFormat="1">
      <c r="B991" s="96"/>
      <c r="H991" s="96"/>
      <c r="J991" s="1"/>
      <c r="K991" s="1"/>
      <c r="L991" s="1"/>
      <c r="O991" s="475"/>
      <c r="P991" s="475"/>
      <c r="Q991" s="475"/>
      <c r="R991" s="475"/>
      <c r="S991" s="475"/>
      <c r="T991" s="475"/>
      <c r="U991" s="475"/>
      <c r="V991" s="475"/>
      <c r="W991" s="475"/>
    </row>
    <row r="992" spans="2:23" s="97" customFormat="1">
      <c r="B992" s="96"/>
      <c r="H992" s="96"/>
      <c r="J992" s="1"/>
      <c r="K992" s="1"/>
      <c r="L992" s="1"/>
      <c r="O992" s="475"/>
      <c r="P992" s="475"/>
      <c r="Q992" s="475"/>
      <c r="R992" s="475"/>
      <c r="S992" s="475"/>
      <c r="T992" s="475"/>
      <c r="U992" s="475"/>
      <c r="V992" s="475"/>
      <c r="W992" s="475"/>
    </row>
    <row r="993" spans="2:23" s="97" customFormat="1">
      <c r="B993" s="96"/>
      <c r="H993" s="96"/>
      <c r="J993" s="1"/>
      <c r="K993" s="1"/>
      <c r="L993" s="1"/>
      <c r="O993" s="475"/>
      <c r="P993" s="475"/>
      <c r="Q993" s="475"/>
      <c r="R993" s="475"/>
      <c r="S993" s="475"/>
      <c r="T993" s="475"/>
      <c r="U993" s="475"/>
      <c r="V993" s="475"/>
      <c r="W993" s="475"/>
    </row>
    <row r="994" spans="2:23" s="97" customFormat="1">
      <c r="B994" s="96"/>
      <c r="H994" s="96"/>
      <c r="J994" s="1"/>
      <c r="K994" s="1"/>
      <c r="L994" s="1"/>
      <c r="O994" s="475"/>
      <c r="P994" s="475"/>
      <c r="Q994" s="475"/>
      <c r="R994" s="475"/>
      <c r="S994" s="475"/>
      <c r="T994" s="475"/>
      <c r="U994" s="475"/>
      <c r="V994" s="475"/>
      <c r="W994" s="475"/>
    </row>
    <row r="995" spans="2:23" s="97" customFormat="1">
      <c r="B995" s="96"/>
      <c r="H995" s="96"/>
      <c r="J995" s="1"/>
      <c r="K995" s="1"/>
      <c r="L995" s="1"/>
      <c r="O995" s="475"/>
      <c r="P995" s="475"/>
      <c r="Q995" s="475"/>
      <c r="R995" s="475"/>
      <c r="S995" s="475"/>
      <c r="T995" s="475"/>
      <c r="U995" s="475"/>
      <c r="V995" s="475"/>
      <c r="W995" s="475"/>
    </row>
    <row r="996" spans="2:23" s="97" customFormat="1">
      <c r="B996" s="96"/>
      <c r="H996" s="96"/>
      <c r="J996" s="1"/>
      <c r="K996" s="1"/>
      <c r="L996" s="1"/>
      <c r="O996" s="475"/>
      <c r="P996" s="475"/>
      <c r="Q996" s="475"/>
      <c r="R996" s="475"/>
      <c r="S996" s="475"/>
      <c r="T996" s="475"/>
      <c r="U996" s="475"/>
      <c r="V996" s="475"/>
      <c r="W996" s="475"/>
    </row>
    <row r="997" spans="2:23" s="97" customFormat="1">
      <c r="B997" s="96"/>
      <c r="H997" s="96"/>
      <c r="J997" s="1"/>
      <c r="K997" s="1"/>
      <c r="L997" s="1"/>
      <c r="O997" s="475"/>
      <c r="P997" s="475"/>
      <c r="Q997" s="475"/>
      <c r="R997" s="475"/>
      <c r="S997" s="475"/>
      <c r="T997" s="475"/>
      <c r="U997" s="475"/>
      <c r="V997" s="475"/>
      <c r="W997" s="475"/>
    </row>
    <row r="998" spans="2:23" s="97" customFormat="1">
      <c r="B998" s="96"/>
      <c r="H998" s="96"/>
      <c r="J998" s="1"/>
      <c r="K998" s="1"/>
      <c r="L998" s="1"/>
      <c r="O998" s="475"/>
      <c r="P998" s="475"/>
      <c r="Q998" s="475"/>
      <c r="R998" s="475"/>
      <c r="S998" s="475"/>
      <c r="T998" s="475"/>
      <c r="U998" s="475"/>
      <c r="V998" s="475"/>
      <c r="W998" s="475"/>
    </row>
    <row r="999" spans="2:23" s="97" customFormat="1">
      <c r="B999" s="96"/>
      <c r="H999" s="96"/>
      <c r="J999" s="1"/>
      <c r="K999" s="1"/>
      <c r="L999" s="1"/>
      <c r="O999" s="475"/>
      <c r="P999" s="475"/>
      <c r="Q999" s="475"/>
      <c r="R999" s="475"/>
      <c r="S999" s="475"/>
      <c r="T999" s="475"/>
      <c r="U999" s="475"/>
      <c r="V999" s="475"/>
      <c r="W999" s="475"/>
    </row>
    <row r="1000" spans="2:23" s="97" customFormat="1">
      <c r="B1000" s="96"/>
      <c r="H1000" s="96"/>
      <c r="J1000" s="1"/>
      <c r="K1000" s="1"/>
      <c r="L1000" s="1"/>
      <c r="O1000" s="475"/>
      <c r="P1000" s="475"/>
      <c r="Q1000" s="475"/>
      <c r="R1000" s="475"/>
      <c r="S1000" s="475"/>
      <c r="T1000" s="475"/>
      <c r="U1000" s="475"/>
      <c r="V1000" s="475"/>
      <c r="W1000" s="475"/>
    </row>
    <row r="1001" spans="2:23" s="97" customFormat="1">
      <c r="B1001" s="96"/>
      <c r="H1001" s="96"/>
      <c r="J1001" s="1"/>
      <c r="K1001" s="1"/>
      <c r="L1001" s="1"/>
      <c r="O1001" s="475"/>
      <c r="P1001" s="475"/>
      <c r="Q1001" s="475"/>
      <c r="R1001" s="475"/>
      <c r="S1001" s="475"/>
      <c r="T1001" s="475"/>
      <c r="U1001" s="475"/>
      <c r="V1001" s="475"/>
      <c r="W1001" s="475"/>
    </row>
    <row r="1002" spans="2:23" s="97" customFormat="1">
      <c r="B1002" s="96"/>
      <c r="H1002" s="96"/>
      <c r="J1002" s="1"/>
      <c r="K1002" s="1"/>
      <c r="L1002" s="1"/>
      <c r="O1002" s="475"/>
      <c r="P1002" s="475"/>
      <c r="Q1002" s="475"/>
      <c r="R1002" s="475"/>
      <c r="S1002" s="475"/>
      <c r="T1002" s="475"/>
      <c r="U1002" s="475"/>
      <c r="V1002" s="475"/>
      <c r="W1002" s="475"/>
    </row>
    <row r="1003" spans="2:23" s="97" customFormat="1">
      <c r="B1003" s="96"/>
      <c r="H1003" s="96"/>
      <c r="J1003" s="1"/>
      <c r="K1003" s="1"/>
      <c r="L1003" s="1"/>
      <c r="O1003" s="475"/>
      <c r="P1003" s="475"/>
      <c r="Q1003" s="475"/>
      <c r="R1003" s="475"/>
      <c r="S1003" s="475"/>
      <c r="T1003" s="475"/>
      <c r="U1003" s="475"/>
      <c r="V1003" s="475"/>
      <c r="W1003" s="475"/>
    </row>
    <row r="1004" spans="2:23" s="97" customFormat="1">
      <c r="B1004" s="96"/>
      <c r="H1004" s="96"/>
      <c r="J1004" s="1"/>
      <c r="K1004" s="1"/>
      <c r="L1004" s="1"/>
      <c r="O1004" s="475"/>
      <c r="P1004" s="475"/>
      <c r="Q1004" s="475"/>
      <c r="R1004" s="475"/>
      <c r="S1004" s="475"/>
      <c r="T1004" s="475"/>
      <c r="U1004" s="475"/>
      <c r="V1004" s="475"/>
      <c r="W1004" s="475"/>
    </row>
    <row r="1005" spans="2:23" s="97" customFormat="1">
      <c r="B1005" s="96"/>
      <c r="H1005" s="96"/>
      <c r="J1005" s="1"/>
      <c r="K1005" s="1"/>
      <c r="L1005" s="1"/>
      <c r="O1005" s="475"/>
      <c r="P1005" s="475"/>
      <c r="Q1005" s="475"/>
      <c r="R1005" s="475"/>
      <c r="S1005" s="475"/>
      <c r="T1005" s="475"/>
      <c r="U1005" s="475"/>
      <c r="V1005" s="475"/>
      <c r="W1005" s="475"/>
    </row>
    <row r="1006" spans="2:23" s="97" customFormat="1">
      <c r="B1006" s="96"/>
      <c r="H1006" s="96"/>
      <c r="J1006" s="1"/>
      <c r="K1006" s="1"/>
      <c r="L1006" s="1"/>
      <c r="O1006" s="475"/>
      <c r="P1006" s="475"/>
      <c r="Q1006" s="475"/>
      <c r="R1006" s="475"/>
      <c r="S1006" s="475"/>
      <c r="T1006" s="475"/>
      <c r="U1006" s="475"/>
      <c r="V1006" s="475"/>
      <c r="W1006" s="475"/>
    </row>
    <row r="1007" spans="2:23" s="97" customFormat="1">
      <c r="B1007" s="96"/>
      <c r="H1007" s="96"/>
      <c r="J1007" s="1"/>
      <c r="K1007" s="1"/>
      <c r="L1007" s="1"/>
      <c r="O1007" s="475"/>
      <c r="P1007" s="475"/>
      <c r="Q1007" s="475"/>
      <c r="R1007" s="475"/>
      <c r="S1007" s="475"/>
      <c r="T1007" s="475"/>
      <c r="U1007" s="475"/>
      <c r="V1007" s="475"/>
      <c r="W1007" s="475"/>
    </row>
    <row r="1008" spans="2:23" s="97" customFormat="1">
      <c r="B1008" s="96"/>
      <c r="H1008" s="96"/>
      <c r="J1008" s="1"/>
      <c r="K1008" s="1"/>
      <c r="L1008" s="1"/>
      <c r="O1008" s="475"/>
      <c r="P1008" s="475"/>
      <c r="Q1008" s="475"/>
      <c r="R1008" s="475"/>
      <c r="S1008" s="475"/>
      <c r="T1008" s="475"/>
      <c r="U1008" s="475"/>
      <c r="V1008" s="475"/>
      <c r="W1008" s="475"/>
    </row>
    <row r="1009" spans="2:23" s="97" customFormat="1">
      <c r="B1009" s="96"/>
      <c r="H1009" s="96"/>
      <c r="J1009" s="1"/>
      <c r="K1009" s="1"/>
      <c r="L1009" s="1"/>
      <c r="O1009" s="475"/>
      <c r="P1009" s="475"/>
      <c r="Q1009" s="475"/>
      <c r="R1009" s="475"/>
      <c r="S1009" s="475"/>
      <c r="T1009" s="475"/>
      <c r="U1009" s="475"/>
      <c r="V1009" s="475"/>
      <c r="W1009" s="475"/>
    </row>
    <row r="1010" spans="2:23" s="97" customFormat="1">
      <c r="B1010" s="96"/>
      <c r="H1010" s="96"/>
      <c r="J1010" s="1"/>
      <c r="K1010" s="1"/>
      <c r="L1010" s="1"/>
      <c r="O1010" s="475"/>
      <c r="P1010" s="475"/>
      <c r="Q1010" s="475"/>
      <c r="R1010" s="475"/>
      <c r="S1010" s="475"/>
      <c r="T1010" s="475"/>
      <c r="U1010" s="475"/>
      <c r="V1010" s="475"/>
      <c r="W1010" s="475"/>
    </row>
    <row r="1011" spans="2:23" s="97" customFormat="1">
      <c r="B1011" s="96"/>
      <c r="H1011" s="96"/>
      <c r="J1011" s="1"/>
      <c r="K1011" s="1"/>
      <c r="L1011" s="1"/>
      <c r="O1011" s="475"/>
      <c r="P1011" s="475"/>
      <c r="Q1011" s="475"/>
      <c r="R1011" s="475"/>
      <c r="S1011" s="475"/>
      <c r="T1011" s="475"/>
      <c r="U1011" s="475"/>
      <c r="V1011" s="475"/>
      <c r="W1011" s="475"/>
    </row>
    <row r="1012" spans="2:23" s="97" customFormat="1">
      <c r="B1012" s="96"/>
      <c r="H1012" s="96"/>
      <c r="J1012" s="1"/>
      <c r="K1012" s="1"/>
      <c r="L1012" s="1"/>
      <c r="O1012" s="475"/>
      <c r="P1012" s="475"/>
      <c r="Q1012" s="475"/>
      <c r="R1012" s="475"/>
      <c r="S1012" s="475"/>
      <c r="T1012" s="475"/>
      <c r="U1012" s="475"/>
      <c r="V1012" s="475"/>
      <c r="W1012" s="475"/>
    </row>
    <row r="1013" spans="2:23" s="97" customFormat="1">
      <c r="B1013" s="96"/>
      <c r="H1013" s="96"/>
      <c r="J1013" s="1"/>
      <c r="K1013" s="1"/>
      <c r="L1013" s="1"/>
      <c r="O1013" s="475"/>
      <c r="P1013" s="475"/>
      <c r="Q1013" s="475"/>
      <c r="R1013" s="475"/>
      <c r="S1013" s="475"/>
      <c r="T1013" s="475"/>
      <c r="U1013" s="475"/>
      <c r="V1013" s="475"/>
      <c r="W1013" s="475"/>
    </row>
    <row r="1014" spans="2:23" s="97" customFormat="1">
      <c r="B1014" s="96"/>
      <c r="H1014" s="96"/>
      <c r="J1014" s="1"/>
      <c r="K1014" s="1"/>
      <c r="L1014" s="1"/>
      <c r="O1014" s="475"/>
      <c r="P1014" s="475"/>
      <c r="Q1014" s="475"/>
      <c r="R1014" s="475"/>
      <c r="S1014" s="475"/>
      <c r="T1014" s="475"/>
      <c r="U1014" s="475"/>
      <c r="V1014" s="475"/>
      <c r="W1014" s="475"/>
    </row>
    <row r="1015" spans="2:23" s="97" customFormat="1">
      <c r="B1015" s="96"/>
      <c r="H1015" s="96"/>
      <c r="J1015" s="1"/>
      <c r="K1015" s="1"/>
      <c r="L1015" s="1"/>
      <c r="O1015" s="475"/>
      <c r="P1015" s="475"/>
      <c r="Q1015" s="475"/>
      <c r="R1015" s="475"/>
      <c r="S1015" s="475"/>
      <c r="T1015" s="475"/>
      <c r="U1015" s="475"/>
      <c r="V1015" s="475"/>
      <c r="W1015" s="475"/>
    </row>
    <row r="1016" spans="2:23" s="97" customFormat="1">
      <c r="B1016" s="96"/>
      <c r="H1016" s="96"/>
      <c r="J1016" s="1"/>
      <c r="K1016" s="1"/>
      <c r="L1016" s="1"/>
      <c r="O1016" s="475"/>
      <c r="P1016" s="475"/>
      <c r="Q1016" s="475"/>
      <c r="R1016" s="475"/>
      <c r="S1016" s="475"/>
      <c r="T1016" s="475"/>
      <c r="U1016" s="475"/>
      <c r="V1016" s="475"/>
      <c r="W1016" s="475"/>
    </row>
    <row r="1017" spans="2:23" s="97" customFormat="1">
      <c r="B1017" s="96"/>
      <c r="H1017" s="96"/>
      <c r="J1017" s="1"/>
      <c r="K1017" s="1"/>
      <c r="L1017" s="1"/>
      <c r="O1017" s="475"/>
      <c r="P1017" s="475"/>
      <c r="Q1017" s="475"/>
      <c r="R1017" s="475"/>
      <c r="S1017" s="475"/>
      <c r="T1017" s="475"/>
      <c r="U1017" s="475"/>
      <c r="V1017" s="475"/>
      <c r="W1017" s="475"/>
    </row>
    <row r="1018" spans="2:23" s="97" customFormat="1">
      <c r="B1018" s="96"/>
      <c r="H1018" s="96"/>
      <c r="J1018" s="1"/>
      <c r="K1018" s="1"/>
      <c r="L1018" s="1"/>
      <c r="O1018" s="475"/>
      <c r="P1018" s="475"/>
      <c r="Q1018" s="475"/>
      <c r="R1018" s="475"/>
      <c r="S1018" s="475"/>
      <c r="T1018" s="475"/>
      <c r="U1018" s="475"/>
      <c r="V1018" s="475"/>
      <c r="W1018" s="475"/>
    </row>
    <row r="1019" spans="2:23" s="97" customFormat="1">
      <c r="B1019" s="96"/>
      <c r="H1019" s="96"/>
      <c r="J1019" s="1"/>
      <c r="K1019" s="1"/>
      <c r="L1019" s="1"/>
      <c r="O1019" s="475"/>
      <c r="P1019" s="475"/>
      <c r="Q1019" s="475"/>
      <c r="R1019" s="475"/>
      <c r="S1019" s="475"/>
      <c r="T1019" s="475"/>
      <c r="U1019" s="475"/>
      <c r="V1019" s="475"/>
      <c r="W1019" s="475"/>
    </row>
    <row r="1020" spans="2:23" s="97" customFormat="1">
      <c r="B1020" s="96"/>
      <c r="H1020" s="96"/>
      <c r="J1020" s="1"/>
      <c r="K1020" s="1"/>
      <c r="L1020" s="1"/>
      <c r="O1020" s="475"/>
      <c r="P1020" s="475"/>
      <c r="Q1020" s="475"/>
      <c r="R1020" s="475"/>
      <c r="S1020" s="475"/>
      <c r="T1020" s="475"/>
      <c r="U1020" s="475"/>
      <c r="V1020" s="475"/>
      <c r="W1020" s="475"/>
    </row>
    <row r="1021" spans="2:23" s="97" customFormat="1">
      <c r="B1021" s="96"/>
      <c r="H1021" s="96"/>
      <c r="J1021" s="1"/>
      <c r="K1021" s="1"/>
      <c r="L1021" s="1"/>
      <c r="O1021" s="475"/>
      <c r="P1021" s="475"/>
      <c r="Q1021" s="475"/>
      <c r="R1021" s="475"/>
      <c r="S1021" s="475"/>
      <c r="T1021" s="475"/>
      <c r="U1021" s="475"/>
      <c r="V1021" s="475"/>
      <c r="W1021" s="475"/>
    </row>
    <row r="1022" spans="2:23" s="97" customFormat="1">
      <c r="B1022" s="96"/>
      <c r="H1022" s="96"/>
      <c r="J1022" s="1"/>
      <c r="K1022" s="1"/>
      <c r="L1022" s="1"/>
      <c r="O1022" s="475"/>
      <c r="P1022" s="475"/>
      <c r="Q1022" s="475"/>
      <c r="R1022" s="475"/>
      <c r="S1022" s="475"/>
      <c r="T1022" s="475"/>
      <c r="U1022" s="475"/>
      <c r="V1022" s="475"/>
      <c r="W1022" s="475"/>
    </row>
    <row r="1023" spans="2:23" s="97" customFormat="1">
      <c r="B1023" s="96"/>
      <c r="H1023" s="96"/>
      <c r="J1023" s="1"/>
      <c r="K1023" s="1"/>
      <c r="L1023" s="1"/>
      <c r="O1023" s="475"/>
      <c r="P1023" s="475"/>
      <c r="Q1023" s="475"/>
      <c r="R1023" s="475"/>
      <c r="S1023" s="475"/>
      <c r="T1023" s="475"/>
      <c r="U1023" s="475"/>
      <c r="V1023" s="475"/>
      <c r="W1023" s="475"/>
    </row>
    <row r="1024" spans="2:23" s="97" customFormat="1">
      <c r="B1024" s="96"/>
      <c r="H1024" s="96"/>
      <c r="J1024" s="1"/>
      <c r="K1024" s="1"/>
      <c r="L1024" s="1"/>
      <c r="O1024" s="475"/>
      <c r="P1024" s="475"/>
      <c r="Q1024" s="475"/>
      <c r="R1024" s="475"/>
      <c r="S1024" s="475"/>
      <c r="T1024" s="475"/>
      <c r="U1024" s="475"/>
      <c r="V1024" s="475"/>
      <c r="W1024" s="475"/>
    </row>
    <row r="1025" spans="2:23" s="97" customFormat="1">
      <c r="B1025" s="96"/>
      <c r="H1025" s="96"/>
      <c r="J1025" s="1"/>
      <c r="K1025" s="1"/>
      <c r="L1025" s="1"/>
      <c r="O1025" s="475"/>
      <c r="P1025" s="475"/>
      <c r="Q1025" s="475"/>
      <c r="R1025" s="475"/>
      <c r="S1025" s="475"/>
      <c r="T1025" s="475"/>
      <c r="U1025" s="475"/>
      <c r="V1025" s="475"/>
      <c r="W1025" s="475"/>
    </row>
    <row r="1026" spans="2:23" s="97" customFormat="1">
      <c r="B1026" s="96"/>
      <c r="H1026" s="96"/>
      <c r="J1026" s="1"/>
      <c r="K1026" s="1"/>
      <c r="L1026" s="1"/>
      <c r="O1026" s="475"/>
      <c r="P1026" s="475"/>
      <c r="Q1026" s="475"/>
      <c r="R1026" s="475"/>
      <c r="S1026" s="475"/>
      <c r="T1026" s="475"/>
      <c r="U1026" s="475"/>
      <c r="V1026" s="475"/>
      <c r="W1026" s="475"/>
    </row>
    <row r="1027" spans="2:23" s="97" customFormat="1">
      <c r="B1027" s="96"/>
      <c r="H1027" s="96"/>
      <c r="J1027" s="1"/>
      <c r="K1027" s="1"/>
      <c r="L1027" s="1"/>
      <c r="O1027" s="475"/>
      <c r="P1027" s="475"/>
      <c r="Q1027" s="475"/>
      <c r="R1027" s="475"/>
      <c r="S1027" s="475"/>
      <c r="T1027" s="475"/>
      <c r="U1027" s="475"/>
      <c r="V1027" s="475"/>
      <c r="W1027" s="475"/>
    </row>
    <row r="1028" spans="2:23" s="97" customFormat="1">
      <c r="B1028" s="96"/>
      <c r="H1028" s="96"/>
      <c r="J1028" s="1"/>
      <c r="K1028" s="1"/>
      <c r="L1028" s="1"/>
      <c r="O1028" s="475"/>
      <c r="P1028" s="475"/>
      <c r="Q1028" s="475"/>
      <c r="R1028" s="475"/>
      <c r="S1028" s="475"/>
      <c r="T1028" s="475"/>
      <c r="U1028" s="475"/>
      <c r="V1028" s="475"/>
      <c r="W1028" s="475"/>
    </row>
    <row r="1029" spans="2:23" s="97" customFormat="1">
      <c r="B1029" s="96"/>
      <c r="H1029" s="96"/>
      <c r="J1029" s="1"/>
      <c r="K1029" s="1"/>
      <c r="L1029" s="1"/>
      <c r="O1029" s="475"/>
      <c r="P1029" s="475"/>
      <c r="Q1029" s="475"/>
      <c r="R1029" s="475"/>
      <c r="S1029" s="475"/>
      <c r="T1029" s="475"/>
      <c r="U1029" s="475"/>
      <c r="V1029" s="475"/>
      <c r="W1029" s="475"/>
    </row>
    <row r="1030" spans="2:23" s="97" customFormat="1">
      <c r="B1030" s="96"/>
      <c r="H1030" s="96"/>
      <c r="J1030" s="1"/>
      <c r="K1030" s="1"/>
      <c r="L1030" s="1"/>
      <c r="O1030" s="475"/>
      <c r="P1030" s="475"/>
      <c r="Q1030" s="475"/>
      <c r="R1030" s="475"/>
      <c r="S1030" s="475"/>
      <c r="T1030" s="475"/>
      <c r="U1030" s="475"/>
      <c r="V1030" s="475"/>
      <c r="W1030" s="475"/>
    </row>
    <row r="1031" spans="2:23" s="97" customFormat="1">
      <c r="B1031" s="96"/>
      <c r="H1031" s="96"/>
      <c r="J1031" s="1"/>
      <c r="K1031" s="1"/>
      <c r="L1031" s="1"/>
      <c r="O1031" s="475"/>
      <c r="P1031" s="475"/>
      <c r="Q1031" s="475"/>
      <c r="R1031" s="475"/>
      <c r="S1031" s="475"/>
      <c r="T1031" s="475"/>
      <c r="U1031" s="475"/>
      <c r="V1031" s="475"/>
      <c r="W1031" s="475"/>
    </row>
    <row r="1032" spans="2:23" s="97" customFormat="1">
      <c r="B1032" s="96"/>
      <c r="H1032" s="96"/>
      <c r="J1032" s="1"/>
      <c r="K1032" s="1"/>
      <c r="L1032" s="1"/>
      <c r="O1032" s="475"/>
      <c r="P1032" s="475"/>
      <c r="Q1032" s="475"/>
      <c r="R1032" s="475"/>
      <c r="S1032" s="475"/>
      <c r="T1032" s="475"/>
      <c r="U1032" s="475"/>
      <c r="V1032" s="475"/>
      <c r="W1032" s="475"/>
    </row>
    <row r="1033" spans="2:23" s="97" customFormat="1">
      <c r="B1033" s="96"/>
      <c r="H1033" s="96"/>
      <c r="J1033" s="1"/>
      <c r="K1033" s="1"/>
      <c r="L1033" s="1"/>
      <c r="O1033" s="475"/>
      <c r="P1033" s="475"/>
      <c r="Q1033" s="475"/>
      <c r="R1033" s="475"/>
      <c r="S1033" s="475"/>
      <c r="T1033" s="475"/>
      <c r="U1033" s="475"/>
      <c r="V1033" s="475"/>
      <c r="W1033" s="475"/>
    </row>
    <row r="1034" spans="2:23" s="97" customFormat="1">
      <c r="B1034" s="96"/>
      <c r="H1034" s="96"/>
      <c r="J1034" s="1"/>
      <c r="K1034" s="1"/>
      <c r="L1034" s="1"/>
      <c r="O1034" s="475"/>
      <c r="P1034" s="475"/>
      <c r="Q1034" s="475"/>
      <c r="R1034" s="475"/>
      <c r="S1034" s="475"/>
      <c r="T1034" s="475"/>
      <c r="U1034" s="475"/>
      <c r="V1034" s="475"/>
      <c r="W1034" s="475"/>
    </row>
    <row r="1035" spans="2:23" s="97" customFormat="1">
      <c r="B1035" s="96"/>
      <c r="H1035" s="96"/>
      <c r="J1035" s="1"/>
      <c r="K1035" s="1"/>
      <c r="L1035" s="1"/>
      <c r="O1035" s="475"/>
      <c r="P1035" s="475"/>
      <c r="Q1035" s="475"/>
      <c r="R1035" s="475"/>
      <c r="S1035" s="475"/>
      <c r="T1035" s="475"/>
      <c r="U1035" s="475"/>
      <c r="V1035" s="475"/>
      <c r="W1035" s="475"/>
    </row>
    <row r="1036" spans="2:23" s="97" customFormat="1">
      <c r="B1036" s="96"/>
      <c r="H1036" s="96"/>
      <c r="J1036" s="1"/>
      <c r="K1036" s="1"/>
      <c r="L1036" s="1"/>
      <c r="O1036" s="475"/>
      <c r="P1036" s="475"/>
      <c r="Q1036" s="475"/>
      <c r="R1036" s="475"/>
      <c r="S1036" s="475"/>
      <c r="T1036" s="475"/>
      <c r="U1036" s="475"/>
      <c r="V1036" s="475"/>
      <c r="W1036" s="475"/>
    </row>
    <row r="1037" spans="2:23" s="97" customFormat="1">
      <c r="B1037" s="96"/>
      <c r="H1037" s="96"/>
      <c r="J1037" s="1"/>
      <c r="K1037" s="1"/>
      <c r="L1037" s="1"/>
      <c r="O1037" s="475"/>
      <c r="P1037" s="475"/>
      <c r="Q1037" s="475"/>
      <c r="R1037" s="475"/>
      <c r="S1037" s="475"/>
      <c r="T1037" s="475"/>
      <c r="U1037" s="475"/>
      <c r="V1037" s="475"/>
      <c r="W1037" s="475"/>
    </row>
    <row r="1038" spans="2:23" s="97" customFormat="1">
      <c r="B1038" s="96"/>
      <c r="H1038" s="96"/>
      <c r="J1038" s="1"/>
      <c r="K1038" s="1"/>
      <c r="L1038" s="1"/>
      <c r="O1038" s="475"/>
      <c r="P1038" s="475"/>
      <c r="Q1038" s="475"/>
      <c r="R1038" s="475"/>
      <c r="S1038" s="475"/>
      <c r="T1038" s="475"/>
      <c r="U1038" s="475"/>
      <c r="V1038" s="475"/>
      <c r="W1038" s="475"/>
    </row>
    <row r="1039" spans="2:23" s="97" customFormat="1">
      <c r="B1039" s="96"/>
      <c r="H1039" s="96"/>
      <c r="J1039" s="1"/>
      <c r="K1039" s="1"/>
      <c r="L1039" s="1"/>
      <c r="O1039" s="475"/>
      <c r="P1039" s="475"/>
      <c r="Q1039" s="475"/>
      <c r="R1039" s="475"/>
      <c r="S1039" s="475"/>
      <c r="T1039" s="475"/>
      <c r="U1039" s="475"/>
      <c r="V1039" s="475"/>
      <c r="W1039" s="475"/>
    </row>
    <row r="1040" spans="2:23" s="97" customFormat="1">
      <c r="B1040" s="96"/>
      <c r="H1040" s="96"/>
      <c r="J1040" s="1"/>
      <c r="K1040" s="1"/>
      <c r="L1040" s="1"/>
      <c r="O1040" s="475"/>
      <c r="P1040" s="475"/>
      <c r="Q1040" s="475"/>
      <c r="R1040" s="475"/>
      <c r="S1040" s="475"/>
      <c r="T1040" s="475"/>
      <c r="U1040" s="475"/>
      <c r="V1040" s="475"/>
      <c r="W1040" s="475"/>
    </row>
    <row r="1041" spans="2:23" s="97" customFormat="1">
      <c r="B1041" s="96"/>
      <c r="H1041" s="96"/>
      <c r="J1041" s="1"/>
      <c r="K1041" s="1"/>
      <c r="L1041" s="1"/>
      <c r="O1041" s="475"/>
      <c r="P1041" s="475"/>
      <c r="Q1041" s="475"/>
      <c r="R1041" s="475"/>
      <c r="S1041" s="475"/>
      <c r="T1041" s="475"/>
      <c r="U1041" s="475"/>
      <c r="V1041" s="475"/>
      <c r="W1041" s="475"/>
    </row>
    <row r="1042" spans="2:23" s="97" customFormat="1">
      <c r="B1042" s="96"/>
      <c r="H1042" s="96"/>
      <c r="J1042" s="1"/>
      <c r="K1042" s="1"/>
      <c r="L1042" s="1"/>
      <c r="O1042" s="475"/>
      <c r="P1042" s="475"/>
      <c r="Q1042" s="475"/>
      <c r="R1042" s="475"/>
      <c r="S1042" s="475"/>
      <c r="T1042" s="475"/>
      <c r="U1042" s="475"/>
      <c r="V1042" s="475"/>
      <c r="W1042" s="475"/>
    </row>
    <row r="1043" spans="2:23" s="97" customFormat="1">
      <c r="B1043" s="96"/>
      <c r="H1043" s="96"/>
      <c r="J1043" s="1"/>
      <c r="K1043" s="1"/>
      <c r="L1043" s="1"/>
      <c r="O1043" s="475"/>
      <c r="P1043" s="475"/>
      <c r="Q1043" s="475"/>
      <c r="R1043" s="475"/>
      <c r="S1043" s="475"/>
      <c r="T1043" s="475"/>
      <c r="U1043" s="475"/>
      <c r="V1043" s="475"/>
      <c r="W1043" s="475"/>
    </row>
    <row r="1044" spans="2:23" s="97" customFormat="1">
      <c r="B1044" s="96"/>
      <c r="H1044" s="96"/>
      <c r="J1044" s="1"/>
      <c r="K1044" s="1"/>
      <c r="L1044" s="1"/>
      <c r="O1044" s="475"/>
      <c r="P1044" s="475"/>
      <c r="Q1044" s="475"/>
      <c r="R1044" s="475"/>
      <c r="S1044" s="475"/>
      <c r="T1044" s="475"/>
      <c r="U1044" s="475"/>
      <c r="V1044" s="475"/>
      <c r="W1044" s="475"/>
    </row>
    <row r="1045" spans="2:23" s="97" customFormat="1">
      <c r="B1045" s="96"/>
      <c r="H1045" s="96"/>
      <c r="J1045" s="1"/>
      <c r="K1045" s="1"/>
      <c r="L1045" s="1"/>
      <c r="O1045" s="475"/>
      <c r="P1045" s="475"/>
      <c r="Q1045" s="475"/>
      <c r="R1045" s="475"/>
      <c r="S1045" s="475"/>
      <c r="T1045" s="475"/>
      <c r="U1045" s="475"/>
      <c r="V1045" s="475"/>
      <c r="W1045" s="475"/>
    </row>
    <row r="1046" spans="2:23" s="97" customFormat="1">
      <c r="B1046" s="96"/>
      <c r="H1046" s="96"/>
      <c r="J1046" s="1"/>
      <c r="K1046" s="1"/>
      <c r="L1046" s="1"/>
      <c r="O1046" s="475"/>
      <c r="P1046" s="475"/>
      <c r="Q1046" s="475"/>
      <c r="R1046" s="475"/>
      <c r="S1046" s="475"/>
      <c r="T1046" s="475"/>
      <c r="U1046" s="475"/>
      <c r="V1046" s="475"/>
      <c r="W1046" s="475"/>
    </row>
    <row r="1047" spans="2:23" s="97" customFormat="1">
      <c r="B1047" s="96"/>
      <c r="H1047" s="96"/>
      <c r="J1047" s="1"/>
      <c r="K1047" s="1"/>
      <c r="L1047" s="1"/>
      <c r="O1047" s="475"/>
      <c r="P1047" s="475"/>
      <c r="Q1047" s="475"/>
      <c r="R1047" s="475"/>
      <c r="S1047" s="475"/>
      <c r="T1047" s="475"/>
      <c r="U1047" s="475"/>
      <c r="V1047" s="475"/>
      <c r="W1047" s="475"/>
    </row>
    <row r="1048" spans="2:23" s="97" customFormat="1">
      <c r="B1048" s="96"/>
      <c r="H1048" s="96"/>
      <c r="J1048" s="1"/>
      <c r="K1048" s="1"/>
      <c r="L1048" s="1"/>
      <c r="O1048" s="475"/>
      <c r="P1048" s="475"/>
      <c r="Q1048" s="475"/>
      <c r="R1048" s="475"/>
      <c r="S1048" s="475"/>
      <c r="T1048" s="475"/>
      <c r="U1048" s="475"/>
      <c r="V1048" s="475"/>
      <c r="W1048" s="475"/>
    </row>
    <row r="1049" spans="2:23" s="97" customFormat="1">
      <c r="B1049" s="96"/>
      <c r="H1049" s="96"/>
      <c r="J1049" s="1"/>
      <c r="K1049" s="1"/>
      <c r="L1049" s="1"/>
      <c r="O1049" s="475"/>
      <c r="P1049" s="475"/>
      <c r="Q1049" s="475"/>
      <c r="R1049" s="475"/>
      <c r="S1049" s="475"/>
      <c r="T1049" s="475"/>
      <c r="U1049" s="475"/>
      <c r="V1049" s="475"/>
      <c r="W1049" s="475"/>
    </row>
    <row r="1050" spans="2:23" s="97" customFormat="1">
      <c r="B1050" s="96"/>
      <c r="H1050" s="96"/>
      <c r="J1050" s="1"/>
      <c r="K1050" s="1"/>
      <c r="L1050" s="1"/>
      <c r="O1050" s="475"/>
      <c r="P1050" s="475"/>
      <c r="Q1050" s="475"/>
      <c r="R1050" s="475"/>
      <c r="S1050" s="475"/>
      <c r="T1050" s="475"/>
      <c r="U1050" s="475"/>
      <c r="V1050" s="475"/>
      <c r="W1050" s="475"/>
    </row>
    <row r="1051" spans="2:23" s="97" customFormat="1">
      <c r="B1051" s="96"/>
      <c r="H1051" s="96"/>
      <c r="J1051" s="1"/>
      <c r="K1051" s="1"/>
      <c r="L1051" s="1"/>
      <c r="O1051" s="475"/>
      <c r="P1051" s="475"/>
      <c r="Q1051" s="475"/>
      <c r="R1051" s="475"/>
      <c r="S1051" s="475"/>
      <c r="T1051" s="475"/>
      <c r="U1051" s="475"/>
      <c r="V1051" s="475"/>
      <c r="W1051" s="475"/>
    </row>
    <row r="1052" spans="2:23" s="97" customFormat="1">
      <c r="B1052" s="96"/>
      <c r="H1052" s="96"/>
      <c r="J1052" s="1"/>
      <c r="K1052" s="1"/>
      <c r="L1052" s="1"/>
      <c r="O1052" s="475"/>
      <c r="P1052" s="475"/>
      <c r="Q1052" s="475"/>
      <c r="R1052" s="475"/>
      <c r="S1052" s="475"/>
      <c r="T1052" s="475"/>
      <c r="U1052" s="475"/>
      <c r="V1052" s="475"/>
      <c r="W1052" s="475"/>
    </row>
    <row r="1053" spans="2:23" s="97" customFormat="1">
      <c r="B1053" s="96"/>
      <c r="H1053" s="96"/>
      <c r="J1053" s="1"/>
      <c r="K1053" s="1"/>
      <c r="L1053" s="1"/>
      <c r="O1053" s="475"/>
      <c r="P1053" s="475"/>
      <c r="Q1053" s="475"/>
      <c r="R1053" s="475"/>
      <c r="S1053" s="475"/>
      <c r="T1053" s="475"/>
      <c r="U1053" s="475"/>
      <c r="V1053" s="475"/>
      <c r="W1053" s="475"/>
    </row>
    <row r="1054" spans="2:23" s="97" customFormat="1">
      <c r="B1054" s="96"/>
      <c r="H1054" s="96"/>
      <c r="J1054" s="1"/>
      <c r="K1054" s="1"/>
      <c r="L1054" s="1"/>
      <c r="O1054" s="475"/>
      <c r="P1054" s="475"/>
      <c r="Q1054" s="475"/>
      <c r="R1054" s="475"/>
      <c r="S1054" s="475"/>
      <c r="T1054" s="475"/>
      <c r="U1054" s="475"/>
      <c r="V1054" s="475"/>
      <c r="W1054" s="475"/>
    </row>
    <row r="1055" spans="2:23" s="97" customFormat="1">
      <c r="B1055" s="96"/>
      <c r="H1055" s="96"/>
      <c r="J1055" s="1"/>
      <c r="K1055" s="1"/>
      <c r="L1055" s="1"/>
      <c r="O1055" s="475"/>
      <c r="P1055" s="475"/>
      <c r="Q1055" s="475"/>
      <c r="R1055" s="475"/>
      <c r="S1055" s="475"/>
      <c r="T1055" s="475"/>
      <c r="U1055" s="475"/>
      <c r="V1055" s="475"/>
      <c r="W1055" s="475"/>
    </row>
    <row r="1056" spans="2:23" s="97" customFormat="1">
      <c r="B1056" s="96"/>
      <c r="H1056" s="96"/>
      <c r="J1056" s="1"/>
      <c r="K1056" s="1"/>
      <c r="L1056" s="1"/>
      <c r="O1056" s="475"/>
      <c r="P1056" s="475"/>
      <c r="Q1056" s="475"/>
      <c r="R1056" s="475"/>
      <c r="S1056" s="475"/>
      <c r="T1056" s="475"/>
      <c r="U1056" s="475"/>
      <c r="V1056" s="475"/>
      <c r="W1056" s="475"/>
    </row>
    <row r="1057" spans="2:23" s="97" customFormat="1">
      <c r="B1057" s="96"/>
      <c r="H1057" s="96"/>
      <c r="J1057" s="1"/>
      <c r="K1057" s="1"/>
      <c r="L1057" s="1"/>
      <c r="O1057" s="475"/>
      <c r="P1057" s="475"/>
      <c r="Q1057" s="475"/>
      <c r="R1057" s="475"/>
      <c r="S1057" s="475"/>
      <c r="T1057" s="475"/>
      <c r="U1057" s="475"/>
      <c r="V1057" s="475"/>
      <c r="W1057" s="475"/>
    </row>
    <row r="1058" spans="2:23" s="97" customFormat="1">
      <c r="B1058" s="96"/>
      <c r="H1058" s="96"/>
      <c r="J1058" s="1"/>
      <c r="K1058" s="1"/>
      <c r="L1058" s="1"/>
      <c r="O1058" s="475"/>
      <c r="P1058" s="475"/>
      <c r="Q1058" s="475"/>
      <c r="R1058" s="475"/>
      <c r="S1058" s="475"/>
      <c r="T1058" s="475"/>
      <c r="U1058" s="475"/>
      <c r="V1058" s="475"/>
      <c r="W1058" s="475"/>
    </row>
    <row r="1059" spans="2:23" s="97" customFormat="1">
      <c r="B1059" s="96"/>
      <c r="H1059" s="96"/>
      <c r="J1059" s="1"/>
      <c r="K1059" s="1"/>
      <c r="L1059" s="1"/>
      <c r="O1059" s="475"/>
      <c r="P1059" s="475"/>
      <c r="Q1059" s="475"/>
      <c r="R1059" s="475"/>
      <c r="S1059" s="475"/>
      <c r="T1059" s="475"/>
      <c r="U1059" s="475"/>
      <c r="V1059" s="475"/>
      <c r="W1059" s="475"/>
    </row>
    <row r="1060" spans="2:23" s="97" customFormat="1">
      <c r="B1060" s="96"/>
      <c r="H1060" s="96"/>
      <c r="J1060" s="1"/>
      <c r="K1060" s="1"/>
      <c r="L1060" s="1"/>
      <c r="O1060" s="475"/>
      <c r="P1060" s="475"/>
      <c r="Q1060" s="475"/>
      <c r="R1060" s="475"/>
      <c r="S1060" s="475"/>
      <c r="T1060" s="475"/>
      <c r="U1060" s="475"/>
      <c r="V1060" s="475"/>
      <c r="W1060" s="475"/>
    </row>
    <row r="1061" spans="2:23" s="97" customFormat="1">
      <c r="B1061" s="96"/>
      <c r="H1061" s="96"/>
      <c r="J1061" s="1"/>
      <c r="K1061" s="1"/>
      <c r="L1061" s="1"/>
      <c r="O1061" s="475"/>
      <c r="P1061" s="475"/>
      <c r="Q1061" s="475"/>
      <c r="R1061" s="475"/>
      <c r="S1061" s="475"/>
      <c r="T1061" s="475"/>
      <c r="U1061" s="475"/>
      <c r="V1061" s="475"/>
      <c r="W1061" s="475"/>
    </row>
    <row r="1062" spans="2:23" s="97" customFormat="1">
      <c r="B1062" s="96"/>
      <c r="H1062" s="96"/>
      <c r="J1062" s="1"/>
      <c r="K1062" s="1"/>
      <c r="L1062" s="1"/>
      <c r="O1062" s="475"/>
      <c r="P1062" s="475"/>
      <c r="Q1062" s="475"/>
      <c r="R1062" s="475"/>
      <c r="S1062" s="475"/>
      <c r="T1062" s="475"/>
      <c r="U1062" s="475"/>
      <c r="V1062" s="475"/>
      <c r="W1062" s="475"/>
    </row>
    <row r="1063" spans="2:23" s="97" customFormat="1">
      <c r="B1063" s="96"/>
      <c r="H1063" s="96"/>
      <c r="J1063" s="1"/>
      <c r="K1063" s="1"/>
      <c r="L1063" s="1"/>
      <c r="O1063" s="475"/>
      <c r="P1063" s="475"/>
      <c r="Q1063" s="475"/>
      <c r="R1063" s="475"/>
      <c r="S1063" s="475"/>
      <c r="T1063" s="475"/>
      <c r="U1063" s="475"/>
      <c r="V1063" s="475"/>
      <c r="W1063" s="475"/>
    </row>
    <row r="1064" spans="2:23" s="97" customFormat="1">
      <c r="B1064" s="96"/>
      <c r="H1064" s="96"/>
      <c r="J1064" s="1"/>
      <c r="K1064" s="1"/>
      <c r="L1064" s="1"/>
      <c r="O1064" s="475"/>
      <c r="P1064" s="475"/>
      <c r="Q1064" s="475"/>
      <c r="R1064" s="475"/>
      <c r="S1064" s="475"/>
      <c r="T1064" s="475"/>
      <c r="U1064" s="475"/>
      <c r="V1064" s="475"/>
      <c r="W1064" s="475"/>
    </row>
    <row r="1065" spans="2:23" s="97" customFormat="1">
      <c r="B1065" s="96"/>
      <c r="H1065" s="96"/>
      <c r="J1065" s="1"/>
      <c r="K1065" s="1"/>
      <c r="L1065" s="1"/>
      <c r="O1065" s="475"/>
      <c r="P1065" s="475"/>
      <c r="Q1065" s="475"/>
      <c r="R1065" s="475"/>
      <c r="S1065" s="475"/>
      <c r="T1065" s="475"/>
      <c r="U1065" s="475"/>
      <c r="V1065" s="475"/>
      <c r="W1065" s="475"/>
    </row>
    <row r="1066" spans="2:23" s="97" customFormat="1">
      <c r="B1066" s="96"/>
      <c r="H1066" s="96"/>
      <c r="J1066" s="1"/>
      <c r="K1066" s="1"/>
      <c r="L1066" s="1"/>
      <c r="O1066" s="475"/>
      <c r="P1066" s="475"/>
      <c r="Q1066" s="475"/>
      <c r="R1066" s="475"/>
      <c r="S1066" s="475"/>
      <c r="T1066" s="475"/>
      <c r="U1066" s="475"/>
      <c r="V1066" s="475"/>
      <c r="W1066" s="475"/>
    </row>
    <row r="1067" spans="2:23" s="97" customFormat="1">
      <c r="B1067" s="96"/>
      <c r="H1067" s="96"/>
      <c r="J1067" s="1"/>
      <c r="K1067" s="1"/>
      <c r="L1067" s="1"/>
      <c r="O1067" s="475"/>
      <c r="P1067" s="475"/>
      <c r="Q1067" s="475"/>
      <c r="R1067" s="475"/>
      <c r="S1067" s="475"/>
      <c r="T1067" s="475"/>
      <c r="U1067" s="475"/>
      <c r="V1067" s="475"/>
      <c r="W1067" s="475"/>
    </row>
    <row r="1068" spans="2:23" s="97" customFormat="1">
      <c r="B1068" s="96"/>
      <c r="H1068" s="96"/>
      <c r="J1068" s="1"/>
      <c r="K1068" s="1"/>
      <c r="L1068" s="1"/>
      <c r="O1068" s="475"/>
      <c r="P1068" s="475"/>
      <c r="Q1068" s="475"/>
      <c r="R1068" s="475"/>
      <c r="S1068" s="475"/>
      <c r="T1068" s="475"/>
      <c r="U1068" s="475"/>
      <c r="V1068" s="475"/>
      <c r="W1068" s="475"/>
    </row>
    <row r="1069" spans="2:23" s="97" customFormat="1">
      <c r="B1069" s="96"/>
      <c r="H1069" s="96"/>
      <c r="J1069" s="1"/>
      <c r="K1069" s="1"/>
      <c r="L1069" s="1"/>
      <c r="O1069" s="475"/>
      <c r="P1069" s="475"/>
      <c r="Q1069" s="475"/>
      <c r="R1069" s="475"/>
      <c r="S1069" s="475"/>
      <c r="T1069" s="475"/>
      <c r="U1069" s="475"/>
      <c r="V1069" s="475"/>
      <c r="W1069" s="475"/>
    </row>
    <row r="1070" spans="2:23" s="97" customFormat="1">
      <c r="B1070" s="96"/>
      <c r="H1070" s="96"/>
      <c r="J1070" s="1"/>
      <c r="K1070" s="1"/>
      <c r="L1070" s="1"/>
      <c r="O1070" s="475"/>
      <c r="P1070" s="475"/>
      <c r="Q1070" s="475"/>
      <c r="R1070" s="475"/>
      <c r="S1070" s="475"/>
      <c r="T1070" s="475"/>
      <c r="U1070" s="475"/>
      <c r="V1070" s="475"/>
      <c r="W1070" s="475"/>
    </row>
    <row r="1071" spans="2:23" s="97" customFormat="1">
      <c r="B1071" s="96"/>
      <c r="H1071" s="96"/>
      <c r="J1071" s="1"/>
      <c r="K1071" s="1"/>
      <c r="L1071" s="1"/>
      <c r="O1071" s="475"/>
      <c r="P1071" s="475"/>
      <c r="Q1071" s="475"/>
      <c r="R1071" s="475"/>
      <c r="S1071" s="475"/>
      <c r="T1071" s="475"/>
      <c r="U1071" s="475"/>
      <c r="V1071" s="475"/>
      <c r="W1071" s="475"/>
    </row>
    <row r="1072" spans="2:23" s="97" customFormat="1">
      <c r="B1072" s="96"/>
      <c r="H1072" s="96"/>
      <c r="J1072" s="1"/>
      <c r="K1072" s="1"/>
      <c r="L1072" s="1"/>
      <c r="O1072" s="475"/>
      <c r="P1072" s="475"/>
      <c r="Q1072" s="475"/>
      <c r="R1072" s="475"/>
      <c r="S1072" s="475"/>
      <c r="T1072" s="475"/>
      <c r="U1072" s="475"/>
      <c r="V1072" s="475"/>
      <c r="W1072" s="475"/>
    </row>
    <row r="1073" spans="2:23" s="97" customFormat="1">
      <c r="B1073" s="96"/>
      <c r="H1073" s="96"/>
      <c r="J1073" s="1"/>
      <c r="K1073" s="1"/>
      <c r="L1073" s="1"/>
      <c r="O1073" s="475"/>
      <c r="P1073" s="475"/>
      <c r="Q1073" s="475"/>
      <c r="R1073" s="475"/>
      <c r="S1073" s="475"/>
      <c r="T1073" s="475"/>
      <c r="U1073" s="475"/>
      <c r="V1073" s="475"/>
      <c r="W1073" s="475"/>
    </row>
    <row r="1074" spans="2:23" s="97" customFormat="1">
      <c r="B1074" s="96"/>
      <c r="H1074" s="96"/>
      <c r="J1074" s="1"/>
      <c r="K1074" s="1"/>
      <c r="L1074" s="1"/>
      <c r="O1074" s="475"/>
      <c r="P1074" s="475"/>
      <c r="Q1074" s="475"/>
      <c r="R1074" s="475"/>
      <c r="S1074" s="475"/>
      <c r="T1074" s="475"/>
      <c r="U1074" s="475"/>
      <c r="V1074" s="475"/>
      <c r="W1074" s="475"/>
    </row>
    <row r="1075" spans="2:23" s="97" customFormat="1">
      <c r="B1075" s="96"/>
      <c r="H1075" s="96"/>
      <c r="J1075" s="1"/>
      <c r="K1075" s="1"/>
      <c r="L1075" s="1"/>
      <c r="O1075" s="475"/>
      <c r="P1075" s="475"/>
      <c r="Q1075" s="475"/>
      <c r="R1075" s="475"/>
      <c r="S1075" s="475"/>
      <c r="T1075" s="475"/>
      <c r="U1075" s="475"/>
      <c r="V1075" s="475"/>
      <c r="W1075" s="475"/>
    </row>
    <row r="1076" spans="2:23" s="97" customFormat="1">
      <c r="B1076" s="96"/>
      <c r="H1076" s="96"/>
      <c r="J1076" s="1"/>
      <c r="K1076" s="1"/>
      <c r="L1076" s="1"/>
      <c r="O1076" s="475"/>
      <c r="P1076" s="475"/>
      <c r="Q1076" s="475"/>
      <c r="R1076" s="475"/>
      <c r="S1076" s="475"/>
      <c r="T1076" s="475"/>
      <c r="U1076" s="475"/>
      <c r="V1076" s="475"/>
      <c r="W1076" s="475"/>
    </row>
    <row r="1077" spans="2:23" s="97" customFormat="1">
      <c r="B1077" s="96"/>
      <c r="H1077" s="96"/>
      <c r="J1077" s="1"/>
      <c r="K1077" s="1"/>
      <c r="L1077" s="1"/>
      <c r="O1077" s="475"/>
      <c r="P1077" s="475"/>
      <c r="Q1077" s="475"/>
      <c r="R1077" s="475"/>
      <c r="S1077" s="475"/>
      <c r="T1077" s="475"/>
      <c r="U1077" s="475"/>
      <c r="V1077" s="475"/>
      <c r="W1077" s="475"/>
    </row>
    <row r="1078" spans="2:23" s="97" customFormat="1">
      <c r="B1078" s="96"/>
      <c r="H1078" s="96"/>
      <c r="J1078" s="1"/>
      <c r="K1078" s="1"/>
      <c r="L1078" s="1"/>
      <c r="O1078" s="475"/>
      <c r="P1078" s="475"/>
      <c r="Q1078" s="475"/>
      <c r="R1078" s="475"/>
      <c r="S1078" s="475"/>
      <c r="T1078" s="475"/>
      <c r="U1078" s="475"/>
      <c r="V1078" s="475"/>
      <c r="W1078" s="475"/>
    </row>
    <row r="1079" spans="2:23" s="97" customFormat="1">
      <c r="B1079" s="96"/>
      <c r="H1079" s="96"/>
      <c r="J1079" s="1"/>
      <c r="K1079" s="1"/>
      <c r="L1079" s="1"/>
      <c r="O1079" s="475"/>
      <c r="P1079" s="475"/>
      <c r="Q1079" s="475"/>
      <c r="R1079" s="475"/>
      <c r="S1079" s="475"/>
      <c r="T1079" s="475"/>
      <c r="U1079" s="475"/>
      <c r="V1079" s="475"/>
      <c r="W1079" s="475"/>
    </row>
    <row r="1080" spans="2:23" s="97" customFormat="1">
      <c r="B1080" s="96"/>
      <c r="H1080" s="96"/>
      <c r="J1080" s="1"/>
      <c r="K1080" s="1"/>
      <c r="L1080" s="1"/>
      <c r="O1080" s="475"/>
      <c r="P1080" s="475"/>
      <c r="Q1080" s="475"/>
      <c r="R1080" s="475"/>
      <c r="S1080" s="475"/>
      <c r="T1080" s="475"/>
      <c r="U1080" s="475"/>
      <c r="V1080" s="475"/>
      <c r="W1080" s="475"/>
    </row>
    <row r="1081" spans="2:23" s="97" customFormat="1">
      <c r="B1081" s="96"/>
      <c r="H1081" s="96"/>
      <c r="J1081" s="1"/>
      <c r="K1081" s="1"/>
      <c r="L1081" s="1"/>
      <c r="O1081" s="475"/>
      <c r="P1081" s="475"/>
      <c r="Q1081" s="475"/>
      <c r="R1081" s="475"/>
      <c r="S1081" s="475"/>
      <c r="T1081" s="475"/>
      <c r="U1081" s="475"/>
      <c r="V1081" s="475"/>
      <c r="W1081" s="475"/>
    </row>
    <row r="1082" spans="2:23" s="97" customFormat="1">
      <c r="B1082" s="96"/>
      <c r="H1082" s="96"/>
      <c r="J1082" s="1"/>
      <c r="K1082" s="1"/>
      <c r="L1082" s="1"/>
      <c r="O1082" s="475"/>
      <c r="P1082" s="475"/>
      <c r="Q1082" s="475"/>
      <c r="R1082" s="475"/>
      <c r="S1082" s="475"/>
      <c r="T1082" s="475"/>
      <c r="U1082" s="475"/>
      <c r="V1082" s="475"/>
      <c r="W1082" s="475"/>
    </row>
    <row r="1083" spans="2:23" s="97" customFormat="1">
      <c r="B1083" s="96"/>
      <c r="H1083" s="96"/>
      <c r="J1083" s="1"/>
      <c r="K1083" s="1"/>
      <c r="L1083" s="1"/>
      <c r="O1083" s="475"/>
      <c r="P1083" s="475"/>
      <c r="Q1083" s="475"/>
      <c r="R1083" s="475"/>
      <c r="S1083" s="475"/>
      <c r="T1083" s="475"/>
      <c r="U1083" s="475"/>
      <c r="V1083" s="475"/>
      <c r="W1083" s="475"/>
    </row>
    <row r="1084" spans="2:23" s="97" customFormat="1">
      <c r="B1084" s="96"/>
      <c r="H1084" s="96"/>
      <c r="J1084" s="1"/>
      <c r="K1084" s="1"/>
      <c r="L1084" s="1"/>
      <c r="O1084" s="475"/>
      <c r="P1084" s="475"/>
      <c r="Q1084" s="475"/>
      <c r="R1084" s="475"/>
      <c r="S1084" s="475"/>
      <c r="T1084" s="475"/>
      <c r="U1084" s="475"/>
      <c r="V1084" s="475"/>
      <c r="W1084" s="475"/>
    </row>
    <row r="1085" spans="2:23" s="97" customFormat="1">
      <c r="B1085" s="96"/>
      <c r="H1085" s="96"/>
      <c r="J1085" s="1"/>
      <c r="K1085" s="1"/>
      <c r="L1085" s="1"/>
      <c r="O1085" s="475"/>
      <c r="P1085" s="475"/>
      <c r="Q1085" s="475"/>
      <c r="R1085" s="475"/>
      <c r="S1085" s="475"/>
      <c r="T1085" s="475"/>
      <c r="U1085" s="475"/>
      <c r="V1085" s="475"/>
      <c r="W1085" s="475"/>
    </row>
    <row r="1086" spans="2:23" s="97" customFormat="1">
      <c r="B1086" s="96"/>
      <c r="H1086" s="96"/>
      <c r="J1086" s="1"/>
      <c r="K1086" s="1"/>
      <c r="L1086" s="1"/>
      <c r="O1086" s="475"/>
      <c r="P1086" s="475"/>
      <c r="Q1086" s="475"/>
      <c r="R1086" s="475"/>
      <c r="S1086" s="475"/>
      <c r="T1086" s="475"/>
      <c r="U1086" s="475"/>
      <c r="V1086" s="475"/>
      <c r="W1086" s="475"/>
    </row>
    <row r="1087" spans="2:23" s="97" customFormat="1">
      <c r="B1087" s="96"/>
      <c r="H1087" s="96"/>
      <c r="J1087" s="1"/>
      <c r="K1087" s="1"/>
      <c r="L1087" s="1"/>
      <c r="O1087" s="475"/>
      <c r="P1087" s="475"/>
      <c r="Q1087" s="475"/>
      <c r="R1087" s="475"/>
      <c r="S1087" s="475"/>
      <c r="T1087" s="475"/>
      <c r="U1087" s="475"/>
      <c r="V1087" s="475"/>
      <c r="W1087" s="475"/>
    </row>
    <row r="1088" spans="2:23" s="97" customFormat="1">
      <c r="B1088" s="96"/>
      <c r="H1088" s="96"/>
      <c r="J1088" s="1"/>
      <c r="K1088" s="1"/>
      <c r="L1088" s="1"/>
      <c r="O1088" s="475"/>
      <c r="P1088" s="475"/>
      <c r="Q1088" s="475"/>
      <c r="R1088" s="475"/>
      <c r="S1088" s="475"/>
      <c r="T1088" s="475"/>
      <c r="U1088" s="475"/>
      <c r="V1088" s="475"/>
      <c r="W1088" s="475"/>
    </row>
    <row r="1089" spans="2:23" s="97" customFormat="1">
      <c r="B1089" s="96"/>
      <c r="H1089" s="96"/>
      <c r="J1089" s="1"/>
      <c r="K1089" s="1"/>
      <c r="L1089" s="1"/>
      <c r="O1089" s="475"/>
      <c r="P1089" s="475"/>
      <c r="Q1089" s="475"/>
      <c r="R1089" s="475"/>
      <c r="S1089" s="475"/>
      <c r="T1089" s="475"/>
      <c r="U1089" s="475"/>
      <c r="V1089" s="475"/>
      <c r="W1089" s="475"/>
    </row>
    <row r="1090" spans="2:23" s="97" customFormat="1">
      <c r="B1090" s="96"/>
      <c r="H1090" s="96"/>
      <c r="J1090" s="1"/>
      <c r="K1090" s="1"/>
      <c r="L1090" s="1"/>
      <c r="O1090" s="475"/>
      <c r="P1090" s="475"/>
      <c r="Q1090" s="475"/>
      <c r="R1090" s="475"/>
      <c r="S1090" s="475"/>
      <c r="T1090" s="475"/>
      <c r="U1090" s="475"/>
      <c r="V1090" s="475"/>
      <c r="W1090" s="475"/>
    </row>
    <row r="1091" spans="2:23" s="97" customFormat="1">
      <c r="B1091" s="96"/>
      <c r="H1091" s="96"/>
      <c r="J1091" s="1"/>
      <c r="K1091" s="1"/>
      <c r="L1091" s="1"/>
      <c r="O1091" s="475"/>
      <c r="P1091" s="475"/>
      <c r="Q1091" s="475"/>
      <c r="R1091" s="475"/>
      <c r="S1091" s="475"/>
      <c r="T1091" s="475"/>
      <c r="U1091" s="475"/>
      <c r="V1091" s="475"/>
      <c r="W1091" s="475"/>
    </row>
    <row r="1092" spans="2:23" s="97" customFormat="1">
      <c r="B1092" s="96"/>
      <c r="H1092" s="96"/>
      <c r="J1092" s="1"/>
      <c r="K1092" s="1"/>
      <c r="L1092" s="1"/>
      <c r="O1092" s="475"/>
      <c r="P1092" s="475"/>
      <c r="Q1092" s="475"/>
      <c r="R1092" s="475"/>
      <c r="S1092" s="475"/>
      <c r="T1092" s="475"/>
      <c r="U1092" s="475"/>
      <c r="V1092" s="475"/>
      <c r="W1092" s="475"/>
    </row>
    <row r="1093" spans="2:23" s="97" customFormat="1">
      <c r="B1093" s="96"/>
      <c r="H1093" s="96"/>
      <c r="J1093" s="1"/>
      <c r="K1093" s="1"/>
      <c r="L1093" s="1"/>
      <c r="O1093" s="475"/>
      <c r="P1093" s="475"/>
      <c r="Q1093" s="475"/>
      <c r="R1093" s="475"/>
      <c r="S1093" s="475"/>
      <c r="T1093" s="475"/>
      <c r="U1093" s="475"/>
      <c r="V1093" s="475"/>
      <c r="W1093" s="475"/>
    </row>
    <row r="1094" spans="2:23" s="97" customFormat="1">
      <c r="B1094" s="96"/>
      <c r="H1094" s="96"/>
      <c r="J1094" s="1"/>
      <c r="K1094" s="1"/>
      <c r="L1094" s="1"/>
      <c r="O1094" s="475"/>
      <c r="P1094" s="475"/>
      <c r="Q1094" s="475"/>
      <c r="R1094" s="475"/>
      <c r="S1094" s="475"/>
      <c r="T1094" s="475"/>
      <c r="U1094" s="475"/>
      <c r="V1094" s="475"/>
      <c r="W1094" s="475"/>
    </row>
    <row r="1095" spans="2:23" s="97" customFormat="1">
      <c r="B1095" s="96"/>
      <c r="H1095" s="96"/>
      <c r="J1095" s="1"/>
      <c r="K1095" s="1"/>
      <c r="L1095" s="1"/>
      <c r="O1095" s="475"/>
      <c r="P1095" s="475"/>
      <c r="Q1095" s="475"/>
      <c r="R1095" s="475"/>
      <c r="S1095" s="475"/>
      <c r="T1095" s="475"/>
      <c r="U1095" s="475"/>
      <c r="V1095" s="475"/>
      <c r="W1095" s="475"/>
    </row>
    <row r="1096" spans="2:23" s="97" customFormat="1">
      <c r="B1096" s="96"/>
      <c r="H1096" s="96"/>
      <c r="J1096" s="1"/>
      <c r="K1096" s="1"/>
      <c r="L1096" s="1"/>
      <c r="O1096" s="475"/>
      <c r="P1096" s="475"/>
      <c r="Q1096" s="475"/>
      <c r="R1096" s="475"/>
      <c r="S1096" s="475"/>
      <c r="T1096" s="475"/>
      <c r="U1096" s="475"/>
      <c r="V1096" s="475"/>
      <c r="W1096" s="475"/>
    </row>
    <row r="1097" spans="2:23" s="97" customFormat="1">
      <c r="B1097" s="96"/>
      <c r="H1097" s="96"/>
      <c r="J1097" s="1"/>
      <c r="K1097" s="1"/>
      <c r="L1097" s="1"/>
      <c r="O1097" s="475"/>
      <c r="P1097" s="475"/>
      <c r="Q1097" s="475"/>
      <c r="R1097" s="475"/>
      <c r="S1097" s="475"/>
      <c r="T1097" s="475"/>
      <c r="U1097" s="475"/>
      <c r="V1097" s="475"/>
      <c r="W1097" s="475"/>
    </row>
    <row r="1098" spans="2:23" s="97" customFormat="1">
      <c r="B1098" s="96"/>
      <c r="H1098" s="96"/>
      <c r="J1098" s="1"/>
      <c r="K1098" s="1"/>
      <c r="L1098" s="1"/>
      <c r="O1098" s="475"/>
      <c r="P1098" s="475"/>
      <c r="Q1098" s="475"/>
      <c r="R1098" s="475"/>
      <c r="S1098" s="475"/>
      <c r="T1098" s="475"/>
      <c r="U1098" s="475"/>
      <c r="V1098" s="475"/>
      <c r="W1098" s="475"/>
    </row>
    <row r="1099" spans="2:23" s="97" customFormat="1">
      <c r="B1099" s="96"/>
      <c r="H1099" s="96"/>
      <c r="J1099" s="1"/>
      <c r="K1099" s="1"/>
      <c r="L1099" s="1"/>
      <c r="O1099" s="475"/>
      <c r="P1099" s="475"/>
      <c r="Q1099" s="475"/>
      <c r="R1099" s="475"/>
      <c r="S1099" s="475"/>
      <c r="T1099" s="475"/>
      <c r="U1099" s="475"/>
      <c r="V1099" s="475"/>
      <c r="W1099" s="475"/>
    </row>
    <row r="1100" spans="2:23" s="97" customFormat="1">
      <c r="B1100" s="96"/>
      <c r="H1100" s="96"/>
      <c r="J1100" s="1"/>
      <c r="K1100" s="1"/>
      <c r="L1100" s="1"/>
      <c r="O1100" s="475"/>
      <c r="P1100" s="475"/>
      <c r="Q1100" s="475"/>
      <c r="R1100" s="475"/>
      <c r="S1100" s="475"/>
      <c r="T1100" s="475"/>
      <c r="U1100" s="475"/>
      <c r="V1100" s="475"/>
      <c r="W1100" s="475"/>
    </row>
    <row r="1101" spans="2:23" s="97" customFormat="1">
      <c r="B1101" s="96"/>
      <c r="H1101" s="96"/>
      <c r="J1101" s="1"/>
      <c r="K1101" s="1"/>
      <c r="L1101" s="1"/>
      <c r="O1101" s="475"/>
      <c r="P1101" s="475"/>
      <c r="Q1101" s="475"/>
      <c r="R1101" s="475"/>
      <c r="S1101" s="475"/>
      <c r="T1101" s="475"/>
      <c r="U1101" s="475"/>
      <c r="V1101" s="475"/>
      <c r="W1101" s="475"/>
    </row>
    <row r="1102" spans="2:23" s="97" customFormat="1">
      <c r="B1102" s="96"/>
      <c r="H1102" s="96"/>
      <c r="J1102" s="1"/>
      <c r="K1102" s="1"/>
      <c r="L1102" s="1"/>
      <c r="O1102" s="475"/>
      <c r="P1102" s="475"/>
      <c r="Q1102" s="475"/>
      <c r="R1102" s="475"/>
      <c r="S1102" s="475"/>
      <c r="T1102" s="475"/>
      <c r="U1102" s="475"/>
      <c r="V1102" s="475"/>
      <c r="W1102" s="475"/>
    </row>
    <row r="1103" spans="2:23" s="97" customFormat="1">
      <c r="B1103" s="96"/>
      <c r="H1103" s="96"/>
      <c r="J1103" s="1"/>
      <c r="K1103" s="1"/>
      <c r="L1103" s="1"/>
      <c r="O1103" s="475"/>
      <c r="P1103" s="475"/>
      <c r="Q1103" s="475"/>
      <c r="R1103" s="475"/>
      <c r="S1103" s="475"/>
      <c r="T1103" s="475"/>
      <c r="U1103" s="475"/>
      <c r="V1103" s="475"/>
      <c r="W1103" s="475"/>
    </row>
    <row r="1104" spans="2:23" s="97" customFormat="1">
      <c r="B1104" s="96"/>
      <c r="H1104" s="96"/>
      <c r="J1104" s="1"/>
      <c r="K1104" s="1"/>
      <c r="L1104" s="1"/>
      <c r="O1104" s="475"/>
      <c r="P1104" s="475"/>
      <c r="Q1104" s="475"/>
      <c r="R1104" s="475"/>
      <c r="S1104" s="475"/>
      <c r="T1104" s="475"/>
      <c r="U1104" s="475"/>
      <c r="V1104" s="475"/>
      <c r="W1104" s="475"/>
    </row>
    <row r="1105" spans="2:23" s="97" customFormat="1">
      <c r="B1105" s="96"/>
      <c r="H1105" s="96"/>
      <c r="J1105" s="1"/>
      <c r="K1105" s="1"/>
      <c r="L1105" s="1"/>
      <c r="O1105" s="475"/>
      <c r="P1105" s="475"/>
      <c r="Q1105" s="475"/>
      <c r="R1105" s="475"/>
      <c r="S1105" s="475"/>
      <c r="T1105" s="475"/>
      <c r="U1105" s="475"/>
      <c r="V1105" s="475"/>
      <c r="W1105" s="475"/>
    </row>
    <row r="1106" spans="2:23" s="97" customFormat="1">
      <c r="B1106" s="96"/>
      <c r="H1106" s="96"/>
      <c r="J1106" s="1"/>
      <c r="K1106" s="1"/>
      <c r="L1106" s="1"/>
      <c r="O1106" s="475"/>
      <c r="P1106" s="475"/>
      <c r="Q1106" s="475"/>
      <c r="R1106" s="475"/>
      <c r="S1106" s="475"/>
      <c r="T1106" s="475"/>
      <c r="U1106" s="475"/>
      <c r="V1106" s="475"/>
      <c r="W1106" s="475"/>
    </row>
    <row r="1107" spans="2:23" s="97" customFormat="1">
      <c r="B1107" s="96"/>
      <c r="H1107" s="96"/>
      <c r="J1107" s="1"/>
      <c r="K1107" s="1"/>
      <c r="L1107" s="1"/>
      <c r="O1107" s="475"/>
      <c r="P1107" s="475"/>
      <c r="Q1107" s="475"/>
      <c r="R1107" s="475"/>
      <c r="S1107" s="475"/>
      <c r="T1107" s="475"/>
      <c r="U1107" s="475"/>
      <c r="V1107" s="475"/>
      <c r="W1107" s="475"/>
    </row>
    <row r="1108" spans="2:23" s="97" customFormat="1">
      <c r="B1108" s="96"/>
      <c r="H1108" s="96"/>
      <c r="J1108" s="1"/>
      <c r="K1108" s="1"/>
      <c r="L1108" s="1"/>
      <c r="O1108" s="475"/>
      <c r="P1108" s="475"/>
      <c r="Q1108" s="475"/>
      <c r="R1108" s="475"/>
      <c r="S1108" s="475"/>
      <c r="T1108" s="475"/>
      <c r="U1108" s="475"/>
      <c r="V1108" s="475"/>
      <c r="W1108" s="475"/>
    </row>
    <row r="1109" spans="2:23" s="97" customFormat="1">
      <c r="B1109" s="96"/>
      <c r="H1109" s="96"/>
      <c r="J1109" s="1"/>
      <c r="K1109" s="1"/>
      <c r="L1109" s="1"/>
      <c r="O1109" s="475"/>
      <c r="P1109" s="475"/>
      <c r="Q1109" s="475"/>
      <c r="R1109" s="475"/>
      <c r="S1109" s="475"/>
      <c r="T1109" s="475"/>
      <c r="U1109" s="475"/>
      <c r="V1109" s="475"/>
      <c r="W1109" s="475"/>
    </row>
    <row r="1110" spans="2:23" s="97" customFormat="1">
      <c r="B1110" s="96"/>
      <c r="H1110" s="96"/>
      <c r="J1110" s="1"/>
      <c r="K1110" s="1"/>
      <c r="L1110" s="1"/>
      <c r="O1110" s="475"/>
      <c r="P1110" s="475"/>
      <c r="Q1110" s="475"/>
      <c r="R1110" s="475"/>
      <c r="S1110" s="475"/>
      <c r="T1110" s="475"/>
      <c r="U1110" s="475"/>
      <c r="V1110" s="475"/>
      <c r="W1110" s="475"/>
    </row>
    <row r="1111" spans="2:23" s="97" customFormat="1">
      <c r="B1111" s="96"/>
      <c r="H1111" s="96"/>
      <c r="J1111" s="1"/>
      <c r="K1111" s="1"/>
      <c r="L1111" s="1"/>
      <c r="O1111" s="475"/>
      <c r="P1111" s="475"/>
      <c r="Q1111" s="475"/>
      <c r="R1111" s="475"/>
      <c r="S1111" s="475"/>
      <c r="T1111" s="475"/>
      <c r="U1111" s="475"/>
      <c r="V1111" s="475"/>
      <c r="W1111" s="475"/>
    </row>
    <row r="1112" spans="2:23" s="97" customFormat="1">
      <c r="B1112" s="96"/>
      <c r="H1112" s="96"/>
      <c r="J1112" s="1"/>
      <c r="K1112" s="1"/>
      <c r="L1112" s="1"/>
      <c r="O1112" s="475"/>
      <c r="P1112" s="475"/>
      <c r="Q1112" s="475"/>
      <c r="R1112" s="475"/>
      <c r="S1112" s="475"/>
      <c r="T1112" s="475"/>
      <c r="U1112" s="475"/>
      <c r="V1112" s="475"/>
      <c r="W1112" s="475"/>
    </row>
    <row r="1113" spans="2:23" s="97" customFormat="1">
      <c r="B1113" s="96"/>
      <c r="H1113" s="96"/>
      <c r="J1113" s="1"/>
      <c r="K1113" s="1"/>
      <c r="L1113" s="1"/>
      <c r="O1113" s="475"/>
      <c r="P1113" s="475"/>
      <c r="Q1113" s="475"/>
      <c r="R1113" s="475"/>
      <c r="S1113" s="475"/>
      <c r="T1113" s="475"/>
      <c r="U1113" s="475"/>
      <c r="V1113" s="475"/>
      <c r="W1113" s="475"/>
    </row>
    <row r="1114" spans="2:23" s="97" customFormat="1">
      <c r="B1114" s="96"/>
      <c r="H1114" s="96"/>
      <c r="J1114" s="1"/>
      <c r="K1114" s="1"/>
      <c r="L1114" s="1"/>
      <c r="O1114" s="475"/>
      <c r="P1114" s="475"/>
      <c r="Q1114" s="475"/>
      <c r="R1114" s="475"/>
      <c r="S1114" s="475"/>
      <c r="T1114" s="475"/>
      <c r="U1114" s="475"/>
      <c r="V1114" s="475"/>
      <c r="W1114" s="475"/>
    </row>
    <row r="1115" spans="2:23" s="97" customFormat="1">
      <c r="B1115" s="96"/>
      <c r="H1115" s="96"/>
      <c r="J1115" s="1"/>
      <c r="K1115" s="1"/>
      <c r="L1115" s="1"/>
      <c r="O1115" s="475"/>
      <c r="P1115" s="475"/>
      <c r="Q1115" s="475"/>
      <c r="R1115" s="475"/>
      <c r="S1115" s="475"/>
      <c r="T1115" s="475"/>
      <c r="U1115" s="475"/>
      <c r="V1115" s="475"/>
      <c r="W1115" s="475"/>
    </row>
    <row r="1116" spans="2:23" s="97" customFormat="1">
      <c r="B1116" s="96"/>
      <c r="H1116" s="96"/>
      <c r="J1116" s="1"/>
      <c r="K1116" s="1"/>
      <c r="L1116" s="1"/>
      <c r="O1116" s="475"/>
      <c r="P1116" s="475"/>
      <c r="Q1116" s="475"/>
      <c r="R1116" s="475"/>
      <c r="S1116" s="475"/>
      <c r="T1116" s="475"/>
      <c r="U1116" s="475"/>
      <c r="V1116" s="475"/>
      <c r="W1116" s="475"/>
    </row>
    <row r="1117" spans="2:23" s="97" customFormat="1">
      <c r="B1117" s="96"/>
      <c r="H1117" s="96"/>
      <c r="J1117" s="1"/>
      <c r="K1117" s="1"/>
      <c r="L1117" s="1"/>
      <c r="O1117" s="475"/>
      <c r="P1117" s="475"/>
      <c r="Q1117" s="475"/>
      <c r="R1117" s="475"/>
      <c r="S1117" s="475"/>
      <c r="T1117" s="475"/>
      <c r="U1117" s="475"/>
      <c r="V1117" s="475"/>
      <c r="W1117" s="475"/>
    </row>
    <row r="1118" spans="2:23" s="97" customFormat="1">
      <c r="B1118" s="96"/>
      <c r="H1118" s="96"/>
      <c r="J1118" s="1"/>
      <c r="K1118" s="1"/>
      <c r="L1118" s="1"/>
      <c r="O1118" s="475"/>
      <c r="P1118" s="475"/>
      <c r="Q1118" s="475"/>
      <c r="R1118" s="475"/>
      <c r="S1118" s="475"/>
      <c r="T1118" s="475"/>
      <c r="U1118" s="475"/>
      <c r="V1118" s="475"/>
      <c r="W1118" s="475"/>
    </row>
    <row r="1119" spans="2:23" s="97" customFormat="1">
      <c r="B1119" s="96"/>
      <c r="H1119" s="96"/>
      <c r="J1119" s="1"/>
      <c r="K1119" s="1"/>
      <c r="L1119" s="1"/>
      <c r="O1119" s="475"/>
      <c r="P1119" s="475"/>
      <c r="Q1119" s="475"/>
      <c r="R1119" s="475"/>
      <c r="S1119" s="475"/>
      <c r="T1119" s="475"/>
      <c r="U1119" s="475"/>
      <c r="V1119" s="475"/>
      <c r="W1119" s="475"/>
    </row>
    <row r="1120" spans="2:23" s="97" customFormat="1">
      <c r="B1120" s="96"/>
      <c r="H1120" s="96"/>
      <c r="J1120" s="1"/>
      <c r="K1120" s="1"/>
      <c r="L1120" s="1"/>
      <c r="O1120" s="475"/>
      <c r="P1120" s="475"/>
      <c r="Q1120" s="475"/>
      <c r="R1120" s="475"/>
      <c r="S1120" s="475"/>
      <c r="T1120" s="475"/>
      <c r="U1120" s="475"/>
      <c r="V1120" s="475"/>
      <c r="W1120" s="475"/>
    </row>
    <row r="1121" spans="2:23" s="97" customFormat="1">
      <c r="B1121" s="96"/>
      <c r="H1121" s="96"/>
      <c r="J1121" s="1"/>
      <c r="K1121" s="1"/>
      <c r="L1121" s="1"/>
      <c r="O1121" s="475"/>
      <c r="P1121" s="475"/>
      <c r="Q1121" s="475"/>
      <c r="R1121" s="475"/>
      <c r="S1121" s="475"/>
      <c r="T1121" s="475"/>
      <c r="U1121" s="475"/>
      <c r="V1121" s="475"/>
      <c r="W1121" s="475"/>
    </row>
    <row r="1122" spans="2:23" s="97" customFormat="1">
      <c r="B1122" s="96"/>
      <c r="H1122" s="96"/>
      <c r="J1122" s="1"/>
      <c r="K1122" s="1"/>
      <c r="L1122" s="1"/>
      <c r="O1122" s="475"/>
      <c r="P1122" s="475"/>
      <c r="Q1122" s="475"/>
      <c r="R1122" s="475"/>
      <c r="S1122" s="475"/>
      <c r="T1122" s="475"/>
      <c r="U1122" s="475"/>
      <c r="V1122" s="475"/>
      <c r="W1122" s="475"/>
    </row>
    <row r="1123" spans="2:23" s="97" customFormat="1">
      <c r="B1123" s="96"/>
      <c r="H1123" s="96"/>
      <c r="J1123" s="1"/>
      <c r="K1123" s="1"/>
      <c r="L1123" s="1"/>
      <c r="O1123" s="475"/>
      <c r="P1123" s="475"/>
      <c r="Q1123" s="475"/>
      <c r="R1123" s="475"/>
      <c r="S1123" s="475"/>
      <c r="T1123" s="475"/>
      <c r="U1123" s="475"/>
      <c r="V1123" s="475"/>
      <c r="W1123" s="475"/>
    </row>
    <row r="1124" spans="2:23" s="97" customFormat="1">
      <c r="B1124" s="96"/>
      <c r="H1124" s="96"/>
      <c r="J1124" s="1"/>
      <c r="K1124" s="1"/>
      <c r="L1124" s="1"/>
      <c r="O1124" s="475"/>
      <c r="P1124" s="475"/>
      <c r="Q1124" s="475"/>
      <c r="R1124" s="475"/>
      <c r="S1124" s="475"/>
      <c r="T1124" s="475"/>
      <c r="U1124" s="475"/>
      <c r="V1124" s="475"/>
      <c r="W1124" s="475"/>
    </row>
    <row r="1125" spans="2:23" s="97" customFormat="1">
      <c r="B1125" s="96"/>
      <c r="H1125" s="96"/>
      <c r="J1125" s="1"/>
      <c r="K1125" s="1"/>
      <c r="L1125" s="1"/>
      <c r="O1125" s="475"/>
      <c r="P1125" s="475"/>
      <c r="Q1125" s="475"/>
      <c r="R1125" s="475"/>
      <c r="S1125" s="475"/>
      <c r="T1125" s="475"/>
      <c r="U1125" s="475"/>
      <c r="V1125" s="475"/>
      <c r="W1125" s="475"/>
    </row>
    <row r="1126" spans="2:23" s="97" customFormat="1">
      <c r="B1126" s="96"/>
      <c r="H1126" s="96"/>
      <c r="J1126" s="1"/>
      <c r="K1126" s="1"/>
      <c r="L1126" s="1"/>
      <c r="O1126" s="475"/>
      <c r="P1126" s="475"/>
      <c r="Q1126" s="475"/>
      <c r="R1126" s="475"/>
      <c r="S1126" s="475"/>
      <c r="T1126" s="475"/>
      <c r="U1126" s="475"/>
      <c r="V1126" s="475"/>
      <c r="W1126" s="475"/>
    </row>
    <row r="1127" spans="2:23" s="97" customFormat="1">
      <c r="B1127" s="96"/>
      <c r="H1127" s="96"/>
      <c r="J1127" s="1"/>
      <c r="K1127" s="1"/>
      <c r="L1127" s="1"/>
      <c r="O1127" s="475"/>
      <c r="P1127" s="475"/>
      <c r="Q1127" s="475"/>
      <c r="R1127" s="475"/>
      <c r="S1127" s="475"/>
      <c r="T1127" s="475"/>
      <c r="U1127" s="475"/>
      <c r="V1127" s="475"/>
      <c r="W1127" s="475"/>
    </row>
    <row r="1128" spans="2:23" s="97" customFormat="1">
      <c r="B1128" s="96"/>
      <c r="H1128" s="96"/>
      <c r="J1128" s="1"/>
      <c r="K1128" s="1"/>
      <c r="L1128" s="1"/>
      <c r="O1128" s="475"/>
      <c r="P1128" s="475"/>
      <c r="Q1128" s="475"/>
      <c r="R1128" s="475"/>
      <c r="S1128" s="475"/>
      <c r="T1128" s="475"/>
      <c r="U1128" s="475"/>
      <c r="V1128" s="475"/>
      <c r="W1128" s="475"/>
    </row>
    <row r="1129" spans="2:23" s="97" customFormat="1">
      <c r="B1129" s="96"/>
      <c r="H1129" s="96"/>
      <c r="J1129" s="1"/>
      <c r="K1129" s="1"/>
      <c r="L1129" s="1"/>
      <c r="O1129" s="475"/>
      <c r="P1129" s="475"/>
      <c r="Q1129" s="475"/>
      <c r="R1129" s="475"/>
      <c r="S1129" s="475"/>
      <c r="T1129" s="475"/>
      <c r="U1129" s="475"/>
      <c r="V1129" s="475"/>
      <c r="W1129" s="475"/>
    </row>
    <row r="1130" spans="2:23" s="97" customFormat="1">
      <c r="B1130" s="96"/>
      <c r="H1130" s="96"/>
      <c r="J1130" s="1"/>
      <c r="K1130" s="1"/>
      <c r="L1130" s="1"/>
      <c r="O1130" s="475"/>
      <c r="P1130" s="475"/>
      <c r="Q1130" s="475"/>
      <c r="R1130" s="475"/>
      <c r="S1130" s="475"/>
      <c r="T1130" s="475"/>
      <c r="U1130" s="475"/>
      <c r="V1130" s="475"/>
      <c r="W1130" s="475"/>
    </row>
    <row r="1131" spans="2:23" s="97" customFormat="1">
      <c r="B1131" s="96"/>
      <c r="H1131" s="96"/>
      <c r="J1131" s="1"/>
      <c r="K1131" s="1"/>
      <c r="L1131" s="1"/>
      <c r="O1131" s="475"/>
      <c r="P1131" s="475"/>
      <c r="Q1131" s="475"/>
      <c r="R1131" s="475"/>
      <c r="S1131" s="475"/>
      <c r="T1131" s="475"/>
      <c r="U1131" s="475"/>
      <c r="V1131" s="475"/>
      <c r="W1131" s="475"/>
    </row>
    <row r="1132" spans="2:23" s="97" customFormat="1">
      <c r="B1132" s="96"/>
      <c r="H1132" s="96"/>
      <c r="J1132" s="1"/>
      <c r="K1132" s="1"/>
      <c r="L1132" s="1"/>
      <c r="O1132" s="475"/>
      <c r="P1132" s="475"/>
      <c r="Q1132" s="475"/>
      <c r="R1132" s="475"/>
      <c r="S1132" s="475"/>
      <c r="T1132" s="475"/>
      <c r="U1132" s="475"/>
      <c r="V1132" s="475"/>
      <c r="W1132" s="475"/>
    </row>
    <row r="1133" spans="2:23" s="97" customFormat="1">
      <c r="B1133" s="96"/>
      <c r="H1133" s="96"/>
      <c r="J1133" s="1"/>
      <c r="K1133" s="1"/>
      <c r="L1133" s="1"/>
      <c r="O1133" s="475"/>
      <c r="P1133" s="475"/>
      <c r="Q1133" s="475"/>
      <c r="R1133" s="475"/>
      <c r="S1133" s="475"/>
      <c r="T1133" s="475"/>
      <c r="U1133" s="475"/>
      <c r="V1133" s="475"/>
      <c r="W1133" s="475"/>
    </row>
    <row r="1134" spans="2:23" s="97" customFormat="1">
      <c r="B1134" s="96"/>
      <c r="H1134" s="96"/>
      <c r="J1134" s="1"/>
      <c r="K1134" s="1"/>
      <c r="L1134" s="1"/>
      <c r="O1134" s="475"/>
      <c r="P1134" s="475"/>
      <c r="Q1134" s="475"/>
      <c r="R1134" s="475"/>
      <c r="S1134" s="475"/>
      <c r="T1134" s="475"/>
      <c r="U1134" s="475"/>
      <c r="V1134" s="475"/>
      <c r="W1134" s="475"/>
    </row>
    <row r="1135" spans="2:23" s="97" customFormat="1">
      <c r="B1135" s="96"/>
      <c r="H1135" s="96"/>
      <c r="J1135" s="1"/>
      <c r="K1135" s="1"/>
      <c r="L1135" s="1"/>
      <c r="O1135" s="475"/>
      <c r="P1135" s="475"/>
      <c r="Q1135" s="475"/>
      <c r="R1135" s="475"/>
      <c r="S1135" s="475"/>
      <c r="T1135" s="475"/>
      <c r="U1135" s="475"/>
      <c r="V1135" s="475"/>
      <c r="W1135" s="475"/>
    </row>
    <row r="1136" spans="2:23" s="97" customFormat="1">
      <c r="B1136" s="96"/>
      <c r="H1136" s="96"/>
      <c r="J1136" s="1"/>
      <c r="K1136" s="1"/>
      <c r="L1136" s="1"/>
      <c r="O1136" s="475"/>
      <c r="P1136" s="475"/>
      <c r="Q1136" s="475"/>
      <c r="R1136" s="475"/>
      <c r="S1136" s="475"/>
      <c r="T1136" s="475"/>
      <c r="U1136" s="475"/>
      <c r="V1136" s="475"/>
      <c r="W1136" s="475"/>
    </row>
    <row r="1137" spans="2:23" s="97" customFormat="1">
      <c r="B1137" s="96"/>
      <c r="H1137" s="96"/>
      <c r="J1137" s="1"/>
      <c r="K1137" s="1"/>
      <c r="L1137" s="1"/>
      <c r="O1137" s="475"/>
      <c r="P1137" s="475"/>
      <c r="Q1137" s="475"/>
      <c r="R1137" s="475"/>
      <c r="S1137" s="475"/>
      <c r="T1137" s="475"/>
      <c r="U1137" s="475"/>
      <c r="V1137" s="475"/>
      <c r="W1137" s="475"/>
    </row>
    <row r="1138" spans="2:23" s="97" customFormat="1">
      <c r="B1138" s="96"/>
      <c r="H1138" s="96"/>
      <c r="J1138" s="1"/>
      <c r="K1138" s="1"/>
      <c r="L1138" s="1"/>
      <c r="O1138" s="475"/>
      <c r="P1138" s="475"/>
      <c r="Q1138" s="475"/>
      <c r="R1138" s="475"/>
      <c r="S1138" s="475"/>
      <c r="T1138" s="475"/>
      <c r="U1138" s="475"/>
      <c r="V1138" s="475"/>
      <c r="W1138" s="475"/>
    </row>
    <row r="1139" spans="2:23" s="97" customFormat="1">
      <c r="B1139" s="96"/>
      <c r="H1139" s="96"/>
      <c r="J1139" s="1"/>
      <c r="K1139" s="1"/>
      <c r="L1139" s="1"/>
      <c r="O1139" s="475"/>
      <c r="P1139" s="475"/>
      <c r="Q1139" s="475"/>
      <c r="R1139" s="475"/>
      <c r="S1139" s="475"/>
      <c r="T1139" s="475"/>
      <c r="U1139" s="475"/>
      <c r="V1139" s="475"/>
      <c r="W1139" s="475"/>
    </row>
    <row r="1140" spans="2:23" s="97" customFormat="1">
      <c r="B1140" s="96"/>
      <c r="H1140" s="96"/>
      <c r="J1140" s="1"/>
      <c r="K1140" s="1"/>
      <c r="L1140" s="1"/>
      <c r="O1140" s="475"/>
      <c r="P1140" s="475"/>
      <c r="Q1140" s="475"/>
      <c r="R1140" s="475"/>
      <c r="S1140" s="475"/>
      <c r="T1140" s="475"/>
      <c r="U1140" s="475"/>
      <c r="V1140" s="475"/>
      <c r="W1140" s="475"/>
    </row>
    <row r="1141" spans="2:23" s="97" customFormat="1">
      <c r="B1141" s="96"/>
      <c r="H1141" s="96"/>
      <c r="J1141" s="1"/>
      <c r="K1141" s="1"/>
      <c r="L1141" s="1"/>
      <c r="O1141" s="475"/>
      <c r="P1141" s="475"/>
      <c r="Q1141" s="475"/>
      <c r="R1141" s="475"/>
      <c r="S1141" s="475"/>
      <c r="T1141" s="475"/>
      <c r="U1141" s="475"/>
      <c r="V1141" s="475"/>
      <c r="W1141" s="475"/>
    </row>
    <row r="1142" spans="2:23" s="97" customFormat="1">
      <c r="B1142" s="96"/>
      <c r="H1142" s="96"/>
      <c r="J1142" s="1"/>
      <c r="K1142" s="1"/>
      <c r="L1142" s="1"/>
      <c r="O1142" s="475"/>
      <c r="P1142" s="475"/>
      <c r="Q1142" s="475"/>
      <c r="R1142" s="475"/>
      <c r="S1142" s="475"/>
      <c r="T1142" s="475"/>
      <c r="U1142" s="475"/>
      <c r="V1142" s="475"/>
      <c r="W1142" s="475"/>
    </row>
    <row r="1143" spans="2:23" s="97" customFormat="1">
      <c r="B1143" s="96"/>
      <c r="H1143" s="96"/>
      <c r="J1143" s="1"/>
      <c r="K1143" s="1"/>
      <c r="L1143" s="1"/>
      <c r="O1143" s="475"/>
      <c r="P1143" s="475"/>
      <c r="Q1143" s="475"/>
      <c r="R1143" s="475"/>
      <c r="S1143" s="475"/>
      <c r="T1143" s="475"/>
      <c r="U1143" s="475"/>
      <c r="V1143" s="475"/>
      <c r="W1143" s="475"/>
    </row>
    <row r="1144" spans="2:23" s="97" customFormat="1">
      <c r="B1144" s="96"/>
      <c r="H1144" s="96"/>
      <c r="J1144" s="1"/>
      <c r="K1144" s="1"/>
      <c r="L1144" s="1"/>
      <c r="O1144" s="475"/>
      <c r="P1144" s="475"/>
      <c r="Q1144" s="475"/>
      <c r="R1144" s="475"/>
      <c r="S1144" s="475"/>
      <c r="T1144" s="475"/>
      <c r="U1144" s="475"/>
      <c r="V1144" s="475"/>
      <c r="W1144" s="475"/>
    </row>
    <row r="1145" spans="2:23" s="97" customFormat="1">
      <c r="B1145" s="96"/>
      <c r="H1145" s="96"/>
      <c r="J1145" s="1"/>
      <c r="K1145" s="1"/>
      <c r="L1145" s="1"/>
      <c r="O1145" s="475"/>
      <c r="P1145" s="475"/>
      <c r="Q1145" s="475"/>
      <c r="R1145" s="475"/>
      <c r="S1145" s="475"/>
      <c r="T1145" s="475"/>
      <c r="U1145" s="475"/>
      <c r="V1145" s="475"/>
      <c r="W1145" s="475"/>
    </row>
    <row r="1146" spans="2:23" s="97" customFormat="1">
      <c r="B1146" s="96"/>
      <c r="H1146" s="96"/>
      <c r="J1146" s="1"/>
      <c r="K1146" s="1"/>
      <c r="L1146" s="1"/>
      <c r="O1146" s="475"/>
      <c r="P1146" s="475"/>
      <c r="Q1146" s="475"/>
      <c r="R1146" s="475"/>
      <c r="S1146" s="475"/>
      <c r="T1146" s="475"/>
      <c r="U1146" s="475"/>
      <c r="V1146" s="475"/>
      <c r="W1146" s="475"/>
    </row>
    <row r="1147" spans="2:23" s="97" customFormat="1">
      <c r="B1147" s="96"/>
      <c r="H1147" s="96"/>
      <c r="J1147" s="1"/>
      <c r="K1147" s="1"/>
      <c r="L1147" s="1"/>
      <c r="O1147" s="475"/>
      <c r="P1147" s="475"/>
      <c r="Q1147" s="475"/>
      <c r="R1147" s="475"/>
      <c r="S1147" s="475"/>
      <c r="T1147" s="475"/>
      <c r="U1147" s="475"/>
      <c r="V1147" s="475"/>
      <c r="W1147" s="475"/>
    </row>
    <row r="1148" spans="2:23" s="97" customFormat="1">
      <c r="B1148" s="96"/>
      <c r="H1148" s="96"/>
      <c r="J1148" s="1"/>
      <c r="K1148" s="1"/>
      <c r="L1148" s="1"/>
      <c r="O1148" s="475"/>
      <c r="P1148" s="475"/>
      <c r="Q1148" s="475"/>
      <c r="R1148" s="475"/>
      <c r="S1148" s="475"/>
      <c r="T1148" s="475"/>
      <c r="U1148" s="475"/>
      <c r="V1148" s="475"/>
      <c r="W1148" s="475"/>
    </row>
    <row r="1149" spans="2:23" s="97" customFormat="1">
      <c r="B1149" s="96"/>
      <c r="H1149" s="96"/>
      <c r="J1149" s="1"/>
      <c r="K1149" s="1"/>
      <c r="L1149" s="1"/>
      <c r="O1149" s="475"/>
      <c r="P1149" s="475"/>
      <c r="Q1149" s="475"/>
      <c r="R1149" s="475"/>
      <c r="S1149" s="475"/>
      <c r="T1149" s="475"/>
      <c r="U1149" s="475"/>
      <c r="V1149" s="475"/>
      <c r="W1149" s="475"/>
    </row>
    <row r="1150" spans="2:23" s="97" customFormat="1">
      <c r="B1150" s="96"/>
      <c r="H1150" s="96"/>
      <c r="J1150" s="1"/>
      <c r="K1150" s="1"/>
      <c r="L1150" s="1"/>
      <c r="O1150" s="475"/>
      <c r="P1150" s="475"/>
      <c r="Q1150" s="475"/>
      <c r="R1150" s="475"/>
      <c r="S1150" s="475"/>
      <c r="T1150" s="475"/>
      <c r="U1150" s="475"/>
      <c r="V1150" s="475"/>
      <c r="W1150" s="475"/>
    </row>
    <row r="1151" spans="2:23" s="97" customFormat="1">
      <c r="B1151" s="96"/>
      <c r="H1151" s="96"/>
      <c r="J1151" s="1"/>
      <c r="K1151" s="1"/>
      <c r="L1151" s="1"/>
      <c r="O1151" s="475"/>
      <c r="P1151" s="475"/>
      <c r="Q1151" s="475"/>
      <c r="R1151" s="475"/>
      <c r="S1151" s="475"/>
      <c r="T1151" s="475"/>
      <c r="U1151" s="475"/>
      <c r="V1151" s="475"/>
      <c r="W1151" s="475"/>
    </row>
    <row r="1152" spans="2:23" s="97" customFormat="1">
      <c r="B1152" s="96"/>
      <c r="H1152" s="96"/>
      <c r="J1152" s="1"/>
      <c r="K1152" s="1"/>
      <c r="L1152" s="1"/>
      <c r="O1152" s="475"/>
      <c r="P1152" s="475"/>
      <c r="Q1152" s="475"/>
      <c r="R1152" s="475"/>
      <c r="S1152" s="475"/>
      <c r="T1152" s="475"/>
      <c r="U1152" s="475"/>
      <c r="V1152" s="475"/>
      <c r="W1152" s="475"/>
    </row>
    <row r="1153" spans="2:23" s="97" customFormat="1">
      <c r="B1153" s="96"/>
      <c r="H1153" s="96"/>
      <c r="J1153" s="1"/>
      <c r="K1153" s="1"/>
      <c r="L1153" s="1"/>
      <c r="O1153" s="475"/>
      <c r="P1153" s="475"/>
      <c r="Q1153" s="475"/>
      <c r="R1153" s="475"/>
      <c r="S1153" s="475"/>
      <c r="T1153" s="475"/>
      <c r="U1153" s="475"/>
      <c r="V1153" s="475"/>
      <c r="W1153" s="475"/>
    </row>
    <row r="1154" spans="2:23" s="97" customFormat="1">
      <c r="B1154" s="96"/>
      <c r="H1154" s="96"/>
      <c r="J1154" s="1"/>
      <c r="K1154" s="1"/>
      <c r="L1154" s="1"/>
      <c r="O1154" s="475"/>
      <c r="P1154" s="475"/>
      <c r="Q1154" s="475"/>
      <c r="R1154" s="475"/>
      <c r="S1154" s="475"/>
      <c r="T1154" s="475"/>
      <c r="U1154" s="475"/>
      <c r="V1154" s="475"/>
      <c r="W1154" s="475"/>
    </row>
    <row r="1155" spans="2:23" s="97" customFormat="1">
      <c r="B1155" s="96"/>
      <c r="H1155" s="96"/>
      <c r="J1155" s="1"/>
      <c r="K1155" s="1"/>
      <c r="L1155" s="1"/>
      <c r="O1155" s="475"/>
      <c r="P1155" s="475"/>
      <c r="Q1155" s="475"/>
      <c r="R1155" s="475"/>
      <c r="S1155" s="475"/>
      <c r="T1155" s="475"/>
      <c r="U1155" s="475"/>
      <c r="V1155" s="475"/>
      <c r="W1155" s="475"/>
    </row>
    <row r="1156" spans="2:23" s="97" customFormat="1">
      <c r="B1156" s="96"/>
      <c r="H1156" s="96"/>
      <c r="J1156" s="1"/>
      <c r="K1156" s="1"/>
      <c r="L1156" s="1"/>
      <c r="O1156" s="475"/>
      <c r="P1156" s="475"/>
      <c r="Q1156" s="475"/>
      <c r="R1156" s="475"/>
      <c r="S1156" s="475"/>
      <c r="T1156" s="475"/>
      <c r="U1156" s="475"/>
      <c r="V1156" s="475"/>
      <c r="W1156" s="475"/>
    </row>
    <row r="1157" spans="2:23" s="97" customFormat="1">
      <c r="B1157" s="96"/>
      <c r="H1157" s="96"/>
      <c r="J1157" s="1"/>
      <c r="K1157" s="1"/>
      <c r="L1157" s="1"/>
      <c r="O1157" s="475"/>
      <c r="P1157" s="475"/>
      <c r="Q1157" s="475"/>
      <c r="R1157" s="475"/>
      <c r="S1157" s="475"/>
      <c r="T1157" s="475"/>
      <c r="U1157" s="475"/>
      <c r="V1157" s="475"/>
      <c r="W1157" s="475"/>
    </row>
    <row r="1158" spans="2:23" s="97" customFormat="1">
      <c r="B1158" s="96"/>
      <c r="H1158" s="96"/>
      <c r="J1158" s="1"/>
      <c r="K1158" s="1"/>
      <c r="L1158" s="1"/>
      <c r="O1158" s="475"/>
      <c r="P1158" s="475"/>
      <c r="Q1158" s="475"/>
      <c r="R1158" s="475"/>
      <c r="S1158" s="475"/>
      <c r="T1158" s="475"/>
      <c r="U1158" s="475"/>
      <c r="V1158" s="475"/>
      <c r="W1158" s="475"/>
    </row>
    <row r="1159" spans="2:23" s="97" customFormat="1">
      <c r="B1159" s="96"/>
      <c r="H1159" s="96"/>
      <c r="J1159" s="1"/>
      <c r="K1159" s="1"/>
      <c r="L1159" s="1"/>
      <c r="O1159" s="475"/>
      <c r="P1159" s="475"/>
      <c r="Q1159" s="475"/>
      <c r="R1159" s="475"/>
      <c r="S1159" s="475"/>
      <c r="T1159" s="475"/>
      <c r="U1159" s="475"/>
      <c r="V1159" s="475"/>
      <c r="W1159" s="475"/>
    </row>
    <row r="1160" spans="2:23" s="97" customFormat="1">
      <c r="B1160" s="96"/>
      <c r="H1160" s="96"/>
      <c r="J1160" s="1"/>
      <c r="K1160" s="1"/>
      <c r="L1160" s="1"/>
      <c r="O1160" s="475"/>
      <c r="P1160" s="475"/>
      <c r="Q1160" s="475"/>
      <c r="R1160" s="475"/>
      <c r="S1160" s="475"/>
      <c r="T1160" s="475"/>
      <c r="U1160" s="475"/>
      <c r="V1160" s="475"/>
      <c r="W1160" s="475"/>
    </row>
    <row r="1161" spans="2:23" s="97" customFormat="1">
      <c r="B1161" s="96"/>
      <c r="H1161" s="96"/>
      <c r="J1161" s="1"/>
      <c r="K1161" s="1"/>
      <c r="L1161" s="1"/>
      <c r="O1161" s="475"/>
      <c r="P1161" s="475"/>
      <c r="Q1161" s="475"/>
      <c r="R1161" s="475"/>
      <c r="S1161" s="475"/>
      <c r="T1161" s="475"/>
      <c r="U1161" s="475"/>
      <c r="V1161" s="475"/>
      <c r="W1161" s="475"/>
    </row>
    <row r="1162" spans="2:23" s="97" customFormat="1">
      <c r="B1162" s="96"/>
      <c r="H1162" s="96"/>
      <c r="J1162" s="1"/>
      <c r="K1162" s="1"/>
      <c r="L1162" s="1"/>
      <c r="O1162" s="475"/>
      <c r="P1162" s="475"/>
      <c r="Q1162" s="475"/>
      <c r="R1162" s="475"/>
      <c r="S1162" s="475"/>
      <c r="T1162" s="475"/>
      <c r="U1162" s="475"/>
      <c r="V1162" s="475"/>
      <c r="W1162" s="475"/>
    </row>
    <row r="1163" spans="2:23" s="97" customFormat="1">
      <c r="B1163" s="96"/>
      <c r="H1163" s="96"/>
      <c r="J1163" s="1"/>
      <c r="K1163" s="1"/>
      <c r="L1163" s="1"/>
      <c r="O1163" s="475"/>
      <c r="P1163" s="475"/>
      <c r="Q1163" s="475"/>
      <c r="R1163" s="475"/>
      <c r="S1163" s="475"/>
      <c r="T1163" s="475"/>
      <c r="U1163" s="475"/>
      <c r="V1163" s="475"/>
      <c r="W1163" s="475"/>
    </row>
    <row r="1164" spans="2:23" s="97" customFormat="1">
      <c r="B1164" s="96"/>
      <c r="H1164" s="96"/>
      <c r="J1164" s="1"/>
      <c r="K1164" s="1"/>
      <c r="L1164" s="1"/>
      <c r="O1164" s="475"/>
      <c r="P1164" s="475"/>
      <c r="Q1164" s="475"/>
      <c r="R1164" s="475"/>
      <c r="S1164" s="475"/>
      <c r="T1164" s="475"/>
      <c r="U1164" s="475"/>
      <c r="V1164" s="475"/>
      <c r="W1164" s="475"/>
    </row>
    <row r="1165" spans="2:23" s="97" customFormat="1">
      <c r="B1165" s="96"/>
      <c r="H1165" s="96"/>
      <c r="J1165" s="1"/>
      <c r="K1165" s="1"/>
      <c r="L1165" s="1"/>
      <c r="O1165" s="475"/>
      <c r="P1165" s="475"/>
      <c r="Q1165" s="475"/>
      <c r="R1165" s="475"/>
      <c r="S1165" s="475"/>
      <c r="T1165" s="475"/>
      <c r="U1165" s="475"/>
      <c r="V1165" s="475"/>
      <c r="W1165" s="475"/>
    </row>
    <row r="1166" spans="2:23" s="97" customFormat="1">
      <c r="B1166" s="96"/>
      <c r="H1166" s="96"/>
      <c r="J1166" s="1"/>
      <c r="K1166" s="1"/>
      <c r="L1166" s="1"/>
      <c r="O1166" s="475"/>
      <c r="P1166" s="475"/>
      <c r="Q1166" s="475"/>
      <c r="R1166" s="475"/>
      <c r="S1166" s="475"/>
      <c r="T1166" s="475"/>
      <c r="U1166" s="475"/>
      <c r="V1166" s="475"/>
      <c r="W1166" s="475"/>
    </row>
    <row r="1167" spans="2:23" s="97" customFormat="1">
      <c r="B1167" s="96"/>
      <c r="H1167" s="96"/>
      <c r="J1167" s="1"/>
      <c r="K1167" s="1"/>
      <c r="L1167" s="1"/>
      <c r="O1167" s="475"/>
      <c r="P1167" s="475"/>
      <c r="Q1167" s="475"/>
      <c r="R1167" s="475"/>
      <c r="S1167" s="475"/>
      <c r="T1167" s="475"/>
      <c r="U1167" s="475"/>
      <c r="V1167" s="475"/>
      <c r="W1167" s="475"/>
    </row>
    <row r="1168" spans="2:23" s="97" customFormat="1">
      <c r="B1168" s="96"/>
      <c r="H1168" s="96"/>
      <c r="J1168" s="1"/>
      <c r="K1168" s="1"/>
      <c r="L1168" s="1"/>
      <c r="O1168" s="475"/>
      <c r="P1168" s="475"/>
      <c r="Q1168" s="475"/>
      <c r="R1168" s="475"/>
      <c r="S1168" s="475"/>
      <c r="T1168" s="475"/>
      <c r="U1168" s="475"/>
      <c r="V1168" s="475"/>
      <c r="W1168" s="475"/>
    </row>
    <row r="1169" spans="2:23" s="97" customFormat="1">
      <c r="B1169" s="96"/>
      <c r="H1169" s="96"/>
      <c r="J1169" s="1"/>
      <c r="K1169" s="1"/>
      <c r="L1169" s="1"/>
      <c r="O1169" s="475"/>
      <c r="P1169" s="475"/>
      <c r="Q1169" s="475"/>
      <c r="R1169" s="475"/>
      <c r="S1169" s="475"/>
      <c r="T1169" s="475"/>
      <c r="U1169" s="475"/>
      <c r="V1169" s="475"/>
      <c r="W1169" s="475"/>
    </row>
    <row r="1170" spans="2:23" s="97" customFormat="1">
      <c r="B1170" s="96"/>
      <c r="H1170" s="96"/>
      <c r="J1170" s="1"/>
      <c r="K1170" s="1"/>
      <c r="L1170" s="1"/>
      <c r="O1170" s="475"/>
      <c r="P1170" s="475"/>
      <c r="Q1170" s="475"/>
      <c r="R1170" s="475"/>
      <c r="S1170" s="475"/>
      <c r="T1170" s="475"/>
      <c r="U1170" s="475"/>
      <c r="V1170" s="475"/>
      <c r="W1170" s="475"/>
    </row>
    <row r="1171" spans="2:23" s="97" customFormat="1">
      <c r="B1171" s="96"/>
      <c r="H1171" s="96"/>
      <c r="J1171" s="1"/>
      <c r="K1171" s="1"/>
      <c r="L1171" s="1"/>
      <c r="O1171" s="475"/>
      <c r="P1171" s="475"/>
      <c r="Q1171" s="475"/>
      <c r="R1171" s="475"/>
      <c r="S1171" s="475"/>
      <c r="T1171" s="475"/>
      <c r="U1171" s="475"/>
      <c r="V1171" s="475"/>
      <c r="W1171" s="475"/>
    </row>
    <row r="1172" spans="2:23" s="97" customFormat="1">
      <c r="B1172" s="96"/>
      <c r="H1172" s="96"/>
      <c r="J1172" s="1"/>
      <c r="K1172" s="1"/>
      <c r="L1172" s="1"/>
      <c r="O1172" s="475"/>
      <c r="P1172" s="475"/>
      <c r="Q1172" s="475"/>
      <c r="R1172" s="475"/>
      <c r="S1172" s="475"/>
      <c r="T1172" s="475"/>
      <c r="U1172" s="475"/>
      <c r="V1172" s="475"/>
      <c r="W1172" s="475"/>
    </row>
    <row r="1173" spans="2:23" s="97" customFormat="1">
      <c r="B1173" s="96"/>
      <c r="H1173" s="96"/>
      <c r="J1173" s="1"/>
      <c r="K1173" s="1"/>
      <c r="L1173" s="1"/>
      <c r="O1173" s="475"/>
      <c r="P1173" s="475"/>
      <c r="Q1173" s="475"/>
      <c r="R1173" s="475"/>
      <c r="S1173" s="475"/>
      <c r="T1173" s="475"/>
      <c r="U1173" s="475"/>
      <c r="V1173" s="475"/>
      <c r="W1173" s="475"/>
    </row>
    <row r="1174" spans="2:23" s="97" customFormat="1">
      <c r="B1174" s="96"/>
      <c r="H1174" s="96"/>
      <c r="J1174" s="1"/>
      <c r="K1174" s="1"/>
      <c r="L1174" s="1"/>
      <c r="O1174" s="475"/>
      <c r="P1174" s="475"/>
      <c r="Q1174" s="475"/>
      <c r="R1174" s="475"/>
      <c r="S1174" s="475"/>
      <c r="T1174" s="475"/>
      <c r="U1174" s="475"/>
      <c r="V1174" s="475"/>
      <c r="W1174" s="475"/>
    </row>
    <row r="1175" spans="2:23" s="97" customFormat="1">
      <c r="B1175" s="96"/>
      <c r="H1175" s="96"/>
      <c r="J1175" s="1"/>
      <c r="K1175" s="1"/>
      <c r="L1175" s="1"/>
      <c r="O1175" s="475"/>
      <c r="P1175" s="475"/>
      <c r="Q1175" s="475"/>
      <c r="R1175" s="475"/>
      <c r="S1175" s="475"/>
      <c r="T1175" s="475"/>
      <c r="U1175" s="475"/>
      <c r="V1175" s="475"/>
      <c r="W1175" s="475"/>
    </row>
    <row r="1176" spans="2:23" s="97" customFormat="1">
      <c r="B1176" s="96"/>
      <c r="H1176" s="96"/>
      <c r="J1176" s="1"/>
      <c r="K1176" s="1"/>
      <c r="L1176" s="1"/>
      <c r="O1176" s="475"/>
      <c r="P1176" s="475"/>
      <c r="Q1176" s="475"/>
      <c r="R1176" s="475"/>
      <c r="S1176" s="475"/>
      <c r="T1176" s="475"/>
      <c r="U1176" s="475"/>
      <c r="V1176" s="475"/>
      <c r="W1176" s="475"/>
    </row>
    <row r="1177" spans="2:23" s="97" customFormat="1">
      <c r="B1177" s="96"/>
      <c r="H1177" s="96"/>
      <c r="J1177" s="1"/>
      <c r="K1177" s="1"/>
      <c r="L1177" s="1"/>
      <c r="O1177" s="475"/>
      <c r="P1177" s="475"/>
      <c r="Q1177" s="475"/>
      <c r="R1177" s="475"/>
      <c r="S1177" s="475"/>
      <c r="T1177" s="475"/>
      <c r="U1177" s="475"/>
      <c r="V1177" s="475"/>
      <c r="W1177" s="475"/>
    </row>
    <row r="1178" spans="2:23" s="97" customFormat="1">
      <c r="B1178" s="96"/>
      <c r="H1178" s="96"/>
      <c r="J1178" s="1"/>
      <c r="K1178" s="1"/>
      <c r="L1178" s="1"/>
      <c r="O1178" s="475"/>
      <c r="P1178" s="475"/>
      <c r="Q1178" s="475"/>
      <c r="R1178" s="475"/>
      <c r="S1178" s="475"/>
      <c r="T1178" s="475"/>
      <c r="U1178" s="475"/>
      <c r="V1178" s="475"/>
      <c r="W1178" s="475"/>
    </row>
    <row r="1179" spans="2:23" s="97" customFormat="1">
      <c r="B1179" s="96"/>
      <c r="H1179" s="96"/>
      <c r="J1179" s="1"/>
      <c r="K1179" s="1"/>
      <c r="L1179" s="1"/>
      <c r="O1179" s="475"/>
      <c r="P1179" s="475"/>
      <c r="Q1179" s="475"/>
      <c r="R1179" s="475"/>
      <c r="S1179" s="475"/>
      <c r="T1179" s="475"/>
      <c r="U1179" s="475"/>
      <c r="V1179" s="475"/>
      <c r="W1179" s="475"/>
    </row>
    <row r="1180" spans="2:23" s="97" customFormat="1">
      <c r="B1180" s="96"/>
      <c r="H1180" s="96"/>
      <c r="J1180" s="1"/>
      <c r="K1180" s="1"/>
      <c r="L1180" s="1"/>
      <c r="O1180" s="475"/>
      <c r="P1180" s="475"/>
      <c r="Q1180" s="475"/>
      <c r="R1180" s="475"/>
      <c r="S1180" s="475"/>
      <c r="T1180" s="475"/>
      <c r="U1180" s="475"/>
      <c r="V1180" s="475"/>
      <c r="W1180" s="475"/>
    </row>
    <row r="1181" spans="2:23" s="97" customFormat="1">
      <c r="B1181" s="96"/>
      <c r="H1181" s="96"/>
      <c r="J1181" s="1"/>
      <c r="K1181" s="1"/>
      <c r="L1181" s="1"/>
      <c r="O1181" s="475"/>
      <c r="P1181" s="475"/>
      <c r="Q1181" s="475"/>
      <c r="R1181" s="475"/>
      <c r="S1181" s="475"/>
      <c r="T1181" s="475"/>
      <c r="U1181" s="475"/>
      <c r="V1181" s="475"/>
      <c r="W1181" s="475"/>
    </row>
    <row r="1182" spans="2:23" s="97" customFormat="1">
      <c r="B1182" s="96"/>
      <c r="H1182" s="96"/>
      <c r="J1182" s="1"/>
      <c r="K1182" s="1"/>
      <c r="L1182" s="1"/>
      <c r="O1182" s="475"/>
      <c r="P1182" s="475"/>
      <c r="Q1182" s="475"/>
      <c r="R1182" s="475"/>
      <c r="S1182" s="475"/>
      <c r="T1182" s="475"/>
      <c r="U1182" s="475"/>
      <c r="V1182" s="475"/>
      <c r="W1182" s="475"/>
    </row>
    <row r="1183" spans="2:23" s="97" customFormat="1">
      <c r="B1183" s="96"/>
      <c r="H1183" s="96"/>
      <c r="J1183" s="1"/>
      <c r="K1183" s="1"/>
      <c r="L1183" s="1"/>
      <c r="O1183" s="475"/>
      <c r="P1183" s="475"/>
      <c r="Q1183" s="475"/>
      <c r="R1183" s="475"/>
      <c r="S1183" s="475"/>
      <c r="T1183" s="475"/>
      <c r="U1183" s="475"/>
      <c r="V1183" s="475"/>
      <c r="W1183" s="475"/>
    </row>
    <row r="1184" spans="2:23" s="97" customFormat="1">
      <c r="B1184" s="96"/>
      <c r="H1184" s="96"/>
      <c r="J1184" s="1"/>
      <c r="K1184" s="1"/>
      <c r="L1184" s="1"/>
      <c r="O1184" s="475"/>
      <c r="P1184" s="475"/>
      <c r="Q1184" s="475"/>
      <c r="R1184" s="475"/>
      <c r="S1184" s="475"/>
      <c r="T1184" s="475"/>
      <c r="U1184" s="475"/>
      <c r="V1184" s="475"/>
      <c r="W1184" s="475"/>
    </row>
    <row r="1185" spans="2:23" s="97" customFormat="1">
      <c r="B1185" s="96"/>
      <c r="H1185" s="96"/>
      <c r="J1185" s="1"/>
      <c r="K1185" s="1"/>
      <c r="L1185" s="1"/>
      <c r="O1185" s="475"/>
      <c r="P1185" s="475"/>
      <c r="Q1185" s="475"/>
      <c r="R1185" s="475"/>
      <c r="S1185" s="475"/>
      <c r="T1185" s="475"/>
      <c r="U1185" s="475"/>
      <c r="V1185" s="475"/>
      <c r="W1185" s="475"/>
    </row>
    <row r="1186" spans="2:23" s="97" customFormat="1">
      <c r="B1186" s="96"/>
      <c r="H1186" s="96"/>
      <c r="J1186" s="1"/>
      <c r="K1186" s="1"/>
      <c r="L1186" s="1"/>
      <c r="O1186" s="475"/>
      <c r="P1186" s="475"/>
      <c r="Q1186" s="475"/>
      <c r="R1186" s="475"/>
      <c r="S1186" s="475"/>
      <c r="T1186" s="475"/>
      <c r="U1186" s="475"/>
      <c r="V1186" s="475"/>
      <c r="W1186" s="475"/>
    </row>
    <row r="1187" spans="2:23" s="97" customFormat="1">
      <c r="B1187" s="96"/>
      <c r="H1187" s="96"/>
      <c r="J1187" s="1"/>
      <c r="K1187" s="1"/>
      <c r="L1187" s="1"/>
      <c r="O1187" s="475"/>
      <c r="P1187" s="475"/>
      <c r="Q1187" s="475"/>
      <c r="R1187" s="475"/>
      <c r="S1187" s="475"/>
      <c r="T1187" s="475"/>
      <c r="U1187" s="475"/>
      <c r="V1187" s="475"/>
      <c r="W1187" s="475"/>
    </row>
    <row r="1188" spans="2:23" s="97" customFormat="1">
      <c r="B1188" s="96"/>
      <c r="H1188" s="96"/>
      <c r="J1188" s="1"/>
      <c r="K1188" s="1"/>
      <c r="L1188" s="1"/>
      <c r="O1188" s="475"/>
      <c r="P1188" s="475"/>
      <c r="Q1188" s="475"/>
      <c r="R1188" s="475"/>
      <c r="S1188" s="475"/>
      <c r="T1188" s="475"/>
      <c r="U1188" s="475"/>
      <c r="V1188" s="475"/>
      <c r="W1188" s="475"/>
    </row>
    <row r="1189" spans="2:23" s="97" customFormat="1">
      <c r="B1189" s="96"/>
      <c r="H1189" s="96"/>
      <c r="J1189" s="1"/>
      <c r="K1189" s="1"/>
      <c r="L1189" s="1"/>
      <c r="O1189" s="475"/>
      <c r="P1189" s="475"/>
      <c r="Q1189" s="475"/>
      <c r="R1189" s="475"/>
      <c r="S1189" s="475"/>
      <c r="T1189" s="475"/>
      <c r="U1189" s="475"/>
      <c r="V1189" s="475"/>
      <c r="W1189" s="475"/>
    </row>
    <row r="1190" spans="2:23" s="97" customFormat="1">
      <c r="B1190" s="96"/>
      <c r="H1190" s="96"/>
      <c r="J1190" s="1"/>
      <c r="K1190" s="1"/>
      <c r="L1190" s="1"/>
      <c r="O1190" s="475"/>
      <c r="P1190" s="475"/>
      <c r="Q1190" s="475"/>
      <c r="R1190" s="475"/>
      <c r="S1190" s="475"/>
      <c r="T1190" s="475"/>
      <c r="U1190" s="475"/>
      <c r="V1190" s="475"/>
      <c r="W1190" s="475"/>
    </row>
    <row r="1191" spans="2:23" s="97" customFormat="1">
      <c r="B1191" s="96"/>
      <c r="H1191" s="96"/>
      <c r="J1191" s="1"/>
      <c r="K1191" s="1"/>
      <c r="L1191" s="1"/>
      <c r="O1191" s="475"/>
      <c r="P1191" s="475"/>
      <c r="Q1191" s="475"/>
      <c r="R1191" s="475"/>
      <c r="S1191" s="475"/>
      <c r="T1191" s="475"/>
      <c r="U1191" s="475"/>
      <c r="V1191" s="475"/>
      <c r="W1191" s="475"/>
    </row>
    <row r="1192" spans="2:23" s="97" customFormat="1">
      <c r="B1192" s="96"/>
      <c r="H1192" s="96"/>
      <c r="J1192" s="1"/>
      <c r="K1192" s="1"/>
      <c r="L1192" s="1"/>
      <c r="O1192" s="475"/>
      <c r="P1192" s="475"/>
      <c r="Q1192" s="475"/>
      <c r="R1192" s="475"/>
      <c r="S1192" s="475"/>
      <c r="T1192" s="475"/>
      <c r="U1192" s="475"/>
      <c r="V1192" s="475"/>
      <c r="W1192" s="475"/>
    </row>
    <row r="1193" spans="2:23" s="97" customFormat="1">
      <c r="B1193" s="96"/>
      <c r="H1193" s="96"/>
      <c r="J1193" s="1"/>
      <c r="K1193" s="1"/>
      <c r="L1193" s="1"/>
      <c r="O1193" s="475"/>
      <c r="P1193" s="475"/>
      <c r="Q1193" s="475"/>
      <c r="R1193" s="475"/>
      <c r="S1193" s="475"/>
      <c r="T1193" s="475"/>
      <c r="U1193" s="475"/>
      <c r="V1193" s="475"/>
      <c r="W1193" s="475"/>
    </row>
    <row r="1194" spans="2:23" s="97" customFormat="1">
      <c r="B1194" s="96"/>
      <c r="H1194" s="96"/>
      <c r="J1194" s="1"/>
      <c r="K1194" s="1"/>
      <c r="L1194" s="1"/>
      <c r="O1194" s="475"/>
      <c r="P1194" s="475"/>
      <c r="Q1194" s="475"/>
      <c r="R1194" s="475"/>
      <c r="S1194" s="475"/>
      <c r="T1194" s="475"/>
      <c r="U1194" s="475"/>
      <c r="V1194" s="475"/>
      <c r="W1194" s="475"/>
    </row>
    <row r="1195" spans="2:23" s="97" customFormat="1">
      <c r="B1195" s="96"/>
      <c r="H1195" s="96"/>
      <c r="J1195" s="1"/>
      <c r="K1195" s="1"/>
      <c r="L1195" s="1"/>
      <c r="O1195" s="475"/>
      <c r="P1195" s="475"/>
      <c r="Q1195" s="475"/>
      <c r="R1195" s="475"/>
      <c r="S1195" s="475"/>
      <c r="T1195" s="475"/>
      <c r="U1195" s="475"/>
      <c r="V1195" s="475"/>
      <c r="W1195" s="475"/>
    </row>
    <row r="1196" spans="2:23" s="97" customFormat="1">
      <c r="B1196" s="96"/>
      <c r="H1196" s="96"/>
      <c r="J1196" s="1"/>
      <c r="K1196" s="1"/>
      <c r="L1196" s="1"/>
      <c r="O1196" s="475"/>
      <c r="P1196" s="475"/>
      <c r="Q1196" s="475"/>
      <c r="R1196" s="475"/>
      <c r="S1196" s="475"/>
      <c r="T1196" s="475"/>
      <c r="U1196" s="475"/>
      <c r="V1196" s="475"/>
      <c r="W1196" s="475"/>
    </row>
    <row r="1197" spans="2:23" s="97" customFormat="1">
      <c r="B1197" s="96"/>
      <c r="H1197" s="96"/>
      <c r="J1197" s="1"/>
      <c r="K1197" s="1"/>
      <c r="L1197" s="1"/>
      <c r="O1197" s="475"/>
      <c r="P1197" s="475"/>
      <c r="Q1197" s="475"/>
      <c r="R1197" s="475"/>
      <c r="S1197" s="475"/>
      <c r="T1197" s="475"/>
      <c r="U1197" s="475"/>
      <c r="V1197" s="475"/>
      <c r="W1197" s="475"/>
    </row>
    <row r="1198" spans="2:23" s="97" customFormat="1">
      <c r="B1198" s="96"/>
      <c r="H1198" s="96"/>
      <c r="J1198" s="1"/>
      <c r="K1198" s="1"/>
      <c r="L1198" s="1"/>
      <c r="O1198" s="475"/>
      <c r="P1198" s="475"/>
      <c r="Q1198" s="475"/>
      <c r="R1198" s="475"/>
      <c r="S1198" s="475"/>
      <c r="T1198" s="475"/>
      <c r="U1198" s="475"/>
      <c r="V1198" s="475"/>
      <c r="W1198" s="475"/>
    </row>
    <row r="1199" spans="2:23" s="97" customFormat="1">
      <c r="B1199" s="96"/>
      <c r="H1199" s="96"/>
      <c r="J1199" s="1"/>
      <c r="K1199" s="1"/>
      <c r="L1199" s="1"/>
      <c r="O1199" s="475"/>
      <c r="P1199" s="475"/>
      <c r="Q1199" s="475"/>
      <c r="R1199" s="475"/>
      <c r="S1199" s="475"/>
      <c r="T1199" s="475"/>
      <c r="U1199" s="475"/>
      <c r="V1199" s="475"/>
      <c r="W1199" s="475"/>
    </row>
    <row r="1200" spans="2:23" s="97" customFormat="1">
      <c r="B1200" s="96"/>
      <c r="H1200" s="96"/>
      <c r="J1200" s="1"/>
      <c r="K1200" s="1"/>
      <c r="L1200" s="1"/>
      <c r="O1200" s="475"/>
      <c r="P1200" s="475"/>
      <c r="Q1200" s="475"/>
      <c r="R1200" s="475"/>
      <c r="S1200" s="475"/>
      <c r="T1200" s="475"/>
      <c r="U1200" s="475"/>
      <c r="V1200" s="475"/>
      <c r="W1200" s="475"/>
    </row>
    <row r="1201" spans="2:23" s="97" customFormat="1">
      <c r="B1201" s="96"/>
      <c r="H1201" s="96"/>
      <c r="J1201" s="1"/>
      <c r="K1201" s="1"/>
      <c r="L1201" s="1"/>
      <c r="O1201" s="475"/>
      <c r="P1201" s="475"/>
      <c r="Q1201" s="475"/>
      <c r="R1201" s="475"/>
      <c r="S1201" s="475"/>
      <c r="T1201" s="475"/>
      <c r="U1201" s="475"/>
      <c r="V1201" s="475"/>
      <c r="W1201" s="475"/>
    </row>
    <row r="1202" spans="2:23" s="97" customFormat="1">
      <c r="B1202" s="96"/>
      <c r="H1202" s="96"/>
      <c r="J1202" s="1"/>
      <c r="K1202" s="1"/>
      <c r="L1202" s="1"/>
      <c r="O1202" s="475"/>
      <c r="P1202" s="475"/>
      <c r="Q1202" s="475"/>
      <c r="R1202" s="475"/>
      <c r="S1202" s="475"/>
      <c r="T1202" s="475"/>
      <c r="U1202" s="475"/>
      <c r="V1202" s="475"/>
      <c r="W1202" s="475"/>
    </row>
    <row r="1203" spans="2:23" s="97" customFormat="1">
      <c r="B1203" s="96"/>
      <c r="H1203" s="96"/>
      <c r="J1203" s="1"/>
      <c r="K1203" s="1"/>
      <c r="L1203" s="1"/>
      <c r="O1203" s="475"/>
      <c r="P1203" s="475"/>
      <c r="Q1203" s="475"/>
      <c r="R1203" s="475"/>
      <c r="S1203" s="475"/>
      <c r="T1203" s="475"/>
      <c r="U1203" s="475"/>
      <c r="V1203" s="475"/>
      <c r="W1203" s="475"/>
    </row>
    <row r="1204" spans="2:23" s="97" customFormat="1">
      <c r="B1204" s="96"/>
      <c r="H1204" s="96"/>
      <c r="J1204" s="1"/>
      <c r="K1204" s="1"/>
      <c r="L1204" s="1"/>
      <c r="O1204" s="475"/>
      <c r="P1204" s="475"/>
      <c r="Q1204" s="475"/>
      <c r="R1204" s="475"/>
      <c r="S1204" s="475"/>
      <c r="T1204" s="475"/>
      <c r="U1204" s="475"/>
      <c r="V1204" s="475"/>
      <c r="W1204" s="475"/>
    </row>
    <row r="1205" spans="2:23" s="97" customFormat="1">
      <c r="B1205" s="96"/>
      <c r="H1205" s="96"/>
      <c r="J1205" s="1"/>
      <c r="K1205" s="1"/>
      <c r="L1205" s="1"/>
      <c r="O1205" s="475"/>
      <c r="P1205" s="475"/>
      <c r="Q1205" s="475"/>
      <c r="R1205" s="475"/>
      <c r="S1205" s="475"/>
      <c r="T1205" s="475"/>
      <c r="U1205" s="475"/>
      <c r="V1205" s="475"/>
      <c r="W1205" s="475"/>
    </row>
    <row r="1206" spans="2:23" s="97" customFormat="1">
      <c r="B1206" s="96"/>
      <c r="H1206" s="96"/>
      <c r="J1206" s="1"/>
      <c r="K1206" s="1"/>
      <c r="L1206" s="1"/>
      <c r="O1206" s="475"/>
      <c r="P1206" s="475"/>
      <c r="Q1206" s="475"/>
      <c r="R1206" s="475"/>
      <c r="S1206" s="475"/>
      <c r="T1206" s="475"/>
      <c r="U1206" s="475"/>
      <c r="V1206" s="475"/>
      <c r="W1206" s="475"/>
    </row>
    <row r="1207" spans="2:23" s="97" customFormat="1">
      <c r="B1207" s="96"/>
      <c r="H1207" s="96"/>
      <c r="J1207" s="1"/>
      <c r="K1207" s="1"/>
      <c r="L1207" s="1"/>
      <c r="O1207" s="475"/>
      <c r="P1207" s="475"/>
      <c r="Q1207" s="475"/>
      <c r="R1207" s="475"/>
      <c r="S1207" s="475"/>
      <c r="T1207" s="475"/>
      <c r="U1207" s="475"/>
      <c r="V1207" s="475"/>
      <c r="W1207" s="475"/>
    </row>
    <row r="1208" spans="2:23" s="97" customFormat="1">
      <c r="B1208" s="96"/>
      <c r="H1208" s="96"/>
      <c r="J1208" s="1"/>
      <c r="K1208" s="1"/>
      <c r="L1208" s="1"/>
      <c r="O1208" s="475"/>
      <c r="P1208" s="475"/>
      <c r="Q1208" s="475"/>
      <c r="R1208" s="475"/>
      <c r="S1208" s="475"/>
      <c r="T1208" s="475"/>
      <c r="U1208" s="475"/>
      <c r="V1208" s="475"/>
      <c r="W1208" s="475"/>
    </row>
    <row r="1209" spans="2:23" s="97" customFormat="1">
      <c r="B1209" s="96"/>
      <c r="H1209" s="96"/>
      <c r="J1209" s="1"/>
      <c r="K1209" s="1"/>
      <c r="L1209" s="1"/>
      <c r="O1209" s="475"/>
      <c r="P1209" s="475"/>
      <c r="Q1209" s="475"/>
      <c r="R1209" s="475"/>
      <c r="S1209" s="475"/>
      <c r="T1209" s="475"/>
      <c r="U1209" s="475"/>
      <c r="V1209" s="475"/>
      <c r="W1209" s="475"/>
    </row>
    <row r="1210" spans="2:23" s="97" customFormat="1">
      <c r="B1210" s="96"/>
      <c r="H1210" s="96"/>
      <c r="J1210" s="1"/>
      <c r="K1210" s="1"/>
      <c r="L1210" s="1"/>
      <c r="O1210" s="475"/>
      <c r="P1210" s="475"/>
      <c r="Q1210" s="475"/>
      <c r="R1210" s="475"/>
      <c r="S1210" s="475"/>
      <c r="T1210" s="475"/>
      <c r="U1210" s="475"/>
      <c r="V1210" s="475"/>
      <c r="W1210" s="475"/>
    </row>
    <row r="1211" spans="2:23" s="97" customFormat="1">
      <c r="B1211" s="96"/>
      <c r="H1211" s="96"/>
      <c r="J1211" s="1"/>
      <c r="K1211" s="1"/>
      <c r="L1211" s="1"/>
      <c r="O1211" s="475"/>
      <c r="P1211" s="475"/>
      <c r="Q1211" s="475"/>
      <c r="R1211" s="475"/>
      <c r="S1211" s="475"/>
      <c r="T1211" s="475"/>
      <c r="U1211" s="475"/>
      <c r="V1211" s="475"/>
      <c r="W1211" s="475"/>
    </row>
    <row r="1212" spans="2:23" s="97" customFormat="1">
      <c r="B1212" s="96"/>
      <c r="H1212" s="96"/>
      <c r="J1212" s="1"/>
      <c r="K1212" s="1"/>
      <c r="L1212" s="1"/>
      <c r="O1212" s="475"/>
      <c r="P1212" s="475"/>
      <c r="Q1212" s="475"/>
      <c r="R1212" s="475"/>
      <c r="S1212" s="475"/>
      <c r="T1212" s="475"/>
      <c r="U1212" s="475"/>
      <c r="V1212" s="475"/>
      <c r="W1212" s="475"/>
    </row>
    <row r="1213" spans="2:23" s="97" customFormat="1">
      <c r="B1213" s="96"/>
      <c r="H1213" s="96"/>
      <c r="J1213" s="1"/>
      <c r="K1213" s="1"/>
      <c r="L1213" s="1"/>
      <c r="O1213" s="475"/>
      <c r="P1213" s="475"/>
      <c r="Q1213" s="475"/>
      <c r="R1213" s="475"/>
      <c r="S1213" s="475"/>
      <c r="T1213" s="475"/>
      <c r="U1213" s="475"/>
      <c r="V1213" s="475"/>
      <c r="W1213" s="475"/>
    </row>
    <row r="1214" spans="2:23" s="97" customFormat="1">
      <c r="B1214" s="96"/>
      <c r="H1214" s="96"/>
      <c r="J1214" s="1"/>
      <c r="K1214" s="1"/>
      <c r="L1214" s="1"/>
      <c r="O1214" s="475"/>
      <c r="P1214" s="475"/>
      <c r="Q1214" s="475"/>
      <c r="R1214" s="475"/>
      <c r="S1214" s="475"/>
      <c r="T1214" s="475"/>
      <c r="U1214" s="475"/>
      <c r="V1214" s="475"/>
      <c r="W1214" s="475"/>
    </row>
    <row r="1215" spans="2:23" s="97" customFormat="1">
      <c r="B1215" s="96"/>
      <c r="H1215" s="96"/>
      <c r="J1215" s="1"/>
      <c r="K1215" s="1"/>
      <c r="L1215" s="1"/>
      <c r="O1215" s="475"/>
      <c r="P1215" s="475"/>
      <c r="Q1215" s="475"/>
      <c r="R1215" s="475"/>
      <c r="S1215" s="475"/>
      <c r="T1215" s="475"/>
      <c r="U1215" s="475"/>
      <c r="V1215" s="475"/>
      <c r="W1215" s="475"/>
    </row>
    <row r="1216" spans="2:23" s="97" customFormat="1">
      <c r="B1216" s="96"/>
      <c r="H1216" s="96"/>
      <c r="J1216" s="1"/>
      <c r="K1216" s="1"/>
      <c r="L1216" s="1"/>
      <c r="O1216" s="475"/>
      <c r="P1216" s="475"/>
      <c r="Q1216" s="475"/>
      <c r="R1216" s="475"/>
      <c r="S1216" s="475"/>
      <c r="T1216" s="475"/>
      <c r="U1216" s="475"/>
      <c r="V1216" s="475"/>
      <c r="W1216" s="475"/>
    </row>
    <row r="1217" spans="2:23" s="97" customFormat="1">
      <c r="B1217" s="96"/>
      <c r="H1217" s="96"/>
      <c r="J1217" s="1"/>
      <c r="K1217" s="1"/>
      <c r="L1217" s="1"/>
      <c r="O1217" s="475"/>
      <c r="P1217" s="475"/>
      <c r="Q1217" s="475"/>
      <c r="R1217" s="475"/>
      <c r="S1217" s="475"/>
      <c r="T1217" s="475"/>
      <c r="U1217" s="475"/>
      <c r="V1217" s="475"/>
      <c r="W1217" s="475"/>
    </row>
    <row r="1218" spans="2:23" s="97" customFormat="1">
      <c r="B1218" s="96"/>
      <c r="H1218" s="96"/>
      <c r="J1218" s="1"/>
      <c r="K1218" s="1"/>
      <c r="L1218" s="1"/>
      <c r="O1218" s="475"/>
      <c r="P1218" s="475"/>
      <c r="Q1218" s="475"/>
      <c r="R1218" s="475"/>
      <c r="S1218" s="475"/>
      <c r="T1218" s="475"/>
      <c r="U1218" s="475"/>
      <c r="V1218" s="475"/>
      <c r="W1218" s="475"/>
    </row>
    <row r="1219" spans="2:23" s="97" customFormat="1">
      <c r="B1219" s="96"/>
      <c r="H1219" s="96"/>
      <c r="J1219" s="1"/>
      <c r="K1219" s="1"/>
      <c r="L1219" s="1"/>
      <c r="O1219" s="475"/>
      <c r="P1219" s="475"/>
      <c r="Q1219" s="475"/>
      <c r="R1219" s="475"/>
      <c r="S1219" s="475"/>
      <c r="T1219" s="475"/>
      <c r="U1219" s="475"/>
      <c r="V1219" s="475"/>
      <c r="W1219" s="475"/>
    </row>
    <row r="1220" spans="2:23" s="97" customFormat="1">
      <c r="B1220" s="96"/>
      <c r="H1220" s="96"/>
      <c r="J1220" s="1"/>
      <c r="K1220" s="1"/>
      <c r="L1220" s="1"/>
      <c r="O1220" s="475"/>
      <c r="P1220" s="475"/>
      <c r="Q1220" s="475"/>
      <c r="R1220" s="475"/>
      <c r="S1220" s="475"/>
      <c r="T1220" s="475"/>
      <c r="U1220" s="475"/>
      <c r="V1220" s="475"/>
      <c r="W1220" s="475"/>
    </row>
    <row r="1221" spans="2:23" s="97" customFormat="1">
      <c r="B1221" s="96"/>
      <c r="H1221" s="96"/>
      <c r="J1221" s="1"/>
      <c r="K1221" s="1"/>
      <c r="L1221" s="1"/>
      <c r="O1221" s="475"/>
      <c r="P1221" s="475"/>
      <c r="Q1221" s="475"/>
      <c r="R1221" s="475"/>
      <c r="S1221" s="475"/>
      <c r="T1221" s="475"/>
      <c r="U1221" s="475"/>
      <c r="V1221" s="475"/>
      <c r="W1221" s="475"/>
    </row>
    <row r="1222" spans="2:23" s="97" customFormat="1">
      <c r="B1222" s="96"/>
      <c r="H1222" s="96"/>
      <c r="J1222" s="1"/>
      <c r="K1222" s="1"/>
      <c r="L1222" s="1"/>
      <c r="O1222" s="475"/>
      <c r="P1222" s="475"/>
      <c r="Q1222" s="475"/>
      <c r="R1222" s="475"/>
      <c r="S1222" s="475"/>
      <c r="T1222" s="475"/>
      <c r="U1222" s="475"/>
      <c r="V1222" s="475"/>
      <c r="W1222" s="475"/>
    </row>
    <row r="1223" spans="2:23" s="97" customFormat="1">
      <c r="B1223" s="96"/>
      <c r="H1223" s="96"/>
      <c r="J1223" s="1"/>
      <c r="K1223" s="1"/>
      <c r="L1223" s="1"/>
      <c r="O1223" s="475"/>
      <c r="P1223" s="475"/>
      <c r="Q1223" s="475"/>
      <c r="R1223" s="475"/>
      <c r="S1223" s="475"/>
      <c r="T1223" s="475"/>
      <c r="U1223" s="475"/>
      <c r="V1223" s="475"/>
      <c r="W1223" s="475"/>
    </row>
    <row r="1224" spans="2:23" s="97" customFormat="1">
      <c r="B1224" s="96"/>
      <c r="H1224" s="96"/>
      <c r="J1224" s="1"/>
      <c r="K1224" s="1"/>
      <c r="L1224" s="1"/>
      <c r="O1224" s="475"/>
      <c r="P1224" s="475"/>
      <c r="Q1224" s="475"/>
      <c r="R1224" s="475"/>
      <c r="S1224" s="475"/>
      <c r="T1224" s="475"/>
      <c r="U1224" s="475"/>
      <c r="V1224" s="475"/>
      <c r="W1224" s="475"/>
    </row>
    <row r="1225" spans="2:23" s="97" customFormat="1">
      <c r="B1225" s="96"/>
      <c r="H1225" s="96"/>
      <c r="J1225" s="1"/>
      <c r="K1225" s="1"/>
      <c r="L1225" s="1"/>
      <c r="O1225" s="475"/>
      <c r="P1225" s="475"/>
      <c r="Q1225" s="475"/>
      <c r="R1225" s="475"/>
      <c r="S1225" s="475"/>
      <c r="T1225" s="475"/>
      <c r="U1225" s="475"/>
      <c r="V1225" s="475"/>
      <c r="W1225" s="475"/>
    </row>
    <row r="1226" spans="2:23" s="97" customFormat="1">
      <c r="B1226" s="96"/>
      <c r="H1226" s="96"/>
      <c r="J1226" s="1"/>
      <c r="K1226" s="1"/>
      <c r="L1226" s="1"/>
      <c r="O1226" s="475"/>
      <c r="P1226" s="475"/>
      <c r="Q1226" s="475"/>
      <c r="R1226" s="475"/>
      <c r="S1226" s="475"/>
      <c r="T1226" s="475"/>
      <c r="U1226" s="475"/>
      <c r="V1226" s="475"/>
      <c r="W1226" s="475"/>
    </row>
    <row r="1227" spans="2:23" s="97" customFormat="1">
      <c r="B1227" s="96"/>
      <c r="H1227" s="96"/>
      <c r="J1227" s="1"/>
      <c r="K1227" s="1"/>
      <c r="L1227" s="1"/>
      <c r="O1227" s="475"/>
      <c r="P1227" s="475"/>
      <c r="Q1227" s="475"/>
      <c r="R1227" s="475"/>
      <c r="S1227" s="475"/>
      <c r="T1227" s="475"/>
      <c r="U1227" s="475"/>
      <c r="V1227" s="475"/>
      <c r="W1227" s="475"/>
    </row>
    <row r="1228" spans="2:23" s="97" customFormat="1">
      <c r="B1228" s="96"/>
      <c r="H1228" s="96"/>
      <c r="J1228" s="1"/>
      <c r="K1228" s="1"/>
      <c r="L1228" s="1"/>
      <c r="O1228" s="475"/>
      <c r="P1228" s="475"/>
      <c r="Q1228" s="475"/>
      <c r="R1228" s="475"/>
      <c r="S1228" s="475"/>
      <c r="T1228" s="475"/>
      <c r="U1228" s="475"/>
      <c r="V1228" s="475"/>
      <c r="W1228" s="475"/>
    </row>
    <row r="1229" spans="2:23" s="97" customFormat="1">
      <c r="B1229" s="96"/>
      <c r="H1229" s="96"/>
      <c r="J1229" s="1"/>
      <c r="K1229" s="1"/>
      <c r="L1229" s="1"/>
      <c r="O1229" s="475"/>
      <c r="P1229" s="475"/>
      <c r="Q1229" s="475"/>
      <c r="R1229" s="475"/>
      <c r="S1229" s="475"/>
      <c r="T1229" s="475"/>
      <c r="U1229" s="475"/>
      <c r="V1229" s="475"/>
      <c r="W1229" s="475"/>
    </row>
    <row r="1230" spans="2:23" s="97" customFormat="1">
      <c r="B1230" s="96"/>
      <c r="H1230" s="96"/>
      <c r="J1230" s="1"/>
      <c r="K1230" s="1"/>
      <c r="L1230" s="1"/>
      <c r="O1230" s="475"/>
      <c r="P1230" s="475"/>
      <c r="Q1230" s="475"/>
      <c r="R1230" s="475"/>
      <c r="S1230" s="475"/>
      <c r="T1230" s="475"/>
      <c r="U1230" s="475"/>
      <c r="V1230" s="475"/>
      <c r="W1230" s="475"/>
    </row>
    <row r="1231" spans="2:23" s="97" customFormat="1">
      <c r="B1231" s="96"/>
      <c r="H1231" s="96"/>
      <c r="J1231" s="1"/>
      <c r="K1231" s="1"/>
      <c r="L1231" s="1"/>
      <c r="O1231" s="475"/>
      <c r="P1231" s="475"/>
      <c r="Q1231" s="475"/>
      <c r="R1231" s="475"/>
      <c r="S1231" s="475"/>
      <c r="T1231" s="475"/>
      <c r="U1231" s="475"/>
      <c r="V1231" s="475"/>
      <c r="W1231" s="475"/>
    </row>
    <row r="1232" spans="2:23" s="97" customFormat="1">
      <c r="B1232" s="96"/>
      <c r="H1232" s="96"/>
      <c r="J1232" s="1"/>
      <c r="K1232" s="1"/>
      <c r="L1232" s="1"/>
      <c r="O1232" s="475"/>
      <c r="P1232" s="475"/>
      <c r="Q1232" s="475"/>
      <c r="R1232" s="475"/>
      <c r="S1232" s="475"/>
      <c r="T1232" s="475"/>
      <c r="U1232" s="475"/>
      <c r="V1232" s="475"/>
      <c r="W1232" s="475"/>
    </row>
    <row r="1233" spans="2:23" s="97" customFormat="1">
      <c r="B1233" s="96"/>
      <c r="H1233" s="96"/>
      <c r="J1233" s="1"/>
      <c r="K1233" s="1"/>
      <c r="L1233" s="1"/>
      <c r="O1233" s="475"/>
      <c r="P1233" s="475"/>
      <c r="Q1233" s="475"/>
      <c r="R1233" s="475"/>
      <c r="S1233" s="475"/>
      <c r="T1233" s="475"/>
      <c r="U1233" s="475"/>
      <c r="V1233" s="475"/>
      <c r="W1233" s="475"/>
    </row>
    <row r="1234" spans="2:23" s="97" customFormat="1">
      <c r="B1234" s="96"/>
      <c r="H1234" s="96"/>
      <c r="J1234" s="1"/>
      <c r="K1234" s="1"/>
      <c r="L1234" s="1"/>
      <c r="O1234" s="475"/>
      <c r="P1234" s="475"/>
      <c r="Q1234" s="475"/>
      <c r="R1234" s="475"/>
      <c r="S1234" s="475"/>
      <c r="T1234" s="475"/>
      <c r="U1234" s="475"/>
      <c r="V1234" s="475"/>
      <c r="W1234" s="475"/>
    </row>
    <row r="1235" spans="2:23" s="97" customFormat="1">
      <c r="B1235" s="96"/>
      <c r="H1235" s="96"/>
      <c r="J1235" s="1"/>
      <c r="K1235" s="1"/>
      <c r="L1235" s="1"/>
      <c r="O1235" s="475"/>
      <c r="P1235" s="475"/>
      <c r="Q1235" s="475"/>
      <c r="R1235" s="475"/>
      <c r="S1235" s="475"/>
      <c r="T1235" s="475"/>
      <c r="U1235" s="475"/>
      <c r="V1235" s="475"/>
      <c r="W1235" s="475"/>
    </row>
    <row r="1236" spans="2:23" s="97" customFormat="1">
      <c r="B1236" s="96"/>
      <c r="H1236" s="96"/>
      <c r="J1236" s="1"/>
      <c r="K1236" s="1"/>
      <c r="L1236" s="1"/>
      <c r="O1236" s="475"/>
      <c r="P1236" s="475"/>
      <c r="Q1236" s="475"/>
      <c r="R1236" s="475"/>
      <c r="S1236" s="475"/>
      <c r="T1236" s="475"/>
      <c r="U1236" s="475"/>
      <c r="V1236" s="475"/>
      <c r="W1236" s="475"/>
    </row>
    <row r="1237" spans="2:23" s="97" customFormat="1">
      <c r="B1237" s="96"/>
      <c r="H1237" s="96"/>
      <c r="J1237" s="1"/>
      <c r="K1237" s="1"/>
      <c r="L1237" s="1"/>
      <c r="O1237" s="475"/>
      <c r="P1237" s="475"/>
      <c r="Q1237" s="475"/>
      <c r="R1237" s="475"/>
      <c r="S1237" s="475"/>
      <c r="T1237" s="475"/>
      <c r="U1237" s="475"/>
      <c r="V1237" s="475"/>
      <c r="W1237" s="475"/>
    </row>
    <row r="1238" spans="2:23" s="97" customFormat="1">
      <c r="B1238" s="96"/>
      <c r="H1238" s="96"/>
      <c r="J1238" s="1"/>
      <c r="K1238" s="1"/>
      <c r="L1238" s="1"/>
      <c r="O1238" s="475"/>
      <c r="P1238" s="475"/>
      <c r="Q1238" s="475"/>
      <c r="R1238" s="475"/>
      <c r="S1238" s="475"/>
      <c r="T1238" s="475"/>
      <c r="U1238" s="475"/>
      <c r="V1238" s="475"/>
      <c r="W1238" s="475"/>
    </row>
    <row r="1239" spans="2:23" s="97" customFormat="1">
      <c r="B1239" s="96"/>
      <c r="H1239" s="96"/>
      <c r="J1239" s="1"/>
      <c r="K1239" s="1"/>
      <c r="L1239" s="1"/>
      <c r="O1239" s="475"/>
      <c r="P1239" s="475"/>
      <c r="Q1239" s="475"/>
      <c r="R1239" s="475"/>
      <c r="S1239" s="475"/>
      <c r="T1239" s="475"/>
      <c r="U1239" s="475"/>
      <c r="V1239" s="475"/>
      <c r="W1239" s="475"/>
    </row>
    <row r="1240" spans="2:23" s="97" customFormat="1">
      <c r="B1240" s="96"/>
      <c r="H1240" s="96"/>
      <c r="J1240" s="1"/>
      <c r="K1240" s="1"/>
      <c r="L1240" s="1"/>
      <c r="O1240" s="475"/>
      <c r="P1240" s="475"/>
      <c r="Q1240" s="475"/>
      <c r="R1240" s="475"/>
      <c r="S1240" s="475"/>
      <c r="T1240" s="475"/>
      <c r="U1240" s="475"/>
      <c r="V1240" s="475"/>
      <c r="W1240" s="475"/>
    </row>
    <row r="1241" spans="2:23" s="97" customFormat="1">
      <c r="B1241" s="96"/>
      <c r="H1241" s="96"/>
      <c r="J1241" s="1"/>
      <c r="K1241" s="1"/>
      <c r="L1241" s="1"/>
      <c r="O1241" s="475"/>
      <c r="P1241" s="475"/>
      <c r="Q1241" s="475"/>
      <c r="R1241" s="475"/>
      <c r="S1241" s="475"/>
      <c r="T1241" s="475"/>
      <c r="U1241" s="475"/>
      <c r="V1241" s="475"/>
      <c r="W1241" s="475"/>
    </row>
    <row r="1242" spans="2:23" s="97" customFormat="1">
      <c r="B1242" s="96"/>
      <c r="H1242" s="96"/>
      <c r="J1242" s="1"/>
      <c r="K1242" s="1"/>
      <c r="L1242" s="1"/>
      <c r="O1242" s="475"/>
      <c r="P1242" s="475"/>
      <c r="Q1242" s="475"/>
      <c r="R1242" s="475"/>
      <c r="S1242" s="475"/>
      <c r="T1242" s="475"/>
      <c r="U1242" s="475"/>
      <c r="V1242" s="475"/>
      <c r="W1242" s="475"/>
    </row>
    <row r="1243" spans="2:23" s="97" customFormat="1">
      <c r="B1243" s="96"/>
      <c r="H1243" s="96"/>
      <c r="J1243" s="1"/>
      <c r="K1243" s="1"/>
      <c r="L1243" s="1"/>
      <c r="O1243" s="475"/>
      <c r="P1243" s="475"/>
      <c r="Q1243" s="475"/>
      <c r="R1243" s="475"/>
      <c r="S1243" s="475"/>
      <c r="T1243" s="475"/>
      <c r="U1243" s="475"/>
      <c r="V1243" s="475"/>
      <c r="W1243" s="475"/>
    </row>
    <row r="1244" spans="2:23" s="97" customFormat="1">
      <c r="B1244" s="96"/>
      <c r="H1244" s="96"/>
      <c r="J1244" s="1"/>
      <c r="K1244" s="1"/>
      <c r="L1244" s="1"/>
      <c r="O1244" s="475"/>
      <c r="P1244" s="475"/>
      <c r="Q1244" s="475"/>
      <c r="R1244" s="475"/>
      <c r="S1244" s="475"/>
      <c r="T1244" s="475"/>
      <c r="U1244" s="475"/>
      <c r="V1244" s="475"/>
      <c r="W1244" s="475"/>
    </row>
    <row r="1245" spans="2:23" s="97" customFormat="1">
      <c r="B1245" s="96"/>
      <c r="H1245" s="96"/>
      <c r="J1245" s="1"/>
      <c r="K1245" s="1"/>
      <c r="L1245" s="1"/>
      <c r="O1245" s="475"/>
      <c r="P1245" s="475"/>
      <c r="Q1245" s="475"/>
      <c r="R1245" s="475"/>
      <c r="S1245" s="475"/>
      <c r="T1245" s="475"/>
      <c r="U1245" s="475"/>
      <c r="V1245" s="475"/>
      <c r="W1245" s="475"/>
    </row>
    <row r="1246" spans="2:23" s="97" customFormat="1">
      <c r="B1246" s="96"/>
      <c r="H1246" s="96"/>
      <c r="J1246" s="1"/>
      <c r="K1246" s="1"/>
      <c r="L1246" s="1"/>
      <c r="O1246" s="475"/>
      <c r="P1246" s="475"/>
      <c r="Q1246" s="475"/>
      <c r="R1246" s="475"/>
      <c r="S1246" s="475"/>
      <c r="T1246" s="475"/>
      <c r="U1246" s="475"/>
      <c r="V1246" s="475"/>
      <c r="W1246" s="475"/>
    </row>
    <row r="1247" spans="2:23" s="97" customFormat="1">
      <c r="B1247" s="96"/>
      <c r="H1247" s="96"/>
      <c r="J1247" s="1"/>
      <c r="K1247" s="1"/>
      <c r="L1247" s="1"/>
      <c r="O1247" s="475"/>
      <c r="P1247" s="475"/>
      <c r="Q1247" s="475"/>
      <c r="R1247" s="475"/>
      <c r="S1247" s="475"/>
      <c r="T1247" s="475"/>
      <c r="U1247" s="475"/>
      <c r="V1247" s="475"/>
      <c r="W1247" s="475"/>
    </row>
    <row r="1248" spans="2:23" s="97" customFormat="1">
      <c r="B1248" s="96"/>
      <c r="H1248" s="96"/>
      <c r="J1248" s="1"/>
      <c r="K1248" s="1"/>
      <c r="L1248" s="1"/>
      <c r="O1248" s="475"/>
      <c r="P1248" s="475"/>
      <c r="Q1248" s="475"/>
      <c r="R1248" s="475"/>
      <c r="S1248" s="475"/>
      <c r="T1248" s="475"/>
      <c r="U1248" s="475"/>
      <c r="V1248" s="475"/>
      <c r="W1248" s="475"/>
    </row>
    <row r="1249" spans="2:23" s="97" customFormat="1">
      <c r="B1249" s="96"/>
      <c r="H1249" s="96"/>
      <c r="J1249" s="1"/>
      <c r="K1249" s="1"/>
      <c r="L1249" s="1"/>
      <c r="O1249" s="475"/>
      <c r="P1249" s="475"/>
      <c r="Q1249" s="475"/>
      <c r="R1249" s="475"/>
      <c r="S1249" s="475"/>
      <c r="T1249" s="475"/>
      <c r="U1249" s="475"/>
      <c r="V1249" s="475"/>
      <c r="W1249" s="475"/>
    </row>
    <row r="1250" spans="2:23" s="97" customFormat="1">
      <c r="B1250" s="96"/>
      <c r="H1250" s="96"/>
      <c r="J1250" s="1"/>
      <c r="K1250" s="1"/>
      <c r="L1250" s="1"/>
      <c r="O1250" s="475"/>
      <c r="P1250" s="475"/>
      <c r="Q1250" s="475"/>
      <c r="R1250" s="475"/>
      <c r="S1250" s="475"/>
      <c r="T1250" s="475"/>
      <c r="U1250" s="475"/>
      <c r="V1250" s="475"/>
      <c r="W1250" s="475"/>
    </row>
    <row r="1251" spans="2:23" s="97" customFormat="1">
      <c r="B1251" s="96"/>
      <c r="H1251" s="96"/>
      <c r="J1251" s="1"/>
      <c r="K1251" s="1"/>
      <c r="L1251" s="1"/>
      <c r="O1251" s="475"/>
      <c r="P1251" s="475"/>
      <c r="Q1251" s="475"/>
      <c r="R1251" s="475"/>
      <c r="S1251" s="475"/>
      <c r="T1251" s="475"/>
      <c r="U1251" s="475"/>
      <c r="V1251" s="475"/>
      <c r="W1251" s="475"/>
    </row>
    <row r="1252" spans="2:23" s="97" customFormat="1">
      <c r="B1252" s="96"/>
      <c r="H1252" s="96"/>
      <c r="J1252" s="1"/>
      <c r="K1252" s="1"/>
      <c r="L1252" s="1"/>
      <c r="O1252" s="475"/>
      <c r="P1252" s="475"/>
      <c r="Q1252" s="475"/>
      <c r="R1252" s="475"/>
      <c r="S1252" s="475"/>
      <c r="T1252" s="475"/>
      <c r="U1252" s="475"/>
      <c r="V1252" s="475"/>
      <c r="W1252" s="475"/>
    </row>
    <row r="1253" spans="2:23" s="97" customFormat="1">
      <c r="B1253" s="96"/>
      <c r="H1253" s="96"/>
      <c r="J1253" s="1"/>
      <c r="K1253" s="1"/>
      <c r="L1253" s="1"/>
      <c r="O1253" s="475"/>
      <c r="P1253" s="475"/>
      <c r="Q1253" s="475"/>
      <c r="R1253" s="475"/>
      <c r="S1253" s="475"/>
      <c r="T1253" s="475"/>
      <c r="U1253" s="475"/>
      <c r="V1253" s="475"/>
      <c r="W1253" s="475"/>
    </row>
    <row r="1254" spans="2:23" s="97" customFormat="1">
      <c r="B1254" s="96"/>
      <c r="H1254" s="96"/>
      <c r="J1254" s="1"/>
      <c r="K1254" s="1"/>
      <c r="L1254" s="1"/>
      <c r="O1254" s="475"/>
      <c r="P1254" s="475"/>
      <c r="Q1254" s="475"/>
      <c r="R1254" s="475"/>
      <c r="S1254" s="475"/>
      <c r="T1254" s="475"/>
      <c r="U1254" s="475"/>
      <c r="V1254" s="475"/>
      <c r="W1254" s="475"/>
    </row>
    <row r="1255" spans="2:23" s="97" customFormat="1">
      <c r="B1255" s="96"/>
      <c r="H1255" s="96"/>
      <c r="J1255" s="1"/>
      <c r="K1255" s="1"/>
      <c r="L1255" s="1"/>
      <c r="O1255" s="475"/>
      <c r="P1255" s="475"/>
      <c r="Q1255" s="475"/>
      <c r="R1255" s="475"/>
      <c r="S1255" s="475"/>
      <c r="T1255" s="475"/>
      <c r="U1255" s="475"/>
      <c r="V1255" s="475"/>
      <c r="W1255" s="475"/>
    </row>
    <row r="1256" spans="2:23" s="97" customFormat="1">
      <c r="B1256" s="96"/>
      <c r="H1256" s="96"/>
      <c r="J1256" s="1"/>
      <c r="K1256" s="1"/>
      <c r="L1256" s="1"/>
      <c r="O1256" s="475"/>
      <c r="P1256" s="475"/>
      <c r="Q1256" s="475"/>
      <c r="R1256" s="475"/>
      <c r="S1256" s="475"/>
      <c r="T1256" s="475"/>
      <c r="U1256" s="475"/>
      <c r="V1256" s="475"/>
      <c r="W1256" s="475"/>
    </row>
    <row r="1257" spans="2:23" s="97" customFormat="1">
      <c r="B1257" s="96"/>
      <c r="H1257" s="96"/>
      <c r="J1257" s="1"/>
      <c r="K1257" s="1"/>
      <c r="L1257" s="1"/>
      <c r="O1257" s="475"/>
      <c r="P1257" s="475"/>
      <c r="Q1257" s="475"/>
      <c r="R1257" s="475"/>
      <c r="S1257" s="475"/>
      <c r="T1257" s="475"/>
      <c r="U1257" s="475"/>
      <c r="V1257" s="475"/>
      <c r="W1257" s="475"/>
    </row>
    <row r="1258" spans="2:23" s="97" customFormat="1">
      <c r="B1258" s="96"/>
      <c r="H1258" s="96"/>
      <c r="J1258" s="1"/>
      <c r="K1258" s="1"/>
      <c r="L1258" s="1"/>
      <c r="O1258" s="475"/>
      <c r="P1258" s="475"/>
      <c r="Q1258" s="475"/>
      <c r="R1258" s="475"/>
      <c r="S1258" s="475"/>
      <c r="T1258" s="475"/>
      <c r="U1258" s="475"/>
      <c r="V1258" s="475"/>
      <c r="W1258" s="475"/>
    </row>
    <row r="1259" spans="2:23" s="97" customFormat="1">
      <c r="B1259" s="96"/>
      <c r="H1259" s="96"/>
      <c r="J1259" s="1"/>
      <c r="K1259" s="1"/>
      <c r="L1259" s="1"/>
      <c r="O1259" s="475"/>
      <c r="P1259" s="475"/>
      <c r="Q1259" s="475"/>
      <c r="R1259" s="475"/>
      <c r="S1259" s="475"/>
      <c r="T1259" s="475"/>
      <c r="U1259" s="475"/>
      <c r="V1259" s="475"/>
      <c r="W1259" s="475"/>
    </row>
    <row r="1260" spans="2:23" s="97" customFormat="1">
      <c r="B1260" s="96"/>
      <c r="H1260" s="96"/>
      <c r="J1260" s="1"/>
      <c r="K1260" s="1"/>
      <c r="L1260" s="1"/>
      <c r="O1260" s="475"/>
      <c r="P1260" s="475"/>
      <c r="Q1260" s="475"/>
      <c r="R1260" s="475"/>
      <c r="S1260" s="475"/>
      <c r="T1260" s="475"/>
      <c r="U1260" s="475"/>
      <c r="V1260" s="475"/>
      <c r="W1260" s="475"/>
    </row>
    <row r="1261" spans="2:23" s="97" customFormat="1">
      <c r="B1261" s="96"/>
      <c r="H1261" s="96"/>
      <c r="J1261" s="1"/>
      <c r="K1261" s="1"/>
      <c r="L1261" s="1"/>
      <c r="O1261" s="475"/>
      <c r="P1261" s="475"/>
      <c r="Q1261" s="475"/>
      <c r="R1261" s="475"/>
      <c r="S1261" s="475"/>
      <c r="T1261" s="475"/>
      <c r="U1261" s="475"/>
      <c r="V1261" s="475"/>
      <c r="W1261" s="475"/>
    </row>
    <row r="1262" spans="2:23" s="97" customFormat="1">
      <c r="B1262" s="96"/>
      <c r="H1262" s="96"/>
      <c r="J1262" s="1"/>
      <c r="K1262" s="1"/>
      <c r="L1262" s="1"/>
      <c r="O1262" s="475"/>
      <c r="P1262" s="475"/>
      <c r="Q1262" s="475"/>
      <c r="R1262" s="475"/>
      <c r="S1262" s="475"/>
      <c r="T1262" s="475"/>
      <c r="U1262" s="475"/>
      <c r="V1262" s="475"/>
      <c r="W1262" s="475"/>
    </row>
    <row r="1263" spans="2:23" s="97" customFormat="1">
      <c r="B1263" s="96"/>
      <c r="H1263" s="96"/>
      <c r="J1263" s="1"/>
      <c r="K1263" s="1"/>
      <c r="L1263" s="1"/>
      <c r="O1263" s="475"/>
      <c r="P1263" s="475"/>
      <c r="Q1263" s="475"/>
      <c r="R1263" s="475"/>
      <c r="S1263" s="475"/>
      <c r="T1263" s="475"/>
      <c r="U1263" s="475"/>
      <c r="V1263" s="475"/>
      <c r="W1263" s="475"/>
    </row>
    <row r="1264" spans="2:23" s="97" customFormat="1">
      <c r="B1264" s="96"/>
      <c r="H1264" s="96"/>
      <c r="J1264" s="1"/>
      <c r="K1264" s="1"/>
      <c r="L1264" s="1"/>
      <c r="O1264" s="475"/>
      <c r="P1264" s="475"/>
      <c r="Q1264" s="475"/>
      <c r="R1264" s="475"/>
      <c r="S1264" s="475"/>
      <c r="T1264" s="475"/>
      <c r="U1264" s="475"/>
      <c r="V1264" s="475"/>
      <c r="W1264" s="475"/>
    </row>
    <row r="1265" spans="2:23" s="97" customFormat="1">
      <c r="B1265" s="96"/>
      <c r="H1265" s="96"/>
      <c r="J1265" s="1"/>
      <c r="K1265" s="1"/>
      <c r="L1265" s="1"/>
      <c r="O1265" s="475"/>
      <c r="P1265" s="475"/>
      <c r="Q1265" s="475"/>
      <c r="R1265" s="475"/>
      <c r="S1265" s="475"/>
      <c r="T1265" s="475"/>
      <c r="U1265" s="475"/>
      <c r="V1265" s="475"/>
      <c r="W1265" s="475"/>
    </row>
    <row r="1266" spans="2:23" s="97" customFormat="1">
      <c r="B1266" s="96"/>
      <c r="H1266" s="96"/>
      <c r="J1266" s="1"/>
      <c r="K1266" s="1"/>
      <c r="L1266" s="1"/>
      <c r="O1266" s="475"/>
      <c r="P1266" s="475"/>
      <c r="Q1266" s="475"/>
      <c r="R1266" s="475"/>
      <c r="S1266" s="475"/>
      <c r="T1266" s="475"/>
      <c r="U1266" s="475"/>
      <c r="V1266" s="475"/>
      <c r="W1266" s="475"/>
    </row>
    <row r="1267" spans="2:23" s="97" customFormat="1">
      <c r="B1267" s="96"/>
      <c r="H1267" s="96"/>
      <c r="J1267" s="1"/>
      <c r="K1267" s="1"/>
      <c r="L1267" s="1"/>
      <c r="O1267" s="475"/>
      <c r="P1267" s="475"/>
      <c r="Q1267" s="475"/>
      <c r="R1267" s="475"/>
      <c r="S1267" s="475"/>
      <c r="T1267" s="475"/>
      <c r="U1267" s="475"/>
      <c r="V1267" s="475"/>
      <c r="W1267" s="475"/>
    </row>
    <row r="1268" spans="2:23" s="97" customFormat="1">
      <c r="B1268" s="96"/>
      <c r="H1268" s="96"/>
      <c r="J1268" s="1"/>
      <c r="K1268" s="1"/>
      <c r="L1268" s="1"/>
      <c r="O1268" s="475"/>
      <c r="P1268" s="475"/>
      <c r="Q1268" s="475"/>
      <c r="R1268" s="475"/>
      <c r="S1268" s="475"/>
      <c r="T1268" s="475"/>
      <c r="U1268" s="475"/>
      <c r="V1268" s="475"/>
      <c r="W1268" s="475"/>
    </row>
    <row r="1269" spans="2:23" s="97" customFormat="1">
      <c r="B1269" s="96"/>
      <c r="H1269" s="96"/>
      <c r="J1269" s="1"/>
      <c r="K1269" s="1"/>
      <c r="L1269" s="1"/>
      <c r="O1269" s="475"/>
      <c r="P1269" s="475"/>
      <c r="Q1269" s="475"/>
      <c r="R1269" s="475"/>
      <c r="S1269" s="475"/>
      <c r="T1269" s="475"/>
      <c r="U1269" s="475"/>
      <c r="V1269" s="475"/>
      <c r="W1269" s="475"/>
    </row>
    <row r="1270" spans="2:23" s="97" customFormat="1">
      <c r="B1270" s="96"/>
      <c r="H1270" s="96"/>
      <c r="J1270" s="1"/>
      <c r="K1270" s="1"/>
      <c r="L1270" s="1"/>
      <c r="O1270" s="475"/>
      <c r="P1270" s="475"/>
      <c r="Q1270" s="475"/>
      <c r="R1270" s="475"/>
      <c r="S1270" s="475"/>
      <c r="T1270" s="475"/>
      <c r="U1270" s="475"/>
      <c r="V1270" s="475"/>
      <c r="W1270" s="475"/>
    </row>
    <row r="1271" spans="2:23" s="97" customFormat="1">
      <c r="B1271" s="96"/>
      <c r="H1271" s="96"/>
      <c r="J1271" s="1"/>
      <c r="K1271" s="1"/>
      <c r="L1271" s="1"/>
      <c r="O1271" s="475"/>
      <c r="P1271" s="475"/>
      <c r="Q1271" s="475"/>
      <c r="R1271" s="475"/>
      <c r="S1271" s="475"/>
      <c r="T1271" s="475"/>
      <c r="U1271" s="475"/>
      <c r="V1271" s="475"/>
      <c r="W1271" s="475"/>
    </row>
    <row r="1272" spans="2:23" s="97" customFormat="1">
      <c r="B1272" s="96"/>
      <c r="H1272" s="96"/>
      <c r="J1272" s="1"/>
      <c r="K1272" s="1"/>
      <c r="L1272" s="1"/>
      <c r="O1272" s="475"/>
      <c r="P1272" s="475"/>
      <c r="Q1272" s="475"/>
      <c r="R1272" s="475"/>
      <c r="S1272" s="475"/>
      <c r="T1272" s="475"/>
      <c r="U1272" s="475"/>
      <c r="V1272" s="475"/>
      <c r="W1272" s="475"/>
    </row>
    <row r="1273" spans="2:23" s="97" customFormat="1">
      <c r="B1273" s="96"/>
      <c r="H1273" s="96"/>
      <c r="J1273" s="1"/>
      <c r="K1273" s="1"/>
      <c r="L1273" s="1"/>
      <c r="O1273" s="475"/>
      <c r="P1273" s="475"/>
      <c r="Q1273" s="475"/>
      <c r="R1273" s="475"/>
      <c r="S1273" s="475"/>
      <c r="T1273" s="475"/>
      <c r="U1273" s="475"/>
      <c r="V1273" s="475"/>
      <c r="W1273" s="475"/>
    </row>
    <row r="1274" spans="2:23" s="97" customFormat="1">
      <c r="B1274" s="96"/>
      <c r="H1274" s="96"/>
      <c r="J1274" s="1"/>
      <c r="K1274" s="1"/>
      <c r="L1274" s="1"/>
      <c r="O1274" s="475"/>
      <c r="P1274" s="475"/>
      <c r="Q1274" s="475"/>
      <c r="R1274" s="475"/>
      <c r="S1274" s="475"/>
      <c r="T1274" s="475"/>
      <c r="U1274" s="475"/>
      <c r="V1274" s="475"/>
      <c r="W1274" s="475"/>
    </row>
    <row r="1275" spans="2:23" s="97" customFormat="1">
      <c r="B1275" s="96"/>
      <c r="H1275" s="96"/>
      <c r="J1275" s="1"/>
      <c r="K1275" s="1"/>
      <c r="L1275" s="1"/>
      <c r="O1275" s="475"/>
      <c r="P1275" s="475"/>
      <c r="Q1275" s="475"/>
      <c r="R1275" s="475"/>
      <c r="S1275" s="475"/>
      <c r="T1275" s="475"/>
      <c r="U1275" s="475"/>
      <c r="V1275" s="475"/>
      <c r="W1275" s="475"/>
    </row>
    <row r="1276" spans="2:23" s="97" customFormat="1">
      <c r="B1276" s="96"/>
      <c r="H1276" s="96"/>
      <c r="J1276" s="1"/>
      <c r="K1276" s="1"/>
      <c r="L1276" s="1"/>
      <c r="O1276" s="475"/>
      <c r="P1276" s="475"/>
      <c r="Q1276" s="475"/>
      <c r="R1276" s="475"/>
      <c r="S1276" s="475"/>
      <c r="T1276" s="475"/>
      <c r="U1276" s="475"/>
      <c r="V1276" s="475"/>
      <c r="W1276" s="475"/>
    </row>
    <row r="1277" spans="2:23" s="97" customFormat="1">
      <c r="B1277" s="96"/>
      <c r="H1277" s="96"/>
      <c r="J1277" s="1"/>
      <c r="K1277" s="1"/>
      <c r="L1277" s="1"/>
      <c r="O1277" s="475"/>
      <c r="P1277" s="475"/>
      <c r="Q1277" s="475"/>
      <c r="R1277" s="475"/>
      <c r="S1277" s="475"/>
      <c r="T1277" s="475"/>
      <c r="U1277" s="475"/>
      <c r="V1277" s="475"/>
      <c r="W1277" s="475"/>
    </row>
    <row r="1278" spans="2:23" s="97" customFormat="1">
      <c r="B1278" s="96"/>
      <c r="H1278" s="96"/>
      <c r="J1278" s="1"/>
      <c r="K1278" s="1"/>
      <c r="L1278" s="1"/>
      <c r="O1278" s="475"/>
      <c r="P1278" s="475"/>
      <c r="Q1278" s="475"/>
      <c r="R1278" s="475"/>
      <c r="S1278" s="475"/>
      <c r="T1278" s="475"/>
      <c r="U1278" s="475"/>
      <c r="V1278" s="475"/>
      <c r="W1278" s="475"/>
    </row>
    <row r="1279" spans="2:23" s="97" customFormat="1">
      <c r="B1279" s="96"/>
      <c r="H1279" s="96"/>
      <c r="J1279" s="1"/>
      <c r="K1279" s="1"/>
      <c r="L1279" s="1"/>
      <c r="O1279" s="475"/>
      <c r="P1279" s="475"/>
      <c r="Q1279" s="475"/>
      <c r="R1279" s="475"/>
      <c r="S1279" s="475"/>
      <c r="T1279" s="475"/>
      <c r="U1279" s="475"/>
      <c r="V1279" s="475"/>
      <c r="W1279" s="475"/>
    </row>
    <row r="1280" spans="2:23" s="97" customFormat="1">
      <c r="B1280" s="96"/>
      <c r="H1280" s="96"/>
      <c r="J1280" s="1"/>
      <c r="K1280" s="1"/>
      <c r="L1280" s="1"/>
      <c r="O1280" s="475"/>
      <c r="P1280" s="475"/>
      <c r="Q1280" s="475"/>
      <c r="R1280" s="475"/>
      <c r="S1280" s="475"/>
      <c r="T1280" s="475"/>
      <c r="U1280" s="475"/>
      <c r="V1280" s="475"/>
      <c r="W1280" s="475"/>
    </row>
    <row r="1281" spans="2:23" s="97" customFormat="1">
      <c r="B1281" s="96"/>
      <c r="H1281" s="96"/>
      <c r="J1281" s="1"/>
      <c r="K1281" s="1"/>
      <c r="L1281" s="1"/>
      <c r="O1281" s="475"/>
      <c r="P1281" s="475"/>
      <c r="Q1281" s="475"/>
      <c r="R1281" s="475"/>
      <c r="S1281" s="475"/>
      <c r="T1281" s="475"/>
      <c r="U1281" s="475"/>
      <c r="V1281" s="475"/>
      <c r="W1281" s="475"/>
    </row>
    <row r="1282" spans="2:23" s="97" customFormat="1">
      <c r="B1282" s="96"/>
      <c r="H1282" s="96"/>
      <c r="J1282" s="1"/>
      <c r="K1282" s="1"/>
      <c r="L1282" s="1"/>
      <c r="O1282" s="475"/>
      <c r="P1282" s="475"/>
      <c r="Q1282" s="475"/>
      <c r="R1282" s="475"/>
      <c r="S1282" s="475"/>
      <c r="T1282" s="475"/>
      <c r="U1282" s="475"/>
      <c r="V1282" s="475"/>
      <c r="W1282" s="475"/>
    </row>
    <row r="1283" spans="2:23" s="97" customFormat="1">
      <c r="B1283" s="96"/>
      <c r="H1283" s="96"/>
      <c r="J1283" s="1"/>
      <c r="K1283" s="1"/>
      <c r="L1283" s="1"/>
      <c r="O1283" s="475"/>
      <c r="P1283" s="475"/>
      <c r="Q1283" s="475"/>
      <c r="R1283" s="475"/>
      <c r="S1283" s="475"/>
      <c r="T1283" s="475"/>
      <c r="U1283" s="475"/>
      <c r="V1283" s="475"/>
      <c r="W1283" s="475"/>
    </row>
    <row r="1284" spans="2:23" s="97" customFormat="1">
      <c r="B1284" s="96"/>
      <c r="H1284" s="96"/>
      <c r="J1284" s="1"/>
      <c r="K1284" s="1"/>
      <c r="L1284" s="1"/>
      <c r="O1284" s="475"/>
      <c r="P1284" s="475"/>
      <c r="Q1284" s="475"/>
      <c r="R1284" s="475"/>
      <c r="S1284" s="475"/>
      <c r="T1284" s="475"/>
      <c r="U1284" s="475"/>
      <c r="V1284" s="475"/>
      <c r="W1284" s="475"/>
    </row>
    <row r="1285" spans="2:23" s="97" customFormat="1">
      <c r="B1285" s="96"/>
      <c r="H1285" s="96"/>
      <c r="J1285" s="1"/>
      <c r="K1285" s="1"/>
      <c r="L1285" s="1"/>
      <c r="O1285" s="475"/>
      <c r="P1285" s="475"/>
      <c r="Q1285" s="475"/>
      <c r="R1285" s="475"/>
      <c r="S1285" s="475"/>
      <c r="T1285" s="475"/>
      <c r="U1285" s="475"/>
      <c r="V1285" s="475"/>
      <c r="W1285" s="475"/>
    </row>
    <row r="1286" spans="2:23" s="97" customFormat="1">
      <c r="B1286" s="96"/>
      <c r="H1286" s="96"/>
      <c r="J1286" s="1"/>
      <c r="K1286" s="1"/>
      <c r="L1286" s="1"/>
      <c r="O1286" s="475"/>
      <c r="P1286" s="475"/>
      <c r="Q1286" s="475"/>
      <c r="R1286" s="475"/>
      <c r="S1286" s="475"/>
      <c r="T1286" s="475"/>
      <c r="U1286" s="475"/>
      <c r="V1286" s="475"/>
      <c r="W1286" s="475"/>
    </row>
    <row r="1287" spans="2:23" s="97" customFormat="1">
      <c r="B1287" s="96"/>
      <c r="H1287" s="96"/>
      <c r="J1287" s="1"/>
      <c r="K1287" s="1"/>
      <c r="L1287" s="1"/>
      <c r="O1287" s="475"/>
      <c r="P1287" s="475"/>
      <c r="Q1287" s="475"/>
      <c r="R1287" s="475"/>
      <c r="S1287" s="475"/>
      <c r="T1287" s="475"/>
      <c r="U1287" s="475"/>
      <c r="V1287" s="475"/>
      <c r="W1287" s="475"/>
    </row>
    <row r="1288" spans="2:23" s="97" customFormat="1">
      <c r="B1288" s="96"/>
      <c r="H1288" s="96"/>
      <c r="J1288" s="1"/>
      <c r="K1288" s="1"/>
      <c r="L1288" s="1"/>
      <c r="O1288" s="475"/>
      <c r="P1288" s="475"/>
      <c r="Q1288" s="475"/>
      <c r="R1288" s="475"/>
      <c r="S1288" s="475"/>
      <c r="T1288" s="475"/>
      <c r="U1288" s="475"/>
      <c r="V1288" s="475"/>
      <c r="W1288" s="475"/>
    </row>
    <row r="1289" spans="2:23" s="97" customFormat="1">
      <c r="B1289" s="96"/>
      <c r="H1289" s="96"/>
      <c r="J1289" s="1"/>
      <c r="K1289" s="1"/>
      <c r="L1289" s="1"/>
      <c r="O1289" s="475"/>
      <c r="P1289" s="475"/>
      <c r="Q1289" s="475"/>
      <c r="R1289" s="475"/>
      <c r="S1289" s="475"/>
      <c r="T1289" s="475"/>
      <c r="U1289" s="475"/>
      <c r="V1289" s="475"/>
      <c r="W1289" s="475"/>
    </row>
    <row r="1290" spans="2:23" s="97" customFormat="1">
      <c r="B1290" s="96"/>
      <c r="H1290" s="96"/>
      <c r="J1290" s="1"/>
      <c r="K1290" s="1"/>
      <c r="L1290" s="1"/>
      <c r="O1290" s="475"/>
      <c r="P1290" s="475"/>
      <c r="Q1290" s="475"/>
      <c r="R1290" s="475"/>
      <c r="S1290" s="475"/>
      <c r="T1290" s="475"/>
      <c r="U1290" s="475"/>
      <c r="V1290" s="475"/>
      <c r="W1290" s="475"/>
    </row>
    <row r="1291" spans="2:23" s="97" customFormat="1">
      <c r="B1291" s="96"/>
      <c r="H1291" s="96"/>
      <c r="J1291" s="1"/>
      <c r="K1291" s="1"/>
      <c r="L1291" s="1"/>
      <c r="O1291" s="475"/>
      <c r="P1291" s="475"/>
      <c r="Q1291" s="475"/>
      <c r="R1291" s="475"/>
      <c r="S1291" s="475"/>
      <c r="T1291" s="475"/>
      <c r="U1291" s="475"/>
      <c r="V1291" s="475"/>
      <c r="W1291" s="475"/>
    </row>
    <row r="1292" spans="2:23" s="97" customFormat="1">
      <c r="B1292" s="96"/>
      <c r="H1292" s="96"/>
      <c r="J1292" s="1"/>
      <c r="K1292" s="1"/>
      <c r="L1292" s="1"/>
      <c r="O1292" s="475"/>
      <c r="P1292" s="475"/>
      <c r="Q1292" s="475"/>
      <c r="R1292" s="475"/>
      <c r="S1292" s="475"/>
      <c r="T1292" s="475"/>
      <c r="U1292" s="475"/>
      <c r="V1292" s="475"/>
      <c r="W1292" s="475"/>
    </row>
    <row r="1293" spans="2:23" s="97" customFormat="1">
      <c r="B1293" s="96"/>
      <c r="H1293" s="96"/>
      <c r="J1293" s="1"/>
      <c r="K1293" s="1"/>
      <c r="L1293" s="1"/>
      <c r="O1293" s="475"/>
      <c r="P1293" s="475"/>
      <c r="Q1293" s="475"/>
      <c r="R1293" s="475"/>
      <c r="S1293" s="475"/>
      <c r="T1293" s="475"/>
      <c r="U1293" s="475"/>
      <c r="V1293" s="475"/>
      <c r="W1293" s="475"/>
    </row>
    <row r="1294" spans="2:23" s="97" customFormat="1">
      <c r="B1294" s="96"/>
      <c r="H1294" s="96"/>
      <c r="J1294" s="1"/>
      <c r="K1294" s="1"/>
      <c r="L1294" s="1"/>
      <c r="O1294" s="475"/>
      <c r="P1294" s="475"/>
      <c r="Q1294" s="475"/>
      <c r="R1294" s="475"/>
      <c r="S1294" s="475"/>
      <c r="T1294" s="475"/>
      <c r="U1294" s="475"/>
      <c r="V1294" s="475"/>
      <c r="W1294" s="475"/>
    </row>
    <row r="1295" spans="2:23" s="97" customFormat="1">
      <c r="B1295" s="96"/>
      <c r="H1295" s="96"/>
      <c r="J1295" s="1"/>
      <c r="K1295" s="1"/>
      <c r="L1295" s="1"/>
      <c r="O1295" s="475"/>
      <c r="P1295" s="475"/>
      <c r="Q1295" s="475"/>
      <c r="R1295" s="475"/>
      <c r="S1295" s="475"/>
      <c r="T1295" s="475"/>
      <c r="U1295" s="475"/>
      <c r="V1295" s="475"/>
      <c r="W1295" s="475"/>
    </row>
    <row r="1296" spans="2:23" s="97" customFormat="1">
      <c r="B1296" s="96"/>
      <c r="H1296" s="96"/>
      <c r="J1296" s="1"/>
      <c r="K1296" s="1"/>
      <c r="L1296" s="1"/>
      <c r="O1296" s="475"/>
      <c r="P1296" s="475"/>
      <c r="Q1296" s="475"/>
      <c r="R1296" s="475"/>
      <c r="S1296" s="475"/>
      <c r="T1296" s="475"/>
      <c r="U1296" s="475"/>
      <c r="V1296" s="475"/>
      <c r="W1296" s="475"/>
    </row>
    <row r="1297" spans="2:23" s="97" customFormat="1">
      <c r="B1297" s="96"/>
      <c r="H1297" s="96"/>
      <c r="J1297" s="1"/>
      <c r="K1297" s="1"/>
      <c r="L1297" s="1"/>
      <c r="O1297" s="475"/>
      <c r="P1297" s="475"/>
      <c r="Q1297" s="475"/>
      <c r="R1297" s="475"/>
      <c r="S1297" s="475"/>
      <c r="T1297" s="475"/>
      <c r="U1297" s="475"/>
      <c r="V1297" s="475"/>
      <c r="W1297" s="475"/>
    </row>
    <row r="1298" spans="2:23" s="97" customFormat="1">
      <c r="B1298" s="96"/>
      <c r="H1298" s="96"/>
      <c r="J1298" s="1"/>
      <c r="K1298" s="1"/>
      <c r="L1298" s="1"/>
      <c r="O1298" s="475"/>
      <c r="P1298" s="475"/>
      <c r="Q1298" s="475"/>
      <c r="R1298" s="475"/>
      <c r="S1298" s="475"/>
      <c r="T1298" s="475"/>
      <c r="U1298" s="475"/>
      <c r="V1298" s="475"/>
      <c r="W1298" s="475"/>
    </row>
    <row r="1299" spans="2:23" s="97" customFormat="1">
      <c r="B1299" s="96"/>
      <c r="H1299" s="96"/>
      <c r="J1299" s="1"/>
      <c r="K1299" s="1"/>
      <c r="L1299" s="1"/>
      <c r="O1299" s="475"/>
      <c r="P1299" s="475"/>
      <c r="Q1299" s="475"/>
      <c r="R1299" s="475"/>
      <c r="S1299" s="475"/>
      <c r="T1299" s="475"/>
      <c r="U1299" s="475"/>
      <c r="V1299" s="475"/>
      <c r="W1299" s="475"/>
    </row>
    <row r="1300" spans="2:23" s="97" customFormat="1">
      <c r="B1300" s="96"/>
      <c r="H1300" s="96"/>
      <c r="J1300" s="1"/>
      <c r="K1300" s="1"/>
      <c r="L1300" s="1"/>
      <c r="O1300" s="475"/>
      <c r="P1300" s="475"/>
      <c r="Q1300" s="475"/>
      <c r="R1300" s="475"/>
      <c r="S1300" s="475"/>
      <c r="T1300" s="475"/>
      <c r="U1300" s="475"/>
      <c r="V1300" s="475"/>
      <c r="W1300" s="475"/>
    </row>
    <row r="1301" spans="2:23" s="97" customFormat="1">
      <c r="B1301" s="96"/>
      <c r="H1301" s="96"/>
      <c r="J1301" s="1"/>
      <c r="K1301" s="1"/>
      <c r="L1301" s="1"/>
      <c r="O1301" s="475"/>
      <c r="P1301" s="475"/>
      <c r="Q1301" s="475"/>
      <c r="R1301" s="475"/>
      <c r="S1301" s="475"/>
      <c r="T1301" s="475"/>
      <c r="U1301" s="475"/>
      <c r="V1301" s="475"/>
      <c r="W1301" s="475"/>
    </row>
    <row r="1302" spans="2:23" s="97" customFormat="1">
      <c r="B1302" s="96"/>
      <c r="H1302" s="96"/>
      <c r="J1302" s="1"/>
      <c r="K1302" s="1"/>
      <c r="L1302" s="1"/>
      <c r="O1302" s="475"/>
      <c r="P1302" s="475"/>
      <c r="Q1302" s="475"/>
      <c r="R1302" s="475"/>
      <c r="S1302" s="475"/>
      <c r="T1302" s="475"/>
      <c r="U1302" s="475"/>
      <c r="V1302" s="475"/>
      <c r="W1302" s="475"/>
    </row>
    <row r="1303" spans="2:23" s="97" customFormat="1">
      <c r="B1303" s="96"/>
      <c r="H1303" s="96"/>
      <c r="J1303" s="1"/>
      <c r="K1303" s="1"/>
      <c r="L1303" s="1"/>
      <c r="O1303" s="475"/>
      <c r="P1303" s="475"/>
      <c r="Q1303" s="475"/>
      <c r="R1303" s="475"/>
      <c r="S1303" s="475"/>
      <c r="T1303" s="475"/>
      <c r="U1303" s="475"/>
      <c r="V1303" s="475"/>
      <c r="W1303" s="475"/>
    </row>
    <row r="1304" spans="2:23" s="97" customFormat="1">
      <c r="B1304" s="96"/>
      <c r="H1304" s="96"/>
      <c r="J1304" s="1"/>
      <c r="K1304" s="1"/>
      <c r="L1304" s="1"/>
      <c r="O1304" s="475"/>
      <c r="P1304" s="475"/>
      <c r="Q1304" s="475"/>
      <c r="R1304" s="475"/>
      <c r="S1304" s="475"/>
      <c r="T1304" s="475"/>
      <c r="U1304" s="475"/>
      <c r="V1304" s="475"/>
      <c r="W1304" s="475"/>
    </row>
    <row r="1305" spans="2:23" s="97" customFormat="1">
      <c r="B1305" s="96"/>
      <c r="H1305" s="96"/>
      <c r="J1305" s="1"/>
      <c r="K1305" s="1"/>
      <c r="L1305" s="1"/>
      <c r="O1305" s="475"/>
      <c r="P1305" s="475"/>
      <c r="Q1305" s="475"/>
      <c r="R1305" s="475"/>
      <c r="S1305" s="475"/>
      <c r="T1305" s="475"/>
      <c r="U1305" s="475"/>
      <c r="V1305" s="475"/>
      <c r="W1305" s="475"/>
    </row>
    <row r="1306" spans="2:23" s="97" customFormat="1">
      <c r="B1306" s="96"/>
      <c r="H1306" s="96"/>
      <c r="J1306" s="1"/>
      <c r="K1306" s="1"/>
      <c r="L1306" s="1"/>
      <c r="O1306" s="475"/>
      <c r="P1306" s="475"/>
      <c r="Q1306" s="475"/>
      <c r="R1306" s="475"/>
      <c r="S1306" s="475"/>
      <c r="T1306" s="475"/>
      <c r="U1306" s="475"/>
      <c r="V1306" s="475"/>
      <c r="W1306" s="475"/>
    </row>
    <row r="1307" spans="2:23" s="97" customFormat="1">
      <c r="B1307" s="96"/>
      <c r="H1307" s="96"/>
      <c r="J1307" s="1"/>
      <c r="K1307" s="1"/>
      <c r="L1307" s="1"/>
      <c r="O1307" s="475"/>
      <c r="P1307" s="475"/>
      <c r="Q1307" s="475"/>
      <c r="R1307" s="475"/>
      <c r="S1307" s="475"/>
      <c r="T1307" s="475"/>
      <c r="U1307" s="475"/>
      <c r="V1307" s="475"/>
      <c r="W1307" s="475"/>
    </row>
    <row r="1308" spans="2:23" s="97" customFormat="1">
      <c r="B1308" s="96"/>
      <c r="H1308" s="96"/>
      <c r="J1308" s="1"/>
      <c r="K1308" s="1"/>
      <c r="L1308" s="1"/>
      <c r="O1308" s="475"/>
      <c r="P1308" s="475"/>
      <c r="Q1308" s="475"/>
      <c r="R1308" s="475"/>
      <c r="S1308" s="475"/>
      <c r="T1308" s="475"/>
      <c r="U1308" s="475"/>
      <c r="V1308" s="475"/>
      <c r="W1308" s="475"/>
    </row>
    <row r="1309" spans="2:23" s="97" customFormat="1">
      <c r="B1309" s="96"/>
      <c r="H1309" s="96"/>
      <c r="J1309" s="1"/>
      <c r="K1309" s="1"/>
      <c r="L1309" s="1"/>
      <c r="O1309" s="475"/>
      <c r="P1309" s="475"/>
      <c r="Q1309" s="475"/>
      <c r="R1309" s="475"/>
      <c r="S1309" s="475"/>
      <c r="T1309" s="475"/>
      <c r="U1309" s="475"/>
      <c r="V1309" s="475"/>
      <c r="W1309" s="475"/>
    </row>
    <row r="1310" spans="2:23" s="97" customFormat="1">
      <c r="B1310" s="96"/>
      <c r="H1310" s="96"/>
      <c r="J1310" s="1"/>
      <c r="K1310" s="1"/>
      <c r="L1310" s="1"/>
      <c r="O1310" s="475"/>
      <c r="P1310" s="475"/>
      <c r="Q1310" s="475"/>
      <c r="R1310" s="475"/>
      <c r="S1310" s="475"/>
      <c r="T1310" s="475"/>
      <c r="U1310" s="475"/>
      <c r="V1310" s="475"/>
      <c r="W1310" s="475"/>
    </row>
    <row r="1311" spans="2:23" s="97" customFormat="1">
      <c r="B1311" s="96"/>
      <c r="H1311" s="96"/>
      <c r="J1311" s="1"/>
      <c r="K1311" s="1"/>
      <c r="L1311" s="1"/>
      <c r="O1311" s="475"/>
      <c r="P1311" s="475"/>
      <c r="Q1311" s="475"/>
      <c r="R1311" s="475"/>
      <c r="S1311" s="475"/>
      <c r="T1311" s="475"/>
      <c r="U1311" s="475"/>
      <c r="V1311" s="475"/>
      <c r="W1311" s="475"/>
    </row>
    <row r="1312" spans="2:23" s="97" customFormat="1">
      <c r="B1312" s="96"/>
      <c r="H1312" s="96"/>
      <c r="J1312" s="1"/>
      <c r="K1312" s="1"/>
      <c r="L1312" s="1"/>
      <c r="O1312" s="475"/>
      <c r="P1312" s="475"/>
      <c r="Q1312" s="475"/>
      <c r="R1312" s="475"/>
      <c r="S1312" s="475"/>
      <c r="T1312" s="475"/>
      <c r="U1312" s="475"/>
      <c r="V1312" s="475"/>
      <c r="W1312" s="475"/>
    </row>
    <row r="1313" spans="2:23" s="97" customFormat="1">
      <c r="B1313" s="96"/>
      <c r="H1313" s="96"/>
      <c r="J1313" s="1"/>
      <c r="K1313" s="1"/>
      <c r="L1313" s="1"/>
      <c r="O1313" s="475"/>
      <c r="P1313" s="475"/>
      <c r="Q1313" s="475"/>
      <c r="R1313" s="475"/>
      <c r="S1313" s="475"/>
      <c r="T1313" s="475"/>
      <c r="U1313" s="475"/>
      <c r="V1313" s="475"/>
      <c r="W1313" s="475"/>
    </row>
    <row r="1314" spans="2:23" s="97" customFormat="1">
      <c r="B1314" s="96"/>
      <c r="H1314" s="96"/>
      <c r="J1314" s="1"/>
      <c r="K1314" s="1"/>
      <c r="L1314" s="1"/>
      <c r="O1314" s="475"/>
      <c r="P1314" s="475"/>
      <c r="Q1314" s="475"/>
      <c r="R1314" s="475"/>
      <c r="S1314" s="475"/>
      <c r="T1314" s="475"/>
      <c r="U1314" s="475"/>
      <c r="V1314" s="475"/>
      <c r="W1314" s="475"/>
    </row>
    <row r="1315" spans="2:23" s="97" customFormat="1">
      <c r="B1315" s="96"/>
      <c r="H1315" s="96"/>
      <c r="J1315" s="1"/>
      <c r="K1315" s="1"/>
      <c r="L1315" s="1"/>
      <c r="O1315" s="475"/>
      <c r="P1315" s="475"/>
      <c r="Q1315" s="475"/>
      <c r="R1315" s="475"/>
      <c r="S1315" s="475"/>
      <c r="T1315" s="475"/>
      <c r="U1315" s="475"/>
      <c r="V1315" s="475"/>
      <c r="W1315" s="475"/>
    </row>
    <row r="1316" spans="2:23" s="97" customFormat="1">
      <c r="B1316" s="96"/>
      <c r="H1316" s="96"/>
      <c r="J1316" s="1"/>
      <c r="K1316" s="1"/>
      <c r="L1316" s="1"/>
      <c r="O1316" s="475"/>
      <c r="P1316" s="475"/>
      <c r="Q1316" s="475"/>
      <c r="R1316" s="475"/>
      <c r="S1316" s="475"/>
      <c r="T1316" s="475"/>
      <c r="U1316" s="475"/>
      <c r="V1316" s="475"/>
      <c r="W1316" s="475"/>
    </row>
    <row r="1317" spans="2:23" s="97" customFormat="1">
      <c r="B1317" s="96"/>
      <c r="H1317" s="96"/>
      <c r="J1317" s="1"/>
      <c r="K1317" s="1"/>
      <c r="L1317" s="1"/>
      <c r="O1317" s="475"/>
      <c r="P1317" s="475"/>
      <c r="Q1317" s="475"/>
      <c r="R1317" s="475"/>
      <c r="S1317" s="475"/>
      <c r="T1317" s="475"/>
      <c r="U1317" s="475"/>
      <c r="V1317" s="475"/>
      <c r="W1317" s="475"/>
    </row>
    <row r="1318" spans="2:23" s="97" customFormat="1">
      <c r="B1318" s="96"/>
      <c r="H1318" s="96"/>
      <c r="J1318" s="1"/>
      <c r="K1318" s="1"/>
      <c r="L1318" s="1"/>
      <c r="O1318" s="475"/>
      <c r="P1318" s="475"/>
      <c r="Q1318" s="475"/>
      <c r="R1318" s="475"/>
      <c r="S1318" s="475"/>
      <c r="T1318" s="475"/>
      <c r="U1318" s="475"/>
      <c r="V1318" s="475"/>
      <c r="W1318" s="475"/>
    </row>
    <row r="1319" spans="2:23" s="97" customFormat="1">
      <c r="B1319" s="96"/>
      <c r="H1319" s="96"/>
      <c r="J1319" s="1"/>
      <c r="K1319" s="1"/>
      <c r="L1319" s="1"/>
      <c r="O1319" s="475"/>
      <c r="P1319" s="475"/>
      <c r="Q1319" s="475"/>
      <c r="R1319" s="475"/>
      <c r="S1319" s="475"/>
      <c r="T1319" s="475"/>
      <c r="U1319" s="475"/>
      <c r="V1319" s="475"/>
      <c r="W1319" s="475"/>
    </row>
    <row r="1320" spans="2:23" s="97" customFormat="1">
      <c r="B1320" s="96"/>
      <c r="H1320" s="96"/>
      <c r="J1320" s="1"/>
      <c r="K1320" s="1"/>
      <c r="L1320" s="1"/>
      <c r="O1320" s="475"/>
      <c r="P1320" s="475"/>
      <c r="Q1320" s="475"/>
      <c r="R1320" s="475"/>
      <c r="S1320" s="475"/>
      <c r="T1320" s="475"/>
      <c r="U1320" s="475"/>
      <c r="V1320" s="475"/>
      <c r="W1320" s="475"/>
    </row>
    <row r="1321" spans="2:23" s="97" customFormat="1">
      <c r="B1321" s="96"/>
      <c r="H1321" s="96"/>
      <c r="J1321" s="1"/>
      <c r="K1321" s="1"/>
      <c r="L1321" s="1"/>
      <c r="O1321" s="475"/>
      <c r="P1321" s="475"/>
      <c r="Q1321" s="475"/>
      <c r="R1321" s="475"/>
      <c r="S1321" s="475"/>
      <c r="T1321" s="475"/>
      <c r="U1321" s="475"/>
      <c r="V1321" s="475"/>
      <c r="W1321" s="475"/>
    </row>
    <row r="1322" spans="2:23" s="97" customFormat="1">
      <c r="B1322" s="96"/>
      <c r="H1322" s="96"/>
      <c r="J1322" s="1"/>
      <c r="K1322" s="1"/>
      <c r="L1322" s="1"/>
      <c r="O1322" s="475"/>
      <c r="P1322" s="475"/>
      <c r="Q1322" s="475"/>
      <c r="R1322" s="475"/>
      <c r="S1322" s="475"/>
      <c r="T1322" s="475"/>
      <c r="U1322" s="475"/>
      <c r="V1322" s="475"/>
      <c r="W1322" s="475"/>
    </row>
    <row r="1323" spans="2:23" s="97" customFormat="1">
      <c r="B1323" s="96"/>
      <c r="H1323" s="96"/>
      <c r="J1323" s="1"/>
      <c r="K1323" s="1"/>
      <c r="L1323" s="1"/>
      <c r="O1323" s="475"/>
      <c r="P1323" s="475"/>
      <c r="Q1323" s="475"/>
      <c r="R1323" s="475"/>
      <c r="S1323" s="475"/>
      <c r="T1323" s="475"/>
      <c r="U1323" s="475"/>
      <c r="V1323" s="475"/>
      <c r="W1323" s="475"/>
    </row>
    <row r="1324" spans="2:23" s="97" customFormat="1">
      <c r="B1324" s="96"/>
      <c r="H1324" s="96"/>
      <c r="J1324" s="1"/>
      <c r="K1324" s="1"/>
      <c r="L1324" s="1"/>
      <c r="O1324" s="475"/>
      <c r="P1324" s="475"/>
      <c r="Q1324" s="475"/>
      <c r="R1324" s="475"/>
      <c r="S1324" s="475"/>
      <c r="T1324" s="475"/>
      <c r="U1324" s="475"/>
      <c r="V1324" s="475"/>
      <c r="W1324" s="475"/>
    </row>
    <row r="1325" spans="2:23" s="97" customFormat="1">
      <c r="B1325" s="96"/>
      <c r="H1325" s="96"/>
      <c r="J1325" s="1"/>
      <c r="K1325" s="1"/>
      <c r="L1325" s="1"/>
      <c r="O1325" s="475"/>
      <c r="P1325" s="475"/>
      <c r="Q1325" s="475"/>
      <c r="R1325" s="475"/>
      <c r="S1325" s="475"/>
      <c r="T1325" s="475"/>
      <c r="U1325" s="475"/>
      <c r="V1325" s="475"/>
      <c r="W1325" s="475"/>
    </row>
    <row r="1326" spans="2:23" s="97" customFormat="1">
      <c r="B1326" s="96"/>
      <c r="H1326" s="96"/>
      <c r="J1326" s="1"/>
      <c r="K1326" s="1"/>
      <c r="L1326" s="1"/>
      <c r="O1326" s="475"/>
      <c r="P1326" s="475"/>
      <c r="Q1326" s="475"/>
      <c r="R1326" s="475"/>
      <c r="S1326" s="475"/>
      <c r="T1326" s="475"/>
      <c r="U1326" s="475"/>
      <c r="V1326" s="475"/>
      <c r="W1326" s="475"/>
    </row>
    <row r="1327" spans="2:23" s="97" customFormat="1">
      <c r="B1327" s="96"/>
      <c r="H1327" s="96"/>
      <c r="J1327" s="1"/>
      <c r="K1327" s="1"/>
      <c r="L1327" s="1"/>
      <c r="O1327" s="475"/>
      <c r="P1327" s="475"/>
      <c r="Q1327" s="475"/>
      <c r="R1327" s="475"/>
      <c r="S1327" s="475"/>
      <c r="T1327" s="475"/>
      <c r="U1327" s="475"/>
      <c r="V1327" s="475"/>
      <c r="W1327" s="475"/>
    </row>
    <row r="1328" spans="2:23" s="97" customFormat="1">
      <c r="B1328" s="96"/>
      <c r="H1328" s="96"/>
      <c r="J1328" s="1"/>
      <c r="K1328" s="1"/>
      <c r="L1328" s="1"/>
      <c r="O1328" s="475"/>
      <c r="P1328" s="475"/>
      <c r="Q1328" s="475"/>
      <c r="R1328" s="475"/>
      <c r="S1328" s="475"/>
      <c r="T1328" s="475"/>
      <c r="U1328" s="475"/>
      <c r="V1328" s="475"/>
      <c r="W1328" s="475"/>
    </row>
    <row r="1329" spans="2:23" s="97" customFormat="1">
      <c r="B1329" s="96"/>
      <c r="H1329" s="96"/>
      <c r="J1329" s="1"/>
      <c r="K1329" s="1"/>
      <c r="L1329" s="1"/>
      <c r="O1329" s="475"/>
      <c r="P1329" s="475"/>
      <c r="Q1329" s="475"/>
      <c r="R1329" s="475"/>
      <c r="S1329" s="475"/>
      <c r="T1329" s="475"/>
      <c r="U1329" s="475"/>
      <c r="V1329" s="475"/>
      <c r="W1329" s="475"/>
    </row>
    <row r="1330" spans="2:23" s="97" customFormat="1">
      <c r="B1330" s="96"/>
      <c r="H1330" s="96"/>
      <c r="J1330" s="1"/>
      <c r="K1330" s="1"/>
      <c r="L1330" s="1"/>
      <c r="O1330" s="475"/>
      <c r="P1330" s="475"/>
      <c r="Q1330" s="475"/>
      <c r="R1330" s="475"/>
      <c r="S1330" s="475"/>
      <c r="T1330" s="475"/>
      <c r="U1330" s="475"/>
      <c r="V1330" s="475"/>
      <c r="W1330" s="475"/>
    </row>
    <row r="1331" spans="2:23" s="97" customFormat="1">
      <c r="B1331" s="96"/>
      <c r="H1331" s="96"/>
      <c r="J1331" s="1"/>
      <c r="K1331" s="1"/>
      <c r="L1331" s="1"/>
      <c r="O1331" s="475"/>
      <c r="P1331" s="475"/>
      <c r="Q1331" s="475"/>
      <c r="R1331" s="475"/>
      <c r="S1331" s="475"/>
      <c r="T1331" s="475"/>
      <c r="U1331" s="475"/>
      <c r="V1331" s="475"/>
      <c r="W1331" s="475"/>
    </row>
    <row r="1332" spans="2:23" s="97" customFormat="1">
      <c r="B1332" s="96"/>
      <c r="H1332" s="96"/>
      <c r="J1332" s="1"/>
      <c r="K1332" s="1"/>
      <c r="L1332" s="1"/>
      <c r="O1332" s="475"/>
      <c r="P1332" s="475"/>
      <c r="Q1332" s="475"/>
      <c r="R1332" s="475"/>
      <c r="S1332" s="475"/>
      <c r="T1332" s="475"/>
      <c r="U1332" s="475"/>
      <c r="V1332" s="475"/>
      <c r="W1332" s="475"/>
    </row>
    <row r="1333" spans="2:23" s="97" customFormat="1">
      <c r="B1333" s="96"/>
      <c r="H1333" s="96"/>
      <c r="J1333" s="1"/>
      <c r="K1333" s="1"/>
      <c r="L1333" s="1"/>
      <c r="O1333" s="475"/>
      <c r="P1333" s="475"/>
      <c r="Q1333" s="475"/>
      <c r="R1333" s="475"/>
      <c r="S1333" s="475"/>
      <c r="T1333" s="475"/>
      <c r="U1333" s="475"/>
      <c r="V1333" s="475"/>
      <c r="W1333" s="475"/>
    </row>
    <row r="1334" spans="2:23" s="97" customFormat="1">
      <c r="B1334" s="96"/>
      <c r="H1334" s="96"/>
      <c r="J1334" s="1"/>
      <c r="K1334" s="1"/>
      <c r="L1334" s="1"/>
      <c r="O1334" s="475"/>
      <c r="P1334" s="475"/>
      <c r="Q1334" s="475"/>
      <c r="R1334" s="475"/>
      <c r="S1334" s="475"/>
      <c r="T1334" s="475"/>
      <c r="U1334" s="475"/>
      <c r="V1334" s="475"/>
      <c r="W1334" s="475"/>
    </row>
    <row r="1335" spans="2:23" s="97" customFormat="1">
      <c r="B1335" s="96"/>
      <c r="H1335" s="96"/>
      <c r="J1335" s="1"/>
      <c r="K1335" s="1"/>
      <c r="L1335" s="1"/>
      <c r="O1335" s="475"/>
      <c r="P1335" s="475"/>
      <c r="Q1335" s="475"/>
      <c r="R1335" s="475"/>
      <c r="S1335" s="475"/>
      <c r="T1335" s="475"/>
      <c r="U1335" s="475"/>
      <c r="V1335" s="475"/>
      <c r="W1335" s="475"/>
    </row>
    <row r="1336" spans="2:23" s="97" customFormat="1">
      <c r="B1336" s="96"/>
      <c r="H1336" s="96"/>
      <c r="J1336" s="1"/>
      <c r="K1336" s="1"/>
      <c r="L1336" s="1"/>
      <c r="O1336" s="475"/>
      <c r="P1336" s="475"/>
      <c r="Q1336" s="475"/>
      <c r="R1336" s="475"/>
      <c r="S1336" s="475"/>
      <c r="T1336" s="475"/>
      <c r="U1336" s="475"/>
      <c r="V1336" s="475"/>
      <c r="W1336" s="475"/>
    </row>
    <row r="1337" spans="2:23" s="97" customFormat="1">
      <c r="B1337" s="96"/>
      <c r="H1337" s="96"/>
      <c r="J1337" s="1"/>
      <c r="K1337" s="1"/>
      <c r="L1337" s="1"/>
      <c r="O1337" s="475"/>
      <c r="P1337" s="475"/>
      <c r="Q1337" s="475"/>
      <c r="R1337" s="475"/>
      <c r="S1337" s="475"/>
      <c r="T1337" s="475"/>
      <c r="U1337" s="475"/>
      <c r="V1337" s="475"/>
      <c r="W1337" s="475"/>
    </row>
    <row r="1338" spans="2:23" s="97" customFormat="1">
      <c r="B1338" s="96"/>
      <c r="H1338" s="96"/>
      <c r="J1338" s="1"/>
      <c r="K1338" s="1"/>
      <c r="L1338" s="1"/>
      <c r="O1338" s="475"/>
      <c r="P1338" s="475"/>
      <c r="Q1338" s="475"/>
      <c r="R1338" s="475"/>
      <c r="S1338" s="475"/>
      <c r="T1338" s="475"/>
      <c r="U1338" s="475"/>
      <c r="V1338" s="475"/>
      <c r="W1338" s="475"/>
    </row>
    <row r="1339" spans="2:23" s="97" customFormat="1">
      <c r="B1339" s="96"/>
      <c r="H1339" s="96"/>
      <c r="J1339" s="1"/>
      <c r="K1339" s="1"/>
      <c r="L1339" s="1"/>
      <c r="O1339" s="475"/>
      <c r="P1339" s="475"/>
      <c r="Q1339" s="475"/>
      <c r="R1339" s="475"/>
      <c r="S1339" s="475"/>
      <c r="T1339" s="475"/>
      <c r="U1339" s="475"/>
      <c r="V1339" s="475"/>
      <c r="W1339" s="475"/>
    </row>
    <row r="1340" spans="2:23" s="97" customFormat="1">
      <c r="B1340" s="96"/>
      <c r="H1340" s="96"/>
      <c r="J1340" s="1"/>
      <c r="K1340" s="1"/>
      <c r="L1340" s="1"/>
      <c r="O1340" s="475"/>
      <c r="P1340" s="475"/>
      <c r="Q1340" s="475"/>
      <c r="R1340" s="475"/>
      <c r="S1340" s="475"/>
      <c r="T1340" s="475"/>
      <c r="U1340" s="475"/>
      <c r="V1340" s="475"/>
      <c r="W1340" s="475"/>
    </row>
    <row r="1341" spans="2:23" s="97" customFormat="1">
      <c r="B1341" s="96"/>
      <c r="H1341" s="96"/>
      <c r="J1341" s="1"/>
      <c r="K1341" s="1"/>
      <c r="L1341" s="1"/>
      <c r="O1341" s="475"/>
      <c r="P1341" s="475"/>
      <c r="Q1341" s="475"/>
      <c r="R1341" s="475"/>
      <c r="S1341" s="475"/>
      <c r="T1341" s="475"/>
      <c r="U1341" s="475"/>
      <c r="V1341" s="475"/>
      <c r="W1341" s="475"/>
    </row>
    <row r="1342" spans="2:23" s="97" customFormat="1">
      <c r="B1342" s="96"/>
      <c r="H1342" s="96"/>
      <c r="J1342" s="1"/>
      <c r="K1342" s="1"/>
      <c r="L1342" s="1"/>
      <c r="O1342" s="475"/>
      <c r="P1342" s="475"/>
      <c r="Q1342" s="475"/>
      <c r="R1342" s="475"/>
      <c r="S1342" s="475"/>
      <c r="T1342" s="475"/>
      <c r="U1342" s="475"/>
      <c r="V1342" s="475"/>
      <c r="W1342" s="475"/>
    </row>
    <row r="1343" spans="2:23" s="97" customFormat="1">
      <c r="B1343" s="96"/>
      <c r="H1343" s="96"/>
      <c r="J1343" s="1"/>
      <c r="K1343" s="1"/>
      <c r="L1343" s="1"/>
      <c r="O1343" s="475"/>
      <c r="P1343" s="475"/>
      <c r="Q1343" s="475"/>
      <c r="R1343" s="475"/>
      <c r="S1343" s="475"/>
      <c r="T1343" s="475"/>
      <c r="U1343" s="475"/>
      <c r="V1343" s="475"/>
      <c r="W1343" s="475"/>
    </row>
    <row r="1344" spans="2:23" s="97" customFormat="1">
      <c r="B1344" s="96"/>
      <c r="H1344" s="96"/>
      <c r="J1344" s="1"/>
      <c r="K1344" s="1"/>
      <c r="L1344" s="1"/>
      <c r="O1344" s="475"/>
      <c r="P1344" s="475"/>
      <c r="Q1344" s="475"/>
      <c r="R1344" s="475"/>
      <c r="S1344" s="475"/>
      <c r="T1344" s="475"/>
      <c r="U1344" s="475"/>
      <c r="V1344" s="475"/>
      <c r="W1344" s="475"/>
    </row>
    <row r="1345" spans="2:23" s="97" customFormat="1">
      <c r="B1345" s="96"/>
      <c r="H1345" s="96"/>
      <c r="J1345" s="1"/>
      <c r="K1345" s="1"/>
      <c r="L1345" s="1"/>
      <c r="O1345" s="475"/>
      <c r="P1345" s="475"/>
      <c r="Q1345" s="475"/>
      <c r="R1345" s="475"/>
      <c r="S1345" s="475"/>
      <c r="T1345" s="475"/>
      <c r="U1345" s="475"/>
      <c r="V1345" s="475"/>
      <c r="W1345" s="475"/>
    </row>
    <row r="1346" spans="2:23" s="97" customFormat="1">
      <c r="B1346" s="96"/>
      <c r="H1346" s="96"/>
      <c r="J1346" s="1"/>
      <c r="K1346" s="1"/>
      <c r="L1346" s="1"/>
      <c r="O1346" s="475"/>
      <c r="P1346" s="475"/>
      <c r="Q1346" s="475"/>
      <c r="R1346" s="475"/>
      <c r="S1346" s="475"/>
      <c r="T1346" s="475"/>
      <c r="U1346" s="475"/>
      <c r="V1346" s="475"/>
      <c r="W1346" s="475"/>
    </row>
    <row r="1347" spans="2:23" s="97" customFormat="1">
      <c r="B1347" s="96"/>
      <c r="H1347" s="96"/>
      <c r="J1347" s="1"/>
      <c r="K1347" s="1"/>
      <c r="L1347" s="1"/>
      <c r="O1347" s="475"/>
      <c r="P1347" s="475"/>
      <c r="Q1347" s="475"/>
      <c r="R1347" s="475"/>
      <c r="S1347" s="475"/>
      <c r="T1347" s="475"/>
      <c r="U1347" s="475"/>
      <c r="V1347" s="475"/>
      <c r="W1347" s="475"/>
    </row>
    <row r="1348" spans="2:23" s="97" customFormat="1">
      <c r="B1348" s="96"/>
      <c r="H1348" s="96"/>
      <c r="J1348" s="1"/>
      <c r="K1348" s="1"/>
      <c r="L1348" s="1"/>
      <c r="O1348" s="475"/>
      <c r="P1348" s="475"/>
      <c r="Q1348" s="475"/>
      <c r="R1348" s="475"/>
      <c r="S1348" s="475"/>
      <c r="T1348" s="475"/>
      <c r="U1348" s="475"/>
      <c r="V1348" s="475"/>
      <c r="W1348" s="475"/>
    </row>
    <row r="1349" spans="2:23" s="97" customFormat="1">
      <c r="B1349" s="96"/>
      <c r="H1349" s="96"/>
      <c r="J1349" s="1"/>
      <c r="K1349" s="1"/>
      <c r="L1349" s="1"/>
      <c r="O1349" s="475"/>
      <c r="P1349" s="475"/>
      <c r="Q1349" s="475"/>
      <c r="R1349" s="475"/>
      <c r="S1349" s="475"/>
      <c r="T1349" s="475"/>
      <c r="U1349" s="475"/>
      <c r="V1349" s="475"/>
      <c r="W1349" s="475"/>
    </row>
    <row r="1350" spans="2:23" s="97" customFormat="1">
      <c r="B1350" s="96"/>
      <c r="H1350" s="96"/>
      <c r="J1350" s="1"/>
      <c r="K1350" s="1"/>
      <c r="L1350" s="1"/>
      <c r="O1350" s="475"/>
      <c r="P1350" s="475"/>
      <c r="Q1350" s="475"/>
      <c r="R1350" s="475"/>
      <c r="S1350" s="475"/>
      <c r="T1350" s="475"/>
      <c r="U1350" s="475"/>
      <c r="V1350" s="475"/>
      <c r="W1350" s="475"/>
    </row>
    <row r="1351" spans="2:23" s="97" customFormat="1">
      <c r="B1351" s="96"/>
      <c r="H1351" s="96"/>
      <c r="J1351" s="1"/>
      <c r="K1351" s="1"/>
      <c r="L1351" s="1"/>
      <c r="O1351" s="475"/>
      <c r="P1351" s="475"/>
      <c r="Q1351" s="475"/>
      <c r="R1351" s="475"/>
      <c r="S1351" s="475"/>
      <c r="T1351" s="475"/>
      <c r="U1351" s="475"/>
      <c r="V1351" s="475"/>
      <c r="W1351" s="475"/>
    </row>
    <row r="1352" spans="2:23" s="97" customFormat="1">
      <c r="B1352" s="96"/>
      <c r="H1352" s="96"/>
      <c r="J1352" s="1"/>
      <c r="K1352" s="1"/>
      <c r="L1352" s="1"/>
      <c r="O1352" s="475"/>
      <c r="P1352" s="475"/>
      <c r="Q1352" s="475"/>
      <c r="R1352" s="475"/>
      <c r="S1352" s="475"/>
      <c r="T1352" s="475"/>
      <c r="U1352" s="475"/>
      <c r="V1352" s="475"/>
      <c r="W1352" s="475"/>
    </row>
    <row r="1353" spans="2:23" s="97" customFormat="1">
      <c r="B1353" s="96"/>
      <c r="H1353" s="96"/>
      <c r="J1353" s="1"/>
      <c r="K1353" s="1"/>
      <c r="L1353" s="1"/>
      <c r="O1353" s="475"/>
      <c r="P1353" s="475"/>
      <c r="Q1353" s="475"/>
      <c r="R1353" s="475"/>
      <c r="S1353" s="475"/>
      <c r="T1353" s="475"/>
      <c r="U1353" s="475"/>
      <c r="V1353" s="475"/>
      <c r="W1353" s="475"/>
    </row>
    <row r="1354" spans="2:23" s="97" customFormat="1">
      <c r="B1354" s="96"/>
      <c r="H1354" s="96"/>
      <c r="J1354" s="1"/>
      <c r="K1354" s="1"/>
      <c r="L1354" s="1"/>
      <c r="O1354" s="475"/>
      <c r="P1354" s="475"/>
      <c r="Q1354" s="475"/>
      <c r="R1354" s="475"/>
      <c r="S1354" s="475"/>
      <c r="T1354" s="475"/>
      <c r="U1354" s="475"/>
      <c r="V1354" s="475"/>
      <c r="W1354" s="475"/>
    </row>
    <row r="1355" spans="2:23" s="97" customFormat="1">
      <c r="B1355" s="96"/>
      <c r="H1355" s="96"/>
      <c r="J1355" s="1"/>
      <c r="K1355" s="1"/>
      <c r="L1355" s="1"/>
      <c r="O1355" s="475"/>
      <c r="P1355" s="475"/>
      <c r="Q1355" s="475"/>
      <c r="R1355" s="475"/>
      <c r="S1355" s="475"/>
      <c r="T1355" s="475"/>
      <c r="U1355" s="475"/>
      <c r="V1355" s="475"/>
      <c r="W1355" s="475"/>
    </row>
    <row r="1356" spans="2:23" s="97" customFormat="1">
      <c r="B1356" s="96"/>
      <c r="H1356" s="96"/>
      <c r="J1356" s="1"/>
      <c r="K1356" s="1"/>
      <c r="L1356" s="1"/>
      <c r="O1356" s="475"/>
      <c r="P1356" s="475"/>
      <c r="Q1356" s="475"/>
      <c r="R1356" s="475"/>
      <c r="S1356" s="475"/>
      <c r="T1356" s="475"/>
      <c r="U1356" s="475"/>
      <c r="V1356" s="475"/>
      <c r="W1356" s="475"/>
    </row>
    <row r="1357" spans="2:23" s="97" customFormat="1">
      <c r="B1357" s="96"/>
      <c r="H1357" s="96"/>
      <c r="J1357" s="1"/>
      <c r="K1357" s="1"/>
      <c r="L1357" s="1"/>
      <c r="O1357" s="475"/>
      <c r="P1357" s="475"/>
      <c r="Q1357" s="475"/>
      <c r="R1357" s="475"/>
      <c r="S1357" s="475"/>
      <c r="T1357" s="475"/>
      <c r="U1357" s="475"/>
      <c r="V1357" s="475"/>
      <c r="W1357" s="475"/>
    </row>
    <row r="1358" spans="2:23" s="97" customFormat="1">
      <c r="B1358" s="96"/>
      <c r="H1358" s="96"/>
      <c r="J1358" s="1"/>
      <c r="K1358" s="1"/>
      <c r="L1358" s="1"/>
      <c r="O1358" s="475"/>
      <c r="P1358" s="475"/>
      <c r="Q1358" s="475"/>
      <c r="R1358" s="475"/>
      <c r="S1358" s="475"/>
      <c r="T1358" s="475"/>
      <c r="U1358" s="475"/>
      <c r="V1358" s="475"/>
      <c r="W1358" s="475"/>
    </row>
    <row r="1359" spans="2:23" s="97" customFormat="1">
      <c r="B1359" s="96"/>
      <c r="H1359" s="96"/>
      <c r="J1359" s="1"/>
      <c r="K1359" s="1"/>
      <c r="L1359" s="1"/>
      <c r="O1359" s="475"/>
      <c r="P1359" s="475"/>
      <c r="Q1359" s="475"/>
      <c r="R1359" s="475"/>
      <c r="S1359" s="475"/>
      <c r="T1359" s="475"/>
      <c r="U1359" s="475"/>
      <c r="V1359" s="475"/>
      <c r="W1359" s="475"/>
    </row>
    <row r="1360" spans="2:23" s="97" customFormat="1">
      <c r="B1360" s="96"/>
      <c r="H1360" s="96"/>
      <c r="J1360" s="1"/>
      <c r="K1360" s="1"/>
      <c r="L1360" s="1"/>
      <c r="O1360" s="475"/>
      <c r="P1360" s="475"/>
      <c r="Q1360" s="475"/>
      <c r="R1360" s="475"/>
      <c r="S1360" s="475"/>
      <c r="T1360" s="475"/>
      <c r="U1360" s="475"/>
      <c r="V1360" s="475"/>
      <c r="W1360" s="475"/>
    </row>
    <row r="1361" spans="2:23" s="97" customFormat="1">
      <c r="B1361" s="96"/>
      <c r="H1361" s="96"/>
      <c r="J1361" s="1"/>
      <c r="K1361" s="1"/>
      <c r="L1361" s="1"/>
      <c r="O1361" s="475"/>
      <c r="P1361" s="475"/>
      <c r="Q1361" s="475"/>
      <c r="R1361" s="475"/>
      <c r="S1361" s="475"/>
      <c r="T1361" s="475"/>
      <c r="U1361" s="475"/>
      <c r="V1361" s="475"/>
      <c r="W1361" s="475"/>
    </row>
    <row r="1362" spans="2:23" s="97" customFormat="1">
      <c r="B1362" s="96"/>
      <c r="H1362" s="96"/>
      <c r="J1362" s="1"/>
      <c r="K1362" s="1"/>
      <c r="L1362" s="1"/>
      <c r="O1362" s="475"/>
      <c r="P1362" s="475"/>
      <c r="Q1362" s="475"/>
      <c r="R1362" s="475"/>
      <c r="S1362" s="475"/>
      <c r="T1362" s="475"/>
      <c r="U1362" s="475"/>
      <c r="V1362" s="475"/>
      <c r="W1362" s="475"/>
    </row>
    <row r="1363" spans="2:23" s="97" customFormat="1">
      <c r="B1363" s="96"/>
      <c r="H1363" s="96"/>
      <c r="J1363" s="1"/>
      <c r="K1363" s="1"/>
      <c r="L1363" s="1"/>
      <c r="O1363" s="475"/>
      <c r="P1363" s="475"/>
      <c r="Q1363" s="475"/>
      <c r="R1363" s="475"/>
      <c r="S1363" s="475"/>
      <c r="T1363" s="475"/>
      <c r="U1363" s="475"/>
      <c r="V1363" s="475"/>
      <c r="W1363" s="475"/>
    </row>
    <row r="1364" spans="2:23" s="97" customFormat="1">
      <c r="B1364" s="96"/>
      <c r="H1364" s="96"/>
      <c r="J1364" s="1"/>
      <c r="K1364" s="1"/>
      <c r="L1364" s="1"/>
      <c r="O1364" s="475"/>
      <c r="P1364" s="475"/>
      <c r="Q1364" s="475"/>
      <c r="R1364" s="475"/>
      <c r="S1364" s="475"/>
      <c r="T1364" s="475"/>
      <c r="U1364" s="475"/>
      <c r="V1364" s="475"/>
      <c r="W1364" s="475"/>
    </row>
    <row r="1365" spans="2:23" s="97" customFormat="1">
      <c r="B1365" s="96"/>
      <c r="H1365" s="96"/>
      <c r="J1365" s="1"/>
      <c r="K1365" s="1"/>
      <c r="L1365" s="1"/>
      <c r="O1365" s="475"/>
      <c r="P1365" s="475"/>
      <c r="Q1365" s="475"/>
      <c r="R1365" s="475"/>
      <c r="S1365" s="475"/>
      <c r="T1365" s="475"/>
      <c r="U1365" s="475"/>
      <c r="V1365" s="475"/>
      <c r="W1365" s="475"/>
    </row>
    <row r="1366" spans="2:23" s="97" customFormat="1">
      <c r="B1366" s="96"/>
      <c r="H1366" s="96"/>
      <c r="J1366" s="1"/>
      <c r="K1366" s="1"/>
      <c r="L1366" s="1"/>
      <c r="O1366" s="475"/>
      <c r="P1366" s="475"/>
      <c r="Q1366" s="475"/>
      <c r="R1366" s="475"/>
      <c r="S1366" s="475"/>
      <c r="T1366" s="475"/>
      <c r="U1366" s="475"/>
      <c r="V1366" s="475"/>
      <c r="W1366" s="475"/>
    </row>
    <row r="1367" spans="2:23" s="97" customFormat="1">
      <c r="B1367" s="96"/>
      <c r="H1367" s="96"/>
      <c r="J1367" s="1"/>
      <c r="K1367" s="1"/>
      <c r="L1367" s="1"/>
      <c r="O1367" s="475"/>
      <c r="P1367" s="475"/>
      <c r="Q1367" s="475"/>
      <c r="R1367" s="475"/>
      <c r="S1367" s="475"/>
      <c r="T1367" s="475"/>
      <c r="U1367" s="475"/>
      <c r="V1367" s="475"/>
      <c r="W1367" s="475"/>
    </row>
    <row r="1368" spans="2:23" s="97" customFormat="1">
      <c r="B1368" s="96"/>
      <c r="H1368" s="96"/>
      <c r="J1368" s="1"/>
      <c r="K1368" s="1"/>
      <c r="L1368" s="1"/>
      <c r="O1368" s="475"/>
      <c r="P1368" s="475"/>
      <c r="Q1368" s="475"/>
      <c r="R1368" s="475"/>
      <c r="S1368" s="475"/>
      <c r="T1368" s="475"/>
      <c r="U1368" s="475"/>
      <c r="V1368" s="475"/>
      <c r="W1368" s="475"/>
    </row>
    <row r="1369" spans="2:23" s="97" customFormat="1">
      <c r="B1369" s="96"/>
      <c r="H1369" s="96"/>
      <c r="J1369" s="1"/>
      <c r="K1369" s="1"/>
      <c r="L1369" s="1"/>
      <c r="O1369" s="475"/>
      <c r="P1369" s="475"/>
      <c r="Q1369" s="475"/>
      <c r="R1369" s="475"/>
      <c r="S1369" s="475"/>
      <c r="T1369" s="475"/>
      <c r="U1369" s="475"/>
      <c r="V1369" s="475"/>
      <c r="W1369" s="475"/>
    </row>
    <row r="1370" spans="2:23" s="97" customFormat="1">
      <c r="B1370" s="96"/>
      <c r="H1370" s="96"/>
      <c r="J1370" s="1"/>
      <c r="K1370" s="1"/>
      <c r="L1370" s="1"/>
      <c r="O1370" s="475"/>
      <c r="P1370" s="475"/>
      <c r="Q1370" s="475"/>
      <c r="R1370" s="475"/>
      <c r="S1370" s="475"/>
      <c r="T1370" s="475"/>
      <c r="U1370" s="475"/>
      <c r="V1370" s="475"/>
      <c r="W1370" s="475"/>
    </row>
    <row r="1371" spans="2:23" s="97" customFormat="1">
      <c r="B1371" s="96"/>
      <c r="H1371" s="96"/>
      <c r="J1371" s="1"/>
      <c r="K1371" s="1"/>
      <c r="L1371" s="1"/>
      <c r="O1371" s="475"/>
      <c r="P1371" s="475"/>
      <c r="Q1371" s="475"/>
      <c r="R1371" s="475"/>
      <c r="S1371" s="475"/>
      <c r="T1371" s="475"/>
      <c r="U1371" s="475"/>
      <c r="V1371" s="475"/>
      <c r="W1371" s="475"/>
    </row>
    <row r="1372" spans="2:23" s="97" customFormat="1">
      <c r="B1372" s="96"/>
      <c r="H1372" s="96"/>
      <c r="J1372" s="1"/>
      <c r="K1372" s="1"/>
      <c r="L1372" s="1"/>
      <c r="O1372" s="475"/>
      <c r="P1372" s="475"/>
      <c r="Q1372" s="475"/>
      <c r="R1372" s="475"/>
      <c r="S1372" s="475"/>
      <c r="T1372" s="475"/>
      <c r="U1372" s="475"/>
      <c r="V1372" s="475"/>
      <c r="W1372" s="475"/>
    </row>
    <row r="1373" spans="2:23" s="97" customFormat="1">
      <c r="B1373" s="96"/>
      <c r="H1373" s="96"/>
      <c r="J1373" s="1"/>
      <c r="K1373" s="1"/>
      <c r="L1373" s="1"/>
      <c r="O1373" s="475"/>
      <c r="P1373" s="475"/>
      <c r="Q1373" s="475"/>
      <c r="R1373" s="475"/>
      <c r="S1373" s="475"/>
      <c r="T1373" s="475"/>
      <c r="U1373" s="475"/>
      <c r="V1373" s="475"/>
      <c r="W1373" s="475"/>
    </row>
    <row r="1374" spans="2:23" s="97" customFormat="1">
      <c r="B1374" s="96"/>
      <c r="H1374" s="96"/>
      <c r="J1374" s="1"/>
      <c r="K1374" s="1"/>
      <c r="L1374" s="1"/>
      <c r="O1374" s="475"/>
      <c r="P1374" s="475"/>
      <c r="Q1374" s="475"/>
      <c r="R1374" s="475"/>
      <c r="S1374" s="475"/>
      <c r="T1374" s="475"/>
      <c r="U1374" s="475"/>
      <c r="V1374" s="475"/>
      <c r="W1374" s="475"/>
    </row>
    <row r="1375" spans="2:23" s="97" customFormat="1">
      <c r="B1375" s="96"/>
      <c r="H1375" s="96"/>
      <c r="J1375" s="1"/>
      <c r="K1375" s="1"/>
      <c r="L1375" s="1"/>
      <c r="O1375" s="475"/>
      <c r="P1375" s="475"/>
      <c r="Q1375" s="475"/>
      <c r="R1375" s="475"/>
      <c r="S1375" s="475"/>
      <c r="T1375" s="475"/>
      <c r="U1375" s="475"/>
      <c r="V1375" s="475"/>
      <c r="W1375" s="475"/>
    </row>
    <row r="1376" spans="2:23" s="97" customFormat="1">
      <c r="B1376" s="96"/>
      <c r="H1376" s="96"/>
      <c r="J1376" s="1"/>
      <c r="K1376" s="1"/>
      <c r="L1376" s="1"/>
      <c r="O1376" s="475"/>
      <c r="P1376" s="475"/>
      <c r="Q1376" s="475"/>
      <c r="R1376" s="475"/>
      <c r="S1376" s="475"/>
      <c r="T1376" s="475"/>
      <c r="U1376" s="475"/>
      <c r="V1376" s="475"/>
      <c r="W1376" s="475"/>
    </row>
    <row r="1377" spans="2:23" s="97" customFormat="1">
      <c r="B1377" s="96"/>
      <c r="H1377" s="96"/>
      <c r="J1377" s="1"/>
      <c r="K1377" s="1"/>
      <c r="L1377" s="1"/>
      <c r="O1377" s="475"/>
      <c r="P1377" s="475"/>
      <c r="Q1377" s="475"/>
      <c r="R1377" s="475"/>
      <c r="S1377" s="475"/>
      <c r="T1377" s="475"/>
      <c r="U1377" s="475"/>
      <c r="V1377" s="475"/>
      <c r="W1377" s="475"/>
    </row>
    <row r="1378" spans="2:23" s="97" customFormat="1">
      <c r="B1378" s="96"/>
      <c r="H1378" s="96"/>
      <c r="J1378" s="1"/>
      <c r="K1378" s="1"/>
      <c r="L1378" s="1"/>
      <c r="O1378" s="475"/>
      <c r="P1378" s="475"/>
      <c r="Q1378" s="475"/>
      <c r="R1378" s="475"/>
      <c r="S1378" s="475"/>
      <c r="T1378" s="475"/>
      <c r="U1378" s="475"/>
      <c r="V1378" s="475"/>
      <c r="W1378" s="475"/>
    </row>
    <row r="1379" spans="2:23" s="97" customFormat="1">
      <c r="B1379" s="96"/>
      <c r="H1379" s="96"/>
      <c r="J1379" s="1"/>
      <c r="K1379" s="1"/>
      <c r="L1379" s="1"/>
      <c r="O1379" s="475"/>
      <c r="P1379" s="475"/>
      <c r="Q1379" s="475"/>
      <c r="R1379" s="475"/>
      <c r="S1379" s="475"/>
      <c r="T1379" s="475"/>
      <c r="U1379" s="475"/>
      <c r="V1379" s="475"/>
      <c r="W1379" s="475"/>
    </row>
    <row r="1380" spans="2:23" s="97" customFormat="1">
      <c r="B1380" s="96"/>
      <c r="H1380" s="96"/>
      <c r="J1380" s="1"/>
      <c r="K1380" s="1"/>
      <c r="L1380" s="1"/>
      <c r="O1380" s="475"/>
      <c r="P1380" s="475"/>
      <c r="Q1380" s="475"/>
      <c r="R1380" s="475"/>
      <c r="S1380" s="475"/>
      <c r="T1380" s="475"/>
      <c r="U1380" s="475"/>
      <c r="V1380" s="475"/>
      <c r="W1380" s="475"/>
    </row>
    <row r="1381" spans="2:23" s="97" customFormat="1">
      <c r="B1381" s="96"/>
      <c r="H1381" s="96"/>
      <c r="J1381" s="1"/>
      <c r="K1381" s="1"/>
      <c r="L1381" s="1"/>
      <c r="O1381" s="475"/>
      <c r="P1381" s="475"/>
      <c r="Q1381" s="475"/>
      <c r="R1381" s="475"/>
      <c r="S1381" s="475"/>
      <c r="T1381" s="475"/>
      <c r="U1381" s="475"/>
      <c r="V1381" s="475"/>
      <c r="W1381" s="475"/>
    </row>
    <row r="1382" spans="2:23" s="97" customFormat="1">
      <c r="B1382" s="96"/>
      <c r="H1382" s="96"/>
      <c r="J1382" s="1"/>
      <c r="K1382" s="1"/>
      <c r="L1382" s="1"/>
      <c r="O1382" s="475"/>
      <c r="P1382" s="475"/>
      <c r="Q1382" s="475"/>
      <c r="R1382" s="475"/>
      <c r="S1382" s="475"/>
      <c r="T1382" s="475"/>
      <c r="U1382" s="475"/>
      <c r="V1382" s="475"/>
      <c r="W1382" s="475"/>
    </row>
    <row r="1383" spans="2:23" s="97" customFormat="1">
      <c r="B1383" s="96"/>
      <c r="H1383" s="96"/>
      <c r="J1383" s="1"/>
      <c r="K1383" s="1"/>
      <c r="L1383" s="1"/>
      <c r="O1383" s="475"/>
      <c r="P1383" s="475"/>
      <c r="Q1383" s="475"/>
      <c r="R1383" s="475"/>
      <c r="S1383" s="475"/>
      <c r="T1383" s="475"/>
      <c r="U1383" s="475"/>
      <c r="V1383" s="475"/>
      <c r="W1383" s="475"/>
    </row>
    <row r="1384" spans="2:23" s="97" customFormat="1">
      <c r="B1384" s="96"/>
      <c r="H1384" s="96"/>
      <c r="J1384" s="1"/>
      <c r="K1384" s="1"/>
      <c r="L1384" s="1"/>
      <c r="O1384" s="475"/>
      <c r="P1384" s="475"/>
      <c r="Q1384" s="475"/>
      <c r="R1384" s="475"/>
      <c r="S1384" s="475"/>
      <c r="T1384" s="475"/>
      <c r="U1384" s="475"/>
      <c r="V1384" s="475"/>
      <c r="W1384" s="475"/>
    </row>
    <row r="1385" spans="2:23" s="97" customFormat="1">
      <c r="B1385" s="96"/>
      <c r="H1385" s="96"/>
      <c r="J1385" s="1"/>
      <c r="K1385" s="1"/>
      <c r="L1385" s="1"/>
      <c r="O1385" s="475"/>
      <c r="P1385" s="475"/>
      <c r="Q1385" s="475"/>
      <c r="R1385" s="475"/>
      <c r="S1385" s="475"/>
      <c r="T1385" s="475"/>
      <c r="U1385" s="475"/>
      <c r="V1385" s="475"/>
      <c r="W1385" s="475"/>
    </row>
    <row r="1386" spans="2:23" s="97" customFormat="1">
      <c r="B1386" s="96"/>
      <c r="H1386" s="96"/>
      <c r="J1386" s="1"/>
      <c r="K1386" s="1"/>
      <c r="L1386" s="1"/>
      <c r="O1386" s="475"/>
      <c r="P1386" s="475"/>
      <c r="Q1386" s="475"/>
      <c r="R1386" s="475"/>
      <c r="S1386" s="475"/>
      <c r="T1386" s="475"/>
      <c r="U1386" s="475"/>
      <c r="V1386" s="475"/>
      <c r="W1386" s="475"/>
    </row>
    <row r="1387" spans="2:23" s="97" customFormat="1">
      <c r="B1387" s="96"/>
      <c r="H1387" s="96"/>
      <c r="J1387" s="1"/>
      <c r="K1387" s="1"/>
      <c r="L1387" s="1"/>
      <c r="O1387" s="475"/>
      <c r="P1387" s="475"/>
      <c r="Q1387" s="475"/>
      <c r="R1387" s="475"/>
      <c r="S1387" s="475"/>
      <c r="T1387" s="475"/>
      <c r="U1387" s="475"/>
      <c r="V1387" s="475"/>
      <c r="W1387" s="475"/>
    </row>
    <row r="1388" spans="2:23" s="97" customFormat="1">
      <c r="B1388" s="96"/>
      <c r="H1388" s="96"/>
      <c r="J1388" s="1"/>
      <c r="K1388" s="1"/>
      <c r="L1388" s="1"/>
      <c r="O1388" s="475"/>
      <c r="P1388" s="475"/>
      <c r="Q1388" s="475"/>
      <c r="R1388" s="475"/>
      <c r="S1388" s="475"/>
      <c r="T1388" s="475"/>
      <c r="U1388" s="475"/>
      <c r="V1388" s="475"/>
      <c r="W1388" s="475"/>
    </row>
    <row r="1389" spans="2:23" s="97" customFormat="1">
      <c r="B1389" s="96"/>
      <c r="H1389" s="96"/>
      <c r="J1389" s="1"/>
      <c r="K1389" s="1"/>
      <c r="L1389" s="1"/>
      <c r="O1389" s="475"/>
      <c r="P1389" s="475"/>
      <c r="Q1389" s="475"/>
      <c r="R1389" s="475"/>
      <c r="S1389" s="475"/>
      <c r="T1389" s="475"/>
      <c r="U1389" s="475"/>
      <c r="V1389" s="475"/>
      <c r="W1389" s="475"/>
    </row>
    <row r="1390" spans="2:23" s="97" customFormat="1">
      <c r="B1390" s="96"/>
      <c r="H1390" s="96"/>
      <c r="J1390" s="1"/>
      <c r="K1390" s="1"/>
      <c r="L1390" s="1"/>
      <c r="O1390" s="475"/>
      <c r="P1390" s="475"/>
      <c r="Q1390" s="475"/>
      <c r="R1390" s="475"/>
      <c r="S1390" s="475"/>
      <c r="T1390" s="475"/>
      <c r="U1390" s="475"/>
      <c r="V1390" s="475"/>
      <c r="W1390" s="475"/>
    </row>
    <row r="1391" spans="2:23" s="97" customFormat="1">
      <c r="B1391" s="96"/>
      <c r="H1391" s="96"/>
      <c r="J1391" s="1"/>
      <c r="K1391" s="1"/>
      <c r="L1391" s="1"/>
      <c r="O1391" s="475"/>
      <c r="P1391" s="475"/>
      <c r="Q1391" s="475"/>
      <c r="R1391" s="475"/>
      <c r="S1391" s="475"/>
      <c r="T1391" s="475"/>
      <c r="U1391" s="475"/>
      <c r="V1391" s="475"/>
      <c r="W1391" s="475"/>
    </row>
    <row r="1392" spans="2:23" s="97" customFormat="1">
      <c r="B1392" s="96"/>
      <c r="H1392" s="96"/>
      <c r="J1392" s="1"/>
      <c r="K1392" s="1"/>
      <c r="L1392" s="1"/>
      <c r="O1392" s="475"/>
      <c r="P1392" s="475"/>
      <c r="Q1392" s="475"/>
      <c r="R1392" s="475"/>
      <c r="S1392" s="475"/>
      <c r="T1392" s="475"/>
      <c r="U1392" s="475"/>
      <c r="V1392" s="475"/>
      <c r="W1392" s="475"/>
    </row>
    <row r="1393" spans="2:23" s="97" customFormat="1">
      <c r="B1393" s="96"/>
      <c r="H1393" s="96"/>
      <c r="J1393" s="1"/>
      <c r="K1393" s="1"/>
      <c r="L1393" s="1"/>
      <c r="O1393" s="475"/>
      <c r="P1393" s="475"/>
      <c r="Q1393" s="475"/>
      <c r="R1393" s="475"/>
      <c r="S1393" s="475"/>
      <c r="T1393" s="475"/>
      <c r="U1393" s="475"/>
      <c r="V1393" s="475"/>
      <c r="W1393" s="475"/>
    </row>
    <row r="1394" spans="2:23" s="97" customFormat="1">
      <c r="B1394" s="96"/>
      <c r="H1394" s="96"/>
      <c r="J1394" s="1"/>
      <c r="K1394" s="1"/>
      <c r="L1394" s="1"/>
      <c r="O1394" s="475"/>
      <c r="P1394" s="475"/>
      <c r="Q1394" s="475"/>
      <c r="R1394" s="475"/>
      <c r="S1394" s="475"/>
      <c r="T1394" s="475"/>
      <c r="U1394" s="475"/>
      <c r="V1394" s="475"/>
      <c r="W1394" s="475"/>
    </row>
    <row r="1395" spans="2:23" s="97" customFormat="1">
      <c r="B1395" s="96"/>
      <c r="H1395" s="96"/>
      <c r="J1395" s="1"/>
      <c r="K1395" s="1"/>
      <c r="L1395" s="1"/>
      <c r="O1395" s="475"/>
      <c r="P1395" s="475"/>
      <c r="Q1395" s="475"/>
      <c r="R1395" s="475"/>
      <c r="S1395" s="475"/>
      <c r="T1395" s="475"/>
      <c r="U1395" s="475"/>
      <c r="V1395" s="475"/>
      <c r="W1395" s="475"/>
    </row>
    <row r="1396" spans="2:23" s="97" customFormat="1">
      <c r="B1396" s="96"/>
      <c r="H1396" s="96"/>
      <c r="J1396" s="1"/>
      <c r="K1396" s="1"/>
      <c r="L1396" s="1"/>
      <c r="O1396" s="475"/>
      <c r="P1396" s="475"/>
      <c r="Q1396" s="475"/>
      <c r="R1396" s="475"/>
      <c r="S1396" s="475"/>
      <c r="T1396" s="475"/>
      <c r="U1396" s="475"/>
      <c r="V1396" s="475"/>
      <c r="W1396" s="475"/>
    </row>
    <row r="1397" spans="2:23" s="97" customFormat="1">
      <c r="B1397" s="96"/>
      <c r="H1397" s="96"/>
      <c r="J1397" s="1"/>
      <c r="K1397" s="1"/>
      <c r="L1397" s="1"/>
      <c r="O1397" s="475"/>
      <c r="P1397" s="475"/>
      <c r="Q1397" s="475"/>
      <c r="R1397" s="475"/>
      <c r="S1397" s="475"/>
      <c r="T1397" s="475"/>
      <c r="U1397" s="475"/>
      <c r="V1397" s="475"/>
      <c r="W1397" s="475"/>
    </row>
    <row r="1398" spans="2:23" s="97" customFormat="1">
      <c r="B1398" s="96"/>
      <c r="H1398" s="96"/>
      <c r="J1398" s="1"/>
      <c r="K1398" s="1"/>
      <c r="L1398" s="1"/>
      <c r="O1398" s="475"/>
      <c r="P1398" s="475"/>
      <c r="Q1398" s="475"/>
      <c r="R1398" s="475"/>
      <c r="S1398" s="475"/>
      <c r="T1398" s="475"/>
      <c r="U1398" s="475"/>
      <c r="V1398" s="475"/>
      <c r="W1398" s="475"/>
    </row>
    <row r="1399" spans="2:23" s="97" customFormat="1">
      <c r="B1399" s="96"/>
      <c r="H1399" s="96"/>
      <c r="J1399" s="1"/>
      <c r="K1399" s="1"/>
      <c r="L1399" s="1"/>
      <c r="O1399" s="475"/>
      <c r="P1399" s="475"/>
      <c r="Q1399" s="475"/>
      <c r="R1399" s="475"/>
      <c r="S1399" s="475"/>
      <c r="T1399" s="475"/>
      <c r="U1399" s="475"/>
      <c r="V1399" s="475"/>
      <c r="W1399" s="475"/>
    </row>
    <row r="1400" spans="2:23" s="97" customFormat="1">
      <c r="B1400" s="96"/>
      <c r="H1400" s="96"/>
      <c r="J1400" s="1"/>
      <c r="K1400" s="1"/>
      <c r="L1400" s="1"/>
      <c r="O1400" s="475"/>
      <c r="P1400" s="475"/>
      <c r="Q1400" s="475"/>
      <c r="R1400" s="475"/>
      <c r="S1400" s="475"/>
      <c r="T1400" s="475"/>
      <c r="U1400" s="475"/>
      <c r="V1400" s="475"/>
      <c r="W1400" s="475"/>
    </row>
    <row r="1401" spans="2:23" s="97" customFormat="1">
      <c r="B1401" s="96"/>
      <c r="H1401" s="96"/>
      <c r="J1401" s="1"/>
      <c r="K1401" s="1"/>
      <c r="L1401" s="1"/>
      <c r="O1401" s="475"/>
      <c r="P1401" s="475"/>
      <c r="Q1401" s="475"/>
      <c r="R1401" s="475"/>
      <c r="S1401" s="475"/>
      <c r="T1401" s="475"/>
      <c r="U1401" s="475"/>
      <c r="V1401" s="475"/>
      <c r="W1401" s="475"/>
    </row>
    <row r="1402" spans="2:23" s="97" customFormat="1">
      <c r="B1402" s="96"/>
      <c r="H1402" s="96"/>
      <c r="J1402" s="1"/>
      <c r="K1402" s="1"/>
      <c r="L1402" s="1"/>
      <c r="O1402" s="475"/>
      <c r="P1402" s="475"/>
      <c r="Q1402" s="475"/>
      <c r="R1402" s="475"/>
      <c r="S1402" s="475"/>
      <c r="T1402" s="475"/>
      <c r="U1402" s="475"/>
      <c r="V1402" s="475"/>
      <c r="W1402" s="475"/>
    </row>
    <row r="1403" spans="2:23" s="97" customFormat="1">
      <c r="B1403" s="96"/>
      <c r="H1403" s="96"/>
      <c r="J1403" s="1"/>
      <c r="K1403" s="1"/>
      <c r="L1403" s="1"/>
      <c r="O1403" s="475"/>
      <c r="P1403" s="475"/>
      <c r="Q1403" s="475"/>
      <c r="R1403" s="475"/>
      <c r="S1403" s="475"/>
      <c r="T1403" s="475"/>
      <c r="U1403" s="475"/>
      <c r="V1403" s="475"/>
      <c r="W1403" s="475"/>
    </row>
    <row r="1404" spans="2:23" s="97" customFormat="1">
      <c r="B1404" s="96"/>
      <c r="H1404" s="96"/>
      <c r="J1404" s="1"/>
      <c r="K1404" s="1"/>
      <c r="L1404" s="1"/>
      <c r="O1404" s="475"/>
      <c r="P1404" s="475"/>
      <c r="Q1404" s="475"/>
      <c r="R1404" s="475"/>
      <c r="S1404" s="475"/>
      <c r="T1404" s="475"/>
      <c r="U1404" s="475"/>
      <c r="V1404" s="475"/>
      <c r="W1404" s="475"/>
    </row>
    <row r="1405" spans="2:23" s="97" customFormat="1">
      <c r="B1405" s="96"/>
      <c r="H1405" s="96"/>
      <c r="J1405" s="1"/>
      <c r="K1405" s="1"/>
      <c r="L1405" s="1"/>
      <c r="O1405" s="475"/>
      <c r="P1405" s="475"/>
      <c r="Q1405" s="475"/>
      <c r="R1405" s="475"/>
      <c r="S1405" s="475"/>
      <c r="T1405" s="475"/>
      <c r="U1405" s="475"/>
      <c r="V1405" s="475"/>
      <c r="W1405" s="475"/>
    </row>
    <row r="1406" spans="2:23" s="97" customFormat="1">
      <c r="B1406" s="96"/>
      <c r="H1406" s="96"/>
      <c r="J1406" s="1"/>
      <c r="K1406" s="1"/>
      <c r="L1406" s="1"/>
      <c r="O1406" s="475"/>
      <c r="P1406" s="475"/>
      <c r="Q1406" s="475"/>
      <c r="R1406" s="475"/>
      <c r="S1406" s="475"/>
      <c r="T1406" s="475"/>
      <c r="U1406" s="475"/>
      <c r="V1406" s="475"/>
      <c r="W1406" s="475"/>
    </row>
    <row r="1407" spans="2:23" s="97" customFormat="1">
      <c r="B1407" s="96"/>
      <c r="H1407" s="96"/>
      <c r="J1407" s="1"/>
      <c r="K1407" s="1"/>
      <c r="L1407" s="1"/>
      <c r="O1407" s="475"/>
      <c r="P1407" s="475"/>
      <c r="Q1407" s="475"/>
      <c r="R1407" s="475"/>
      <c r="S1407" s="475"/>
      <c r="T1407" s="475"/>
      <c r="U1407" s="475"/>
      <c r="V1407" s="475"/>
      <c r="W1407" s="475"/>
    </row>
    <row r="1408" spans="2:23" s="97" customFormat="1">
      <c r="B1408" s="96"/>
      <c r="H1408" s="96"/>
      <c r="J1408" s="1"/>
      <c r="K1408" s="1"/>
      <c r="L1408" s="1"/>
      <c r="O1408" s="475"/>
      <c r="P1408" s="475"/>
      <c r="Q1408" s="475"/>
      <c r="R1408" s="475"/>
      <c r="S1408" s="475"/>
      <c r="T1408" s="475"/>
      <c r="U1408" s="475"/>
      <c r="V1408" s="475"/>
      <c r="W1408" s="475"/>
    </row>
    <row r="1409" spans="2:23" s="97" customFormat="1">
      <c r="B1409" s="96"/>
      <c r="H1409" s="96"/>
      <c r="J1409" s="1"/>
      <c r="K1409" s="1"/>
      <c r="L1409" s="1"/>
      <c r="O1409" s="475"/>
      <c r="P1409" s="475"/>
      <c r="Q1409" s="475"/>
      <c r="R1409" s="475"/>
      <c r="S1409" s="475"/>
      <c r="T1409" s="475"/>
      <c r="U1409" s="475"/>
      <c r="V1409" s="475"/>
      <c r="W1409" s="475"/>
    </row>
    <row r="1410" spans="2:23" s="97" customFormat="1">
      <c r="B1410" s="96"/>
      <c r="H1410" s="96"/>
      <c r="J1410" s="1"/>
      <c r="K1410" s="1"/>
      <c r="L1410" s="1"/>
      <c r="O1410" s="475"/>
      <c r="P1410" s="475"/>
      <c r="Q1410" s="475"/>
      <c r="R1410" s="475"/>
      <c r="S1410" s="475"/>
      <c r="T1410" s="475"/>
      <c r="U1410" s="475"/>
      <c r="V1410" s="475"/>
      <c r="W1410" s="475"/>
    </row>
    <row r="1411" spans="2:23" s="97" customFormat="1">
      <c r="B1411" s="96"/>
      <c r="H1411" s="96"/>
      <c r="J1411" s="1"/>
      <c r="K1411" s="1"/>
      <c r="L1411" s="1"/>
      <c r="O1411" s="475"/>
      <c r="P1411" s="475"/>
      <c r="Q1411" s="475"/>
      <c r="R1411" s="475"/>
      <c r="S1411" s="475"/>
      <c r="T1411" s="475"/>
      <c r="U1411" s="475"/>
      <c r="V1411" s="475"/>
      <c r="W1411" s="475"/>
    </row>
    <row r="1412" spans="2:23" s="97" customFormat="1">
      <c r="B1412" s="96"/>
      <c r="H1412" s="96"/>
      <c r="J1412" s="1"/>
      <c r="K1412" s="1"/>
      <c r="L1412" s="1"/>
      <c r="O1412" s="475"/>
      <c r="P1412" s="475"/>
      <c r="Q1412" s="475"/>
      <c r="R1412" s="475"/>
      <c r="S1412" s="475"/>
      <c r="T1412" s="475"/>
      <c r="U1412" s="475"/>
      <c r="V1412" s="475"/>
      <c r="W1412" s="475"/>
    </row>
    <row r="1413" spans="2:23" s="97" customFormat="1">
      <c r="B1413" s="96"/>
      <c r="H1413" s="96"/>
      <c r="J1413" s="1"/>
      <c r="K1413" s="1"/>
      <c r="L1413" s="1"/>
      <c r="O1413" s="475"/>
      <c r="P1413" s="475"/>
      <c r="Q1413" s="475"/>
      <c r="R1413" s="475"/>
      <c r="S1413" s="475"/>
      <c r="T1413" s="475"/>
      <c r="U1413" s="475"/>
      <c r="V1413" s="475"/>
      <c r="W1413" s="475"/>
    </row>
    <row r="1414" spans="2:23" s="97" customFormat="1">
      <c r="B1414" s="96"/>
      <c r="H1414" s="96"/>
      <c r="J1414" s="1"/>
      <c r="K1414" s="1"/>
      <c r="L1414" s="1"/>
      <c r="O1414" s="475"/>
      <c r="P1414" s="475"/>
      <c r="Q1414" s="475"/>
      <c r="R1414" s="475"/>
      <c r="S1414" s="475"/>
      <c r="T1414" s="475"/>
      <c r="U1414" s="475"/>
      <c r="V1414" s="475"/>
      <c r="W1414" s="475"/>
    </row>
    <row r="1415" spans="2:23" s="97" customFormat="1">
      <c r="B1415" s="96"/>
      <c r="H1415" s="96"/>
      <c r="J1415" s="1"/>
      <c r="K1415" s="1"/>
      <c r="L1415" s="1"/>
      <c r="O1415" s="475"/>
      <c r="P1415" s="475"/>
      <c r="Q1415" s="475"/>
      <c r="R1415" s="475"/>
      <c r="S1415" s="475"/>
      <c r="T1415" s="475"/>
      <c r="U1415" s="475"/>
      <c r="V1415" s="475"/>
      <c r="W1415" s="475"/>
    </row>
    <row r="1416" spans="2:23" s="97" customFormat="1">
      <c r="B1416" s="96"/>
      <c r="H1416" s="96"/>
      <c r="J1416" s="1"/>
      <c r="K1416" s="1"/>
      <c r="L1416" s="1"/>
      <c r="O1416" s="475"/>
      <c r="P1416" s="475"/>
      <c r="Q1416" s="475"/>
      <c r="R1416" s="475"/>
      <c r="S1416" s="475"/>
      <c r="T1416" s="475"/>
      <c r="U1416" s="475"/>
      <c r="V1416" s="475"/>
      <c r="W1416" s="475"/>
    </row>
    <row r="1417" spans="2:23" s="97" customFormat="1">
      <c r="B1417" s="96"/>
      <c r="H1417" s="96"/>
      <c r="J1417" s="1"/>
      <c r="K1417" s="1"/>
      <c r="L1417" s="1"/>
      <c r="O1417" s="475"/>
      <c r="P1417" s="475"/>
      <c r="Q1417" s="475"/>
      <c r="R1417" s="475"/>
      <c r="S1417" s="475"/>
      <c r="T1417" s="475"/>
      <c r="U1417" s="475"/>
      <c r="V1417" s="475"/>
      <c r="W1417" s="475"/>
    </row>
    <row r="1418" spans="2:23" s="97" customFormat="1">
      <c r="B1418" s="96"/>
      <c r="H1418" s="96"/>
      <c r="J1418" s="1"/>
      <c r="K1418" s="1"/>
      <c r="L1418" s="1"/>
      <c r="O1418" s="475"/>
      <c r="P1418" s="475"/>
      <c r="Q1418" s="475"/>
      <c r="R1418" s="475"/>
      <c r="S1418" s="475"/>
      <c r="T1418" s="475"/>
      <c r="U1418" s="475"/>
      <c r="V1418" s="475"/>
      <c r="W1418" s="475"/>
    </row>
    <row r="1419" spans="2:23" s="97" customFormat="1">
      <c r="B1419" s="96"/>
      <c r="H1419" s="96"/>
      <c r="J1419" s="1"/>
      <c r="K1419" s="1"/>
      <c r="L1419" s="1"/>
      <c r="O1419" s="475"/>
      <c r="P1419" s="475"/>
      <c r="Q1419" s="475"/>
      <c r="R1419" s="475"/>
      <c r="S1419" s="475"/>
      <c r="T1419" s="475"/>
      <c r="U1419" s="475"/>
      <c r="V1419" s="475"/>
      <c r="W1419" s="475"/>
    </row>
    <row r="1420" spans="2:23" s="97" customFormat="1">
      <c r="B1420" s="96"/>
      <c r="H1420" s="96"/>
      <c r="J1420" s="1"/>
      <c r="K1420" s="1"/>
      <c r="L1420" s="1"/>
      <c r="O1420" s="475"/>
      <c r="P1420" s="475"/>
      <c r="Q1420" s="475"/>
      <c r="R1420" s="475"/>
      <c r="S1420" s="475"/>
      <c r="T1420" s="475"/>
      <c r="U1420" s="475"/>
      <c r="V1420" s="475"/>
      <c r="W1420" s="475"/>
    </row>
    <row r="1421" spans="2:23" s="97" customFormat="1">
      <c r="B1421" s="96"/>
      <c r="H1421" s="96"/>
      <c r="J1421" s="1"/>
      <c r="K1421" s="1"/>
      <c r="L1421" s="1"/>
      <c r="O1421" s="475"/>
      <c r="P1421" s="475"/>
      <c r="Q1421" s="475"/>
      <c r="R1421" s="475"/>
      <c r="S1421" s="475"/>
      <c r="T1421" s="475"/>
      <c r="U1421" s="475"/>
      <c r="V1421" s="475"/>
      <c r="W1421" s="475"/>
    </row>
    <row r="1422" spans="2:23" s="97" customFormat="1">
      <c r="B1422" s="96"/>
      <c r="H1422" s="96"/>
      <c r="J1422" s="1"/>
      <c r="K1422" s="1"/>
      <c r="L1422" s="1"/>
      <c r="O1422" s="475"/>
      <c r="P1422" s="475"/>
      <c r="Q1422" s="475"/>
      <c r="R1422" s="475"/>
      <c r="S1422" s="475"/>
      <c r="T1422" s="475"/>
      <c r="U1422" s="475"/>
      <c r="V1422" s="475"/>
      <c r="W1422" s="475"/>
    </row>
    <row r="1423" spans="2:23" s="97" customFormat="1">
      <c r="B1423" s="96"/>
      <c r="H1423" s="96"/>
      <c r="J1423" s="1"/>
      <c r="K1423" s="1"/>
      <c r="L1423" s="1"/>
      <c r="O1423" s="475"/>
      <c r="P1423" s="475"/>
      <c r="Q1423" s="475"/>
      <c r="R1423" s="475"/>
      <c r="S1423" s="475"/>
      <c r="T1423" s="475"/>
      <c r="U1423" s="475"/>
      <c r="V1423" s="475"/>
      <c r="W1423" s="475"/>
    </row>
    <row r="1424" spans="2:23" s="97" customFormat="1">
      <c r="B1424" s="96"/>
      <c r="H1424" s="96"/>
      <c r="J1424" s="1"/>
      <c r="K1424" s="1"/>
      <c r="L1424" s="1"/>
      <c r="O1424" s="475"/>
      <c r="P1424" s="475"/>
      <c r="Q1424" s="475"/>
      <c r="R1424" s="475"/>
      <c r="S1424" s="475"/>
      <c r="T1424" s="475"/>
      <c r="U1424" s="475"/>
      <c r="V1424" s="475"/>
      <c r="W1424" s="475"/>
    </row>
    <row r="1425" spans="2:23" s="97" customFormat="1">
      <c r="B1425" s="96"/>
      <c r="H1425" s="96"/>
      <c r="J1425" s="1"/>
      <c r="K1425" s="1"/>
      <c r="L1425" s="1"/>
      <c r="O1425" s="475"/>
      <c r="P1425" s="475"/>
      <c r="Q1425" s="475"/>
      <c r="R1425" s="475"/>
      <c r="S1425" s="475"/>
      <c r="T1425" s="475"/>
      <c r="U1425" s="475"/>
      <c r="V1425" s="475"/>
      <c r="W1425" s="475"/>
    </row>
    <row r="1426" spans="2:23" s="97" customFormat="1">
      <c r="B1426" s="96"/>
      <c r="H1426" s="96"/>
      <c r="J1426" s="1"/>
      <c r="K1426" s="1"/>
      <c r="L1426" s="1"/>
      <c r="O1426" s="475"/>
      <c r="P1426" s="475"/>
      <c r="Q1426" s="475"/>
      <c r="R1426" s="475"/>
      <c r="S1426" s="475"/>
      <c r="T1426" s="475"/>
      <c r="U1426" s="475"/>
      <c r="V1426" s="475"/>
      <c r="W1426" s="475"/>
    </row>
    <row r="1427" spans="2:23" s="97" customFormat="1">
      <c r="B1427" s="96"/>
      <c r="H1427" s="96"/>
      <c r="J1427" s="1"/>
      <c r="K1427" s="1"/>
      <c r="L1427" s="1"/>
      <c r="O1427" s="475"/>
      <c r="P1427" s="475"/>
      <c r="Q1427" s="475"/>
      <c r="R1427" s="475"/>
      <c r="S1427" s="475"/>
      <c r="T1427" s="475"/>
      <c r="U1427" s="475"/>
      <c r="V1427" s="475"/>
      <c r="W1427" s="475"/>
    </row>
    <row r="1428" spans="2:23" s="97" customFormat="1">
      <c r="B1428" s="96"/>
      <c r="H1428" s="96"/>
      <c r="J1428" s="1"/>
      <c r="K1428" s="1"/>
      <c r="L1428" s="1"/>
      <c r="O1428" s="475"/>
      <c r="P1428" s="475"/>
      <c r="Q1428" s="475"/>
      <c r="R1428" s="475"/>
      <c r="S1428" s="475"/>
      <c r="T1428" s="475"/>
      <c r="U1428" s="475"/>
      <c r="V1428" s="475"/>
      <c r="W1428" s="475"/>
    </row>
    <row r="1429" spans="2:23" s="97" customFormat="1">
      <c r="B1429" s="96"/>
      <c r="H1429" s="96"/>
      <c r="J1429" s="1"/>
      <c r="K1429" s="1"/>
      <c r="L1429" s="1"/>
      <c r="O1429" s="475"/>
      <c r="P1429" s="475"/>
      <c r="Q1429" s="475"/>
      <c r="R1429" s="475"/>
      <c r="S1429" s="475"/>
      <c r="T1429" s="475"/>
      <c r="U1429" s="475"/>
      <c r="V1429" s="475"/>
      <c r="W1429" s="475"/>
    </row>
    <row r="1430" spans="2:23" s="97" customFormat="1">
      <c r="B1430" s="96"/>
      <c r="H1430" s="96"/>
      <c r="J1430" s="1"/>
      <c r="K1430" s="1"/>
      <c r="L1430" s="1"/>
      <c r="O1430" s="475"/>
      <c r="P1430" s="475"/>
      <c r="Q1430" s="475"/>
      <c r="R1430" s="475"/>
      <c r="S1430" s="475"/>
      <c r="T1430" s="475"/>
      <c r="U1430" s="475"/>
      <c r="V1430" s="475"/>
      <c r="W1430" s="475"/>
    </row>
    <row r="1431" spans="2:23" s="97" customFormat="1">
      <c r="B1431" s="96"/>
      <c r="H1431" s="96"/>
      <c r="J1431" s="1"/>
      <c r="K1431" s="1"/>
      <c r="L1431" s="1"/>
      <c r="O1431" s="475"/>
      <c r="P1431" s="475"/>
      <c r="Q1431" s="475"/>
      <c r="R1431" s="475"/>
      <c r="S1431" s="475"/>
      <c r="T1431" s="475"/>
      <c r="U1431" s="475"/>
      <c r="V1431" s="475"/>
      <c r="W1431" s="475"/>
    </row>
    <row r="1432" spans="2:23" s="97" customFormat="1">
      <c r="B1432" s="96"/>
      <c r="H1432" s="96"/>
      <c r="J1432" s="1"/>
      <c r="K1432" s="1"/>
      <c r="L1432" s="1"/>
      <c r="O1432" s="475"/>
      <c r="P1432" s="475"/>
      <c r="Q1432" s="475"/>
      <c r="R1432" s="475"/>
      <c r="S1432" s="475"/>
      <c r="T1432" s="475"/>
      <c r="U1432" s="475"/>
      <c r="V1432" s="475"/>
      <c r="W1432" s="475"/>
    </row>
    <row r="1433" spans="2:23" s="97" customFormat="1">
      <c r="B1433" s="96"/>
      <c r="H1433" s="96"/>
      <c r="J1433" s="1"/>
      <c r="K1433" s="1"/>
      <c r="L1433" s="1"/>
      <c r="O1433" s="475"/>
      <c r="P1433" s="475"/>
      <c r="Q1433" s="475"/>
      <c r="R1433" s="475"/>
      <c r="S1433" s="475"/>
      <c r="T1433" s="475"/>
      <c r="U1433" s="475"/>
      <c r="V1433" s="475"/>
      <c r="W1433" s="475"/>
    </row>
    <row r="1434" spans="2:23" s="97" customFormat="1">
      <c r="B1434" s="96"/>
      <c r="H1434" s="96"/>
      <c r="J1434" s="1"/>
      <c r="K1434" s="1"/>
      <c r="L1434" s="1"/>
      <c r="O1434" s="475"/>
      <c r="P1434" s="475"/>
      <c r="Q1434" s="475"/>
      <c r="R1434" s="475"/>
      <c r="S1434" s="475"/>
      <c r="T1434" s="475"/>
      <c r="U1434" s="475"/>
      <c r="V1434" s="475"/>
      <c r="W1434" s="475"/>
    </row>
    <row r="1435" spans="2:23" s="97" customFormat="1">
      <c r="B1435" s="96"/>
      <c r="H1435" s="96"/>
      <c r="J1435" s="1"/>
      <c r="K1435" s="1"/>
      <c r="L1435" s="1"/>
      <c r="O1435" s="475"/>
      <c r="P1435" s="475"/>
      <c r="Q1435" s="475"/>
      <c r="R1435" s="475"/>
      <c r="S1435" s="475"/>
      <c r="T1435" s="475"/>
      <c r="U1435" s="475"/>
      <c r="V1435" s="475"/>
      <c r="W1435" s="475"/>
    </row>
    <row r="1436" spans="2:23" s="97" customFormat="1">
      <c r="B1436" s="96"/>
      <c r="H1436" s="96"/>
      <c r="J1436" s="1"/>
      <c r="K1436" s="1"/>
      <c r="L1436" s="1"/>
      <c r="O1436" s="475"/>
      <c r="P1436" s="475"/>
      <c r="Q1436" s="475"/>
      <c r="R1436" s="475"/>
      <c r="S1436" s="475"/>
      <c r="T1436" s="475"/>
      <c r="U1436" s="475"/>
      <c r="V1436" s="475"/>
      <c r="W1436" s="475"/>
    </row>
    <row r="1437" spans="2:23" s="97" customFormat="1">
      <c r="B1437" s="96"/>
      <c r="H1437" s="96"/>
      <c r="J1437" s="1"/>
      <c r="K1437" s="1"/>
      <c r="L1437" s="1"/>
      <c r="O1437" s="475"/>
      <c r="P1437" s="475"/>
      <c r="Q1437" s="475"/>
      <c r="R1437" s="475"/>
      <c r="S1437" s="475"/>
      <c r="T1437" s="475"/>
      <c r="U1437" s="475"/>
      <c r="V1437" s="475"/>
      <c r="W1437" s="475"/>
    </row>
    <row r="1438" spans="2:23" s="97" customFormat="1">
      <c r="B1438" s="96"/>
      <c r="H1438" s="96"/>
      <c r="J1438" s="1"/>
      <c r="K1438" s="1"/>
      <c r="L1438" s="1"/>
      <c r="O1438" s="475"/>
      <c r="P1438" s="475"/>
      <c r="Q1438" s="475"/>
      <c r="R1438" s="475"/>
      <c r="S1438" s="475"/>
      <c r="T1438" s="475"/>
      <c r="U1438" s="475"/>
      <c r="V1438" s="475"/>
      <c r="W1438" s="475"/>
    </row>
    <row r="1439" spans="2:23" s="97" customFormat="1">
      <c r="B1439" s="96"/>
      <c r="H1439" s="96"/>
      <c r="J1439" s="1"/>
      <c r="K1439" s="1"/>
      <c r="L1439" s="1"/>
      <c r="O1439" s="475"/>
      <c r="P1439" s="475"/>
      <c r="Q1439" s="475"/>
      <c r="R1439" s="475"/>
      <c r="S1439" s="475"/>
      <c r="T1439" s="475"/>
      <c r="U1439" s="475"/>
      <c r="V1439" s="475"/>
      <c r="W1439" s="475"/>
    </row>
    <row r="1440" spans="2:23" s="97" customFormat="1">
      <c r="B1440" s="96"/>
      <c r="H1440" s="96"/>
      <c r="J1440" s="1"/>
      <c r="K1440" s="1"/>
      <c r="L1440" s="1"/>
      <c r="O1440" s="475"/>
      <c r="P1440" s="475"/>
      <c r="Q1440" s="475"/>
      <c r="R1440" s="475"/>
      <c r="S1440" s="475"/>
      <c r="T1440" s="475"/>
      <c r="U1440" s="475"/>
      <c r="V1440" s="475"/>
      <c r="W1440" s="475"/>
    </row>
    <row r="1441" spans="2:23" s="97" customFormat="1">
      <c r="B1441" s="96"/>
      <c r="H1441" s="96"/>
      <c r="J1441" s="1"/>
      <c r="K1441" s="1"/>
      <c r="L1441" s="1"/>
      <c r="O1441" s="475"/>
      <c r="P1441" s="475"/>
      <c r="Q1441" s="475"/>
      <c r="R1441" s="475"/>
      <c r="S1441" s="475"/>
      <c r="T1441" s="475"/>
      <c r="U1441" s="475"/>
      <c r="V1441" s="475"/>
      <c r="W1441" s="475"/>
    </row>
    <row r="1442" spans="2:23" s="97" customFormat="1">
      <c r="B1442" s="96"/>
      <c r="H1442" s="96"/>
      <c r="J1442" s="1"/>
      <c r="K1442" s="1"/>
      <c r="L1442" s="1"/>
      <c r="O1442" s="475"/>
      <c r="P1442" s="475"/>
      <c r="Q1442" s="475"/>
      <c r="R1442" s="475"/>
      <c r="S1442" s="475"/>
      <c r="T1442" s="475"/>
      <c r="U1442" s="475"/>
      <c r="V1442" s="475"/>
      <c r="W1442" s="475"/>
    </row>
    <row r="1443" spans="2:23" s="97" customFormat="1">
      <c r="B1443" s="96"/>
      <c r="H1443" s="96"/>
      <c r="J1443" s="1"/>
      <c r="K1443" s="1"/>
      <c r="L1443" s="1"/>
      <c r="O1443" s="475"/>
      <c r="P1443" s="475"/>
      <c r="Q1443" s="475"/>
      <c r="R1443" s="475"/>
      <c r="S1443" s="475"/>
      <c r="T1443" s="475"/>
      <c r="U1443" s="475"/>
      <c r="V1443" s="475"/>
      <c r="W1443" s="475"/>
    </row>
    <row r="1444" spans="2:23" s="97" customFormat="1">
      <c r="B1444" s="96"/>
      <c r="H1444" s="96"/>
      <c r="J1444" s="1"/>
      <c r="K1444" s="1"/>
      <c r="L1444" s="1"/>
      <c r="O1444" s="475"/>
      <c r="P1444" s="475"/>
      <c r="Q1444" s="475"/>
      <c r="R1444" s="475"/>
      <c r="S1444" s="475"/>
      <c r="T1444" s="475"/>
      <c r="U1444" s="475"/>
      <c r="V1444" s="475"/>
      <c r="W1444" s="475"/>
    </row>
    <row r="1445" spans="2:23" s="97" customFormat="1">
      <c r="B1445" s="96"/>
      <c r="H1445" s="96"/>
      <c r="J1445" s="1"/>
      <c r="K1445" s="1"/>
      <c r="L1445" s="1"/>
      <c r="O1445" s="475"/>
      <c r="P1445" s="475"/>
      <c r="Q1445" s="475"/>
      <c r="R1445" s="475"/>
      <c r="S1445" s="475"/>
      <c r="T1445" s="475"/>
      <c r="U1445" s="475"/>
      <c r="V1445" s="475"/>
      <c r="W1445" s="475"/>
    </row>
    <row r="1446" spans="2:23" s="97" customFormat="1">
      <c r="B1446" s="96"/>
      <c r="H1446" s="96"/>
      <c r="J1446" s="1"/>
      <c r="K1446" s="1"/>
      <c r="L1446" s="1"/>
      <c r="O1446" s="475"/>
      <c r="P1446" s="475"/>
      <c r="Q1446" s="475"/>
      <c r="R1446" s="475"/>
      <c r="S1446" s="475"/>
      <c r="T1446" s="475"/>
      <c r="U1446" s="475"/>
      <c r="V1446" s="475"/>
      <c r="W1446" s="475"/>
    </row>
    <row r="1447" spans="2:23" s="97" customFormat="1">
      <c r="B1447" s="96"/>
      <c r="H1447" s="96"/>
      <c r="J1447" s="1"/>
      <c r="K1447" s="1"/>
      <c r="L1447" s="1"/>
      <c r="O1447" s="475"/>
      <c r="P1447" s="475"/>
      <c r="Q1447" s="475"/>
      <c r="R1447" s="475"/>
      <c r="S1447" s="475"/>
      <c r="T1447" s="475"/>
      <c r="U1447" s="475"/>
      <c r="V1447" s="475"/>
      <c r="W1447" s="475"/>
    </row>
    <row r="1448" spans="2:23" s="97" customFormat="1">
      <c r="B1448" s="96"/>
      <c r="H1448" s="96"/>
      <c r="J1448" s="1"/>
      <c r="K1448" s="1"/>
      <c r="L1448" s="1"/>
      <c r="O1448" s="475"/>
      <c r="P1448" s="475"/>
      <c r="Q1448" s="475"/>
      <c r="R1448" s="475"/>
      <c r="S1448" s="475"/>
      <c r="T1448" s="475"/>
      <c r="U1448" s="475"/>
      <c r="V1448" s="475"/>
      <c r="W1448" s="475"/>
    </row>
    <row r="1449" spans="2:23" s="97" customFormat="1">
      <c r="B1449" s="96"/>
      <c r="H1449" s="96"/>
      <c r="J1449" s="1"/>
      <c r="K1449" s="1"/>
      <c r="L1449" s="1"/>
      <c r="O1449" s="475"/>
      <c r="P1449" s="475"/>
      <c r="Q1449" s="475"/>
      <c r="R1449" s="475"/>
      <c r="S1449" s="475"/>
      <c r="T1449" s="475"/>
      <c r="U1449" s="475"/>
      <c r="V1449" s="475"/>
      <c r="W1449" s="475"/>
    </row>
    <row r="1450" spans="2:23" s="97" customFormat="1">
      <c r="B1450" s="96"/>
      <c r="H1450" s="96"/>
      <c r="J1450" s="1"/>
      <c r="K1450" s="1"/>
      <c r="L1450" s="1"/>
      <c r="O1450" s="475"/>
      <c r="P1450" s="475"/>
      <c r="Q1450" s="475"/>
      <c r="R1450" s="475"/>
      <c r="S1450" s="475"/>
      <c r="T1450" s="475"/>
      <c r="U1450" s="475"/>
      <c r="V1450" s="475"/>
      <c r="W1450" s="475"/>
    </row>
    <row r="1451" spans="2:23" s="97" customFormat="1">
      <c r="B1451" s="96"/>
      <c r="H1451" s="96"/>
      <c r="J1451" s="1"/>
      <c r="K1451" s="1"/>
      <c r="L1451" s="1"/>
      <c r="O1451" s="475"/>
      <c r="P1451" s="475"/>
      <c r="Q1451" s="475"/>
      <c r="R1451" s="475"/>
      <c r="S1451" s="475"/>
      <c r="T1451" s="475"/>
      <c r="U1451" s="475"/>
      <c r="V1451" s="475"/>
      <c r="W1451" s="475"/>
    </row>
    <row r="1452" spans="2:23" s="97" customFormat="1">
      <c r="B1452" s="96"/>
      <c r="H1452" s="96"/>
      <c r="J1452" s="1"/>
      <c r="K1452" s="1"/>
      <c r="L1452" s="1"/>
      <c r="O1452" s="475"/>
      <c r="P1452" s="475"/>
      <c r="Q1452" s="475"/>
      <c r="R1452" s="475"/>
      <c r="S1452" s="475"/>
      <c r="T1452" s="475"/>
      <c r="U1452" s="475"/>
      <c r="V1452" s="475"/>
      <c r="W1452" s="475"/>
    </row>
    <row r="1453" spans="2:23" s="97" customFormat="1">
      <c r="B1453" s="96"/>
      <c r="H1453" s="96"/>
      <c r="J1453" s="1"/>
      <c r="K1453" s="1"/>
      <c r="L1453" s="1"/>
      <c r="O1453" s="475"/>
      <c r="P1453" s="475"/>
      <c r="Q1453" s="475"/>
      <c r="R1453" s="475"/>
      <c r="S1453" s="475"/>
      <c r="T1453" s="475"/>
      <c r="U1453" s="475"/>
      <c r="V1453" s="475"/>
      <c r="W1453" s="475"/>
    </row>
    <row r="1454" spans="2:23" s="97" customFormat="1">
      <c r="B1454" s="96"/>
      <c r="H1454" s="96"/>
      <c r="J1454" s="1"/>
      <c r="K1454" s="1"/>
      <c r="L1454" s="1"/>
      <c r="O1454" s="475"/>
      <c r="P1454" s="475"/>
      <c r="Q1454" s="475"/>
      <c r="R1454" s="475"/>
      <c r="S1454" s="475"/>
      <c r="T1454" s="475"/>
      <c r="U1454" s="475"/>
      <c r="V1454" s="475"/>
      <c r="W1454" s="475"/>
    </row>
    <row r="1455" spans="2:23" s="97" customFormat="1">
      <c r="B1455" s="96"/>
      <c r="H1455" s="96"/>
      <c r="J1455" s="1"/>
      <c r="K1455" s="1"/>
      <c r="L1455" s="1"/>
      <c r="O1455" s="475"/>
      <c r="P1455" s="475"/>
      <c r="Q1455" s="475"/>
      <c r="R1455" s="475"/>
      <c r="S1455" s="475"/>
      <c r="T1455" s="475"/>
      <c r="U1455" s="475"/>
      <c r="V1455" s="475"/>
      <c r="W1455" s="475"/>
    </row>
    <row r="1456" spans="2:23" s="97" customFormat="1">
      <c r="B1456" s="96"/>
      <c r="H1456" s="96"/>
      <c r="J1456" s="1"/>
      <c r="K1456" s="1"/>
      <c r="L1456" s="1"/>
      <c r="O1456" s="475"/>
      <c r="P1456" s="475"/>
      <c r="Q1456" s="475"/>
      <c r="R1456" s="475"/>
      <c r="S1456" s="475"/>
      <c r="T1456" s="475"/>
      <c r="U1456" s="475"/>
      <c r="V1456" s="475"/>
      <c r="W1456" s="475"/>
    </row>
    <row r="1457" spans="2:23" s="97" customFormat="1">
      <c r="B1457" s="96"/>
      <c r="H1457" s="96"/>
      <c r="J1457" s="1"/>
      <c r="K1457" s="1"/>
      <c r="L1457" s="1"/>
      <c r="O1457" s="475"/>
      <c r="P1457" s="475"/>
      <c r="Q1457" s="475"/>
      <c r="R1457" s="475"/>
      <c r="S1457" s="475"/>
      <c r="T1457" s="475"/>
      <c r="U1457" s="475"/>
      <c r="V1457" s="475"/>
      <c r="W1457" s="475"/>
    </row>
    <row r="1458" spans="2:23" s="97" customFormat="1">
      <c r="B1458" s="96"/>
      <c r="H1458" s="96"/>
      <c r="J1458" s="1"/>
      <c r="K1458" s="1"/>
      <c r="L1458" s="1"/>
      <c r="O1458" s="475"/>
      <c r="P1458" s="475"/>
      <c r="Q1458" s="475"/>
      <c r="R1458" s="475"/>
      <c r="S1458" s="475"/>
      <c r="T1458" s="475"/>
      <c r="U1458" s="475"/>
      <c r="V1458" s="475"/>
      <c r="W1458" s="475"/>
    </row>
    <row r="1459" spans="2:23" s="97" customFormat="1">
      <c r="B1459" s="96"/>
      <c r="H1459" s="96"/>
      <c r="J1459" s="1"/>
      <c r="K1459" s="1"/>
      <c r="L1459" s="1"/>
      <c r="O1459" s="475"/>
      <c r="P1459" s="475"/>
      <c r="Q1459" s="475"/>
      <c r="R1459" s="475"/>
      <c r="S1459" s="475"/>
      <c r="T1459" s="475"/>
      <c r="U1459" s="475"/>
      <c r="V1459" s="475"/>
      <c r="W1459" s="475"/>
    </row>
    <row r="1460" spans="2:23" s="97" customFormat="1">
      <c r="B1460" s="96"/>
      <c r="H1460" s="96"/>
      <c r="J1460" s="1"/>
      <c r="K1460" s="1"/>
      <c r="L1460" s="1"/>
      <c r="O1460" s="475"/>
      <c r="P1460" s="475"/>
      <c r="Q1460" s="475"/>
      <c r="R1460" s="475"/>
      <c r="S1460" s="475"/>
      <c r="T1460" s="475"/>
      <c r="U1460" s="475"/>
      <c r="V1460" s="475"/>
      <c r="W1460" s="475"/>
    </row>
    <row r="1461" spans="2:23" s="97" customFormat="1">
      <c r="B1461" s="96"/>
      <c r="H1461" s="96"/>
      <c r="J1461" s="1"/>
      <c r="K1461" s="1"/>
      <c r="L1461" s="1"/>
      <c r="O1461" s="475"/>
      <c r="P1461" s="475"/>
      <c r="Q1461" s="475"/>
      <c r="R1461" s="475"/>
      <c r="S1461" s="475"/>
      <c r="T1461" s="475"/>
      <c r="U1461" s="475"/>
      <c r="V1461" s="475"/>
      <c r="W1461" s="475"/>
    </row>
    <row r="1462" spans="2:23" s="97" customFormat="1">
      <c r="B1462" s="96"/>
      <c r="H1462" s="96"/>
      <c r="J1462" s="1"/>
      <c r="K1462" s="1"/>
      <c r="L1462" s="1"/>
      <c r="O1462" s="475"/>
      <c r="P1462" s="475"/>
      <c r="Q1462" s="475"/>
      <c r="R1462" s="475"/>
      <c r="S1462" s="475"/>
      <c r="T1462" s="475"/>
      <c r="U1462" s="475"/>
      <c r="V1462" s="475"/>
      <c r="W1462" s="475"/>
    </row>
    <row r="1463" spans="2:23" s="97" customFormat="1">
      <c r="B1463" s="96"/>
      <c r="H1463" s="96"/>
      <c r="J1463" s="1"/>
      <c r="K1463" s="1"/>
      <c r="L1463" s="1"/>
      <c r="O1463" s="475"/>
      <c r="P1463" s="475"/>
      <c r="Q1463" s="475"/>
      <c r="R1463" s="475"/>
      <c r="S1463" s="475"/>
      <c r="T1463" s="475"/>
      <c r="U1463" s="475"/>
      <c r="V1463" s="475"/>
      <c r="W1463" s="475"/>
    </row>
    <row r="1464" spans="2:23" s="97" customFormat="1">
      <c r="B1464" s="96"/>
      <c r="H1464" s="96"/>
      <c r="J1464" s="1"/>
      <c r="K1464" s="1"/>
      <c r="L1464" s="1"/>
      <c r="O1464" s="475"/>
      <c r="P1464" s="475"/>
      <c r="Q1464" s="475"/>
      <c r="R1464" s="475"/>
      <c r="S1464" s="475"/>
      <c r="T1464" s="475"/>
      <c r="U1464" s="475"/>
      <c r="V1464" s="475"/>
      <c r="W1464" s="475"/>
    </row>
    <row r="1465" spans="2:23" s="97" customFormat="1">
      <c r="B1465" s="96"/>
      <c r="H1465" s="96"/>
      <c r="J1465" s="1"/>
      <c r="K1465" s="1"/>
      <c r="L1465" s="1"/>
      <c r="O1465" s="475"/>
      <c r="P1465" s="475"/>
      <c r="Q1465" s="475"/>
      <c r="R1465" s="475"/>
      <c r="S1465" s="475"/>
      <c r="T1465" s="475"/>
      <c r="U1465" s="475"/>
      <c r="V1465" s="475"/>
      <c r="W1465" s="475"/>
    </row>
    <row r="1466" spans="2:23" s="97" customFormat="1">
      <c r="B1466" s="96"/>
      <c r="H1466" s="96"/>
      <c r="J1466" s="1"/>
      <c r="K1466" s="1"/>
      <c r="L1466" s="1"/>
      <c r="O1466" s="475"/>
      <c r="P1466" s="475"/>
      <c r="Q1466" s="475"/>
      <c r="R1466" s="475"/>
      <c r="S1466" s="475"/>
      <c r="T1466" s="475"/>
      <c r="U1466" s="475"/>
      <c r="V1466" s="475"/>
      <c r="W1466" s="475"/>
    </row>
    <row r="1467" spans="2:23" s="97" customFormat="1">
      <c r="B1467" s="96"/>
      <c r="H1467" s="96"/>
      <c r="J1467" s="1"/>
      <c r="K1467" s="1"/>
      <c r="L1467" s="1"/>
      <c r="O1467" s="475"/>
      <c r="P1467" s="475"/>
      <c r="Q1467" s="475"/>
      <c r="R1467" s="475"/>
      <c r="S1467" s="475"/>
      <c r="T1467" s="475"/>
      <c r="U1467" s="475"/>
      <c r="V1467" s="475"/>
      <c r="W1467" s="475"/>
    </row>
    <row r="1468" spans="2:23" s="97" customFormat="1">
      <c r="B1468" s="96"/>
      <c r="H1468" s="96"/>
      <c r="J1468" s="1"/>
      <c r="K1468" s="1"/>
      <c r="L1468" s="1"/>
      <c r="O1468" s="475"/>
      <c r="P1468" s="475"/>
      <c r="Q1468" s="475"/>
      <c r="R1468" s="475"/>
      <c r="S1468" s="475"/>
      <c r="T1468" s="475"/>
      <c r="U1468" s="475"/>
      <c r="V1468" s="475"/>
      <c r="W1468" s="475"/>
    </row>
    <row r="1469" spans="2:23" s="97" customFormat="1">
      <c r="B1469" s="96"/>
      <c r="H1469" s="96"/>
      <c r="J1469" s="1"/>
      <c r="K1469" s="1"/>
      <c r="L1469" s="1"/>
      <c r="O1469" s="475"/>
      <c r="P1469" s="475"/>
      <c r="Q1469" s="475"/>
      <c r="R1469" s="475"/>
      <c r="S1469" s="475"/>
      <c r="T1469" s="475"/>
      <c r="U1469" s="475"/>
      <c r="V1469" s="475"/>
      <c r="W1469" s="475"/>
    </row>
    <row r="1470" spans="2:23" s="97" customFormat="1">
      <c r="B1470" s="96"/>
      <c r="H1470" s="96"/>
      <c r="J1470" s="1"/>
      <c r="K1470" s="1"/>
      <c r="L1470" s="1"/>
      <c r="O1470" s="475"/>
      <c r="P1470" s="475"/>
      <c r="Q1470" s="475"/>
      <c r="R1470" s="475"/>
      <c r="S1470" s="475"/>
      <c r="T1470" s="475"/>
      <c r="U1470" s="475"/>
      <c r="V1470" s="475"/>
      <c r="W1470" s="475"/>
    </row>
    <row r="1471" spans="2:23" s="97" customFormat="1">
      <c r="B1471" s="96"/>
      <c r="H1471" s="96"/>
      <c r="J1471" s="1"/>
      <c r="K1471" s="1"/>
      <c r="L1471" s="1"/>
      <c r="O1471" s="475"/>
      <c r="P1471" s="475"/>
      <c r="Q1471" s="475"/>
      <c r="R1471" s="475"/>
      <c r="S1471" s="475"/>
      <c r="T1471" s="475"/>
      <c r="U1471" s="475"/>
      <c r="V1471" s="475"/>
      <c r="W1471" s="475"/>
    </row>
    <row r="1472" spans="2:23" s="97" customFormat="1">
      <c r="B1472" s="96"/>
      <c r="H1472" s="96"/>
      <c r="J1472" s="1"/>
      <c r="K1472" s="1"/>
      <c r="L1472" s="1"/>
      <c r="O1472" s="475"/>
      <c r="P1472" s="475"/>
      <c r="Q1472" s="475"/>
      <c r="R1472" s="475"/>
      <c r="S1472" s="475"/>
      <c r="T1472" s="475"/>
      <c r="U1472" s="475"/>
      <c r="V1472" s="475"/>
      <c r="W1472" s="475"/>
    </row>
    <row r="1473" spans="2:23" s="97" customFormat="1">
      <c r="B1473" s="96"/>
      <c r="H1473" s="96"/>
      <c r="J1473" s="1"/>
      <c r="K1473" s="1"/>
      <c r="L1473" s="1"/>
      <c r="O1473" s="475"/>
      <c r="P1473" s="475"/>
      <c r="Q1473" s="475"/>
      <c r="R1473" s="475"/>
      <c r="S1473" s="475"/>
      <c r="T1473" s="475"/>
      <c r="U1473" s="475"/>
      <c r="V1473" s="475"/>
      <c r="W1473" s="475"/>
    </row>
    <row r="1474" spans="2:23" s="97" customFormat="1">
      <c r="B1474" s="96"/>
      <c r="H1474" s="96"/>
      <c r="J1474" s="1"/>
      <c r="K1474" s="1"/>
      <c r="L1474" s="1"/>
      <c r="O1474" s="475"/>
      <c r="P1474" s="475"/>
      <c r="Q1474" s="475"/>
      <c r="R1474" s="475"/>
      <c r="S1474" s="475"/>
      <c r="T1474" s="475"/>
      <c r="U1474" s="475"/>
      <c r="V1474" s="475"/>
      <c r="W1474" s="475"/>
    </row>
    <row r="1475" spans="2:23" s="97" customFormat="1">
      <c r="B1475" s="96"/>
      <c r="H1475" s="96"/>
      <c r="J1475" s="1"/>
      <c r="K1475" s="1"/>
      <c r="L1475" s="1"/>
      <c r="O1475" s="475"/>
      <c r="P1475" s="475"/>
      <c r="Q1475" s="475"/>
      <c r="R1475" s="475"/>
      <c r="S1475" s="475"/>
      <c r="T1475" s="475"/>
      <c r="U1475" s="475"/>
      <c r="V1475" s="475"/>
      <c r="W1475" s="475"/>
    </row>
    <row r="1476" spans="2:23" s="97" customFormat="1">
      <c r="B1476" s="96"/>
      <c r="H1476" s="96"/>
      <c r="J1476" s="1"/>
      <c r="K1476" s="1"/>
      <c r="L1476" s="1"/>
      <c r="O1476" s="475"/>
      <c r="P1476" s="475"/>
      <c r="Q1476" s="475"/>
      <c r="R1476" s="475"/>
      <c r="S1476" s="475"/>
      <c r="T1476" s="475"/>
      <c r="U1476" s="475"/>
      <c r="V1476" s="475"/>
      <c r="W1476" s="475"/>
    </row>
    <row r="1477" spans="2:23" s="97" customFormat="1">
      <c r="B1477" s="96"/>
      <c r="H1477" s="96"/>
      <c r="J1477" s="1"/>
      <c r="K1477" s="1"/>
      <c r="L1477" s="1"/>
      <c r="O1477" s="475"/>
      <c r="P1477" s="475"/>
      <c r="Q1477" s="475"/>
      <c r="R1477" s="475"/>
      <c r="S1477" s="475"/>
      <c r="T1477" s="475"/>
      <c r="U1477" s="475"/>
      <c r="V1477" s="475"/>
      <c r="W1477" s="475"/>
    </row>
    <row r="1478" spans="2:23" s="97" customFormat="1">
      <c r="B1478" s="96"/>
      <c r="H1478" s="96"/>
      <c r="J1478" s="1"/>
      <c r="K1478" s="1"/>
      <c r="L1478" s="1"/>
      <c r="O1478" s="475"/>
      <c r="P1478" s="475"/>
      <c r="Q1478" s="475"/>
      <c r="R1478" s="475"/>
      <c r="S1478" s="475"/>
      <c r="T1478" s="475"/>
      <c r="U1478" s="475"/>
      <c r="V1478" s="475"/>
      <c r="W1478" s="475"/>
    </row>
    <row r="1479" spans="2:23" s="97" customFormat="1">
      <c r="B1479" s="96"/>
      <c r="H1479" s="96"/>
      <c r="J1479" s="1"/>
      <c r="K1479" s="1"/>
      <c r="L1479" s="1"/>
      <c r="O1479" s="475"/>
      <c r="P1479" s="475"/>
      <c r="Q1479" s="475"/>
      <c r="R1479" s="475"/>
      <c r="S1479" s="475"/>
      <c r="T1479" s="475"/>
      <c r="U1479" s="475"/>
      <c r="V1479" s="475"/>
      <c r="W1479" s="475"/>
    </row>
    <row r="1480" spans="2:23" s="97" customFormat="1">
      <c r="B1480" s="96"/>
      <c r="H1480" s="96"/>
      <c r="J1480" s="1"/>
      <c r="K1480" s="1"/>
      <c r="L1480" s="1"/>
      <c r="O1480" s="475"/>
      <c r="P1480" s="475"/>
      <c r="Q1480" s="475"/>
      <c r="R1480" s="475"/>
      <c r="S1480" s="475"/>
      <c r="T1480" s="475"/>
      <c r="U1480" s="475"/>
      <c r="V1480" s="475"/>
      <c r="W1480" s="475"/>
    </row>
    <row r="1481" spans="2:23" s="97" customFormat="1">
      <c r="B1481" s="96"/>
      <c r="H1481" s="96"/>
      <c r="J1481" s="1"/>
      <c r="K1481" s="1"/>
      <c r="L1481" s="1"/>
      <c r="O1481" s="475"/>
      <c r="P1481" s="475"/>
      <c r="Q1481" s="475"/>
      <c r="R1481" s="475"/>
      <c r="S1481" s="475"/>
      <c r="T1481" s="475"/>
      <c r="U1481" s="475"/>
      <c r="V1481" s="475"/>
      <c r="W1481" s="475"/>
    </row>
    <row r="1482" spans="2:23" s="97" customFormat="1">
      <c r="B1482" s="96"/>
      <c r="H1482" s="96"/>
      <c r="J1482" s="1"/>
      <c r="K1482" s="1"/>
      <c r="L1482" s="1"/>
      <c r="O1482" s="475"/>
      <c r="P1482" s="475"/>
      <c r="Q1482" s="475"/>
      <c r="R1482" s="475"/>
      <c r="S1482" s="475"/>
      <c r="T1482" s="475"/>
      <c r="U1482" s="475"/>
      <c r="V1482" s="475"/>
      <c r="W1482" s="475"/>
    </row>
    <row r="1483" spans="2:23" s="97" customFormat="1">
      <c r="B1483" s="96"/>
      <c r="H1483" s="96"/>
      <c r="J1483" s="1"/>
      <c r="K1483" s="1"/>
      <c r="L1483" s="1"/>
      <c r="O1483" s="475"/>
      <c r="P1483" s="475"/>
      <c r="Q1483" s="475"/>
      <c r="R1483" s="475"/>
      <c r="S1483" s="475"/>
      <c r="T1483" s="475"/>
      <c r="U1483" s="475"/>
      <c r="V1483" s="475"/>
      <c r="W1483" s="475"/>
    </row>
    <row r="1484" spans="2:23" s="97" customFormat="1">
      <c r="B1484" s="96"/>
      <c r="H1484" s="96"/>
      <c r="J1484" s="1"/>
      <c r="K1484" s="1"/>
      <c r="L1484" s="1"/>
      <c r="O1484" s="475"/>
      <c r="P1484" s="475"/>
      <c r="Q1484" s="475"/>
      <c r="R1484" s="475"/>
      <c r="S1484" s="475"/>
      <c r="T1484" s="475"/>
      <c r="U1484" s="475"/>
      <c r="V1484" s="475"/>
      <c r="W1484" s="475"/>
    </row>
    <row r="1485" spans="2:23" s="97" customFormat="1">
      <c r="B1485" s="96"/>
      <c r="H1485" s="96"/>
      <c r="J1485" s="1"/>
      <c r="K1485" s="1"/>
      <c r="L1485" s="1"/>
      <c r="O1485" s="475"/>
      <c r="P1485" s="475"/>
      <c r="Q1485" s="475"/>
      <c r="R1485" s="475"/>
      <c r="S1485" s="475"/>
      <c r="T1485" s="475"/>
      <c r="U1485" s="475"/>
      <c r="V1485" s="475"/>
      <c r="W1485" s="475"/>
    </row>
    <row r="1486" spans="2:23" s="97" customFormat="1">
      <c r="B1486" s="96"/>
      <c r="H1486" s="96"/>
      <c r="J1486" s="1"/>
      <c r="K1486" s="1"/>
      <c r="L1486" s="1"/>
      <c r="O1486" s="475"/>
      <c r="P1486" s="475"/>
      <c r="Q1486" s="475"/>
      <c r="R1486" s="475"/>
      <c r="S1486" s="475"/>
      <c r="T1486" s="475"/>
      <c r="U1486" s="475"/>
      <c r="V1486" s="475"/>
      <c r="W1486" s="475"/>
    </row>
    <row r="1487" spans="2:23" s="97" customFormat="1">
      <c r="B1487" s="96"/>
      <c r="H1487" s="96"/>
      <c r="J1487" s="1"/>
      <c r="K1487" s="1"/>
      <c r="L1487" s="1"/>
      <c r="O1487" s="475"/>
      <c r="P1487" s="475"/>
      <c r="Q1487" s="475"/>
      <c r="R1487" s="475"/>
      <c r="S1487" s="475"/>
      <c r="T1487" s="475"/>
      <c r="U1487" s="475"/>
      <c r="V1487" s="475"/>
      <c r="W1487" s="475"/>
    </row>
    <row r="1488" spans="2:23" s="97" customFormat="1">
      <c r="B1488" s="96"/>
      <c r="H1488" s="96"/>
      <c r="J1488" s="1"/>
      <c r="K1488" s="1"/>
      <c r="L1488" s="1"/>
      <c r="O1488" s="475"/>
      <c r="P1488" s="475"/>
      <c r="Q1488" s="475"/>
      <c r="R1488" s="475"/>
      <c r="S1488" s="475"/>
      <c r="T1488" s="475"/>
      <c r="U1488" s="475"/>
      <c r="V1488" s="475"/>
      <c r="W1488" s="475"/>
    </row>
    <row r="1489" spans="2:23" s="97" customFormat="1">
      <c r="B1489" s="96"/>
      <c r="H1489" s="96"/>
      <c r="J1489" s="1"/>
      <c r="K1489" s="1"/>
      <c r="L1489" s="1"/>
      <c r="O1489" s="475"/>
      <c r="P1489" s="475"/>
      <c r="Q1489" s="475"/>
      <c r="R1489" s="475"/>
      <c r="S1489" s="475"/>
      <c r="T1489" s="475"/>
      <c r="U1489" s="475"/>
      <c r="V1489" s="475"/>
      <c r="W1489" s="475"/>
    </row>
    <row r="1490" spans="2:23" s="97" customFormat="1">
      <c r="B1490" s="96"/>
      <c r="H1490" s="96"/>
      <c r="J1490" s="1"/>
      <c r="K1490" s="1"/>
      <c r="L1490" s="1"/>
      <c r="O1490" s="475"/>
      <c r="P1490" s="475"/>
      <c r="Q1490" s="475"/>
      <c r="R1490" s="475"/>
      <c r="S1490" s="475"/>
      <c r="T1490" s="475"/>
      <c r="U1490" s="475"/>
      <c r="V1490" s="475"/>
      <c r="W1490" s="475"/>
    </row>
    <row r="1491" spans="2:23" s="97" customFormat="1">
      <c r="B1491" s="96"/>
      <c r="H1491" s="96"/>
      <c r="J1491" s="1"/>
      <c r="K1491" s="1"/>
      <c r="L1491" s="1"/>
      <c r="O1491" s="475"/>
      <c r="P1491" s="475"/>
      <c r="Q1491" s="475"/>
      <c r="R1491" s="475"/>
      <c r="S1491" s="475"/>
      <c r="T1491" s="475"/>
      <c r="U1491" s="475"/>
      <c r="V1491" s="475"/>
      <c r="W1491" s="475"/>
    </row>
    <row r="1492" spans="2:23" s="97" customFormat="1">
      <c r="B1492" s="96"/>
      <c r="H1492" s="96"/>
      <c r="J1492" s="1"/>
      <c r="K1492" s="1"/>
      <c r="L1492" s="1"/>
      <c r="O1492" s="475"/>
      <c r="P1492" s="475"/>
      <c r="Q1492" s="475"/>
      <c r="R1492" s="475"/>
      <c r="S1492" s="475"/>
      <c r="T1492" s="475"/>
      <c r="U1492" s="475"/>
      <c r="V1492" s="475"/>
      <c r="W1492" s="475"/>
    </row>
    <row r="1493" spans="2:23" s="97" customFormat="1">
      <c r="B1493" s="96"/>
      <c r="H1493" s="96"/>
      <c r="J1493" s="1"/>
      <c r="K1493" s="1"/>
      <c r="L1493" s="1"/>
      <c r="O1493" s="475"/>
      <c r="P1493" s="475"/>
      <c r="Q1493" s="475"/>
      <c r="R1493" s="475"/>
      <c r="S1493" s="475"/>
      <c r="T1493" s="475"/>
      <c r="U1493" s="475"/>
      <c r="V1493" s="475"/>
      <c r="W1493" s="475"/>
    </row>
    <row r="1494" spans="2:23" s="97" customFormat="1">
      <c r="B1494" s="96"/>
      <c r="H1494" s="96"/>
      <c r="J1494" s="1"/>
      <c r="K1494" s="1"/>
      <c r="L1494" s="1"/>
      <c r="O1494" s="475"/>
      <c r="P1494" s="475"/>
      <c r="Q1494" s="475"/>
      <c r="R1494" s="475"/>
      <c r="S1494" s="475"/>
      <c r="T1494" s="475"/>
      <c r="U1494" s="475"/>
      <c r="V1494" s="475"/>
      <c r="W1494" s="475"/>
    </row>
    <row r="1495" spans="2:23" s="97" customFormat="1">
      <c r="B1495" s="96"/>
      <c r="H1495" s="96"/>
      <c r="J1495" s="1"/>
      <c r="K1495" s="1"/>
      <c r="L1495" s="1"/>
      <c r="O1495" s="475"/>
      <c r="P1495" s="475"/>
      <c r="Q1495" s="475"/>
      <c r="R1495" s="475"/>
      <c r="S1495" s="475"/>
      <c r="T1495" s="475"/>
      <c r="U1495" s="475"/>
      <c r="V1495" s="475"/>
      <c r="W1495" s="475"/>
    </row>
    <row r="1496" spans="2:23" s="97" customFormat="1">
      <c r="B1496" s="96"/>
      <c r="H1496" s="96"/>
      <c r="J1496" s="1"/>
      <c r="K1496" s="1"/>
      <c r="L1496" s="1"/>
      <c r="O1496" s="475"/>
      <c r="P1496" s="475"/>
      <c r="Q1496" s="475"/>
      <c r="R1496" s="475"/>
      <c r="S1496" s="475"/>
      <c r="T1496" s="475"/>
      <c r="U1496" s="475"/>
      <c r="V1496" s="475"/>
      <c r="W1496" s="475"/>
    </row>
    <row r="1497" spans="2:23" s="97" customFormat="1">
      <c r="B1497" s="96"/>
      <c r="H1497" s="96"/>
      <c r="J1497" s="1"/>
      <c r="K1497" s="1"/>
      <c r="L1497" s="1"/>
      <c r="O1497" s="475"/>
      <c r="P1497" s="475"/>
      <c r="Q1497" s="475"/>
      <c r="R1497" s="475"/>
      <c r="S1497" s="475"/>
      <c r="T1497" s="475"/>
      <c r="U1497" s="475"/>
      <c r="V1497" s="475"/>
      <c r="W1497" s="475"/>
    </row>
    <row r="1498" spans="2:23" s="97" customFormat="1">
      <c r="B1498" s="96"/>
      <c r="H1498" s="96"/>
      <c r="J1498" s="1"/>
      <c r="K1498" s="1"/>
      <c r="L1498" s="1"/>
      <c r="O1498" s="475"/>
      <c r="P1498" s="475"/>
      <c r="Q1498" s="475"/>
      <c r="R1498" s="475"/>
      <c r="S1498" s="475"/>
      <c r="T1498" s="475"/>
      <c r="U1498" s="475"/>
      <c r="V1498" s="475"/>
      <c r="W1498" s="475"/>
    </row>
    <row r="1499" spans="2:23" s="97" customFormat="1">
      <c r="B1499" s="96"/>
      <c r="H1499" s="96"/>
      <c r="J1499" s="1"/>
      <c r="K1499" s="1"/>
      <c r="L1499" s="1"/>
      <c r="O1499" s="475"/>
      <c r="P1499" s="475"/>
      <c r="Q1499" s="475"/>
      <c r="R1499" s="475"/>
      <c r="S1499" s="475"/>
      <c r="T1499" s="475"/>
      <c r="U1499" s="475"/>
      <c r="V1499" s="475"/>
      <c r="W1499" s="475"/>
    </row>
    <row r="1500" spans="2:23" s="97" customFormat="1">
      <c r="B1500" s="96"/>
      <c r="H1500" s="96"/>
      <c r="J1500" s="1"/>
      <c r="K1500" s="1"/>
      <c r="L1500" s="1"/>
      <c r="O1500" s="475"/>
      <c r="P1500" s="475"/>
      <c r="Q1500" s="475"/>
      <c r="R1500" s="475"/>
      <c r="S1500" s="475"/>
      <c r="T1500" s="475"/>
      <c r="U1500" s="475"/>
      <c r="V1500" s="475"/>
      <c r="W1500" s="475"/>
    </row>
    <row r="1501" spans="2:23" s="97" customFormat="1">
      <c r="B1501" s="96"/>
      <c r="H1501" s="96"/>
      <c r="J1501" s="1"/>
      <c r="K1501" s="1"/>
      <c r="L1501" s="1"/>
      <c r="O1501" s="475"/>
      <c r="P1501" s="475"/>
      <c r="Q1501" s="475"/>
      <c r="R1501" s="475"/>
      <c r="S1501" s="475"/>
      <c r="T1501" s="475"/>
      <c r="U1501" s="475"/>
      <c r="V1501" s="475"/>
      <c r="W1501" s="475"/>
    </row>
    <row r="1502" spans="2:23" s="97" customFormat="1">
      <c r="B1502" s="96"/>
      <c r="H1502" s="96"/>
      <c r="J1502" s="1"/>
      <c r="K1502" s="1"/>
      <c r="L1502" s="1"/>
      <c r="O1502" s="475"/>
      <c r="P1502" s="475"/>
      <c r="Q1502" s="475"/>
      <c r="R1502" s="475"/>
      <c r="S1502" s="475"/>
      <c r="T1502" s="475"/>
      <c r="U1502" s="475"/>
      <c r="V1502" s="475"/>
      <c r="W1502" s="475"/>
    </row>
    <row r="1503" spans="2:23" s="97" customFormat="1">
      <c r="B1503" s="96"/>
      <c r="H1503" s="96"/>
      <c r="J1503" s="1"/>
      <c r="K1503" s="1"/>
      <c r="L1503" s="1"/>
      <c r="O1503" s="475"/>
      <c r="P1503" s="475"/>
      <c r="Q1503" s="475"/>
      <c r="R1503" s="475"/>
      <c r="S1503" s="475"/>
      <c r="T1503" s="475"/>
      <c r="U1503" s="475"/>
      <c r="V1503" s="475"/>
      <c r="W1503" s="475"/>
    </row>
    <row r="1504" spans="2:23" s="97" customFormat="1">
      <c r="B1504" s="96"/>
      <c r="H1504" s="96"/>
      <c r="J1504" s="1"/>
      <c r="K1504" s="1"/>
      <c r="L1504" s="1"/>
      <c r="O1504" s="475"/>
      <c r="P1504" s="475"/>
      <c r="Q1504" s="475"/>
      <c r="R1504" s="475"/>
      <c r="S1504" s="475"/>
      <c r="T1504" s="475"/>
      <c r="U1504" s="475"/>
      <c r="V1504" s="475"/>
      <c r="W1504" s="475"/>
    </row>
    <row r="1505" spans="2:23" s="97" customFormat="1">
      <c r="B1505" s="96"/>
      <c r="H1505" s="96"/>
      <c r="J1505" s="1"/>
      <c r="K1505" s="1"/>
      <c r="L1505" s="1"/>
      <c r="O1505" s="475"/>
      <c r="P1505" s="475"/>
      <c r="Q1505" s="475"/>
      <c r="R1505" s="475"/>
      <c r="S1505" s="475"/>
      <c r="T1505" s="475"/>
      <c r="U1505" s="475"/>
      <c r="V1505" s="475"/>
      <c r="W1505" s="475"/>
    </row>
    <row r="1506" spans="2:23" s="97" customFormat="1">
      <c r="B1506" s="96"/>
      <c r="H1506" s="96"/>
      <c r="J1506" s="1"/>
      <c r="K1506" s="1"/>
      <c r="L1506" s="1"/>
      <c r="O1506" s="475"/>
      <c r="P1506" s="475"/>
      <c r="Q1506" s="475"/>
      <c r="R1506" s="475"/>
      <c r="S1506" s="475"/>
      <c r="T1506" s="475"/>
      <c r="U1506" s="475"/>
      <c r="V1506" s="475"/>
      <c r="W1506" s="475"/>
    </row>
    <row r="1507" spans="2:23" s="97" customFormat="1">
      <c r="B1507" s="96"/>
      <c r="H1507" s="96"/>
      <c r="J1507" s="1"/>
      <c r="K1507" s="1"/>
      <c r="L1507" s="1"/>
      <c r="O1507" s="475"/>
      <c r="P1507" s="475"/>
      <c r="Q1507" s="475"/>
      <c r="R1507" s="475"/>
      <c r="S1507" s="475"/>
      <c r="T1507" s="475"/>
      <c r="U1507" s="475"/>
      <c r="V1507" s="475"/>
      <c r="W1507" s="475"/>
    </row>
    <row r="1508" spans="2:23" s="97" customFormat="1">
      <c r="B1508" s="96"/>
      <c r="H1508" s="96"/>
      <c r="J1508" s="1"/>
      <c r="K1508" s="1"/>
      <c r="L1508" s="1"/>
      <c r="O1508" s="475"/>
      <c r="P1508" s="475"/>
      <c r="Q1508" s="475"/>
      <c r="R1508" s="475"/>
      <c r="S1508" s="475"/>
      <c r="T1508" s="475"/>
      <c r="U1508" s="475"/>
      <c r="V1508" s="475"/>
      <c r="W1508" s="475"/>
    </row>
    <row r="1509" spans="2:23" s="97" customFormat="1">
      <c r="B1509" s="96"/>
      <c r="H1509" s="96"/>
      <c r="J1509" s="1"/>
      <c r="K1509" s="1"/>
      <c r="L1509" s="1"/>
      <c r="O1509" s="475"/>
      <c r="P1509" s="475"/>
      <c r="Q1509" s="475"/>
      <c r="R1509" s="475"/>
      <c r="S1509" s="475"/>
      <c r="T1509" s="475"/>
      <c r="U1509" s="475"/>
      <c r="V1509" s="475"/>
      <c r="W1509" s="475"/>
    </row>
    <row r="1510" spans="2:23" s="97" customFormat="1">
      <c r="B1510" s="96"/>
      <c r="H1510" s="96"/>
      <c r="J1510" s="1"/>
      <c r="K1510" s="1"/>
      <c r="L1510" s="1"/>
      <c r="O1510" s="475"/>
      <c r="P1510" s="475"/>
      <c r="Q1510" s="475"/>
      <c r="R1510" s="475"/>
      <c r="S1510" s="475"/>
      <c r="T1510" s="475"/>
      <c r="U1510" s="475"/>
      <c r="V1510" s="475"/>
      <c r="W1510" s="475"/>
    </row>
    <row r="1511" spans="2:23" s="97" customFormat="1">
      <c r="B1511" s="96"/>
      <c r="H1511" s="96"/>
      <c r="J1511" s="1"/>
      <c r="K1511" s="1"/>
      <c r="L1511" s="1"/>
      <c r="O1511" s="475"/>
      <c r="P1511" s="475"/>
      <c r="Q1511" s="475"/>
      <c r="R1511" s="475"/>
      <c r="S1511" s="475"/>
      <c r="T1511" s="475"/>
      <c r="U1511" s="475"/>
      <c r="V1511" s="475"/>
      <c r="W1511" s="475"/>
    </row>
    <row r="1512" spans="2:23" s="97" customFormat="1">
      <c r="B1512" s="96"/>
      <c r="H1512" s="96"/>
      <c r="J1512" s="1"/>
      <c r="K1512" s="1"/>
      <c r="L1512" s="1"/>
      <c r="O1512" s="475"/>
      <c r="P1512" s="475"/>
      <c r="Q1512" s="475"/>
      <c r="R1512" s="475"/>
      <c r="S1512" s="475"/>
      <c r="T1512" s="475"/>
      <c r="U1512" s="475"/>
      <c r="V1512" s="475"/>
      <c r="W1512" s="475"/>
    </row>
    <row r="1513" spans="2:23" s="97" customFormat="1">
      <c r="B1513" s="96"/>
      <c r="H1513" s="96"/>
      <c r="J1513" s="1"/>
      <c r="K1513" s="1"/>
      <c r="L1513" s="1"/>
      <c r="O1513" s="475"/>
      <c r="P1513" s="475"/>
      <c r="Q1513" s="475"/>
      <c r="R1513" s="475"/>
      <c r="S1513" s="475"/>
      <c r="T1513" s="475"/>
      <c r="U1513" s="475"/>
      <c r="V1513" s="475"/>
      <c r="W1513" s="475"/>
    </row>
    <row r="1514" spans="2:23" s="97" customFormat="1">
      <c r="B1514" s="96"/>
      <c r="H1514" s="96"/>
      <c r="J1514" s="1"/>
      <c r="K1514" s="1"/>
      <c r="L1514" s="1"/>
      <c r="O1514" s="475"/>
      <c r="P1514" s="475"/>
      <c r="Q1514" s="475"/>
      <c r="R1514" s="475"/>
      <c r="S1514" s="475"/>
      <c r="T1514" s="475"/>
      <c r="U1514" s="475"/>
      <c r="V1514" s="475"/>
      <c r="W1514" s="475"/>
    </row>
    <row r="1515" spans="2:23" s="97" customFormat="1">
      <c r="B1515" s="96"/>
      <c r="H1515" s="96"/>
      <c r="J1515" s="1"/>
      <c r="K1515" s="1"/>
      <c r="L1515" s="1"/>
      <c r="O1515" s="475"/>
      <c r="P1515" s="475"/>
      <c r="Q1515" s="475"/>
      <c r="R1515" s="475"/>
      <c r="S1515" s="475"/>
      <c r="T1515" s="475"/>
      <c r="U1515" s="475"/>
      <c r="V1515" s="475"/>
      <c r="W1515" s="475"/>
    </row>
    <row r="1516" spans="2:23" s="97" customFormat="1">
      <c r="B1516" s="96"/>
      <c r="H1516" s="96"/>
      <c r="J1516" s="1"/>
      <c r="K1516" s="1"/>
      <c r="L1516" s="1"/>
      <c r="O1516" s="475"/>
      <c r="P1516" s="475"/>
      <c r="Q1516" s="475"/>
      <c r="R1516" s="475"/>
      <c r="S1516" s="475"/>
      <c r="T1516" s="475"/>
      <c r="U1516" s="475"/>
      <c r="V1516" s="475"/>
      <c r="W1516" s="475"/>
    </row>
    <row r="1517" spans="2:23" s="97" customFormat="1">
      <c r="B1517" s="96"/>
      <c r="H1517" s="96"/>
      <c r="J1517" s="1"/>
      <c r="K1517" s="1"/>
      <c r="L1517" s="1"/>
      <c r="O1517" s="475"/>
      <c r="P1517" s="475"/>
      <c r="Q1517" s="475"/>
      <c r="R1517" s="475"/>
      <c r="S1517" s="475"/>
      <c r="T1517" s="475"/>
      <c r="U1517" s="475"/>
      <c r="V1517" s="475"/>
      <c r="W1517" s="475"/>
    </row>
    <row r="1518" spans="2:23" s="97" customFormat="1">
      <c r="B1518" s="96"/>
      <c r="H1518" s="96"/>
      <c r="J1518" s="1"/>
      <c r="K1518" s="1"/>
      <c r="L1518" s="1"/>
      <c r="O1518" s="475"/>
      <c r="P1518" s="475"/>
      <c r="Q1518" s="475"/>
      <c r="R1518" s="475"/>
      <c r="S1518" s="475"/>
      <c r="T1518" s="475"/>
      <c r="U1518" s="475"/>
      <c r="V1518" s="475"/>
      <c r="W1518" s="475"/>
    </row>
    <row r="1519" spans="2:23" s="97" customFormat="1">
      <c r="B1519" s="96"/>
      <c r="H1519" s="96"/>
      <c r="J1519" s="1"/>
      <c r="K1519" s="1"/>
      <c r="L1519" s="1"/>
      <c r="O1519" s="475"/>
      <c r="P1519" s="475"/>
      <c r="Q1519" s="475"/>
      <c r="R1519" s="475"/>
      <c r="S1519" s="475"/>
      <c r="T1519" s="475"/>
      <c r="U1519" s="475"/>
      <c r="V1519" s="475"/>
      <c r="W1519" s="475"/>
    </row>
    <row r="1520" spans="2:23" s="97" customFormat="1">
      <c r="B1520" s="96"/>
      <c r="H1520" s="96"/>
      <c r="J1520" s="1"/>
      <c r="K1520" s="1"/>
      <c r="L1520" s="1"/>
      <c r="O1520" s="475"/>
      <c r="P1520" s="475"/>
      <c r="Q1520" s="475"/>
      <c r="R1520" s="475"/>
      <c r="S1520" s="475"/>
      <c r="T1520" s="475"/>
      <c r="U1520" s="475"/>
      <c r="V1520" s="475"/>
      <c r="W1520" s="475"/>
    </row>
    <row r="1521" spans="2:23" s="97" customFormat="1">
      <c r="B1521" s="96"/>
      <c r="H1521" s="96"/>
      <c r="J1521" s="1"/>
      <c r="K1521" s="1"/>
      <c r="L1521" s="1"/>
      <c r="O1521" s="475"/>
      <c r="P1521" s="475"/>
      <c r="Q1521" s="475"/>
      <c r="R1521" s="475"/>
      <c r="S1521" s="475"/>
      <c r="T1521" s="475"/>
      <c r="U1521" s="475"/>
      <c r="V1521" s="475"/>
      <c r="W1521" s="475"/>
    </row>
    <row r="1522" spans="2:23" s="97" customFormat="1">
      <c r="B1522" s="96"/>
      <c r="H1522" s="96"/>
      <c r="J1522" s="1"/>
      <c r="K1522" s="1"/>
      <c r="L1522" s="1"/>
      <c r="O1522" s="475"/>
      <c r="P1522" s="475"/>
      <c r="Q1522" s="475"/>
      <c r="R1522" s="475"/>
      <c r="S1522" s="475"/>
      <c r="T1522" s="475"/>
      <c r="U1522" s="475"/>
      <c r="V1522" s="475"/>
      <c r="W1522" s="475"/>
    </row>
    <row r="1523" spans="2:23" s="97" customFormat="1">
      <c r="B1523" s="96"/>
      <c r="H1523" s="96"/>
      <c r="J1523" s="1"/>
      <c r="K1523" s="1"/>
      <c r="L1523" s="1"/>
      <c r="O1523" s="475"/>
      <c r="P1523" s="475"/>
      <c r="Q1523" s="475"/>
      <c r="R1523" s="475"/>
      <c r="S1523" s="475"/>
      <c r="T1523" s="475"/>
      <c r="U1523" s="475"/>
      <c r="V1523" s="475"/>
      <c r="W1523" s="475"/>
    </row>
    <row r="1524" spans="2:23" s="97" customFormat="1">
      <c r="B1524" s="96"/>
      <c r="H1524" s="96"/>
      <c r="J1524" s="1"/>
      <c r="K1524" s="1"/>
      <c r="L1524" s="1"/>
      <c r="O1524" s="475"/>
      <c r="P1524" s="475"/>
      <c r="Q1524" s="475"/>
      <c r="R1524" s="475"/>
      <c r="S1524" s="475"/>
      <c r="T1524" s="475"/>
      <c r="U1524" s="475"/>
      <c r="V1524" s="475"/>
      <c r="W1524" s="475"/>
    </row>
    <row r="1525" spans="2:23" s="97" customFormat="1">
      <c r="B1525" s="96"/>
      <c r="H1525" s="96"/>
      <c r="J1525" s="1"/>
      <c r="K1525" s="1"/>
      <c r="L1525" s="1"/>
      <c r="O1525" s="475"/>
      <c r="P1525" s="475"/>
      <c r="Q1525" s="475"/>
      <c r="R1525" s="475"/>
      <c r="S1525" s="475"/>
      <c r="T1525" s="475"/>
      <c r="U1525" s="475"/>
      <c r="V1525" s="475"/>
      <c r="W1525" s="475"/>
    </row>
    <row r="1526" spans="2:23" s="97" customFormat="1">
      <c r="B1526" s="96"/>
      <c r="H1526" s="96"/>
      <c r="J1526" s="1"/>
      <c r="K1526" s="1"/>
      <c r="L1526" s="1"/>
      <c r="O1526" s="475"/>
      <c r="P1526" s="475"/>
      <c r="Q1526" s="475"/>
      <c r="R1526" s="475"/>
      <c r="S1526" s="475"/>
      <c r="T1526" s="475"/>
      <c r="U1526" s="475"/>
      <c r="V1526" s="475"/>
      <c r="W1526" s="475"/>
    </row>
    <row r="1527" spans="2:23" s="97" customFormat="1">
      <c r="B1527" s="96"/>
      <c r="H1527" s="96"/>
      <c r="J1527" s="1"/>
      <c r="K1527" s="1"/>
      <c r="L1527" s="1"/>
      <c r="O1527" s="475"/>
      <c r="P1527" s="475"/>
      <c r="Q1527" s="475"/>
      <c r="R1527" s="475"/>
      <c r="S1527" s="475"/>
      <c r="T1527" s="475"/>
      <c r="U1527" s="475"/>
      <c r="V1527" s="475"/>
      <c r="W1527" s="475"/>
    </row>
    <row r="1528" spans="2:23" s="97" customFormat="1">
      <c r="B1528" s="96"/>
      <c r="H1528" s="96"/>
      <c r="J1528" s="1"/>
      <c r="K1528" s="1"/>
      <c r="L1528" s="1"/>
      <c r="O1528" s="475"/>
      <c r="P1528" s="475"/>
      <c r="Q1528" s="475"/>
      <c r="R1528" s="475"/>
      <c r="S1528" s="475"/>
      <c r="T1528" s="475"/>
      <c r="U1528" s="475"/>
      <c r="V1528" s="475"/>
      <c r="W1528" s="475"/>
    </row>
    <row r="1529" spans="2:23" s="97" customFormat="1">
      <c r="B1529" s="96"/>
      <c r="H1529" s="96"/>
      <c r="J1529" s="1"/>
      <c r="K1529" s="1"/>
      <c r="L1529" s="1"/>
      <c r="O1529" s="475"/>
      <c r="P1529" s="475"/>
      <c r="Q1529" s="475"/>
      <c r="R1529" s="475"/>
      <c r="S1529" s="475"/>
      <c r="T1529" s="475"/>
      <c r="U1529" s="475"/>
      <c r="V1529" s="475"/>
      <c r="W1529" s="475"/>
    </row>
    <row r="1530" spans="2:23" s="97" customFormat="1">
      <c r="B1530" s="96"/>
      <c r="H1530" s="96"/>
      <c r="J1530" s="1"/>
      <c r="K1530" s="1"/>
      <c r="L1530" s="1"/>
      <c r="O1530" s="475"/>
      <c r="P1530" s="475"/>
      <c r="Q1530" s="475"/>
      <c r="R1530" s="475"/>
      <c r="S1530" s="475"/>
      <c r="T1530" s="475"/>
      <c r="U1530" s="475"/>
      <c r="V1530" s="475"/>
      <c r="W1530" s="475"/>
    </row>
    <row r="1531" spans="2:23" s="97" customFormat="1">
      <c r="B1531" s="96"/>
      <c r="H1531" s="96"/>
      <c r="J1531" s="1"/>
      <c r="K1531" s="1"/>
      <c r="L1531" s="1"/>
      <c r="O1531" s="475"/>
      <c r="P1531" s="475"/>
      <c r="Q1531" s="475"/>
      <c r="R1531" s="475"/>
      <c r="S1531" s="475"/>
      <c r="T1531" s="475"/>
      <c r="U1531" s="475"/>
      <c r="V1531" s="475"/>
      <c r="W1531" s="475"/>
    </row>
    <row r="1532" spans="2:23" s="97" customFormat="1">
      <c r="B1532" s="96"/>
      <c r="H1532" s="96"/>
      <c r="J1532" s="1"/>
      <c r="K1532" s="1"/>
      <c r="L1532" s="1"/>
      <c r="O1532" s="475"/>
      <c r="P1532" s="475"/>
      <c r="Q1532" s="475"/>
      <c r="R1532" s="475"/>
      <c r="S1532" s="475"/>
      <c r="T1532" s="475"/>
      <c r="U1532" s="475"/>
      <c r="V1532" s="475"/>
      <c r="W1532" s="475"/>
    </row>
    <row r="1533" spans="2:23" s="97" customFormat="1">
      <c r="B1533" s="96"/>
      <c r="H1533" s="96"/>
      <c r="J1533" s="1"/>
      <c r="K1533" s="1"/>
      <c r="L1533" s="1"/>
      <c r="O1533" s="475"/>
      <c r="P1533" s="475"/>
      <c r="Q1533" s="475"/>
      <c r="R1533" s="475"/>
      <c r="S1533" s="475"/>
      <c r="T1533" s="475"/>
      <c r="U1533" s="475"/>
      <c r="V1533" s="475"/>
      <c r="W1533" s="475"/>
    </row>
    <row r="1534" spans="2:23" s="97" customFormat="1">
      <c r="B1534" s="96"/>
      <c r="H1534" s="96"/>
      <c r="J1534" s="1"/>
      <c r="K1534" s="1"/>
      <c r="L1534" s="1"/>
      <c r="O1534" s="475"/>
      <c r="P1534" s="475"/>
      <c r="Q1534" s="475"/>
      <c r="R1534" s="475"/>
      <c r="S1534" s="475"/>
      <c r="T1534" s="475"/>
      <c r="U1534" s="475"/>
      <c r="V1534" s="475"/>
      <c r="W1534" s="475"/>
    </row>
    <row r="1535" spans="2:23" s="97" customFormat="1">
      <c r="B1535" s="96"/>
      <c r="H1535" s="96"/>
      <c r="J1535" s="1"/>
      <c r="K1535" s="1"/>
      <c r="L1535" s="1"/>
      <c r="O1535" s="475"/>
      <c r="P1535" s="475"/>
      <c r="Q1535" s="475"/>
      <c r="R1535" s="475"/>
      <c r="S1535" s="475"/>
      <c r="T1535" s="475"/>
      <c r="U1535" s="475"/>
      <c r="V1535" s="475"/>
      <c r="W1535" s="475"/>
    </row>
    <row r="1536" spans="2:23" s="97" customFormat="1">
      <c r="B1536" s="96"/>
      <c r="H1536" s="96"/>
      <c r="J1536" s="1"/>
      <c r="K1536" s="1"/>
      <c r="L1536" s="1"/>
      <c r="O1536" s="475"/>
      <c r="P1536" s="475"/>
      <c r="Q1536" s="475"/>
      <c r="R1536" s="475"/>
      <c r="S1536" s="475"/>
      <c r="T1536" s="475"/>
      <c r="U1536" s="475"/>
      <c r="V1536" s="475"/>
      <c r="W1536" s="475"/>
    </row>
    <row r="1537" spans="2:23" s="97" customFormat="1">
      <c r="B1537" s="96"/>
      <c r="H1537" s="96"/>
      <c r="J1537" s="1"/>
      <c r="K1537" s="1"/>
      <c r="L1537" s="1"/>
      <c r="O1537" s="475"/>
      <c r="P1537" s="475"/>
      <c r="Q1537" s="475"/>
      <c r="R1537" s="475"/>
      <c r="S1537" s="475"/>
      <c r="T1537" s="475"/>
      <c r="U1537" s="475"/>
      <c r="V1537" s="475"/>
      <c r="W1537" s="475"/>
    </row>
    <row r="1538" spans="2:23" s="97" customFormat="1">
      <c r="B1538" s="96"/>
      <c r="H1538" s="96"/>
      <c r="J1538" s="1"/>
      <c r="K1538" s="1"/>
      <c r="L1538" s="1"/>
      <c r="O1538" s="475"/>
      <c r="P1538" s="475"/>
      <c r="Q1538" s="475"/>
      <c r="R1538" s="475"/>
      <c r="S1538" s="475"/>
      <c r="T1538" s="475"/>
      <c r="U1538" s="475"/>
      <c r="V1538" s="475"/>
      <c r="W1538" s="475"/>
    </row>
    <row r="1539" spans="2:23" s="97" customFormat="1">
      <c r="B1539" s="96"/>
      <c r="H1539" s="96"/>
      <c r="J1539" s="1"/>
      <c r="K1539" s="1"/>
      <c r="L1539" s="1"/>
      <c r="O1539" s="475"/>
      <c r="P1539" s="475"/>
      <c r="Q1539" s="475"/>
      <c r="R1539" s="475"/>
      <c r="S1539" s="475"/>
      <c r="T1539" s="475"/>
      <c r="U1539" s="475"/>
      <c r="V1539" s="475"/>
      <c r="W1539" s="475"/>
    </row>
    <row r="1540" spans="2:23" s="97" customFormat="1">
      <c r="B1540" s="96"/>
      <c r="H1540" s="96"/>
      <c r="J1540" s="1"/>
      <c r="K1540" s="1"/>
      <c r="L1540" s="1"/>
      <c r="O1540" s="475"/>
      <c r="P1540" s="475"/>
      <c r="Q1540" s="475"/>
      <c r="R1540" s="475"/>
      <c r="S1540" s="475"/>
      <c r="T1540" s="475"/>
      <c r="U1540" s="475"/>
      <c r="V1540" s="475"/>
      <c r="W1540" s="475"/>
    </row>
    <row r="1541" spans="2:23" s="97" customFormat="1">
      <c r="B1541" s="96"/>
      <c r="H1541" s="96"/>
      <c r="J1541" s="1"/>
      <c r="K1541" s="1"/>
      <c r="L1541" s="1"/>
      <c r="O1541" s="475"/>
      <c r="P1541" s="475"/>
      <c r="Q1541" s="475"/>
      <c r="R1541" s="475"/>
      <c r="S1541" s="475"/>
      <c r="T1541" s="475"/>
      <c r="U1541" s="475"/>
      <c r="V1541" s="475"/>
      <c r="W1541" s="475"/>
    </row>
    <row r="1542" spans="2:23" s="97" customFormat="1">
      <c r="B1542" s="96"/>
      <c r="H1542" s="96"/>
      <c r="J1542" s="1"/>
      <c r="K1542" s="1"/>
      <c r="L1542" s="1"/>
      <c r="O1542" s="475"/>
      <c r="P1542" s="475"/>
      <c r="Q1542" s="475"/>
      <c r="R1542" s="475"/>
      <c r="S1542" s="475"/>
      <c r="T1542" s="475"/>
      <c r="U1542" s="475"/>
      <c r="V1542" s="475"/>
      <c r="W1542" s="475"/>
    </row>
    <row r="1543" spans="2:23" s="97" customFormat="1">
      <c r="B1543" s="96"/>
      <c r="H1543" s="96"/>
      <c r="J1543" s="1"/>
      <c r="K1543" s="1"/>
      <c r="L1543" s="1"/>
      <c r="O1543" s="475"/>
      <c r="P1543" s="475"/>
      <c r="Q1543" s="475"/>
      <c r="R1543" s="475"/>
      <c r="S1543" s="475"/>
      <c r="T1543" s="475"/>
      <c r="U1543" s="475"/>
      <c r="V1543" s="475"/>
      <c r="W1543" s="475"/>
    </row>
    <row r="1544" spans="2:23" s="97" customFormat="1">
      <c r="B1544" s="96"/>
      <c r="H1544" s="96"/>
      <c r="J1544" s="1"/>
      <c r="K1544" s="1"/>
      <c r="L1544" s="1"/>
      <c r="O1544" s="475"/>
      <c r="P1544" s="475"/>
      <c r="Q1544" s="475"/>
      <c r="R1544" s="475"/>
      <c r="S1544" s="475"/>
      <c r="T1544" s="475"/>
      <c r="U1544" s="475"/>
      <c r="V1544" s="475"/>
      <c r="W1544" s="475"/>
    </row>
    <row r="1545" spans="2:23" s="97" customFormat="1">
      <c r="B1545" s="96"/>
      <c r="H1545" s="96"/>
      <c r="J1545" s="1"/>
      <c r="K1545" s="1"/>
      <c r="L1545" s="1"/>
      <c r="O1545" s="475"/>
      <c r="P1545" s="475"/>
      <c r="Q1545" s="475"/>
      <c r="R1545" s="475"/>
      <c r="S1545" s="475"/>
      <c r="T1545" s="475"/>
      <c r="U1545" s="475"/>
      <c r="V1545" s="475"/>
      <c r="W1545" s="475"/>
    </row>
    <row r="1546" spans="2:23" s="97" customFormat="1">
      <c r="B1546" s="96"/>
      <c r="H1546" s="96"/>
      <c r="J1546" s="1"/>
      <c r="K1546" s="1"/>
      <c r="L1546" s="1"/>
      <c r="O1546" s="475"/>
      <c r="P1546" s="475"/>
      <c r="Q1546" s="475"/>
      <c r="R1546" s="475"/>
      <c r="S1546" s="475"/>
      <c r="T1546" s="475"/>
      <c r="U1546" s="475"/>
      <c r="V1546" s="475"/>
      <c r="W1546" s="475"/>
    </row>
    <row r="1547" spans="2:23" s="97" customFormat="1">
      <c r="B1547" s="96"/>
      <c r="H1547" s="96"/>
      <c r="J1547" s="1"/>
      <c r="K1547" s="1"/>
      <c r="L1547" s="1"/>
      <c r="O1547" s="475"/>
      <c r="P1547" s="475"/>
      <c r="Q1547" s="475"/>
      <c r="R1547" s="475"/>
      <c r="S1547" s="475"/>
      <c r="T1547" s="475"/>
      <c r="U1547" s="475"/>
      <c r="V1547" s="475"/>
      <c r="W1547" s="475"/>
    </row>
    <row r="1548" spans="2:23" s="97" customFormat="1">
      <c r="B1548" s="96"/>
      <c r="H1548" s="96"/>
      <c r="J1548" s="1"/>
      <c r="K1548" s="1"/>
      <c r="L1548" s="1"/>
      <c r="O1548" s="475"/>
      <c r="P1548" s="475"/>
      <c r="Q1548" s="475"/>
      <c r="R1548" s="475"/>
      <c r="S1548" s="475"/>
      <c r="T1548" s="475"/>
      <c r="U1548" s="475"/>
      <c r="V1548" s="475"/>
      <c r="W1548" s="475"/>
    </row>
    <row r="1549" spans="2:23" s="97" customFormat="1">
      <c r="B1549" s="96"/>
      <c r="H1549" s="96"/>
      <c r="J1549" s="1"/>
      <c r="K1549" s="1"/>
      <c r="L1549" s="1"/>
      <c r="O1549" s="475"/>
      <c r="P1549" s="475"/>
      <c r="Q1549" s="475"/>
      <c r="R1549" s="475"/>
      <c r="S1549" s="475"/>
      <c r="T1549" s="475"/>
      <c r="U1549" s="475"/>
      <c r="V1549" s="475"/>
      <c r="W1549" s="475"/>
    </row>
    <row r="1550" spans="2:23" s="97" customFormat="1">
      <c r="B1550" s="96"/>
      <c r="H1550" s="96"/>
      <c r="J1550" s="1"/>
      <c r="K1550" s="1"/>
      <c r="L1550" s="1"/>
      <c r="O1550" s="475"/>
      <c r="P1550" s="475"/>
      <c r="Q1550" s="475"/>
      <c r="R1550" s="475"/>
      <c r="S1550" s="475"/>
      <c r="T1550" s="475"/>
      <c r="U1550" s="475"/>
      <c r="V1550" s="475"/>
      <c r="W1550" s="475"/>
    </row>
    <row r="1551" spans="2:23" s="97" customFormat="1">
      <c r="B1551" s="96"/>
      <c r="H1551" s="96"/>
      <c r="J1551" s="1"/>
      <c r="K1551" s="1"/>
      <c r="L1551" s="1"/>
      <c r="O1551" s="475"/>
      <c r="P1551" s="475"/>
      <c r="Q1551" s="475"/>
      <c r="R1551" s="475"/>
      <c r="S1551" s="475"/>
      <c r="T1551" s="475"/>
      <c r="U1551" s="475"/>
      <c r="V1551" s="475"/>
      <c r="W1551" s="475"/>
    </row>
    <row r="1552" spans="2:23" s="97" customFormat="1">
      <c r="B1552" s="96"/>
      <c r="H1552" s="96"/>
      <c r="J1552" s="1"/>
      <c r="K1552" s="1"/>
      <c r="L1552" s="1"/>
      <c r="O1552" s="475"/>
      <c r="P1552" s="475"/>
      <c r="Q1552" s="475"/>
      <c r="R1552" s="475"/>
      <c r="S1552" s="475"/>
      <c r="T1552" s="475"/>
      <c r="U1552" s="475"/>
      <c r="V1552" s="475"/>
      <c r="W1552" s="475"/>
    </row>
    <row r="1553" spans="2:23" s="97" customFormat="1">
      <c r="B1553" s="96"/>
      <c r="H1553" s="96"/>
      <c r="J1553" s="1"/>
      <c r="K1553" s="1"/>
      <c r="L1553" s="1"/>
      <c r="O1553" s="475"/>
      <c r="P1553" s="475"/>
      <c r="Q1553" s="475"/>
      <c r="R1553" s="475"/>
      <c r="S1553" s="475"/>
      <c r="T1553" s="475"/>
      <c r="U1553" s="475"/>
      <c r="V1553" s="475"/>
      <c r="W1553" s="475"/>
    </row>
    <row r="1554" spans="2:23" s="97" customFormat="1">
      <c r="B1554" s="96"/>
      <c r="H1554" s="96"/>
      <c r="J1554" s="1"/>
      <c r="K1554" s="1"/>
      <c r="L1554" s="1"/>
      <c r="O1554" s="475"/>
      <c r="P1554" s="475"/>
      <c r="Q1554" s="475"/>
      <c r="R1554" s="475"/>
      <c r="S1554" s="475"/>
      <c r="T1554" s="475"/>
      <c r="U1554" s="475"/>
      <c r="V1554" s="475"/>
      <c r="W1554" s="475"/>
    </row>
    <row r="1555" spans="2:23" s="97" customFormat="1">
      <c r="B1555" s="96"/>
      <c r="H1555" s="96"/>
      <c r="J1555" s="1"/>
      <c r="K1555" s="1"/>
      <c r="L1555" s="1"/>
      <c r="O1555" s="475"/>
      <c r="P1555" s="475"/>
      <c r="Q1555" s="475"/>
      <c r="R1555" s="475"/>
      <c r="S1555" s="475"/>
      <c r="T1555" s="475"/>
      <c r="U1555" s="475"/>
      <c r="V1555" s="475"/>
      <c r="W1555" s="475"/>
    </row>
    <row r="1556" spans="2:23" s="97" customFormat="1">
      <c r="B1556" s="96"/>
      <c r="H1556" s="96"/>
      <c r="J1556" s="1"/>
      <c r="K1556" s="1"/>
      <c r="L1556" s="1"/>
      <c r="O1556" s="475"/>
      <c r="P1556" s="475"/>
      <c r="Q1556" s="475"/>
      <c r="R1556" s="475"/>
      <c r="S1556" s="475"/>
      <c r="T1556" s="475"/>
      <c r="U1556" s="475"/>
      <c r="V1556" s="475"/>
      <c r="W1556" s="475"/>
    </row>
    <row r="1557" spans="2:23" s="97" customFormat="1">
      <c r="B1557" s="96"/>
      <c r="H1557" s="96"/>
      <c r="J1557" s="1"/>
      <c r="K1557" s="1"/>
      <c r="L1557" s="1"/>
      <c r="O1557" s="475"/>
      <c r="P1557" s="475"/>
      <c r="Q1557" s="475"/>
      <c r="R1557" s="475"/>
      <c r="S1557" s="475"/>
      <c r="T1557" s="475"/>
      <c r="U1557" s="475"/>
      <c r="V1557" s="475"/>
      <c r="W1557" s="475"/>
    </row>
    <row r="1558" spans="2:23" s="97" customFormat="1">
      <c r="B1558" s="96"/>
      <c r="H1558" s="96"/>
      <c r="J1558" s="1"/>
      <c r="K1558" s="1"/>
      <c r="L1558" s="1"/>
      <c r="O1558" s="475"/>
      <c r="P1558" s="475"/>
      <c r="Q1558" s="475"/>
      <c r="R1558" s="475"/>
      <c r="S1558" s="475"/>
      <c r="T1558" s="475"/>
      <c r="U1558" s="475"/>
      <c r="V1558" s="475"/>
      <c r="W1558" s="475"/>
    </row>
    <row r="1559" spans="2:23" s="97" customFormat="1">
      <c r="B1559" s="96"/>
      <c r="H1559" s="96"/>
      <c r="J1559" s="1"/>
      <c r="K1559" s="1"/>
      <c r="L1559" s="1"/>
      <c r="O1559" s="475"/>
      <c r="P1559" s="475"/>
      <c r="Q1559" s="475"/>
      <c r="R1559" s="475"/>
      <c r="S1559" s="475"/>
      <c r="T1559" s="475"/>
      <c r="U1559" s="475"/>
      <c r="V1559" s="475"/>
      <c r="W1559" s="475"/>
    </row>
    <row r="1560" spans="2:23" s="97" customFormat="1">
      <c r="B1560" s="96"/>
      <c r="H1560" s="96"/>
      <c r="J1560" s="1"/>
      <c r="K1560" s="1"/>
      <c r="L1560" s="1"/>
      <c r="O1560" s="475"/>
      <c r="P1560" s="475"/>
      <c r="Q1560" s="475"/>
      <c r="R1560" s="475"/>
      <c r="S1560" s="475"/>
      <c r="T1560" s="475"/>
      <c r="U1560" s="475"/>
      <c r="V1560" s="475"/>
      <c r="W1560" s="475"/>
    </row>
    <row r="1561" spans="2:23" s="97" customFormat="1">
      <c r="B1561" s="96"/>
      <c r="H1561" s="96"/>
      <c r="J1561" s="1"/>
      <c r="K1561" s="1"/>
      <c r="L1561" s="1"/>
      <c r="O1561" s="475"/>
      <c r="P1561" s="475"/>
      <c r="Q1561" s="475"/>
      <c r="R1561" s="475"/>
      <c r="S1561" s="475"/>
      <c r="T1561" s="475"/>
      <c r="U1561" s="475"/>
      <c r="V1561" s="475"/>
      <c r="W1561" s="475"/>
    </row>
    <row r="1562" spans="2:23" s="97" customFormat="1">
      <c r="B1562" s="96"/>
      <c r="H1562" s="96"/>
      <c r="J1562" s="1"/>
      <c r="K1562" s="1"/>
      <c r="L1562" s="1"/>
      <c r="O1562" s="475"/>
      <c r="P1562" s="475"/>
      <c r="Q1562" s="475"/>
      <c r="R1562" s="475"/>
      <c r="S1562" s="475"/>
      <c r="T1562" s="475"/>
      <c r="U1562" s="475"/>
      <c r="V1562" s="475"/>
      <c r="W1562" s="475"/>
    </row>
    <row r="1563" spans="2:23" s="97" customFormat="1">
      <c r="B1563" s="96"/>
      <c r="H1563" s="96"/>
      <c r="J1563" s="1"/>
      <c r="K1563" s="1"/>
      <c r="L1563" s="1"/>
      <c r="O1563" s="475"/>
      <c r="P1563" s="475"/>
      <c r="Q1563" s="475"/>
      <c r="R1563" s="475"/>
      <c r="S1563" s="475"/>
      <c r="T1563" s="475"/>
      <c r="U1563" s="475"/>
      <c r="V1563" s="475"/>
      <c r="W1563" s="475"/>
    </row>
    <row r="1564" spans="2:23" s="97" customFormat="1">
      <c r="B1564" s="96"/>
      <c r="H1564" s="96"/>
      <c r="J1564" s="1"/>
      <c r="K1564" s="1"/>
      <c r="L1564" s="1"/>
      <c r="O1564" s="475"/>
      <c r="P1564" s="475"/>
      <c r="Q1564" s="475"/>
      <c r="R1564" s="475"/>
      <c r="S1564" s="475"/>
      <c r="T1564" s="475"/>
      <c r="U1564" s="475"/>
      <c r="V1564" s="475"/>
      <c r="W1564" s="475"/>
    </row>
    <row r="1565" spans="2:23" s="97" customFormat="1">
      <c r="B1565" s="96"/>
      <c r="H1565" s="96"/>
      <c r="J1565" s="1"/>
      <c r="K1565" s="1"/>
      <c r="L1565" s="1"/>
      <c r="O1565" s="475"/>
      <c r="P1565" s="475"/>
      <c r="Q1565" s="475"/>
      <c r="R1565" s="475"/>
      <c r="S1565" s="475"/>
      <c r="T1565" s="475"/>
      <c r="U1565" s="475"/>
      <c r="V1565" s="475"/>
      <c r="W1565" s="475"/>
    </row>
    <row r="1566" spans="2:23" s="97" customFormat="1">
      <c r="B1566" s="96"/>
      <c r="H1566" s="96"/>
      <c r="J1566" s="1"/>
      <c r="K1566" s="1"/>
      <c r="L1566" s="1"/>
      <c r="O1566" s="475"/>
      <c r="P1566" s="475"/>
      <c r="Q1566" s="475"/>
      <c r="R1566" s="475"/>
      <c r="S1566" s="475"/>
      <c r="T1566" s="475"/>
      <c r="U1566" s="475"/>
      <c r="V1566" s="475"/>
      <c r="W1566" s="475"/>
    </row>
    <row r="1567" spans="2:23" s="97" customFormat="1">
      <c r="B1567" s="96"/>
      <c r="H1567" s="96"/>
      <c r="J1567" s="1"/>
      <c r="K1567" s="1"/>
      <c r="L1567" s="1"/>
      <c r="O1567" s="475"/>
      <c r="P1567" s="475"/>
      <c r="Q1567" s="475"/>
      <c r="R1567" s="475"/>
      <c r="S1567" s="475"/>
      <c r="T1567" s="475"/>
      <c r="U1567" s="475"/>
      <c r="V1567" s="475"/>
      <c r="W1567" s="475"/>
    </row>
    <row r="1568" spans="2:23" s="97" customFormat="1">
      <c r="B1568" s="96"/>
      <c r="H1568" s="96"/>
      <c r="J1568" s="1"/>
      <c r="K1568" s="1"/>
      <c r="L1568" s="1"/>
      <c r="O1568" s="475"/>
      <c r="P1568" s="475"/>
      <c r="Q1568" s="475"/>
      <c r="R1568" s="475"/>
      <c r="S1568" s="475"/>
      <c r="T1568" s="475"/>
      <c r="U1568" s="475"/>
      <c r="V1568" s="475"/>
      <c r="W1568" s="475"/>
    </row>
    <row r="1569" spans="2:23" s="97" customFormat="1">
      <c r="B1569" s="96"/>
      <c r="H1569" s="96"/>
      <c r="J1569" s="1"/>
      <c r="K1569" s="1"/>
      <c r="L1569" s="1"/>
      <c r="O1569" s="475"/>
      <c r="P1569" s="475"/>
      <c r="Q1569" s="475"/>
      <c r="R1569" s="475"/>
      <c r="S1569" s="475"/>
      <c r="T1569" s="475"/>
      <c r="U1569" s="475"/>
      <c r="V1569" s="475"/>
      <c r="W1569" s="475"/>
    </row>
    <row r="1570" spans="2:23" s="97" customFormat="1">
      <c r="B1570" s="96"/>
      <c r="H1570" s="96"/>
      <c r="J1570" s="1"/>
      <c r="K1570" s="1"/>
      <c r="L1570" s="1"/>
      <c r="O1570" s="475"/>
      <c r="P1570" s="475"/>
      <c r="Q1570" s="475"/>
      <c r="R1570" s="475"/>
      <c r="S1570" s="475"/>
      <c r="T1570" s="475"/>
      <c r="U1570" s="475"/>
      <c r="V1570" s="475"/>
      <c r="W1570" s="475"/>
    </row>
    <row r="1571" spans="2:23" s="97" customFormat="1">
      <c r="B1571" s="96"/>
      <c r="H1571" s="96"/>
      <c r="J1571" s="1"/>
      <c r="K1571" s="1"/>
      <c r="L1571" s="1"/>
      <c r="O1571" s="475"/>
      <c r="P1571" s="475"/>
      <c r="Q1571" s="475"/>
      <c r="R1571" s="475"/>
      <c r="S1571" s="475"/>
      <c r="T1571" s="475"/>
      <c r="U1571" s="475"/>
      <c r="V1571" s="475"/>
      <c r="W1571" s="475"/>
    </row>
    <row r="1572" spans="2:23" s="97" customFormat="1">
      <c r="B1572" s="96"/>
      <c r="H1572" s="96"/>
      <c r="J1572" s="1"/>
      <c r="K1572" s="1"/>
      <c r="L1572" s="1"/>
      <c r="O1572" s="475"/>
      <c r="P1572" s="475"/>
      <c r="Q1572" s="475"/>
      <c r="R1572" s="475"/>
      <c r="S1572" s="475"/>
      <c r="T1572" s="475"/>
      <c r="U1572" s="475"/>
      <c r="V1572" s="475"/>
      <c r="W1572" s="475"/>
    </row>
    <row r="1573" spans="2:23" s="97" customFormat="1">
      <c r="B1573" s="96"/>
      <c r="H1573" s="96"/>
      <c r="J1573" s="1"/>
      <c r="K1573" s="1"/>
      <c r="L1573" s="1"/>
      <c r="O1573" s="475"/>
      <c r="P1573" s="475"/>
      <c r="Q1573" s="475"/>
      <c r="R1573" s="475"/>
      <c r="S1573" s="475"/>
      <c r="T1573" s="475"/>
      <c r="U1573" s="475"/>
      <c r="V1573" s="475"/>
      <c r="W1573" s="475"/>
    </row>
    <row r="1574" spans="2:23" s="97" customFormat="1">
      <c r="B1574" s="96"/>
      <c r="H1574" s="96"/>
      <c r="J1574" s="1"/>
      <c r="K1574" s="1"/>
      <c r="L1574" s="1"/>
      <c r="O1574" s="475"/>
      <c r="P1574" s="475"/>
      <c r="Q1574" s="475"/>
      <c r="R1574" s="475"/>
      <c r="S1574" s="475"/>
      <c r="T1574" s="475"/>
      <c r="U1574" s="475"/>
      <c r="V1574" s="475"/>
      <c r="W1574" s="475"/>
    </row>
    <row r="1575" spans="2:23" s="97" customFormat="1">
      <c r="B1575" s="96"/>
      <c r="H1575" s="96"/>
      <c r="J1575" s="1"/>
      <c r="K1575" s="1"/>
      <c r="L1575" s="1"/>
      <c r="O1575" s="475"/>
      <c r="P1575" s="475"/>
      <c r="Q1575" s="475"/>
      <c r="R1575" s="475"/>
      <c r="S1575" s="475"/>
      <c r="T1575" s="475"/>
      <c r="U1575" s="475"/>
      <c r="V1575" s="475"/>
      <c r="W1575" s="475"/>
    </row>
    <row r="1576" spans="2:23" s="97" customFormat="1">
      <c r="B1576" s="96"/>
      <c r="H1576" s="96"/>
      <c r="J1576" s="1"/>
      <c r="K1576" s="1"/>
      <c r="L1576" s="1"/>
      <c r="O1576" s="475"/>
      <c r="P1576" s="475"/>
      <c r="Q1576" s="475"/>
      <c r="R1576" s="475"/>
      <c r="S1576" s="475"/>
      <c r="T1576" s="475"/>
      <c r="U1576" s="475"/>
      <c r="V1576" s="475"/>
      <c r="W1576" s="475"/>
    </row>
    <row r="1577" spans="2:23" s="97" customFormat="1">
      <c r="B1577" s="96"/>
      <c r="H1577" s="96"/>
      <c r="J1577" s="1"/>
      <c r="K1577" s="1"/>
      <c r="L1577" s="1"/>
      <c r="O1577" s="475"/>
      <c r="P1577" s="475"/>
      <c r="Q1577" s="475"/>
      <c r="R1577" s="475"/>
      <c r="S1577" s="475"/>
      <c r="T1577" s="475"/>
      <c r="U1577" s="475"/>
      <c r="V1577" s="475"/>
      <c r="W1577" s="475"/>
    </row>
    <row r="1578" spans="2:23" s="97" customFormat="1">
      <c r="B1578" s="96"/>
      <c r="H1578" s="96"/>
      <c r="J1578" s="1"/>
      <c r="K1578" s="1"/>
      <c r="L1578" s="1"/>
      <c r="O1578" s="475"/>
      <c r="P1578" s="475"/>
      <c r="Q1578" s="475"/>
      <c r="R1578" s="475"/>
      <c r="S1578" s="475"/>
      <c r="T1578" s="475"/>
      <c r="U1578" s="475"/>
      <c r="V1578" s="475"/>
      <c r="W1578" s="475"/>
    </row>
    <row r="1579" spans="2:23" s="97" customFormat="1">
      <c r="B1579" s="96"/>
      <c r="H1579" s="96"/>
      <c r="J1579" s="1"/>
      <c r="K1579" s="1"/>
      <c r="L1579" s="1"/>
      <c r="O1579" s="475"/>
      <c r="P1579" s="475"/>
      <c r="Q1579" s="475"/>
      <c r="R1579" s="475"/>
      <c r="S1579" s="475"/>
      <c r="T1579" s="475"/>
      <c r="U1579" s="475"/>
      <c r="V1579" s="475"/>
      <c r="W1579" s="475"/>
    </row>
    <row r="1580" spans="2:23" s="97" customFormat="1">
      <c r="B1580" s="96"/>
      <c r="H1580" s="96"/>
      <c r="J1580" s="1"/>
      <c r="K1580" s="1"/>
      <c r="L1580" s="1"/>
      <c r="O1580" s="475"/>
      <c r="P1580" s="475"/>
      <c r="Q1580" s="475"/>
      <c r="R1580" s="475"/>
      <c r="S1580" s="475"/>
      <c r="T1580" s="475"/>
      <c r="U1580" s="475"/>
      <c r="V1580" s="475"/>
      <c r="W1580" s="475"/>
    </row>
    <row r="1581" spans="2:23" s="97" customFormat="1">
      <c r="B1581" s="96"/>
      <c r="H1581" s="96"/>
      <c r="J1581" s="1"/>
      <c r="K1581" s="1"/>
      <c r="L1581" s="1"/>
      <c r="O1581" s="475"/>
      <c r="P1581" s="475"/>
      <c r="Q1581" s="475"/>
      <c r="R1581" s="475"/>
      <c r="S1581" s="475"/>
      <c r="T1581" s="475"/>
      <c r="U1581" s="475"/>
      <c r="V1581" s="475"/>
      <c r="W1581" s="475"/>
    </row>
    <row r="1582" spans="2:23" s="97" customFormat="1">
      <c r="B1582" s="96"/>
      <c r="H1582" s="96"/>
      <c r="J1582" s="1"/>
      <c r="K1582" s="1"/>
      <c r="L1582" s="1"/>
      <c r="O1582" s="475"/>
      <c r="P1582" s="475"/>
      <c r="Q1582" s="475"/>
      <c r="R1582" s="475"/>
      <c r="S1582" s="475"/>
      <c r="T1582" s="475"/>
      <c r="U1582" s="475"/>
      <c r="V1582" s="475"/>
      <c r="W1582" s="475"/>
    </row>
    <row r="1583" spans="2:23" s="97" customFormat="1">
      <c r="B1583" s="96"/>
      <c r="H1583" s="96"/>
      <c r="J1583" s="1"/>
      <c r="K1583" s="1"/>
      <c r="L1583" s="1"/>
      <c r="O1583" s="475"/>
      <c r="P1583" s="475"/>
      <c r="Q1583" s="475"/>
      <c r="R1583" s="475"/>
      <c r="S1583" s="475"/>
      <c r="T1583" s="475"/>
      <c r="U1583" s="475"/>
      <c r="V1583" s="475"/>
      <c r="W1583" s="475"/>
    </row>
    <row r="1584" spans="2:23" s="97" customFormat="1">
      <c r="B1584" s="96"/>
      <c r="H1584" s="96"/>
      <c r="J1584" s="1"/>
      <c r="K1584" s="1"/>
      <c r="L1584" s="1"/>
      <c r="O1584" s="475"/>
      <c r="P1584" s="475"/>
      <c r="Q1584" s="475"/>
      <c r="R1584" s="475"/>
      <c r="S1584" s="475"/>
      <c r="T1584" s="475"/>
      <c r="U1584" s="475"/>
      <c r="V1584" s="475"/>
      <c r="W1584" s="475"/>
    </row>
    <row r="1585" spans="2:23" s="97" customFormat="1">
      <c r="B1585" s="96"/>
      <c r="H1585" s="96"/>
      <c r="J1585" s="1"/>
      <c r="K1585" s="1"/>
      <c r="L1585" s="1"/>
      <c r="O1585" s="475"/>
      <c r="P1585" s="475"/>
      <c r="Q1585" s="475"/>
      <c r="R1585" s="475"/>
      <c r="S1585" s="475"/>
      <c r="T1585" s="475"/>
      <c r="U1585" s="475"/>
      <c r="V1585" s="475"/>
      <c r="W1585" s="475"/>
    </row>
    <row r="1586" spans="2:23" s="97" customFormat="1">
      <c r="B1586" s="96"/>
      <c r="H1586" s="96"/>
      <c r="J1586" s="1"/>
      <c r="K1586" s="1"/>
      <c r="L1586" s="1"/>
      <c r="O1586" s="475"/>
      <c r="P1586" s="475"/>
      <c r="Q1586" s="475"/>
      <c r="R1586" s="475"/>
      <c r="S1586" s="475"/>
      <c r="T1586" s="475"/>
      <c r="U1586" s="475"/>
      <c r="V1586" s="475"/>
      <c r="W1586" s="475"/>
    </row>
    <row r="1587" spans="2:23" s="97" customFormat="1">
      <c r="B1587" s="96"/>
      <c r="H1587" s="96"/>
      <c r="J1587" s="1"/>
      <c r="K1587" s="1"/>
      <c r="L1587" s="1"/>
      <c r="O1587" s="475"/>
      <c r="P1587" s="475"/>
      <c r="Q1587" s="475"/>
      <c r="R1587" s="475"/>
      <c r="S1587" s="475"/>
      <c r="T1587" s="475"/>
      <c r="U1587" s="475"/>
      <c r="V1587" s="475"/>
      <c r="W1587" s="475"/>
    </row>
    <row r="1588" spans="2:23" s="97" customFormat="1">
      <c r="B1588" s="96"/>
      <c r="H1588" s="96"/>
      <c r="J1588" s="1"/>
      <c r="K1588" s="1"/>
      <c r="L1588" s="1"/>
      <c r="O1588" s="475"/>
      <c r="P1588" s="475"/>
      <c r="Q1588" s="475"/>
      <c r="R1588" s="475"/>
      <c r="S1588" s="475"/>
      <c r="T1588" s="475"/>
      <c r="U1588" s="475"/>
      <c r="V1588" s="475"/>
      <c r="W1588" s="475"/>
    </row>
    <row r="1589" spans="2:23" s="97" customFormat="1">
      <c r="B1589" s="96"/>
      <c r="H1589" s="96"/>
      <c r="J1589" s="1"/>
      <c r="K1589" s="1"/>
      <c r="L1589" s="1"/>
      <c r="O1589" s="475"/>
      <c r="P1589" s="475"/>
      <c r="Q1589" s="475"/>
      <c r="R1589" s="475"/>
      <c r="S1589" s="475"/>
      <c r="T1589" s="475"/>
      <c r="U1589" s="475"/>
      <c r="V1589" s="475"/>
      <c r="W1589" s="475"/>
    </row>
    <row r="1590" spans="2:23" s="97" customFormat="1">
      <c r="B1590" s="96"/>
      <c r="H1590" s="96"/>
      <c r="J1590" s="1"/>
      <c r="K1590" s="1"/>
      <c r="L1590" s="1"/>
      <c r="O1590" s="475"/>
      <c r="P1590" s="475"/>
      <c r="Q1590" s="475"/>
      <c r="R1590" s="475"/>
      <c r="S1590" s="475"/>
      <c r="T1590" s="475"/>
      <c r="U1590" s="475"/>
      <c r="V1590" s="475"/>
      <c r="W1590" s="475"/>
    </row>
    <row r="1591" spans="2:23" s="97" customFormat="1">
      <c r="B1591" s="96"/>
      <c r="H1591" s="96"/>
      <c r="J1591" s="1"/>
      <c r="K1591" s="1"/>
      <c r="L1591" s="1"/>
      <c r="O1591" s="475"/>
      <c r="P1591" s="475"/>
      <c r="Q1591" s="475"/>
      <c r="R1591" s="475"/>
      <c r="S1591" s="475"/>
      <c r="T1591" s="475"/>
      <c r="U1591" s="475"/>
      <c r="V1591" s="475"/>
      <c r="W1591" s="475"/>
    </row>
    <row r="1592" spans="2:23" s="97" customFormat="1">
      <c r="B1592" s="96"/>
      <c r="H1592" s="96"/>
      <c r="J1592" s="1"/>
      <c r="K1592" s="1"/>
      <c r="L1592" s="1"/>
      <c r="O1592" s="475"/>
      <c r="P1592" s="475"/>
      <c r="Q1592" s="475"/>
      <c r="R1592" s="475"/>
      <c r="S1592" s="475"/>
      <c r="T1592" s="475"/>
      <c r="U1592" s="475"/>
      <c r="V1592" s="475"/>
      <c r="W1592" s="475"/>
    </row>
    <row r="1593" spans="2:23" s="97" customFormat="1">
      <c r="B1593" s="96"/>
      <c r="H1593" s="96"/>
      <c r="J1593" s="1"/>
      <c r="K1593" s="1"/>
      <c r="L1593" s="1"/>
      <c r="O1593" s="475"/>
      <c r="P1593" s="475"/>
      <c r="Q1593" s="475"/>
      <c r="R1593" s="475"/>
      <c r="S1593" s="475"/>
      <c r="T1593" s="475"/>
      <c r="U1593" s="475"/>
      <c r="V1593" s="475"/>
      <c r="W1593" s="475"/>
    </row>
    <row r="1594" spans="2:23" s="97" customFormat="1">
      <c r="B1594" s="96"/>
      <c r="H1594" s="96"/>
      <c r="J1594" s="1"/>
      <c r="K1594" s="1"/>
      <c r="L1594" s="1"/>
      <c r="O1594" s="475"/>
      <c r="P1594" s="475"/>
      <c r="Q1594" s="475"/>
      <c r="R1594" s="475"/>
      <c r="S1594" s="475"/>
      <c r="T1594" s="475"/>
      <c r="U1594" s="475"/>
      <c r="V1594" s="475"/>
      <c r="W1594" s="475"/>
    </row>
    <row r="1595" spans="2:23" s="97" customFormat="1">
      <c r="B1595" s="96"/>
      <c r="H1595" s="96"/>
      <c r="J1595" s="1"/>
      <c r="K1595" s="1"/>
      <c r="L1595" s="1"/>
      <c r="O1595" s="475"/>
      <c r="P1595" s="475"/>
      <c r="Q1595" s="475"/>
      <c r="R1595" s="475"/>
      <c r="S1595" s="475"/>
      <c r="T1595" s="475"/>
      <c r="U1595" s="475"/>
      <c r="V1595" s="475"/>
      <c r="W1595" s="475"/>
    </row>
    <row r="1596" spans="2:23" s="97" customFormat="1">
      <c r="B1596" s="96"/>
      <c r="H1596" s="96"/>
      <c r="J1596" s="1"/>
      <c r="K1596" s="1"/>
      <c r="L1596" s="1"/>
      <c r="O1596" s="475"/>
      <c r="P1596" s="475"/>
      <c r="Q1596" s="475"/>
      <c r="R1596" s="475"/>
      <c r="S1596" s="475"/>
      <c r="T1596" s="475"/>
      <c r="U1596" s="475"/>
      <c r="V1596" s="475"/>
      <c r="W1596" s="475"/>
    </row>
    <row r="1597" spans="2:23" s="97" customFormat="1">
      <c r="B1597" s="96"/>
      <c r="H1597" s="96"/>
      <c r="J1597" s="1"/>
      <c r="K1597" s="1"/>
      <c r="L1597" s="1"/>
      <c r="O1597" s="475"/>
      <c r="P1597" s="475"/>
      <c r="Q1597" s="475"/>
      <c r="R1597" s="475"/>
      <c r="S1597" s="475"/>
      <c r="T1597" s="475"/>
      <c r="U1597" s="475"/>
      <c r="V1597" s="475"/>
      <c r="W1597" s="475"/>
    </row>
    <row r="1598" spans="2:23" s="97" customFormat="1">
      <c r="B1598" s="96"/>
      <c r="H1598" s="96"/>
      <c r="J1598" s="1"/>
      <c r="K1598" s="1"/>
      <c r="L1598" s="1"/>
      <c r="O1598" s="475"/>
      <c r="P1598" s="475"/>
      <c r="Q1598" s="475"/>
      <c r="R1598" s="475"/>
      <c r="S1598" s="475"/>
      <c r="T1598" s="475"/>
      <c r="U1598" s="475"/>
      <c r="V1598" s="475"/>
      <c r="W1598" s="475"/>
    </row>
    <row r="1599" spans="2:23" s="97" customFormat="1">
      <c r="B1599" s="96"/>
      <c r="H1599" s="96"/>
      <c r="J1599" s="1"/>
      <c r="K1599" s="1"/>
      <c r="L1599" s="1"/>
      <c r="O1599" s="475"/>
      <c r="P1599" s="475"/>
      <c r="Q1599" s="475"/>
      <c r="R1599" s="475"/>
      <c r="S1599" s="475"/>
      <c r="T1599" s="475"/>
      <c r="U1599" s="475"/>
      <c r="V1599" s="475"/>
      <c r="W1599" s="475"/>
    </row>
    <row r="1600" spans="2:23" s="97" customFormat="1">
      <c r="B1600" s="96"/>
      <c r="H1600" s="96"/>
      <c r="J1600" s="1"/>
      <c r="K1600" s="1"/>
      <c r="L1600" s="1"/>
      <c r="O1600" s="475"/>
      <c r="P1600" s="475"/>
      <c r="Q1600" s="475"/>
      <c r="R1600" s="475"/>
      <c r="S1600" s="475"/>
      <c r="T1600" s="475"/>
      <c r="U1600" s="475"/>
      <c r="V1600" s="475"/>
      <c r="W1600" s="475"/>
    </row>
    <row r="1601" spans="2:23" s="97" customFormat="1">
      <c r="B1601" s="96"/>
      <c r="H1601" s="96"/>
      <c r="J1601" s="1"/>
      <c r="K1601" s="1"/>
      <c r="L1601" s="1"/>
      <c r="O1601" s="475"/>
      <c r="P1601" s="475"/>
      <c r="Q1601" s="475"/>
      <c r="R1601" s="475"/>
      <c r="S1601" s="475"/>
      <c r="T1601" s="475"/>
      <c r="U1601" s="475"/>
      <c r="V1601" s="475"/>
      <c r="W1601" s="475"/>
    </row>
    <row r="1602" spans="2:23" s="97" customFormat="1">
      <c r="B1602" s="96"/>
      <c r="H1602" s="96"/>
      <c r="J1602" s="1"/>
      <c r="K1602" s="1"/>
      <c r="L1602" s="1"/>
      <c r="O1602" s="475"/>
      <c r="P1602" s="475"/>
      <c r="Q1602" s="475"/>
      <c r="R1602" s="475"/>
      <c r="S1602" s="475"/>
      <c r="T1602" s="475"/>
      <c r="U1602" s="475"/>
      <c r="V1602" s="475"/>
      <c r="W1602" s="475"/>
    </row>
    <row r="1603" spans="2:23" s="97" customFormat="1">
      <c r="B1603" s="96"/>
      <c r="H1603" s="96"/>
      <c r="J1603" s="1"/>
      <c r="K1603" s="1"/>
      <c r="L1603" s="1"/>
      <c r="O1603" s="475"/>
      <c r="P1603" s="475"/>
      <c r="Q1603" s="475"/>
      <c r="R1603" s="475"/>
      <c r="S1603" s="475"/>
      <c r="T1603" s="475"/>
      <c r="U1603" s="475"/>
      <c r="V1603" s="475"/>
      <c r="W1603" s="475"/>
    </row>
    <row r="1604" spans="2:23" s="97" customFormat="1">
      <c r="B1604" s="96"/>
      <c r="H1604" s="96"/>
      <c r="J1604" s="1"/>
      <c r="K1604" s="1"/>
      <c r="L1604" s="1"/>
      <c r="O1604" s="475"/>
      <c r="P1604" s="475"/>
      <c r="Q1604" s="475"/>
      <c r="R1604" s="475"/>
      <c r="S1604" s="475"/>
      <c r="T1604" s="475"/>
      <c r="U1604" s="475"/>
      <c r="V1604" s="475"/>
      <c r="W1604" s="475"/>
    </row>
    <row r="1605" spans="2:23" s="97" customFormat="1">
      <c r="B1605" s="96"/>
      <c r="H1605" s="96"/>
      <c r="J1605" s="1"/>
      <c r="K1605" s="1"/>
      <c r="L1605" s="1"/>
      <c r="O1605" s="475"/>
      <c r="P1605" s="475"/>
      <c r="Q1605" s="475"/>
      <c r="R1605" s="475"/>
      <c r="S1605" s="475"/>
      <c r="T1605" s="475"/>
      <c r="U1605" s="475"/>
      <c r="V1605" s="475"/>
      <c r="W1605" s="475"/>
    </row>
    <row r="1606" spans="2:23" s="97" customFormat="1">
      <c r="B1606" s="96"/>
      <c r="H1606" s="96"/>
      <c r="J1606" s="1"/>
      <c r="K1606" s="1"/>
      <c r="L1606" s="1"/>
      <c r="O1606" s="475"/>
      <c r="P1606" s="475"/>
      <c r="Q1606" s="475"/>
      <c r="R1606" s="475"/>
      <c r="S1606" s="475"/>
      <c r="T1606" s="475"/>
      <c r="U1606" s="475"/>
      <c r="V1606" s="475"/>
      <c r="W1606" s="475"/>
    </row>
    <row r="1607" spans="2:23" s="97" customFormat="1">
      <c r="B1607" s="96"/>
      <c r="H1607" s="96"/>
      <c r="J1607" s="1"/>
      <c r="K1607" s="1"/>
      <c r="L1607" s="1"/>
      <c r="O1607" s="475"/>
      <c r="P1607" s="475"/>
      <c r="Q1607" s="475"/>
      <c r="R1607" s="475"/>
      <c r="S1607" s="475"/>
      <c r="T1607" s="475"/>
      <c r="U1607" s="475"/>
      <c r="V1607" s="475"/>
      <c r="W1607" s="475"/>
    </row>
    <row r="1608" spans="2:23" s="97" customFormat="1">
      <c r="B1608" s="96"/>
      <c r="H1608" s="96"/>
      <c r="J1608" s="1"/>
      <c r="K1608" s="1"/>
      <c r="L1608" s="1"/>
      <c r="O1608" s="475"/>
      <c r="P1608" s="475"/>
      <c r="Q1608" s="475"/>
      <c r="R1608" s="475"/>
      <c r="S1608" s="475"/>
      <c r="T1608" s="475"/>
      <c r="U1608" s="475"/>
      <c r="V1608" s="475"/>
      <c r="W1608" s="475"/>
    </row>
    <row r="1609" spans="2:23" s="97" customFormat="1">
      <c r="B1609" s="96"/>
      <c r="H1609" s="96"/>
      <c r="J1609" s="1"/>
      <c r="K1609" s="1"/>
      <c r="L1609" s="1"/>
      <c r="O1609" s="475"/>
      <c r="P1609" s="475"/>
      <c r="Q1609" s="475"/>
      <c r="R1609" s="475"/>
      <c r="S1609" s="475"/>
      <c r="T1609" s="475"/>
      <c r="U1609" s="475"/>
      <c r="V1609" s="475"/>
      <c r="W1609" s="475"/>
    </row>
    <row r="1610" spans="2:23" s="97" customFormat="1">
      <c r="B1610" s="96"/>
      <c r="H1610" s="96"/>
      <c r="J1610" s="1"/>
      <c r="K1610" s="1"/>
      <c r="L1610" s="1"/>
      <c r="O1610" s="475"/>
      <c r="P1610" s="475"/>
      <c r="Q1610" s="475"/>
      <c r="R1610" s="475"/>
      <c r="S1610" s="475"/>
      <c r="T1610" s="475"/>
      <c r="U1610" s="475"/>
      <c r="V1610" s="475"/>
      <c r="W1610" s="475"/>
    </row>
    <row r="1611" spans="2:23" s="97" customFormat="1">
      <c r="B1611" s="96"/>
      <c r="H1611" s="96"/>
      <c r="J1611" s="1"/>
      <c r="K1611" s="1"/>
      <c r="L1611" s="1"/>
      <c r="O1611" s="475"/>
      <c r="P1611" s="475"/>
      <c r="Q1611" s="475"/>
      <c r="R1611" s="475"/>
      <c r="S1611" s="475"/>
      <c r="T1611" s="475"/>
      <c r="U1611" s="475"/>
      <c r="V1611" s="475"/>
      <c r="W1611" s="475"/>
    </row>
    <row r="1612" spans="2:23" s="97" customFormat="1">
      <c r="B1612" s="96"/>
      <c r="H1612" s="96"/>
      <c r="J1612" s="1"/>
      <c r="K1612" s="1"/>
      <c r="L1612" s="1"/>
      <c r="O1612" s="475"/>
      <c r="P1612" s="475"/>
      <c r="Q1612" s="475"/>
      <c r="R1612" s="475"/>
      <c r="S1612" s="475"/>
      <c r="T1612" s="475"/>
      <c r="U1612" s="475"/>
      <c r="V1612" s="475"/>
      <c r="W1612" s="475"/>
    </row>
    <row r="1613" spans="2:23" s="97" customFormat="1">
      <c r="B1613" s="96"/>
      <c r="H1613" s="96"/>
      <c r="J1613" s="1"/>
      <c r="K1613" s="1"/>
      <c r="L1613" s="1"/>
      <c r="O1613" s="475"/>
      <c r="P1613" s="475"/>
      <c r="Q1613" s="475"/>
      <c r="R1613" s="475"/>
      <c r="S1613" s="475"/>
      <c r="T1613" s="475"/>
      <c r="U1613" s="475"/>
      <c r="V1613" s="475"/>
      <c r="W1613" s="475"/>
    </row>
    <row r="1614" spans="2:23" s="97" customFormat="1">
      <c r="B1614" s="96"/>
      <c r="H1614" s="96"/>
      <c r="J1614" s="1"/>
      <c r="K1614" s="1"/>
      <c r="L1614" s="1"/>
      <c r="O1614" s="475"/>
      <c r="P1614" s="475"/>
      <c r="Q1614" s="475"/>
      <c r="R1614" s="475"/>
      <c r="S1614" s="475"/>
      <c r="T1614" s="475"/>
      <c r="U1614" s="475"/>
      <c r="V1614" s="475"/>
      <c r="W1614" s="475"/>
    </row>
    <row r="1615" spans="2:23" s="97" customFormat="1">
      <c r="B1615" s="96"/>
      <c r="H1615" s="96"/>
      <c r="J1615" s="1"/>
      <c r="K1615" s="1"/>
      <c r="L1615" s="1"/>
      <c r="O1615" s="475"/>
      <c r="P1615" s="475"/>
      <c r="Q1615" s="475"/>
      <c r="R1615" s="475"/>
      <c r="S1615" s="475"/>
      <c r="T1615" s="475"/>
      <c r="U1615" s="475"/>
      <c r="V1615" s="475"/>
      <c r="W1615" s="475"/>
    </row>
    <row r="1616" spans="2:23" s="97" customFormat="1">
      <c r="B1616" s="96"/>
      <c r="H1616" s="96"/>
      <c r="J1616" s="1"/>
      <c r="K1616" s="1"/>
      <c r="L1616" s="1"/>
      <c r="O1616" s="475"/>
      <c r="P1616" s="475"/>
      <c r="Q1616" s="475"/>
      <c r="R1616" s="475"/>
      <c r="S1616" s="475"/>
      <c r="T1616" s="475"/>
      <c r="U1616" s="475"/>
      <c r="V1616" s="475"/>
      <c r="W1616" s="475"/>
    </row>
    <row r="1617" spans="2:23" s="97" customFormat="1">
      <c r="B1617" s="96"/>
      <c r="H1617" s="96"/>
      <c r="J1617" s="1"/>
      <c r="K1617" s="1"/>
      <c r="L1617" s="1"/>
      <c r="O1617" s="475"/>
      <c r="P1617" s="475"/>
      <c r="Q1617" s="475"/>
      <c r="R1617" s="475"/>
      <c r="S1617" s="475"/>
      <c r="T1617" s="475"/>
      <c r="U1617" s="475"/>
      <c r="V1617" s="475"/>
      <c r="W1617" s="475"/>
    </row>
    <row r="1618" spans="2:23" s="97" customFormat="1">
      <c r="B1618" s="96"/>
      <c r="H1618" s="96"/>
      <c r="J1618" s="1"/>
      <c r="K1618" s="1"/>
      <c r="L1618" s="1"/>
      <c r="O1618" s="475"/>
      <c r="P1618" s="475"/>
      <c r="Q1618" s="475"/>
      <c r="R1618" s="475"/>
      <c r="S1618" s="475"/>
      <c r="T1618" s="475"/>
      <c r="U1618" s="475"/>
      <c r="V1618" s="475"/>
      <c r="W1618" s="475"/>
    </row>
    <row r="1619" spans="2:23" s="97" customFormat="1">
      <c r="B1619" s="96"/>
      <c r="H1619" s="96"/>
      <c r="J1619" s="1"/>
      <c r="K1619" s="1"/>
      <c r="L1619" s="1"/>
      <c r="O1619" s="475"/>
      <c r="P1619" s="475"/>
      <c r="Q1619" s="475"/>
      <c r="R1619" s="475"/>
      <c r="S1619" s="475"/>
      <c r="T1619" s="475"/>
      <c r="U1619" s="475"/>
      <c r="V1619" s="475"/>
      <c r="W1619" s="475"/>
    </row>
    <row r="1620" spans="2:23" s="97" customFormat="1">
      <c r="B1620" s="96"/>
      <c r="H1620" s="96"/>
      <c r="J1620" s="1"/>
      <c r="K1620" s="1"/>
      <c r="L1620" s="1"/>
      <c r="O1620" s="475"/>
      <c r="P1620" s="475"/>
      <c r="Q1620" s="475"/>
      <c r="R1620" s="475"/>
      <c r="S1620" s="475"/>
      <c r="T1620" s="475"/>
      <c r="U1620" s="475"/>
      <c r="V1620" s="475"/>
      <c r="W1620" s="475"/>
    </row>
    <row r="1621" spans="2:23" s="97" customFormat="1">
      <c r="B1621" s="96"/>
      <c r="H1621" s="96"/>
      <c r="J1621" s="1"/>
      <c r="K1621" s="1"/>
      <c r="L1621" s="1"/>
      <c r="O1621" s="475"/>
      <c r="P1621" s="475"/>
      <c r="Q1621" s="475"/>
      <c r="R1621" s="475"/>
      <c r="S1621" s="475"/>
      <c r="T1621" s="475"/>
      <c r="U1621" s="475"/>
      <c r="V1621" s="475"/>
      <c r="W1621" s="475"/>
    </row>
    <row r="1622" spans="2:23" s="97" customFormat="1">
      <c r="B1622" s="96"/>
      <c r="H1622" s="96"/>
      <c r="J1622" s="1"/>
      <c r="K1622" s="1"/>
      <c r="L1622" s="1"/>
      <c r="O1622" s="475"/>
      <c r="P1622" s="475"/>
      <c r="Q1622" s="475"/>
      <c r="R1622" s="475"/>
      <c r="S1622" s="475"/>
      <c r="T1622" s="475"/>
      <c r="U1622" s="475"/>
      <c r="V1622" s="475"/>
      <c r="W1622" s="475"/>
    </row>
    <row r="1623" spans="2:23" s="97" customFormat="1">
      <c r="B1623" s="96"/>
      <c r="H1623" s="96"/>
      <c r="J1623" s="1"/>
      <c r="K1623" s="1"/>
      <c r="L1623" s="1"/>
      <c r="O1623" s="475"/>
      <c r="P1623" s="475"/>
      <c r="Q1623" s="475"/>
      <c r="R1623" s="475"/>
      <c r="S1623" s="475"/>
      <c r="T1623" s="475"/>
      <c r="U1623" s="475"/>
      <c r="V1623" s="475"/>
      <c r="W1623" s="475"/>
    </row>
    <row r="1624" spans="2:23" s="97" customFormat="1">
      <c r="B1624" s="96"/>
      <c r="H1624" s="96"/>
      <c r="J1624" s="1"/>
      <c r="K1624" s="1"/>
      <c r="L1624" s="1"/>
      <c r="O1624" s="475"/>
      <c r="P1624" s="475"/>
      <c r="Q1624" s="475"/>
      <c r="R1624" s="475"/>
      <c r="S1624" s="475"/>
      <c r="T1624" s="475"/>
      <c r="U1624" s="475"/>
      <c r="V1624" s="475"/>
      <c r="W1624" s="475"/>
    </row>
    <row r="1625" spans="2:23" s="97" customFormat="1">
      <c r="B1625" s="96"/>
      <c r="H1625" s="96"/>
      <c r="J1625" s="1"/>
      <c r="K1625" s="1"/>
      <c r="L1625" s="1"/>
      <c r="O1625" s="475"/>
      <c r="P1625" s="475"/>
      <c r="Q1625" s="475"/>
      <c r="R1625" s="475"/>
      <c r="S1625" s="475"/>
      <c r="T1625" s="475"/>
      <c r="U1625" s="475"/>
      <c r="V1625" s="475"/>
      <c r="W1625" s="475"/>
    </row>
    <row r="1626" spans="2:23" s="97" customFormat="1">
      <c r="B1626" s="96"/>
      <c r="H1626" s="96"/>
      <c r="J1626" s="1"/>
      <c r="K1626" s="1"/>
      <c r="L1626" s="1"/>
      <c r="O1626" s="475"/>
      <c r="P1626" s="475"/>
      <c r="Q1626" s="475"/>
      <c r="R1626" s="475"/>
      <c r="S1626" s="475"/>
      <c r="T1626" s="475"/>
      <c r="U1626" s="475"/>
      <c r="V1626" s="475"/>
      <c r="W1626" s="475"/>
    </row>
    <row r="1627" spans="2:23" s="97" customFormat="1">
      <c r="B1627" s="96"/>
      <c r="H1627" s="96"/>
      <c r="J1627" s="1"/>
      <c r="K1627" s="1"/>
      <c r="L1627" s="1"/>
      <c r="O1627" s="475"/>
      <c r="P1627" s="475"/>
      <c r="Q1627" s="475"/>
      <c r="R1627" s="475"/>
      <c r="S1627" s="475"/>
      <c r="T1627" s="475"/>
      <c r="U1627" s="475"/>
      <c r="V1627" s="475"/>
      <c r="W1627" s="475"/>
    </row>
    <row r="1628" spans="2:23" s="97" customFormat="1">
      <c r="B1628" s="96"/>
      <c r="H1628" s="96"/>
      <c r="J1628" s="1"/>
      <c r="K1628" s="1"/>
      <c r="L1628" s="1"/>
      <c r="O1628" s="475"/>
      <c r="P1628" s="475"/>
      <c r="Q1628" s="475"/>
      <c r="R1628" s="475"/>
      <c r="S1628" s="475"/>
      <c r="T1628" s="475"/>
      <c r="U1628" s="475"/>
      <c r="V1628" s="475"/>
      <c r="W1628" s="475"/>
    </row>
    <row r="1629" spans="2:23" s="97" customFormat="1">
      <c r="B1629" s="96"/>
      <c r="H1629" s="96"/>
      <c r="J1629" s="1"/>
      <c r="K1629" s="1"/>
      <c r="L1629" s="1"/>
      <c r="O1629" s="475"/>
      <c r="P1629" s="475"/>
      <c r="Q1629" s="475"/>
      <c r="R1629" s="475"/>
      <c r="S1629" s="475"/>
      <c r="T1629" s="475"/>
      <c r="U1629" s="475"/>
      <c r="V1629" s="475"/>
      <c r="W1629" s="475"/>
    </row>
    <row r="1630" spans="2:23" s="97" customFormat="1">
      <c r="B1630" s="96"/>
      <c r="H1630" s="96"/>
      <c r="J1630" s="1"/>
      <c r="K1630" s="1"/>
      <c r="L1630" s="1"/>
      <c r="O1630" s="475"/>
      <c r="P1630" s="475"/>
      <c r="Q1630" s="475"/>
      <c r="R1630" s="475"/>
      <c r="S1630" s="475"/>
      <c r="T1630" s="475"/>
      <c r="U1630" s="475"/>
      <c r="V1630" s="475"/>
      <c r="W1630" s="475"/>
    </row>
    <row r="1631" spans="2:23" s="97" customFormat="1">
      <c r="B1631" s="96"/>
      <c r="H1631" s="96"/>
      <c r="J1631" s="1"/>
      <c r="K1631" s="1"/>
      <c r="L1631" s="1"/>
      <c r="O1631" s="475"/>
      <c r="P1631" s="475"/>
      <c r="Q1631" s="475"/>
      <c r="R1631" s="475"/>
      <c r="S1631" s="475"/>
      <c r="T1631" s="475"/>
      <c r="U1631" s="475"/>
      <c r="V1631" s="475"/>
      <c r="W1631" s="475"/>
    </row>
    <row r="1632" spans="2:23" s="97" customFormat="1">
      <c r="B1632" s="96"/>
      <c r="H1632" s="96"/>
      <c r="J1632" s="1"/>
      <c r="K1632" s="1"/>
      <c r="L1632" s="1"/>
      <c r="O1632" s="475"/>
      <c r="P1632" s="475"/>
      <c r="Q1632" s="475"/>
      <c r="R1632" s="475"/>
      <c r="S1632" s="475"/>
      <c r="T1632" s="475"/>
      <c r="U1632" s="475"/>
      <c r="V1632" s="475"/>
      <c r="W1632" s="475"/>
    </row>
    <row r="1633" spans="2:23" s="97" customFormat="1">
      <c r="B1633" s="96"/>
      <c r="H1633" s="96"/>
      <c r="J1633" s="1"/>
      <c r="K1633" s="1"/>
      <c r="L1633" s="1"/>
      <c r="O1633" s="475"/>
      <c r="P1633" s="475"/>
      <c r="Q1633" s="475"/>
      <c r="R1633" s="475"/>
      <c r="S1633" s="475"/>
      <c r="T1633" s="475"/>
      <c r="U1633" s="475"/>
      <c r="V1633" s="475"/>
      <c r="W1633" s="475"/>
    </row>
    <row r="1634" spans="2:23" s="97" customFormat="1">
      <c r="B1634" s="96"/>
      <c r="H1634" s="96"/>
      <c r="J1634" s="1"/>
      <c r="K1634" s="1"/>
      <c r="L1634" s="1"/>
      <c r="O1634" s="475"/>
      <c r="P1634" s="475"/>
      <c r="Q1634" s="475"/>
      <c r="R1634" s="475"/>
      <c r="S1634" s="475"/>
      <c r="T1634" s="475"/>
      <c r="U1634" s="475"/>
      <c r="V1634" s="475"/>
      <c r="W1634" s="475"/>
    </row>
    <row r="1635" spans="2:23" s="97" customFormat="1">
      <c r="B1635" s="96"/>
      <c r="H1635" s="96"/>
      <c r="J1635" s="1"/>
      <c r="K1635" s="1"/>
      <c r="L1635" s="1"/>
      <c r="O1635" s="475"/>
      <c r="P1635" s="475"/>
      <c r="Q1635" s="475"/>
      <c r="R1635" s="475"/>
      <c r="S1635" s="475"/>
      <c r="T1635" s="475"/>
      <c r="U1635" s="475"/>
      <c r="V1635" s="475"/>
      <c r="W1635" s="475"/>
    </row>
    <row r="1636" spans="2:23" s="97" customFormat="1">
      <c r="B1636" s="96"/>
      <c r="H1636" s="96"/>
      <c r="J1636" s="1"/>
      <c r="K1636" s="1"/>
      <c r="L1636" s="1"/>
      <c r="O1636" s="475"/>
      <c r="P1636" s="475"/>
      <c r="Q1636" s="475"/>
      <c r="R1636" s="475"/>
      <c r="S1636" s="475"/>
      <c r="T1636" s="475"/>
      <c r="U1636" s="475"/>
      <c r="V1636" s="475"/>
      <c r="W1636" s="475"/>
    </row>
    <row r="1637" spans="2:23" s="97" customFormat="1">
      <c r="B1637" s="96"/>
      <c r="H1637" s="96"/>
      <c r="J1637" s="1"/>
      <c r="K1637" s="1"/>
      <c r="L1637" s="1"/>
      <c r="O1637" s="475"/>
      <c r="P1637" s="475"/>
      <c r="Q1637" s="475"/>
      <c r="R1637" s="475"/>
      <c r="S1637" s="475"/>
      <c r="T1637" s="475"/>
      <c r="U1637" s="475"/>
      <c r="V1637" s="475"/>
      <c r="W1637" s="475"/>
    </row>
    <row r="1638" spans="2:23" s="97" customFormat="1">
      <c r="B1638" s="96"/>
      <c r="H1638" s="96"/>
      <c r="J1638" s="1"/>
      <c r="K1638" s="1"/>
      <c r="L1638" s="1"/>
      <c r="O1638" s="475"/>
      <c r="P1638" s="475"/>
      <c r="Q1638" s="475"/>
      <c r="R1638" s="475"/>
      <c r="S1638" s="475"/>
      <c r="T1638" s="475"/>
      <c r="U1638" s="475"/>
      <c r="V1638" s="475"/>
      <c r="W1638" s="475"/>
    </row>
    <row r="1639" spans="2:23" s="97" customFormat="1">
      <c r="B1639" s="96"/>
      <c r="H1639" s="96"/>
      <c r="J1639" s="1"/>
      <c r="K1639" s="1"/>
      <c r="L1639" s="1"/>
      <c r="O1639" s="475"/>
      <c r="P1639" s="475"/>
      <c r="Q1639" s="475"/>
      <c r="R1639" s="475"/>
      <c r="S1639" s="475"/>
      <c r="T1639" s="475"/>
      <c r="U1639" s="475"/>
      <c r="V1639" s="475"/>
      <c r="W1639" s="475"/>
    </row>
    <row r="1640" spans="2:23" s="97" customFormat="1">
      <c r="B1640" s="96"/>
      <c r="H1640" s="96"/>
      <c r="J1640" s="1"/>
      <c r="K1640" s="1"/>
      <c r="L1640" s="1"/>
      <c r="O1640" s="475"/>
      <c r="P1640" s="475"/>
      <c r="Q1640" s="475"/>
      <c r="R1640" s="475"/>
      <c r="S1640" s="475"/>
      <c r="T1640" s="475"/>
      <c r="U1640" s="475"/>
      <c r="V1640" s="475"/>
      <c r="W1640" s="475"/>
    </row>
    <row r="1641" spans="2:23" s="97" customFormat="1">
      <c r="B1641" s="96"/>
      <c r="H1641" s="96"/>
      <c r="J1641" s="1"/>
      <c r="K1641" s="1"/>
      <c r="L1641" s="1"/>
      <c r="O1641" s="475"/>
      <c r="P1641" s="475"/>
      <c r="Q1641" s="475"/>
      <c r="R1641" s="475"/>
      <c r="S1641" s="475"/>
      <c r="T1641" s="475"/>
      <c r="U1641" s="475"/>
      <c r="V1641" s="475"/>
      <c r="W1641" s="475"/>
    </row>
    <row r="1642" spans="2:23" s="97" customFormat="1">
      <c r="B1642" s="96"/>
      <c r="H1642" s="96"/>
      <c r="J1642" s="1"/>
      <c r="K1642" s="1"/>
      <c r="L1642" s="1"/>
      <c r="O1642" s="475"/>
      <c r="P1642" s="475"/>
      <c r="Q1642" s="475"/>
      <c r="R1642" s="475"/>
      <c r="S1642" s="475"/>
      <c r="T1642" s="475"/>
      <c r="U1642" s="475"/>
      <c r="V1642" s="475"/>
      <c r="W1642" s="475"/>
    </row>
    <row r="1643" spans="2:23" s="97" customFormat="1">
      <c r="B1643" s="96"/>
      <c r="H1643" s="96"/>
      <c r="J1643" s="1"/>
      <c r="K1643" s="1"/>
      <c r="L1643" s="1"/>
      <c r="O1643" s="475"/>
      <c r="P1643" s="475"/>
      <c r="Q1643" s="475"/>
      <c r="R1643" s="475"/>
      <c r="S1643" s="475"/>
      <c r="T1643" s="475"/>
      <c r="U1643" s="475"/>
      <c r="V1643" s="475"/>
      <c r="W1643" s="475"/>
    </row>
    <row r="1644" spans="2:23" s="97" customFormat="1">
      <c r="B1644" s="96"/>
      <c r="H1644" s="96"/>
      <c r="J1644" s="1"/>
      <c r="K1644" s="1"/>
      <c r="L1644" s="1"/>
      <c r="O1644" s="475"/>
      <c r="P1644" s="475"/>
      <c r="Q1644" s="475"/>
      <c r="R1644" s="475"/>
      <c r="S1644" s="475"/>
      <c r="T1644" s="475"/>
      <c r="U1644" s="475"/>
      <c r="V1644" s="475"/>
      <c r="W1644" s="475"/>
    </row>
    <row r="1645" spans="2:23" s="97" customFormat="1">
      <c r="B1645" s="96"/>
      <c r="H1645" s="96"/>
      <c r="J1645" s="1"/>
      <c r="K1645" s="1"/>
      <c r="L1645" s="1"/>
      <c r="O1645" s="475"/>
      <c r="P1645" s="475"/>
      <c r="Q1645" s="475"/>
      <c r="R1645" s="475"/>
      <c r="S1645" s="475"/>
      <c r="T1645" s="475"/>
      <c r="U1645" s="475"/>
      <c r="V1645" s="475"/>
      <c r="W1645" s="475"/>
    </row>
    <row r="1646" spans="2:23" s="97" customFormat="1">
      <c r="B1646" s="96"/>
      <c r="H1646" s="96"/>
      <c r="J1646" s="1"/>
      <c r="K1646" s="1"/>
      <c r="L1646" s="1"/>
      <c r="O1646" s="475"/>
      <c r="P1646" s="475"/>
      <c r="Q1646" s="475"/>
      <c r="R1646" s="475"/>
      <c r="S1646" s="475"/>
      <c r="T1646" s="475"/>
      <c r="U1646" s="475"/>
      <c r="V1646" s="475"/>
      <c r="W1646" s="475"/>
    </row>
    <row r="1647" spans="2:23" s="97" customFormat="1">
      <c r="B1647" s="96"/>
      <c r="H1647" s="96"/>
      <c r="J1647" s="1"/>
      <c r="K1647" s="1"/>
      <c r="L1647" s="1"/>
      <c r="O1647" s="475"/>
      <c r="P1647" s="475"/>
      <c r="Q1647" s="475"/>
      <c r="R1647" s="475"/>
      <c r="S1647" s="475"/>
      <c r="T1647" s="475"/>
      <c r="U1647" s="475"/>
      <c r="V1647" s="475"/>
      <c r="W1647" s="475"/>
    </row>
    <row r="1648" spans="2:23" s="97" customFormat="1">
      <c r="B1648" s="96"/>
      <c r="H1648" s="96"/>
      <c r="J1648" s="1"/>
      <c r="K1648" s="1"/>
      <c r="L1648" s="1"/>
      <c r="O1648" s="475"/>
      <c r="P1648" s="475"/>
      <c r="Q1648" s="475"/>
      <c r="R1648" s="475"/>
      <c r="S1648" s="475"/>
      <c r="T1648" s="475"/>
      <c r="U1648" s="475"/>
      <c r="V1648" s="475"/>
      <c r="W1648" s="475"/>
    </row>
    <row r="1649" spans="2:23" s="97" customFormat="1">
      <c r="B1649" s="96"/>
      <c r="H1649" s="96"/>
      <c r="J1649" s="1"/>
      <c r="K1649" s="1"/>
      <c r="L1649" s="1"/>
      <c r="O1649" s="475"/>
      <c r="P1649" s="475"/>
      <c r="Q1649" s="475"/>
      <c r="R1649" s="475"/>
      <c r="S1649" s="475"/>
      <c r="T1649" s="475"/>
      <c r="U1649" s="475"/>
      <c r="V1649" s="475"/>
      <c r="W1649" s="475"/>
    </row>
    <row r="1650" spans="2:23" s="97" customFormat="1">
      <c r="B1650" s="96"/>
      <c r="H1650" s="96"/>
      <c r="J1650" s="1"/>
      <c r="K1650" s="1"/>
      <c r="L1650" s="1"/>
      <c r="O1650" s="475"/>
      <c r="P1650" s="475"/>
      <c r="Q1650" s="475"/>
      <c r="R1650" s="475"/>
      <c r="S1650" s="475"/>
      <c r="T1650" s="475"/>
      <c r="U1650" s="475"/>
      <c r="V1650" s="475"/>
      <c r="W1650" s="475"/>
    </row>
    <row r="1651" spans="2:23" s="97" customFormat="1">
      <c r="B1651" s="96"/>
      <c r="H1651" s="96"/>
      <c r="J1651" s="1"/>
      <c r="K1651" s="1"/>
      <c r="L1651" s="1"/>
      <c r="O1651" s="475"/>
      <c r="P1651" s="475"/>
      <c r="Q1651" s="475"/>
      <c r="R1651" s="475"/>
      <c r="S1651" s="475"/>
      <c r="T1651" s="475"/>
      <c r="U1651" s="475"/>
      <c r="V1651" s="475"/>
      <c r="W1651" s="475"/>
    </row>
    <row r="1652" spans="2:23" s="97" customFormat="1">
      <c r="B1652" s="96"/>
      <c r="H1652" s="96"/>
      <c r="J1652" s="1"/>
      <c r="K1652" s="1"/>
      <c r="L1652" s="1"/>
      <c r="O1652" s="475"/>
      <c r="P1652" s="475"/>
      <c r="Q1652" s="475"/>
      <c r="R1652" s="475"/>
      <c r="S1652" s="475"/>
      <c r="T1652" s="475"/>
      <c r="U1652" s="475"/>
      <c r="V1652" s="475"/>
      <c r="W1652" s="475"/>
    </row>
    <row r="1653" spans="2:23" s="97" customFormat="1">
      <c r="B1653" s="96"/>
      <c r="H1653" s="96"/>
      <c r="J1653" s="1"/>
      <c r="K1653" s="1"/>
      <c r="L1653" s="1"/>
      <c r="O1653" s="475"/>
      <c r="P1653" s="475"/>
      <c r="Q1653" s="475"/>
      <c r="R1653" s="475"/>
      <c r="S1653" s="475"/>
      <c r="T1653" s="475"/>
      <c r="U1653" s="475"/>
      <c r="V1653" s="475"/>
      <c r="W1653" s="475"/>
    </row>
    <row r="1654" spans="2:23" s="97" customFormat="1">
      <c r="B1654" s="96"/>
      <c r="H1654" s="96"/>
      <c r="J1654" s="1"/>
      <c r="K1654" s="1"/>
      <c r="L1654" s="1"/>
      <c r="O1654" s="475"/>
      <c r="P1654" s="475"/>
      <c r="Q1654" s="475"/>
      <c r="R1654" s="475"/>
      <c r="S1654" s="475"/>
      <c r="T1654" s="475"/>
      <c r="U1654" s="475"/>
      <c r="V1654" s="475"/>
      <c r="W1654" s="475"/>
    </row>
    <row r="1655" spans="2:23" s="97" customFormat="1">
      <c r="B1655" s="96"/>
      <c r="H1655" s="96"/>
      <c r="J1655" s="1"/>
      <c r="K1655" s="1"/>
      <c r="L1655" s="1"/>
      <c r="O1655" s="475"/>
      <c r="P1655" s="475"/>
      <c r="Q1655" s="475"/>
      <c r="R1655" s="475"/>
      <c r="S1655" s="475"/>
      <c r="T1655" s="475"/>
      <c r="U1655" s="475"/>
      <c r="V1655" s="475"/>
      <c r="W1655" s="475"/>
    </row>
    <row r="1656" spans="2:23" s="97" customFormat="1">
      <c r="B1656" s="96"/>
      <c r="H1656" s="96"/>
      <c r="J1656" s="1"/>
      <c r="K1656" s="1"/>
      <c r="L1656" s="1"/>
      <c r="O1656" s="475"/>
      <c r="P1656" s="475"/>
      <c r="Q1656" s="475"/>
      <c r="R1656" s="475"/>
      <c r="S1656" s="475"/>
      <c r="T1656" s="475"/>
      <c r="U1656" s="475"/>
      <c r="V1656" s="475"/>
      <c r="W1656" s="475"/>
    </row>
    <row r="1657" spans="2:23" s="97" customFormat="1">
      <c r="B1657" s="96"/>
      <c r="H1657" s="96"/>
      <c r="J1657" s="1"/>
      <c r="K1657" s="1"/>
      <c r="L1657" s="1"/>
      <c r="O1657" s="475"/>
      <c r="P1657" s="475"/>
      <c r="Q1657" s="475"/>
      <c r="R1657" s="475"/>
      <c r="S1657" s="475"/>
      <c r="T1657" s="475"/>
      <c r="U1657" s="475"/>
      <c r="V1657" s="475"/>
      <c r="W1657" s="475"/>
    </row>
    <row r="1658" spans="2:23" s="97" customFormat="1">
      <c r="B1658" s="96"/>
      <c r="H1658" s="96"/>
      <c r="J1658" s="1"/>
      <c r="K1658" s="1"/>
      <c r="L1658" s="1"/>
      <c r="O1658" s="475"/>
      <c r="P1658" s="475"/>
      <c r="Q1658" s="475"/>
      <c r="R1658" s="475"/>
      <c r="S1658" s="475"/>
      <c r="T1658" s="475"/>
      <c r="U1658" s="475"/>
      <c r="V1658" s="475"/>
      <c r="W1658" s="475"/>
    </row>
    <row r="1659" spans="2:23" s="97" customFormat="1">
      <c r="B1659" s="96"/>
      <c r="H1659" s="96"/>
      <c r="J1659" s="1"/>
      <c r="K1659" s="1"/>
      <c r="L1659" s="1"/>
      <c r="O1659" s="475"/>
      <c r="P1659" s="475"/>
      <c r="Q1659" s="475"/>
      <c r="R1659" s="475"/>
      <c r="S1659" s="475"/>
      <c r="T1659" s="475"/>
      <c r="U1659" s="475"/>
      <c r="V1659" s="475"/>
      <c r="W1659" s="475"/>
    </row>
    <row r="1660" spans="2:23" s="97" customFormat="1">
      <c r="B1660" s="96"/>
      <c r="H1660" s="96"/>
      <c r="J1660" s="1"/>
      <c r="K1660" s="1"/>
      <c r="L1660" s="1"/>
      <c r="O1660" s="475"/>
      <c r="P1660" s="475"/>
      <c r="Q1660" s="475"/>
      <c r="R1660" s="475"/>
      <c r="S1660" s="475"/>
      <c r="T1660" s="475"/>
      <c r="U1660" s="475"/>
      <c r="V1660" s="475"/>
      <c r="W1660" s="475"/>
    </row>
    <row r="1661" spans="2:23" s="97" customFormat="1">
      <c r="B1661" s="96"/>
      <c r="H1661" s="96"/>
      <c r="J1661" s="1"/>
      <c r="K1661" s="1"/>
      <c r="L1661" s="1"/>
      <c r="O1661" s="475"/>
      <c r="P1661" s="475"/>
      <c r="Q1661" s="475"/>
      <c r="R1661" s="475"/>
      <c r="S1661" s="475"/>
      <c r="T1661" s="475"/>
      <c r="U1661" s="475"/>
      <c r="V1661" s="475"/>
      <c r="W1661" s="475"/>
    </row>
    <row r="1662" spans="2:23" s="97" customFormat="1">
      <c r="B1662" s="96"/>
      <c r="H1662" s="96"/>
      <c r="J1662" s="1"/>
      <c r="K1662" s="1"/>
      <c r="L1662" s="1"/>
      <c r="O1662" s="475"/>
      <c r="P1662" s="475"/>
      <c r="Q1662" s="475"/>
      <c r="R1662" s="475"/>
      <c r="S1662" s="475"/>
      <c r="T1662" s="475"/>
      <c r="U1662" s="475"/>
      <c r="V1662" s="475"/>
      <c r="W1662" s="475"/>
    </row>
    <row r="1663" spans="2:23" s="97" customFormat="1">
      <c r="B1663" s="96"/>
      <c r="H1663" s="96"/>
      <c r="J1663" s="1"/>
      <c r="K1663" s="1"/>
      <c r="L1663" s="1"/>
      <c r="O1663" s="475"/>
      <c r="P1663" s="475"/>
      <c r="Q1663" s="475"/>
      <c r="R1663" s="475"/>
      <c r="S1663" s="475"/>
      <c r="T1663" s="475"/>
      <c r="U1663" s="475"/>
      <c r="V1663" s="475"/>
      <c r="W1663" s="475"/>
    </row>
    <row r="1664" spans="2:23" s="97" customFormat="1">
      <c r="B1664" s="96"/>
      <c r="H1664" s="96"/>
      <c r="J1664" s="1"/>
      <c r="K1664" s="1"/>
      <c r="L1664" s="1"/>
      <c r="O1664" s="475"/>
      <c r="P1664" s="475"/>
      <c r="Q1664" s="475"/>
      <c r="R1664" s="475"/>
      <c r="S1664" s="475"/>
      <c r="T1664" s="475"/>
      <c r="U1664" s="475"/>
      <c r="V1664" s="475"/>
      <c r="W1664" s="475"/>
    </row>
    <row r="1665" spans="2:23" s="97" customFormat="1">
      <c r="B1665" s="96"/>
      <c r="H1665" s="96"/>
      <c r="J1665" s="1"/>
      <c r="K1665" s="1"/>
      <c r="L1665" s="1"/>
      <c r="O1665" s="475"/>
      <c r="P1665" s="475"/>
      <c r="Q1665" s="475"/>
      <c r="R1665" s="475"/>
      <c r="S1665" s="475"/>
      <c r="T1665" s="475"/>
      <c r="U1665" s="475"/>
      <c r="V1665" s="475"/>
      <c r="W1665" s="475"/>
    </row>
    <row r="1666" spans="2:23" s="97" customFormat="1">
      <c r="B1666" s="96"/>
      <c r="H1666" s="96"/>
      <c r="J1666" s="1"/>
      <c r="K1666" s="1"/>
      <c r="L1666" s="1"/>
      <c r="O1666" s="475"/>
      <c r="P1666" s="475"/>
      <c r="Q1666" s="475"/>
      <c r="R1666" s="475"/>
      <c r="S1666" s="475"/>
      <c r="T1666" s="475"/>
      <c r="U1666" s="475"/>
      <c r="V1666" s="475"/>
      <c r="W1666" s="475"/>
    </row>
    <row r="1667" spans="2:23" s="97" customFormat="1">
      <c r="B1667" s="96"/>
      <c r="H1667" s="96"/>
      <c r="J1667" s="1"/>
      <c r="K1667" s="1"/>
      <c r="L1667" s="1"/>
      <c r="O1667" s="475"/>
      <c r="P1667" s="475"/>
      <c r="Q1667" s="475"/>
      <c r="R1667" s="475"/>
      <c r="S1667" s="475"/>
      <c r="T1667" s="475"/>
      <c r="U1667" s="475"/>
      <c r="V1667" s="475"/>
      <c r="W1667" s="475"/>
    </row>
    <row r="1668" spans="2:23" s="97" customFormat="1">
      <c r="B1668" s="96"/>
      <c r="H1668" s="96"/>
      <c r="J1668" s="1"/>
      <c r="K1668" s="1"/>
      <c r="L1668" s="1"/>
      <c r="O1668" s="475"/>
      <c r="P1668" s="475"/>
      <c r="Q1668" s="475"/>
      <c r="R1668" s="475"/>
      <c r="S1668" s="475"/>
      <c r="T1668" s="475"/>
      <c r="U1668" s="475"/>
      <c r="V1668" s="475"/>
      <c r="W1668" s="475"/>
    </row>
    <row r="1669" spans="2:23" s="97" customFormat="1">
      <c r="B1669" s="96"/>
      <c r="H1669" s="96"/>
      <c r="J1669" s="1"/>
      <c r="K1669" s="1"/>
      <c r="L1669" s="1"/>
      <c r="O1669" s="475"/>
      <c r="P1669" s="475"/>
      <c r="Q1669" s="475"/>
      <c r="R1669" s="475"/>
      <c r="S1669" s="475"/>
      <c r="T1669" s="475"/>
      <c r="U1669" s="475"/>
      <c r="V1669" s="475"/>
      <c r="W1669" s="475"/>
    </row>
    <row r="1670" spans="2:23" s="97" customFormat="1">
      <c r="B1670" s="96"/>
      <c r="H1670" s="96"/>
      <c r="J1670" s="1"/>
      <c r="K1670" s="1"/>
      <c r="L1670" s="1"/>
      <c r="O1670" s="475"/>
      <c r="P1670" s="475"/>
      <c r="Q1670" s="475"/>
      <c r="R1670" s="475"/>
      <c r="S1670" s="475"/>
      <c r="T1670" s="475"/>
      <c r="U1670" s="475"/>
      <c r="V1670" s="475"/>
      <c r="W1670" s="475"/>
    </row>
    <row r="1671" spans="2:23" s="97" customFormat="1">
      <c r="B1671" s="96"/>
      <c r="H1671" s="96"/>
      <c r="J1671" s="1"/>
      <c r="K1671" s="1"/>
      <c r="L1671" s="1"/>
      <c r="O1671" s="475"/>
      <c r="P1671" s="475"/>
      <c r="Q1671" s="475"/>
      <c r="R1671" s="475"/>
      <c r="S1671" s="475"/>
      <c r="T1671" s="475"/>
      <c r="U1671" s="475"/>
      <c r="V1671" s="475"/>
      <c r="W1671" s="475"/>
    </row>
    <row r="1672" spans="2:23" s="97" customFormat="1">
      <c r="B1672" s="96"/>
      <c r="H1672" s="96"/>
      <c r="J1672" s="1"/>
      <c r="K1672" s="1"/>
      <c r="L1672" s="1"/>
      <c r="O1672" s="475"/>
      <c r="P1672" s="475"/>
      <c r="Q1672" s="475"/>
      <c r="R1672" s="475"/>
      <c r="S1672" s="475"/>
      <c r="T1672" s="475"/>
      <c r="U1672" s="475"/>
      <c r="V1672" s="475"/>
      <c r="W1672" s="475"/>
    </row>
    <row r="1673" spans="2:23" s="97" customFormat="1">
      <c r="B1673" s="96"/>
      <c r="H1673" s="96"/>
      <c r="J1673" s="1"/>
      <c r="K1673" s="1"/>
      <c r="L1673" s="1"/>
      <c r="O1673" s="475"/>
      <c r="P1673" s="475"/>
      <c r="Q1673" s="475"/>
      <c r="R1673" s="475"/>
      <c r="S1673" s="475"/>
      <c r="T1673" s="475"/>
      <c r="U1673" s="475"/>
      <c r="V1673" s="475"/>
      <c r="W1673" s="475"/>
    </row>
    <row r="1674" spans="2:23" s="97" customFormat="1">
      <c r="B1674" s="96"/>
      <c r="H1674" s="96"/>
      <c r="J1674" s="1"/>
      <c r="K1674" s="1"/>
      <c r="L1674" s="1"/>
      <c r="O1674" s="475"/>
      <c r="P1674" s="475"/>
      <c r="Q1674" s="475"/>
      <c r="R1674" s="475"/>
      <c r="S1674" s="475"/>
      <c r="T1674" s="475"/>
      <c r="U1674" s="475"/>
      <c r="V1674" s="475"/>
      <c r="W1674" s="475"/>
    </row>
    <row r="1675" spans="2:23" s="97" customFormat="1">
      <c r="B1675" s="96"/>
      <c r="H1675" s="96"/>
      <c r="J1675" s="1"/>
      <c r="K1675" s="1"/>
      <c r="L1675" s="1"/>
      <c r="O1675" s="475"/>
      <c r="P1675" s="475"/>
      <c r="Q1675" s="475"/>
      <c r="R1675" s="475"/>
      <c r="S1675" s="475"/>
      <c r="T1675" s="475"/>
      <c r="U1675" s="475"/>
      <c r="V1675" s="475"/>
      <c r="W1675" s="475"/>
    </row>
    <row r="1676" spans="2:23" s="97" customFormat="1">
      <c r="B1676" s="96"/>
      <c r="H1676" s="96"/>
      <c r="J1676" s="1"/>
      <c r="K1676" s="1"/>
      <c r="L1676" s="1"/>
      <c r="O1676" s="475"/>
      <c r="P1676" s="475"/>
      <c r="Q1676" s="475"/>
      <c r="R1676" s="475"/>
      <c r="S1676" s="475"/>
      <c r="T1676" s="475"/>
      <c r="U1676" s="475"/>
      <c r="V1676" s="475"/>
      <c r="W1676" s="475"/>
    </row>
    <row r="1677" spans="2:23" s="97" customFormat="1">
      <c r="B1677" s="96"/>
      <c r="H1677" s="96"/>
      <c r="J1677" s="1"/>
      <c r="K1677" s="1"/>
      <c r="L1677" s="1"/>
      <c r="O1677" s="475"/>
      <c r="P1677" s="475"/>
      <c r="Q1677" s="475"/>
      <c r="R1677" s="475"/>
      <c r="S1677" s="475"/>
      <c r="T1677" s="475"/>
      <c r="U1677" s="475"/>
      <c r="V1677" s="475"/>
      <c r="W1677" s="475"/>
    </row>
    <row r="1678" spans="2:23" s="97" customFormat="1">
      <c r="B1678" s="96"/>
      <c r="H1678" s="96"/>
      <c r="J1678" s="1"/>
      <c r="K1678" s="1"/>
      <c r="L1678" s="1"/>
      <c r="O1678" s="475"/>
      <c r="P1678" s="475"/>
      <c r="Q1678" s="475"/>
      <c r="R1678" s="475"/>
      <c r="S1678" s="475"/>
      <c r="T1678" s="475"/>
      <c r="U1678" s="475"/>
      <c r="V1678" s="475"/>
      <c r="W1678" s="475"/>
    </row>
    <row r="1679" spans="2:23" s="97" customFormat="1">
      <c r="B1679" s="96"/>
      <c r="H1679" s="96"/>
      <c r="J1679" s="1"/>
      <c r="K1679" s="1"/>
      <c r="L1679" s="1"/>
      <c r="O1679" s="475"/>
      <c r="P1679" s="475"/>
      <c r="Q1679" s="475"/>
      <c r="R1679" s="475"/>
      <c r="S1679" s="475"/>
      <c r="T1679" s="475"/>
      <c r="U1679" s="475"/>
      <c r="V1679" s="475"/>
      <c r="W1679" s="475"/>
    </row>
    <row r="1680" spans="2:23" s="97" customFormat="1">
      <c r="B1680" s="96"/>
      <c r="H1680" s="96"/>
      <c r="J1680" s="1"/>
      <c r="K1680" s="1"/>
      <c r="L1680" s="1"/>
      <c r="O1680" s="475"/>
      <c r="P1680" s="475"/>
      <c r="Q1680" s="475"/>
      <c r="R1680" s="475"/>
      <c r="S1680" s="475"/>
      <c r="T1680" s="475"/>
      <c r="U1680" s="475"/>
      <c r="V1680" s="475"/>
      <c r="W1680" s="475"/>
    </row>
    <row r="1681" spans="2:23" s="97" customFormat="1">
      <c r="B1681" s="96"/>
      <c r="H1681" s="96"/>
      <c r="J1681" s="1"/>
      <c r="K1681" s="1"/>
      <c r="L1681" s="1"/>
      <c r="O1681" s="475"/>
      <c r="P1681" s="475"/>
      <c r="Q1681" s="475"/>
      <c r="R1681" s="475"/>
      <c r="S1681" s="475"/>
      <c r="T1681" s="475"/>
      <c r="U1681" s="475"/>
      <c r="V1681" s="475"/>
      <c r="W1681" s="475"/>
    </row>
    <row r="1682" spans="2:23" s="97" customFormat="1">
      <c r="B1682" s="96"/>
      <c r="H1682" s="96"/>
      <c r="J1682" s="1"/>
      <c r="K1682" s="1"/>
      <c r="L1682" s="1"/>
      <c r="O1682" s="475"/>
      <c r="P1682" s="475"/>
      <c r="Q1682" s="475"/>
      <c r="R1682" s="475"/>
      <c r="S1682" s="475"/>
      <c r="T1682" s="475"/>
      <c r="U1682" s="475"/>
      <c r="V1682" s="475"/>
      <c r="W1682" s="475"/>
    </row>
    <row r="1683" spans="2:23" s="97" customFormat="1">
      <c r="B1683" s="96"/>
      <c r="H1683" s="96"/>
      <c r="J1683" s="1"/>
      <c r="K1683" s="1"/>
      <c r="L1683" s="1"/>
      <c r="O1683" s="475"/>
      <c r="P1683" s="475"/>
      <c r="Q1683" s="475"/>
      <c r="R1683" s="475"/>
      <c r="S1683" s="475"/>
      <c r="T1683" s="475"/>
      <c r="U1683" s="475"/>
      <c r="V1683" s="475"/>
      <c r="W1683" s="475"/>
    </row>
    <row r="1684" spans="2:23" s="97" customFormat="1">
      <c r="B1684" s="96"/>
      <c r="H1684" s="96"/>
      <c r="J1684" s="1"/>
      <c r="K1684" s="1"/>
      <c r="L1684" s="1"/>
      <c r="O1684" s="475"/>
      <c r="P1684" s="475"/>
      <c r="Q1684" s="475"/>
      <c r="R1684" s="475"/>
      <c r="S1684" s="475"/>
      <c r="T1684" s="475"/>
      <c r="U1684" s="475"/>
      <c r="V1684" s="475"/>
      <c r="W1684" s="475"/>
    </row>
    <row r="1685" spans="2:23" s="97" customFormat="1">
      <c r="B1685" s="96"/>
      <c r="H1685" s="96"/>
      <c r="J1685" s="1"/>
      <c r="K1685" s="1"/>
      <c r="L1685" s="1"/>
      <c r="O1685" s="475"/>
      <c r="P1685" s="475"/>
      <c r="Q1685" s="475"/>
      <c r="R1685" s="475"/>
      <c r="S1685" s="475"/>
      <c r="T1685" s="475"/>
      <c r="U1685" s="475"/>
      <c r="V1685" s="475"/>
      <c r="W1685" s="475"/>
    </row>
    <row r="1686" spans="2:23" s="97" customFormat="1">
      <c r="B1686" s="96"/>
      <c r="H1686" s="96"/>
      <c r="J1686" s="1"/>
      <c r="K1686" s="1"/>
      <c r="L1686" s="1"/>
      <c r="O1686" s="475"/>
      <c r="P1686" s="475"/>
      <c r="Q1686" s="475"/>
      <c r="R1686" s="475"/>
      <c r="S1686" s="475"/>
      <c r="T1686" s="475"/>
      <c r="U1686" s="475"/>
      <c r="V1686" s="475"/>
      <c r="W1686" s="475"/>
    </row>
    <row r="1687" spans="2:23" s="97" customFormat="1">
      <c r="B1687" s="96"/>
      <c r="H1687" s="96"/>
      <c r="J1687" s="1"/>
      <c r="K1687" s="1"/>
      <c r="L1687" s="1"/>
      <c r="O1687" s="475"/>
      <c r="P1687" s="475"/>
      <c r="Q1687" s="475"/>
      <c r="R1687" s="475"/>
      <c r="S1687" s="475"/>
      <c r="T1687" s="475"/>
      <c r="U1687" s="475"/>
      <c r="V1687" s="475"/>
      <c r="W1687" s="475"/>
    </row>
    <row r="1688" spans="2:23" s="97" customFormat="1">
      <c r="B1688" s="96"/>
      <c r="H1688" s="96"/>
      <c r="J1688" s="1"/>
      <c r="K1688" s="1"/>
      <c r="L1688" s="1"/>
      <c r="O1688" s="475"/>
      <c r="P1688" s="475"/>
      <c r="Q1688" s="475"/>
      <c r="R1688" s="475"/>
      <c r="S1688" s="475"/>
      <c r="T1688" s="475"/>
      <c r="U1688" s="475"/>
      <c r="V1688" s="475"/>
      <c r="W1688" s="475"/>
    </row>
    <row r="1689" spans="2:23" s="97" customFormat="1">
      <c r="B1689" s="96"/>
      <c r="H1689" s="96"/>
      <c r="J1689" s="1"/>
      <c r="K1689" s="1"/>
      <c r="L1689" s="1"/>
      <c r="O1689" s="475"/>
      <c r="P1689" s="475"/>
      <c r="Q1689" s="475"/>
      <c r="R1689" s="475"/>
      <c r="S1689" s="475"/>
      <c r="T1689" s="475"/>
      <c r="U1689" s="475"/>
      <c r="V1689" s="475"/>
      <c r="W1689" s="475"/>
    </row>
    <row r="1690" spans="2:23" s="97" customFormat="1">
      <c r="B1690" s="96"/>
      <c r="H1690" s="96"/>
      <c r="J1690" s="1"/>
      <c r="K1690" s="1"/>
      <c r="L1690" s="1"/>
      <c r="O1690" s="475"/>
      <c r="P1690" s="475"/>
      <c r="Q1690" s="475"/>
      <c r="R1690" s="475"/>
      <c r="S1690" s="475"/>
      <c r="T1690" s="475"/>
      <c r="U1690" s="475"/>
      <c r="V1690" s="475"/>
      <c r="W1690" s="475"/>
    </row>
    <row r="1691" spans="2:23" s="97" customFormat="1">
      <c r="B1691" s="96"/>
      <c r="H1691" s="96"/>
      <c r="J1691" s="1"/>
      <c r="K1691" s="1"/>
      <c r="L1691" s="1"/>
      <c r="O1691" s="475"/>
      <c r="P1691" s="475"/>
      <c r="Q1691" s="475"/>
      <c r="R1691" s="475"/>
      <c r="S1691" s="475"/>
      <c r="T1691" s="475"/>
      <c r="U1691" s="475"/>
      <c r="V1691" s="475"/>
      <c r="W1691" s="475"/>
    </row>
    <row r="1692" spans="2:23" s="97" customFormat="1">
      <c r="B1692" s="96"/>
      <c r="H1692" s="96"/>
      <c r="J1692" s="1"/>
      <c r="K1692" s="1"/>
      <c r="L1692" s="1"/>
      <c r="O1692" s="475"/>
      <c r="P1692" s="475"/>
      <c r="Q1692" s="475"/>
      <c r="R1692" s="475"/>
      <c r="S1692" s="475"/>
      <c r="T1692" s="475"/>
      <c r="U1692" s="475"/>
      <c r="V1692" s="475"/>
      <c r="W1692" s="475"/>
    </row>
    <row r="1693" spans="2:23" s="97" customFormat="1">
      <c r="B1693" s="96"/>
      <c r="H1693" s="96"/>
      <c r="J1693" s="1"/>
      <c r="K1693" s="1"/>
      <c r="L1693" s="1"/>
      <c r="O1693" s="475"/>
      <c r="P1693" s="475"/>
      <c r="Q1693" s="475"/>
      <c r="R1693" s="475"/>
      <c r="S1693" s="475"/>
      <c r="T1693" s="475"/>
      <c r="U1693" s="475"/>
      <c r="V1693" s="475"/>
      <c r="W1693" s="475"/>
    </row>
    <row r="1694" spans="2:23" s="97" customFormat="1">
      <c r="B1694" s="96"/>
      <c r="H1694" s="96"/>
      <c r="J1694" s="1"/>
      <c r="K1694" s="1"/>
      <c r="L1694" s="1"/>
      <c r="O1694" s="475"/>
      <c r="P1694" s="475"/>
      <c r="Q1694" s="475"/>
      <c r="R1694" s="475"/>
      <c r="S1694" s="475"/>
      <c r="T1694" s="475"/>
      <c r="U1694" s="475"/>
      <c r="V1694" s="475"/>
      <c r="W1694" s="475"/>
    </row>
    <row r="1695" spans="2:23" s="97" customFormat="1">
      <c r="B1695" s="96"/>
      <c r="H1695" s="96"/>
      <c r="J1695" s="1"/>
      <c r="K1695" s="1"/>
      <c r="L1695" s="1"/>
      <c r="O1695" s="475"/>
      <c r="P1695" s="475"/>
      <c r="Q1695" s="475"/>
      <c r="R1695" s="475"/>
      <c r="S1695" s="475"/>
      <c r="T1695" s="475"/>
      <c r="U1695" s="475"/>
      <c r="V1695" s="475"/>
      <c r="W1695" s="475"/>
    </row>
    <row r="1696" spans="2:23" s="97" customFormat="1">
      <c r="B1696" s="96"/>
      <c r="H1696" s="96"/>
      <c r="J1696" s="1"/>
      <c r="K1696" s="1"/>
      <c r="L1696" s="1"/>
      <c r="O1696" s="475"/>
      <c r="P1696" s="475"/>
      <c r="Q1696" s="475"/>
      <c r="R1696" s="475"/>
      <c r="S1696" s="475"/>
      <c r="T1696" s="475"/>
      <c r="U1696" s="475"/>
      <c r="V1696" s="475"/>
      <c r="W1696" s="475"/>
    </row>
    <row r="1697" spans="2:23" s="97" customFormat="1">
      <c r="B1697" s="96"/>
      <c r="H1697" s="96"/>
      <c r="J1697" s="1"/>
      <c r="K1697" s="1"/>
      <c r="L1697" s="1"/>
      <c r="O1697" s="475"/>
      <c r="P1697" s="475"/>
      <c r="Q1697" s="475"/>
      <c r="R1697" s="475"/>
      <c r="S1697" s="475"/>
      <c r="T1697" s="475"/>
      <c r="U1697" s="475"/>
      <c r="V1697" s="475"/>
      <c r="W1697" s="475"/>
    </row>
    <row r="1698" spans="2:23" s="97" customFormat="1">
      <c r="B1698" s="96"/>
      <c r="H1698" s="96"/>
      <c r="J1698" s="1"/>
      <c r="K1698" s="1"/>
      <c r="L1698" s="1"/>
      <c r="O1698" s="475"/>
      <c r="P1698" s="475"/>
      <c r="Q1698" s="475"/>
      <c r="R1698" s="475"/>
      <c r="S1698" s="475"/>
      <c r="T1698" s="475"/>
      <c r="U1698" s="475"/>
      <c r="V1698" s="475"/>
      <c r="W1698" s="475"/>
    </row>
    <row r="1699" spans="2:23" s="97" customFormat="1">
      <c r="B1699" s="96"/>
      <c r="H1699" s="96"/>
      <c r="J1699" s="1"/>
      <c r="K1699" s="1"/>
      <c r="L1699" s="1"/>
      <c r="O1699" s="475"/>
      <c r="P1699" s="475"/>
      <c r="Q1699" s="475"/>
      <c r="R1699" s="475"/>
      <c r="S1699" s="475"/>
      <c r="T1699" s="475"/>
      <c r="U1699" s="475"/>
      <c r="V1699" s="475"/>
      <c r="W1699" s="475"/>
    </row>
    <row r="1700" spans="2:23" s="97" customFormat="1">
      <c r="B1700" s="96"/>
      <c r="H1700" s="96"/>
      <c r="J1700" s="1"/>
      <c r="K1700" s="1"/>
      <c r="L1700" s="1"/>
      <c r="O1700" s="475"/>
      <c r="P1700" s="475"/>
      <c r="Q1700" s="475"/>
      <c r="R1700" s="475"/>
      <c r="S1700" s="475"/>
      <c r="T1700" s="475"/>
      <c r="U1700" s="475"/>
      <c r="V1700" s="475"/>
      <c r="W1700" s="475"/>
    </row>
    <row r="1701" spans="2:23" s="97" customFormat="1">
      <c r="B1701" s="96"/>
      <c r="H1701" s="96"/>
      <c r="J1701" s="1"/>
      <c r="K1701" s="1"/>
      <c r="L1701" s="1"/>
      <c r="O1701" s="475"/>
      <c r="P1701" s="475"/>
      <c r="Q1701" s="475"/>
      <c r="R1701" s="475"/>
      <c r="S1701" s="475"/>
      <c r="T1701" s="475"/>
      <c r="U1701" s="475"/>
      <c r="V1701" s="475"/>
      <c r="W1701" s="475"/>
    </row>
    <row r="1702" spans="2:23" s="97" customFormat="1">
      <c r="B1702" s="96"/>
      <c r="H1702" s="96"/>
      <c r="J1702" s="1"/>
      <c r="K1702" s="1"/>
      <c r="L1702" s="1"/>
      <c r="O1702" s="475"/>
      <c r="P1702" s="475"/>
      <c r="Q1702" s="475"/>
      <c r="R1702" s="475"/>
      <c r="S1702" s="475"/>
      <c r="T1702" s="475"/>
      <c r="U1702" s="475"/>
      <c r="V1702" s="475"/>
      <c r="W1702" s="475"/>
    </row>
    <row r="1703" spans="2:23" s="97" customFormat="1">
      <c r="B1703" s="96"/>
      <c r="H1703" s="96"/>
      <c r="J1703" s="1"/>
      <c r="K1703" s="1"/>
      <c r="L1703" s="1"/>
      <c r="O1703" s="475"/>
      <c r="P1703" s="475"/>
      <c r="Q1703" s="475"/>
      <c r="R1703" s="475"/>
      <c r="S1703" s="475"/>
      <c r="T1703" s="475"/>
      <c r="U1703" s="475"/>
      <c r="V1703" s="475"/>
      <c r="W1703" s="475"/>
    </row>
    <row r="1704" spans="2:23" s="97" customFormat="1">
      <c r="B1704" s="96"/>
      <c r="H1704" s="96"/>
      <c r="J1704" s="1"/>
      <c r="K1704" s="1"/>
      <c r="L1704" s="1"/>
      <c r="O1704" s="475"/>
      <c r="P1704" s="475"/>
      <c r="Q1704" s="475"/>
      <c r="R1704" s="475"/>
      <c r="S1704" s="475"/>
      <c r="T1704" s="475"/>
      <c r="U1704" s="475"/>
      <c r="V1704" s="475"/>
      <c r="W1704" s="475"/>
    </row>
    <row r="1705" spans="2:23" s="97" customFormat="1">
      <c r="B1705" s="96"/>
      <c r="H1705" s="96"/>
      <c r="J1705" s="1"/>
      <c r="K1705" s="1"/>
      <c r="L1705" s="1"/>
      <c r="O1705" s="475"/>
      <c r="P1705" s="475"/>
      <c r="Q1705" s="475"/>
      <c r="R1705" s="475"/>
      <c r="S1705" s="475"/>
      <c r="T1705" s="475"/>
      <c r="U1705" s="475"/>
      <c r="V1705" s="475"/>
      <c r="W1705" s="475"/>
    </row>
    <row r="1706" spans="2:23" s="97" customFormat="1">
      <c r="B1706" s="96"/>
      <c r="H1706" s="96"/>
      <c r="J1706" s="1"/>
      <c r="K1706" s="1"/>
      <c r="L1706" s="1"/>
      <c r="O1706" s="475"/>
      <c r="P1706" s="475"/>
      <c r="Q1706" s="475"/>
      <c r="R1706" s="475"/>
      <c r="S1706" s="475"/>
      <c r="T1706" s="475"/>
      <c r="U1706" s="475"/>
      <c r="V1706" s="475"/>
      <c r="W1706" s="475"/>
    </row>
    <row r="1707" spans="2:23" s="97" customFormat="1">
      <c r="B1707" s="96"/>
      <c r="H1707" s="96"/>
      <c r="J1707" s="1"/>
      <c r="K1707" s="1"/>
      <c r="L1707" s="1"/>
      <c r="O1707" s="475"/>
      <c r="P1707" s="475"/>
      <c r="Q1707" s="475"/>
      <c r="R1707" s="475"/>
      <c r="S1707" s="475"/>
      <c r="T1707" s="475"/>
      <c r="U1707" s="475"/>
      <c r="V1707" s="475"/>
      <c r="W1707" s="475"/>
    </row>
    <row r="1708" spans="2:23" s="97" customFormat="1">
      <c r="B1708" s="96"/>
      <c r="H1708" s="96"/>
      <c r="J1708" s="1"/>
      <c r="K1708" s="1"/>
      <c r="L1708" s="1"/>
      <c r="O1708" s="475"/>
      <c r="P1708" s="475"/>
      <c r="Q1708" s="475"/>
      <c r="R1708" s="475"/>
      <c r="S1708" s="475"/>
      <c r="T1708" s="475"/>
      <c r="U1708" s="475"/>
      <c r="V1708" s="475"/>
      <c r="W1708" s="475"/>
    </row>
    <row r="1709" spans="2:23" s="97" customFormat="1">
      <c r="B1709" s="96"/>
      <c r="H1709" s="96"/>
      <c r="J1709" s="1"/>
      <c r="K1709" s="1"/>
      <c r="L1709" s="1"/>
      <c r="O1709" s="475"/>
      <c r="P1709" s="475"/>
      <c r="Q1709" s="475"/>
      <c r="R1709" s="475"/>
      <c r="S1709" s="475"/>
      <c r="T1709" s="475"/>
      <c r="U1709" s="475"/>
      <c r="V1709" s="475"/>
      <c r="W1709" s="475"/>
    </row>
    <row r="1710" spans="2:23" s="97" customFormat="1">
      <c r="B1710" s="96"/>
      <c r="H1710" s="96"/>
      <c r="J1710" s="1"/>
      <c r="K1710" s="1"/>
      <c r="L1710" s="1"/>
      <c r="O1710" s="475"/>
      <c r="P1710" s="475"/>
      <c r="Q1710" s="475"/>
      <c r="R1710" s="475"/>
      <c r="S1710" s="475"/>
      <c r="T1710" s="475"/>
      <c r="U1710" s="475"/>
      <c r="V1710" s="475"/>
      <c r="W1710" s="475"/>
    </row>
    <row r="1711" spans="2:23" s="97" customFormat="1">
      <c r="B1711" s="96"/>
      <c r="H1711" s="96"/>
      <c r="J1711" s="1"/>
      <c r="K1711" s="1"/>
      <c r="L1711" s="1"/>
      <c r="O1711" s="475"/>
      <c r="P1711" s="475"/>
      <c r="Q1711" s="475"/>
      <c r="R1711" s="475"/>
      <c r="S1711" s="475"/>
      <c r="T1711" s="475"/>
      <c r="U1711" s="475"/>
      <c r="V1711" s="475"/>
      <c r="W1711" s="475"/>
    </row>
    <row r="1712" spans="2:23" s="97" customFormat="1">
      <c r="B1712" s="96"/>
      <c r="H1712" s="96"/>
      <c r="J1712" s="1"/>
      <c r="K1712" s="1"/>
      <c r="L1712" s="1"/>
      <c r="O1712" s="475"/>
      <c r="P1712" s="475"/>
      <c r="Q1712" s="475"/>
      <c r="R1712" s="475"/>
      <c r="S1712" s="475"/>
      <c r="T1712" s="475"/>
      <c r="U1712" s="475"/>
      <c r="V1712" s="475"/>
      <c r="W1712" s="475"/>
    </row>
    <row r="1713" spans="2:23" s="97" customFormat="1">
      <c r="B1713" s="96"/>
      <c r="H1713" s="96"/>
      <c r="J1713" s="1"/>
      <c r="K1713" s="1"/>
      <c r="L1713" s="1"/>
      <c r="O1713" s="475"/>
      <c r="P1713" s="475"/>
      <c r="Q1713" s="475"/>
      <c r="R1713" s="475"/>
      <c r="S1713" s="475"/>
      <c r="T1713" s="475"/>
      <c r="U1713" s="475"/>
      <c r="V1713" s="475"/>
      <c r="W1713" s="475"/>
    </row>
    <row r="1714" spans="2:23" s="97" customFormat="1">
      <c r="B1714" s="96"/>
      <c r="H1714" s="96"/>
      <c r="J1714" s="1"/>
      <c r="K1714" s="1"/>
      <c r="L1714" s="1"/>
      <c r="O1714" s="475"/>
      <c r="P1714" s="475"/>
      <c r="Q1714" s="475"/>
      <c r="R1714" s="475"/>
      <c r="S1714" s="475"/>
      <c r="T1714" s="475"/>
      <c r="U1714" s="475"/>
      <c r="V1714" s="475"/>
      <c r="W1714" s="475"/>
    </row>
    <row r="1715" spans="2:23" s="97" customFormat="1">
      <c r="B1715" s="96"/>
      <c r="H1715" s="96"/>
      <c r="J1715" s="1"/>
      <c r="K1715" s="1"/>
      <c r="L1715" s="1"/>
      <c r="O1715" s="475"/>
      <c r="P1715" s="475"/>
      <c r="Q1715" s="475"/>
      <c r="R1715" s="475"/>
      <c r="S1715" s="475"/>
      <c r="T1715" s="475"/>
      <c r="U1715" s="475"/>
      <c r="V1715" s="475"/>
      <c r="W1715" s="475"/>
    </row>
    <row r="1716" spans="2:23" s="97" customFormat="1">
      <c r="B1716" s="96"/>
      <c r="H1716" s="96"/>
      <c r="J1716" s="1"/>
      <c r="K1716" s="1"/>
      <c r="L1716" s="1"/>
      <c r="O1716" s="475"/>
      <c r="P1716" s="475"/>
      <c r="Q1716" s="475"/>
      <c r="R1716" s="475"/>
      <c r="S1716" s="475"/>
      <c r="T1716" s="475"/>
      <c r="U1716" s="475"/>
      <c r="V1716" s="475"/>
      <c r="W1716" s="475"/>
    </row>
    <row r="1717" spans="2:23" s="97" customFormat="1">
      <c r="B1717" s="96"/>
      <c r="H1717" s="96"/>
      <c r="J1717" s="1"/>
      <c r="K1717" s="1"/>
      <c r="L1717" s="1"/>
      <c r="O1717" s="475"/>
      <c r="P1717" s="475"/>
      <c r="Q1717" s="475"/>
      <c r="R1717" s="475"/>
      <c r="S1717" s="475"/>
      <c r="T1717" s="475"/>
      <c r="U1717" s="475"/>
      <c r="V1717" s="475"/>
      <c r="W1717" s="475"/>
    </row>
    <row r="1718" spans="2:23" s="97" customFormat="1">
      <c r="B1718" s="96"/>
      <c r="H1718" s="96"/>
      <c r="J1718" s="1"/>
      <c r="K1718" s="1"/>
      <c r="L1718" s="1"/>
      <c r="O1718" s="475"/>
      <c r="P1718" s="475"/>
      <c r="Q1718" s="475"/>
      <c r="R1718" s="475"/>
      <c r="S1718" s="475"/>
      <c r="T1718" s="475"/>
      <c r="U1718" s="475"/>
      <c r="V1718" s="475"/>
      <c r="W1718" s="475"/>
    </row>
    <row r="1719" spans="2:23" s="97" customFormat="1">
      <c r="B1719" s="96"/>
      <c r="H1719" s="96"/>
      <c r="J1719" s="1"/>
      <c r="K1719" s="1"/>
      <c r="L1719" s="1"/>
      <c r="O1719" s="475"/>
      <c r="P1719" s="475"/>
      <c r="Q1719" s="475"/>
      <c r="R1719" s="475"/>
      <c r="S1719" s="475"/>
      <c r="T1719" s="475"/>
      <c r="U1719" s="475"/>
      <c r="V1719" s="475"/>
      <c r="W1719" s="475"/>
    </row>
    <row r="1720" spans="2:23" s="97" customFormat="1">
      <c r="B1720" s="96"/>
      <c r="H1720" s="96"/>
      <c r="J1720" s="1"/>
      <c r="K1720" s="1"/>
      <c r="L1720" s="1"/>
      <c r="O1720" s="475"/>
      <c r="P1720" s="475"/>
      <c r="Q1720" s="475"/>
      <c r="R1720" s="475"/>
      <c r="S1720" s="475"/>
      <c r="T1720" s="475"/>
      <c r="U1720" s="475"/>
      <c r="V1720" s="475"/>
      <c r="W1720" s="475"/>
    </row>
    <row r="1721" spans="2:23" s="97" customFormat="1">
      <c r="B1721" s="96"/>
      <c r="H1721" s="96"/>
      <c r="J1721" s="1"/>
      <c r="K1721" s="1"/>
      <c r="L1721" s="1"/>
      <c r="O1721" s="475"/>
      <c r="P1721" s="475"/>
      <c r="Q1721" s="475"/>
      <c r="R1721" s="475"/>
      <c r="S1721" s="475"/>
      <c r="T1721" s="475"/>
      <c r="U1721" s="475"/>
      <c r="V1721" s="475"/>
      <c r="W1721" s="475"/>
    </row>
    <row r="1722" spans="2:23" s="97" customFormat="1">
      <c r="B1722" s="96"/>
      <c r="H1722" s="96"/>
      <c r="J1722" s="1"/>
      <c r="K1722" s="1"/>
      <c r="L1722" s="1"/>
      <c r="O1722" s="475"/>
      <c r="P1722" s="475"/>
      <c r="Q1722" s="475"/>
      <c r="R1722" s="475"/>
      <c r="S1722" s="475"/>
      <c r="T1722" s="475"/>
      <c r="U1722" s="475"/>
      <c r="V1722" s="475"/>
      <c r="W1722" s="475"/>
    </row>
    <row r="1723" spans="2:23" s="97" customFormat="1">
      <c r="B1723" s="96"/>
      <c r="H1723" s="96"/>
      <c r="J1723" s="1"/>
      <c r="K1723" s="1"/>
      <c r="L1723" s="1"/>
      <c r="O1723" s="475"/>
      <c r="P1723" s="475"/>
      <c r="Q1723" s="475"/>
      <c r="R1723" s="475"/>
      <c r="S1723" s="475"/>
      <c r="T1723" s="475"/>
      <c r="U1723" s="475"/>
      <c r="V1723" s="475"/>
      <c r="W1723" s="475"/>
    </row>
    <row r="1724" spans="2:23" s="97" customFormat="1">
      <c r="B1724" s="96"/>
      <c r="H1724" s="96"/>
      <c r="J1724" s="1"/>
      <c r="K1724" s="1"/>
      <c r="L1724" s="1"/>
      <c r="O1724" s="475"/>
      <c r="P1724" s="475"/>
      <c r="Q1724" s="475"/>
      <c r="R1724" s="475"/>
      <c r="S1724" s="475"/>
      <c r="T1724" s="475"/>
      <c r="U1724" s="475"/>
      <c r="V1724" s="475"/>
      <c r="W1724" s="475"/>
    </row>
    <row r="1725" spans="2:23" s="97" customFormat="1">
      <c r="B1725" s="96"/>
      <c r="H1725" s="96"/>
      <c r="J1725" s="1"/>
      <c r="K1725" s="1"/>
      <c r="L1725" s="1"/>
      <c r="O1725" s="475"/>
      <c r="P1725" s="475"/>
      <c r="Q1725" s="475"/>
      <c r="R1725" s="475"/>
      <c r="S1725" s="475"/>
      <c r="T1725" s="475"/>
      <c r="U1725" s="475"/>
      <c r="V1725" s="475"/>
      <c r="W1725" s="475"/>
    </row>
    <row r="1726" spans="2:23" s="97" customFormat="1">
      <c r="B1726" s="96"/>
      <c r="H1726" s="96"/>
      <c r="J1726" s="1"/>
      <c r="K1726" s="1"/>
      <c r="L1726" s="1"/>
      <c r="O1726" s="475"/>
      <c r="P1726" s="475"/>
      <c r="Q1726" s="475"/>
      <c r="R1726" s="475"/>
      <c r="S1726" s="475"/>
      <c r="T1726" s="475"/>
      <c r="U1726" s="475"/>
      <c r="V1726" s="475"/>
      <c r="W1726" s="475"/>
    </row>
    <row r="1727" spans="2:23" s="97" customFormat="1">
      <c r="B1727" s="96"/>
      <c r="H1727" s="96"/>
      <c r="J1727" s="1"/>
      <c r="K1727" s="1"/>
      <c r="L1727" s="1"/>
      <c r="O1727" s="475"/>
      <c r="P1727" s="475"/>
      <c r="Q1727" s="475"/>
      <c r="R1727" s="475"/>
      <c r="S1727" s="475"/>
      <c r="T1727" s="475"/>
      <c r="U1727" s="475"/>
      <c r="V1727" s="475"/>
      <c r="W1727" s="475"/>
    </row>
    <row r="1728" spans="2:23" s="97" customFormat="1">
      <c r="B1728" s="96"/>
      <c r="H1728" s="96"/>
      <c r="J1728" s="1"/>
      <c r="K1728" s="1"/>
      <c r="L1728" s="1"/>
      <c r="O1728" s="475"/>
      <c r="P1728" s="475"/>
      <c r="Q1728" s="475"/>
      <c r="R1728" s="475"/>
      <c r="S1728" s="475"/>
      <c r="T1728" s="475"/>
      <c r="U1728" s="475"/>
      <c r="V1728" s="475"/>
      <c r="W1728" s="475"/>
    </row>
    <row r="1729" spans="2:23" s="97" customFormat="1">
      <c r="B1729" s="96"/>
      <c r="H1729" s="96"/>
      <c r="J1729" s="1"/>
      <c r="K1729" s="1"/>
      <c r="L1729" s="1"/>
      <c r="O1729" s="475"/>
      <c r="P1729" s="475"/>
      <c r="Q1729" s="475"/>
      <c r="R1729" s="475"/>
      <c r="S1729" s="475"/>
      <c r="T1729" s="475"/>
      <c r="U1729" s="475"/>
      <c r="V1729" s="475"/>
      <c r="W1729" s="475"/>
    </row>
    <row r="1730" spans="2:23" s="97" customFormat="1">
      <c r="B1730" s="96"/>
      <c r="H1730" s="96"/>
      <c r="J1730" s="1"/>
      <c r="K1730" s="1"/>
      <c r="L1730" s="1"/>
      <c r="O1730" s="475"/>
      <c r="P1730" s="475"/>
      <c r="Q1730" s="475"/>
      <c r="R1730" s="475"/>
      <c r="S1730" s="475"/>
      <c r="T1730" s="475"/>
      <c r="U1730" s="475"/>
      <c r="V1730" s="475"/>
      <c r="W1730" s="475"/>
    </row>
    <row r="1731" spans="2:23" s="97" customFormat="1">
      <c r="B1731" s="96"/>
      <c r="H1731" s="96"/>
      <c r="J1731" s="1"/>
      <c r="K1731" s="1"/>
      <c r="L1731" s="1"/>
      <c r="O1731" s="475"/>
      <c r="P1731" s="475"/>
      <c r="Q1731" s="475"/>
      <c r="R1731" s="475"/>
      <c r="S1731" s="475"/>
      <c r="T1731" s="475"/>
      <c r="U1731" s="475"/>
      <c r="V1731" s="475"/>
      <c r="W1731" s="475"/>
    </row>
    <row r="1732" spans="2:23" s="97" customFormat="1">
      <c r="B1732" s="96"/>
      <c r="H1732" s="96"/>
      <c r="J1732" s="1"/>
      <c r="K1732" s="1"/>
      <c r="L1732" s="1"/>
      <c r="O1732" s="475"/>
      <c r="P1732" s="475"/>
      <c r="Q1732" s="475"/>
      <c r="R1732" s="475"/>
      <c r="S1732" s="475"/>
      <c r="T1732" s="475"/>
      <c r="U1732" s="475"/>
      <c r="V1732" s="475"/>
      <c r="W1732" s="475"/>
    </row>
    <row r="1733" spans="2:23" s="97" customFormat="1">
      <c r="B1733" s="96"/>
      <c r="H1733" s="96"/>
      <c r="J1733" s="1"/>
      <c r="K1733" s="1"/>
      <c r="L1733" s="1"/>
      <c r="O1733" s="475"/>
      <c r="P1733" s="475"/>
      <c r="Q1733" s="475"/>
      <c r="R1733" s="475"/>
      <c r="S1733" s="475"/>
      <c r="T1733" s="475"/>
      <c r="U1733" s="475"/>
      <c r="V1733" s="475"/>
      <c r="W1733" s="475"/>
    </row>
    <row r="1734" spans="2:23" s="97" customFormat="1">
      <c r="B1734" s="96"/>
      <c r="H1734" s="96"/>
      <c r="J1734" s="1"/>
      <c r="K1734" s="1"/>
      <c r="L1734" s="1"/>
      <c r="O1734" s="475"/>
      <c r="P1734" s="475"/>
      <c r="Q1734" s="475"/>
      <c r="R1734" s="475"/>
      <c r="S1734" s="475"/>
      <c r="T1734" s="475"/>
      <c r="U1734" s="475"/>
      <c r="V1734" s="475"/>
      <c r="W1734" s="475"/>
    </row>
    <row r="1735" spans="2:23" s="97" customFormat="1">
      <c r="B1735" s="96"/>
      <c r="H1735" s="96"/>
      <c r="J1735" s="1"/>
      <c r="K1735" s="1"/>
      <c r="L1735" s="1"/>
      <c r="O1735" s="475"/>
      <c r="P1735" s="475"/>
      <c r="Q1735" s="475"/>
      <c r="R1735" s="475"/>
      <c r="S1735" s="475"/>
      <c r="T1735" s="475"/>
      <c r="U1735" s="475"/>
      <c r="V1735" s="475"/>
      <c r="W1735" s="475"/>
    </row>
    <row r="1736" spans="2:23" s="97" customFormat="1">
      <c r="B1736" s="96"/>
      <c r="H1736" s="96"/>
      <c r="J1736" s="1"/>
      <c r="K1736" s="1"/>
      <c r="L1736" s="1"/>
      <c r="O1736" s="475"/>
      <c r="P1736" s="475"/>
      <c r="Q1736" s="475"/>
      <c r="R1736" s="475"/>
      <c r="S1736" s="475"/>
      <c r="T1736" s="475"/>
      <c r="U1736" s="475"/>
      <c r="V1736" s="475"/>
      <c r="W1736" s="475"/>
    </row>
    <row r="1737" spans="2:23" s="97" customFormat="1">
      <c r="B1737" s="96"/>
      <c r="H1737" s="96"/>
      <c r="J1737" s="1"/>
      <c r="K1737" s="1"/>
      <c r="L1737" s="1"/>
      <c r="O1737" s="475"/>
      <c r="P1737" s="475"/>
      <c r="Q1737" s="475"/>
      <c r="R1737" s="475"/>
      <c r="S1737" s="475"/>
      <c r="T1737" s="475"/>
      <c r="U1737" s="475"/>
      <c r="V1737" s="475"/>
      <c r="W1737" s="475"/>
    </row>
    <row r="1738" spans="2:23" s="97" customFormat="1">
      <c r="B1738" s="96"/>
      <c r="H1738" s="96"/>
      <c r="J1738" s="1"/>
      <c r="K1738" s="1"/>
      <c r="L1738" s="1"/>
      <c r="O1738" s="475"/>
      <c r="P1738" s="475"/>
      <c r="Q1738" s="475"/>
      <c r="R1738" s="475"/>
      <c r="S1738" s="475"/>
      <c r="T1738" s="475"/>
      <c r="U1738" s="475"/>
      <c r="V1738" s="475"/>
      <c r="W1738" s="475"/>
    </row>
    <row r="1739" spans="2:23" s="97" customFormat="1">
      <c r="B1739" s="96"/>
      <c r="H1739" s="96"/>
      <c r="J1739" s="1"/>
      <c r="K1739" s="1"/>
      <c r="L1739" s="1"/>
      <c r="O1739" s="475"/>
      <c r="P1739" s="475"/>
      <c r="Q1739" s="475"/>
      <c r="R1739" s="475"/>
      <c r="S1739" s="475"/>
      <c r="T1739" s="475"/>
      <c r="U1739" s="475"/>
      <c r="V1739" s="475"/>
      <c r="W1739" s="475"/>
    </row>
    <row r="1740" spans="2:23" s="97" customFormat="1">
      <c r="B1740" s="96"/>
      <c r="H1740" s="96"/>
      <c r="J1740" s="1"/>
      <c r="K1740" s="1"/>
      <c r="L1740" s="1"/>
      <c r="O1740" s="475"/>
      <c r="P1740" s="475"/>
      <c r="Q1740" s="475"/>
      <c r="R1740" s="475"/>
      <c r="S1740" s="475"/>
      <c r="T1740" s="475"/>
      <c r="U1740" s="475"/>
      <c r="V1740" s="475"/>
      <c r="W1740" s="475"/>
    </row>
    <row r="1741" spans="2:23" s="97" customFormat="1">
      <c r="B1741" s="96"/>
      <c r="H1741" s="96"/>
      <c r="J1741" s="1"/>
      <c r="K1741" s="1"/>
      <c r="L1741" s="1"/>
      <c r="O1741" s="475"/>
      <c r="P1741" s="475"/>
      <c r="Q1741" s="475"/>
      <c r="R1741" s="475"/>
      <c r="S1741" s="475"/>
      <c r="T1741" s="475"/>
      <c r="U1741" s="475"/>
      <c r="V1741" s="475"/>
      <c r="W1741" s="475"/>
    </row>
    <row r="1742" spans="2:23" s="97" customFormat="1">
      <c r="B1742" s="96"/>
      <c r="H1742" s="96"/>
      <c r="J1742" s="1"/>
      <c r="K1742" s="1"/>
      <c r="L1742" s="1"/>
      <c r="O1742" s="475"/>
      <c r="P1742" s="475"/>
      <c r="Q1742" s="475"/>
      <c r="R1742" s="475"/>
      <c r="S1742" s="475"/>
      <c r="T1742" s="475"/>
      <c r="U1742" s="475"/>
      <c r="V1742" s="475"/>
      <c r="W1742" s="475"/>
    </row>
    <row r="1743" spans="2:23" s="97" customFormat="1">
      <c r="B1743" s="96"/>
      <c r="H1743" s="96"/>
      <c r="J1743" s="1"/>
      <c r="K1743" s="1"/>
      <c r="L1743" s="1"/>
      <c r="O1743" s="475"/>
      <c r="P1743" s="475"/>
      <c r="Q1743" s="475"/>
      <c r="R1743" s="475"/>
      <c r="S1743" s="475"/>
      <c r="T1743" s="475"/>
      <c r="U1743" s="475"/>
      <c r="V1743" s="475"/>
      <c r="W1743" s="475"/>
    </row>
    <row r="1744" spans="2:23" s="97" customFormat="1">
      <c r="B1744" s="96"/>
      <c r="H1744" s="96"/>
      <c r="J1744" s="1"/>
      <c r="K1744" s="1"/>
      <c r="L1744" s="1"/>
      <c r="O1744" s="475"/>
      <c r="P1744" s="475"/>
      <c r="Q1744" s="475"/>
      <c r="R1744" s="475"/>
      <c r="S1744" s="475"/>
      <c r="T1744" s="475"/>
      <c r="U1744" s="475"/>
      <c r="V1744" s="475"/>
      <c r="W1744" s="475"/>
    </row>
    <row r="1745" spans="2:23" s="97" customFormat="1">
      <c r="B1745" s="96"/>
      <c r="H1745" s="96"/>
      <c r="J1745" s="1"/>
      <c r="K1745" s="1"/>
      <c r="L1745" s="1"/>
      <c r="O1745" s="475"/>
      <c r="P1745" s="475"/>
      <c r="Q1745" s="475"/>
      <c r="R1745" s="475"/>
      <c r="S1745" s="475"/>
      <c r="T1745" s="475"/>
      <c r="U1745" s="475"/>
      <c r="V1745" s="475"/>
      <c r="W1745" s="475"/>
    </row>
    <row r="1746" spans="2:23" s="97" customFormat="1">
      <c r="B1746" s="96"/>
      <c r="H1746" s="96"/>
      <c r="J1746" s="1"/>
      <c r="K1746" s="1"/>
      <c r="L1746" s="1"/>
      <c r="O1746" s="475"/>
      <c r="P1746" s="475"/>
      <c r="Q1746" s="475"/>
      <c r="R1746" s="475"/>
      <c r="S1746" s="475"/>
      <c r="T1746" s="475"/>
      <c r="U1746" s="475"/>
      <c r="V1746" s="475"/>
      <c r="W1746" s="475"/>
    </row>
    <row r="1747" spans="2:23" s="97" customFormat="1">
      <c r="B1747" s="96"/>
      <c r="H1747" s="96"/>
      <c r="J1747" s="1"/>
      <c r="K1747" s="1"/>
      <c r="L1747" s="1"/>
      <c r="O1747" s="475"/>
      <c r="P1747" s="475"/>
      <c r="Q1747" s="475"/>
      <c r="R1747" s="475"/>
      <c r="S1747" s="475"/>
      <c r="T1747" s="475"/>
      <c r="U1747" s="475"/>
      <c r="V1747" s="475"/>
      <c r="W1747" s="475"/>
    </row>
    <row r="1748" spans="2:23" s="97" customFormat="1">
      <c r="B1748" s="96"/>
      <c r="H1748" s="96"/>
      <c r="J1748" s="1"/>
      <c r="K1748" s="1"/>
      <c r="L1748" s="1"/>
      <c r="O1748" s="475"/>
      <c r="P1748" s="475"/>
      <c r="Q1748" s="475"/>
      <c r="R1748" s="475"/>
      <c r="S1748" s="475"/>
      <c r="T1748" s="475"/>
      <c r="U1748" s="475"/>
      <c r="V1748" s="475"/>
      <c r="W1748" s="475"/>
    </row>
    <row r="1749" spans="2:23" s="97" customFormat="1">
      <c r="B1749" s="96"/>
      <c r="H1749" s="96"/>
      <c r="J1749" s="1"/>
      <c r="K1749" s="1"/>
      <c r="L1749" s="1"/>
      <c r="O1749" s="475"/>
      <c r="P1749" s="475"/>
      <c r="Q1749" s="475"/>
      <c r="R1749" s="475"/>
      <c r="S1749" s="475"/>
      <c r="T1749" s="475"/>
      <c r="U1749" s="475"/>
      <c r="V1749" s="475"/>
      <c r="W1749" s="475"/>
    </row>
    <row r="1750" spans="2:23" s="97" customFormat="1">
      <c r="B1750" s="96"/>
      <c r="H1750" s="96"/>
      <c r="J1750" s="1"/>
      <c r="K1750" s="1"/>
      <c r="L1750" s="1"/>
      <c r="O1750" s="475"/>
      <c r="P1750" s="475"/>
      <c r="Q1750" s="475"/>
      <c r="R1750" s="475"/>
      <c r="S1750" s="475"/>
      <c r="T1750" s="475"/>
      <c r="U1750" s="475"/>
      <c r="V1750" s="475"/>
      <c r="W1750" s="475"/>
    </row>
    <row r="1751" spans="2:23" s="97" customFormat="1">
      <c r="B1751" s="96"/>
      <c r="H1751" s="96"/>
      <c r="J1751" s="1"/>
      <c r="K1751" s="1"/>
      <c r="L1751" s="1"/>
      <c r="O1751" s="475"/>
      <c r="P1751" s="475"/>
      <c r="Q1751" s="475"/>
      <c r="R1751" s="475"/>
      <c r="S1751" s="475"/>
      <c r="T1751" s="475"/>
      <c r="U1751" s="475"/>
      <c r="V1751" s="475"/>
      <c r="W1751" s="475"/>
    </row>
    <row r="1752" spans="2:23" s="97" customFormat="1">
      <c r="B1752" s="96"/>
      <c r="H1752" s="96"/>
      <c r="J1752" s="1"/>
      <c r="K1752" s="1"/>
      <c r="L1752" s="1"/>
      <c r="O1752" s="475"/>
      <c r="P1752" s="475"/>
      <c r="Q1752" s="475"/>
      <c r="R1752" s="475"/>
      <c r="S1752" s="475"/>
      <c r="T1752" s="475"/>
      <c r="U1752" s="475"/>
      <c r="V1752" s="475"/>
      <c r="W1752" s="475"/>
    </row>
    <row r="1753" spans="2:23" s="97" customFormat="1">
      <c r="B1753" s="96"/>
      <c r="H1753" s="96"/>
      <c r="J1753" s="1"/>
      <c r="K1753" s="1"/>
      <c r="L1753" s="1"/>
      <c r="O1753" s="475"/>
      <c r="P1753" s="475"/>
      <c r="Q1753" s="475"/>
      <c r="R1753" s="475"/>
      <c r="S1753" s="475"/>
      <c r="T1753" s="475"/>
      <c r="U1753" s="475"/>
      <c r="V1753" s="475"/>
      <c r="W1753" s="475"/>
    </row>
    <row r="1754" spans="2:23" s="97" customFormat="1">
      <c r="B1754" s="96"/>
      <c r="H1754" s="96"/>
      <c r="J1754" s="1"/>
      <c r="K1754" s="1"/>
      <c r="L1754" s="1"/>
      <c r="O1754" s="475"/>
      <c r="P1754" s="475"/>
      <c r="Q1754" s="475"/>
      <c r="R1754" s="475"/>
      <c r="S1754" s="475"/>
      <c r="T1754" s="475"/>
      <c r="U1754" s="475"/>
      <c r="V1754" s="475"/>
      <c r="W1754" s="475"/>
    </row>
    <row r="1755" spans="2:23" s="97" customFormat="1">
      <c r="B1755" s="96"/>
      <c r="H1755" s="96"/>
      <c r="J1755" s="1"/>
      <c r="K1755" s="1"/>
      <c r="L1755" s="1"/>
      <c r="O1755" s="475"/>
      <c r="P1755" s="475"/>
      <c r="Q1755" s="475"/>
      <c r="R1755" s="475"/>
      <c r="S1755" s="475"/>
      <c r="T1755" s="475"/>
      <c r="U1755" s="475"/>
      <c r="V1755" s="475"/>
      <c r="W1755" s="475"/>
    </row>
    <row r="1756" spans="2:23" s="97" customFormat="1">
      <c r="B1756" s="96"/>
      <c r="H1756" s="96"/>
      <c r="J1756" s="1"/>
      <c r="K1756" s="1"/>
      <c r="L1756" s="1"/>
      <c r="O1756" s="475"/>
      <c r="P1756" s="475"/>
      <c r="Q1756" s="475"/>
      <c r="R1756" s="475"/>
      <c r="S1756" s="475"/>
      <c r="T1756" s="475"/>
      <c r="U1756" s="475"/>
      <c r="V1756" s="475"/>
      <c r="W1756" s="475"/>
    </row>
    <row r="1757" spans="2:23" s="97" customFormat="1">
      <c r="B1757" s="96"/>
      <c r="H1757" s="96"/>
      <c r="J1757" s="1"/>
      <c r="K1757" s="1"/>
      <c r="L1757" s="1"/>
      <c r="O1757" s="475"/>
      <c r="P1757" s="475"/>
      <c r="Q1757" s="475"/>
      <c r="R1757" s="475"/>
      <c r="S1757" s="475"/>
      <c r="T1757" s="475"/>
      <c r="U1757" s="475"/>
      <c r="V1757" s="475"/>
      <c r="W1757" s="475"/>
    </row>
    <row r="1758" spans="2:23" s="97" customFormat="1">
      <c r="B1758" s="96"/>
      <c r="H1758" s="96"/>
      <c r="J1758" s="1"/>
      <c r="K1758" s="1"/>
      <c r="L1758" s="1"/>
      <c r="O1758" s="475"/>
      <c r="P1758" s="475"/>
      <c r="Q1758" s="475"/>
      <c r="R1758" s="475"/>
      <c r="S1758" s="475"/>
      <c r="T1758" s="475"/>
      <c r="U1758" s="475"/>
      <c r="V1758" s="475"/>
      <c r="W1758" s="475"/>
    </row>
    <row r="1759" spans="2:23" s="97" customFormat="1">
      <c r="B1759" s="96"/>
      <c r="H1759" s="96"/>
      <c r="J1759" s="1"/>
      <c r="K1759" s="1"/>
      <c r="L1759" s="1"/>
      <c r="O1759" s="475"/>
      <c r="P1759" s="475"/>
      <c r="Q1759" s="475"/>
      <c r="R1759" s="475"/>
      <c r="S1759" s="475"/>
      <c r="T1759" s="475"/>
      <c r="U1759" s="475"/>
      <c r="V1759" s="475"/>
      <c r="W1759" s="475"/>
    </row>
    <row r="1760" spans="2:23" s="97" customFormat="1">
      <c r="B1760" s="96"/>
      <c r="H1760" s="96"/>
      <c r="J1760" s="1"/>
      <c r="K1760" s="1"/>
      <c r="L1760" s="1"/>
      <c r="O1760" s="475"/>
      <c r="P1760" s="475"/>
      <c r="Q1760" s="475"/>
      <c r="R1760" s="475"/>
      <c r="S1760" s="475"/>
      <c r="T1760" s="475"/>
      <c r="U1760" s="475"/>
      <c r="V1760" s="475"/>
      <c r="W1760" s="475"/>
    </row>
    <row r="1761" spans="2:23" s="97" customFormat="1">
      <c r="B1761" s="96"/>
      <c r="H1761" s="96"/>
      <c r="J1761" s="1"/>
      <c r="K1761" s="1"/>
      <c r="L1761" s="1"/>
      <c r="O1761" s="475"/>
      <c r="P1761" s="475"/>
      <c r="Q1761" s="475"/>
      <c r="R1761" s="475"/>
      <c r="S1761" s="475"/>
      <c r="T1761" s="475"/>
      <c r="U1761" s="475"/>
      <c r="V1761" s="475"/>
      <c r="W1761" s="475"/>
    </row>
    <row r="1762" spans="2:23" s="97" customFormat="1">
      <c r="B1762" s="96"/>
      <c r="H1762" s="96"/>
      <c r="J1762" s="1"/>
      <c r="K1762" s="1"/>
      <c r="L1762" s="1"/>
      <c r="O1762" s="475"/>
      <c r="P1762" s="475"/>
      <c r="Q1762" s="475"/>
      <c r="R1762" s="475"/>
      <c r="S1762" s="475"/>
      <c r="T1762" s="475"/>
      <c r="U1762" s="475"/>
      <c r="V1762" s="475"/>
      <c r="W1762" s="475"/>
    </row>
    <row r="1763" spans="2:23" s="97" customFormat="1">
      <c r="B1763" s="96"/>
      <c r="H1763" s="96"/>
      <c r="J1763" s="1"/>
      <c r="K1763" s="1"/>
      <c r="L1763" s="1"/>
      <c r="O1763" s="475"/>
      <c r="P1763" s="475"/>
      <c r="Q1763" s="475"/>
      <c r="R1763" s="475"/>
      <c r="S1763" s="475"/>
      <c r="T1763" s="475"/>
      <c r="U1763" s="475"/>
      <c r="V1763" s="475"/>
      <c r="W1763" s="475"/>
    </row>
    <row r="1764" spans="2:23" s="97" customFormat="1">
      <c r="B1764" s="96"/>
      <c r="H1764" s="96"/>
      <c r="J1764" s="1"/>
      <c r="K1764" s="1"/>
      <c r="L1764" s="1"/>
      <c r="O1764" s="475"/>
      <c r="P1764" s="475"/>
      <c r="Q1764" s="475"/>
      <c r="R1764" s="475"/>
      <c r="S1764" s="475"/>
      <c r="T1764" s="475"/>
      <c r="U1764" s="475"/>
      <c r="V1764" s="475"/>
      <c r="W1764" s="475"/>
    </row>
    <row r="1765" spans="2:23" s="97" customFormat="1">
      <c r="B1765" s="96"/>
      <c r="H1765" s="96"/>
      <c r="J1765" s="1"/>
      <c r="K1765" s="1"/>
      <c r="L1765" s="1"/>
      <c r="O1765" s="475"/>
      <c r="P1765" s="475"/>
      <c r="Q1765" s="475"/>
      <c r="R1765" s="475"/>
      <c r="S1765" s="475"/>
      <c r="T1765" s="475"/>
      <c r="U1765" s="475"/>
      <c r="V1765" s="475"/>
      <c r="W1765" s="475"/>
    </row>
    <row r="1766" spans="2:23" s="97" customFormat="1">
      <c r="B1766" s="96"/>
      <c r="H1766" s="96"/>
      <c r="J1766" s="1"/>
      <c r="K1766" s="1"/>
      <c r="L1766" s="1"/>
      <c r="O1766" s="475"/>
      <c r="P1766" s="475"/>
      <c r="Q1766" s="475"/>
      <c r="R1766" s="475"/>
      <c r="S1766" s="475"/>
      <c r="T1766" s="475"/>
      <c r="U1766" s="475"/>
      <c r="V1766" s="475"/>
      <c r="W1766" s="475"/>
    </row>
    <row r="1767" spans="2:23" s="97" customFormat="1">
      <c r="B1767" s="96"/>
      <c r="H1767" s="96"/>
      <c r="J1767" s="1"/>
      <c r="K1767" s="1"/>
      <c r="L1767" s="1"/>
      <c r="O1767" s="475"/>
      <c r="P1767" s="475"/>
      <c r="Q1767" s="475"/>
      <c r="R1767" s="475"/>
      <c r="S1767" s="475"/>
      <c r="T1767" s="475"/>
      <c r="U1767" s="475"/>
      <c r="V1767" s="475"/>
      <c r="W1767" s="475"/>
    </row>
    <row r="1768" spans="2:23" s="97" customFormat="1">
      <c r="B1768" s="96"/>
      <c r="H1768" s="96"/>
      <c r="J1768" s="1"/>
      <c r="K1768" s="1"/>
      <c r="L1768" s="1"/>
      <c r="O1768" s="475"/>
      <c r="P1768" s="475"/>
      <c r="Q1768" s="475"/>
      <c r="R1768" s="475"/>
      <c r="S1768" s="475"/>
      <c r="T1768" s="475"/>
      <c r="U1768" s="475"/>
      <c r="V1768" s="475"/>
      <c r="W1768" s="475"/>
    </row>
    <row r="1769" spans="2:23" s="97" customFormat="1">
      <c r="B1769" s="96"/>
      <c r="H1769" s="96"/>
      <c r="J1769" s="1"/>
      <c r="K1769" s="1"/>
      <c r="L1769" s="1"/>
      <c r="O1769" s="475"/>
      <c r="P1769" s="475"/>
      <c r="Q1769" s="475"/>
      <c r="R1769" s="475"/>
      <c r="S1769" s="475"/>
      <c r="T1769" s="475"/>
      <c r="U1769" s="475"/>
      <c r="V1769" s="475"/>
      <c r="W1769" s="475"/>
    </row>
    <row r="1770" spans="2:23" s="97" customFormat="1">
      <c r="B1770" s="96"/>
      <c r="H1770" s="96"/>
      <c r="J1770" s="1"/>
      <c r="K1770" s="1"/>
      <c r="L1770" s="1"/>
      <c r="O1770" s="475"/>
      <c r="P1770" s="475"/>
      <c r="Q1770" s="475"/>
      <c r="R1770" s="475"/>
      <c r="S1770" s="475"/>
      <c r="T1770" s="475"/>
      <c r="U1770" s="475"/>
      <c r="V1770" s="475"/>
      <c r="W1770" s="475"/>
    </row>
    <row r="1771" spans="2:23" s="97" customFormat="1">
      <c r="B1771" s="96"/>
      <c r="H1771" s="96"/>
      <c r="J1771" s="1"/>
      <c r="K1771" s="1"/>
      <c r="L1771" s="1"/>
      <c r="O1771" s="475"/>
      <c r="P1771" s="475"/>
      <c r="Q1771" s="475"/>
      <c r="R1771" s="475"/>
      <c r="S1771" s="475"/>
      <c r="T1771" s="475"/>
      <c r="U1771" s="475"/>
      <c r="V1771" s="475"/>
      <c r="W1771" s="475"/>
    </row>
    <row r="1772" spans="2:23" s="97" customFormat="1">
      <c r="B1772" s="96"/>
      <c r="H1772" s="96"/>
      <c r="J1772" s="1"/>
      <c r="K1772" s="1"/>
      <c r="L1772" s="1"/>
      <c r="O1772" s="475"/>
      <c r="P1772" s="475"/>
      <c r="Q1772" s="475"/>
      <c r="R1772" s="475"/>
      <c r="S1772" s="475"/>
      <c r="T1772" s="475"/>
      <c r="U1772" s="475"/>
      <c r="V1772" s="475"/>
      <c r="W1772" s="475"/>
    </row>
    <row r="1773" spans="2:23" s="97" customFormat="1">
      <c r="B1773" s="96"/>
      <c r="H1773" s="96"/>
      <c r="J1773" s="1"/>
      <c r="K1773" s="1"/>
      <c r="L1773" s="1"/>
      <c r="O1773" s="475"/>
      <c r="P1773" s="475"/>
      <c r="Q1773" s="475"/>
      <c r="R1773" s="475"/>
      <c r="S1773" s="475"/>
      <c r="T1773" s="475"/>
      <c r="U1773" s="475"/>
      <c r="V1773" s="475"/>
      <c r="W1773" s="475"/>
    </row>
    <row r="1774" spans="2:23" s="97" customFormat="1">
      <c r="B1774" s="96"/>
      <c r="H1774" s="96"/>
      <c r="J1774" s="1"/>
      <c r="K1774" s="1"/>
      <c r="L1774" s="1"/>
      <c r="O1774" s="475"/>
      <c r="P1774" s="475"/>
      <c r="Q1774" s="475"/>
      <c r="R1774" s="475"/>
      <c r="S1774" s="475"/>
      <c r="T1774" s="475"/>
      <c r="U1774" s="475"/>
      <c r="V1774" s="475"/>
      <c r="W1774" s="475"/>
    </row>
    <row r="1775" spans="2:23" s="97" customFormat="1">
      <c r="B1775" s="96"/>
      <c r="H1775" s="96"/>
      <c r="J1775" s="1"/>
      <c r="K1775" s="1"/>
      <c r="L1775" s="1"/>
      <c r="O1775" s="475"/>
      <c r="P1775" s="475"/>
      <c r="Q1775" s="475"/>
      <c r="R1775" s="475"/>
      <c r="S1775" s="475"/>
      <c r="T1775" s="475"/>
      <c r="U1775" s="475"/>
      <c r="V1775" s="475"/>
      <c r="W1775" s="475"/>
    </row>
    <row r="1776" spans="2:23" s="97" customFormat="1">
      <c r="B1776" s="96"/>
      <c r="H1776" s="96"/>
      <c r="J1776" s="1"/>
      <c r="K1776" s="1"/>
      <c r="L1776" s="1"/>
      <c r="O1776" s="475"/>
      <c r="P1776" s="475"/>
      <c r="Q1776" s="475"/>
      <c r="R1776" s="475"/>
      <c r="S1776" s="475"/>
      <c r="T1776" s="475"/>
      <c r="U1776" s="475"/>
      <c r="V1776" s="475"/>
      <c r="W1776" s="475"/>
    </row>
    <row r="1777" spans="2:23" s="97" customFormat="1">
      <c r="B1777" s="96"/>
      <c r="H1777" s="96"/>
      <c r="J1777" s="1"/>
      <c r="K1777" s="1"/>
      <c r="L1777" s="1"/>
      <c r="O1777" s="475"/>
      <c r="P1777" s="475"/>
      <c r="Q1777" s="475"/>
      <c r="R1777" s="475"/>
      <c r="S1777" s="475"/>
      <c r="T1777" s="475"/>
      <c r="U1777" s="475"/>
      <c r="V1777" s="475"/>
      <c r="W1777" s="475"/>
    </row>
    <row r="1778" spans="2:23" s="97" customFormat="1">
      <c r="B1778" s="96"/>
      <c r="H1778" s="96"/>
      <c r="J1778" s="1"/>
      <c r="K1778" s="1"/>
      <c r="L1778" s="1"/>
      <c r="O1778" s="475"/>
      <c r="P1778" s="475"/>
      <c r="Q1778" s="475"/>
      <c r="R1778" s="475"/>
      <c r="S1778" s="475"/>
      <c r="T1778" s="475"/>
      <c r="U1778" s="475"/>
      <c r="V1778" s="475"/>
      <c r="W1778" s="475"/>
    </row>
    <row r="1779" spans="2:23" s="97" customFormat="1">
      <c r="B1779" s="96"/>
      <c r="H1779" s="96"/>
      <c r="J1779" s="1"/>
      <c r="K1779" s="1"/>
      <c r="L1779" s="1"/>
      <c r="O1779" s="475"/>
      <c r="P1779" s="475"/>
      <c r="Q1779" s="475"/>
      <c r="R1779" s="475"/>
      <c r="S1779" s="475"/>
      <c r="T1779" s="475"/>
      <c r="U1779" s="475"/>
      <c r="V1779" s="475"/>
      <c r="W1779" s="475"/>
    </row>
    <row r="1780" spans="2:23" s="97" customFormat="1">
      <c r="B1780" s="96"/>
      <c r="H1780" s="96"/>
      <c r="J1780" s="1"/>
      <c r="K1780" s="1"/>
      <c r="L1780" s="1"/>
      <c r="O1780" s="475"/>
      <c r="P1780" s="475"/>
      <c r="Q1780" s="475"/>
      <c r="R1780" s="475"/>
      <c r="S1780" s="475"/>
      <c r="T1780" s="475"/>
      <c r="U1780" s="475"/>
      <c r="V1780" s="475"/>
      <c r="W1780" s="475"/>
    </row>
    <row r="1781" spans="2:23" s="97" customFormat="1">
      <c r="B1781" s="96"/>
      <c r="H1781" s="96"/>
      <c r="J1781" s="1"/>
      <c r="K1781" s="1"/>
      <c r="L1781" s="1"/>
      <c r="O1781" s="475"/>
      <c r="P1781" s="475"/>
      <c r="Q1781" s="475"/>
      <c r="R1781" s="475"/>
      <c r="S1781" s="475"/>
      <c r="T1781" s="475"/>
      <c r="U1781" s="475"/>
      <c r="V1781" s="475"/>
      <c r="W1781" s="475"/>
    </row>
    <row r="1782" spans="2:23" s="97" customFormat="1">
      <c r="B1782" s="96"/>
      <c r="H1782" s="96"/>
      <c r="J1782" s="1"/>
      <c r="K1782" s="1"/>
      <c r="L1782" s="1"/>
      <c r="O1782" s="475"/>
      <c r="P1782" s="475"/>
      <c r="Q1782" s="475"/>
      <c r="R1782" s="475"/>
      <c r="S1782" s="475"/>
      <c r="T1782" s="475"/>
      <c r="U1782" s="475"/>
      <c r="V1782" s="475"/>
      <c r="W1782" s="475"/>
    </row>
    <row r="1783" spans="2:23" s="97" customFormat="1">
      <c r="B1783" s="96"/>
      <c r="H1783" s="96"/>
      <c r="J1783" s="1"/>
      <c r="K1783" s="1"/>
      <c r="L1783" s="1"/>
      <c r="O1783" s="475"/>
      <c r="P1783" s="475"/>
      <c r="Q1783" s="475"/>
      <c r="R1783" s="475"/>
      <c r="S1783" s="475"/>
      <c r="T1783" s="475"/>
      <c r="U1783" s="475"/>
      <c r="V1783" s="475"/>
      <c r="W1783" s="475"/>
    </row>
    <row r="1784" spans="2:23" s="97" customFormat="1">
      <c r="B1784" s="96"/>
      <c r="H1784" s="96"/>
      <c r="J1784" s="1"/>
      <c r="K1784" s="1"/>
      <c r="L1784" s="1"/>
      <c r="O1784" s="475"/>
      <c r="P1784" s="475"/>
      <c r="Q1784" s="475"/>
      <c r="R1784" s="475"/>
      <c r="S1784" s="475"/>
      <c r="T1784" s="475"/>
      <c r="U1784" s="475"/>
      <c r="V1784" s="475"/>
      <c r="W1784" s="475"/>
    </row>
    <row r="1785" spans="2:23" s="97" customFormat="1">
      <c r="B1785" s="96"/>
      <c r="H1785" s="96"/>
      <c r="J1785" s="1"/>
      <c r="K1785" s="1"/>
      <c r="L1785" s="1"/>
      <c r="O1785" s="475"/>
      <c r="P1785" s="475"/>
      <c r="Q1785" s="475"/>
      <c r="R1785" s="475"/>
      <c r="S1785" s="475"/>
      <c r="T1785" s="475"/>
      <c r="U1785" s="475"/>
      <c r="V1785" s="475"/>
      <c r="W1785" s="475"/>
    </row>
    <row r="1786" spans="2:23" s="97" customFormat="1">
      <c r="B1786" s="96"/>
      <c r="H1786" s="96"/>
      <c r="J1786" s="1"/>
      <c r="K1786" s="1"/>
      <c r="L1786" s="1"/>
      <c r="O1786" s="475"/>
      <c r="P1786" s="475"/>
      <c r="Q1786" s="475"/>
      <c r="R1786" s="475"/>
      <c r="S1786" s="475"/>
      <c r="T1786" s="475"/>
      <c r="U1786" s="475"/>
      <c r="V1786" s="475"/>
      <c r="W1786" s="475"/>
    </row>
    <row r="1787" spans="2:23" s="97" customFormat="1">
      <c r="B1787" s="96"/>
      <c r="H1787" s="96"/>
      <c r="J1787" s="1"/>
      <c r="K1787" s="1"/>
      <c r="L1787" s="1"/>
      <c r="O1787" s="475"/>
      <c r="P1787" s="475"/>
      <c r="Q1787" s="475"/>
      <c r="R1787" s="475"/>
      <c r="S1787" s="475"/>
      <c r="T1787" s="475"/>
      <c r="U1787" s="475"/>
      <c r="V1787" s="475"/>
      <c r="W1787" s="475"/>
    </row>
    <row r="1788" spans="2:23" s="97" customFormat="1">
      <c r="B1788" s="96"/>
      <c r="H1788" s="96"/>
      <c r="J1788" s="1"/>
      <c r="K1788" s="1"/>
      <c r="L1788" s="1"/>
      <c r="O1788" s="475"/>
      <c r="P1788" s="475"/>
      <c r="Q1788" s="475"/>
      <c r="R1788" s="475"/>
      <c r="S1788" s="475"/>
      <c r="T1788" s="475"/>
      <c r="U1788" s="475"/>
      <c r="V1788" s="475"/>
      <c r="W1788" s="475"/>
    </row>
    <row r="1789" spans="2:23" s="97" customFormat="1">
      <c r="B1789" s="96"/>
      <c r="H1789" s="96"/>
      <c r="J1789" s="1"/>
      <c r="K1789" s="1"/>
      <c r="L1789" s="1"/>
      <c r="O1789" s="475"/>
      <c r="P1789" s="475"/>
      <c r="Q1789" s="475"/>
      <c r="R1789" s="475"/>
      <c r="S1789" s="475"/>
      <c r="T1789" s="475"/>
      <c r="U1789" s="475"/>
      <c r="V1789" s="475"/>
      <c r="W1789" s="475"/>
    </row>
    <row r="1790" spans="2:23" s="97" customFormat="1">
      <c r="B1790" s="96"/>
      <c r="H1790" s="96"/>
      <c r="J1790" s="1"/>
      <c r="K1790" s="1"/>
      <c r="L1790" s="1"/>
      <c r="O1790" s="475"/>
      <c r="P1790" s="475"/>
      <c r="Q1790" s="475"/>
      <c r="R1790" s="475"/>
      <c r="S1790" s="475"/>
      <c r="T1790" s="475"/>
      <c r="U1790" s="475"/>
      <c r="V1790" s="475"/>
      <c r="W1790" s="475"/>
    </row>
    <row r="1791" spans="2:23" s="97" customFormat="1">
      <c r="B1791" s="96"/>
      <c r="H1791" s="96"/>
      <c r="J1791" s="1"/>
      <c r="K1791" s="1"/>
      <c r="L1791" s="1"/>
      <c r="O1791" s="475"/>
      <c r="P1791" s="475"/>
      <c r="Q1791" s="475"/>
      <c r="R1791" s="475"/>
      <c r="S1791" s="475"/>
      <c r="T1791" s="475"/>
      <c r="U1791" s="475"/>
      <c r="V1791" s="475"/>
      <c r="W1791" s="475"/>
    </row>
    <row r="1792" spans="2:23" s="97" customFormat="1">
      <c r="B1792" s="96"/>
      <c r="H1792" s="96"/>
      <c r="J1792" s="1"/>
      <c r="K1792" s="1"/>
      <c r="L1792" s="1"/>
      <c r="O1792" s="475"/>
      <c r="P1792" s="475"/>
      <c r="Q1792" s="475"/>
      <c r="R1792" s="475"/>
      <c r="S1792" s="475"/>
      <c r="T1792" s="475"/>
      <c r="U1792" s="475"/>
      <c r="V1792" s="475"/>
      <c r="W1792" s="475"/>
    </row>
    <row r="1793" spans="2:23" s="97" customFormat="1">
      <c r="B1793" s="96"/>
      <c r="H1793" s="96"/>
      <c r="J1793" s="1"/>
      <c r="K1793" s="1"/>
      <c r="L1793" s="1"/>
      <c r="O1793" s="475"/>
      <c r="P1793" s="475"/>
      <c r="Q1793" s="475"/>
      <c r="R1793" s="475"/>
      <c r="S1793" s="475"/>
      <c r="T1793" s="475"/>
      <c r="U1793" s="475"/>
      <c r="V1793" s="475"/>
      <c r="W1793" s="475"/>
    </row>
    <row r="1794" spans="2:23" s="97" customFormat="1">
      <c r="B1794" s="96"/>
      <c r="H1794" s="96"/>
      <c r="J1794" s="1"/>
      <c r="K1794" s="1"/>
      <c r="L1794" s="1"/>
      <c r="O1794" s="475"/>
      <c r="P1794" s="475"/>
      <c r="Q1794" s="475"/>
      <c r="R1794" s="475"/>
      <c r="S1794" s="475"/>
      <c r="T1794" s="475"/>
      <c r="U1794" s="475"/>
      <c r="V1794" s="475"/>
      <c r="W1794" s="475"/>
    </row>
    <row r="1795" spans="2:23" s="97" customFormat="1">
      <c r="B1795" s="96"/>
      <c r="H1795" s="96"/>
      <c r="J1795" s="1"/>
      <c r="K1795" s="1"/>
      <c r="L1795" s="1"/>
      <c r="O1795" s="475"/>
      <c r="P1795" s="475"/>
      <c r="Q1795" s="475"/>
      <c r="R1795" s="475"/>
      <c r="S1795" s="475"/>
      <c r="T1795" s="475"/>
      <c r="U1795" s="475"/>
      <c r="V1795" s="475"/>
      <c r="W1795" s="475"/>
    </row>
    <row r="1796" spans="2:23" s="97" customFormat="1">
      <c r="B1796" s="96"/>
      <c r="H1796" s="96"/>
      <c r="J1796" s="1"/>
      <c r="K1796" s="1"/>
      <c r="L1796" s="1"/>
      <c r="O1796" s="475"/>
      <c r="P1796" s="475"/>
      <c r="Q1796" s="475"/>
      <c r="R1796" s="475"/>
      <c r="S1796" s="475"/>
      <c r="T1796" s="475"/>
      <c r="U1796" s="475"/>
      <c r="V1796" s="475"/>
      <c r="W1796" s="475"/>
    </row>
    <row r="1797" spans="2:23" s="97" customFormat="1">
      <c r="B1797" s="96"/>
      <c r="H1797" s="96"/>
      <c r="J1797" s="1"/>
      <c r="K1797" s="1"/>
      <c r="L1797" s="1"/>
      <c r="O1797" s="475"/>
      <c r="P1797" s="475"/>
      <c r="Q1797" s="475"/>
      <c r="R1797" s="475"/>
      <c r="S1797" s="475"/>
      <c r="T1797" s="475"/>
      <c r="U1797" s="475"/>
      <c r="V1797" s="475"/>
      <c r="W1797" s="475"/>
    </row>
    <row r="1798" spans="2:23" s="97" customFormat="1">
      <c r="B1798" s="96"/>
      <c r="H1798" s="96"/>
      <c r="J1798" s="1"/>
      <c r="K1798" s="1"/>
      <c r="L1798" s="1"/>
      <c r="O1798" s="475"/>
      <c r="P1798" s="475"/>
      <c r="Q1798" s="475"/>
      <c r="R1798" s="475"/>
      <c r="S1798" s="475"/>
      <c r="T1798" s="475"/>
      <c r="U1798" s="475"/>
      <c r="V1798" s="475"/>
      <c r="W1798" s="475"/>
    </row>
    <row r="1799" spans="2:23" s="97" customFormat="1">
      <c r="B1799" s="96"/>
      <c r="H1799" s="96"/>
      <c r="J1799" s="1"/>
      <c r="K1799" s="1"/>
      <c r="L1799" s="1"/>
      <c r="O1799" s="475"/>
      <c r="P1799" s="475"/>
      <c r="Q1799" s="475"/>
      <c r="R1799" s="475"/>
      <c r="S1799" s="475"/>
      <c r="T1799" s="475"/>
      <c r="U1799" s="475"/>
      <c r="V1799" s="475"/>
      <c r="W1799" s="475"/>
    </row>
    <row r="1800" spans="2:23" s="97" customFormat="1">
      <c r="B1800" s="96"/>
      <c r="H1800" s="96"/>
      <c r="J1800" s="1"/>
      <c r="K1800" s="1"/>
      <c r="L1800" s="1"/>
      <c r="O1800" s="475"/>
      <c r="P1800" s="475"/>
      <c r="Q1800" s="475"/>
      <c r="R1800" s="475"/>
      <c r="S1800" s="475"/>
      <c r="T1800" s="475"/>
      <c r="U1800" s="475"/>
      <c r="V1800" s="475"/>
      <c r="W1800" s="475"/>
    </row>
    <row r="1801" spans="2:23" s="97" customFormat="1">
      <c r="B1801" s="96"/>
      <c r="H1801" s="96"/>
      <c r="J1801" s="1"/>
      <c r="K1801" s="1"/>
      <c r="L1801" s="1"/>
      <c r="O1801" s="475"/>
      <c r="P1801" s="475"/>
      <c r="Q1801" s="475"/>
      <c r="R1801" s="475"/>
      <c r="S1801" s="475"/>
      <c r="T1801" s="475"/>
      <c r="U1801" s="475"/>
      <c r="V1801" s="475"/>
      <c r="W1801" s="475"/>
    </row>
    <row r="1802" spans="2:23" s="97" customFormat="1">
      <c r="B1802" s="96"/>
      <c r="H1802" s="96"/>
      <c r="J1802" s="1"/>
      <c r="K1802" s="1"/>
      <c r="L1802" s="1"/>
      <c r="O1802" s="475"/>
      <c r="P1802" s="475"/>
      <c r="Q1802" s="475"/>
      <c r="R1802" s="475"/>
      <c r="S1802" s="475"/>
      <c r="T1802" s="475"/>
      <c r="U1802" s="475"/>
      <c r="V1802" s="475"/>
      <c r="W1802" s="475"/>
    </row>
    <row r="1803" spans="2:23" s="97" customFormat="1">
      <c r="B1803" s="96"/>
      <c r="H1803" s="96"/>
      <c r="J1803" s="1"/>
      <c r="K1803" s="1"/>
      <c r="L1803" s="1"/>
      <c r="O1803" s="475"/>
      <c r="P1803" s="475"/>
      <c r="Q1803" s="475"/>
      <c r="R1803" s="475"/>
      <c r="S1803" s="475"/>
      <c r="T1803" s="475"/>
      <c r="U1803" s="475"/>
      <c r="V1803" s="475"/>
      <c r="W1803" s="475"/>
    </row>
    <row r="1804" spans="2:23" s="97" customFormat="1">
      <c r="B1804" s="96"/>
      <c r="H1804" s="96"/>
      <c r="J1804" s="1"/>
      <c r="K1804" s="1"/>
      <c r="L1804" s="1"/>
      <c r="O1804" s="475"/>
      <c r="P1804" s="475"/>
      <c r="Q1804" s="475"/>
      <c r="R1804" s="475"/>
      <c r="S1804" s="475"/>
      <c r="T1804" s="475"/>
      <c r="U1804" s="475"/>
      <c r="V1804" s="475"/>
      <c r="W1804" s="475"/>
    </row>
    <row r="1805" spans="2:23" s="97" customFormat="1">
      <c r="B1805" s="96"/>
      <c r="H1805" s="96"/>
      <c r="J1805" s="1"/>
      <c r="K1805" s="1"/>
      <c r="L1805" s="1"/>
      <c r="O1805" s="475"/>
      <c r="P1805" s="475"/>
      <c r="Q1805" s="475"/>
      <c r="R1805" s="475"/>
      <c r="S1805" s="475"/>
      <c r="T1805" s="475"/>
      <c r="U1805" s="475"/>
      <c r="V1805" s="475"/>
      <c r="W1805" s="475"/>
    </row>
    <row r="1806" spans="2:23" s="97" customFormat="1">
      <c r="B1806" s="96"/>
      <c r="H1806" s="96"/>
      <c r="J1806" s="1"/>
      <c r="K1806" s="1"/>
      <c r="L1806" s="1"/>
      <c r="O1806" s="475"/>
      <c r="P1806" s="475"/>
      <c r="Q1806" s="475"/>
      <c r="R1806" s="475"/>
      <c r="S1806" s="475"/>
      <c r="T1806" s="475"/>
      <c r="U1806" s="475"/>
      <c r="V1806" s="475"/>
      <c r="W1806" s="475"/>
    </row>
    <row r="1807" spans="2:23" s="97" customFormat="1">
      <c r="B1807" s="96"/>
      <c r="H1807" s="96"/>
      <c r="J1807" s="1"/>
      <c r="K1807" s="1"/>
      <c r="L1807" s="1"/>
      <c r="O1807" s="475"/>
      <c r="P1807" s="475"/>
      <c r="Q1807" s="475"/>
      <c r="R1807" s="475"/>
      <c r="S1807" s="475"/>
      <c r="T1807" s="475"/>
      <c r="U1807" s="475"/>
      <c r="V1807" s="475"/>
      <c r="W1807" s="475"/>
    </row>
    <row r="1808" spans="2:23" s="97" customFormat="1">
      <c r="B1808" s="96"/>
      <c r="H1808" s="96"/>
      <c r="J1808" s="1"/>
      <c r="K1808" s="1"/>
      <c r="L1808" s="1"/>
      <c r="O1808" s="475"/>
      <c r="P1808" s="475"/>
      <c r="Q1808" s="475"/>
      <c r="R1808" s="475"/>
      <c r="S1808" s="475"/>
      <c r="T1808" s="475"/>
      <c r="U1808" s="475"/>
      <c r="V1808" s="475"/>
      <c r="W1808" s="475"/>
    </row>
    <row r="1809" spans="2:23" s="97" customFormat="1">
      <c r="B1809" s="96"/>
      <c r="H1809" s="96"/>
      <c r="J1809" s="1"/>
      <c r="K1809" s="1"/>
      <c r="L1809" s="1"/>
      <c r="O1809" s="475"/>
      <c r="P1809" s="475"/>
      <c r="Q1809" s="475"/>
      <c r="R1809" s="475"/>
      <c r="S1809" s="475"/>
      <c r="T1809" s="475"/>
      <c r="U1809" s="475"/>
      <c r="V1809" s="475"/>
      <c r="W1809" s="475"/>
    </row>
    <row r="1810" spans="2:23" s="97" customFormat="1">
      <c r="B1810" s="96"/>
      <c r="H1810" s="96"/>
      <c r="J1810" s="1"/>
      <c r="K1810" s="1"/>
      <c r="L1810" s="1"/>
      <c r="O1810" s="475"/>
      <c r="P1810" s="475"/>
      <c r="Q1810" s="475"/>
      <c r="R1810" s="475"/>
      <c r="S1810" s="475"/>
      <c r="T1810" s="475"/>
      <c r="U1810" s="475"/>
      <c r="V1810" s="475"/>
      <c r="W1810" s="475"/>
    </row>
    <row r="1811" spans="2:23" s="97" customFormat="1">
      <c r="B1811" s="96"/>
      <c r="H1811" s="96"/>
      <c r="J1811" s="1"/>
      <c r="K1811" s="1"/>
      <c r="L1811" s="1"/>
      <c r="O1811" s="475"/>
      <c r="P1811" s="475"/>
      <c r="Q1811" s="475"/>
      <c r="R1811" s="475"/>
      <c r="S1811" s="475"/>
      <c r="T1811" s="475"/>
      <c r="U1811" s="475"/>
      <c r="V1811" s="475"/>
      <c r="W1811" s="475"/>
    </row>
    <row r="1812" spans="2:23" s="97" customFormat="1">
      <c r="B1812" s="96"/>
      <c r="H1812" s="96"/>
      <c r="J1812" s="1"/>
      <c r="K1812" s="1"/>
      <c r="L1812" s="1"/>
      <c r="O1812" s="475"/>
      <c r="P1812" s="475"/>
      <c r="Q1812" s="475"/>
      <c r="R1812" s="475"/>
      <c r="S1812" s="475"/>
      <c r="T1812" s="475"/>
      <c r="U1812" s="475"/>
      <c r="V1812" s="475"/>
      <c r="W1812" s="475"/>
    </row>
    <row r="1813" spans="2:23" s="97" customFormat="1">
      <c r="B1813" s="96"/>
      <c r="H1813" s="96"/>
      <c r="J1813" s="1"/>
      <c r="K1813" s="1"/>
      <c r="L1813" s="1"/>
      <c r="O1813" s="475"/>
      <c r="P1813" s="475"/>
      <c r="Q1813" s="475"/>
      <c r="R1813" s="475"/>
      <c r="S1813" s="475"/>
      <c r="T1813" s="475"/>
      <c r="U1813" s="475"/>
      <c r="V1813" s="475"/>
      <c r="W1813" s="475"/>
    </row>
    <row r="1814" spans="2:23" s="97" customFormat="1">
      <c r="B1814" s="96"/>
      <c r="H1814" s="96"/>
      <c r="J1814" s="1"/>
      <c r="K1814" s="1"/>
      <c r="L1814" s="1"/>
      <c r="O1814" s="475"/>
      <c r="P1814" s="475"/>
      <c r="Q1814" s="475"/>
      <c r="R1814" s="475"/>
      <c r="S1814" s="475"/>
      <c r="T1814" s="475"/>
      <c r="U1814" s="475"/>
      <c r="V1814" s="475"/>
      <c r="W1814" s="475"/>
    </row>
    <row r="1815" spans="2:23" s="97" customFormat="1">
      <c r="B1815" s="96"/>
      <c r="H1815" s="96"/>
      <c r="J1815" s="1"/>
      <c r="K1815" s="1"/>
      <c r="L1815" s="1"/>
      <c r="O1815" s="475"/>
      <c r="P1815" s="475"/>
      <c r="Q1815" s="475"/>
      <c r="R1815" s="475"/>
      <c r="S1815" s="475"/>
      <c r="T1815" s="475"/>
      <c r="U1815" s="475"/>
      <c r="V1815" s="475"/>
      <c r="W1815" s="475"/>
    </row>
    <row r="1816" spans="2:23" s="97" customFormat="1">
      <c r="B1816" s="96"/>
      <c r="H1816" s="96"/>
      <c r="J1816" s="1"/>
      <c r="K1816" s="1"/>
      <c r="L1816" s="1"/>
      <c r="O1816" s="475"/>
      <c r="P1816" s="475"/>
      <c r="Q1816" s="475"/>
      <c r="R1816" s="475"/>
      <c r="S1816" s="475"/>
      <c r="T1816" s="475"/>
      <c r="U1816" s="475"/>
      <c r="V1816" s="475"/>
      <c r="W1816" s="475"/>
    </row>
    <row r="1817" spans="2:23" s="97" customFormat="1">
      <c r="B1817" s="96"/>
      <c r="H1817" s="96"/>
      <c r="J1817" s="1"/>
      <c r="K1817" s="1"/>
      <c r="L1817" s="1"/>
      <c r="O1817" s="475"/>
      <c r="P1817" s="475"/>
      <c r="Q1817" s="475"/>
      <c r="R1817" s="475"/>
      <c r="S1817" s="475"/>
      <c r="T1817" s="475"/>
      <c r="U1817" s="475"/>
      <c r="V1817" s="475"/>
      <c r="W1817" s="475"/>
    </row>
    <row r="1818" spans="2:23" s="97" customFormat="1">
      <c r="B1818" s="96"/>
      <c r="H1818" s="96"/>
      <c r="J1818" s="1"/>
      <c r="K1818" s="1"/>
      <c r="L1818" s="1"/>
      <c r="O1818" s="475"/>
      <c r="P1818" s="475"/>
      <c r="Q1818" s="475"/>
      <c r="R1818" s="475"/>
      <c r="S1818" s="475"/>
      <c r="T1818" s="475"/>
      <c r="U1818" s="475"/>
      <c r="V1818" s="475"/>
      <c r="W1818" s="475"/>
    </row>
    <row r="1819" spans="2:23" s="97" customFormat="1">
      <c r="B1819" s="96"/>
      <c r="H1819" s="96"/>
      <c r="J1819" s="1"/>
      <c r="K1819" s="1"/>
      <c r="L1819" s="1"/>
      <c r="O1819" s="475"/>
      <c r="P1819" s="475"/>
      <c r="Q1819" s="475"/>
      <c r="R1819" s="475"/>
      <c r="S1819" s="475"/>
      <c r="T1819" s="475"/>
      <c r="U1819" s="475"/>
      <c r="V1819" s="475"/>
      <c r="W1819" s="475"/>
    </row>
    <row r="1820" spans="2:23" s="97" customFormat="1">
      <c r="B1820" s="96"/>
      <c r="H1820" s="96"/>
      <c r="J1820" s="1"/>
      <c r="K1820" s="1"/>
      <c r="L1820" s="1"/>
      <c r="O1820" s="475"/>
      <c r="P1820" s="475"/>
      <c r="Q1820" s="475"/>
      <c r="R1820" s="475"/>
      <c r="S1820" s="475"/>
      <c r="T1820" s="475"/>
      <c r="U1820" s="475"/>
      <c r="V1820" s="475"/>
      <c r="W1820" s="475"/>
    </row>
    <row r="1821" spans="2:23" s="97" customFormat="1">
      <c r="B1821" s="96"/>
      <c r="H1821" s="96"/>
      <c r="J1821" s="1"/>
      <c r="K1821" s="1"/>
      <c r="L1821" s="1"/>
      <c r="O1821" s="475"/>
      <c r="P1821" s="475"/>
      <c r="Q1821" s="475"/>
      <c r="R1821" s="475"/>
      <c r="S1821" s="475"/>
      <c r="T1821" s="475"/>
      <c r="U1821" s="475"/>
      <c r="V1821" s="475"/>
      <c r="W1821" s="475"/>
    </row>
    <row r="1822" spans="2:23" s="97" customFormat="1">
      <c r="B1822" s="96"/>
      <c r="H1822" s="96"/>
      <c r="J1822" s="1"/>
      <c r="K1822" s="1"/>
      <c r="L1822" s="1"/>
      <c r="O1822" s="475"/>
      <c r="P1822" s="475"/>
      <c r="Q1822" s="475"/>
      <c r="R1822" s="475"/>
      <c r="S1822" s="475"/>
      <c r="T1822" s="475"/>
      <c r="U1822" s="475"/>
      <c r="V1822" s="475"/>
      <c r="W1822" s="475"/>
    </row>
    <row r="1823" spans="2:23" s="97" customFormat="1">
      <c r="B1823" s="96"/>
      <c r="H1823" s="96"/>
      <c r="J1823" s="1"/>
      <c r="K1823" s="1"/>
      <c r="L1823" s="1"/>
      <c r="O1823" s="475"/>
      <c r="P1823" s="475"/>
      <c r="Q1823" s="475"/>
      <c r="R1823" s="475"/>
      <c r="S1823" s="475"/>
      <c r="T1823" s="475"/>
      <c r="U1823" s="475"/>
      <c r="V1823" s="475"/>
      <c r="W1823" s="475"/>
    </row>
    <row r="1824" spans="2:23" s="97" customFormat="1">
      <c r="B1824" s="96"/>
      <c r="H1824" s="96"/>
      <c r="J1824" s="1"/>
      <c r="K1824" s="1"/>
      <c r="L1824" s="1"/>
      <c r="O1824" s="475"/>
      <c r="P1824" s="475"/>
      <c r="Q1824" s="475"/>
      <c r="R1824" s="475"/>
      <c r="S1824" s="475"/>
      <c r="T1824" s="475"/>
      <c r="U1824" s="475"/>
      <c r="V1824" s="475"/>
      <c r="W1824" s="475"/>
    </row>
    <row r="1825" spans="2:23" s="97" customFormat="1">
      <c r="B1825" s="96"/>
      <c r="H1825" s="96"/>
      <c r="J1825" s="1"/>
      <c r="K1825" s="1"/>
      <c r="L1825" s="1"/>
      <c r="O1825" s="475"/>
      <c r="P1825" s="475"/>
      <c r="Q1825" s="475"/>
      <c r="R1825" s="475"/>
      <c r="S1825" s="475"/>
      <c r="T1825" s="475"/>
      <c r="U1825" s="475"/>
      <c r="V1825" s="475"/>
      <c r="W1825" s="475"/>
    </row>
    <row r="1826" spans="2:23" s="97" customFormat="1">
      <c r="B1826" s="96"/>
      <c r="H1826" s="96"/>
      <c r="J1826" s="1"/>
      <c r="K1826" s="1"/>
      <c r="L1826" s="1"/>
      <c r="O1826" s="475"/>
      <c r="P1826" s="475"/>
      <c r="Q1826" s="475"/>
      <c r="R1826" s="475"/>
      <c r="S1826" s="475"/>
      <c r="T1826" s="475"/>
      <c r="U1826" s="475"/>
      <c r="V1826" s="475"/>
      <c r="W1826" s="475"/>
    </row>
    <row r="1827" spans="2:23" s="97" customFormat="1">
      <c r="B1827" s="96"/>
      <c r="H1827" s="96"/>
      <c r="J1827" s="1"/>
      <c r="K1827" s="1"/>
      <c r="L1827" s="1"/>
      <c r="O1827" s="475"/>
      <c r="P1827" s="475"/>
      <c r="Q1827" s="475"/>
      <c r="R1827" s="475"/>
      <c r="S1827" s="475"/>
      <c r="T1827" s="475"/>
      <c r="U1827" s="475"/>
      <c r="V1827" s="475"/>
      <c r="W1827" s="475"/>
    </row>
    <row r="1828" spans="2:23" s="97" customFormat="1">
      <c r="B1828" s="96"/>
      <c r="H1828" s="96"/>
      <c r="J1828" s="1"/>
      <c r="K1828" s="1"/>
      <c r="L1828" s="1"/>
      <c r="O1828" s="475"/>
      <c r="P1828" s="475"/>
      <c r="Q1828" s="475"/>
      <c r="R1828" s="475"/>
      <c r="S1828" s="475"/>
      <c r="T1828" s="475"/>
      <c r="U1828" s="475"/>
      <c r="V1828" s="475"/>
      <c r="W1828" s="475"/>
    </row>
    <row r="1829" spans="2:23" s="97" customFormat="1">
      <c r="B1829" s="96"/>
      <c r="H1829" s="96"/>
      <c r="J1829" s="1"/>
      <c r="K1829" s="1"/>
      <c r="L1829" s="1"/>
      <c r="O1829" s="475"/>
      <c r="P1829" s="475"/>
      <c r="Q1829" s="475"/>
      <c r="R1829" s="475"/>
      <c r="S1829" s="475"/>
      <c r="T1829" s="475"/>
      <c r="U1829" s="475"/>
      <c r="V1829" s="475"/>
      <c r="W1829" s="475"/>
    </row>
    <row r="1830" spans="2:23" s="97" customFormat="1">
      <c r="B1830" s="96"/>
      <c r="H1830" s="96"/>
      <c r="J1830" s="1"/>
      <c r="K1830" s="1"/>
      <c r="L1830" s="1"/>
      <c r="O1830" s="475"/>
      <c r="P1830" s="475"/>
      <c r="Q1830" s="475"/>
      <c r="R1830" s="475"/>
      <c r="S1830" s="475"/>
      <c r="T1830" s="475"/>
      <c r="U1830" s="475"/>
      <c r="V1830" s="475"/>
      <c r="W1830" s="475"/>
    </row>
    <row r="1831" spans="2:23" s="97" customFormat="1">
      <c r="B1831" s="96"/>
      <c r="H1831" s="96"/>
      <c r="J1831" s="1"/>
      <c r="K1831" s="1"/>
      <c r="L1831" s="1"/>
      <c r="O1831" s="475"/>
      <c r="P1831" s="475"/>
      <c r="Q1831" s="475"/>
      <c r="R1831" s="475"/>
      <c r="S1831" s="475"/>
      <c r="T1831" s="475"/>
      <c r="U1831" s="475"/>
      <c r="V1831" s="475"/>
      <c r="W1831" s="475"/>
    </row>
    <row r="1832" spans="2:23" s="97" customFormat="1">
      <c r="B1832" s="96"/>
      <c r="H1832" s="96"/>
      <c r="J1832" s="1"/>
      <c r="K1832" s="1"/>
      <c r="L1832" s="1"/>
      <c r="O1832" s="475"/>
      <c r="P1832" s="475"/>
      <c r="Q1832" s="475"/>
      <c r="R1832" s="475"/>
      <c r="S1832" s="475"/>
      <c r="T1832" s="475"/>
      <c r="U1832" s="475"/>
      <c r="V1832" s="475"/>
      <c r="W1832" s="475"/>
    </row>
    <row r="1833" spans="2:23" s="97" customFormat="1">
      <c r="B1833" s="96"/>
      <c r="H1833" s="96"/>
      <c r="J1833" s="1"/>
      <c r="K1833" s="1"/>
      <c r="L1833" s="1"/>
      <c r="O1833" s="475"/>
      <c r="P1833" s="475"/>
      <c r="Q1833" s="475"/>
      <c r="R1833" s="475"/>
      <c r="S1833" s="475"/>
      <c r="T1833" s="475"/>
      <c r="U1833" s="475"/>
      <c r="V1833" s="475"/>
      <c r="W1833" s="475"/>
    </row>
    <row r="1834" spans="2:23" s="97" customFormat="1">
      <c r="B1834" s="96"/>
      <c r="H1834" s="96"/>
      <c r="J1834" s="1"/>
      <c r="K1834" s="1"/>
      <c r="L1834" s="1"/>
      <c r="O1834" s="475"/>
      <c r="P1834" s="475"/>
      <c r="Q1834" s="475"/>
      <c r="R1834" s="475"/>
      <c r="S1834" s="475"/>
      <c r="T1834" s="475"/>
      <c r="U1834" s="475"/>
      <c r="V1834" s="475"/>
      <c r="W1834" s="475"/>
    </row>
    <row r="1835" spans="2:23" s="97" customFormat="1">
      <c r="B1835" s="96"/>
      <c r="H1835" s="96"/>
      <c r="J1835" s="1"/>
      <c r="K1835" s="1"/>
      <c r="L1835" s="1"/>
      <c r="O1835" s="475"/>
      <c r="P1835" s="475"/>
      <c r="Q1835" s="475"/>
      <c r="R1835" s="475"/>
      <c r="S1835" s="475"/>
      <c r="T1835" s="475"/>
      <c r="U1835" s="475"/>
      <c r="V1835" s="475"/>
      <c r="W1835" s="475"/>
    </row>
    <row r="1836" spans="2:23" s="97" customFormat="1">
      <c r="B1836" s="96"/>
      <c r="H1836" s="96"/>
      <c r="J1836" s="1"/>
      <c r="K1836" s="1"/>
      <c r="L1836" s="1"/>
      <c r="O1836" s="475"/>
      <c r="P1836" s="475"/>
      <c r="Q1836" s="475"/>
      <c r="R1836" s="475"/>
      <c r="S1836" s="475"/>
      <c r="T1836" s="475"/>
      <c r="U1836" s="475"/>
      <c r="V1836" s="475"/>
      <c r="W1836" s="475"/>
    </row>
    <row r="1837" spans="2:23" s="97" customFormat="1">
      <c r="B1837" s="96"/>
      <c r="H1837" s="96"/>
      <c r="J1837" s="1"/>
      <c r="K1837" s="1"/>
      <c r="L1837" s="1"/>
      <c r="O1837" s="475"/>
      <c r="P1837" s="475"/>
      <c r="Q1837" s="475"/>
      <c r="R1837" s="475"/>
      <c r="S1837" s="475"/>
      <c r="T1837" s="475"/>
      <c r="U1837" s="475"/>
      <c r="V1837" s="475"/>
      <c r="W1837" s="475"/>
    </row>
    <row r="1838" spans="2:23" s="97" customFormat="1">
      <c r="B1838" s="96"/>
      <c r="H1838" s="96"/>
      <c r="J1838" s="1"/>
      <c r="K1838" s="1"/>
      <c r="L1838" s="1"/>
      <c r="O1838" s="475"/>
      <c r="P1838" s="475"/>
      <c r="Q1838" s="475"/>
      <c r="R1838" s="475"/>
      <c r="S1838" s="475"/>
      <c r="T1838" s="475"/>
      <c r="U1838" s="475"/>
      <c r="V1838" s="475"/>
      <c r="W1838" s="475"/>
    </row>
    <row r="1839" spans="2:23" s="97" customFormat="1">
      <c r="B1839" s="96"/>
      <c r="H1839" s="96"/>
      <c r="J1839" s="1"/>
      <c r="K1839" s="1"/>
      <c r="L1839" s="1"/>
      <c r="O1839" s="475"/>
      <c r="P1839" s="475"/>
      <c r="Q1839" s="475"/>
      <c r="R1839" s="475"/>
      <c r="S1839" s="475"/>
      <c r="T1839" s="475"/>
      <c r="U1839" s="475"/>
      <c r="V1839" s="475"/>
      <c r="W1839" s="475"/>
    </row>
    <row r="1840" spans="2:23" s="97" customFormat="1">
      <c r="B1840" s="96"/>
      <c r="H1840" s="96"/>
      <c r="J1840" s="1"/>
      <c r="K1840" s="1"/>
      <c r="L1840" s="1"/>
      <c r="O1840" s="475"/>
      <c r="P1840" s="475"/>
      <c r="Q1840" s="475"/>
      <c r="R1840" s="475"/>
      <c r="S1840" s="475"/>
      <c r="T1840" s="475"/>
      <c r="U1840" s="475"/>
      <c r="V1840" s="475"/>
      <c r="W1840" s="475"/>
    </row>
    <row r="1841" spans="2:23" s="97" customFormat="1">
      <c r="B1841" s="96"/>
      <c r="H1841" s="96"/>
      <c r="J1841" s="1"/>
      <c r="K1841" s="1"/>
      <c r="L1841" s="1"/>
      <c r="O1841" s="475"/>
      <c r="P1841" s="475"/>
      <c r="Q1841" s="475"/>
      <c r="R1841" s="475"/>
      <c r="S1841" s="475"/>
      <c r="T1841" s="475"/>
      <c r="U1841" s="475"/>
      <c r="V1841" s="475"/>
      <c r="W1841" s="475"/>
    </row>
    <row r="1842" spans="2:23" s="97" customFormat="1">
      <c r="B1842" s="96"/>
      <c r="H1842" s="96"/>
      <c r="J1842" s="1"/>
      <c r="K1842" s="1"/>
      <c r="L1842" s="1"/>
      <c r="O1842" s="475"/>
      <c r="P1842" s="475"/>
      <c r="Q1842" s="475"/>
      <c r="R1842" s="475"/>
      <c r="S1842" s="475"/>
      <c r="T1842" s="475"/>
      <c r="U1842" s="475"/>
      <c r="V1842" s="475"/>
      <c r="W1842" s="475"/>
    </row>
    <row r="1843" spans="2:23" s="97" customFormat="1">
      <c r="B1843" s="96"/>
      <c r="H1843" s="96"/>
      <c r="J1843" s="1"/>
      <c r="K1843" s="1"/>
      <c r="L1843" s="1"/>
      <c r="O1843" s="475"/>
      <c r="P1843" s="475"/>
      <c r="Q1843" s="475"/>
      <c r="R1843" s="475"/>
      <c r="S1843" s="475"/>
      <c r="T1843" s="475"/>
      <c r="U1843" s="475"/>
      <c r="V1843" s="475"/>
      <c r="W1843" s="475"/>
    </row>
    <row r="1844" spans="2:23" s="97" customFormat="1">
      <c r="B1844" s="96"/>
      <c r="H1844" s="96"/>
      <c r="J1844" s="1"/>
      <c r="K1844" s="1"/>
      <c r="L1844" s="1"/>
      <c r="O1844" s="475"/>
      <c r="P1844" s="475"/>
      <c r="Q1844" s="475"/>
      <c r="R1844" s="475"/>
      <c r="S1844" s="475"/>
      <c r="T1844" s="475"/>
      <c r="U1844" s="475"/>
      <c r="V1844" s="475"/>
      <c r="W1844" s="475"/>
    </row>
    <row r="1845" spans="2:23" s="97" customFormat="1">
      <c r="B1845" s="96"/>
      <c r="H1845" s="96"/>
      <c r="J1845" s="1"/>
      <c r="K1845" s="1"/>
      <c r="L1845" s="1"/>
      <c r="O1845" s="475"/>
      <c r="P1845" s="475"/>
      <c r="Q1845" s="475"/>
      <c r="R1845" s="475"/>
      <c r="S1845" s="475"/>
      <c r="T1845" s="475"/>
      <c r="U1845" s="475"/>
      <c r="V1845" s="475"/>
      <c r="W1845" s="475"/>
    </row>
    <row r="1846" spans="2:23" s="97" customFormat="1">
      <c r="B1846" s="96"/>
      <c r="H1846" s="96"/>
      <c r="J1846" s="1"/>
      <c r="K1846" s="1"/>
      <c r="L1846" s="1"/>
      <c r="O1846" s="475"/>
      <c r="P1846" s="475"/>
      <c r="Q1846" s="475"/>
      <c r="R1846" s="475"/>
      <c r="S1846" s="475"/>
      <c r="T1846" s="475"/>
      <c r="U1846" s="475"/>
      <c r="V1846" s="475"/>
      <c r="W1846" s="475"/>
    </row>
    <row r="1847" spans="2:23" s="97" customFormat="1">
      <c r="B1847" s="96"/>
      <c r="H1847" s="96"/>
      <c r="J1847" s="1"/>
      <c r="K1847" s="1"/>
      <c r="L1847" s="1"/>
      <c r="O1847" s="475"/>
      <c r="P1847" s="475"/>
      <c r="Q1847" s="475"/>
      <c r="R1847" s="475"/>
      <c r="S1847" s="475"/>
      <c r="T1847" s="475"/>
      <c r="U1847" s="475"/>
      <c r="V1847" s="475"/>
      <c r="W1847" s="475"/>
    </row>
    <row r="1848" spans="2:23" s="97" customFormat="1">
      <c r="B1848" s="96"/>
      <c r="H1848" s="96"/>
      <c r="J1848" s="1"/>
      <c r="K1848" s="1"/>
      <c r="L1848" s="1"/>
      <c r="O1848" s="475"/>
      <c r="P1848" s="475"/>
      <c r="Q1848" s="475"/>
      <c r="R1848" s="475"/>
      <c r="S1848" s="475"/>
      <c r="T1848" s="475"/>
      <c r="U1848" s="475"/>
      <c r="V1848" s="475"/>
      <c r="W1848" s="475"/>
    </row>
    <row r="1849" spans="2:23" s="97" customFormat="1">
      <c r="B1849" s="96"/>
      <c r="H1849" s="96"/>
      <c r="J1849" s="1"/>
      <c r="K1849" s="1"/>
      <c r="L1849" s="1"/>
      <c r="O1849" s="475"/>
      <c r="P1849" s="475"/>
      <c r="Q1849" s="475"/>
      <c r="R1849" s="475"/>
      <c r="S1849" s="475"/>
      <c r="T1849" s="475"/>
      <c r="U1849" s="475"/>
      <c r="V1849" s="475"/>
      <c r="W1849" s="475"/>
    </row>
    <row r="1850" spans="2:23" s="97" customFormat="1">
      <c r="B1850" s="96"/>
      <c r="H1850" s="96"/>
      <c r="J1850" s="1"/>
      <c r="K1850" s="1"/>
      <c r="L1850" s="1"/>
      <c r="O1850" s="475"/>
      <c r="P1850" s="475"/>
      <c r="Q1850" s="475"/>
      <c r="R1850" s="475"/>
      <c r="S1850" s="475"/>
      <c r="T1850" s="475"/>
      <c r="U1850" s="475"/>
      <c r="V1850" s="475"/>
      <c r="W1850" s="475"/>
    </row>
    <row r="1851" spans="2:23" s="97" customFormat="1">
      <c r="B1851" s="96"/>
      <c r="H1851" s="96"/>
      <c r="J1851" s="1"/>
      <c r="K1851" s="1"/>
      <c r="L1851" s="1"/>
      <c r="O1851" s="475"/>
      <c r="P1851" s="475"/>
      <c r="Q1851" s="475"/>
      <c r="R1851" s="475"/>
      <c r="S1851" s="475"/>
      <c r="T1851" s="475"/>
      <c r="U1851" s="475"/>
      <c r="V1851" s="475"/>
      <c r="W1851" s="475"/>
    </row>
    <row r="1852" spans="2:23" s="97" customFormat="1">
      <c r="B1852" s="96"/>
      <c r="H1852" s="96"/>
      <c r="J1852" s="1"/>
      <c r="K1852" s="1"/>
      <c r="L1852" s="1"/>
      <c r="O1852" s="475"/>
      <c r="P1852" s="475"/>
      <c r="Q1852" s="475"/>
      <c r="R1852" s="475"/>
      <c r="S1852" s="475"/>
      <c r="T1852" s="475"/>
      <c r="U1852" s="475"/>
      <c r="V1852" s="475"/>
      <c r="W1852" s="475"/>
    </row>
    <row r="1853" spans="2:23" s="97" customFormat="1">
      <c r="B1853" s="96"/>
      <c r="H1853" s="96"/>
      <c r="J1853" s="1"/>
      <c r="K1853" s="1"/>
      <c r="L1853" s="1"/>
      <c r="O1853" s="475"/>
      <c r="P1853" s="475"/>
      <c r="Q1853" s="475"/>
      <c r="R1853" s="475"/>
      <c r="S1853" s="475"/>
      <c r="T1853" s="475"/>
      <c r="U1853" s="475"/>
      <c r="V1853" s="475"/>
      <c r="W1853" s="475"/>
    </row>
    <row r="1854" spans="2:23" s="97" customFormat="1">
      <c r="B1854" s="96"/>
      <c r="H1854" s="96"/>
      <c r="J1854" s="1"/>
      <c r="K1854" s="1"/>
      <c r="L1854" s="1"/>
      <c r="O1854" s="475"/>
      <c r="P1854" s="475"/>
      <c r="Q1854" s="475"/>
      <c r="R1854" s="475"/>
      <c r="S1854" s="475"/>
      <c r="T1854" s="475"/>
      <c r="U1854" s="475"/>
      <c r="V1854" s="475"/>
      <c r="W1854" s="475"/>
    </row>
    <row r="1855" spans="2:23" s="97" customFormat="1">
      <c r="B1855" s="96"/>
      <c r="H1855" s="96"/>
      <c r="J1855" s="1"/>
      <c r="K1855" s="1"/>
      <c r="L1855" s="1"/>
      <c r="O1855" s="475"/>
      <c r="P1855" s="475"/>
      <c r="Q1855" s="475"/>
      <c r="R1855" s="475"/>
      <c r="S1855" s="475"/>
      <c r="T1855" s="475"/>
      <c r="U1855" s="475"/>
      <c r="V1855" s="475"/>
      <c r="W1855" s="475"/>
    </row>
    <row r="1856" spans="2:23" s="97" customFormat="1">
      <c r="B1856" s="96"/>
      <c r="H1856" s="96"/>
      <c r="J1856" s="1"/>
      <c r="K1856" s="1"/>
      <c r="L1856" s="1"/>
      <c r="O1856" s="475"/>
      <c r="P1856" s="475"/>
      <c r="Q1856" s="475"/>
      <c r="R1856" s="475"/>
      <c r="S1856" s="475"/>
      <c r="T1856" s="475"/>
      <c r="U1856" s="475"/>
      <c r="V1856" s="475"/>
      <c r="W1856" s="475"/>
    </row>
    <row r="1857" spans="2:23" s="97" customFormat="1">
      <c r="B1857" s="96"/>
      <c r="H1857" s="96"/>
      <c r="J1857" s="1"/>
      <c r="K1857" s="1"/>
      <c r="L1857" s="1"/>
      <c r="O1857" s="475"/>
      <c r="P1857" s="475"/>
      <c r="Q1857" s="475"/>
      <c r="R1857" s="475"/>
      <c r="S1857" s="475"/>
      <c r="T1857" s="475"/>
      <c r="U1857" s="475"/>
      <c r="V1857" s="475"/>
      <c r="W1857" s="475"/>
    </row>
    <row r="1858" spans="2:23" s="97" customFormat="1">
      <c r="B1858" s="96"/>
      <c r="H1858" s="96"/>
      <c r="J1858" s="1"/>
      <c r="K1858" s="1"/>
      <c r="L1858" s="1"/>
      <c r="O1858" s="475"/>
      <c r="P1858" s="475"/>
      <c r="Q1858" s="475"/>
      <c r="R1858" s="475"/>
      <c r="S1858" s="475"/>
      <c r="T1858" s="475"/>
      <c r="U1858" s="475"/>
      <c r="V1858" s="475"/>
      <c r="W1858" s="475"/>
    </row>
    <row r="1859" spans="2:23" s="97" customFormat="1">
      <c r="B1859" s="96"/>
      <c r="H1859" s="96"/>
      <c r="J1859" s="1"/>
      <c r="K1859" s="1"/>
      <c r="L1859" s="1"/>
      <c r="O1859" s="475"/>
      <c r="P1859" s="475"/>
      <c r="Q1859" s="475"/>
      <c r="R1859" s="475"/>
      <c r="S1859" s="475"/>
      <c r="T1859" s="475"/>
      <c r="U1859" s="475"/>
      <c r="V1859" s="475"/>
      <c r="W1859" s="475"/>
    </row>
    <row r="1860" spans="2:23" s="97" customFormat="1">
      <c r="B1860" s="96"/>
      <c r="H1860" s="96"/>
      <c r="J1860" s="1"/>
      <c r="K1860" s="1"/>
      <c r="L1860" s="1"/>
      <c r="O1860" s="475"/>
      <c r="P1860" s="475"/>
      <c r="Q1860" s="475"/>
      <c r="R1860" s="475"/>
      <c r="S1860" s="475"/>
      <c r="T1860" s="475"/>
      <c r="U1860" s="475"/>
      <c r="V1860" s="475"/>
      <c r="W1860" s="475"/>
    </row>
    <row r="1861" spans="2:23" s="97" customFormat="1">
      <c r="B1861" s="96"/>
      <c r="H1861" s="96"/>
      <c r="J1861" s="1"/>
      <c r="K1861" s="1"/>
      <c r="L1861" s="1"/>
      <c r="O1861" s="475"/>
      <c r="P1861" s="475"/>
      <c r="Q1861" s="475"/>
      <c r="R1861" s="475"/>
      <c r="S1861" s="475"/>
      <c r="T1861" s="475"/>
      <c r="U1861" s="475"/>
      <c r="V1861" s="475"/>
      <c r="W1861" s="475"/>
    </row>
    <row r="1862" spans="2:23" s="97" customFormat="1">
      <c r="B1862" s="96"/>
      <c r="H1862" s="96"/>
      <c r="J1862" s="1"/>
      <c r="K1862" s="1"/>
      <c r="L1862" s="1"/>
      <c r="O1862" s="475"/>
      <c r="P1862" s="475"/>
      <c r="Q1862" s="475"/>
      <c r="R1862" s="475"/>
      <c r="S1862" s="475"/>
      <c r="T1862" s="475"/>
      <c r="U1862" s="475"/>
      <c r="V1862" s="475"/>
      <c r="W1862" s="475"/>
    </row>
    <row r="1863" spans="2:23" s="97" customFormat="1">
      <c r="B1863" s="96"/>
      <c r="H1863" s="96"/>
      <c r="J1863" s="1"/>
      <c r="K1863" s="1"/>
      <c r="L1863" s="1"/>
      <c r="O1863" s="475"/>
      <c r="P1863" s="475"/>
      <c r="Q1863" s="475"/>
      <c r="R1863" s="475"/>
      <c r="S1863" s="475"/>
      <c r="T1863" s="475"/>
      <c r="U1863" s="475"/>
      <c r="V1863" s="475"/>
      <c r="W1863" s="475"/>
    </row>
    <row r="1864" spans="2:23" s="97" customFormat="1">
      <c r="B1864" s="96"/>
      <c r="H1864" s="96"/>
      <c r="J1864" s="1"/>
      <c r="K1864" s="1"/>
      <c r="L1864" s="1"/>
      <c r="O1864" s="475"/>
      <c r="P1864" s="475"/>
      <c r="Q1864" s="475"/>
      <c r="R1864" s="475"/>
      <c r="S1864" s="475"/>
      <c r="T1864" s="475"/>
      <c r="U1864" s="475"/>
      <c r="V1864" s="475"/>
      <c r="W1864" s="475"/>
    </row>
    <row r="1865" spans="2:23" s="97" customFormat="1">
      <c r="B1865" s="96"/>
      <c r="H1865" s="96"/>
      <c r="J1865" s="1"/>
      <c r="K1865" s="1"/>
      <c r="L1865" s="1"/>
      <c r="O1865" s="475"/>
      <c r="P1865" s="475"/>
      <c r="Q1865" s="475"/>
      <c r="R1865" s="475"/>
      <c r="S1865" s="475"/>
      <c r="T1865" s="475"/>
      <c r="U1865" s="475"/>
      <c r="V1865" s="475"/>
      <c r="W1865" s="475"/>
    </row>
    <row r="1866" spans="2:23" s="97" customFormat="1">
      <c r="B1866" s="96"/>
      <c r="H1866" s="96"/>
      <c r="J1866" s="1"/>
      <c r="K1866" s="1"/>
      <c r="L1866" s="1"/>
      <c r="O1866" s="475"/>
      <c r="P1866" s="475"/>
      <c r="Q1866" s="475"/>
      <c r="R1866" s="475"/>
      <c r="S1866" s="475"/>
      <c r="T1866" s="475"/>
      <c r="U1866" s="475"/>
      <c r="V1866" s="475"/>
      <c r="W1866" s="475"/>
    </row>
    <row r="1867" spans="2:23" s="97" customFormat="1">
      <c r="B1867" s="96"/>
      <c r="H1867" s="96"/>
      <c r="J1867" s="1"/>
      <c r="K1867" s="1"/>
      <c r="L1867" s="1"/>
      <c r="O1867" s="475"/>
      <c r="P1867" s="475"/>
      <c r="Q1867" s="475"/>
      <c r="R1867" s="475"/>
      <c r="S1867" s="475"/>
      <c r="T1867" s="475"/>
      <c r="U1867" s="475"/>
      <c r="V1867" s="475"/>
      <c r="W1867" s="475"/>
    </row>
    <row r="1868" spans="2:23" s="97" customFormat="1">
      <c r="B1868" s="96"/>
      <c r="H1868" s="96"/>
      <c r="J1868" s="1"/>
      <c r="K1868" s="1"/>
      <c r="L1868" s="1"/>
      <c r="O1868" s="475"/>
      <c r="P1868" s="475"/>
      <c r="Q1868" s="475"/>
      <c r="R1868" s="475"/>
      <c r="S1868" s="475"/>
      <c r="T1868" s="475"/>
      <c r="U1868" s="475"/>
      <c r="V1868" s="475"/>
      <c r="W1868" s="475"/>
    </row>
    <row r="1869" spans="2:23" s="97" customFormat="1">
      <c r="B1869" s="96"/>
      <c r="H1869" s="96"/>
      <c r="J1869" s="1"/>
      <c r="K1869" s="1"/>
      <c r="L1869" s="1"/>
      <c r="O1869" s="475"/>
      <c r="P1869" s="475"/>
      <c r="Q1869" s="475"/>
      <c r="R1869" s="475"/>
      <c r="S1869" s="475"/>
      <c r="T1869" s="475"/>
      <c r="U1869" s="475"/>
      <c r="V1869" s="475"/>
      <c r="W1869" s="475"/>
    </row>
    <row r="1870" spans="2:23" s="97" customFormat="1">
      <c r="B1870" s="96"/>
      <c r="H1870" s="96"/>
      <c r="J1870" s="1"/>
      <c r="K1870" s="1"/>
      <c r="L1870" s="1"/>
      <c r="O1870" s="475"/>
      <c r="P1870" s="475"/>
      <c r="Q1870" s="475"/>
      <c r="R1870" s="475"/>
      <c r="S1870" s="475"/>
      <c r="T1870" s="475"/>
      <c r="U1870" s="475"/>
      <c r="V1870" s="475"/>
      <c r="W1870" s="475"/>
    </row>
    <row r="1871" spans="2:23" s="97" customFormat="1">
      <c r="B1871" s="96"/>
      <c r="H1871" s="96"/>
      <c r="J1871" s="1"/>
      <c r="K1871" s="1"/>
      <c r="L1871" s="1"/>
      <c r="O1871" s="475"/>
      <c r="P1871" s="475"/>
      <c r="Q1871" s="475"/>
      <c r="R1871" s="475"/>
      <c r="S1871" s="475"/>
      <c r="T1871" s="475"/>
      <c r="U1871" s="475"/>
      <c r="V1871" s="475"/>
      <c r="W1871" s="475"/>
    </row>
    <row r="1872" spans="2:23" s="97" customFormat="1">
      <c r="B1872" s="96"/>
      <c r="H1872" s="96"/>
      <c r="J1872" s="1"/>
      <c r="K1872" s="1"/>
      <c r="L1872" s="1"/>
      <c r="O1872" s="475"/>
      <c r="P1872" s="475"/>
      <c r="Q1872" s="475"/>
      <c r="R1872" s="475"/>
      <c r="S1872" s="475"/>
      <c r="T1872" s="475"/>
      <c r="U1872" s="475"/>
      <c r="V1872" s="475"/>
      <c r="W1872" s="475"/>
    </row>
    <row r="1873" spans="2:23" s="97" customFormat="1">
      <c r="B1873" s="96"/>
      <c r="H1873" s="96"/>
      <c r="J1873" s="1"/>
      <c r="K1873" s="1"/>
      <c r="L1873" s="1"/>
      <c r="O1873" s="475"/>
      <c r="P1873" s="475"/>
      <c r="Q1873" s="475"/>
      <c r="R1873" s="475"/>
      <c r="S1873" s="475"/>
      <c r="T1873" s="475"/>
      <c r="U1873" s="475"/>
      <c r="V1873" s="475"/>
      <c r="W1873" s="475"/>
    </row>
    <row r="1874" spans="2:23" s="97" customFormat="1">
      <c r="B1874" s="96"/>
      <c r="H1874" s="96"/>
      <c r="J1874" s="1"/>
      <c r="K1874" s="1"/>
      <c r="L1874" s="1"/>
      <c r="O1874" s="475"/>
      <c r="P1874" s="475"/>
      <c r="Q1874" s="475"/>
      <c r="R1874" s="475"/>
      <c r="S1874" s="475"/>
      <c r="T1874" s="475"/>
      <c r="U1874" s="475"/>
      <c r="V1874" s="475"/>
      <c r="W1874" s="475"/>
    </row>
    <row r="1875" spans="2:23" s="97" customFormat="1">
      <c r="B1875" s="96"/>
      <c r="H1875" s="96"/>
      <c r="J1875" s="1"/>
      <c r="K1875" s="1"/>
      <c r="L1875" s="1"/>
      <c r="O1875" s="475"/>
      <c r="P1875" s="475"/>
      <c r="Q1875" s="475"/>
      <c r="R1875" s="475"/>
      <c r="S1875" s="475"/>
      <c r="T1875" s="475"/>
      <c r="U1875" s="475"/>
      <c r="V1875" s="475"/>
      <c r="W1875" s="475"/>
    </row>
    <row r="1876" spans="2:23" s="97" customFormat="1">
      <c r="B1876" s="96"/>
      <c r="H1876" s="96"/>
      <c r="J1876" s="1"/>
      <c r="K1876" s="1"/>
      <c r="L1876" s="1"/>
      <c r="O1876" s="475"/>
      <c r="P1876" s="475"/>
      <c r="Q1876" s="475"/>
      <c r="R1876" s="475"/>
      <c r="S1876" s="475"/>
      <c r="T1876" s="475"/>
      <c r="U1876" s="475"/>
      <c r="V1876" s="475"/>
      <c r="W1876" s="475"/>
    </row>
    <row r="1877" spans="2:23" s="97" customFormat="1">
      <c r="B1877" s="96"/>
      <c r="H1877" s="96"/>
      <c r="J1877" s="1"/>
      <c r="K1877" s="1"/>
      <c r="L1877" s="1"/>
      <c r="O1877" s="475"/>
      <c r="P1877" s="475"/>
      <c r="Q1877" s="475"/>
      <c r="R1877" s="475"/>
      <c r="S1877" s="475"/>
      <c r="T1877" s="475"/>
      <c r="U1877" s="475"/>
      <c r="V1877" s="475"/>
      <c r="W1877" s="475"/>
    </row>
    <row r="1878" spans="2:23" s="97" customFormat="1">
      <c r="B1878" s="96"/>
      <c r="H1878" s="96"/>
      <c r="J1878" s="1"/>
      <c r="K1878" s="1"/>
      <c r="L1878" s="1"/>
      <c r="O1878" s="475"/>
      <c r="P1878" s="475"/>
      <c r="Q1878" s="475"/>
      <c r="R1878" s="475"/>
      <c r="S1878" s="475"/>
      <c r="T1878" s="475"/>
      <c r="U1878" s="475"/>
      <c r="V1878" s="475"/>
      <c r="W1878" s="475"/>
    </row>
    <row r="1879" spans="2:23" s="97" customFormat="1">
      <c r="B1879" s="96"/>
      <c r="H1879" s="96"/>
      <c r="J1879" s="1"/>
      <c r="K1879" s="1"/>
      <c r="L1879" s="1"/>
      <c r="O1879" s="475"/>
      <c r="P1879" s="475"/>
      <c r="Q1879" s="475"/>
      <c r="R1879" s="475"/>
      <c r="S1879" s="475"/>
      <c r="T1879" s="475"/>
      <c r="U1879" s="475"/>
      <c r="V1879" s="475"/>
      <c r="W1879" s="475"/>
    </row>
    <row r="1880" spans="2:23" s="97" customFormat="1">
      <c r="B1880" s="96"/>
      <c r="H1880" s="96"/>
      <c r="J1880" s="1"/>
      <c r="K1880" s="1"/>
      <c r="L1880" s="1"/>
      <c r="O1880" s="475"/>
      <c r="P1880" s="475"/>
      <c r="Q1880" s="475"/>
      <c r="R1880" s="475"/>
      <c r="S1880" s="475"/>
      <c r="T1880" s="475"/>
      <c r="U1880" s="475"/>
      <c r="V1880" s="475"/>
      <c r="W1880" s="475"/>
    </row>
    <row r="1881" spans="2:23" s="97" customFormat="1">
      <c r="B1881" s="96"/>
      <c r="H1881" s="96"/>
      <c r="J1881" s="1"/>
      <c r="K1881" s="1"/>
      <c r="L1881" s="1"/>
      <c r="O1881" s="475"/>
      <c r="P1881" s="475"/>
      <c r="Q1881" s="475"/>
      <c r="R1881" s="475"/>
      <c r="S1881" s="475"/>
      <c r="T1881" s="475"/>
      <c r="U1881" s="475"/>
      <c r="V1881" s="475"/>
      <c r="W1881" s="475"/>
    </row>
    <row r="1882" spans="2:23" s="97" customFormat="1">
      <c r="B1882" s="96"/>
      <c r="H1882" s="96"/>
      <c r="J1882" s="1"/>
      <c r="K1882" s="1"/>
      <c r="L1882" s="1"/>
      <c r="O1882" s="475"/>
      <c r="P1882" s="475"/>
      <c r="Q1882" s="475"/>
      <c r="R1882" s="475"/>
      <c r="S1882" s="475"/>
      <c r="T1882" s="475"/>
      <c r="U1882" s="475"/>
      <c r="V1882" s="475"/>
      <c r="W1882" s="475"/>
    </row>
    <row r="1883" spans="2:23" s="97" customFormat="1">
      <c r="B1883" s="96"/>
      <c r="H1883" s="96"/>
      <c r="J1883" s="1"/>
      <c r="K1883" s="1"/>
      <c r="L1883" s="1"/>
      <c r="O1883" s="475"/>
      <c r="P1883" s="475"/>
      <c r="Q1883" s="475"/>
      <c r="R1883" s="475"/>
      <c r="S1883" s="475"/>
      <c r="T1883" s="475"/>
      <c r="U1883" s="475"/>
      <c r="V1883" s="475"/>
      <c r="W1883" s="475"/>
    </row>
    <row r="1884" spans="2:23" s="97" customFormat="1">
      <c r="B1884" s="96"/>
      <c r="H1884" s="96"/>
      <c r="J1884" s="1"/>
      <c r="K1884" s="1"/>
      <c r="L1884" s="1"/>
      <c r="O1884" s="475"/>
      <c r="P1884" s="475"/>
      <c r="Q1884" s="475"/>
      <c r="R1884" s="475"/>
      <c r="S1884" s="475"/>
      <c r="T1884" s="475"/>
      <c r="U1884" s="475"/>
      <c r="V1884" s="475"/>
      <c r="W1884" s="475"/>
    </row>
    <row r="1885" spans="2:23" s="97" customFormat="1">
      <c r="B1885" s="96"/>
      <c r="H1885" s="96"/>
      <c r="J1885" s="1"/>
      <c r="K1885" s="1"/>
      <c r="L1885" s="1"/>
      <c r="O1885" s="475"/>
      <c r="P1885" s="475"/>
      <c r="Q1885" s="475"/>
      <c r="R1885" s="475"/>
      <c r="S1885" s="475"/>
      <c r="T1885" s="475"/>
      <c r="U1885" s="475"/>
      <c r="V1885" s="475"/>
      <c r="W1885" s="475"/>
    </row>
    <row r="1886" spans="2:23" s="97" customFormat="1">
      <c r="B1886" s="96"/>
      <c r="H1886" s="96"/>
      <c r="J1886" s="1"/>
      <c r="K1886" s="1"/>
      <c r="L1886" s="1"/>
      <c r="O1886" s="475"/>
      <c r="P1886" s="475"/>
      <c r="Q1886" s="475"/>
      <c r="R1886" s="475"/>
      <c r="S1886" s="475"/>
      <c r="T1886" s="475"/>
      <c r="U1886" s="475"/>
      <c r="V1886" s="475"/>
      <c r="W1886" s="475"/>
    </row>
    <row r="1887" spans="2:23" s="97" customFormat="1">
      <c r="B1887" s="96"/>
      <c r="H1887" s="96"/>
      <c r="J1887" s="1"/>
      <c r="K1887" s="1"/>
      <c r="L1887" s="1"/>
      <c r="O1887" s="475"/>
      <c r="P1887" s="475"/>
      <c r="Q1887" s="475"/>
      <c r="R1887" s="475"/>
      <c r="S1887" s="475"/>
      <c r="T1887" s="475"/>
      <c r="U1887" s="475"/>
      <c r="V1887" s="475"/>
      <c r="W1887" s="475"/>
    </row>
    <row r="1888" spans="2:23" s="97" customFormat="1">
      <c r="B1888" s="96"/>
      <c r="H1888" s="96"/>
      <c r="J1888" s="1"/>
      <c r="K1888" s="1"/>
      <c r="L1888" s="1"/>
      <c r="O1888" s="475"/>
      <c r="P1888" s="475"/>
      <c r="Q1888" s="475"/>
      <c r="R1888" s="475"/>
      <c r="S1888" s="475"/>
      <c r="T1888" s="475"/>
      <c r="U1888" s="475"/>
      <c r="V1888" s="475"/>
      <c r="W1888" s="475"/>
    </row>
    <row r="1889" spans="2:23" s="97" customFormat="1">
      <c r="B1889" s="96"/>
      <c r="H1889" s="96"/>
      <c r="J1889" s="1"/>
      <c r="K1889" s="1"/>
      <c r="L1889" s="1"/>
      <c r="O1889" s="475"/>
      <c r="P1889" s="475"/>
      <c r="Q1889" s="475"/>
      <c r="R1889" s="475"/>
      <c r="S1889" s="475"/>
      <c r="T1889" s="475"/>
      <c r="U1889" s="475"/>
      <c r="V1889" s="475"/>
      <c r="W1889" s="475"/>
    </row>
    <row r="1890" spans="2:23" s="97" customFormat="1">
      <c r="B1890" s="96"/>
      <c r="H1890" s="96"/>
      <c r="J1890" s="1"/>
      <c r="K1890" s="1"/>
      <c r="L1890" s="1"/>
      <c r="O1890" s="475"/>
      <c r="P1890" s="475"/>
      <c r="Q1890" s="475"/>
      <c r="R1890" s="475"/>
      <c r="S1890" s="475"/>
      <c r="T1890" s="475"/>
      <c r="U1890" s="475"/>
      <c r="V1890" s="475"/>
      <c r="W1890" s="475"/>
    </row>
    <row r="1891" spans="2:23" s="97" customFormat="1">
      <c r="B1891" s="96"/>
      <c r="H1891" s="96"/>
      <c r="J1891" s="1"/>
      <c r="K1891" s="1"/>
      <c r="L1891" s="1"/>
      <c r="O1891" s="475"/>
      <c r="P1891" s="475"/>
      <c r="Q1891" s="475"/>
      <c r="R1891" s="475"/>
      <c r="S1891" s="475"/>
      <c r="T1891" s="475"/>
      <c r="U1891" s="475"/>
      <c r="V1891" s="475"/>
      <c r="W1891" s="475"/>
    </row>
    <row r="1892" spans="2:23" s="97" customFormat="1">
      <c r="B1892" s="96"/>
      <c r="H1892" s="96"/>
      <c r="J1892" s="1"/>
      <c r="K1892" s="1"/>
      <c r="L1892" s="1"/>
      <c r="O1892" s="475"/>
      <c r="P1892" s="475"/>
      <c r="Q1892" s="475"/>
      <c r="R1892" s="475"/>
      <c r="S1892" s="475"/>
      <c r="T1892" s="475"/>
      <c r="U1892" s="475"/>
      <c r="V1892" s="475"/>
      <c r="W1892" s="475"/>
    </row>
    <row r="1893" spans="2:23" s="97" customFormat="1">
      <c r="B1893" s="96"/>
      <c r="H1893" s="96"/>
      <c r="J1893" s="1"/>
      <c r="K1893" s="1"/>
      <c r="L1893" s="1"/>
      <c r="O1893" s="475"/>
      <c r="P1893" s="475"/>
      <c r="Q1893" s="475"/>
      <c r="R1893" s="475"/>
      <c r="S1893" s="475"/>
      <c r="T1893" s="475"/>
      <c r="U1893" s="475"/>
      <c r="V1893" s="475"/>
      <c r="W1893" s="475"/>
    </row>
    <row r="1894" spans="2:23" s="97" customFormat="1">
      <c r="B1894" s="96"/>
      <c r="H1894" s="96"/>
      <c r="J1894" s="1"/>
      <c r="K1894" s="1"/>
      <c r="L1894" s="1"/>
      <c r="O1894" s="475"/>
      <c r="P1894" s="475"/>
      <c r="Q1894" s="475"/>
      <c r="R1894" s="475"/>
      <c r="S1894" s="475"/>
      <c r="T1894" s="475"/>
      <c r="U1894" s="475"/>
      <c r="V1894" s="475"/>
      <c r="W1894" s="475"/>
    </row>
    <row r="1895" spans="2:23" s="97" customFormat="1">
      <c r="B1895" s="96"/>
      <c r="H1895" s="96"/>
      <c r="J1895" s="1"/>
      <c r="K1895" s="1"/>
      <c r="L1895" s="1"/>
      <c r="O1895" s="475"/>
      <c r="P1895" s="475"/>
      <c r="Q1895" s="475"/>
      <c r="R1895" s="475"/>
      <c r="S1895" s="475"/>
      <c r="T1895" s="475"/>
      <c r="U1895" s="475"/>
      <c r="V1895" s="475"/>
      <c r="W1895" s="475"/>
    </row>
    <row r="1896" spans="2:23" s="97" customFormat="1">
      <c r="B1896" s="96"/>
      <c r="H1896" s="96"/>
      <c r="J1896" s="1"/>
      <c r="K1896" s="1"/>
      <c r="L1896" s="1"/>
      <c r="O1896" s="475"/>
      <c r="P1896" s="475"/>
      <c r="Q1896" s="475"/>
      <c r="R1896" s="475"/>
      <c r="S1896" s="475"/>
      <c r="T1896" s="475"/>
      <c r="U1896" s="475"/>
      <c r="V1896" s="475"/>
      <c r="W1896" s="475"/>
    </row>
    <row r="1897" spans="2:23" s="97" customFormat="1">
      <c r="B1897" s="96"/>
      <c r="H1897" s="96"/>
      <c r="J1897" s="1"/>
      <c r="K1897" s="1"/>
      <c r="L1897" s="1"/>
      <c r="O1897" s="475"/>
      <c r="P1897" s="475"/>
      <c r="Q1897" s="475"/>
      <c r="R1897" s="475"/>
      <c r="S1897" s="475"/>
      <c r="T1897" s="475"/>
      <c r="U1897" s="475"/>
      <c r="V1897" s="475"/>
      <c r="W1897" s="475"/>
    </row>
    <row r="1898" spans="2:23" s="97" customFormat="1">
      <c r="B1898" s="96"/>
      <c r="H1898" s="96"/>
      <c r="J1898" s="1"/>
      <c r="K1898" s="1"/>
      <c r="L1898" s="1"/>
      <c r="O1898" s="475"/>
      <c r="P1898" s="475"/>
      <c r="Q1898" s="475"/>
      <c r="R1898" s="475"/>
      <c r="S1898" s="475"/>
      <c r="T1898" s="475"/>
      <c r="U1898" s="475"/>
      <c r="V1898" s="475"/>
      <c r="W1898" s="475"/>
    </row>
    <row r="1899" spans="2:23" s="97" customFormat="1">
      <c r="B1899" s="96"/>
      <c r="H1899" s="96"/>
      <c r="J1899" s="1"/>
      <c r="K1899" s="1"/>
      <c r="L1899" s="1"/>
      <c r="O1899" s="475"/>
      <c r="P1899" s="475"/>
      <c r="Q1899" s="475"/>
      <c r="R1899" s="475"/>
      <c r="S1899" s="475"/>
      <c r="T1899" s="475"/>
      <c r="U1899" s="475"/>
      <c r="V1899" s="475"/>
      <c r="W1899" s="475"/>
    </row>
    <row r="1900" spans="2:23" s="97" customFormat="1">
      <c r="B1900" s="96"/>
      <c r="H1900" s="96"/>
      <c r="J1900" s="1"/>
      <c r="K1900" s="1"/>
      <c r="L1900" s="1"/>
      <c r="O1900" s="475"/>
      <c r="P1900" s="475"/>
      <c r="Q1900" s="475"/>
      <c r="R1900" s="475"/>
      <c r="S1900" s="475"/>
      <c r="T1900" s="475"/>
      <c r="U1900" s="475"/>
      <c r="V1900" s="475"/>
      <c r="W1900" s="475"/>
    </row>
    <row r="1901" spans="2:23" s="97" customFormat="1">
      <c r="B1901" s="96"/>
      <c r="H1901" s="96"/>
      <c r="J1901" s="1"/>
      <c r="K1901" s="1"/>
      <c r="L1901" s="1"/>
      <c r="O1901" s="475"/>
      <c r="P1901" s="475"/>
      <c r="Q1901" s="475"/>
      <c r="R1901" s="475"/>
      <c r="S1901" s="475"/>
      <c r="T1901" s="475"/>
      <c r="U1901" s="475"/>
      <c r="V1901" s="475"/>
      <c r="W1901" s="475"/>
    </row>
    <row r="1902" spans="2:23" s="97" customFormat="1">
      <c r="B1902" s="96"/>
      <c r="H1902" s="96"/>
      <c r="J1902" s="1"/>
      <c r="K1902" s="1"/>
      <c r="L1902" s="1"/>
      <c r="O1902" s="475"/>
      <c r="P1902" s="475"/>
      <c r="Q1902" s="475"/>
      <c r="R1902" s="475"/>
      <c r="S1902" s="475"/>
      <c r="T1902" s="475"/>
      <c r="U1902" s="475"/>
      <c r="V1902" s="475"/>
      <c r="W1902" s="475"/>
    </row>
    <row r="1903" spans="2:23" s="97" customFormat="1">
      <c r="B1903" s="96"/>
      <c r="H1903" s="96"/>
      <c r="J1903" s="1"/>
      <c r="K1903" s="1"/>
      <c r="L1903" s="1"/>
      <c r="O1903" s="475"/>
      <c r="P1903" s="475"/>
      <c r="Q1903" s="475"/>
      <c r="R1903" s="475"/>
      <c r="S1903" s="475"/>
      <c r="T1903" s="475"/>
      <c r="U1903" s="475"/>
      <c r="V1903" s="475"/>
      <c r="W1903" s="475"/>
    </row>
    <row r="1904" spans="2:23" s="97" customFormat="1">
      <c r="B1904" s="96"/>
      <c r="H1904" s="96"/>
      <c r="J1904" s="1"/>
      <c r="K1904" s="1"/>
      <c r="L1904" s="1"/>
      <c r="O1904" s="475"/>
      <c r="P1904" s="475"/>
      <c r="Q1904" s="475"/>
      <c r="R1904" s="475"/>
      <c r="S1904" s="475"/>
      <c r="T1904" s="475"/>
      <c r="U1904" s="475"/>
      <c r="V1904" s="475"/>
      <c r="W1904" s="475"/>
    </row>
    <row r="1905" spans="2:23" s="97" customFormat="1">
      <c r="B1905" s="96"/>
      <c r="H1905" s="96"/>
      <c r="J1905" s="1"/>
      <c r="K1905" s="1"/>
      <c r="L1905" s="1"/>
      <c r="O1905" s="475"/>
      <c r="P1905" s="475"/>
      <c r="Q1905" s="475"/>
      <c r="R1905" s="475"/>
      <c r="S1905" s="475"/>
      <c r="T1905" s="475"/>
      <c r="U1905" s="475"/>
      <c r="V1905" s="475"/>
      <c r="W1905" s="475"/>
    </row>
    <row r="1906" spans="2:23" s="97" customFormat="1">
      <c r="B1906" s="96"/>
      <c r="H1906" s="96"/>
      <c r="J1906" s="1"/>
      <c r="K1906" s="1"/>
      <c r="L1906" s="1"/>
      <c r="O1906" s="475"/>
      <c r="P1906" s="475"/>
      <c r="Q1906" s="475"/>
      <c r="R1906" s="475"/>
      <c r="S1906" s="475"/>
      <c r="T1906" s="475"/>
      <c r="U1906" s="475"/>
      <c r="V1906" s="475"/>
      <c r="W1906" s="475"/>
    </row>
    <row r="1907" spans="2:23" s="97" customFormat="1">
      <c r="B1907" s="96"/>
      <c r="H1907" s="96"/>
      <c r="J1907" s="1"/>
      <c r="K1907" s="1"/>
      <c r="L1907" s="1"/>
      <c r="O1907" s="475"/>
      <c r="P1907" s="475"/>
      <c r="Q1907" s="475"/>
      <c r="R1907" s="475"/>
      <c r="S1907" s="475"/>
      <c r="T1907" s="475"/>
      <c r="U1907" s="475"/>
      <c r="V1907" s="475"/>
      <c r="W1907" s="475"/>
    </row>
    <row r="1908" spans="2:23" s="97" customFormat="1">
      <c r="B1908" s="96"/>
      <c r="H1908" s="96"/>
      <c r="J1908" s="1"/>
      <c r="K1908" s="1"/>
      <c r="L1908" s="1"/>
      <c r="O1908" s="475"/>
      <c r="P1908" s="475"/>
      <c r="Q1908" s="475"/>
      <c r="R1908" s="475"/>
      <c r="S1908" s="475"/>
      <c r="T1908" s="475"/>
      <c r="U1908" s="475"/>
      <c r="V1908" s="475"/>
      <c r="W1908" s="475"/>
    </row>
    <row r="1909" spans="2:23" s="97" customFormat="1">
      <c r="B1909" s="96"/>
      <c r="H1909" s="96"/>
      <c r="J1909" s="1"/>
      <c r="K1909" s="1"/>
      <c r="L1909" s="1"/>
      <c r="O1909" s="475"/>
      <c r="P1909" s="475"/>
      <c r="Q1909" s="475"/>
      <c r="R1909" s="475"/>
      <c r="S1909" s="475"/>
      <c r="T1909" s="475"/>
      <c r="U1909" s="475"/>
      <c r="V1909" s="475"/>
      <c r="W1909" s="475"/>
    </row>
    <row r="1910" spans="2:23" s="97" customFormat="1">
      <c r="B1910" s="96"/>
      <c r="H1910" s="96"/>
      <c r="J1910" s="1"/>
      <c r="K1910" s="1"/>
      <c r="L1910" s="1"/>
      <c r="O1910" s="475"/>
      <c r="P1910" s="475"/>
      <c r="Q1910" s="475"/>
      <c r="R1910" s="475"/>
      <c r="S1910" s="475"/>
      <c r="T1910" s="475"/>
      <c r="U1910" s="475"/>
      <c r="V1910" s="475"/>
      <c r="W1910" s="475"/>
    </row>
    <row r="1911" spans="2:23" s="97" customFormat="1">
      <c r="B1911" s="96"/>
      <c r="H1911" s="96"/>
      <c r="J1911" s="1"/>
      <c r="K1911" s="1"/>
      <c r="L1911" s="1"/>
      <c r="O1911" s="475"/>
      <c r="P1911" s="475"/>
      <c r="Q1911" s="475"/>
      <c r="R1911" s="475"/>
      <c r="S1911" s="475"/>
      <c r="T1911" s="475"/>
      <c r="U1911" s="475"/>
      <c r="V1911" s="475"/>
      <c r="W1911" s="475"/>
    </row>
    <row r="1912" spans="2:23" s="97" customFormat="1">
      <c r="B1912" s="96"/>
      <c r="H1912" s="96"/>
      <c r="J1912" s="1"/>
      <c r="K1912" s="1"/>
      <c r="L1912" s="1"/>
      <c r="O1912" s="475"/>
      <c r="P1912" s="475"/>
      <c r="Q1912" s="475"/>
      <c r="R1912" s="475"/>
      <c r="S1912" s="475"/>
      <c r="T1912" s="475"/>
      <c r="U1912" s="475"/>
      <c r="V1912" s="475"/>
      <c r="W1912" s="475"/>
    </row>
    <row r="1913" spans="2:23" s="97" customFormat="1">
      <c r="B1913" s="96"/>
      <c r="H1913" s="96"/>
      <c r="J1913" s="1"/>
      <c r="K1913" s="1"/>
      <c r="L1913" s="1"/>
      <c r="O1913" s="475"/>
      <c r="P1913" s="475"/>
      <c r="Q1913" s="475"/>
      <c r="R1913" s="475"/>
      <c r="S1913" s="475"/>
      <c r="T1913" s="475"/>
      <c r="U1913" s="475"/>
      <c r="V1913" s="475"/>
      <c r="W1913" s="475"/>
    </row>
    <row r="1914" spans="2:23" s="97" customFormat="1">
      <c r="B1914" s="96"/>
      <c r="H1914" s="96"/>
      <c r="J1914" s="1"/>
      <c r="K1914" s="1"/>
      <c r="L1914" s="1"/>
      <c r="O1914" s="475"/>
      <c r="P1914" s="475"/>
      <c r="Q1914" s="475"/>
      <c r="R1914" s="475"/>
      <c r="S1914" s="475"/>
      <c r="T1914" s="475"/>
      <c r="U1914" s="475"/>
      <c r="V1914" s="475"/>
      <c r="W1914" s="475"/>
    </row>
    <row r="1915" spans="2:23" s="97" customFormat="1">
      <c r="B1915" s="96"/>
      <c r="H1915" s="96"/>
      <c r="J1915" s="1"/>
      <c r="K1915" s="1"/>
      <c r="L1915" s="1"/>
      <c r="O1915" s="475"/>
      <c r="P1915" s="475"/>
      <c r="Q1915" s="475"/>
      <c r="R1915" s="475"/>
      <c r="S1915" s="475"/>
      <c r="T1915" s="475"/>
      <c r="U1915" s="475"/>
      <c r="V1915" s="475"/>
      <c r="W1915" s="475"/>
    </row>
    <row r="1916" spans="2:23" s="97" customFormat="1">
      <c r="B1916" s="96"/>
      <c r="H1916" s="96"/>
      <c r="J1916" s="1"/>
      <c r="K1916" s="1"/>
      <c r="L1916" s="1"/>
      <c r="O1916" s="475"/>
      <c r="P1916" s="475"/>
      <c r="Q1916" s="475"/>
      <c r="R1916" s="475"/>
      <c r="S1916" s="475"/>
      <c r="T1916" s="475"/>
      <c r="U1916" s="475"/>
      <c r="V1916" s="475"/>
      <c r="W1916" s="475"/>
    </row>
    <row r="1917" spans="2:23" s="97" customFormat="1">
      <c r="B1917" s="96"/>
      <c r="H1917" s="96"/>
      <c r="J1917" s="1"/>
      <c r="K1917" s="1"/>
      <c r="L1917" s="1"/>
      <c r="O1917" s="475"/>
      <c r="P1917" s="475"/>
      <c r="Q1917" s="475"/>
      <c r="R1917" s="475"/>
      <c r="S1917" s="475"/>
      <c r="T1917" s="475"/>
      <c r="U1917" s="475"/>
      <c r="V1917" s="475"/>
      <c r="W1917" s="475"/>
    </row>
    <row r="1918" spans="2:23" s="97" customFormat="1">
      <c r="B1918" s="96"/>
      <c r="H1918" s="96"/>
      <c r="J1918" s="1"/>
      <c r="K1918" s="1"/>
      <c r="L1918" s="1"/>
      <c r="O1918" s="475"/>
      <c r="P1918" s="475"/>
      <c r="Q1918" s="475"/>
      <c r="R1918" s="475"/>
      <c r="S1918" s="475"/>
      <c r="T1918" s="475"/>
      <c r="U1918" s="475"/>
      <c r="V1918" s="475"/>
      <c r="W1918" s="475"/>
    </row>
    <row r="1919" spans="2:23" s="97" customFormat="1">
      <c r="B1919" s="96"/>
      <c r="H1919" s="96"/>
      <c r="J1919" s="1"/>
      <c r="K1919" s="1"/>
      <c r="L1919" s="1"/>
      <c r="O1919" s="475"/>
      <c r="P1919" s="475"/>
      <c r="Q1919" s="475"/>
      <c r="R1919" s="475"/>
      <c r="S1919" s="475"/>
      <c r="T1919" s="475"/>
      <c r="U1919" s="475"/>
      <c r="V1919" s="475"/>
      <c r="W1919" s="475"/>
    </row>
    <row r="1920" spans="2:23" s="97" customFormat="1">
      <c r="B1920" s="96"/>
      <c r="H1920" s="96"/>
      <c r="J1920" s="1"/>
      <c r="K1920" s="1"/>
      <c r="L1920" s="1"/>
      <c r="O1920" s="475"/>
      <c r="P1920" s="475"/>
      <c r="Q1920" s="475"/>
      <c r="R1920" s="475"/>
      <c r="S1920" s="475"/>
      <c r="T1920" s="475"/>
      <c r="U1920" s="475"/>
      <c r="V1920" s="475"/>
      <c r="W1920" s="475"/>
    </row>
    <row r="1921" spans="2:23" s="97" customFormat="1">
      <c r="B1921" s="96"/>
      <c r="H1921" s="96"/>
      <c r="J1921" s="1"/>
      <c r="K1921" s="1"/>
      <c r="L1921" s="1"/>
      <c r="O1921" s="475"/>
      <c r="P1921" s="475"/>
      <c r="Q1921" s="475"/>
      <c r="R1921" s="475"/>
      <c r="S1921" s="475"/>
      <c r="T1921" s="475"/>
      <c r="U1921" s="475"/>
      <c r="V1921" s="475"/>
      <c r="W1921" s="475"/>
    </row>
    <row r="1922" spans="2:23" s="97" customFormat="1">
      <c r="B1922" s="96"/>
      <c r="H1922" s="96"/>
      <c r="J1922" s="1"/>
      <c r="K1922" s="1"/>
      <c r="L1922" s="1"/>
      <c r="O1922" s="475"/>
      <c r="P1922" s="475"/>
      <c r="Q1922" s="475"/>
      <c r="R1922" s="475"/>
      <c r="S1922" s="475"/>
      <c r="T1922" s="475"/>
      <c r="U1922" s="475"/>
      <c r="V1922" s="475"/>
      <c r="W1922" s="475"/>
    </row>
    <row r="1923" spans="2:23" s="97" customFormat="1">
      <c r="B1923" s="96"/>
      <c r="H1923" s="96"/>
      <c r="J1923" s="1"/>
      <c r="K1923" s="1"/>
      <c r="L1923" s="1"/>
      <c r="O1923" s="475"/>
      <c r="P1923" s="475"/>
      <c r="Q1923" s="475"/>
      <c r="R1923" s="475"/>
      <c r="S1923" s="475"/>
      <c r="T1923" s="475"/>
      <c r="U1923" s="475"/>
      <c r="V1923" s="475"/>
      <c r="W1923" s="475"/>
    </row>
    <row r="1924" spans="2:23" s="97" customFormat="1">
      <c r="B1924" s="96"/>
      <c r="H1924" s="96"/>
      <c r="J1924" s="1"/>
      <c r="K1924" s="1"/>
      <c r="L1924" s="1"/>
      <c r="O1924" s="475"/>
      <c r="P1924" s="475"/>
      <c r="Q1924" s="475"/>
      <c r="R1924" s="475"/>
      <c r="S1924" s="475"/>
      <c r="T1924" s="475"/>
      <c r="U1924" s="475"/>
      <c r="V1924" s="475"/>
      <c r="W1924" s="475"/>
    </row>
    <row r="1925" spans="2:23" s="97" customFormat="1">
      <c r="B1925" s="96"/>
      <c r="H1925" s="96"/>
      <c r="J1925" s="1"/>
      <c r="K1925" s="1"/>
      <c r="L1925" s="1"/>
      <c r="O1925" s="475"/>
      <c r="P1925" s="475"/>
      <c r="Q1925" s="475"/>
      <c r="R1925" s="475"/>
      <c r="S1925" s="475"/>
      <c r="T1925" s="475"/>
      <c r="U1925" s="475"/>
      <c r="V1925" s="475"/>
      <c r="W1925" s="475"/>
    </row>
    <row r="1926" spans="2:23" s="97" customFormat="1">
      <c r="B1926" s="96"/>
      <c r="H1926" s="96"/>
      <c r="J1926" s="1"/>
      <c r="K1926" s="1"/>
      <c r="L1926" s="1"/>
      <c r="O1926" s="475"/>
      <c r="P1926" s="475"/>
      <c r="Q1926" s="475"/>
      <c r="R1926" s="475"/>
      <c r="S1926" s="475"/>
      <c r="T1926" s="475"/>
      <c r="U1926" s="475"/>
      <c r="V1926" s="475"/>
      <c r="W1926" s="475"/>
    </row>
    <row r="1927" spans="2:23" s="97" customFormat="1">
      <c r="B1927" s="96"/>
      <c r="H1927" s="96"/>
      <c r="J1927" s="1"/>
      <c r="K1927" s="1"/>
      <c r="L1927" s="1"/>
      <c r="O1927" s="475"/>
      <c r="P1927" s="475"/>
      <c r="Q1927" s="475"/>
      <c r="R1927" s="475"/>
      <c r="S1927" s="475"/>
      <c r="T1927" s="475"/>
      <c r="U1927" s="475"/>
      <c r="V1927" s="475"/>
      <c r="W1927" s="475"/>
    </row>
    <row r="1928" spans="2:23" s="97" customFormat="1">
      <c r="B1928" s="96"/>
      <c r="H1928" s="96"/>
      <c r="J1928" s="1"/>
      <c r="K1928" s="1"/>
      <c r="L1928" s="1"/>
      <c r="O1928" s="475"/>
      <c r="P1928" s="475"/>
      <c r="Q1928" s="475"/>
      <c r="R1928" s="475"/>
      <c r="S1928" s="475"/>
      <c r="T1928" s="475"/>
      <c r="U1928" s="475"/>
      <c r="V1928" s="475"/>
      <c r="W1928" s="475"/>
    </row>
    <row r="1929" spans="2:23" s="97" customFormat="1">
      <c r="B1929" s="96"/>
      <c r="H1929" s="96"/>
      <c r="J1929" s="1"/>
      <c r="K1929" s="1"/>
      <c r="L1929" s="1"/>
      <c r="O1929" s="475"/>
      <c r="P1929" s="475"/>
      <c r="Q1929" s="475"/>
      <c r="R1929" s="475"/>
      <c r="S1929" s="475"/>
      <c r="T1929" s="475"/>
      <c r="U1929" s="475"/>
      <c r="V1929" s="475"/>
      <c r="W1929" s="475"/>
    </row>
    <row r="1930" spans="2:23" s="97" customFormat="1">
      <c r="B1930" s="96"/>
      <c r="H1930" s="96"/>
      <c r="J1930" s="1"/>
      <c r="K1930" s="1"/>
      <c r="L1930" s="1"/>
      <c r="O1930" s="475"/>
      <c r="P1930" s="475"/>
      <c r="Q1930" s="475"/>
      <c r="R1930" s="475"/>
      <c r="S1930" s="475"/>
      <c r="T1930" s="475"/>
      <c r="U1930" s="475"/>
      <c r="V1930" s="475"/>
      <c r="W1930" s="475"/>
    </row>
    <row r="1931" spans="2:23" s="97" customFormat="1">
      <c r="B1931" s="96"/>
      <c r="H1931" s="96"/>
      <c r="J1931" s="1"/>
      <c r="K1931" s="1"/>
      <c r="L1931" s="1"/>
      <c r="O1931" s="475"/>
      <c r="P1931" s="475"/>
      <c r="Q1931" s="475"/>
      <c r="R1931" s="475"/>
      <c r="S1931" s="475"/>
      <c r="T1931" s="475"/>
      <c r="U1931" s="475"/>
      <c r="V1931" s="475"/>
      <c r="W1931" s="475"/>
    </row>
    <row r="1932" spans="2:23" s="97" customFormat="1">
      <c r="B1932" s="96"/>
      <c r="H1932" s="96"/>
      <c r="J1932" s="1"/>
      <c r="K1932" s="1"/>
      <c r="L1932" s="1"/>
      <c r="O1932" s="475"/>
      <c r="P1932" s="475"/>
      <c r="Q1932" s="475"/>
      <c r="R1932" s="475"/>
      <c r="S1932" s="475"/>
      <c r="T1932" s="475"/>
      <c r="U1932" s="475"/>
      <c r="V1932" s="475"/>
      <c r="W1932" s="475"/>
    </row>
    <row r="1933" spans="2:23" s="97" customFormat="1">
      <c r="B1933" s="96"/>
      <c r="H1933" s="96"/>
      <c r="J1933" s="1"/>
      <c r="K1933" s="1"/>
      <c r="L1933" s="1"/>
      <c r="O1933" s="475"/>
      <c r="P1933" s="475"/>
      <c r="Q1933" s="475"/>
      <c r="R1933" s="475"/>
      <c r="S1933" s="475"/>
      <c r="T1933" s="475"/>
      <c r="U1933" s="475"/>
      <c r="V1933" s="475"/>
      <c r="W1933" s="475"/>
    </row>
    <row r="1934" spans="2:23" s="97" customFormat="1">
      <c r="B1934" s="96"/>
      <c r="H1934" s="96"/>
      <c r="J1934" s="1"/>
      <c r="K1934" s="1"/>
      <c r="L1934" s="1"/>
      <c r="O1934" s="475"/>
      <c r="P1934" s="475"/>
      <c r="Q1934" s="475"/>
      <c r="R1934" s="475"/>
      <c r="S1934" s="475"/>
      <c r="T1934" s="475"/>
      <c r="U1934" s="475"/>
      <c r="V1934" s="475"/>
      <c r="W1934" s="475"/>
    </row>
    <row r="1935" spans="2:23" s="97" customFormat="1">
      <c r="B1935" s="96"/>
      <c r="H1935" s="96"/>
      <c r="J1935" s="1"/>
      <c r="K1935" s="1"/>
      <c r="L1935" s="1"/>
      <c r="O1935" s="475"/>
      <c r="P1935" s="475"/>
      <c r="Q1935" s="475"/>
      <c r="R1935" s="475"/>
      <c r="S1935" s="475"/>
      <c r="T1935" s="475"/>
      <c r="U1935" s="475"/>
      <c r="V1935" s="475"/>
      <c r="W1935" s="475"/>
    </row>
    <row r="1936" spans="2:23" s="97" customFormat="1">
      <c r="B1936" s="96"/>
      <c r="H1936" s="96"/>
      <c r="J1936" s="1"/>
      <c r="K1936" s="1"/>
      <c r="L1936" s="1"/>
      <c r="O1936" s="475"/>
      <c r="P1936" s="475"/>
      <c r="Q1936" s="475"/>
      <c r="R1936" s="475"/>
      <c r="S1936" s="475"/>
      <c r="T1936" s="475"/>
      <c r="U1936" s="475"/>
      <c r="V1936" s="475"/>
      <c r="W1936" s="475"/>
    </row>
    <row r="1937" spans="2:23" s="97" customFormat="1">
      <c r="B1937" s="96"/>
      <c r="H1937" s="96"/>
      <c r="J1937" s="1"/>
      <c r="K1937" s="1"/>
      <c r="L1937" s="1"/>
      <c r="O1937" s="475"/>
      <c r="P1937" s="475"/>
      <c r="Q1937" s="475"/>
      <c r="R1937" s="475"/>
      <c r="S1937" s="475"/>
      <c r="T1937" s="475"/>
      <c r="U1937" s="475"/>
      <c r="V1937" s="475"/>
      <c r="W1937" s="475"/>
    </row>
    <row r="1938" spans="2:23" s="97" customFormat="1">
      <c r="B1938" s="96"/>
      <c r="H1938" s="96"/>
      <c r="J1938" s="1"/>
      <c r="K1938" s="1"/>
      <c r="L1938" s="1"/>
      <c r="O1938" s="475"/>
      <c r="P1938" s="475"/>
      <c r="Q1938" s="475"/>
      <c r="R1938" s="475"/>
      <c r="S1938" s="475"/>
      <c r="T1938" s="475"/>
      <c r="U1938" s="475"/>
      <c r="V1938" s="475"/>
      <c r="W1938" s="475"/>
    </row>
    <row r="1939" spans="2:23" s="97" customFormat="1">
      <c r="B1939" s="96"/>
      <c r="H1939" s="96"/>
      <c r="J1939" s="1"/>
      <c r="K1939" s="1"/>
      <c r="L1939" s="1"/>
      <c r="O1939" s="475"/>
      <c r="P1939" s="475"/>
      <c r="Q1939" s="475"/>
      <c r="R1939" s="475"/>
      <c r="S1939" s="475"/>
      <c r="T1939" s="475"/>
      <c r="U1939" s="475"/>
      <c r="V1939" s="475"/>
      <c r="W1939" s="475"/>
    </row>
    <row r="1940" spans="2:23" s="97" customFormat="1">
      <c r="B1940" s="96"/>
      <c r="H1940" s="96"/>
      <c r="J1940" s="1"/>
      <c r="K1940" s="1"/>
      <c r="L1940" s="1"/>
      <c r="O1940" s="475"/>
      <c r="P1940" s="475"/>
      <c r="Q1940" s="475"/>
      <c r="R1940" s="475"/>
      <c r="S1940" s="475"/>
      <c r="T1940" s="475"/>
      <c r="U1940" s="475"/>
      <c r="V1940" s="475"/>
      <c r="W1940" s="475"/>
    </row>
    <row r="1941" spans="2:23" s="97" customFormat="1">
      <c r="B1941" s="96"/>
      <c r="H1941" s="96"/>
      <c r="J1941" s="1"/>
      <c r="K1941" s="1"/>
      <c r="L1941" s="1"/>
      <c r="O1941" s="475"/>
      <c r="P1941" s="475"/>
      <c r="Q1941" s="475"/>
      <c r="R1941" s="475"/>
      <c r="S1941" s="475"/>
      <c r="T1941" s="475"/>
      <c r="U1941" s="475"/>
      <c r="V1941" s="475"/>
      <c r="W1941" s="475"/>
    </row>
    <row r="1942" spans="2:23" s="97" customFormat="1">
      <c r="B1942" s="96"/>
      <c r="H1942" s="96"/>
      <c r="J1942" s="1"/>
      <c r="K1942" s="1"/>
      <c r="L1942" s="1"/>
      <c r="O1942" s="475"/>
      <c r="P1942" s="475"/>
      <c r="Q1942" s="475"/>
      <c r="R1942" s="475"/>
      <c r="S1942" s="475"/>
      <c r="T1942" s="475"/>
      <c r="U1942" s="475"/>
      <c r="V1942" s="475"/>
      <c r="W1942" s="475"/>
    </row>
    <row r="1943" spans="2:23" s="97" customFormat="1">
      <c r="B1943" s="96"/>
      <c r="H1943" s="96"/>
      <c r="J1943" s="1"/>
      <c r="K1943" s="1"/>
      <c r="L1943" s="1"/>
      <c r="O1943" s="475"/>
      <c r="P1943" s="475"/>
      <c r="Q1943" s="475"/>
      <c r="R1943" s="475"/>
      <c r="S1943" s="475"/>
      <c r="T1943" s="475"/>
      <c r="U1943" s="475"/>
      <c r="V1943" s="475"/>
      <c r="W1943" s="475"/>
    </row>
    <row r="1944" spans="2:23" s="97" customFormat="1">
      <c r="B1944" s="96"/>
      <c r="H1944" s="96"/>
      <c r="J1944" s="1"/>
      <c r="K1944" s="1"/>
      <c r="L1944" s="1"/>
      <c r="O1944" s="475"/>
      <c r="P1944" s="475"/>
      <c r="Q1944" s="475"/>
      <c r="R1944" s="475"/>
      <c r="S1944" s="475"/>
      <c r="T1944" s="475"/>
      <c r="U1944" s="475"/>
      <c r="V1944" s="475"/>
      <c r="W1944" s="475"/>
    </row>
    <row r="1945" spans="2:23" s="97" customFormat="1">
      <c r="B1945" s="96"/>
      <c r="H1945" s="96"/>
      <c r="J1945" s="1"/>
      <c r="K1945" s="1"/>
      <c r="L1945" s="1"/>
      <c r="O1945" s="475"/>
      <c r="P1945" s="475"/>
      <c r="Q1945" s="475"/>
      <c r="R1945" s="475"/>
      <c r="S1945" s="475"/>
      <c r="T1945" s="475"/>
      <c r="U1945" s="475"/>
      <c r="V1945" s="475"/>
      <c r="W1945" s="475"/>
    </row>
    <row r="1946" spans="2:23" s="97" customFormat="1">
      <c r="B1946" s="96"/>
      <c r="H1946" s="96"/>
      <c r="J1946" s="1"/>
      <c r="K1946" s="1"/>
      <c r="L1946" s="1"/>
      <c r="O1946" s="475"/>
      <c r="P1946" s="475"/>
      <c r="Q1946" s="475"/>
      <c r="R1946" s="475"/>
      <c r="S1946" s="475"/>
      <c r="T1946" s="475"/>
      <c r="U1946" s="475"/>
      <c r="V1946" s="475"/>
      <c r="W1946" s="475"/>
    </row>
    <row r="1947" spans="2:23" s="97" customFormat="1">
      <c r="B1947" s="96"/>
      <c r="H1947" s="96"/>
      <c r="J1947" s="1"/>
      <c r="K1947" s="1"/>
      <c r="L1947" s="1"/>
      <c r="O1947" s="475"/>
      <c r="P1947" s="475"/>
      <c r="Q1947" s="475"/>
      <c r="R1947" s="475"/>
      <c r="S1947" s="475"/>
      <c r="T1947" s="475"/>
      <c r="U1947" s="475"/>
      <c r="V1947" s="475"/>
      <c r="W1947" s="475"/>
    </row>
    <row r="1948" spans="2:23" s="97" customFormat="1">
      <c r="B1948" s="96"/>
      <c r="H1948" s="96"/>
      <c r="J1948" s="1"/>
      <c r="K1948" s="1"/>
      <c r="L1948" s="1"/>
      <c r="O1948" s="475"/>
      <c r="P1948" s="475"/>
      <c r="Q1948" s="475"/>
      <c r="R1948" s="475"/>
      <c r="S1948" s="475"/>
      <c r="T1948" s="475"/>
      <c r="U1948" s="475"/>
      <c r="V1948" s="475"/>
      <c r="W1948" s="475"/>
    </row>
    <row r="1949" spans="2:23" s="97" customFormat="1">
      <c r="B1949" s="96"/>
      <c r="H1949" s="96"/>
      <c r="J1949" s="1"/>
      <c r="K1949" s="1"/>
      <c r="L1949" s="1"/>
      <c r="O1949" s="475"/>
      <c r="P1949" s="475"/>
      <c r="Q1949" s="475"/>
      <c r="R1949" s="475"/>
      <c r="S1949" s="475"/>
      <c r="T1949" s="475"/>
      <c r="U1949" s="475"/>
      <c r="V1949" s="475"/>
      <c r="W1949" s="475"/>
    </row>
    <row r="1950" spans="2:23" s="97" customFormat="1">
      <c r="B1950" s="96"/>
      <c r="H1950" s="96"/>
      <c r="J1950" s="1"/>
      <c r="K1950" s="1"/>
      <c r="L1950" s="1"/>
      <c r="O1950" s="475"/>
      <c r="P1950" s="475"/>
      <c r="Q1950" s="475"/>
      <c r="R1950" s="475"/>
      <c r="S1950" s="475"/>
      <c r="T1950" s="475"/>
      <c r="U1950" s="475"/>
      <c r="V1950" s="475"/>
      <c r="W1950" s="475"/>
    </row>
    <row r="1951" spans="2:23" s="97" customFormat="1">
      <c r="B1951" s="96"/>
      <c r="H1951" s="96"/>
      <c r="J1951" s="1"/>
      <c r="K1951" s="1"/>
      <c r="L1951" s="1"/>
      <c r="O1951" s="475"/>
      <c r="P1951" s="475"/>
      <c r="Q1951" s="475"/>
      <c r="R1951" s="475"/>
      <c r="S1951" s="475"/>
      <c r="T1951" s="475"/>
      <c r="U1951" s="475"/>
      <c r="V1951" s="475"/>
      <c r="W1951" s="475"/>
    </row>
    <row r="1952" spans="2:23" s="97" customFormat="1">
      <c r="B1952" s="96"/>
      <c r="H1952" s="96"/>
      <c r="J1952" s="1"/>
      <c r="K1952" s="1"/>
      <c r="L1952" s="1"/>
      <c r="O1952" s="475"/>
      <c r="P1952" s="475"/>
      <c r="Q1952" s="475"/>
      <c r="R1952" s="475"/>
      <c r="S1952" s="475"/>
      <c r="T1952" s="475"/>
      <c r="U1952" s="475"/>
      <c r="V1952" s="475"/>
      <c r="W1952" s="475"/>
    </row>
    <row r="1953" spans="2:23" s="97" customFormat="1">
      <c r="B1953" s="96"/>
      <c r="H1953" s="96"/>
      <c r="J1953" s="1"/>
      <c r="K1953" s="1"/>
      <c r="L1953" s="1"/>
      <c r="O1953" s="475"/>
      <c r="P1953" s="475"/>
      <c r="Q1953" s="475"/>
      <c r="R1953" s="475"/>
      <c r="S1953" s="475"/>
      <c r="T1953" s="475"/>
      <c r="U1953" s="475"/>
      <c r="V1953" s="475"/>
      <c r="W1953" s="475"/>
    </row>
    <row r="1954" spans="2:23" s="97" customFormat="1">
      <c r="B1954" s="96"/>
      <c r="H1954" s="96"/>
      <c r="J1954" s="1"/>
      <c r="K1954" s="1"/>
      <c r="L1954" s="1"/>
      <c r="O1954" s="475"/>
      <c r="P1954" s="475"/>
      <c r="Q1954" s="475"/>
      <c r="R1954" s="475"/>
      <c r="S1954" s="475"/>
      <c r="T1954" s="475"/>
      <c r="U1954" s="475"/>
      <c r="V1954" s="475"/>
      <c r="W1954" s="475"/>
    </row>
    <row r="1955" spans="2:23" s="97" customFormat="1">
      <c r="B1955" s="96"/>
      <c r="H1955" s="96"/>
      <c r="J1955" s="1"/>
      <c r="K1955" s="1"/>
      <c r="L1955" s="1"/>
      <c r="O1955" s="475"/>
      <c r="P1955" s="475"/>
      <c r="Q1955" s="475"/>
      <c r="R1955" s="475"/>
      <c r="S1955" s="475"/>
      <c r="T1955" s="475"/>
      <c r="U1955" s="475"/>
      <c r="V1955" s="475"/>
      <c r="W1955" s="475"/>
    </row>
    <row r="1956" spans="2:23" s="97" customFormat="1">
      <c r="B1956" s="96"/>
      <c r="H1956" s="96"/>
      <c r="J1956" s="1"/>
      <c r="K1956" s="1"/>
      <c r="L1956" s="1"/>
      <c r="O1956" s="475"/>
      <c r="P1956" s="475"/>
      <c r="Q1956" s="475"/>
      <c r="R1956" s="475"/>
      <c r="S1956" s="475"/>
      <c r="T1956" s="475"/>
      <c r="U1956" s="475"/>
      <c r="V1956" s="475"/>
      <c r="W1956" s="475"/>
    </row>
    <row r="1957" spans="2:23" s="97" customFormat="1">
      <c r="B1957" s="96"/>
      <c r="H1957" s="96"/>
      <c r="J1957" s="1"/>
      <c r="K1957" s="1"/>
      <c r="L1957" s="1"/>
      <c r="O1957" s="475"/>
      <c r="P1957" s="475"/>
      <c r="Q1957" s="475"/>
      <c r="R1957" s="475"/>
      <c r="S1957" s="475"/>
      <c r="T1957" s="475"/>
      <c r="U1957" s="475"/>
      <c r="V1957" s="475"/>
      <c r="W1957" s="475"/>
    </row>
    <row r="1958" spans="2:23" s="97" customFormat="1">
      <c r="B1958" s="96"/>
      <c r="H1958" s="96"/>
      <c r="J1958" s="1"/>
      <c r="K1958" s="1"/>
      <c r="L1958" s="1"/>
      <c r="O1958" s="475"/>
      <c r="P1958" s="475"/>
      <c r="Q1958" s="475"/>
      <c r="R1958" s="475"/>
      <c r="S1958" s="475"/>
      <c r="T1958" s="475"/>
      <c r="U1958" s="475"/>
      <c r="V1958" s="475"/>
      <c r="W1958" s="475"/>
    </row>
    <row r="1959" spans="2:23" s="97" customFormat="1">
      <c r="B1959" s="96"/>
      <c r="H1959" s="96"/>
      <c r="J1959" s="1"/>
      <c r="K1959" s="1"/>
      <c r="L1959" s="1"/>
      <c r="O1959" s="475"/>
      <c r="P1959" s="475"/>
      <c r="Q1959" s="475"/>
      <c r="R1959" s="475"/>
      <c r="S1959" s="475"/>
      <c r="T1959" s="475"/>
      <c r="U1959" s="475"/>
      <c r="V1959" s="475"/>
      <c r="W1959" s="475"/>
    </row>
    <row r="1960" spans="2:23" s="97" customFormat="1">
      <c r="B1960" s="96"/>
      <c r="H1960" s="96"/>
      <c r="J1960" s="1"/>
      <c r="K1960" s="1"/>
      <c r="L1960" s="1"/>
      <c r="O1960" s="475"/>
      <c r="P1960" s="475"/>
      <c r="Q1960" s="475"/>
      <c r="R1960" s="475"/>
      <c r="S1960" s="475"/>
      <c r="T1960" s="475"/>
      <c r="U1960" s="475"/>
      <c r="V1960" s="475"/>
      <c r="W1960" s="475"/>
    </row>
    <row r="1961" spans="2:23" s="97" customFormat="1">
      <c r="B1961" s="96"/>
      <c r="H1961" s="96"/>
      <c r="J1961" s="1"/>
      <c r="K1961" s="1"/>
      <c r="L1961" s="1"/>
      <c r="O1961" s="475"/>
      <c r="P1961" s="475"/>
      <c r="Q1961" s="475"/>
      <c r="R1961" s="475"/>
      <c r="S1961" s="475"/>
      <c r="T1961" s="475"/>
      <c r="U1961" s="475"/>
      <c r="V1961" s="475"/>
      <c r="W1961" s="475"/>
    </row>
    <row r="1962" spans="2:23" s="97" customFormat="1">
      <c r="B1962" s="96"/>
      <c r="H1962" s="96"/>
      <c r="J1962" s="1"/>
      <c r="K1962" s="1"/>
      <c r="L1962" s="1"/>
      <c r="O1962" s="475"/>
      <c r="P1962" s="475"/>
      <c r="Q1962" s="475"/>
      <c r="R1962" s="475"/>
      <c r="S1962" s="475"/>
      <c r="T1962" s="475"/>
      <c r="U1962" s="475"/>
      <c r="V1962" s="475"/>
      <c r="W1962" s="475"/>
    </row>
    <row r="1963" spans="2:23" s="97" customFormat="1">
      <c r="B1963" s="96"/>
      <c r="H1963" s="96"/>
      <c r="J1963" s="1"/>
      <c r="K1963" s="1"/>
      <c r="L1963" s="1"/>
      <c r="O1963" s="475"/>
      <c r="P1963" s="475"/>
      <c r="Q1963" s="475"/>
      <c r="R1963" s="475"/>
      <c r="S1963" s="475"/>
      <c r="T1963" s="475"/>
      <c r="U1963" s="475"/>
      <c r="V1963" s="475"/>
      <c r="W1963" s="475"/>
    </row>
    <row r="1964" spans="2:23" s="97" customFormat="1">
      <c r="B1964" s="96"/>
      <c r="H1964" s="96"/>
      <c r="J1964" s="1"/>
      <c r="K1964" s="1"/>
      <c r="L1964" s="1"/>
      <c r="O1964" s="475"/>
      <c r="P1964" s="475"/>
      <c r="Q1964" s="475"/>
      <c r="R1964" s="475"/>
      <c r="S1964" s="475"/>
      <c r="T1964" s="475"/>
      <c r="U1964" s="475"/>
      <c r="V1964" s="475"/>
      <c r="W1964" s="475"/>
    </row>
    <row r="1965" spans="2:23" s="97" customFormat="1">
      <c r="B1965" s="96"/>
      <c r="H1965" s="96"/>
      <c r="J1965" s="1"/>
      <c r="K1965" s="1"/>
      <c r="L1965" s="1"/>
      <c r="O1965" s="475"/>
      <c r="P1965" s="475"/>
      <c r="Q1965" s="475"/>
      <c r="R1965" s="475"/>
      <c r="S1965" s="475"/>
      <c r="T1965" s="475"/>
      <c r="U1965" s="475"/>
      <c r="V1965" s="475"/>
      <c r="W1965" s="475"/>
    </row>
    <row r="1966" spans="2:23" s="97" customFormat="1">
      <c r="B1966" s="96"/>
      <c r="H1966" s="96"/>
      <c r="J1966" s="1"/>
      <c r="K1966" s="1"/>
      <c r="L1966" s="1"/>
      <c r="O1966" s="475"/>
      <c r="P1966" s="475"/>
      <c r="Q1966" s="475"/>
      <c r="R1966" s="475"/>
      <c r="S1966" s="475"/>
      <c r="T1966" s="475"/>
      <c r="U1966" s="475"/>
      <c r="V1966" s="475"/>
      <c r="W1966" s="475"/>
    </row>
    <row r="1967" spans="2:23" s="97" customFormat="1">
      <c r="B1967" s="96"/>
      <c r="H1967" s="96"/>
      <c r="J1967" s="1"/>
      <c r="K1967" s="1"/>
      <c r="L1967" s="1"/>
      <c r="O1967" s="475"/>
      <c r="P1967" s="475"/>
      <c r="Q1967" s="475"/>
      <c r="R1967" s="475"/>
      <c r="S1967" s="475"/>
      <c r="T1967" s="475"/>
      <c r="U1967" s="475"/>
      <c r="V1967" s="475"/>
      <c r="W1967" s="475"/>
    </row>
    <row r="1968" spans="2:23" s="97" customFormat="1">
      <c r="B1968" s="96"/>
      <c r="H1968" s="96"/>
      <c r="J1968" s="1"/>
      <c r="K1968" s="1"/>
      <c r="L1968" s="1"/>
      <c r="O1968" s="475"/>
      <c r="P1968" s="475"/>
      <c r="Q1968" s="475"/>
      <c r="R1968" s="475"/>
      <c r="S1968" s="475"/>
      <c r="T1968" s="475"/>
      <c r="U1968" s="475"/>
      <c r="V1968" s="475"/>
      <c r="W1968" s="475"/>
    </row>
    <row r="1969" spans="2:23" s="97" customFormat="1">
      <c r="B1969" s="96"/>
      <c r="H1969" s="96"/>
      <c r="J1969" s="1"/>
      <c r="K1969" s="1"/>
      <c r="L1969" s="1"/>
      <c r="O1969" s="475"/>
      <c r="P1969" s="475"/>
      <c r="Q1969" s="475"/>
      <c r="R1969" s="475"/>
      <c r="S1969" s="475"/>
      <c r="T1969" s="475"/>
      <c r="U1969" s="475"/>
      <c r="V1969" s="475"/>
      <c r="W1969" s="475"/>
    </row>
    <row r="1970" spans="2:23" s="97" customFormat="1">
      <c r="B1970" s="96"/>
      <c r="H1970" s="96"/>
      <c r="J1970" s="1"/>
      <c r="K1970" s="1"/>
      <c r="L1970" s="1"/>
      <c r="O1970" s="475"/>
      <c r="P1970" s="475"/>
      <c r="Q1970" s="475"/>
      <c r="R1970" s="475"/>
      <c r="S1970" s="475"/>
      <c r="T1970" s="475"/>
      <c r="U1970" s="475"/>
      <c r="V1970" s="475"/>
      <c r="W1970" s="475"/>
    </row>
    <row r="1971" spans="2:23" s="97" customFormat="1">
      <c r="B1971" s="96"/>
      <c r="H1971" s="96"/>
      <c r="J1971" s="1"/>
      <c r="K1971" s="1"/>
      <c r="L1971" s="1"/>
      <c r="O1971" s="475"/>
      <c r="P1971" s="475"/>
      <c r="Q1971" s="475"/>
      <c r="R1971" s="475"/>
      <c r="S1971" s="475"/>
      <c r="T1971" s="475"/>
      <c r="U1971" s="475"/>
      <c r="V1971" s="475"/>
      <c r="W1971" s="475"/>
    </row>
    <row r="1972" spans="2:23" s="97" customFormat="1">
      <c r="B1972" s="96"/>
      <c r="H1972" s="96"/>
      <c r="J1972" s="1"/>
      <c r="K1972" s="1"/>
      <c r="L1972" s="1"/>
      <c r="O1972" s="475"/>
      <c r="P1972" s="475"/>
      <c r="Q1972" s="475"/>
      <c r="R1972" s="475"/>
      <c r="S1972" s="475"/>
      <c r="T1972" s="475"/>
      <c r="U1972" s="475"/>
      <c r="V1972" s="475"/>
      <c r="W1972" s="475"/>
    </row>
    <row r="1973" spans="2:23" s="97" customFormat="1">
      <c r="B1973" s="96"/>
      <c r="H1973" s="96"/>
      <c r="J1973" s="1"/>
      <c r="K1973" s="1"/>
      <c r="L1973" s="1"/>
      <c r="O1973" s="475"/>
      <c r="P1973" s="475"/>
      <c r="Q1973" s="475"/>
      <c r="R1973" s="475"/>
      <c r="S1973" s="475"/>
      <c r="T1973" s="475"/>
      <c r="U1973" s="475"/>
      <c r="V1973" s="475"/>
      <c r="W1973" s="475"/>
    </row>
    <row r="1974" spans="2:23" s="97" customFormat="1">
      <c r="B1974" s="96"/>
      <c r="H1974" s="96"/>
      <c r="J1974" s="1"/>
      <c r="K1974" s="1"/>
      <c r="L1974" s="1"/>
      <c r="O1974" s="475"/>
      <c r="P1974" s="475"/>
      <c r="Q1974" s="475"/>
      <c r="R1974" s="475"/>
      <c r="S1974" s="475"/>
      <c r="T1974" s="475"/>
      <c r="U1974" s="475"/>
      <c r="V1974" s="475"/>
      <c r="W1974" s="475"/>
    </row>
    <row r="1975" spans="2:23" s="97" customFormat="1">
      <c r="B1975" s="96"/>
      <c r="H1975" s="96"/>
      <c r="J1975" s="1"/>
      <c r="K1975" s="1"/>
      <c r="L1975" s="1"/>
      <c r="O1975" s="475"/>
      <c r="P1975" s="475"/>
      <c r="Q1975" s="475"/>
      <c r="R1975" s="475"/>
      <c r="S1975" s="475"/>
      <c r="T1975" s="475"/>
      <c r="U1975" s="475"/>
      <c r="V1975" s="475"/>
      <c r="W1975" s="475"/>
    </row>
    <row r="1976" spans="2:23" s="97" customFormat="1">
      <c r="B1976" s="96"/>
      <c r="H1976" s="96"/>
      <c r="J1976" s="1"/>
      <c r="K1976" s="1"/>
      <c r="L1976" s="1"/>
      <c r="O1976" s="475"/>
      <c r="P1976" s="475"/>
      <c r="Q1976" s="475"/>
      <c r="R1976" s="475"/>
      <c r="S1976" s="475"/>
      <c r="T1976" s="475"/>
      <c r="U1976" s="475"/>
      <c r="V1976" s="475"/>
      <c r="W1976" s="475"/>
    </row>
    <row r="1977" spans="2:23" s="97" customFormat="1">
      <c r="B1977" s="96"/>
      <c r="H1977" s="96"/>
      <c r="J1977" s="1"/>
      <c r="K1977" s="1"/>
      <c r="L1977" s="1"/>
      <c r="O1977" s="475"/>
      <c r="P1977" s="475"/>
      <c r="Q1977" s="475"/>
      <c r="R1977" s="475"/>
      <c r="S1977" s="475"/>
      <c r="T1977" s="475"/>
      <c r="U1977" s="475"/>
      <c r="V1977" s="475"/>
      <c r="W1977" s="475"/>
    </row>
    <row r="1978" spans="2:23" s="97" customFormat="1">
      <c r="B1978" s="96"/>
      <c r="H1978" s="96"/>
      <c r="J1978" s="1"/>
      <c r="K1978" s="1"/>
      <c r="L1978" s="1"/>
      <c r="O1978" s="475"/>
      <c r="P1978" s="475"/>
      <c r="Q1978" s="475"/>
      <c r="R1978" s="475"/>
      <c r="S1978" s="475"/>
      <c r="T1978" s="475"/>
      <c r="U1978" s="475"/>
      <c r="V1978" s="475"/>
      <c r="W1978" s="475"/>
    </row>
    <row r="1979" spans="2:23" s="97" customFormat="1">
      <c r="B1979" s="96"/>
      <c r="H1979" s="96"/>
      <c r="J1979" s="1"/>
      <c r="K1979" s="1"/>
      <c r="L1979" s="1"/>
      <c r="O1979" s="475"/>
      <c r="P1979" s="475"/>
      <c r="Q1979" s="475"/>
      <c r="R1979" s="475"/>
      <c r="S1979" s="475"/>
      <c r="T1979" s="475"/>
      <c r="U1979" s="475"/>
      <c r="V1979" s="475"/>
      <c r="W1979" s="475"/>
    </row>
    <row r="1980" spans="2:23" s="97" customFormat="1">
      <c r="B1980" s="96"/>
      <c r="H1980" s="96"/>
      <c r="J1980" s="1"/>
      <c r="K1980" s="1"/>
      <c r="L1980" s="1"/>
      <c r="O1980" s="475"/>
      <c r="P1980" s="475"/>
      <c r="Q1980" s="475"/>
      <c r="R1980" s="475"/>
      <c r="S1980" s="475"/>
      <c r="T1980" s="475"/>
      <c r="U1980" s="475"/>
      <c r="V1980" s="475"/>
      <c r="W1980" s="475"/>
    </row>
    <row r="1981" spans="2:23" s="97" customFormat="1">
      <c r="B1981" s="96"/>
      <c r="H1981" s="96"/>
      <c r="J1981" s="1"/>
      <c r="K1981" s="1"/>
      <c r="L1981" s="1"/>
      <c r="O1981" s="475"/>
      <c r="P1981" s="475"/>
      <c r="Q1981" s="475"/>
      <c r="R1981" s="475"/>
      <c r="S1981" s="475"/>
      <c r="T1981" s="475"/>
      <c r="U1981" s="475"/>
      <c r="V1981" s="475"/>
      <c r="W1981" s="475"/>
    </row>
    <row r="1982" spans="2:23" s="97" customFormat="1">
      <c r="B1982" s="96"/>
      <c r="H1982" s="96"/>
      <c r="J1982" s="1"/>
      <c r="K1982" s="1"/>
      <c r="L1982" s="1"/>
      <c r="O1982" s="475"/>
      <c r="P1982" s="475"/>
      <c r="Q1982" s="475"/>
      <c r="R1982" s="475"/>
      <c r="S1982" s="475"/>
      <c r="T1982" s="475"/>
      <c r="U1982" s="475"/>
      <c r="V1982" s="475"/>
      <c r="W1982" s="475"/>
    </row>
    <row r="1983" spans="2:23" s="97" customFormat="1">
      <c r="B1983" s="96"/>
      <c r="H1983" s="96"/>
      <c r="J1983" s="1"/>
      <c r="K1983" s="1"/>
      <c r="L1983" s="1"/>
      <c r="O1983" s="475"/>
      <c r="P1983" s="475"/>
      <c r="Q1983" s="475"/>
      <c r="R1983" s="475"/>
      <c r="S1983" s="475"/>
      <c r="T1983" s="475"/>
      <c r="U1983" s="475"/>
      <c r="V1983" s="475"/>
      <c r="W1983" s="475"/>
    </row>
    <row r="1984" spans="2:23" s="97" customFormat="1">
      <c r="B1984" s="96"/>
      <c r="H1984" s="96"/>
      <c r="J1984" s="1"/>
      <c r="K1984" s="1"/>
      <c r="L1984" s="1"/>
      <c r="O1984" s="475"/>
      <c r="P1984" s="475"/>
      <c r="Q1984" s="475"/>
      <c r="R1984" s="475"/>
      <c r="S1984" s="475"/>
      <c r="T1984" s="475"/>
      <c r="U1984" s="475"/>
      <c r="V1984" s="475"/>
      <c r="W1984" s="475"/>
    </row>
    <row r="1985" spans="2:23" s="97" customFormat="1">
      <c r="B1985" s="96"/>
      <c r="H1985" s="96"/>
      <c r="J1985" s="1"/>
      <c r="K1985" s="1"/>
      <c r="L1985" s="1"/>
      <c r="O1985" s="475"/>
      <c r="P1985" s="475"/>
      <c r="Q1985" s="475"/>
      <c r="R1985" s="475"/>
      <c r="S1985" s="475"/>
      <c r="T1985" s="475"/>
      <c r="U1985" s="475"/>
      <c r="V1985" s="475"/>
      <c r="W1985" s="475"/>
    </row>
    <row r="1986" spans="2:23" s="97" customFormat="1">
      <c r="B1986" s="96"/>
      <c r="H1986" s="96"/>
      <c r="J1986" s="1"/>
      <c r="K1986" s="1"/>
      <c r="L1986" s="1"/>
      <c r="O1986" s="475"/>
      <c r="P1986" s="475"/>
      <c r="Q1986" s="475"/>
      <c r="R1986" s="475"/>
      <c r="S1986" s="475"/>
      <c r="T1986" s="475"/>
      <c r="U1986" s="475"/>
      <c r="V1986" s="475"/>
      <c r="W1986" s="475"/>
    </row>
    <row r="1987" spans="2:23" s="97" customFormat="1">
      <c r="B1987" s="96"/>
      <c r="H1987" s="96"/>
      <c r="J1987" s="1"/>
      <c r="K1987" s="1"/>
      <c r="L1987" s="1"/>
      <c r="O1987" s="475"/>
      <c r="P1987" s="475"/>
      <c r="Q1987" s="475"/>
      <c r="R1987" s="475"/>
      <c r="S1987" s="475"/>
      <c r="T1987" s="475"/>
      <c r="U1987" s="475"/>
      <c r="V1987" s="475"/>
      <c r="W1987" s="475"/>
    </row>
    <row r="1988" spans="2:23" s="97" customFormat="1">
      <c r="B1988" s="96"/>
      <c r="H1988" s="96"/>
      <c r="J1988" s="1"/>
      <c r="K1988" s="1"/>
      <c r="L1988" s="1"/>
      <c r="O1988" s="475"/>
      <c r="P1988" s="475"/>
      <c r="Q1988" s="475"/>
      <c r="R1988" s="475"/>
      <c r="S1988" s="475"/>
      <c r="T1988" s="475"/>
      <c r="U1988" s="475"/>
      <c r="V1988" s="475"/>
      <c r="W1988" s="475"/>
    </row>
    <row r="1989" spans="2:23" s="97" customFormat="1">
      <c r="B1989" s="96"/>
      <c r="H1989" s="96"/>
      <c r="J1989" s="1"/>
      <c r="K1989" s="1"/>
      <c r="L1989" s="1"/>
      <c r="O1989" s="475"/>
      <c r="P1989" s="475"/>
      <c r="Q1989" s="475"/>
      <c r="R1989" s="475"/>
      <c r="S1989" s="475"/>
      <c r="T1989" s="475"/>
      <c r="U1989" s="475"/>
      <c r="V1989" s="475"/>
      <c r="W1989" s="475"/>
    </row>
    <row r="1990" spans="2:23" s="97" customFormat="1">
      <c r="B1990" s="96"/>
      <c r="H1990" s="96"/>
      <c r="J1990" s="1"/>
      <c r="K1990" s="1"/>
      <c r="L1990" s="1"/>
      <c r="O1990" s="475"/>
      <c r="P1990" s="475"/>
      <c r="Q1990" s="475"/>
      <c r="R1990" s="475"/>
      <c r="S1990" s="475"/>
      <c r="T1990" s="475"/>
      <c r="U1990" s="475"/>
      <c r="V1990" s="475"/>
      <c r="W1990" s="475"/>
    </row>
    <row r="1991" spans="2:23" s="97" customFormat="1">
      <c r="B1991" s="96"/>
      <c r="H1991" s="96"/>
      <c r="J1991" s="1"/>
      <c r="K1991" s="1"/>
      <c r="L1991" s="1"/>
      <c r="O1991" s="475"/>
      <c r="P1991" s="475"/>
      <c r="Q1991" s="475"/>
      <c r="R1991" s="475"/>
      <c r="S1991" s="475"/>
      <c r="T1991" s="475"/>
      <c r="U1991" s="475"/>
      <c r="V1991" s="475"/>
      <c r="W1991" s="475"/>
    </row>
    <row r="1992" spans="2:23" s="97" customFormat="1">
      <c r="B1992" s="96"/>
      <c r="H1992" s="96"/>
      <c r="J1992" s="1"/>
      <c r="K1992" s="1"/>
      <c r="L1992" s="1"/>
      <c r="O1992" s="475"/>
      <c r="P1992" s="475"/>
      <c r="Q1992" s="475"/>
      <c r="R1992" s="475"/>
      <c r="S1992" s="475"/>
      <c r="T1992" s="475"/>
      <c r="U1992" s="475"/>
      <c r="V1992" s="475"/>
      <c r="W1992" s="475"/>
    </row>
    <row r="1993" spans="2:23" s="97" customFormat="1">
      <c r="B1993" s="96"/>
      <c r="H1993" s="96"/>
      <c r="J1993" s="1"/>
      <c r="K1993" s="1"/>
      <c r="L1993" s="1"/>
      <c r="O1993" s="475"/>
      <c r="P1993" s="475"/>
      <c r="Q1993" s="475"/>
      <c r="R1993" s="475"/>
      <c r="S1993" s="475"/>
      <c r="T1993" s="475"/>
      <c r="U1993" s="475"/>
      <c r="V1993" s="475"/>
      <c r="W1993" s="475"/>
    </row>
    <row r="1994" spans="2:23" s="97" customFormat="1">
      <c r="B1994" s="96"/>
      <c r="H1994" s="96"/>
      <c r="J1994" s="1"/>
      <c r="K1994" s="1"/>
      <c r="L1994" s="1"/>
      <c r="O1994" s="475"/>
      <c r="P1994" s="475"/>
      <c r="Q1994" s="475"/>
      <c r="R1994" s="475"/>
      <c r="S1994" s="475"/>
      <c r="T1994" s="475"/>
      <c r="U1994" s="475"/>
      <c r="V1994" s="475"/>
      <c r="W1994" s="475"/>
    </row>
    <row r="1995" spans="2:23" s="97" customFormat="1">
      <c r="B1995" s="96"/>
      <c r="H1995" s="96"/>
      <c r="J1995" s="1"/>
      <c r="K1995" s="1"/>
      <c r="L1995" s="1"/>
      <c r="O1995" s="475"/>
      <c r="P1995" s="475"/>
      <c r="Q1995" s="475"/>
      <c r="R1995" s="475"/>
      <c r="S1995" s="475"/>
      <c r="T1995" s="475"/>
      <c r="U1995" s="475"/>
      <c r="V1995" s="475"/>
      <c r="W1995" s="475"/>
    </row>
    <row r="1996" spans="2:23" s="97" customFormat="1">
      <c r="B1996" s="96"/>
      <c r="H1996" s="96"/>
      <c r="J1996" s="1"/>
      <c r="K1996" s="1"/>
      <c r="L1996" s="1"/>
      <c r="O1996" s="475"/>
      <c r="P1996" s="475"/>
      <c r="Q1996" s="475"/>
      <c r="R1996" s="475"/>
      <c r="S1996" s="475"/>
      <c r="T1996" s="475"/>
      <c r="U1996" s="475"/>
      <c r="V1996" s="475"/>
      <c r="W1996" s="475"/>
    </row>
    <row r="1997" spans="2:23" s="97" customFormat="1">
      <c r="B1997" s="96"/>
      <c r="H1997" s="96"/>
      <c r="J1997" s="1"/>
      <c r="K1997" s="1"/>
      <c r="L1997" s="1"/>
      <c r="O1997" s="475"/>
      <c r="P1997" s="475"/>
      <c r="Q1997" s="475"/>
      <c r="R1997" s="475"/>
      <c r="S1997" s="475"/>
      <c r="T1997" s="475"/>
      <c r="U1997" s="475"/>
      <c r="V1997" s="475"/>
      <c r="W1997" s="475"/>
    </row>
    <row r="1998" spans="2:23" s="97" customFormat="1">
      <c r="B1998" s="96"/>
      <c r="H1998" s="96"/>
      <c r="J1998" s="1"/>
      <c r="K1998" s="1"/>
      <c r="L1998" s="1"/>
      <c r="O1998" s="475"/>
      <c r="P1998" s="475"/>
      <c r="Q1998" s="475"/>
      <c r="R1998" s="475"/>
      <c r="S1998" s="475"/>
      <c r="T1998" s="475"/>
      <c r="U1998" s="475"/>
      <c r="V1998" s="475"/>
      <c r="W1998" s="475"/>
    </row>
    <row r="1999" spans="2:23" s="97" customFormat="1">
      <c r="B1999" s="96"/>
      <c r="H1999" s="96"/>
      <c r="J1999" s="1"/>
      <c r="K1999" s="1"/>
      <c r="L1999" s="1"/>
      <c r="O1999" s="475"/>
      <c r="P1999" s="475"/>
      <c r="Q1999" s="475"/>
      <c r="R1999" s="475"/>
      <c r="S1999" s="475"/>
      <c r="T1999" s="475"/>
      <c r="U1999" s="475"/>
      <c r="V1999" s="475"/>
      <c r="W1999" s="475"/>
    </row>
    <row r="2000" spans="2:23" s="97" customFormat="1">
      <c r="B2000" s="96"/>
      <c r="H2000" s="96"/>
      <c r="J2000" s="1"/>
      <c r="K2000" s="1"/>
      <c r="L2000" s="1"/>
      <c r="O2000" s="475"/>
      <c r="P2000" s="475"/>
      <c r="Q2000" s="475"/>
      <c r="R2000" s="475"/>
      <c r="S2000" s="475"/>
      <c r="T2000" s="475"/>
      <c r="U2000" s="475"/>
      <c r="V2000" s="475"/>
      <c r="W2000" s="475"/>
    </row>
    <row r="2001" spans="2:23" s="97" customFormat="1">
      <c r="B2001" s="96"/>
      <c r="H2001" s="96"/>
      <c r="J2001" s="1"/>
      <c r="K2001" s="1"/>
      <c r="L2001" s="1"/>
      <c r="O2001" s="475"/>
      <c r="P2001" s="475"/>
      <c r="Q2001" s="475"/>
      <c r="R2001" s="475"/>
      <c r="S2001" s="475"/>
      <c r="T2001" s="475"/>
      <c r="U2001" s="475"/>
      <c r="V2001" s="475"/>
      <c r="W2001" s="475"/>
    </row>
    <row r="2002" spans="2:23" s="97" customFormat="1">
      <c r="B2002" s="96"/>
      <c r="H2002" s="96"/>
      <c r="J2002" s="1"/>
      <c r="K2002" s="1"/>
      <c r="L2002" s="1"/>
      <c r="O2002" s="475"/>
      <c r="P2002" s="475"/>
      <c r="Q2002" s="475"/>
      <c r="R2002" s="475"/>
      <c r="S2002" s="475"/>
      <c r="T2002" s="475"/>
      <c r="U2002" s="475"/>
      <c r="V2002" s="475"/>
      <c r="W2002" s="475"/>
    </row>
    <row r="2003" spans="2:23" s="97" customFormat="1">
      <c r="B2003" s="96"/>
      <c r="H2003" s="96"/>
      <c r="J2003" s="1"/>
      <c r="K2003" s="1"/>
      <c r="L2003" s="1"/>
      <c r="O2003" s="475"/>
      <c r="P2003" s="475"/>
      <c r="Q2003" s="475"/>
      <c r="R2003" s="475"/>
      <c r="S2003" s="475"/>
      <c r="T2003" s="475"/>
      <c r="U2003" s="475"/>
      <c r="V2003" s="475"/>
      <c r="W2003" s="475"/>
    </row>
    <row r="2004" spans="2:23" s="97" customFormat="1">
      <c r="B2004" s="96"/>
      <c r="H2004" s="96"/>
      <c r="J2004" s="1"/>
      <c r="K2004" s="1"/>
      <c r="L2004" s="1"/>
      <c r="O2004" s="475"/>
      <c r="P2004" s="475"/>
      <c r="Q2004" s="475"/>
      <c r="R2004" s="475"/>
      <c r="S2004" s="475"/>
      <c r="T2004" s="475"/>
      <c r="U2004" s="475"/>
      <c r="V2004" s="475"/>
      <c r="W2004" s="475"/>
    </row>
    <row r="2005" spans="2:23" s="97" customFormat="1">
      <c r="B2005" s="96"/>
      <c r="H2005" s="96"/>
      <c r="J2005" s="1"/>
      <c r="K2005" s="1"/>
      <c r="L2005" s="1"/>
      <c r="O2005" s="475"/>
      <c r="P2005" s="475"/>
      <c r="Q2005" s="475"/>
      <c r="R2005" s="475"/>
      <c r="S2005" s="475"/>
      <c r="T2005" s="475"/>
      <c r="U2005" s="475"/>
      <c r="V2005" s="475"/>
      <c r="W2005" s="475"/>
    </row>
    <row r="2006" spans="2:23" s="97" customFormat="1">
      <c r="B2006" s="96"/>
      <c r="H2006" s="96"/>
      <c r="J2006" s="1"/>
      <c r="K2006" s="1"/>
      <c r="L2006" s="1"/>
      <c r="O2006" s="475"/>
      <c r="P2006" s="475"/>
      <c r="Q2006" s="475"/>
      <c r="R2006" s="475"/>
      <c r="S2006" s="475"/>
      <c r="T2006" s="475"/>
      <c r="U2006" s="475"/>
      <c r="V2006" s="475"/>
      <c r="W2006" s="475"/>
    </row>
    <row r="2007" spans="2:23" s="97" customFormat="1">
      <c r="B2007" s="96"/>
      <c r="H2007" s="96"/>
      <c r="J2007" s="1"/>
      <c r="K2007" s="1"/>
      <c r="L2007" s="1"/>
      <c r="O2007" s="475"/>
      <c r="P2007" s="475"/>
      <c r="Q2007" s="475"/>
      <c r="R2007" s="475"/>
      <c r="S2007" s="475"/>
      <c r="T2007" s="475"/>
      <c r="U2007" s="475"/>
      <c r="V2007" s="475"/>
      <c r="W2007" s="475"/>
    </row>
    <row r="2008" spans="2:23" s="97" customFormat="1">
      <c r="B2008" s="96"/>
      <c r="H2008" s="96"/>
      <c r="J2008" s="1"/>
      <c r="K2008" s="1"/>
      <c r="L2008" s="1"/>
      <c r="O2008" s="475"/>
      <c r="P2008" s="475"/>
      <c r="Q2008" s="475"/>
      <c r="R2008" s="475"/>
      <c r="S2008" s="475"/>
      <c r="T2008" s="475"/>
      <c r="U2008" s="475"/>
      <c r="V2008" s="475"/>
      <c r="W2008" s="475"/>
    </row>
    <row r="2009" spans="2:23" s="97" customFormat="1">
      <c r="B2009" s="96"/>
      <c r="H2009" s="96"/>
      <c r="J2009" s="1"/>
      <c r="K2009" s="1"/>
      <c r="L2009" s="1"/>
      <c r="O2009" s="475"/>
      <c r="P2009" s="475"/>
      <c r="Q2009" s="475"/>
      <c r="R2009" s="475"/>
      <c r="S2009" s="475"/>
      <c r="T2009" s="475"/>
      <c r="U2009" s="475"/>
      <c r="V2009" s="475"/>
      <c r="W2009" s="475"/>
    </row>
    <row r="2010" spans="2:23" s="97" customFormat="1">
      <c r="B2010" s="96"/>
      <c r="H2010" s="96"/>
      <c r="J2010" s="1"/>
      <c r="K2010" s="1"/>
      <c r="L2010" s="1"/>
      <c r="O2010" s="475"/>
      <c r="P2010" s="475"/>
      <c r="Q2010" s="475"/>
      <c r="R2010" s="475"/>
      <c r="S2010" s="475"/>
      <c r="T2010" s="475"/>
      <c r="U2010" s="475"/>
      <c r="V2010" s="475"/>
      <c r="W2010" s="475"/>
    </row>
    <row r="2011" spans="2:23" s="97" customFormat="1">
      <c r="B2011" s="96"/>
      <c r="H2011" s="96"/>
      <c r="J2011" s="1"/>
      <c r="K2011" s="1"/>
      <c r="L2011" s="1"/>
      <c r="O2011" s="475"/>
      <c r="P2011" s="475"/>
      <c r="Q2011" s="475"/>
      <c r="R2011" s="475"/>
      <c r="S2011" s="475"/>
      <c r="T2011" s="475"/>
      <c r="U2011" s="475"/>
      <c r="V2011" s="475"/>
      <c r="W2011" s="475"/>
    </row>
    <row r="2012" spans="2:23" s="97" customFormat="1">
      <c r="B2012" s="96"/>
      <c r="H2012" s="96"/>
      <c r="J2012" s="1"/>
      <c r="K2012" s="1"/>
      <c r="L2012" s="1"/>
      <c r="O2012" s="475"/>
      <c r="P2012" s="475"/>
      <c r="Q2012" s="475"/>
      <c r="R2012" s="475"/>
      <c r="S2012" s="475"/>
      <c r="T2012" s="475"/>
      <c r="U2012" s="475"/>
      <c r="V2012" s="475"/>
      <c r="W2012" s="475"/>
    </row>
    <row r="2013" spans="2:23" s="97" customFormat="1">
      <c r="B2013" s="96"/>
      <c r="H2013" s="96"/>
      <c r="J2013" s="1"/>
      <c r="K2013" s="1"/>
      <c r="L2013" s="1"/>
      <c r="O2013" s="475"/>
      <c r="P2013" s="475"/>
      <c r="Q2013" s="475"/>
      <c r="R2013" s="475"/>
      <c r="S2013" s="475"/>
      <c r="T2013" s="475"/>
      <c r="U2013" s="475"/>
      <c r="V2013" s="475"/>
      <c r="W2013" s="475"/>
    </row>
    <row r="2014" spans="2:23" s="97" customFormat="1">
      <c r="B2014" s="96"/>
      <c r="H2014" s="96"/>
      <c r="J2014" s="1"/>
      <c r="K2014" s="1"/>
      <c r="L2014" s="1"/>
      <c r="O2014" s="475"/>
      <c r="P2014" s="475"/>
      <c r="Q2014" s="475"/>
      <c r="R2014" s="475"/>
      <c r="S2014" s="475"/>
      <c r="T2014" s="475"/>
      <c r="U2014" s="475"/>
      <c r="V2014" s="475"/>
      <c r="W2014" s="475"/>
    </row>
    <row r="2015" spans="2:23" s="97" customFormat="1">
      <c r="B2015" s="96"/>
      <c r="H2015" s="96"/>
      <c r="J2015" s="1"/>
      <c r="K2015" s="1"/>
      <c r="L2015" s="1"/>
      <c r="O2015" s="475"/>
      <c r="P2015" s="475"/>
      <c r="Q2015" s="475"/>
      <c r="R2015" s="475"/>
      <c r="S2015" s="475"/>
      <c r="T2015" s="475"/>
      <c r="U2015" s="475"/>
      <c r="V2015" s="475"/>
      <c r="W2015" s="475"/>
    </row>
    <row r="2016" spans="2:23" s="97" customFormat="1">
      <c r="B2016" s="96"/>
      <c r="H2016" s="96"/>
      <c r="J2016" s="1"/>
      <c r="K2016" s="1"/>
      <c r="L2016" s="1"/>
      <c r="O2016" s="475"/>
      <c r="P2016" s="475"/>
      <c r="Q2016" s="475"/>
      <c r="R2016" s="475"/>
      <c r="S2016" s="475"/>
      <c r="T2016" s="475"/>
      <c r="U2016" s="475"/>
      <c r="V2016" s="475"/>
      <c r="W2016" s="475"/>
    </row>
    <row r="2017" spans="2:23" s="97" customFormat="1">
      <c r="B2017" s="96"/>
      <c r="H2017" s="96"/>
      <c r="J2017" s="1"/>
      <c r="K2017" s="1"/>
      <c r="L2017" s="1"/>
      <c r="O2017" s="475"/>
      <c r="P2017" s="475"/>
      <c r="Q2017" s="475"/>
      <c r="R2017" s="475"/>
      <c r="S2017" s="475"/>
      <c r="T2017" s="475"/>
      <c r="U2017" s="475"/>
      <c r="V2017" s="475"/>
      <c r="W2017" s="475"/>
    </row>
    <row r="2018" spans="2:23" s="97" customFormat="1">
      <c r="B2018" s="96"/>
      <c r="H2018" s="96"/>
      <c r="J2018" s="1"/>
      <c r="K2018" s="1"/>
      <c r="L2018" s="1"/>
      <c r="O2018" s="475"/>
      <c r="P2018" s="475"/>
      <c r="Q2018" s="475"/>
      <c r="R2018" s="475"/>
      <c r="S2018" s="475"/>
      <c r="T2018" s="475"/>
      <c r="U2018" s="475"/>
      <c r="V2018" s="475"/>
      <c r="W2018" s="475"/>
    </row>
    <row r="2019" spans="2:23" s="97" customFormat="1">
      <c r="B2019" s="96"/>
      <c r="H2019" s="96"/>
      <c r="J2019" s="1"/>
      <c r="K2019" s="1"/>
      <c r="L2019" s="1"/>
      <c r="O2019" s="475"/>
      <c r="P2019" s="475"/>
      <c r="Q2019" s="475"/>
      <c r="R2019" s="475"/>
      <c r="S2019" s="475"/>
      <c r="T2019" s="475"/>
      <c r="U2019" s="475"/>
      <c r="V2019" s="475"/>
      <c r="W2019" s="475"/>
    </row>
    <row r="2020" spans="2:23" s="97" customFormat="1">
      <c r="B2020" s="96"/>
      <c r="H2020" s="96"/>
      <c r="J2020" s="1"/>
      <c r="K2020" s="1"/>
      <c r="L2020" s="1"/>
      <c r="O2020" s="475"/>
      <c r="P2020" s="475"/>
      <c r="Q2020" s="475"/>
      <c r="R2020" s="475"/>
      <c r="S2020" s="475"/>
      <c r="T2020" s="475"/>
      <c r="U2020" s="475"/>
      <c r="V2020" s="475"/>
      <c r="W2020" s="475"/>
    </row>
    <row r="2021" spans="2:23" s="97" customFormat="1">
      <c r="B2021" s="96"/>
      <c r="H2021" s="96"/>
      <c r="J2021" s="1"/>
      <c r="K2021" s="1"/>
      <c r="L2021" s="1"/>
      <c r="O2021" s="475"/>
      <c r="P2021" s="475"/>
      <c r="Q2021" s="475"/>
      <c r="R2021" s="475"/>
      <c r="S2021" s="475"/>
      <c r="T2021" s="475"/>
      <c r="U2021" s="475"/>
      <c r="V2021" s="475"/>
      <c r="W2021" s="475"/>
    </row>
    <row r="2022" spans="2:23" s="97" customFormat="1">
      <c r="B2022" s="96"/>
      <c r="H2022" s="96"/>
      <c r="J2022" s="1"/>
      <c r="K2022" s="1"/>
      <c r="L2022" s="1"/>
      <c r="O2022" s="475"/>
      <c r="P2022" s="475"/>
      <c r="Q2022" s="475"/>
      <c r="R2022" s="475"/>
      <c r="S2022" s="475"/>
      <c r="T2022" s="475"/>
      <c r="U2022" s="475"/>
      <c r="V2022" s="475"/>
      <c r="W2022" s="475"/>
    </row>
    <row r="2023" spans="2:23" s="97" customFormat="1">
      <c r="B2023" s="96"/>
      <c r="H2023" s="96"/>
      <c r="J2023" s="1"/>
      <c r="K2023" s="1"/>
      <c r="L2023" s="1"/>
      <c r="O2023" s="475"/>
      <c r="P2023" s="475"/>
      <c r="Q2023" s="475"/>
      <c r="R2023" s="475"/>
      <c r="S2023" s="475"/>
      <c r="T2023" s="475"/>
      <c r="U2023" s="475"/>
      <c r="V2023" s="475"/>
      <c r="W2023" s="475"/>
    </row>
    <row r="2024" spans="2:23" s="97" customFormat="1">
      <c r="B2024" s="96"/>
      <c r="H2024" s="96"/>
      <c r="J2024" s="1"/>
      <c r="K2024" s="1"/>
      <c r="L2024" s="1"/>
      <c r="O2024" s="475"/>
      <c r="P2024" s="475"/>
      <c r="Q2024" s="475"/>
      <c r="R2024" s="475"/>
      <c r="S2024" s="475"/>
      <c r="T2024" s="475"/>
      <c r="U2024" s="475"/>
      <c r="V2024" s="475"/>
      <c r="W2024" s="475"/>
    </row>
    <row r="2025" spans="2:23" s="97" customFormat="1">
      <c r="B2025" s="96"/>
      <c r="H2025" s="96"/>
      <c r="J2025" s="1"/>
      <c r="K2025" s="1"/>
      <c r="L2025" s="1"/>
      <c r="O2025" s="475"/>
      <c r="P2025" s="475"/>
      <c r="Q2025" s="475"/>
      <c r="R2025" s="475"/>
      <c r="S2025" s="475"/>
      <c r="T2025" s="475"/>
      <c r="U2025" s="475"/>
      <c r="V2025" s="475"/>
      <c r="W2025" s="475"/>
    </row>
    <row r="2026" spans="2:23" s="97" customFormat="1">
      <c r="B2026" s="96"/>
      <c r="H2026" s="96"/>
      <c r="J2026" s="1"/>
      <c r="K2026" s="1"/>
      <c r="L2026" s="1"/>
      <c r="O2026" s="475"/>
      <c r="P2026" s="475"/>
      <c r="Q2026" s="475"/>
      <c r="R2026" s="475"/>
      <c r="S2026" s="475"/>
      <c r="T2026" s="475"/>
      <c r="U2026" s="475"/>
      <c r="V2026" s="475"/>
      <c r="W2026" s="475"/>
    </row>
    <row r="2027" spans="2:23" s="97" customFormat="1">
      <c r="B2027" s="96"/>
      <c r="H2027" s="96"/>
      <c r="J2027" s="1"/>
      <c r="K2027" s="1"/>
      <c r="L2027" s="1"/>
      <c r="O2027" s="475"/>
      <c r="P2027" s="475"/>
      <c r="Q2027" s="475"/>
      <c r="R2027" s="475"/>
      <c r="S2027" s="475"/>
      <c r="T2027" s="475"/>
      <c r="U2027" s="475"/>
      <c r="V2027" s="475"/>
      <c r="W2027" s="475"/>
    </row>
    <row r="2028" spans="2:23" s="97" customFormat="1">
      <c r="B2028" s="96"/>
      <c r="H2028" s="96"/>
      <c r="J2028" s="1"/>
      <c r="K2028" s="1"/>
      <c r="L2028" s="1"/>
      <c r="O2028" s="475"/>
      <c r="P2028" s="475"/>
      <c r="Q2028" s="475"/>
      <c r="R2028" s="475"/>
      <c r="S2028" s="475"/>
      <c r="T2028" s="475"/>
      <c r="U2028" s="475"/>
      <c r="V2028" s="475"/>
      <c r="W2028" s="475"/>
    </row>
    <row r="2029" spans="2:23" s="97" customFormat="1">
      <c r="B2029" s="96"/>
      <c r="H2029" s="96"/>
      <c r="J2029" s="1"/>
      <c r="K2029" s="1"/>
      <c r="L2029" s="1"/>
      <c r="O2029" s="475"/>
      <c r="P2029" s="475"/>
      <c r="Q2029" s="475"/>
      <c r="R2029" s="475"/>
      <c r="S2029" s="475"/>
      <c r="T2029" s="475"/>
      <c r="U2029" s="475"/>
      <c r="V2029" s="475"/>
      <c r="W2029" s="475"/>
    </row>
    <row r="2030" spans="2:23" s="97" customFormat="1">
      <c r="B2030" s="96"/>
      <c r="H2030" s="96"/>
      <c r="J2030" s="1"/>
      <c r="K2030" s="1"/>
      <c r="L2030" s="1"/>
      <c r="O2030" s="475"/>
      <c r="P2030" s="475"/>
      <c r="Q2030" s="475"/>
      <c r="R2030" s="475"/>
      <c r="S2030" s="475"/>
      <c r="T2030" s="475"/>
      <c r="U2030" s="475"/>
      <c r="V2030" s="475"/>
      <c r="W2030" s="475"/>
    </row>
    <row r="2031" spans="2:23" s="97" customFormat="1">
      <c r="B2031" s="96"/>
      <c r="H2031" s="96"/>
      <c r="J2031" s="1"/>
      <c r="K2031" s="1"/>
      <c r="L2031" s="1"/>
      <c r="O2031" s="475"/>
      <c r="P2031" s="475"/>
      <c r="Q2031" s="475"/>
      <c r="R2031" s="475"/>
      <c r="S2031" s="475"/>
      <c r="T2031" s="475"/>
      <c r="U2031" s="475"/>
      <c r="V2031" s="475"/>
      <c r="W2031" s="475"/>
    </row>
    <row r="2032" spans="2:23" s="97" customFormat="1">
      <c r="B2032" s="96"/>
      <c r="H2032" s="96"/>
      <c r="J2032" s="1"/>
      <c r="K2032" s="1"/>
      <c r="L2032" s="1"/>
      <c r="O2032" s="475"/>
      <c r="P2032" s="475"/>
      <c r="Q2032" s="475"/>
      <c r="R2032" s="475"/>
      <c r="S2032" s="475"/>
      <c r="T2032" s="475"/>
      <c r="U2032" s="475"/>
      <c r="V2032" s="475"/>
      <c r="W2032" s="475"/>
    </row>
    <row r="2033" spans="2:23" s="97" customFormat="1">
      <c r="B2033" s="96"/>
      <c r="H2033" s="96"/>
      <c r="J2033" s="1"/>
      <c r="K2033" s="1"/>
      <c r="L2033" s="1"/>
      <c r="O2033" s="475"/>
      <c r="P2033" s="475"/>
      <c r="Q2033" s="475"/>
      <c r="R2033" s="475"/>
      <c r="S2033" s="475"/>
      <c r="T2033" s="475"/>
      <c r="U2033" s="475"/>
      <c r="V2033" s="475"/>
      <c r="W2033" s="475"/>
    </row>
    <row r="2034" spans="2:23" s="97" customFormat="1">
      <c r="B2034" s="96"/>
      <c r="H2034" s="96"/>
      <c r="J2034" s="1"/>
      <c r="K2034" s="1"/>
      <c r="L2034" s="1"/>
      <c r="O2034" s="475"/>
      <c r="P2034" s="475"/>
      <c r="Q2034" s="475"/>
      <c r="R2034" s="475"/>
      <c r="S2034" s="475"/>
      <c r="T2034" s="475"/>
      <c r="U2034" s="475"/>
      <c r="V2034" s="475"/>
      <c r="W2034" s="475"/>
    </row>
    <row r="2035" spans="2:23" s="97" customFormat="1">
      <c r="B2035" s="96"/>
      <c r="H2035" s="96"/>
      <c r="J2035" s="1"/>
      <c r="K2035" s="1"/>
      <c r="L2035" s="1"/>
      <c r="O2035" s="475"/>
      <c r="P2035" s="475"/>
      <c r="Q2035" s="475"/>
      <c r="R2035" s="475"/>
      <c r="S2035" s="475"/>
      <c r="T2035" s="475"/>
      <c r="U2035" s="475"/>
      <c r="V2035" s="475"/>
      <c r="W2035" s="475"/>
    </row>
    <row r="2036" spans="2:23" s="97" customFormat="1">
      <c r="B2036" s="96"/>
      <c r="H2036" s="96"/>
      <c r="J2036" s="1"/>
      <c r="K2036" s="1"/>
      <c r="L2036" s="1"/>
      <c r="O2036" s="475"/>
      <c r="P2036" s="475"/>
      <c r="Q2036" s="475"/>
      <c r="R2036" s="475"/>
      <c r="S2036" s="475"/>
      <c r="T2036" s="475"/>
      <c r="U2036" s="475"/>
      <c r="V2036" s="475"/>
      <c r="W2036" s="475"/>
    </row>
    <row r="2037" spans="2:23" s="97" customFormat="1">
      <c r="B2037" s="96"/>
      <c r="H2037" s="96"/>
      <c r="J2037" s="1"/>
      <c r="K2037" s="1"/>
      <c r="L2037" s="1"/>
      <c r="O2037" s="475"/>
      <c r="P2037" s="475"/>
      <c r="Q2037" s="475"/>
      <c r="R2037" s="475"/>
      <c r="S2037" s="475"/>
      <c r="T2037" s="475"/>
      <c r="U2037" s="475"/>
      <c r="V2037" s="475"/>
      <c r="W2037" s="475"/>
    </row>
    <row r="2038" spans="2:23" s="97" customFormat="1">
      <c r="B2038" s="96"/>
      <c r="H2038" s="96"/>
      <c r="J2038" s="1"/>
      <c r="K2038" s="1"/>
      <c r="L2038" s="1"/>
      <c r="O2038" s="475"/>
      <c r="P2038" s="475"/>
      <c r="Q2038" s="475"/>
      <c r="R2038" s="475"/>
      <c r="S2038" s="475"/>
      <c r="T2038" s="475"/>
      <c r="U2038" s="475"/>
      <c r="V2038" s="475"/>
      <c r="W2038" s="475"/>
    </row>
    <row r="2039" spans="2:23" s="97" customFormat="1">
      <c r="B2039" s="96"/>
      <c r="H2039" s="96"/>
      <c r="J2039" s="1"/>
      <c r="K2039" s="1"/>
      <c r="L2039" s="1"/>
      <c r="O2039" s="475"/>
      <c r="P2039" s="475"/>
      <c r="Q2039" s="475"/>
      <c r="R2039" s="475"/>
      <c r="S2039" s="475"/>
      <c r="T2039" s="475"/>
      <c r="U2039" s="475"/>
      <c r="V2039" s="475"/>
      <c r="W2039" s="475"/>
    </row>
    <row r="2040" spans="2:23" s="97" customFormat="1">
      <c r="B2040" s="96"/>
      <c r="H2040" s="96"/>
      <c r="J2040" s="1"/>
      <c r="K2040" s="1"/>
      <c r="L2040" s="1"/>
      <c r="O2040" s="475"/>
      <c r="P2040" s="475"/>
      <c r="Q2040" s="475"/>
      <c r="R2040" s="475"/>
      <c r="S2040" s="475"/>
      <c r="T2040" s="475"/>
      <c r="U2040" s="475"/>
      <c r="V2040" s="475"/>
      <c r="W2040" s="475"/>
    </row>
    <row r="2041" spans="2:23" s="97" customFormat="1">
      <c r="B2041" s="96"/>
      <c r="H2041" s="96"/>
      <c r="J2041" s="1"/>
      <c r="K2041" s="1"/>
      <c r="L2041" s="1"/>
      <c r="O2041" s="475"/>
      <c r="P2041" s="475"/>
      <c r="Q2041" s="475"/>
      <c r="R2041" s="475"/>
      <c r="S2041" s="475"/>
      <c r="T2041" s="475"/>
      <c r="U2041" s="475"/>
      <c r="V2041" s="475"/>
      <c r="W2041" s="475"/>
    </row>
    <row r="2042" spans="2:23" s="97" customFormat="1">
      <c r="B2042" s="96"/>
      <c r="H2042" s="96"/>
      <c r="J2042" s="1"/>
      <c r="K2042" s="1"/>
      <c r="L2042" s="1"/>
      <c r="O2042" s="475"/>
      <c r="P2042" s="475"/>
      <c r="Q2042" s="475"/>
      <c r="R2042" s="475"/>
      <c r="S2042" s="475"/>
      <c r="T2042" s="475"/>
      <c r="U2042" s="475"/>
      <c r="V2042" s="475"/>
      <c r="W2042" s="475"/>
    </row>
    <row r="2043" spans="2:23" s="97" customFormat="1">
      <c r="B2043" s="96"/>
      <c r="H2043" s="96"/>
      <c r="J2043" s="1"/>
      <c r="K2043" s="1"/>
      <c r="L2043" s="1"/>
      <c r="O2043" s="475"/>
      <c r="P2043" s="475"/>
      <c r="Q2043" s="475"/>
      <c r="R2043" s="475"/>
      <c r="S2043" s="475"/>
      <c r="T2043" s="475"/>
      <c r="U2043" s="475"/>
      <c r="V2043" s="475"/>
      <c r="W2043" s="475"/>
    </row>
    <row r="2044" spans="2:23" s="97" customFormat="1">
      <c r="B2044" s="96"/>
      <c r="H2044" s="96"/>
      <c r="J2044" s="1"/>
      <c r="K2044" s="1"/>
      <c r="L2044" s="1"/>
      <c r="O2044" s="475"/>
      <c r="P2044" s="475"/>
      <c r="Q2044" s="475"/>
      <c r="R2044" s="475"/>
      <c r="S2044" s="475"/>
      <c r="T2044" s="475"/>
      <c r="U2044" s="475"/>
      <c r="V2044" s="475"/>
      <c r="W2044" s="475"/>
    </row>
    <row r="2045" spans="2:23" s="97" customFormat="1">
      <c r="B2045" s="96"/>
      <c r="H2045" s="96"/>
      <c r="J2045" s="1"/>
      <c r="K2045" s="1"/>
      <c r="L2045" s="1"/>
      <c r="O2045" s="475"/>
      <c r="P2045" s="475"/>
      <c r="Q2045" s="475"/>
      <c r="R2045" s="475"/>
      <c r="S2045" s="475"/>
      <c r="T2045" s="475"/>
      <c r="U2045" s="475"/>
      <c r="V2045" s="475"/>
      <c r="W2045" s="475"/>
    </row>
    <row r="2046" spans="2:23" s="97" customFormat="1">
      <c r="B2046" s="96"/>
      <c r="H2046" s="96"/>
      <c r="J2046" s="1"/>
      <c r="K2046" s="1"/>
      <c r="L2046" s="1"/>
      <c r="O2046" s="475"/>
      <c r="P2046" s="475"/>
      <c r="Q2046" s="475"/>
      <c r="R2046" s="475"/>
      <c r="S2046" s="475"/>
      <c r="T2046" s="475"/>
      <c r="U2046" s="475"/>
      <c r="V2046" s="475"/>
      <c r="W2046" s="475"/>
    </row>
    <row r="2047" spans="2:23" s="97" customFormat="1">
      <c r="B2047" s="96"/>
      <c r="H2047" s="96"/>
      <c r="J2047" s="1"/>
      <c r="K2047" s="1"/>
      <c r="L2047" s="1"/>
      <c r="O2047" s="475"/>
      <c r="P2047" s="475"/>
      <c r="Q2047" s="475"/>
      <c r="R2047" s="475"/>
      <c r="S2047" s="475"/>
      <c r="T2047" s="475"/>
      <c r="U2047" s="475"/>
      <c r="V2047" s="475"/>
      <c r="W2047" s="475"/>
    </row>
    <row r="2048" spans="2:23" s="97" customFormat="1">
      <c r="B2048" s="96"/>
      <c r="H2048" s="96"/>
      <c r="J2048" s="1"/>
      <c r="K2048" s="1"/>
      <c r="L2048" s="1"/>
      <c r="O2048" s="475"/>
      <c r="P2048" s="475"/>
      <c r="Q2048" s="475"/>
      <c r="R2048" s="475"/>
      <c r="S2048" s="475"/>
      <c r="T2048" s="475"/>
      <c r="U2048" s="475"/>
      <c r="V2048" s="475"/>
      <c r="W2048" s="475"/>
    </row>
    <row r="2049" spans="2:23" s="97" customFormat="1">
      <c r="B2049" s="96"/>
      <c r="H2049" s="96"/>
      <c r="J2049" s="1"/>
      <c r="K2049" s="1"/>
      <c r="L2049" s="1"/>
      <c r="O2049" s="475"/>
      <c r="P2049" s="475"/>
      <c r="Q2049" s="475"/>
      <c r="R2049" s="475"/>
      <c r="S2049" s="475"/>
      <c r="T2049" s="475"/>
      <c r="U2049" s="475"/>
      <c r="V2049" s="475"/>
      <c r="W2049" s="475"/>
    </row>
    <row r="2050" spans="2:23" s="97" customFormat="1">
      <c r="B2050" s="96"/>
      <c r="H2050" s="96"/>
      <c r="J2050" s="1"/>
      <c r="K2050" s="1"/>
      <c r="L2050" s="1"/>
      <c r="O2050" s="475"/>
      <c r="P2050" s="475"/>
      <c r="Q2050" s="475"/>
      <c r="R2050" s="475"/>
      <c r="S2050" s="475"/>
      <c r="T2050" s="475"/>
      <c r="U2050" s="475"/>
      <c r="V2050" s="475"/>
      <c r="W2050" s="475"/>
    </row>
    <row r="2051" spans="2:23" s="97" customFormat="1">
      <c r="B2051" s="96"/>
      <c r="H2051" s="96"/>
      <c r="J2051" s="1"/>
      <c r="K2051" s="1"/>
      <c r="L2051" s="1"/>
      <c r="O2051" s="475"/>
      <c r="P2051" s="475"/>
      <c r="Q2051" s="475"/>
      <c r="R2051" s="475"/>
      <c r="S2051" s="475"/>
      <c r="T2051" s="475"/>
      <c r="U2051" s="475"/>
      <c r="V2051" s="475"/>
      <c r="W2051" s="475"/>
    </row>
    <row r="2052" spans="2:23" s="97" customFormat="1">
      <c r="B2052" s="96"/>
      <c r="H2052" s="96"/>
      <c r="J2052" s="1"/>
      <c r="K2052" s="1"/>
      <c r="L2052" s="1"/>
      <c r="O2052" s="475"/>
      <c r="P2052" s="475"/>
      <c r="Q2052" s="475"/>
      <c r="R2052" s="475"/>
      <c r="S2052" s="475"/>
      <c r="T2052" s="475"/>
      <c r="U2052" s="475"/>
      <c r="V2052" s="475"/>
      <c r="W2052" s="475"/>
    </row>
    <row r="2053" spans="2:23" s="97" customFormat="1">
      <c r="B2053" s="96"/>
      <c r="H2053" s="96"/>
      <c r="J2053" s="1"/>
      <c r="K2053" s="1"/>
      <c r="L2053" s="1"/>
      <c r="O2053" s="475"/>
      <c r="P2053" s="475"/>
      <c r="Q2053" s="475"/>
      <c r="R2053" s="475"/>
      <c r="S2053" s="475"/>
      <c r="T2053" s="475"/>
      <c r="U2053" s="475"/>
      <c r="V2053" s="475"/>
      <c r="W2053" s="475"/>
    </row>
    <row r="2054" spans="2:23" s="97" customFormat="1">
      <c r="B2054" s="96"/>
      <c r="H2054" s="96"/>
      <c r="J2054" s="1"/>
      <c r="K2054" s="1"/>
      <c r="L2054" s="1"/>
      <c r="O2054" s="475"/>
      <c r="P2054" s="475"/>
      <c r="Q2054" s="475"/>
      <c r="R2054" s="475"/>
      <c r="S2054" s="475"/>
      <c r="T2054" s="475"/>
      <c r="U2054" s="475"/>
      <c r="V2054" s="475"/>
      <c r="W2054" s="475"/>
    </row>
    <row r="2055" spans="2:23" s="97" customFormat="1">
      <c r="B2055" s="96"/>
      <c r="H2055" s="96"/>
      <c r="J2055" s="1"/>
      <c r="K2055" s="1"/>
      <c r="L2055" s="1"/>
      <c r="O2055" s="475"/>
      <c r="P2055" s="475"/>
      <c r="Q2055" s="475"/>
      <c r="R2055" s="475"/>
      <c r="S2055" s="475"/>
      <c r="T2055" s="475"/>
      <c r="U2055" s="475"/>
      <c r="V2055" s="475"/>
      <c r="W2055" s="475"/>
    </row>
    <row r="2056" spans="2:23" s="97" customFormat="1">
      <c r="B2056" s="96"/>
      <c r="H2056" s="96"/>
      <c r="J2056" s="1"/>
      <c r="K2056" s="1"/>
      <c r="L2056" s="1"/>
      <c r="O2056" s="475"/>
      <c r="P2056" s="475"/>
      <c r="Q2056" s="475"/>
      <c r="R2056" s="475"/>
      <c r="S2056" s="475"/>
      <c r="T2056" s="475"/>
      <c r="U2056" s="475"/>
      <c r="V2056" s="475"/>
      <c r="W2056" s="475"/>
    </row>
    <row r="2057" spans="2:23" s="97" customFormat="1">
      <c r="B2057" s="96"/>
      <c r="H2057" s="96"/>
      <c r="J2057" s="1"/>
      <c r="K2057" s="1"/>
      <c r="L2057" s="1"/>
      <c r="O2057" s="475"/>
      <c r="P2057" s="475"/>
      <c r="Q2057" s="475"/>
      <c r="R2057" s="475"/>
      <c r="S2057" s="475"/>
      <c r="T2057" s="475"/>
      <c r="U2057" s="475"/>
      <c r="V2057" s="475"/>
      <c r="W2057" s="475"/>
    </row>
    <row r="2058" spans="2:23" s="97" customFormat="1">
      <c r="B2058" s="96"/>
      <c r="H2058" s="96"/>
      <c r="J2058" s="1"/>
      <c r="K2058" s="1"/>
      <c r="L2058" s="1"/>
      <c r="O2058" s="475"/>
      <c r="P2058" s="475"/>
      <c r="Q2058" s="475"/>
      <c r="R2058" s="475"/>
      <c r="S2058" s="475"/>
      <c r="T2058" s="475"/>
      <c r="U2058" s="475"/>
      <c r="V2058" s="475"/>
      <c r="W2058" s="475"/>
    </row>
    <row r="2059" spans="2:23" s="97" customFormat="1">
      <c r="B2059" s="96"/>
      <c r="H2059" s="96"/>
      <c r="J2059" s="1"/>
      <c r="K2059" s="1"/>
      <c r="L2059" s="1"/>
      <c r="O2059" s="475"/>
      <c r="P2059" s="475"/>
      <c r="Q2059" s="475"/>
      <c r="R2059" s="475"/>
      <c r="S2059" s="475"/>
      <c r="T2059" s="475"/>
      <c r="U2059" s="475"/>
      <c r="V2059" s="475"/>
      <c r="W2059" s="475"/>
    </row>
    <row r="2060" spans="2:23" s="97" customFormat="1">
      <c r="B2060" s="96"/>
      <c r="H2060" s="96"/>
      <c r="J2060" s="1"/>
      <c r="K2060" s="1"/>
      <c r="L2060" s="1"/>
      <c r="O2060" s="475"/>
      <c r="P2060" s="475"/>
      <c r="Q2060" s="475"/>
      <c r="R2060" s="475"/>
      <c r="S2060" s="475"/>
      <c r="T2060" s="475"/>
      <c r="U2060" s="475"/>
      <c r="V2060" s="475"/>
      <c r="W2060" s="475"/>
    </row>
    <row r="2061" spans="2:23" s="97" customFormat="1">
      <c r="B2061" s="96"/>
      <c r="H2061" s="96"/>
      <c r="J2061" s="1"/>
      <c r="K2061" s="1"/>
      <c r="L2061" s="1"/>
      <c r="O2061" s="475"/>
      <c r="P2061" s="475"/>
      <c r="Q2061" s="475"/>
      <c r="R2061" s="475"/>
      <c r="S2061" s="475"/>
      <c r="T2061" s="475"/>
      <c r="U2061" s="475"/>
      <c r="V2061" s="475"/>
      <c r="W2061" s="475"/>
    </row>
    <row r="2062" spans="2:23" s="97" customFormat="1">
      <c r="B2062" s="96"/>
      <c r="H2062" s="96"/>
      <c r="J2062" s="1"/>
      <c r="K2062" s="1"/>
      <c r="L2062" s="1"/>
      <c r="O2062" s="475"/>
      <c r="P2062" s="475"/>
      <c r="Q2062" s="475"/>
      <c r="R2062" s="475"/>
      <c r="S2062" s="475"/>
      <c r="T2062" s="475"/>
      <c r="U2062" s="475"/>
      <c r="V2062" s="475"/>
      <c r="W2062" s="475"/>
    </row>
    <row r="2063" spans="2:23" s="97" customFormat="1">
      <c r="B2063" s="96"/>
      <c r="H2063" s="96"/>
      <c r="J2063" s="1"/>
      <c r="K2063" s="1"/>
      <c r="L2063" s="1"/>
      <c r="O2063" s="475"/>
      <c r="P2063" s="475"/>
      <c r="Q2063" s="475"/>
      <c r="R2063" s="475"/>
      <c r="S2063" s="475"/>
      <c r="T2063" s="475"/>
      <c r="U2063" s="475"/>
      <c r="V2063" s="475"/>
      <c r="W2063" s="475"/>
    </row>
    <row r="2064" spans="2:23" s="97" customFormat="1">
      <c r="B2064" s="96"/>
      <c r="H2064" s="96"/>
      <c r="J2064" s="1"/>
      <c r="K2064" s="1"/>
      <c r="L2064" s="1"/>
      <c r="O2064" s="475"/>
      <c r="P2064" s="475"/>
      <c r="Q2064" s="475"/>
      <c r="R2064" s="475"/>
      <c r="S2064" s="475"/>
      <c r="T2064" s="475"/>
      <c r="U2064" s="475"/>
      <c r="V2064" s="475"/>
      <c r="W2064" s="475"/>
    </row>
    <row r="2065" spans="2:23" s="97" customFormat="1">
      <c r="B2065" s="96"/>
      <c r="H2065" s="96"/>
      <c r="J2065" s="1"/>
      <c r="K2065" s="1"/>
      <c r="L2065" s="1"/>
      <c r="O2065" s="475"/>
      <c r="P2065" s="475"/>
      <c r="Q2065" s="475"/>
      <c r="R2065" s="475"/>
      <c r="S2065" s="475"/>
      <c r="T2065" s="475"/>
      <c r="U2065" s="475"/>
      <c r="V2065" s="475"/>
      <c r="W2065" s="475"/>
    </row>
    <row r="2066" spans="2:23" s="97" customFormat="1">
      <c r="B2066" s="96"/>
      <c r="H2066" s="96"/>
      <c r="J2066" s="1"/>
      <c r="K2066" s="1"/>
      <c r="L2066" s="1"/>
      <c r="O2066" s="475"/>
      <c r="P2066" s="475"/>
      <c r="Q2066" s="475"/>
      <c r="R2066" s="475"/>
      <c r="S2066" s="475"/>
      <c r="T2066" s="475"/>
      <c r="U2066" s="475"/>
      <c r="V2066" s="475"/>
      <c r="W2066" s="475"/>
    </row>
    <row r="2067" spans="2:23" s="97" customFormat="1">
      <c r="B2067" s="96"/>
      <c r="H2067" s="96"/>
      <c r="J2067" s="1"/>
      <c r="K2067" s="1"/>
      <c r="L2067" s="1"/>
      <c r="O2067" s="475"/>
      <c r="P2067" s="475"/>
      <c r="Q2067" s="475"/>
      <c r="R2067" s="475"/>
      <c r="S2067" s="475"/>
      <c r="T2067" s="475"/>
      <c r="U2067" s="475"/>
      <c r="V2067" s="475"/>
      <c r="W2067" s="475"/>
    </row>
    <row r="2068" spans="2:23" s="97" customFormat="1">
      <c r="B2068" s="96"/>
      <c r="H2068" s="96"/>
      <c r="J2068" s="1"/>
      <c r="K2068" s="1"/>
      <c r="L2068" s="1"/>
      <c r="O2068" s="475"/>
      <c r="P2068" s="475"/>
      <c r="Q2068" s="475"/>
      <c r="R2068" s="475"/>
      <c r="S2068" s="475"/>
      <c r="T2068" s="475"/>
      <c r="U2068" s="475"/>
      <c r="V2068" s="475"/>
      <c r="W2068" s="475"/>
    </row>
    <row r="2069" spans="2:23" s="97" customFormat="1">
      <c r="B2069" s="96"/>
      <c r="H2069" s="96"/>
      <c r="J2069" s="1"/>
      <c r="K2069" s="1"/>
      <c r="L2069" s="1"/>
      <c r="O2069" s="475"/>
      <c r="P2069" s="475"/>
      <c r="Q2069" s="475"/>
      <c r="R2069" s="475"/>
      <c r="S2069" s="475"/>
      <c r="T2069" s="475"/>
      <c r="U2069" s="475"/>
      <c r="V2069" s="475"/>
      <c r="W2069" s="475"/>
    </row>
    <row r="2070" spans="2:23" s="97" customFormat="1">
      <c r="B2070" s="96"/>
      <c r="H2070" s="96"/>
      <c r="J2070" s="1"/>
      <c r="K2070" s="1"/>
      <c r="L2070" s="1"/>
      <c r="O2070" s="475"/>
      <c r="P2070" s="475"/>
      <c r="Q2070" s="475"/>
      <c r="R2070" s="475"/>
      <c r="S2070" s="475"/>
      <c r="T2070" s="475"/>
      <c r="U2070" s="475"/>
      <c r="V2070" s="475"/>
      <c r="W2070" s="475"/>
    </row>
    <row r="2071" spans="2:23" s="97" customFormat="1">
      <c r="B2071" s="96"/>
      <c r="H2071" s="96"/>
      <c r="J2071" s="1"/>
      <c r="K2071" s="1"/>
      <c r="L2071" s="1"/>
      <c r="O2071" s="475"/>
      <c r="P2071" s="475"/>
      <c r="Q2071" s="475"/>
      <c r="R2071" s="475"/>
      <c r="S2071" s="475"/>
      <c r="T2071" s="475"/>
      <c r="U2071" s="475"/>
      <c r="V2071" s="475"/>
      <c r="W2071" s="475"/>
    </row>
    <row r="2072" spans="2:23" s="97" customFormat="1">
      <c r="B2072" s="96"/>
      <c r="H2072" s="96"/>
      <c r="J2072" s="1"/>
      <c r="K2072" s="1"/>
      <c r="L2072" s="1"/>
      <c r="O2072" s="475"/>
      <c r="P2072" s="475"/>
      <c r="Q2072" s="475"/>
      <c r="R2072" s="475"/>
      <c r="S2072" s="475"/>
      <c r="T2072" s="475"/>
      <c r="U2072" s="475"/>
      <c r="V2072" s="475"/>
      <c r="W2072" s="475"/>
    </row>
    <row r="2073" spans="2:23" s="97" customFormat="1">
      <c r="B2073" s="96"/>
      <c r="H2073" s="96"/>
      <c r="J2073" s="1"/>
      <c r="K2073" s="1"/>
      <c r="L2073" s="1"/>
      <c r="O2073" s="475"/>
      <c r="P2073" s="475"/>
      <c r="Q2073" s="475"/>
      <c r="R2073" s="475"/>
      <c r="S2073" s="475"/>
      <c r="T2073" s="475"/>
      <c r="U2073" s="475"/>
      <c r="V2073" s="475"/>
      <c r="W2073" s="475"/>
    </row>
    <row r="2074" spans="2:23" s="97" customFormat="1">
      <c r="B2074" s="96"/>
      <c r="H2074" s="96"/>
      <c r="J2074" s="1"/>
      <c r="K2074" s="1"/>
      <c r="L2074" s="1"/>
      <c r="O2074" s="475"/>
      <c r="P2074" s="475"/>
      <c r="Q2074" s="475"/>
      <c r="R2074" s="475"/>
      <c r="S2074" s="475"/>
      <c r="T2074" s="475"/>
      <c r="U2074" s="475"/>
      <c r="V2074" s="475"/>
      <c r="W2074" s="475"/>
    </row>
    <row r="2075" spans="2:23" s="97" customFormat="1">
      <c r="B2075" s="96"/>
      <c r="H2075" s="96"/>
      <c r="J2075" s="1"/>
      <c r="K2075" s="1"/>
      <c r="L2075" s="1"/>
      <c r="O2075" s="475"/>
      <c r="P2075" s="475"/>
      <c r="Q2075" s="475"/>
      <c r="R2075" s="475"/>
      <c r="S2075" s="475"/>
      <c r="T2075" s="475"/>
      <c r="U2075" s="475"/>
      <c r="V2075" s="475"/>
      <c r="W2075" s="475"/>
    </row>
    <row r="2076" spans="2:23" s="97" customFormat="1">
      <c r="B2076" s="96"/>
      <c r="H2076" s="96"/>
      <c r="J2076" s="1"/>
      <c r="K2076" s="1"/>
      <c r="L2076" s="1"/>
      <c r="O2076" s="475"/>
      <c r="P2076" s="475"/>
      <c r="Q2076" s="475"/>
      <c r="R2076" s="475"/>
      <c r="S2076" s="475"/>
      <c r="T2076" s="475"/>
      <c r="U2076" s="475"/>
      <c r="V2076" s="475"/>
      <c r="W2076" s="475"/>
    </row>
    <row r="2077" spans="2:23" s="97" customFormat="1">
      <c r="B2077" s="96"/>
      <c r="H2077" s="96"/>
      <c r="J2077" s="1"/>
      <c r="K2077" s="1"/>
      <c r="L2077" s="1"/>
      <c r="O2077" s="475"/>
      <c r="P2077" s="475"/>
      <c r="Q2077" s="475"/>
      <c r="R2077" s="475"/>
      <c r="S2077" s="475"/>
      <c r="T2077" s="475"/>
      <c r="U2077" s="475"/>
      <c r="V2077" s="475"/>
      <c r="W2077" s="475"/>
    </row>
    <row r="2078" spans="2:23" s="97" customFormat="1">
      <c r="B2078" s="96"/>
      <c r="H2078" s="96"/>
      <c r="J2078" s="1"/>
      <c r="K2078" s="1"/>
      <c r="L2078" s="1"/>
      <c r="O2078" s="475"/>
      <c r="P2078" s="475"/>
      <c r="Q2078" s="475"/>
      <c r="R2078" s="475"/>
      <c r="S2078" s="475"/>
      <c r="T2078" s="475"/>
      <c r="U2078" s="475"/>
      <c r="V2078" s="475"/>
      <c r="W2078" s="475"/>
    </row>
    <row r="2079" spans="2:23" s="97" customFormat="1">
      <c r="B2079" s="96"/>
      <c r="H2079" s="96"/>
      <c r="J2079" s="1"/>
      <c r="K2079" s="1"/>
      <c r="L2079" s="1"/>
      <c r="O2079" s="475"/>
      <c r="P2079" s="475"/>
      <c r="Q2079" s="475"/>
      <c r="R2079" s="475"/>
      <c r="S2079" s="475"/>
      <c r="T2079" s="475"/>
      <c r="U2079" s="475"/>
      <c r="V2079" s="475"/>
      <c r="W2079" s="475"/>
    </row>
    <row r="2080" spans="2:23" s="97" customFormat="1">
      <c r="B2080" s="96"/>
      <c r="H2080" s="96"/>
      <c r="J2080" s="1"/>
      <c r="K2080" s="1"/>
      <c r="L2080" s="1"/>
      <c r="O2080" s="475"/>
      <c r="P2080" s="475"/>
      <c r="Q2080" s="475"/>
      <c r="R2080" s="475"/>
      <c r="S2080" s="475"/>
      <c r="T2080" s="475"/>
      <c r="U2080" s="475"/>
      <c r="V2080" s="475"/>
      <c r="W2080" s="475"/>
    </row>
    <row r="2081" spans="2:23" s="97" customFormat="1">
      <c r="B2081" s="96"/>
      <c r="H2081" s="96"/>
      <c r="J2081" s="1"/>
      <c r="K2081" s="1"/>
      <c r="L2081" s="1"/>
      <c r="O2081" s="475"/>
      <c r="P2081" s="475"/>
      <c r="Q2081" s="475"/>
      <c r="R2081" s="475"/>
      <c r="S2081" s="475"/>
      <c r="T2081" s="475"/>
      <c r="U2081" s="475"/>
      <c r="V2081" s="475"/>
      <c r="W2081" s="475"/>
    </row>
    <row r="2082" spans="2:23" s="97" customFormat="1">
      <c r="B2082" s="96"/>
      <c r="H2082" s="96"/>
      <c r="J2082" s="1"/>
      <c r="K2082" s="1"/>
      <c r="L2082" s="1"/>
      <c r="O2082" s="475"/>
      <c r="P2082" s="475"/>
      <c r="Q2082" s="475"/>
      <c r="R2082" s="475"/>
      <c r="S2082" s="475"/>
      <c r="T2082" s="475"/>
      <c r="U2082" s="475"/>
      <c r="V2082" s="475"/>
      <c r="W2082" s="475"/>
    </row>
    <row r="2083" spans="2:23" s="97" customFormat="1">
      <c r="B2083" s="96"/>
      <c r="H2083" s="96"/>
      <c r="J2083" s="1"/>
      <c r="K2083" s="1"/>
      <c r="L2083" s="1"/>
      <c r="O2083" s="475"/>
      <c r="P2083" s="475"/>
      <c r="Q2083" s="475"/>
      <c r="R2083" s="475"/>
      <c r="S2083" s="475"/>
      <c r="T2083" s="475"/>
      <c r="U2083" s="475"/>
      <c r="V2083" s="475"/>
      <c r="W2083" s="475"/>
    </row>
    <row r="2084" spans="2:23" s="97" customFormat="1">
      <c r="B2084" s="96"/>
      <c r="H2084" s="96"/>
      <c r="J2084" s="1"/>
      <c r="K2084" s="1"/>
      <c r="L2084" s="1"/>
      <c r="O2084" s="475"/>
      <c r="P2084" s="475"/>
      <c r="Q2084" s="475"/>
      <c r="R2084" s="475"/>
      <c r="S2084" s="475"/>
      <c r="T2084" s="475"/>
      <c r="U2084" s="475"/>
      <c r="V2084" s="475"/>
      <c r="W2084" s="475"/>
    </row>
    <row r="2085" spans="2:23" s="97" customFormat="1">
      <c r="B2085" s="96"/>
      <c r="H2085" s="96"/>
      <c r="J2085" s="1"/>
      <c r="K2085" s="1"/>
      <c r="L2085" s="1"/>
      <c r="O2085" s="475"/>
      <c r="P2085" s="475"/>
      <c r="Q2085" s="475"/>
      <c r="R2085" s="475"/>
      <c r="S2085" s="475"/>
      <c r="T2085" s="475"/>
      <c r="U2085" s="475"/>
      <c r="V2085" s="475"/>
      <c r="W2085" s="475"/>
    </row>
    <row r="2086" spans="2:23" s="97" customFormat="1">
      <c r="B2086" s="96"/>
      <c r="H2086" s="96"/>
      <c r="J2086" s="1"/>
      <c r="K2086" s="1"/>
      <c r="L2086" s="1"/>
      <c r="O2086" s="475"/>
      <c r="P2086" s="475"/>
      <c r="Q2086" s="475"/>
      <c r="R2086" s="475"/>
      <c r="S2086" s="475"/>
      <c r="T2086" s="475"/>
      <c r="U2086" s="475"/>
      <c r="V2086" s="475"/>
      <c r="W2086" s="475"/>
    </row>
    <row r="2087" spans="2:23" s="97" customFormat="1">
      <c r="B2087" s="96"/>
      <c r="H2087" s="96"/>
      <c r="J2087" s="1"/>
      <c r="K2087" s="1"/>
      <c r="L2087" s="1"/>
      <c r="O2087" s="475"/>
      <c r="P2087" s="475"/>
      <c r="Q2087" s="475"/>
      <c r="R2087" s="475"/>
      <c r="S2087" s="475"/>
      <c r="T2087" s="475"/>
      <c r="U2087" s="475"/>
      <c r="V2087" s="475"/>
      <c r="W2087" s="475"/>
    </row>
    <row r="2088" spans="2:23" s="97" customFormat="1">
      <c r="B2088" s="96"/>
      <c r="H2088" s="96"/>
      <c r="J2088" s="1"/>
      <c r="K2088" s="1"/>
      <c r="L2088" s="1"/>
      <c r="O2088" s="475"/>
      <c r="P2088" s="475"/>
      <c r="Q2088" s="475"/>
      <c r="R2088" s="475"/>
      <c r="S2088" s="475"/>
      <c r="T2088" s="475"/>
      <c r="U2088" s="475"/>
      <c r="V2088" s="475"/>
      <c r="W2088" s="475"/>
    </row>
    <row r="2089" spans="2:23" s="97" customFormat="1">
      <c r="B2089" s="96"/>
      <c r="H2089" s="96"/>
      <c r="J2089" s="1"/>
      <c r="K2089" s="1"/>
      <c r="L2089" s="1"/>
      <c r="O2089" s="475"/>
      <c r="P2089" s="475"/>
      <c r="Q2089" s="475"/>
      <c r="R2089" s="475"/>
      <c r="S2089" s="475"/>
      <c r="T2089" s="475"/>
      <c r="U2089" s="475"/>
      <c r="V2089" s="475"/>
      <c r="W2089" s="475"/>
    </row>
    <row r="2090" spans="2:23" s="97" customFormat="1">
      <c r="B2090" s="96"/>
      <c r="H2090" s="96"/>
      <c r="J2090" s="1"/>
      <c r="K2090" s="1"/>
      <c r="L2090" s="1"/>
      <c r="O2090" s="475"/>
      <c r="P2090" s="475"/>
      <c r="Q2090" s="475"/>
      <c r="R2090" s="475"/>
      <c r="S2090" s="475"/>
      <c r="T2090" s="475"/>
      <c r="U2090" s="475"/>
      <c r="V2090" s="475"/>
      <c r="W2090" s="475"/>
    </row>
    <row r="2091" spans="2:23" s="97" customFormat="1">
      <c r="B2091" s="96"/>
      <c r="H2091" s="96"/>
      <c r="J2091" s="1"/>
      <c r="K2091" s="1"/>
      <c r="L2091" s="1"/>
      <c r="O2091" s="475"/>
      <c r="P2091" s="475"/>
      <c r="Q2091" s="475"/>
      <c r="R2091" s="475"/>
      <c r="S2091" s="475"/>
      <c r="T2091" s="475"/>
      <c r="U2091" s="475"/>
      <c r="V2091" s="475"/>
      <c r="W2091" s="475"/>
    </row>
    <row r="2092" spans="2:23" s="97" customFormat="1">
      <c r="B2092" s="96"/>
      <c r="H2092" s="96"/>
      <c r="J2092" s="1"/>
      <c r="K2092" s="1"/>
      <c r="L2092" s="1"/>
      <c r="O2092" s="475"/>
      <c r="P2092" s="475"/>
      <c r="Q2092" s="475"/>
      <c r="R2092" s="475"/>
      <c r="S2092" s="475"/>
      <c r="T2092" s="475"/>
      <c r="U2092" s="475"/>
      <c r="V2092" s="475"/>
      <c r="W2092" s="475"/>
    </row>
    <row r="2093" spans="2:23" s="97" customFormat="1">
      <c r="B2093" s="96"/>
      <c r="H2093" s="96"/>
      <c r="J2093" s="1"/>
      <c r="K2093" s="1"/>
      <c r="L2093" s="1"/>
      <c r="O2093" s="475"/>
      <c r="P2093" s="475"/>
      <c r="Q2093" s="475"/>
      <c r="R2093" s="475"/>
      <c r="S2093" s="475"/>
      <c r="T2093" s="475"/>
      <c r="U2093" s="475"/>
      <c r="V2093" s="475"/>
      <c r="W2093" s="475"/>
    </row>
    <row r="2094" spans="2:23" s="97" customFormat="1">
      <c r="B2094" s="96"/>
      <c r="H2094" s="96"/>
      <c r="J2094" s="1"/>
      <c r="K2094" s="1"/>
      <c r="L2094" s="1"/>
      <c r="O2094" s="475"/>
      <c r="P2094" s="475"/>
      <c r="Q2094" s="475"/>
      <c r="R2094" s="475"/>
      <c r="S2094" s="475"/>
      <c r="T2094" s="475"/>
      <c r="U2094" s="475"/>
      <c r="V2094" s="475"/>
      <c r="W2094" s="475"/>
    </row>
    <row r="2095" spans="2:23" s="97" customFormat="1">
      <c r="B2095" s="96"/>
      <c r="H2095" s="96"/>
      <c r="J2095" s="1"/>
      <c r="K2095" s="1"/>
      <c r="L2095" s="1"/>
      <c r="O2095" s="475"/>
      <c r="P2095" s="475"/>
      <c r="Q2095" s="475"/>
      <c r="R2095" s="475"/>
      <c r="S2095" s="475"/>
      <c r="T2095" s="475"/>
      <c r="U2095" s="475"/>
      <c r="V2095" s="475"/>
      <c r="W2095" s="475"/>
    </row>
    <row r="2096" spans="2:23" s="97" customFormat="1">
      <c r="B2096" s="96"/>
      <c r="H2096" s="96"/>
      <c r="J2096" s="1"/>
      <c r="K2096" s="1"/>
      <c r="L2096" s="1"/>
      <c r="O2096" s="475"/>
      <c r="P2096" s="475"/>
      <c r="Q2096" s="475"/>
      <c r="R2096" s="475"/>
      <c r="S2096" s="475"/>
      <c r="T2096" s="475"/>
      <c r="U2096" s="475"/>
      <c r="V2096" s="475"/>
      <c r="W2096" s="475"/>
    </row>
    <row r="2097" spans="2:23" s="97" customFormat="1">
      <c r="B2097" s="96"/>
      <c r="H2097" s="96"/>
      <c r="J2097" s="1"/>
      <c r="K2097" s="1"/>
      <c r="L2097" s="1"/>
      <c r="O2097" s="475"/>
      <c r="P2097" s="475"/>
      <c r="Q2097" s="475"/>
      <c r="R2097" s="475"/>
      <c r="S2097" s="475"/>
      <c r="T2097" s="475"/>
      <c r="U2097" s="475"/>
      <c r="V2097" s="475"/>
      <c r="W2097" s="475"/>
    </row>
    <row r="2098" spans="2:23" s="97" customFormat="1">
      <c r="B2098" s="96"/>
      <c r="H2098" s="96"/>
      <c r="J2098" s="1"/>
      <c r="K2098" s="1"/>
      <c r="L2098" s="1"/>
      <c r="O2098" s="475"/>
      <c r="P2098" s="475"/>
      <c r="Q2098" s="475"/>
      <c r="R2098" s="475"/>
      <c r="S2098" s="475"/>
      <c r="T2098" s="475"/>
      <c r="U2098" s="475"/>
      <c r="V2098" s="475"/>
      <c r="W2098" s="475"/>
    </row>
    <row r="2099" spans="2:23" s="97" customFormat="1">
      <c r="B2099" s="96"/>
      <c r="H2099" s="96"/>
      <c r="J2099" s="1"/>
      <c r="K2099" s="1"/>
      <c r="L2099" s="1"/>
      <c r="O2099" s="475"/>
      <c r="P2099" s="475"/>
      <c r="Q2099" s="475"/>
      <c r="R2099" s="475"/>
      <c r="S2099" s="475"/>
      <c r="T2099" s="475"/>
      <c r="U2099" s="475"/>
      <c r="V2099" s="475"/>
      <c r="W2099" s="475"/>
    </row>
    <row r="2100" spans="2:23" s="97" customFormat="1">
      <c r="B2100" s="96"/>
      <c r="H2100" s="96"/>
      <c r="J2100" s="1"/>
      <c r="K2100" s="1"/>
      <c r="L2100" s="1"/>
      <c r="O2100" s="475"/>
      <c r="P2100" s="475"/>
      <c r="Q2100" s="475"/>
      <c r="R2100" s="475"/>
      <c r="S2100" s="475"/>
      <c r="T2100" s="475"/>
      <c r="U2100" s="475"/>
      <c r="V2100" s="475"/>
      <c r="W2100" s="475"/>
    </row>
    <row r="2101" spans="2:23" s="97" customFormat="1">
      <c r="B2101" s="96"/>
      <c r="H2101" s="96"/>
      <c r="J2101" s="1"/>
      <c r="K2101" s="1"/>
      <c r="L2101" s="1"/>
      <c r="O2101" s="475"/>
      <c r="P2101" s="475"/>
      <c r="Q2101" s="475"/>
      <c r="R2101" s="475"/>
      <c r="S2101" s="475"/>
      <c r="T2101" s="475"/>
      <c r="U2101" s="475"/>
      <c r="V2101" s="475"/>
      <c r="W2101" s="475"/>
    </row>
    <row r="2102" spans="2:23" s="97" customFormat="1">
      <c r="B2102" s="96"/>
      <c r="H2102" s="96"/>
      <c r="J2102" s="1"/>
      <c r="K2102" s="1"/>
      <c r="L2102" s="1"/>
      <c r="O2102" s="475"/>
      <c r="P2102" s="475"/>
      <c r="Q2102" s="475"/>
      <c r="R2102" s="475"/>
      <c r="S2102" s="475"/>
      <c r="T2102" s="475"/>
      <c r="U2102" s="475"/>
      <c r="V2102" s="475"/>
      <c r="W2102" s="475"/>
    </row>
    <row r="2103" spans="2:23" s="97" customFormat="1">
      <c r="B2103" s="96"/>
      <c r="H2103" s="96"/>
      <c r="J2103" s="1"/>
      <c r="K2103" s="1"/>
      <c r="L2103" s="1"/>
      <c r="O2103" s="475"/>
      <c r="P2103" s="475"/>
      <c r="Q2103" s="475"/>
      <c r="R2103" s="475"/>
      <c r="S2103" s="475"/>
      <c r="T2103" s="475"/>
      <c r="U2103" s="475"/>
      <c r="V2103" s="475"/>
      <c r="W2103" s="475"/>
    </row>
    <row r="2104" spans="2:23" s="97" customFormat="1">
      <c r="B2104" s="96"/>
      <c r="H2104" s="96"/>
      <c r="J2104" s="1"/>
      <c r="K2104" s="1"/>
      <c r="L2104" s="1"/>
      <c r="O2104" s="475"/>
      <c r="P2104" s="475"/>
      <c r="Q2104" s="475"/>
      <c r="R2104" s="475"/>
      <c r="S2104" s="475"/>
      <c r="T2104" s="475"/>
      <c r="U2104" s="475"/>
      <c r="V2104" s="475"/>
      <c r="W2104" s="475"/>
    </row>
    <row r="2105" spans="2:23" s="97" customFormat="1">
      <c r="B2105" s="96"/>
      <c r="H2105" s="96"/>
      <c r="J2105" s="1"/>
      <c r="K2105" s="1"/>
      <c r="L2105" s="1"/>
      <c r="O2105" s="475"/>
      <c r="P2105" s="475"/>
      <c r="Q2105" s="475"/>
      <c r="R2105" s="475"/>
      <c r="S2105" s="475"/>
      <c r="T2105" s="475"/>
      <c r="U2105" s="475"/>
      <c r="V2105" s="475"/>
      <c r="W2105" s="475"/>
    </row>
    <row r="2106" spans="2:23" s="97" customFormat="1">
      <c r="B2106" s="96"/>
      <c r="H2106" s="96"/>
      <c r="J2106" s="1"/>
      <c r="K2106" s="1"/>
      <c r="L2106" s="1"/>
      <c r="O2106" s="475"/>
      <c r="P2106" s="475"/>
      <c r="Q2106" s="475"/>
      <c r="R2106" s="475"/>
      <c r="S2106" s="475"/>
      <c r="T2106" s="475"/>
      <c r="U2106" s="475"/>
      <c r="V2106" s="475"/>
      <c r="W2106" s="475"/>
    </row>
    <row r="2107" spans="2:23" s="97" customFormat="1">
      <c r="B2107" s="96"/>
      <c r="H2107" s="96"/>
      <c r="J2107" s="1"/>
      <c r="K2107" s="1"/>
      <c r="L2107" s="1"/>
      <c r="O2107" s="475"/>
      <c r="P2107" s="475"/>
      <c r="Q2107" s="475"/>
      <c r="R2107" s="475"/>
      <c r="S2107" s="475"/>
      <c r="T2107" s="475"/>
      <c r="U2107" s="475"/>
      <c r="V2107" s="475"/>
      <c r="W2107" s="475"/>
    </row>
    <row r="2108" spans="2:23" s="97" customFormat="1">
      <c r="B2108" s="96"/>
      <c r="H2108" s="96"/>
      <c r="J2108" s="1"/>
      <c r="K2108" s="1"/>
      <c r="L2108" s="1"/>
      <c r="O2108" s="475"/>
      <c r="P2108" s="475"/>
      <c r="Q2108" s="475"/>
      <c r="R2108" s="475"/>
      <c r="S2108" s="475"/>
      <c r="T2108" s="475"/>
      <c r="U2108" s="475"/>
      <c r="V2108" s="475"/>
      <c r="W2108" s="475"/>
    </row>
    <row r="2109" spans="2:23" s="97" customFormat="1">
      <c r="B2109" s="96"/>
      <c r="H2109" s="96"/>
      <c r="J2109" s="1"/>
      <c r="K2109" s="1"/>
      <c r="L2109" s="1"/>
      <c r="O2109" s="475"/>
      <c r="P2109" s="475"/>
      <c r="Q2109" s="475"/>
      <c r="R2109" s="475"/>
      <c r="S2109" s="475"/>
      <c r="T2109" s="475"/>
      <c r="U2109" s="475"/>
      <c r="V2109" s="475"/>
      <c r="W2109" s="475"/>
    </row>
    <row r="2110" spans="2:23" s="97" customFormat="1">
      <c r="B2110" s="96"/>
      <c r="H2110" s="96"/>
      <c r="J2110" s="1"/>
      <c r="K2110" s="1"/>
      <c r="L2110" s="1"/>
      <c r="O2110" s="475"/>
      <c r="P2110" s="475"/>
      <c r="Q2110" s="475"/>
      <c r="R2110" s="475"/>
      <c r="S2110" s="475"/>
      <c r="T2110" s="475"/>
      <c r="U2110" s="475"/>
      <c r="V2110" s="475"/>
      <c r="W2110" s="475"/>
    </row>
    <row r="2111" spans="2:23" s="97" customFormat="1">
      <c r="B2111" s="96"/>
      <c r="H2111" s="96"/>
      <c r="J2111" s="1"/>
      <c r="K2111" s="1"/>
      <c r="L2111" s="1"/>
      <c r="O2111" s="475"/>
      <c r="P2111" s="475"/>
      <c r="Q2111" s="475"/>
      <c r="R2111" s="475"/>
      <c r="S2111" s="475"/>
      <c r="T2111" s="475"/>
      <c r="U2111" s="475"/>
      <c r="V2111" s="475"/>
      <c r="W2111" s="475"/>
    </row>
    <row r="2112" spans="2:23" s="97" customFormat="1">
      <c r="B2112" s="96"/>
      <c r="H2112" s="96"/>
      <c r="J2112" s="1"/>
      <c r="K2112" s="1"/>
      <c r="L2112" s="1"/>
      <c r="O2112" s="475"/>
      <c r="P2112" s="475"/>
      <c r="Q2112" s="475"/>
      <c r="R2112" s="475"/>
      <c r="S2112" s="475"/>
      <c r="T2112" s="475"/>
      <c r="U2112" s="475"/>
      <c r="V2112" s="475"/>
      <c r="W2112" s="475"/>
    </row>
    <row r="2113" spans="2:23" s="97" customFormat="1">
      <c r="B2113" s="96"/>
      <c r="H2113" s="96"/>
      <c r="J2113" s="1"/>
      <c r="K2113" s="1"/>
      <c r="L2113" s="1"/>
      <c r="O2113" s="475"/>
      <c r="P2113" s="475"/>
      <c r="Q2113" s="475"/>
      <c r="R2113" s="475"/>
      <c r="S2113" s="475"/>
      <c r="T2113" s="475"/>
      <c r="U2113" s="475"/>
      <c r="V2113" s="475"/>
      <c r="W2113" s="475"/>
    </row>
    <row r="2114" spans="2:23" s="97" customFormat="1">
      <c r="B2114" s="96"/>
      <c r="H2114" s="96"/>
      <c r="J2114" s="1"/>
      <c r="K2114" s="1"/>
      <c r="L2114" s="1"/>
      <c r="O2114" s="475"/>
      <c r="P2114" s="475"/>
      <c r="Q2114" s="475"/>
      <c r="R2114" s="475"/>
      <c r="S2114" s="475"/>
      <c r="T2114" s="475"/>
      <c r="U2114" s="475"/>
      <c r="V2114" s="475"/>
      <c r="W2114" s="475"/>
    </row>
    <row r="2115" spans="2:23" s="97" customFormat="1">
      <c r="B2115" s="96"/>
      <c r="H2115" s="96"/>
      <c r="J2115" s="1"/>
      <c r="K2115" s="1"/>
      <c r="L2115" s="1"/>
      <c r="O2115" s="475"/>
      <c r="P2115" s="475"/>
      <c r="Q2115" s="475"/>
      <c r="R2115" s="475"/>
      <c r="S2115" s="475"/>
      <c r="T2115" s="475"/>
      <c r="U2115" s="475"/>
      <c r="V2115" s="475"/>
      <c r="W2115" s="475"/>
    </row>
    <row r="2116" spans="2:23" s="97" customFormat="1">
      <c r="B2116" s="96"/>
      <c r="H2116" s="96"/>
      <c r="J2116" s="1"/>
      <c r="K2116" s="1"/>
      <c r="L2116" s="1"/>
      <c r="O2116" s="475"/>
      <c r="P2116" s="475"/>
      <c r="Q2116" s="475"/>
      <c r="R2116" s="475"/>
      <c r="S2116" s="475"/>
      <c r="T2116" s="475"/>
      <c r="U2116" s="475"/>
      <c r="V2116" s="475"/>
      <c r="W2116" s="475"/>
    </row>
    <row r="2117" spans="2:23" s="97" customFormat="1">
      <c r="B2117" s="96"/>
      <c r="H2117" s="96"/>
      <c r="J2117" s="1"/>
      <c r="K2117" s="1"/>
      <c r="L2117" s="1"/>
      <c r="O2117" s="475"/>
      <c r="P2117" s="475"/>
      <c r="Q2117" s="475"/>
      <c r="R2117" s="475"/>
      <c r="S2117" s="475"/>
      <c r="T2117" s="475"/>
      <c r="U2117" s="475"/>
      <c r="V2117" s="475"/>
      <c r="W2117" s="475"/>
    </row>
    <row r="2118" spans="2:23" s="97" customFormat="1">
      <c r="B2118" s="96"/>
      <c r="H2118" s="96"/>
      <c r="J2118" s="1"/>
      <c r="K2118" s="1"/>
      <c r="L2118" s="1"/>
      <c r="O2118" s="475"/>
      <c r="P2118" s="475"/>
      <c r="Q2118" s="475"/>
      <c r="R2118" s="475"/>
      <c r="S2118" s="475"/>
      <c r="T2118" s="475"/>
      <c r="U2118" s="475"/>
      <c r="V2118" s="475"/>
      <c r="W2118" s="475"/>
    </row>
    <row r="2119" spans="2:23" s="97" customFormat="1">
      <c r="B2119" s="96"/>
      <c r="H2119" s="96"/>
      <c r="J2119" s="1"/>
      <c r="K2119" s="1"/>
      <c r="L2119" s="1"/>
      <c r="O2119" s="475"/>
      <c r="P2119" s="475"/>
      <c r="Q2119" s="475"/>
      <c r="R2119" s="475"/>
      <c r="S2119" s="475"/>
      <c r="T2119" s="475"/>
      <c r="U2119" s="475"/>
      <c r="V2119" s="475"/>
      <c r="W2119" s="475"/>
    </row>
    <row r="2120" spans="2:23" s="97" customFormat="1">
      <c r="B2120" s="96"/>
      <c r="H2120" s="96"/>
      <c r="J2120" s="1"/>
      <c r="K2120" s="1"/>
      <c r="L2120" s="1"/>
      <c r="O2120" s="475"/>
      <c r="P2120" s="475"/>
      <c r="Q2120" s="475"/>
      <c r="R2120" s="475"/>
      <c r="S2120" s="475"/>
      <c r="T2120" s="475"/>
      <c r="U2120" s="475"/>
      <c r="V2120" s="475"/>
      <c r="W2120" s="475"/>
    </row>
    <row r="2121" spans="2:23" s="97" customFormat="1">
      <c r="B2121" s="96"/>
      <c r="H2121" s="96"/>
      <c r="J2121" s="1"/>
      <c r="K2121" s="1"/>
      <c r="L2121" s="1"/>
      <c r="O2121" s="475"/>
      <c r="P2121" s="475"/>
      <c r="Q2121" s="475"/>
      <c r="R2121" s="475"/>
      <c r="S2121" s="475"/>
      <c r="T2121" s="475"/>
      <c r="U2121" s="475"/>
      <c r="V2121" s="475"/>
      <c r="W2121" s="475"/>
    </row>
    <row r="2122" spans="2:23" s="97" customFormat="1">
      <c r="B2122" s="96"/>
      <c r="H2122" s="96"/>
      <c r="J2122" s="1"/>
      <c r="K2122" s="1"/>
      <c r="L2122" s="1"/>
      <c r="O2122" s="475"/>
      <c r="P2122" s="475"/>
      <c r="Q2122" s="475"/>
      <c r="R2122" s="475"/>
      <c r="S2122" s="475"/>
      <c r="T2122" s="475"/>
      <c r="U2122" s="475"/>
      <c r="V2122" s="475"/>
      <c r="W2122" s="475"/>
    </row>
    <row r="2123" spans="2:23" s="97" customFormat="1">
      <c r="B2123" s="96"/>
      <c r="H2123" s="96"/>
      <c r="J2123" s="1"/>
      <c r="K2123" s="1"/>
      <c r="L2123" s="1"/>
      <c r="O2123" s="475"/>
      <c r="P2123" s="475"/>
      <c r="Q2123" s="475"/>
      <c r="R2123" s="475"/>
      <c r="S2123" s="475"/>
      <c r="T2123" s="475"/>
      <c r="U2123" s="475"/>
      <c r="V2123" s="475"/>
      <c r="W2123" s="475"/>
    </row>
    <row r="2124" spans="2:23" s="97" customFormat="1">
      <c r="B2124" s="96"/>
      <c r="H2124" s="96"/>
      <c r="J2124" s="1"/>
      <c r="K2124" s="1"/>
      <c r="L2124" s="1"/>
      <c r="O2124" s="475"/>
      <c r="P2124" s="475"/>
      <c r="Q2124" s="475"/>
      <c r="R2124" s="475"/>
      <c r="S2124" s="475"/>
      <c r="T2124" s="475"/>
      <c r="U2124" s="475"/>
      <c r="V2124" s="475"/>
      <c r="W2124" s="475"/>
    </row>
    <row r="2125" spans="2:23" s="97" customFormat="1">
      <c r="B2125" s="96"/>
      <c r="H2125" s="96"/>
      <c r="J2125" s="1"/>
      <c r="K2125" s="1"/>
      <c r="L2125" s="1"/>
      <c r="O2125" s="475"/>
      <c r="P2125" s="475"/>
      <c r="Q2125" s="475"/>
      <c r="R2125" s="475"/>
      <c r="S2125" s="475"/>
      <c r="T2125" s="475"/>
      <c r="U2125" s="475"/>
      <c r="V2125" s="475"/>
      <c r="W2125" s="475"/>
    </row>
    <row r="2126" spans="2:23" s="97" customFormat="1">
      <c r="B2126" s="96"/>
      <c r="H2126" s="96"/>
      <c r="J2126" s="1"/>
      <c r="K2126" s="1"/>
      <c r="L2126" s="1"/>
      <c r="O2126" s="475"/>
      <c r="P2126" s="475"/>
      <c r="Q2126" s="475"/>
      <c r="R2126" s="475"/>
      <c r="S2126" s="475"/>
      <c r="T2126" s="475"/>
      <c r="U2126" s="475"/>
      <c r="V2126" s="475"/>
      <c r="W2126" s="475"/>
    </row>
    <row r="2127" spans="2:23" s="97" customFormat="1">
      <c r="B2127" s="96"/>
      <c r="H2127" s="96"/>
      <c r="J2127" s="1"/>
      <c r="K2127" s="1"/>
      <c r="L2127" s="1"/>
      <c r="O2127" s="475"/>
      <c r="P2127" s="475"/>
      <c r="Q2127" s="475"/>
      <c r="R2127" s="475"/>
      <c r="S2127" s="475"/>
      <c r="T2127" s="475"/>
      <c r="U2127" s="475"/>
      <c r="V2127" s="475"/>
      <c r="W2127" s="475"/>
    </row>
    <row r="2128" spans="2:23" s="97" customFormat="1">
      <c r="B2128" s="96"/>
      <c r="H2128" s="96"/>
      <c r="J2128" s="1"/>
      <c r="K2128" s="1"/>
      <c r="L2128" s="1"/>
      <c r="O2128" s="475"/>
      <c r="P2128" s="475"/>
      <c r="Q2128" s="475"/>
      <c r="R2128" s="475"/>
      <c r="S2128" s="475"/>
      <c r="T2128" s="475"/>
      <c r="U2128" s="475"/>
      <c r="V2128" s="475"/>
      <c r="W2128" s="475"/>
    </row>
    <row r="2129" spans="2:23" s="97" customFormat="1">
      <c r="B2129" s="96"/>
      <c r="H2129" s="96"/>
      <c r="J2129" s="1"/>
      <c r="K2129" s="1"/>
      <c r="L2129" s="1"/>
      <c r="O2129" s="475"/>
      <c r="P2129" s="475"/>
      <c r="Q2129" s="475"/>
      <c r="R2129" s="475"/>
      <c r="S2129" s="475"/>
      <c r="T2129" s="475"/>
      <c r="U2129" s="475"/>
      <c r="V2129" s="475"/>
      <c r="W2129" s="475"/>
    </row>
    <row r="2130" spans="2:23" s="97" customFormat="1">
      <c r="B2130" s="96"/>
      <c r="H2130" s="96"/>
      <c r="J2130" s="1"/>
      <c r="K2130" s="1"/>
      <c r="L2130" s="1"/>
      <c r="O2130" s="475"/>
      <c r="P2130" s="475"/>
      <c r="Q2130" s="475"/>
      <c r="R2130" s="475"/>
      <c r="S2130" s="475"/>
      <c r="T2130" s="475"/>
      <c r="U2130" s="475"/>
      <c r="V2130" s="475"/>
      <c r="W2130" s="475"/>
    </row>
    <row r="2131" spans="2:23" s="97" customFormat="1">
      <c r="B2131" s="96"/>
      <c r="H2131" s="96"/>
      <c r="J2131" s="1"/>
      <c r="K2131" s="1"/>
      <c r="L2131" s="1"/>
      <c r="O2131" s="475"/>
      <c r="P2131" s="475"/>
      <c r="Q2131" s="475"/>
      <c r="R2131" s="475"/>
      <c r="S2131" s="475"/>
      <c r="T2131" s="475"/>
      <c r="U2131" s="475"/>
      <c r="V2131" s="475"/>
      <c r="W2131" s="475"/>
    </row>
    <row r="2132" spans="2:23" s="97" customFormat="1">
      <c r="B2132" s="96"/>
      <c r="H2132" s="96"/>
      <c r="J2132" s="1"/>
      <c r="K2132" s="1"/>
      <c r="L2132" s="1"/>
      <c r="O2132" s="475"/>
      <c r="P2132" s="475"/>
      <c r="Q2132" s="475"/>
      <c r="R2132" s="475"/>
      <c r="S2132" s="475"/>
      <c r="T2132" s="475"/>
      <c r="U2132" s="475"/>
      <c r="V2132" s="475"/>
      <c r="W2132" s="475"/>
    </row>
    <row r="2133" spans="2:23" s="97" customFormat="1">
      <c r="B2133" s="96"/>
      <c r="H2133" s="96"/>
      <c r="J2133" s="1"/>
      <c r="K2133" s="1"/>
      <c r="L2133" s="1"/>
      <c r="O2133" s="475"/>
      <c r="P2133" s="475"/>
      <c r="Q2133" s="475"/>
      <c r="R2133" s="475"/>
      <c r="S2133" s="475"/>
      <c r="T2133" s="475"/>
      <c r="U2133" s="475"/>
      <c r="V2133" s="475"/>
      <c r="W2133" s="475"/>
    </row>
    <row r="2134" spans="2:23" s="97" customFormat="1">
      <c r="B2134" s="96"/>
      <c r="H2134" s="96"/>
      <c r="J2134" s="1"/>
      <c r="K2134" s="1"/>
      <c r="L2134" s="1"/>
      <c r="O2134" s="475"/>
      <c r="P2134" s="475"/>
      <c r="Q2134" s="475"/>
      <c r="R2134" s="475"/>
      <c r="S2134" s="475"/>
      <c r="T2134" s="475"/>
      <c r="U2134" s="475"/>
      <c r="V2134" s="475"/>
      <c r="W2134" s="475"/>
    </row>
    <row r="2135" spans="2:23" s="97" customFormat="1">
      <c r="B2135" s="96"/>
      <c r="H2135" s="96"/>
      <c r="J2135" s="1"/>
      <c r="K2135" s="1"/>
      <c r="L2135" s="1"/>
      <c r="O2135" s="475"/>
      <c r="P2135" s="475"/>
      <c r="Q2135" s="475"/>
      <c r="R2135" s="475"/>
      <c r="S2135" s="475"/>
      <c r="T2135" s="475"/>
      <c r="U2135" s="475"/>
      <c r="V2135" s="475"/>
      <c r="W2135" s="475"/>
    </row>
    <row r="2136" spans="2:23" s="97" customFormat="1">
      <c r="B2136" s="96"/>
      <c r="H2136" s="96"/>
      <c r="J2136" s="1"/>
      <c r="K2136" s="1"/>
      <c r="L2136" s="1"/>
      <c r="O2136" s="475"/>
      <c r="P2136" s="475"/>
      <c r="Q2136" s="475"/>
      <c r="R2136" s="475"/>
      <c r="S2136" s="475"/>
      <c r="T2136" s="475"/>
      <c r="U2136" s="475"/>
      <c r="V2136" s="475"/>
      <c r="W2136" s="475"/>
    </row>
    <row r="2137" spans="2:23" s="97" customFormat="1">
      <c r="B2137" s="96"/>
      <c r="H2137" s="96"/>
      <c r="J2137" s="1"/>
      <c r="K2137" s="1"/>
      <c r="L2137" s="1"/>
      <c r="O2137" s="475"/>
      <c r="P2137" s="475"/>
      <c r="Q2137" s="475"/>
      <c r="R2137" s="475"/>
      <c r="S2137" s="475"/>
      <c r="T2137" s="475"/>
      <c r="U2137" s="475"/>
      <c r="V2137" s="475"/>
      <c r="W2137" s="475"/>
    </row>
    <row r="2138" spans="2:23" s="97" customFormat="1">
      <c r="B2138" s="96"/>
      <c r="H2138" s="96"/>
      <c r="J2138" s="1"/>
      <c r="K2138" s="1"/>
      <c r="L2138" s="1"/>
      <c r="O2138" s="475"/>
      <c r="P2138" s="475"/>
      <c r="Q2138" s="475"/>
      <c r="R2138" s="475"/>
      <c r="S2138" s="475"/>
      <c r="T2138" s="475"/>
      <c r="U2138" s="475"/>
      <c r="V2138" s="475"/>
      <c r="W2138" s="475"/>
    </row>
    <row r="2139" spans="2:23" s="97" customFormat="1">
      <c r="B2139" s="96"/>
      <c r="H2139" s="96"/>
      <c r="J2139" s="1"/>
      <c r="K2139" s="1"/>
      <c r="L2139" s="1"/>
      <c r="O2139" s="475"/>
      <c r="P2139" s="475"/>
      <c r="Q2139" s="475"/>
      <c r="R2139" s="475"/>
      <c r="S2139" s="475"/>
      <c r="T2139" s="475"/>
      <c r="U2139" s="475"/>
      <c r="V2139" s="475"/>
      <c r="W2139" s="475"/>
    </row>
    <row r="2140" spans="2:23" s="97" customFormat="1">
      <c r="B2140" s="96"/>
      <c r="H2140" s="96"/>
      <c r="J2140" s="1"/>
      <c r="K2140" s="1"/>
      <c r="L2140" s="1"/>
      <c r="O2140" s="475"/>
      <c r="P2140" s="475"/>
      <c r="Q2140" s="475"/>
      <c r="R2140" s="475"/>
      <c r="S2140" s="475"/>
      <c r="T2140" s="475"/>
      <c r="U2140" s="475"/>
      <c r="V2140" s="475"/>
      <c r="W2140" s="475"/>
    </row>
    <row r="2141" spans="2:23" s="97" customFormat="1">
      <c r="B2141" s="96"/>
      <c r="H2141" s="96"/>
      <c r="J2141" s="1"/>
      <c r="K2141" s="1"/>
      <c r="L2141" s="1"/>
      <c r="O2141" s="475"/>
      <c r="P2141" s="475"/>
      <c r="Q2141" s="475"/>
      <c r="R2141" s="475"/>
      <c r="S2141" s="475"/>
      <c r="T2141" s="475"/>
      <c r="U2141" s="475"/>
      <c r="V2141" s="475"/>
      <c r="W2141" s="475"/>
    </row>
    <row r="2142" spans="2:23" s="97" customFormat="1">
      <c r="B2142" s="96"/>
      <c r="H2142" s="96"/>
      <c r="J2142" s="1"/>
      <c r="K2142" s="1"/>
      <c r="L2142" s="1"/>
      <c r="O2142" s="475"/>
      <c r="P2142" s="475"/>
      <c r="Q2142" s="475"/>
      <c r="R2142" s="475"/>
      <c r="S2142" s="475"/>
      <c r="T2142" s="475"/>
      <c r="U2142" s="475"/>
      <c r="V2142" s="475"/>
      <c r="W2142" s="475"/>
    </row>
    <row r="2143" spans="2:23" s="97" customFormat="1">
      <c r="B2143" s="96"/>
      <c r="H2143" s="96"/>
      <c r="J2143" s="1"/>
      <c r="K2143" s="1"/>
      <c r="L2143" s="1"/>
      <c r="O2143" s="475"/>
      <c r="P2143" s="475"/>
      <c r="Q2143" s="475"/>
      <c r="R2143" s="475"/>
      <c r="S2143" s="475"/>
      <c r="T2143" s="475"/>
      <c r="U2143" s="475"/>
      <c r="V2143" s="475"/>
      <c r="W2143" s="475"/>
    </row>
    <row r="2144" spans="2:23" s="97" customFormat="1">
      <c r="B2144" s="96"/>
      <c r="H2144" s="96"/>
      <c r="J2144" s="1"/>
      <c r="K2144" s="1"/>
      <c r="L2144" s="1"/>
      <c r="O2144" s="475"/>
      <c r="P2144" s="475"/>
      <c r="Q2144" s="475"/>
      <c r="R2144" s="475"/>
      <c r="S2144" s="475"/>
      <c r="T2144" s="475"/>
      <c r="U2144" s="475"/>
      <c r="V2144" s="475"/>
      <c r="W2144" s="475"/>
    </row>
    <row r="2145" spans="2:23" s="97" customFormat="1">
      <c r="B2145" s="96"/>
      <c r="H2145" s="96"/>
      <c r="J2145" s="1"/>
      <c r="K2145" s="1"/>
      <c r="L2145" s="1"/>
      <c r="O2145" s="475"/>
      <c r="P2145" s="475"/>
      <c r="Q2145" s="475"/>
      <c r="R2145" s="475"/>
      <c r="S2145" s="475"/>
      <c r="T2145" s="475"/>
      <c r="U2145" s="475"/>
      <c r="V2145" s="475"/>
      <c r="W2145" s="475"/>
    </row>
    <row r="2146" spans="2:23" s="97" customFormat="1">
      <c r="B2146" s="96"/>
      <c r="H2146" s="96"/>
      <c r="J2146" s="1"/>
      <c r="K2146" s="1"/>
      <c r="L2146" s="1"/>
      <c r="O2146" s="475"/>
      <c r="P2146" s="475"/>
      <c r="Q2146" s="475"/>
      <c r="R2146" s="475"/>
      <c r="S2146" s="475"/>
      <c r="T2146" s="475"/>
      <c r="U2146" s="475"/>
      <c r="V2146" s="475"/>
      <c r="W2146" s="475"/>
    </row>
    <row r="2147" spans="2:23" s="97" customFormat="1">
      <c r="B2147" s="96"/>
      <c r="H2147" s="96"/>
      <c r="J2147" s="1"/>
      <c r="K2147" s="1"/>
      <c r="L2147" s="1"/>
      <c r="O2147" s="475"/>
      <c r="P2147" s="475"/>
      <c r="Q2147" s="475"/>
      <c r="R2147" s="475"/>
      <c r="S2147" s="475"/>
      <c r="T2147" s="475"/>
      <c r="U2147" s="475"/>
      <c r="V2147" s="475"/>
      <c r="W2147" s="475"/>
    </row>
    <row r="2148" spans="2:23" s="97" customFormat="1">
      <c r="B2148" s="96"/>
      <c r="H2148" s="96"/>
      <c r="J2148" s="1"/>
      <c r="K2148" s="1"/>
      <c r="L2148" s="1"/>
      <c r="O2148" s="475"/>
      <c r="P2148" s="475"/>
      <c r="Q2148" s="475"/>
      <c r="R2148" s="475"/>
      <c r="S2148" s="475"/>
      <c r="T2148" s="475"/>
      <c r="U2148" s="475"/>
      <c r="V2148" s="475"/>
      <c r="W2148" s="475"/>
    </row>
    <row r="2149" spans="2:23" s="97" customFormat="1">
      <c r="B2149" s="96"/>
      <c r="H2149" s="96"/>
      <c r="J2149" s="1"/>
      <c r="K2149" s="1"/>
      <c r="L2149" s="1"/>
      <c r="O2149" s="475"/>
      <c r="P2149" s="475"/>
      <c r="Q2149" s="475"/>
      <c r="R2149" s="475"/>
      <c r="S2149" s="475"/>
      <c r="T2149" s="475"/>
      <c r="U2149" s="475"/>
      <c r="V2149" s="475"/>
      <c r="W2149" s="475"/>
    </row>
    <row r="2150" spans="2:23" s="97" customFormat="1">
      <c r="B2150" s="96"/>
      <c r="H2150" s="96"/>
      <c r="J2150" s="1"/>
      <c r="K2150" s="1"/>
      <c r="L2150" s="1"/>
      <c r="O2150" s="475"/>
      <c r="P2150" s="475"/>
      <c r="Q2150" s="475"/>
      <c r="R2150" s="475"/>
      <c r="S2150" s="475"/>
      <c r="T2150" s="475"/>
      <c r="U2150" s="475"/>
      <c r="V2150" s="475"/>
      <c r="W2150" s="475"/>
    </row>
    <row r="2151" spans="2:23" s="97" customFormat="1">
      <c r="B2151" s="96"/>
      <c r="H2151" s="96"/>
      <c r="J2151" s="1"/>
      <c r="K2151" s="1"/>
      <c r="L2151" s="1"/>
      <c r="O2151" s="475"/>
      <c r="P2151" s="475"/>
      <c r="Q2151" s="475"/>
      <c r="R2151" s="475"/>
      <c r="S2151" s="475"/>
      <c r="T2151" s="475"/>
      <c r="U2151" s="475"/>
      <c r="V2151" s="475"/>
      <c r="W2151" s="475"/>
    </row>
    <row r="2152" spans="2:23" s="97" customFormat="1">
      <c r="B2152" s="96"/>
      <c r="H2152" s="96"/>
      <c r="J2152" s="1"/>
      <c r="K2152" s="1"/>
      <c r="L2152" s="1"/>
      <c r="O2152" s="475"/>
      <c r="P2152" s="475"/>
      <c r="Q2152" s="475"/>
      <c r="R2152" s="475"/>
      <c r="S2152" s="475"/>
      <c r="T2152" s="475"/>
      <c r="U2152" s="475"/>
      <c r="V2152" s="475"/>
      <c r="W2152" s="475"/>
    </row>
    <row r="2153" spans="2:23" s="97" customFormat="1">
      <c r="B2153" s="96"/>
      <c r="H2153" s="96"/>
      <c r="J2153" s="1"/>
      <c r="K2153" s="1"/>
      <c r="L2153" s="1"/>
      <c r="O2153" s="475"/>
      <c r="P2153" s="475"/>
      <c r="Q2153" s="475"/>
      <c r="R2153" s="475"/>
      <c r="S2153" s="475"/>
      <c r="T2153" s="475"/>
      <c r="U2153" s="475"/>
      <c r="V2153" s="475"/>
      <c r="W2153" s="475"/>
    </row>
    <row r="2154" spans="2:23" s="97" customFormat="1">
      <c r="B2154" s="96"/>
      <c r="H2154" s="96"/>
      <c r="J2154" s="1"/>
      <c r="K2154" s="1"/>
      <c r="L2154" s="1"/>
      <c r="O2154" s="475"/>
      <c r="P2154" s="475"/>
      <c r="Q2154" s="475"/>
      <c r="R2154" s="475"/>
      <c r="S2154" s="475"/>
      <c r="T2154" s="475"/>
      <c r="U2154" s="475"/>
      <c r="V2154" s="475"/>
      <c r="W2154" s="475"/>
    </row>
    <row r="2155" spans="2:23" s="97" customFormat="1">
      <c r="B2155" s="96"/>
      <c r="H2155" s="96"/>
      <c r="J2155" s="1"/>
      <c r="K2155" s="1"/>
      <c r="L2155" s="1"/>
      <c r="O2155" s="475"/>
      <c r="P2155" s="475"/>
      <c r="Q2155" s="475"/>
      <c r="R2155" s="475"/>
      <c r="S2155" s="475"/>
      <c r="T2155" s="475"/>
      <c r="U2155" s="475"/>
      <c r="V2155" s="475"/>
      <c r="W2155" s="475"/>
    </row>
    <row r="2156" spans="2:23" s="97" customFormat="1">
      <c r="B2156" s="96"/>
      <c r="H2156" s="96"/>
      <c r="J2156" s="1"/>
      <c r="K2156" s="1"/>
      <c r="L2156" s="1"/>
      <c r="O2156" s="475"/>
      <c r="P2156" s="475"/>
      <c r="Q2156" s="475"/>
      <c r="R2156" s="475"/>
      <c r="S2156" s="475"/>
      <c r="T2156" s="475"/>
      <c r="U2156" s="475"/>
      <c r="V2156" s="475"/>
      <c r="W2156" s="475"/>
    </row>
    <row r="2157" spans="2:23" s="97" customFormat="1">
      <c r="B2157" s="96"/>
      <c r="H2157" s="96"/>
      <c r="J2157" s="1"/>
      <c r="K2157" s="1"/>
      <c r="L2157" s="1"/>
      <c r="O2157" s="475"/>
      <c r="P2157" s="475"/>
      <c r="Q2157" s="475"/>
      <c r="R2157" s="475"/>
      <c r="S2157" s="475"/>
      <c r="T2157" s="475"/>
      <c r="U2157" s="475"/>
      <c r="V2157" s="475"/>
      <c r="W2157" s="475"/>
    </row>
    <row r="2158" spans="2:23" s="97" customFormat="1">
      <c r="B2158" s="96"/>
      <c r="H2158" s="96"/>
      <c r="J2158" s="1"/>
      <c r="K2158" s="1"/>
      <c r="L2158" s="1"/>
      <c r="O2158" s="475"/>
      <c r="P2158" s="475"/>
      <c r="Q2158" s="475"/>
      <c r="R2158" s="475"/>
      <c r="S2158" s="475"/>
      <c r="T2158" s="475"/>
      <c r="U2158" s="475"/>
      <c r="V2158" s="475"/>
      <c r="W2158" s="475"/>
    </row>
    <row r="2159" spans="2:23" s="97" customFormat="1">
      <c r="B2159" s="96"/>
      <c r="H2159" s="96"/>
      <c r="J2159" s="1"/>
      <c r="K2159" s="1"/>
      <c r="L2159" s="1"/>
      <c r="O2159" s="475"/>
      <c r="P2159" s="475"/>
      <c r="Q2159" s="475"/>
      <c r="R2159" s="475"/>
      <c r="S2159" s="475"/>
      <c r="T2159" s="475"/>
      <c r="U2159" s="475"/>
      <c r="V2159" s="475"/>
      <c r="W2159" s="475"/>
    </row>
    <row r="2160" spans="2:23" s="97" customFormat="1">
      <c r="B2160" s="96"/>
      <c r="H2160" s="96"/>
      <c r="J2160" s="1"/>
      <c r="K2160" s="1"/>
      <c r="L2160" s="1"/>
      <c r="O2160" s="475"/>
      <c r="P2160" s="475"/>
      <c r="Q2160" s="475"/>
      <c r="R2160" s="475"/>
      <c r="S2160" s="475"/>
      <c r="T2160" s="475"/>
      <c r="U2160" s="475"/>
      <c r="V2160" s="475"/>
      <c r="W2160" s="475"/>
    </row>
    <row r="2161" spans="2:23" s="97" customFormat="1">
      <c r="B2161" s="96"/>
      <c r="H2161" s="96"/>
      <c r="J2161" s="1"/>
      <c r="K2161" s="1"/>
      <c r="L2161" s="1"/>
      <c r="O2161" s="475"/>
      <c r="P2161" s="475"/>
      <c r="Q2161" s="475"/>
      <c r="R2161" s="475"/>
      <c r="S2161" s="475"/>
      <c r="T2161" s="475"/>
      <c r="U2161" s="475"/>
      <c r="V2161" s="475"/>
      <c r="W2161" s="475"/>
    </row>
    <row r="2162" spans="2:23" s="97" customFormat="1">
      <c r="B2162" s="96"/>
      <c r="H2162" s="96"/>
      <c r="J2162" s="1"/>
      <c r="K2162" s="1"/>
      <c r="L2162" s="1"/>
      <c r="O2162" s="475"/>
      <c r="P2162" s="475"/>
      <c r="Q2162" s="475"/>
      <c r="R2162" s="475"/>
      <c r="S2162" s="475"/>
      <c r="T2162" s="475"/>
      <c r="U2162" s="475"/>
      <c r="V2162" s="475"/>
      <c r="W2162" s="475"/>
    </row>
    <row r="2163" spans="2:23" s="97" customFormat="1">
      <c r="B2163" s="96"/>
      <c r="H2163" s="96"/>
      <c r="J2163" s="1"/>
      <c r="K2163" s="1"/>
      <c r="L2163" s="1"/>
      <c r="O2163" s="475"/>
      <c r="P2163" s="475"/>
      <c r="Q2163" s="475"/>
      <c r="R2163" s="475"/>
      <c r="S2163" s="475"/>
      <c r="T2163" s="475"/>
      <c r="U2163" s="475"/>
      <c r="V2163" s="475"/>
      <c r="W2163" s="475"/>
    </row>
    <row r="2164" spans="2:23" s="97" customFormat="1">
      <c r="B2164" s="96"/>
      <c r="H2164" s="96"/>
      <c r="J2164" s="1"/>
      <c r="K2164" s="1"/>
      <c r="L2164" s="1"/>
      <c r="O2164" s="475"/>
      <c r="P2164" s="475"/>
      <c r="Q2164" s="475"/>
      <c r="R2164" s="475"/>
      <c r="S2164" s="475"/>
      <c r="T2164" s="475"/>
      <c r="U2164" s="475"/>
      <c r="V2164" s="475"/>
      <c r="W2164" s="475"/>
    </row>
    <row r="2165" spans="2:23" s="97" customFormat="1">
      <c r="B2165" s="96"/>
      <c r="H2165" s="96"/>
      <c r="J2165" s="1"/>
      <c r="K2165" s="1"/>
      <c r="L2165" s="1"/>
      <c r="O2165" s="475"/>
      <c r="P2165" s="475"/>
      <c r="Q2165" s="475"/>
      <c r="R2165" s="475"/>
      <c r="S2165" s="475"/>
      <c r="T2165" s="475"/>
      <c r="U2165" s="475"/>
      <c r="V2165" s="475"/>
      <c r="W2165" s="475"/>
    </row>
    <row r="2166" spans="2:23" s="97" customFormat="1">
      <c r="B2166" s="96"/>
      <c r="H2166" s="96"/>
      <c r="J2166" s="1"/>
      <c r="K2166" s="1"/>
      <c r="L2166" s="1"/>
      <c r="O2166" s="475"/>
      <c r="P2166" s="475"/>
      <c r="Q2166" s="475"/>
      <c r="R2166" s="475"/>
      <c r="S2166" s="475"/>
      <c r="T2166" s="475"/>
      <c r="U2166" s="475"/>
      <c r="V2166" s="475"/>
      <c r="W2166" s="475"/>
    </row>
    <row r="2167" spans="2:23" s="97" customFormat="1">
      <c r="B2167" s="96"/>
      <c r="H2167" s="96"/>
      <c r="J2167" s="1"/>
      <c r="K2167" s="1"/>
      <c r="L2167" s="1"/>
      <c r="O2167" s="475"/>
      <c r="P2167" s="475"/>
      <c r="Q2167" s="475"/>
      <c r="R2167" s="475"/>
      <c r="S2167" s="475"/>
      <c r="T2167" s="475"/>
      <c r="U2167" s="475"/>
      <c r="V2167" s="475"/>
      <c r="W2167" s="475"/>
    </row>
    <row r="2168" spans="2:23" s="97" customFormat="1">
      <c r="B2168" s="96"/>
      <c r="H2168" s="96"/>
      <c r="J2168" s="1"/>
      <c r="K2168" s="1"/>
      <c r="L2168" s="1"/>
      <c r="O2168" s="475"/>
      <c r="P2168" s="475"/>
      <c r="Q2168" s="475"/>
      <c r="R2168" s="475"/>
      <c r="S2168" s="475"/>
      <c r="T2168" s="475"/>
      <c r="U2168" s="475"/>
      <c r="V2168" s="475"/>
      <c r="W2168" s="475"/>
    </row>
    <row r="2169" spans="2:23" s="97" customFormat="1">
      <c r="B2169" s="96"/>
      <c r="H2169" s="96"/>
      <c r="J2169" s="1"/>
      <c r="K2169" s="1"/>
      <c r="L2169" s="1"/>
      <c r="O2169" s="475"/>
      <c r="P2169" s="475"/>
      <c r="Q2169" s="475"/>
      <c r="R2169" s="475"/>
      <c r="S2169" s="475"/>
      <c r="T2169" s="475"/>
      <c r="U2169" s="475"/>
      <c r="V2169" s="475"/>
      <c r="W2169" s="475"/>
    </row>
    <row r="2170" spans="2:23" s="97" customFormat="1">
      <c r="B2170" s="96"/>
      <c r="H2170" s="96"/>
      <c r="J2170" s="1"/>
      <c r="K2170" s="1"/>
      <c r="L2170" s="1"/>
      <c r="O2170" s="475"/>
      <c r="P2170" s="475"/>
      <c r="Q2170" s="475"/>
      <c r="R2170" s="475"/>
      <c r="S2170" s="475"/>
      <c r="T2170" s="475"/>
      <c r="U2170" s="475"/>
      <c r="V2170" s="475"/>
      <c r="W2170" s="475"/>
    </row>
    <row r="2171" spans="2:23" s="97" customFormat="1">
      <c r="B2171" s="96"/>
      <c r="H2171" s="96"/>
      <c r="J2171" s="1"/>
      <c r="K2171" s="1"/>
      <c r="L2171" s="1"/>
      <c r="O2171" s="475"/>
      <c r="P2171" s="475"/>
      <c r="Q2171" s="475"/>
      <c r="R2171" s="475"/>
      <c r="S2171" s="475"/>
      <c r="T2171" s="475"/>
      <c r="U2171" s="475"/>
      <c r="V2171" s="475"/>
      <c r="W2171" s="475"/>
    </row>
    <row r="2172" spans="2:23" s="97" customFormat="1">
      <c r="B2172" s="96"/>
      <c r="H2172" s="96"/>
      <c r="J2172" s="1"/>
      <c r="K2172" s="1"/>
      <c r="L2172" s="1"/>
      <c r="O2172" s="475"/>
      <c r="P2172" s="475"/>
      <c r="Q2172" s="475"/>
      <c r="R2172" s="475"/>
      <c r="S2172" s="475"/>
      <c r="T2172" s="475"/>
      <c r="U2172" s="475"/>
      <c r="V2172" s="475"/>
      <c r="W2172" s="475"/>
    </row>
    <row r="2173" spans="2:23" s="97" customFormat="1">
      <c r="B2173" s="96"/>
      <c r="H2173" s="96"/>
      <c r="J2173" s="1"/>
      <c r="K2173" s="1"/>
      <c r="L2173" s="1"/>
      <c r="O2173" s="475"/>
      <c r="P2173" s="475"/>
      <c r="Q2173" s="475"/>
      <c r="R2173" s="475"/>
      <c r="S2173" s="475"/>
      <c r="T2173" s="475"/>
      <c r="U2173" s="475"/>
      <c r="V2173" s="475"/>
      <c r="W2173" s="475"/>
    </row>
    <row r="2174" spans="2:23" s="97" customFormat="1">
      <c r="B2174" s="96"/>
      <c r="H2174" s="96"/>
      <c r="J2174" s="1"/>
      <c r="K2174" s="1"/>
      <c r="L2174" s="1"/>
      <c r="O2174" s="475"/>
      <c r="P2174" s="475"/>
      <c r="Q2174" s="475"/>
      <c r="R2174" s="475"/>
      <c r="S2174" s="475"/>
      <c r="T2174" s="475"/>
      <c r="U2174" s="475"/>
      <c r="V2174" s="475"/>
      <c r="W2174" s="475"/>
    </row>
    <row r="2175" spans="2:23" s="97" customFormat="1">
      <c r="B2175" s="96"/>
      <c r="H2175" s="96"/>
      <c r="J2175" s="1"/>
      <c r="K2175" s="1"/>
      <c r="L2175" s="1"/>
      <c r="O2175" s="475"/>
      <c r="P2175" s="475"/>
      <c r="Q2175" s="475"/>
      <c r="R2175" s="475"/>
      <c r="S2175" s="475"/>
      <c r="T2175" s="475"/>
      <c r="U2175" s="475"/>
      <c r="V2175" s="475"/>
      <c r="W2175" s="475"/>
    </row>
    <row r="2176" spans="2:23" s="97" customFormat="1">
      <c r="B2176" s="96"/>
      <c r="H2176" s="96"/>
      <c r="J2176" s="1"/>
      <c r="K2176" s="1"/>
      <c r="L2176" s="1"/>
      <c r="O2176" s="475"/>
      <c r="P2176" s="475"/>
      <c r="Q2176" s="475"/>
      <c r="R2176" s="475"/>
      <c r="S2176" s="475"/>
      <c r="T2176" s="475"/>
      <c r="U2176" s="475"/>
      <c r="V2176" s="475"/>
      <c r="W2176" s="475"/>
    </row>
    <row r="2177" spans="2:23" s="97" customFormat="1">
      <c r="B2177" s="96"/>
      <c r="H2177" s="96"/>
      <c r="J2177" s="1"/>
      <c r="K2177" s="1"/>
      <c r="L2177" s="1"/>
      <c r="O2177" s="475"/>
      <c r="P2177" s="475"/>
      <c r="Q2177" s="475"/>
      <c r="R2177" s="475"/>
      <c r="S2177" s="475"/>
      <c r="T2177" s="475"/>
      <c r="U2177" s="475"/>
      <c r="V2177" s="475"/>
      <c r="W2177" s="475"/>
    </row>
    <row r="2178" spans="2:23" s="97" customFormat="1">
      <c r="B2178" s="96"/>
      <c r="H2178" s="96"/>
      <c r="J2178" s="1"/>
      <c r="K2178" s="1"/>
      <c r="L2178" s="1"/>
      <c r="O2178" s="475"/>
      <c r="P2178" s="475"/>
      <c r="Q2178" s="475"/>
      <c r="R2178" s="475"/>
      <c r="S2178" s="475"/>
      <c r="T2178" s="475"/>
      <c r="U2178" s="475"/>
      <c r="V2178" s="475"/>
      <c r="W2178" s="475"/>
    </row>
    <row r="2179" spans="2:23" s="97" customFormat="1">
      <c r="B2179" s="96"/>
      <c r="H2179" s="96"/>
      <c r="J2179" s="1"/>
      <c r="K2179" s="1"/>
      <c r="L2179" s="1"/>
      <c r="O2179" s="475"/>
      <c r="P2179" s="475"/>
      <c r="Q2179" s="475"/>
      <c r="R2179" s="475"/>
      <c r="S2179" s="475"/>
      <c r="T2179" s="475"/>
      <c r="U2179" s="475"/>
      <c r="V2179" s="475"/>
      <c r="W2179" s="475"/>
    </row>
    <row r="2180" spans="2:23" s="97" customFormat="1">
      <c r="B2180" s="96"/>
      <c r="H2180" s="96"/>
      <c r="J2180" s="1"/>
      <c r="K2180" s="1"/>
      <c r="L2180" s="1"/>
      <c r="O2180" s="475"/>
      <c r="P2180" s="475"/>
      <c r="Q2180" s="475"/>
      <c r="R2180" s="475"/>
      <c r="S2180" s="475"/>
      <c r="T2180" s="475"/>
      <c r="U2180" s="475"/>
      <c r="V2180" s="475"/>
      <c r="W2180" s="475"/>
    </row>
    <row r="2181" spans="2:23" s="97" customFormat="1">
      <c r="B2181" s="96"/>
      <c r="H2181" s="96"/>
      <c r="J2181" s="1"/>
      <c r="K2181" s="1"/>
      <c r="L2181" s="1"/>
      <c r="O2181" s="475"/>
      <c r="P2181" s="475"/>
      <c r="Q2181" s="475"/>
      <c r="R2181" s="475"/>
      <c r="S2181" s="475"/>
      <c r="T2181" s="475"/>
      <c r="U2181" s="475"/>
      <c r="V2181" s="475"/>
      <c r="W2181" s="475"/>
    </row>
    <row r="2182" spans="2:23" s="97" customFormat="1">
      <c r="B2182" s="96"/>
      <c r="H2182" s="96"/>
      <c r="J2182" s="1"/>
      <c r="K2182" s="1"/>
      <c r="L2182" s="1"/>
      <c r="O2182" s="475"/>
      <c r="P2182" s="475"/>
      <c r="Q2182" s="475"/>
      <c r="R2182" s="475"/>
      <c r="S2182" s="475"/>
      <c r="T2182" s="475"/>
      <c r="U2182" s="475"/>
      <c r="V2182" s="475"/>
      <c r="W2182" s="475"/>
    </row>
    <row r="2183" spans="2:23" s="97" customFormat="1">
      <c r="B2183" s="96"/>
      <c r="H2183" s="96"/>
      <c r="J2183" s="1"/>
      <c r="K2183" s="1"/>
      <c r="L2183" s="1"/>
      <c r="O2183" s="475"/>
      <c r="P2183" s="475"/>
      <c r="Q2183" s="475"/>
      <c r="R2183" s="475"/>
      <c r="S2183" s="475"/>
      <c r="T2183" s="475"/>
      <c r="U2183" s="475"/>
      <c r="V2183" s="475"/>
      <c r="W2183" s="475"/>
    </row>
    <row r="2184" spans="2:23" s="97" customFormat="1">
      <c r="B2184" s="96"/>
      <c r="H2184" s="96"/>
      <c r="J2184" s="1"/>
      <c r="K2184" s="1"/>
      <c r="L2184" s="1"/>
      <c r="O2184" s="475"/>
      <c r="P2184" s="475"/>
      <c r="Q2184" s="475"/>
      <c r="R2184" s="475"/>
      <c r="S2184" s="475"/>
      <c r="T2184" s="475"/>
      <c r="U2184" s="475"/>
      <c r="V2184" s="475"/>
      <c r="W2184" s="475"/>
    </row>
    <row r="2185" spans="2:23" s="97" customFormat="1">
      <c r="B2185" s="96"/>
      <c r="H2185" s="96"/>
      <c r="J2185" s="1"/>
      <c r="K2185" s="1"/>
      <c r="L2185" s="1"/>
      <c r="O2185" s="475"/>
      <c r="P2185" s="475"/>
      <c r="Q2185" s="475"/>
      <c r="R2185" s="475"/>
      <c r="S2185" s="475"/>
      <c r="T2185" s="475"/>
      <c r="U2185" s="475"/>
      <c r="V2185" s="475"/>
      <c r="W2185" s="475"/>
    </row>
    <row r="2186" spans="2:23" s="97" customFormat="1">
      <c r="B2186" s="96"/>
      <c r="H2186" s="96"/>
      <c r="J2186" s="1"/>
      <c r="K2186" s="1"/>
      <c r="L2186" s="1"/>
      <c r="O2186" s="475"/>
      <c r="P2186" s="475"/>
      <c r="Q2186" s="475"/>
      <c r="R2186" s="475"/>
      <c r="S2186" s="475"/>
      <c r="T2186" s="475"/>
      <c r="U2186" s="475"/>
      <c r="V2186" s="475"/>
      <c r="W2186" s="475"/>
    </row>
    <row r="2187" spans="2:23" s="97" customFormat="1">
      <c r="B2187" s="96"/>
      <c r="H2187" s="96"/>
      <c r="J2187" s="1"/>
      <c r="K2187" s="1"/>
      <c r="L2187" s="1"/>
      <c r="O2187" s="475"/>
      <c r="P2187" s="475"/>
      <c r="Q2187" s="475"/>
      <c r="R2187" s="475"/>
      <c r="S2187" s="475"/>
      <c r="T2187" s="475"/>
      <c r="U2187" s="475"/>
      <c r="V2187" s="475"/>
      <c r="W2187" s="475"/>
    </row>
    <row r="2188" spans="2:23" s="97" customFormat="1">
      <c r="B2188" s="96"/>
      <c r="H2188" s="96"/>
      <c r="J2188" s="1"/>
      <c r="K2188" s="1"/>
      <c r="L2188" s="1"/>
      <c r="O2188" s="475"/>
      <c r="P2188" s="475"/>
      <c r="Q2188" s="475"/>
      <c r="R2188" s="475"/>
      <c r="S2188" s="475"/>
      <c r="T2188" s="475"/>
      <c r="U2188" s="475"/>
      <c r="V2188" s="475"/>
      <c r="W2188" s="475"/>
    </row>
    <row r="2189" spans="2:23" s="97" customFormat="1">
      <c r="B2189" s="96"/>
      <c r="H2189" s="96"/>
      <c r="J2189" s="1"/>
      <c r="K2189" s="1"/>
      <c r="L2189" s="1"/>
      <c r="O2189" s="475"/>
      <c r="P2189" s="475"/>
      <c r="Q2189" s="475"/>
      <c r="R2189" s="475"/>
      <c r="S2189" s="475"/>
      <c r="T2189" s="475"/>
      <c r="U2189" s="475"/>
      <c r="V2189" s="475"/>
      <c r="W2189" s="475"/>
    </row>
    <row r="2190" spans="2:23" s="97" customFormat="1">
      <c r="B2190" s="96"/>
      <c r="H2190" s="96"/>
      <c r="J2190" s="1"/>
      <c r="K2190" s="1"/>
      <c r="L2190" s="1"/>
      <c r="O2190" s="475"/>
      <c r="P2190" s="475"/>
      <c r="Q2190" s="475"/>
      <c r="R2190" s="475"/>
      <c r="S2190" s="475"/>
      <c r="T2190" s="475"/>
      <c r="U2190" s="475"/>
      <c r="V2190" s="475"/>
      <c r="W2190" s="475"/>
    </row>
    <row r="2191" spans="2:23" s="97" customFormat="1">
      <c r="B2191" s="96"/>
      <c r="H2191" s="96"/>
      <c r="J2191" s="1"/>
      <c r="K2191" s="1"/>
      <c r="L2191" s="1"/>
      <c r="O2191" s="475"/>
      <c r="P2191" s="475"/>
      <c r="Q2191" s="475"/>
      <c r="R2191" s="475"/>
      <c r="S2191" s="475"/>
      <c r="T2191" s="475"/>
      <c r="U2191" s="475"/>
      <c r="V2191" s="475"/>
      <c r="W2191" s="475"/>
    </row>
    <row r="2192" spans="2:23" s="97" customFormat="1">
      <c r="B2192" s="96"/>
      <c r="H2192" s="96"/>
      <c r="J2192" s="1"/>
      <c r="K2192" s="1"/>
      <c r="L2192" s="1"/>
      <c r="O2192" s="475"/>
      <c r="P2192" s="475"/>
      <c r="Q2192" s="475"/>
      <c r="R2192" s="475"/>
      <c r="S2192" s="475"/>
      <c r="T2192" s="475"/>
      <c r="U2192" s="475"/>
      <c r="V2192" s="475"/>
      <c r="W2192" s="475"/>
    </row>
    <row r="2193" spans="2:23" s="97" customFormat="1">
      <c r="B2193" s="96"/>
      <c r="H2193" s="96"/>
      <c r="J2193" s="1"/>
      <c r="K2193" s="1"/>
      <c r="L2193" s="1"/>
      <c r="O2193" s="475"/>
      <c r="P2193" s="475"/>
      <c r="Q2193" s="475"/>
      <c r="R2193" s="475"/>
      <c r="S2193" s="475"/>
      <c r="T2193" s="475"/>
      <c r="U2193" s="475"/>
      <c r="V2193" s="475"/>
      <c r="W2193" s="475"/>
    </row>
    <row r="2194" spans="2:23" s="97" customFormat="1">
      <c r="B2194" s="96"/>
      <c r="H2194" s="96"/>
      <c r="J2194" s="1"/>
      <c r="K2194" s="1"/>
      <c r="L2194" s="1"/>
      <c r="O2194" s="475"/>
      <c r="P2194" s="475"/>
      <c r="Q2194" s="475"/>
      <c r="R2194" s="475"/>
      <c r="S2194" s="475"/>
      <c r="T2194" s="475"/>
      <c r="U2194" s="475"/>
      <c r="V2194" s="475"/>
      <c r="W2194" s="475"/>
    </row>
    <row r="2195" spans="2:23" s="97" customFormat="1">
      <c r="B2195" s="96"/>
      <c r="H2195" s="96"/>
      <c r="J2195" s="1"/>
      <c r="K2195" s="1"/>
      <c r="L2195" s="1"/>
      <c r="O2195" s="475"/>
      <c r="P2195" s="475"/>
      <c r="Q2195" s="475"/>
      <c r="R2195" s="475"/>
      <c r="S2195" s="475"/>
      <c r="T2195" s="475"/>
      <c r="U2195" s="475"/>
      <c r="V2195" s="475"/>
      <c r="W2195" s="475"/>
    </row>
    <row r="2196" spans="2:23" s="97" customFormat="1">
      <c r="B2196" s="96"/>
      <c r="H2196" s="96"/>
      <c r="J2196" s="1"/>
      <c r="K2196" s="1"/>
      <c r="L2196" s="1"/>
      <c r="O2196" s="475"/>
      <c r="P2196" s="475"/>
      <c r="Q2196" s="475"/>
      <c r="R2196" s="475"/>
      <c r="S2196" s="475"/>
      <c r="T2196" s="475"/>
      <c r="U2196" s="475"/>
      <c r="V2196" s="475"/>
      <c r="W2196" s="475"/>
    </row>
    <row r="2197" spans="2:23" s="97" customFormat="1">
      <c r="B2197" s="96"/>
      <c r="H2197" s="96"/>
      <c r="J2197" s="1"/>
      <c r="K2197" s="1"/>
      <c r="L2197" s="1"/>
      <c r="O2197" s="475"/>
      <c r="P2197" s="475"/>
      <c r="Q2197" s="475"/>
      <c r="R2197" s="475"/>
      <c r="S2197" s="475"/>
      <c r="T2197" s="475"/>
      <c r="U2197" s="475"/>
      <c r="V2197" s="475"/>
      <c r="W2197" s="475"/>
    </row>
    <row r="2198" spans="2:23" s="97" customFormat="1">
      <c r="B2198" s="96"/>
      <c r="H2198" s="96"/>
      <c r="J2198" s="1"/>
      <c r="K2198" s="1"/>
      <c r="L2198" s="1"/>
      <c r="O2198" s="475"/>
      <c r="P2198" s="475"/>
      <c r="Q2198" s="475"/>
      <c r="R2198" s="475"/>
      <c r="S2198" s="475"/>
      <c r="T2198" s="475"/>
      <c r="U2198" s="475"/>
      <c r="V2198" s="475"/>
      <c r="W2198" s="475"/>
    </row>
    <row r="2199" spans="2:23" s="97" customFormat="1">
      <c r="B2199" s="96"/>
      <c r="H2199" s="96"/>
      <c r="J2199" s="1"/>
      <c r="K2199" s="1"/>
      <c r="L2199" s="1"/>
      <c r="O2199" s="475"/>
      <c r="P2199" s="475"/>
      <c r="Q2199" s="475"/>
      <c r="R2199" s="475"/>
      <c r="S2199" s="475"/>
      <c r="T2199" s="475"/>
      <c r="U2199" s="475"/>
      <c r="V2199" s="475"/>
      <c r="W2199" s="475"/>
    </row>
    <row r="2200" spans="2:23" s="97" customFormat="1">
      <c r="B2200" s="96"/>
      <c r="H2200" s="96"/>
      <c r="J2200" s="1"/>
      <c r="K2200" s="1"/>
      <c r="L2200" s="1"/>
      <c r="O2200" s="475"/>
      <c r="P2200" s="475"/>
      <c r="Q2200" s="475"/>
      <c r="R2200" s="475"/>
      <c r="S2200" s="475"/>
      <c r="T2200" s="475"/>
      <c r="U2200" s="475"/>
      <c r="V2200" s="475"/>
      <c r="W2200" s="475"/>
    </row>
    <row r="2201" spans="2:23" s="97" customFormat="1">
      <c r="B2201" s="96"/>
      <c r="H2201" s="96"/>
      <c r="J2201" s="1"/>
      <c r="K2201" s="1"/>
      <c r="L2201" s="1"/>
      <c r="O2201" s="475"/>
      <c r="P2201" s="475"/>
      <c r="Q2201" s="475"/>
      <c r="R2201" s="475"/>
      <c r="S2201" s="475"/>
      <c r="T2201" s="475"/>
      <c r="U2201" s="475"/>
      <c r="V2201" s="475"/>
      <c r="W2201" s="475"/>
    </row>
    <row r="2202" spans="2:23" s="97" customFormat="1">
      <c r="B2202" s="96"/>
      <c r="H2202" s="96"/>
      <c r="J2202" s="1"/>
      <c r="K2202" s="1"/>
      <c r="L2202" s="1"/>
      <c r="O2202" s="475"/>
      <c r="P2202" s="475"/>
      <c r="Q2202" s="475"/>
      <c r="R2202" s="475"/>
      <c r="S2202" s="475"/>
      <c r="T2202" s="475"/>
      <c r="U2202" s="475"/>
      <c r="V2202" s="475"/>
      <c r="W2202" s="475"/>
    </row>
    <row r="2203" spans="2:23" s="97" customFormat="1">
      <c r="B2203" s="96"/>
      <c r="H2203" s="96"/>
      <c r="J2203" s="1"/>
      <c r="K2203" s="1"/>
      <c r="L2203" s="1"/>
      <c r="O2203" s="475"/>
      <c r="P2203" s="475"/>
      <c r="Q2203" s="475"/>
      <c r="R2203" s="475"/>
      <c r="S2203" s="475"/>
      <c r="T2203" s="475"/>
      <c r="U2203" s="475"/>
      <c r="V2203" s="475"/>
      <c r="W2203" s="475"/>
    </row>
    <row r="2204" spans="2:23" s="97" customFormat="1">
      <c r="B2204" s="96"/>
      <c r="H2204" s="96"/>
      <c r="J2204" s="1"/>
      <c r="K2204" s="1"/>
      <c r="L2204" s="1"/>
      <c r="O2204" s="475"/>
      <c r="P2204" s="475"/>
      <c r="Q2204" s="475"/>
      <c r="R2204" s="475"/>
      <c r="S2204" s="475"/>
      <c r="T2204" s="475"/>
      <c r="U2204" s="475"/>
      <c r="V2204" s="475"/>
      <c r="W2204" s="475"/>
    </row>
    <row r="2205" spans="2:23" s="97" customFormat="1">
      <c r="B2205" s="96"/>
      <c r="H2205" s="96"/>
      <c r="J2205" s="1"/>
      <c r="K2205" s="1"/>
      <c r="L2205" s="1"/>
      <c r="O2205" s="475"/>
      <c r="P2205" s="475"/>
      <c r="Q2205" s="475"/>
      <c r="R2205" s="475"/>
      <c r="S2205" s="475"/>
      <c r="T2205" s="475"/>
      <c r="U2205" s="475"/>
      <c r="V2205" s="475"/>
      <c r="W2205" s="475"/>
    </row>
    <row r="2206" spans="2:23" s="97" customFormat="1">
      <c r="B2206" s="96"/>
      <c r="H2206" s="96"/>
      <c r="J2206" s="1"/>
      <c r="K2206" s="1"/>
      <c r="L2206" s="1"/>
      <c r="O2206" s="475"/>
      <c r="P2206" s="475"/>
      <c r="Q2206" s="475"/>
      <c r="R2206" s="475"/>
      <c r="S2206" s="475"/>
      <c r="T2206" s="475"/>
      <c r="U2206" s="475"/>
      <c r="V2206" s="475"/>
      <c r="W2206" s="475"/>
    </row>
    <row r="2207" spans="2:23" s="97" customFormat="1">
      <c r="B2207" s="96"/>
      <c r="H2207" s="96"/>
      <c r="J2207" s="1"/>
      <c r="K2207" s="1"/>
      <c r="L2207" s="1"/>
      <c r="O2207" s="475"/>
      <c r="P2207" s="475"/>
      <c r="Q2207" s="475"/>
      <c r="R2207" s="475"/>
      <c r="S2207" s="475"/>
      <c r="T2207" s="475"/>
      <c r="U2207" s="475"/>
      <c r="V2207" s="475"/>
      <c r="W2207" s="475"/>
    </row>
    <row r="2208" spans="2:23" s="97" customFormat="1">
      <c r="B2208" s="96"/>
      <c r="H2208" s="96"/>
      <c r="J2208" s="1"/>
      <c r="K2208" s="1"/>
      <c r="L2208" s="1"/>
      <c r="O2208" s="475"/>
      <c r="P2208" s="475"/>
      <c r="Q2208" s="475"/>
      <c r="R2208" s="475"/>
      <c r="S2208" s="475"/>
      <c r="T2208" s="475"/>
      <c r="U2208" s="475"/>
      <c r="V2208" s="475"/>
      <c r="W2208" s="475"/>
    </row>
    <row r="2209" spans="2:23" s="97" customFormat="1">
      <c r="B2209" s="96"/>
      <c r="H2209" s="96"/>
      <c r="J2209" s="1"/>
      <c r="K2209" s="1"/>
      <c r="L2209" s="1"/>
      <c r="O2209" s="475"/>
      <c r="P2209" s="475"/>
      <c r="Q2209" s="475"/>
      <c r="R2209" s="475"/>
      <c r="S2209" s="475"/>
      <c r="T2209" s="475"/>
      <c r="U2209" s="475"/>
      <c r="V2209" s="475"/>
      <c r="W2209" s="475"/>
    </row>
    <row r="2210" spans="2:23" s="97" customFormat="1">
      <c r="B2210" s="96"/>
      <c r="H2210" s="96"/>
      <c r="J2210" s="1"/>
      <c r="K2210" s="1"/>
      <c r="L2210" s="1"/>
      <c r="O2210" s="475"/>
      <c r="P2210" s="475"/>
      <c r="Q2210" s="475"/>
      <c r="R2210" s="475"/>
      <c r="S2210" s="475"/>
      <c r="T2210" s="475"/>
      <c r="U2210" s="475"/>
      <c r="V2210" s="475"/>
      <c r="W2210" s="475"/>
    </row>
    <row r="2211" spans="2:23" s="97" customFormat="1">
      <c r="B2211" s="96"/>
      <c r="H2211" s="96"/>
      <c r="J2211" s="1"/>
      <c r="K2211" s="1"/>
      <c r="L2211" s="1"/>
      <c r="O2211" s="475"/>
      <c r="P2211" s="475"/>
      <c r="Q2211" s="475"/>
      <c r="R2211" s="475"/>
      <c r="S2211" s="475"/>
      <c r="T2211" s="475"/>
      <c r="U2211" s="475"/>
      <c r="V2211" s="475"/>
      <c r="W2211" s="475"/>
    </row>
    <row r="2212" spans="2:23" s="97" customFormat="1">
      <c r="B2212" s="96"/>
      <c r="H2212" s="96"/>
      <c r="J2212" s="1"/>
      <c r="K2212" s="1"/>
      <c r="L2212" s="1"/>
      <c r="O2212" s="475"/>
      <c r="P2212" s="475"/>
      <c r="Q2212" s="475"/>
      <c r="R2212" s="475"/>
      <c r="S2212" s="475"/>
      <c r="T2212" s="475"/>
      <c r="U2212" s="475"/>
      <c r="V2212" s="475"/>
      <c r="W2212" s="475"/>
    </row>
    <row r="2213" spans="2:23" s="97" customFormat="1">
      <c r="B2213" s="96"/>
      <c r="H2213" s="96"/>
      <c r="J2213" s="1"/>
      <c r="K2213" s="1"/>
      <c r="L2213" s="1"/>
      <c r="O2213" s="475"/>
      <c r="P2213" s="475"/>
      <c r="Q2213" s="475"/>
      <c r="R2213" s="475"/>
      <c r="S2213" s="475"/>
      <c r="T2213" s="475"/>
      <c r="U2213" s="475"/>
      <c r="V2213" s="475"/>
      <c r="W2213" s="475"/>
    </row>
    <row r="2214" spans="2:23" s="97" customFormat="1">
      <c r="B2214" s="96"/>
      <c r="H2214" s="96"/>
      <c r="J2214" s="1"/>
      <c r="K2214" s="1"/>
      <c r="L2214" s="1"/>
      <c r="O2214" s="475"/>
      <c r="P2214" s="475"/>
      <c r="Q2214" s="475"/>
      <c r="R2214" s="475"/>
      <c r="S2214" s="475"/>
      <c r="T2214" s="475"/>
      <c r="U2214" s="475"/>
      <c r="V2214" s="475"/>
      <c r="W2214" s="475"/>
    </row>
    <row r="2215" spans="2:23" s="97" customFormat="1">
      <c r="B2215" s="96"/>
      <c r="H2215" s="96"/>
      <c r="J2215" s="1"/>
      <c r="K2215" s="1"/>
      <c r="L2215" s="1"/>
      <c r="O2215" s="475"/>
      <c r="P2215" s="475"/>
      <c r="Q2215" s="475"/>
      <c r="R2215" s="475"/>
      <c r="S2215" s="475"/>
      <c r="T2215" s="475"/>
      <c r="U2215" s="475"/>
      <c r="V2215" s="475"/>
      <c r="W2215" s="475"/>
    </row>
    <row r="2216" spans="2:23" s="97" customFormat="1">
      <c r="B2216" s="96"/>
      <c r="H2216" s="96"/>
      <c r="J2216" s="1"/>
      <c r="K2216" s="1"/>
      <c r="L2216" s="1"/>
      <c r="O2216" s="475"/>
      <c r="P2216" s="475"/>
      <c r="Q2216" s="475"/>
      <c r="R2216" s="475"/>
      <c r="S2216" s="475"/>
      <c r="T2216" s="475"/>
      <c r="U2216" s="475"/>
      <c r="V2216" s="475"/>
      <c r="W2216" s="475"/>
    </row>
    <row r="2217" spans="2:23" s="97" customFormat="1">
      <c r="B2217" s="96"/>
      <c r="H2217" s="96"/>
      <c r="J2217" s="1"/>
      <c r="K2217" s="1"/>
      <c r="L2217" s="1"/>
      <c r="O2217" s="475"/>
      <c r="P2217" s="475"/>
      <c r="Q2217" s="475"/>
      <c r="R2217" s="475"/>
      <c r="S2217" s="475"/>
      <c r="T2217" s="475"/>
      <c r="U2217" s="475"/>
      <c r="V2217" s="475"/>
      <c r="W2217" s="475"/>
    </row>
    <row r="2218" spans="2:23" s="97" customFormat="1">
      <c r="B2218" s="96"/>
      <c r="H2218" s="96"/>
      <c r="J2218" s="1"/>
      <c r="K2218" s="1"/>
      <c r="L2218" s="1"/>
      <c r="O2218" s="475"/>
      <c r="P2218" s="475"/>
      <c r="Q2218" s="475"/>
      <c r="R2218" s="475"/>
      <c r="S2218" s="475"/>
      <c r="T2218" s="475"/>
      <c r="U2218" s="475"/>
      <c r="V2218" s="475"/>
      <c r="W2218" s="475"/>
    </row>
    <row r="2219" spans="2:23" s="97" customFormat="1">
      <c r="B2219" s="96"/>
      <c r="H2219" s="96"/>
      <c r="J2219" s="1"/>
      <c r="K2219" s="1"/>
      <c r="L2219" s="1"/>
      <c r="O2219" s="475"/>
      <c r="P2219" s="475"/>
      <c r="Q2219" s="475"/>
      <c r="R2219" s="475"/>
      <c r="S2219" s="475"/>
      <c r="T2219" s="475"/>
      <c r="U2219" s="475"/>
      <c r="V2219" s="475"/>
      <c r="W2219" s="475"/>
    </row>
    <row r="2220" spans="2:23" s="97" customFormat="1">
      <c r="B2220" s="96"/>
      <c r="H2220" s="96"/>
      <c r="J2220" s="1"/>
      <c r="K2220" s="1"/>
      <c r="L2220" s="1"/>
      <c r="O2220" s="475"/>
      <c r="P2220" s="475"/>
      <c r="Q2220" s="475"/>
      <c r="R2220" s="475"/>
      <c r="S2220" s="475"/>
      <c r="T2220" s="475"/>
      <c r="U2220" s="475"/>
      <c r="V2220" s="475"/>
      <c r="W2220" s="475"/>
    </row>
    <row r="2221" spans="2:23" s="97" customFormat="1">
      <c r="B2221" s="96"/>
      <c r="H2221" s="96"/>
      <c r="J2221" s="1"/>
      <c r="K2221" s="1"/>
      <c r="L2221" s="1"/>
      <c r="O2221" s="475"/>
      <c r="P2221" s="475"/>
      <c r="Q2221" s="475"/>
      <c r="R2221" s="475"/>
      <c r="S2221" s="475"/>
      <c r="T2221" s="475"/>
      <c r="U2221" s="475"/>
      <c r="V2221" s="475"/>
      <c r="W2221" s="475"/>
    </row>
    <row r="2222" spans="2:23" s="97" customFormat="1">
      <c r="B2222" s="96"/>
      <c r="H2222" s="96"/>
      <c r="J2222" s="1"/>
      <c r="K2222" s="1"/>
      <c r="L2222" s="1"/>
      <c r="O2222" s="475"/>
      <c r="P2222" s="475"/>
      <c r="Q2222" s="475"/>
      <c r="R2222" s="475"/>
      <c r="S2222" s="475"/>
      <c r="T2222" s="475"/>
      <c r="U2222" s="475"/>
      <c r="V2222" s="475"/>
      <c r="W2222" s="475"/>
    </row>
    <row r="2223" spans="2:23" s="97" customFormat="1">
      <c r="B2223" s="96"/>
      <c r="H2223" s="96"/>
      <c r="J2223" s="1"/>
      <c r="K2223" s="1"/>
      <c r="L2223" s="1"/>
      <c r="O2223" s="475"/>
      <c r="P2223" s="475"/>
      <c r="Q2223" s="475"/>
      <c r="R2223" s="475"/>
      <c r="S2223" s="475"/>
      <c r="T2223" s="475"/>
      <c r="U2223" s="475"/>
      <c r="V2223" s="475"/>
      <c r="W2223" s="475"/>
    </row>
    <row r="2224" spans="2:23" s="97" customFormat="1">
      <c r="B2224" s="96"/>
      <c r="H2224" s="96"/>
      <c r="J2224" s="1"/>
      <c r="K2224" s="1"/>
      <c r="L2224" s="1"/>
      <c r="O2224" s="475"/>
      <c r="P2224" s="475"/>
      <c r="Q2224" s="475"/>
      <c r="R2224" s="475"/>
      <c r="S2224" s="475"/>
      <c r="T2224" s="475"/>
      <c r="U2224" s="475"/>
      <c r="V2224" s="475"/>
      <c r="W2224" s="475"/>
    </row>
    <row r="2225" spans="2:23" s="97" customFormat="1">
      <c r="B2225" s="96"/>
      <c r="H2225" s="96"/>
      <c r="J2225" s="1"/>
      <c r="K2225" s="1"/>
      <c r="L2225" s="1"/>
      <c r="O2225" s="475"/>
      <c r="P2225" s="475"/>
      <c r="Q2225" s="475"/>
      <c r="R2225" s="475"/>
      <c r="S2225" s="475"/>
      <c r="T2225" s="475"/>
      <c r="U2225" s="475"/>
      <c r="V2225" s="475"/>
      <c r="W2225" s="475"/>
    </row>
    <row r="2226" spans="2:23" s="97" customFormat="1">
      <c r="B2226" s="96"/>
      <c r="H2226" s="96"/>
      <c r="J2226" s="1"/>
      <c r="K2226" s="1"/>
      <c r="L2226" s="1"/>
      <c r="O2226" s="475"/>
      <c r="P2226" s="475"/>
      <c r="Q2226" s="475"/>
      <c r="R2226" s="475"/>
      <c r="S2226" s="475"/>
      <c r="T2226" s="475"/>
      <c r="U2226" s="475"/>
      <c r="V2226" s="475"/>
      <c r="W2226" s="475"/>
    </row>
    <row r="2227" spans="2:23" s="97" customFormat="1">
      <c r="B2227" s="96"/>
      <c r="H2227" s="96"/>
      <c r="J2227" s="1"/>
      <c r="K2227" s="1"/>
      <c r="L2227" s="1"/>
      <c r="O2227" s="475"/>
      <c r="P2227" s="475"/>
      <c r="Q2227" s="475"/>
      <c r="R2227" s="475"/>
      <c r="S2227" s="475"/>
      <c r="T2227" s="475"/>
      <c r="U2227" s="475"/>
      <c r="V2227" s="475"/>
      <c r="W2227" s="475"/>
    </row>
    <row r="2228" spans="2:23" s="97" customFormat="1">
      <c r="B2228" s="96"/>
      <c r="H2228" s="96"/>
      <c r="J2228" s="1"/>
      <c r="K2228" s="1"/>
      <c r="L2228" s="1"/>
      <c r="O2228" s="475"/>
      <c r="P2228" s="475"/>
      <c r="Q2228" s="475"/>
      <c r="R2228" s="475"/>
      <c r="S2228" s="475"/>
      <c r="T2228" s="475"/>
      <c r="U2228" s="475"/>
      <c r="V2228" s="475"/>
      <c r="W2228" s="475"/>
    </row>
    <row r="2229" spans="2:23" s="97" customFormat="1">
      <c r="B2229" s="96"/>
      <c r="H2229" s="96"/>
      <c r="J2229" s="1"/>
      <c r="K2229" s="1"/>
      <c r="L2229" s="1"/>
      <c r="O2229" s="475"/>
      <c r="P2229" s="475"/>
      <c r="Q2229" s="475"/>
      <c r="R2229" s="475"/>
      <c r="S2229" s="475"/>
      <c r="T2229" s="475"/>
      <c r="U2229" s="475"/>
      <c r="V2229" s="475"/>
      <c r="W2229" s="475"/>
    </row>
    <row r="2230" spans="2:23" s="97" customFormat="1">
      <c r="B2230" s="96"/>
      <c r="H2230" s="96"/>
      <c r="J2230" s="1"/>
      <c r="K2230" s="1"/>
      <c r="L2230" s="1"/>
      <c r="O2230" s="475"/>
      <c r="P2230" s="475"/>
      <c r="Q2230" s="475"/>
      <c r="R2230" s="475"/>
      <c r="S2230" s="475"/>
      <c r="T2230" s="475"/>
      <c r="U2230" s="475"/>
      <c r="V2230" s="475"/>
      <c r="W2230" s="475"/>
    </row>
    <row r="2231" spans="2:23" s="97" customFormat="1">
      <c r="B2231" s="96"/>
      <c r="H2231" s="96"/>
      <c r="J2231" s="1"/>
      <c r="K2231" s="1"/>
      <c r="L2231" s="1"/>
      <c r="O2231" s="475"/>
      <c r="P2231" s="475"/>
      <c r="Q2231" s="475"/>
      <c r="R2231" s="475"/>
      <c r="S2231" s="475"/>
      <c r="T2231" s="475"/>
      <c r="U2231" s="475"/>
      <c r="V2231" s="475"/>
      <c r="W2231" s="475"/>
    </row>
    <row r="2232" spans="2:23" s="97" customFormat="1">
      <c r="B2232" s="96"/>
      <c r="H2232" s="96"/>
      <c r="J2232" s="1"/>
      <c r="K2232" s="1"/>
      <c r="L2232" s="1"/>
      <c r="O2232" s="475"/>
      <c r="P2232" s="475"/>
      <c r="Q2232" s="475"/>
      <c r="R2232" s="475"/>
      <c r="S2232" s="475"/>
      <c r="T2232" s="475"/>
      <c r="U2232" s="475"/>
      <c r="V2232" s="475"/>
      <c r="W2232" s="475"/>
    </row>
    <row r="2233" spans="2:23" s="97" customFormat="1">
      <c r="B2233" s="96"/>
      <c r="H2233" s="96"/>
      <c r="J2233" s="1"/>
      <c r="K2233" s="1"/>
      <c r="L2233" s="1"/>
      <c r="O2233" s="475"/>
      <c r="P2233" s="475"/>
      <c r="Q2233" s="475"/>
      <c r="R2233" s="475"/>
      <c r="S2233" s="475"/>
      <c r="T2233" s="475"/>
      <c r="U2233" s="475"/>
      <c r="V2233" s="475"/>
      <c r="W2233" s="475"/>
    </row>
    <row r="2234" spans="2:23" s="97" customFormat="1">
      <c r="B2234" s="96"/>
      <c r="H2234" s="96"/>
      <c r="J2234" s="1"/>
      <c r="K2234" s="1"/>
      <c r="L2234" s="1"/>
      <c r="O2234" s="475"/>
      <c r="P2234" s="475"/>
      <c r="Q2234" s="475"/>
      <c r="R2234" s="475"/>
      <c r="S2234" s="475"/>
      <c r="T2234" s="475"/>
      <c r="U2234" s="475"/>
      <c r="V2234" s="475"/>
      <c r="W2234" s="475"/>
    </row>
    <row r="2235" spans="2:23" s="97" customFormat="1">
      <c r="B2235" s="96"/>
      <c r="H2235" s="96"/>
      <c r="J2235" s="1"/>
      <c r="K2235" s="1"/>
      <c r="L2235" s="1"/>
      <c r="O2235" s="475"/>
      <c r="P2235" s="475"/>
      <c r="Q2235" s="475"/>
      <c r="R2235" s="475"/>
      <c r="S2235" s="475"/>
      <c r="T2235" s="475"/>
      <c r="U2235" s="475"/>
      <c r="V2235" s="475"/>
      <c r="W2235" s="475"/>
    </row>
    <row r="2236" spans="2:23" s="97" customFormat="1">
      <c r="B2236" s="96"/>
      <c r="H2236" s="96"/>
      <c r="J2236" s="1"/>
      <c r="K2236" s="1"/>
      <c r="L2236" s="1"/>
      <c r="O2236" s="475"/>
      <c r="P2236" s="475"/>
      <c r="Q2236" s="475"/>
      <c r="R2236" s="475"/>
      <c r="S2236" s="475"/>
      <c r="T2236" s="475"/>
      <c r="U2236" s="475"/>
      <c r="V2236" s="475"/>
      <c r="W2236" s="475"/>
    </row>
    <row r="2237" spans="2:23" s="97" customFormat="1">
      <c r="B2237" s="96"/>
      <c r="H2237" s="96"/>
      <c r="J2237" s="1"/>
      <c r="K2237" s="1"/>
      <c r="L2237" s="1"/>
      <c r="O2237" s="475"/>
      <c r="P2237" s="475"/>
      <c r="Q2237" s="475"/>
      <c r="R2237" s="475"/>
      <c r="S2237" s="475"/>
      <c r="T2237" s="475"/>
      <c r="U2237" s="475"/>
      <c r="V2237" s="475"/>
      <c r="W2237" s="475"/>
    </row>
    <row r="2238" spans="2:23" s="97" customFormat="1">
      <c r="B2238" s="96"/>
      <c r="H2238" s="96"/>
      <c r="J2238" s="1"/>
      <c r="K2238" s="1"/>
      <c r="L2238" s="1"/>
      <c r="O2238" s="475"/>
      <c r="P2238" s="475"/>
      <c r="Q2238" s="475"/>
      <c r="R2238" s="475"/>
      <c r="S2238" s="475"/>
      <c r="T2238" s="475"/>
      <c r="U2238" s="475"/>
      <c r="V2238" s="475"/>
      <c r="W2238" s="475"/>
    </row>
    <row r="2239" spans="2:23" s="97" customFormat="1">
      <c r="B2239" s="96"/>
      <c r="H2239" s="96"/>
      <c r="J2239" s="1"/>
      <c r="K2239" s="1"/>
      <c r="L2239" s="1"/>
      <c r="O2239" s="475"/>
      <c r="P2239" s="475"/>
      <c r="Q2239" s="475"/>
      <c r="R2239" s="475"/>
      <c r="S2239" s="475"/>
      <c r="T2239" s="475"/>
      <c r="U2239" s="475"/>
      <c r="V2239" s="475"/>
      <c r="W2239" s="475"/>
    </row>
    <row r="2240" spans="2:23" s="97" customFormat="1">
      <c r="B2240" s="96"/>
      <c r="H2240" s="96"/>
      <c r="J2240" s="1"/>
      <c r="K2240" s="1"/>
      <c r="L2240" s="1"/>
      <c r="O2240" s="475"/>
      <c r="P2240" s="475"/>
      <c r="Q2240" s="475"/>
      <c r="R2240" s="475"/>
      <c r="S2240" s="475"/>
      <c r="T2240" s="475"/>
      <c r="U2240" s="475"/>
      <c r="V2240" s="475"/>
      <c r="W2240" s="475"/>
    </row>
    <row r="2241" spans="2:23" s="97" customFormat="1">
      <c r="B2241" s="96"/>
      <c r="H2241" s="96"/>
      <c r="J2241" s="1"/>
      <c r="K2241" s="1"/>
      <c r="L2241" s="1"/>
      <c r="O2241" s="475"/>
      <c r="P2241" s="475"/>
      <c r="Q2241" s="475"/>
      <c r="R2241" s="475"/>
      <c r="S2241" s="475"/>
      <c r="T2241" s="475"/>
      <c r="U2241" s="475"/>
      <c r="V2241" s="475"/>
      <c r="W2241" s="475"/>
    </row>
    <row r="2242" spans="2:23" s="97" customFormat="1">
      <c r="B2242" s="96"/>
      <c r="H2242" s="96"/>
      <c r="J2242" s="1"/>
      <c r="K2242" s="1"/>
      <c r="L2242" s="1"/>
      <c r="O2242" s="475"/>
      <c r="P2242" s="475"/>
      <c r="Q2242" s="475"/>
      <c r="R2242" s="475"/>
      <c r="S2242" s="475"/>
      <c r="T2242" s="475"/>
      <c r="U2242" s="475"/>
      <c r="V2242" s="475"/>
      <c r="W2242" s="475"/>
    </row>
    <row r="2243" spans="2:23" s="97" customFormat="1">
      <c r="B2243" s="96"/>
      <c r="H2243" s="96"/>
      <c r="J2243" s="1"/>
      <c r="K2243" s="1"/>
      <c r="L2243" s="1"/>
      <c r="O2243" s="475"/>
      <c r="P2243" s="475"/>
      <c r="Q2243" s="475"/>
      <c r="R2243" s="475"/>
      <c r="S2243" s="475"/>
      <c r="T2243" s="475"/>
      <c r="U2243" s="475"/>
      <c r="V2243" s="475"/>
      <c r="W2243" s="475"/>
    </row>
    <row r="2244" spans="2:23" s="97" customFormat="1">
      <c r="B2244" s="96"/>
      <c r="H2244" s="96"/>
      <c r="J2244" s="1"/>
      <c r="K2244" s="1"/>
      <c r="L2244" s="1"/>
      <c r="O2244" s="475"/>
      <c r="P2244" s="475"/>
      <c r="Q2244" s="475"/>
      <c r="R2244" s="475"/>
      <c r="S2244" s="475"/>
      <c r="T2244" s="475"/>
      <c r="U2244" s="475"/>
      <c r="V2244" s="475"/>
      <c r="W2244" s="475"/>
    </row>
    <row r="2245" spans="2:23" s="97" customFormat="1">
      <c r="B2245" s="96"/>
      <c r="H2245" s="96"/>
      <c r="J2245" s="1"/>
      <c r="K2245" s="1"/>
      <c r="L2245" s="1"/>
      <c r="O2245" s="475"/>
      <c r="P2245" s="475"/>
      <c r="Q2245" s="475"/>
      <c r="R2245" s="475"/>
      <c r="S2245" s="475"/>
      <c r="T2245" s="475"/>
      <c r="U2245" s="475"/>
      <c r="V2245" s="475"/>
      <c r="W2245" s="475"/>
    </row>
    <row r="2246" spans="2:23" s="97" customFormat="1">
      <c r="B2246" s="96"/>
      <c r="H2246" s="96"/>
      <c r="J2246" s="1"/>
      <c r="K2246" s="1"/>
      <c r="L2246" s="1"/>
      <c r="O2246" s="475"/>
      <c r="P2246" s="475"/>
      <c r="Q2246" s="475"/>
      <c r="R2246" s="475"/>
      <c r="S2246" s="475"/>
      <c r="T2246" s="475"/>
      <c r="U2246" s="475"/>
      <c r="V2246" s="475"/>
      <c r="W2246" s="475"/>
    </row>
    <row r="2247" spans="2:23" s="97" customFormat="1">
      <c r="B2247" s="96"/>
      <c r="H2247" s="96"/>
      <c r="J2247" s="1"/>
      <c r="K2247" s="1"/>
      <c r="L2247" s="1"/>
      <c r="O2247" s="475"/>
      <c r="P2247" s="475"/>
      <c r="Q2247" s="475"/>
      <c r="R2247" s="475"/>
      <c r="S2247" s="475"/>
      <c r="T2247" s="475"/>
      <c r="U2247" s="475"/>
      <c r="V2247" s="475"/>
      <c r="W2247" s="475"/>
    </row>
    <row r="2248" spans="2:23" s="97" customFormat="1">
      <c r="B2248" s="96"/>
      <c r="H2248" s="96"/>
      <c r="J2248" s="1"/>
      <c r="K2248" s="1"/>
      <c r="L2248" s="1"/>
      <c r="O2248" s="475"/>
      <c r="P2248" s="475"/>
      <c r="Q2248" s="475"/>
      <c r="R2248" s="475"/>
      <c r="S2248" s="475"/>
      <c r="T2248" s="475"/>
      <c r="U2248" s="475"/>
      <c r="V2248" s="475"/>
      <c r="W2248" s="475"/>
    </row>
    <row r="2249" spans="2:23" s="97" customFormat="1">
      <c r="B2249" s="96"/>
      <c r="H2249" s="96"/>
      <c r="J2249" s="1"/>
      <c r="K2249" s="1"/>
      <c r="L2249" s="1"/>
      <c r="O2249" s="475"/>
      <c r="P2249" s="475"/>
      <c r="Q2249" s="475"/>
      <c r="R2249" s="475"/>
      <c r="S2249" s="475"/>
      <c r="T2249" s="475"/>
      <c r="U2249" s="475"/>
      <c r="V2249" s="475"/>
      <c r="W2249" s="475"/>
    </row>
    <row r="2250" spans="2:23" s="97" customFormat="1">
      <c r="B2250" s="96"/>
      <c r="H2250" s="96"/>
      <c r="J2250" s="1"/>
      <c r="K2250" s="1"/>
      <c r="L2250" s="1"/>
      <c r="O2250" s="475"/>
      <c r="P2250" s="475"/>
      <c r="Q2250" s="475"/>
      <c r="R2250" s="475"/>
      <c r="S2250" s="475"/>
      <c r="T2250" s="475"/>
      <c r="U2250" s="475"/>
      <c r="V2250" s="475"/>
      <c r="W2250" s="475"/>
    </row>
    <row r="2251" spans="2:23" s="97" customFormat="1">
      <c r="B2251" s="96"/>
      <c r="H2251" s="96"/>
      <c r="J2251" s="1"/>
      <c r="K2251" s="1"/>
      <c r="L2251" s="1"/>
      <c r="O2251" s="475"/>
      <c r="P2251" s="475"/>
      <c r="Q2251" s="475"/>
      <c r="R2251" s="475"/>
      <c r="S2251" s="475"/>
      <c r="T2251" s="475"/>
      <c r="U2251" s="475"/>
      <c r="V2251" s="475"/>
      <c r="W2251" s="475"/>
    </row>
    <row r="2252" spans="2:23" s="97" customFormat="1">
      <c r="B2252" s="96"/>
      <c r="H2252" s="96"/>
      <c r="J2252" s="1"/>
      <c r="K2252" s="1"/>
      <c r="L2252" s="1"/>
      <c r="O2252" s="475"/>
      <c r="P2252" s="475"/>
      <c r="Q2252" s="475"/>
      <c r="R2252" s="475"/>
      <c r="S2252" s="475"/>
      <c r="T2252" s="475"/>
      <c r="U2252" s="475"/>
      <c r="V2252" s="475"/>
      <c r="W2252" s="475"/>
    </row>
    <row r="2253" spans="2:23" s="97" customFormat="1">
      <c r="B2253" s="96"/>
      <c r="H2253" s="96"/>
      <c r="J2253" s="1"/>
      <c r="K2253" s="1"/>
      <c r="L2253" s="1"/>
      <c r="O2253" s="475"/>
      <c r="P2253" s="475"/>
      <c r="Q2253" s="475"/>
      <c r="R2253" s="475"/>
      <c r="S2253" s="475"/>
      <c r="T2253" s="475"/>
      <c r="U2253" s="475"/>
      <c r="V2253" s="475"/>
      <c r="W2253" s="475"/>
    </row>
    <row r="2254" spans="2:23" s="97" customFormat="1">
      <c r="B2254" s="96"/>
      <c r="H2254" s="96"/>
      <c r="J2254" s="1"/>
      <c r="K2254" s="1"/>
      <c r="L2254" s="1"/>
      <c r="O2254" s="475"/>
      <c r="P2254" s="475"/>
      <c r="Q2254" s="475"/>
      <c r="R2254" s="475"/>
      <c r="S2254" s="475"/>
      <c r="T2254" s="475"/>
      <c r="U2254" s="475"/>
      <c r="V2254" s="475"/>
      <c r="W2254" s="475"/>
    </row>
    <row r="2255" spans="2:23" s="97" customFormat="1">
      <c r="B2255" s="96"/>
      <c r="H2255" s="96"/>
      <c r="J2255" s="1"/>
      <c r="K2255" s="1"/>
      <c r="L2255" s="1"/>
      <c r="O2255" s="475"/>
      <c r="P2255" s="475"/>
      <c r="Q2255" s="475"/>
      <c r="R2255" s="475"/>
      <c r="S2255" s="475"/>
      <c r="T2255" s="475"/>
      <c r="U2255" s="475"/>
      <c r="V2255" s="475"/>
      <c r="W2255" s="475"/>
    </row>
    <row r="2256" spans="2:23" s="97" customFormat="1">
      <c r="B2256" s="96"/>
      <c r="H2256" s="96"/>
      <c r="J2256" s="1"/>
      <c r="K2256" s="1"/>
      <c r="L2256" s="1"/>
      <c r="O2256" s="475"/>
      <c r="P2256" s="475"/>
      <c r="Q2256" s="475"/>
      <c r="R2256" s="475"/>
      <c r="S2256" s="475"/>
      <c r="T2256" s="475"/>
      <c r="U2256" s="475"/>
      <c r="V2256" s="475"/>
      <c r="W2256" s="475"/>
    </row>
    <row r="2257" spans="2:23" s="97" customFormat="1">
      <c r="B2257" s="96"/>
      <c r="H2257" s="96"/>
      <c r="J2257" s="1"/>
      <c r="K2257" s="1"/>
      <c r="L2257" s="1"/>
      <c r="O2257" s="475"/>
      <c r="P2257" s="475"/>
      <c r="Q2257" s="475"/>
      <c r="R2257" s="475"/>
      <c r="S2257" s="475"/>
      <c r="T2257" s="475"/>
      <c r="U2257" s="475"/>
      <c r="V2257" s="475"/>
      <c r="W2257" s="475"/>
    </row>
    <row r="2258" spans="2:23" s="97" customFormat="1">
      <c r="B2258" s="96"/>
      <c r="H2258" s="96"/>
      <c r="J2258" s="1"/>
      <c r="K2258" s="1"/>
      <c r="L2258" s="1"/>
      <c r="O2258" s="475"/>
      <c r="P2258" s="475"/>
      <c r="Q2258" s="475"/>
      <c r="R2258" s="475"/>
      <c r="S2258" s="475"/>
      <c r="T2258" s="475"/>
      <c r="U2258" s="475"/>
      <c r="V2258" s="475"/>
      <c r="W2258" s="475"/>
    </row>
    <row r="2259" spans="2:23" s="97" customFormat="1">
      <c r="B2259" s="96"/>
      <c r="H2259" s="96"/>
      <c r="J2259" s="1"/>
      <c r="K2259" s="1"/>
      <c r="L2259" s="1"/>
      <c r="O2259" s="475"/>
      <c r="P2259" s="475"/>
      <c r="Q2259" s="475"/>
      <c r="R2259" s="475"/>
      <c r="S2259" s="475"/>
      <c r="T2259" s="475"/>
      <c r="U2259" s="475"/>
      <c r="V2259" s="475"/>
      <c r="W2259" s="475"/>
    </row>
    <row r="2260" spans="2:23" s="97" customFormat="1">
      <c r="B2260" s="96"/>
      <c r="H2260" s="96"/>
      <c r="J2260" s="1"/>
      <c r="K2260" s="1"/>
      <c r="L2260" s="1"/>
      <c r="O2260" s="475"/>
      <c r="P2260" s="475"/>
      <c r="Q2260" s="475"/>
      <c r="R2260" s="475"/>
      <c r="S2260" s="475"/>
      <c r="T2260" s="475"/>
      <c r="U2260" s="475"/>
      <c r="V2260" s="475"/>
      <c r="W2260" s="475"/>
    </row>
    <row r="2261" spans="2:23" s="97" customFormat="1">
      <c r="B2261" s="96"/>
      <c r="H2261" s="96"/>
      <c r="J2261" s="1"/>
      <c r="K2261" s="1"/>
      <c r="L2261" s="1"/>
      <c r="O2261" s="475"/>
      <c r="P2261" s="475"/>
      <c r="Q2261" s="475"/>
      <c r="R2261" s="475"/>
      <c r="S2261" s="475"/>
      <c r="T2261" s="475"/>
      <c r="U2261" s="475"/>
      <c r="V2261" s="475"/>
      <c r="W2261" s="475"/>
    </row>
    <row r="2262" spans="2:23" s="97" customFormat="1">
      <c r="B2262" s="96"/>
      <c r="H2262" s="96"/>
      <c r="J2262" s="1"/>
      <c r="K2262" s="1"/>
      <c r="L2262" s="1"/>
      <c r="O2262" s="475"/>
      <c r="P2262" s="475"/>
      <c r="Q2262" s="475"/>
      <c r="R2262" s="475"/>
      <c r="S2262" s="475"/>
      <c r="T2262" s="475"/>
      <c r="U2262" s="475"/>
      <c r="V2262" s="475"/>
      <c r="W2262" s="475"/>
    </row>
    <row r="2263" spans="2:23" s="97" customFormat="1">
      <c r="B2263" s="96"/>
      <c r="H2263" s="96"/>
      <c r="J2263" s="1"/>
      <c r="K2263" s="1"/>
      <c r="L2263" s="1"/>
      <c r="O2263" s="475"/>
      <c r="P2263" s="475"/>
      <c r="Q2263" s="475"/>
      <c r="R2263" s="475"/>
      <c r="S2263" s="475"/>
      <c r="T2263" s="475"/>
      <c r="U2263" s="475"/>
      <c r="V2263" s="475"/>
      <c r="W2263" s="475"/>
    </row>
    <row r="2264" spans="2:23" s="97" customFormat="1">
      <c r="B2264" s="96"/>
      <c r="H2264" s="96"/>
      <c r="J2264" s="1"/>
      <c r="K2264" s="1"/>
      <c r="L2264" s="1"/>
      <c r="O2264" s="475"/>
      <c r="P2264" s="475"/>
      <c r="Q2264" s="475"/>
      <c r="R2264" s="475"/>
      <c r="S2264" s="475"/>
      <c r="T2264" s="475"/>
      <c r="U2264" s="475"/>
      <c r="V2264" s="475"/>
      <c r="W2264" s="475"/>
    </row>
    <row r="2265" spans="2:23" s="97" customFormat="1">
      <c r="B2265" s="96"/>
      <c r="H2265" s="96"/>
      <c r="J2265" s="1"/>
      <c r="K2265" s="1"/>
      <c r="L2265" s="1"/>
      <c r="O2265" s="475"/>
      <c r="P2265" s="475"/>
      <c r="Q2265" s="475"/>
      <c r="R2265" s="475"/>
      <c r="S2265" s="475"/>
      <c r="T2265" s="475"/>
      <c r="U2265" s="475"/>
      <c r="V2265" s="475"/>
      <c r="W2265" s="475"/>
    </row>
    <row r="2266" spans="2:23" s="97" customFormat="1">
      <c r="B2266" s="96"/>
      <c r="H2266" s="96"/>
      <c r="J2266" s="1"/>
      <c r="K2266" s="1"/>
      <c r="L2266" s="1"/>
      <c r="O2266" s="475"/>
      <c r="P2266" s="475"/>
      <c r="Q2266" s="475"/>
      <c r="R2266" s="475"/>
      <c r="S2266" s="475"/>
      <c r="T2266" s="475"/>
      <c r="U2266" s="475"/>
      <c r="V2266" s="475"/>
      <c r="W2266" s="475"/>
    </row>
    <row r="2267" spans="2:23" s="97" customFormat="1">
      <c r="B2267" s="96"/>
      <c r="H2267" s="96"/>
      <c r="J2267" s="1"/>
      <c r="K2267" s="1"/>
      <c r="L2267" s="1"/>
      <c r="O2267" s="475"/>
      <c r="P2267" s="475"/>
      <c r="Q2267" s="475"/>
      <c r="R2267" s="475"/>
      <c r="S2267" s="475"/>
      <c r="T2267" s="475"/>
      <c r="U2267" s="475"/>
      <c r="V2267" s="475"/>
      <c r="W2267" s="475"/>
    </row>
    <row r="2268" spans="2:23" s="97" customFormat="1">
      <c r="B2268" s="96"/>
      <c r="H2268" s="96"/>
      <c r="J2268" s="1"/>
      <c r="K2268" s="1"/>
      <c r="L2268" s="1"/>
      <c r="O2268" s="475"/>
      <c r="P2268" s="475"/>
      <c r="Q2268" s="475"/>
      <c r="R2268" s="475"/>
      <c r="S2268" s="475"/>
      <c r="T2268" s="475"/>
      <c r="U2268" s="475"/>
      <c r="V2268" s="475"/>
      <c r="W2268" s="475"/>
    </row>
    <row r="2269" spans="2:23" s="97" customFormat="1">
      <c r="B2269" s="96"/>
      <c r="H2269" s="96"/>
      <c r="J2269" s="1"/>
      <c r="K2269" s="1"/>
      <c r="L2269" s="1"/>
      <c r="O2269" s="475"/>
      <c r="P2269" s="475"/>
      <c r="Q2269" s="475"/>
      <c r="R2269" s="475"/>
      <c r="S2269" s="475"/>
      <c r="T2269" s="475"/>
      <c r="U2269" s="475"/>
      <c r="V2269" s="475"/>
      <c r="W2269" s="475"/>
    </row>
    <row r="2270" spans="2:23" s="97" customFormat="1">
      <c r="B2270" s="96"/>
      <c r="H2270" s="96"/>
      <c r="J2270" s="1"/>
      <c r="K2270" s="1"/>
      <c r="L2270" s="1"/>
      <c r="O2270" s="475"/>
      <c r="P2270" s="475"/>
      <c r="Q2270" s="475"/>
      <c r="R2270" s="475"/>
      <c r="S2270" s="475"/>
      <c r="T2270" s="475"/>
      <c r="U2270" s="475"/>
      <c r="V2270" s="475"/>
      <c r="W2270" s="475"/>
    </row>
    <row r="2271" spans="2:23" s="97" customFormat="1">
      <c r="B2271" s="96"/>
      <c r="H2271" s="96"/>
      <c r="J2271" s="1"/>
      <c r="K2271" s="1"/>
      <c r="L2271" s="1"/>
      <c r="O2271" s="475"/>
      <c r="P2271" s="475"/>
      <c r="Q2271" s="475"/>
      <c r="R2271" s="475"/>
      <c r="S2271" s="475"/>
      <c r="T2271" s="475"/>
      <c r="U2271" s="475"/>
      <c r="V2271" s="475"/>
      <c r="W2271" s="475"/>
    </row>
    <row r="2272" spans="2:23" s="97" customFormat="1">
      <c r="B2272" s="96"/>
      <c r="H2272" s="96"/>
      <c r="J2272" s="1"/>
      <c r="K2272" s="1"/>
      <c r="L2272" s="1"/>
      <c r="O2272" s="475"/>
      <c r="P2272" s="475"/>
      <c r="Q2272" s="475"/>
      <c r="R2272" s="475"/>
      <c r="S2272" s="475"/>
      <c r="T2272" s="475"/>
      <c r="U2272" s="475"/>
      <c r="V2272" s="475"/>
      <c r="W2272" s="475"/>
    </row>
    <row r="2273" spans="2:23" s="97" customFormat="1">
      <c r="B2273" s="96"/>
      <c r="H2273" s="96"/>
      <c r="J2273" s="1"/>
      <c r="K2273" s="1"/>
      <c r="L2273" s="1"/>
      <c r="O2273" s="475"/>
      <c r="P2273" s="475"/>
      <c r="Q2273" s="475"/>
      <c r="R2273" s="475"/>
      <c r="S2273" s="475"/>
      <c r="T2273" s="475"/>
      <c r="U2273" s="475"/>
      <c r="V2273" s="475"/>
      <c r="W2273" s="475"/>
    </row>
    <row r="2274" spans="2:23" s="97" customFormat="1">
      <c r="B2274" s="96"/>
      <c r="H2274" s="96"/>
      <c r="J2274" s="1"/>
      <c r="K2274" s="1"/>
      <c r="L2274" s="1"/>
      <c r="O2274" s="475"/>
      <c r="P2274" s="475"/>
      <c r="Q2274" s="475"/>
      <c r="R2274" s="475"/>
      <c r="S2274" s="475"/>
      <c r="T2274" s="475"/>
      <c r="U2274" s="475"/>
      <c r="V2274" s="475"/>
      <c r="W2274" s="475"/>
    </row>
    <row r="2275" spans="2:23" s="97" customFormat="1">
      <c r="B2275" s="96"/>
      <c r="H2275" s="96"/>
      <c r="J2275" s="1"/>
      <c r="K2275" s="1"/>
      <c r="L2275" s="1"/>
      <c r="O2275" s="475"/>
      <c r="P2275" s="475"/>
      <c r="Q2275" s="475"/>
      <c r="R2275" s="475"/>
      <c r="S2275" s="475"/>
      <c r="T2275" s="475"/>
      <c r="U2275" s="475"/>
      <c r="V2275" s="475"/>
      <c r="W2275" s="475"/>
    </row>
    <row r="2276" spans="2:23" s="97" customFormat="1">
      <c r="B2276" s="96"/>
      <c r="H2276" s="96"/>
      <c r="J2276" s="1"/>
      <c r="K2276" s="1"/>
      <c r="L2276" s="1"/>
      <c r="O2276" s="475"/>
      <c r="P2276" s="475"/>
      <c r="Q2276" s="475"/>
      <c r="R2276" s="475"/>
      <c r="S2276" s="475"/>
      <c r="T2276" s="475"/>
      <c r="U2276" s="475"/>
      <c r="V2276" s="475"/>
      <c r="W2276" s="475"/>
    </row>
    <row r="2277" spans="2:23" s="97" customFormat="1">
      <c r="B2277" s="96"/>
      <c r="H2277" s="96"/>
      <c r="J2277" s="1"/>
      <c r="K2277" s="1"/>
      <c r="L2277" s="1"/>
      <c r="O2277" s="475"/>
      <c r="P2277" s="475"/>
      <c r="Q2277" s="475"/>
      <c r="R2277" s="475"/>
      <c r="S2277" s="475"/>
      <c r="T2277" s="475"/>
      <c r="U2277" s="475"/>
      <c r="V2277" s="475"/>
      <c r="W2277" s="475"/>
    </row>
    <row r="2278" spans="2:23" s="97" customFormat="1">
      <c r="B2278" s="96"/>
      <c r="H2278" s="96"/>
      <c r="J2278" s="1"/>
      <c r="K2278" s="1"/>
      <c r="L2278" s="1"/>
      <c r="O2278" s="475"/>
      <c r="P2278" s="475"/>
      <c r="Q2278" s="475"/>
      <c r="R2278" s="475"/>
      <c r="S2278" s="475"/>
      <c r="T2278" s="475"/>
      <c r="U2278" s="475"/>
      <c r="V2278" s="475"/>
      <c r="W2278" s="475"/>
    </row>
    <row r="2279" spans="2:23" s="97" customFormat="1">
      <c r="B2279" s="96"/>
      <c r="H2279" s="96"/>
      <c r="J2279" s="1"/>
      <c r="K2279" s="1"/>
      <c r="L2279" s="1"/>
      <c r="O2279" s="475"/>
      <c r="P2279" s="475"/>
      <c r="Q2279" s="475"/>
      <c r="R2279" s="475"/>
      <c r="S2279" s="475"/>
      <c r="T2279" s="475"/>
      <c r="U2279" s="475"/>
      <c r="V2279" s="475"/>
      <c r="W2279" s="475"/>
    </row>
    <row r="2280" spans="2:23" s="97" customFormat="1">
      <c r="B2280" s="96"/>
      <c r="H2280" s="96"/>
      <c r="J2280" s="1"/>
      <c r="K2280" s="1"/>
      <c r="L2280" s="1"/>
      <c r="O2280" s="475"/>
      <c r="P2280" s="475"/>
      <c r="Q2280" s="475"/>
      <c r="R2280" s="475"/>
      <c r="S2280" s="475"/>
      <c r="T2280" s="475"/>
      <c r="U2280" s="475"/>
      <c r="V2280" s="475"/>
      <c r="W2280" s="475"/>
    </row>
    <row r="2281" spans="2:23" s="97" customFormat="1">
      <c r="B2281" s="96"/>
      <c r="H2281" s="96"/>
      <c r="J2281" s="1"/>
      <c r="K2281" s="1"/>
      <c r="L2281" s="1"/>
      <c r="O2281" s="475"/>
      <c r="P2281" s="475"/>
      <c r="Q2281" s="475"/>
      <c r="R2281" s="475"/>
      <c r="S2281" s="475"/>
      <c r="T2281" s="475"/>
      <c r="U2281" s="475"/>
      <c r="V2281" s="475"/>
      <c r="W2281" s="475"/>
    </row>
    <row r="2282" spans="2:23" s="97" customFormat="1">
      <c r="B2282" s="96"/>
      <c r="H2282" s="96"/>
      <c r="J2282" s="1"/>
      <c r="K2282" s="1"/>
      <c r="L2282" s="1"/>
      <c r="O2282" s="475"/>
      <c r="P2282" s="475"/>
      <c r="Q2282" s="475"/>
      <c r="R2282" s="475"/>
      <c r="S2282" s="475"/>
      <c r="T2282" s="475"/>
      <c r="U2282" s="475"/>
      <c r="V2282" s="475"/>
      <c r="W2282" s="475"/>
    </row>
    <row r="2283" spans="2:23" s="97" customFormat="1">
      <c r="B2283" s="96"/>
      <c r="H2283" s="96"/>
      <c r="J2283" s="1"/>
      <c r="K2283" s="1"/>
      <c r="L2283" s="1"/>
      <c r="O2283" s="475"/>
      <c r="P2283" s="475"/>
      <c r="Q2283" s="475"/>
      <c r="R2283" s="475"/>
      <c r="S2283" s="475"/>
      <c r="T2283" s="475"/>
      <c r="U2283" s="475"/>
      <c r="V2283" s="475"/>
      <c r="W2283" s="475"/>
    </row>
    <row r="2284" spans="2:23" s="97" customFormat="1">
      <c r="B2284" s="96"/>
      <c r="H2284" s="96"/>
      <c r="J2284" s="1"/>
      <c r="K2284" s="1"/>
      <c r="L2284" s="1"/>
      <c r="O2284" s="475"/>
      <c r="P2284" s="475"/>
      <c r="Q2284" s="475"/>
      <c r="R2284" s="475"/>
      <c r="S2284" s="475"/>
      <c r="T2284" s="475"/>
      <c r="U2284" s="475"/>
      <c r="V2284" s="475"/>
      <c r="W2284" s="475"/>
    </row>
    <row r="2285" spans="2:23" s="97" customFormat="1">
      <c r="B2285" s="96"/>
      <c r="H2285" s="96"/>
      <c r="J2285" s="1"/>
      <c r="K2285" s="1"/>
      <c r="L2285" s="1"/>
      <c r="O2285" s="475"/>
      <c r="P2285" s="475"/>
      <c r="Q2285" s="475"/>
      <c r="R2285" s="475"/>
      <c r="S2285" s="475"/>
      <c r="T2285" s="475"/>
      <c r="U2285" s="475"/>
      <c r="V2285" s="475"/>
      <c r="W2285" s="475"/>
    </row>
    <row r="2286" spans="2:23" s="97" customFormat="1">
      <c r="B2286" s="96"/>
      <c r="H2286" s="96"/>
      <c r="J2286" s="1"/>
      <c r="K2286" s="1"/>
      <c r="L2286" s="1"/>
      <c r="O2286" s="475"/>
      <c r="P2286" s="475"/>
      <c r="Q2286" s="475"/>
      <c r="R2286" s="475"/>
      <c r="S2286" s="475"/>
      <c r="T2286" s="475"/>
      <c r="U2286" s="475"/>
      <c r="V2286" s="475"/>
      <c r="W2286" s="475"/>
    </row>
    <row r="2287" spans="2:23" s="97" customFormat="1">
      <c r="B2287" s="96"/>
      <c r="H2287" s="96"/>
      <c r="J2287" s="1"/>
      <c r="K2287" s="1"/>
      <c r="L2287" s="1"/>
      <c r="O2287" s="475"/>
      <c r="P2287" s="475"/>
      <c r="Q2287" s="475"/>
      <c r="R2287" s="475"/>
      <c r="S2287" s="475"/>
      <c r="T2287" s="475"/>
      <c r="U2287" s="475"/>
      <c r="V2287" s="475"/>
      <c r="W2287" s="475"/>
    </row>
    <row r="2288" spans="2:23" s="97" customFormat="1">
      <c r="B2288" s="96"/>
      <c r="H2288" s="96"/>
      <c r="J2288" s="1"/>
      <c r="K2288" s="1"/>
      <c r="L2288" s="1"/>
      <c r="O2288" s="475"/>
      <c r="P2288" s="475"/>
      <c r="Q2288" s="475"/>
      <c r="R2288" s="475"/>
      <c r="S2288" s="475"/>
      <c r="T2288" s="475"/>
      <c r="U2288" s="475"/>
      <c r="V2288" s="475"/>
      <c r="W2288" s="475"/>
    </row>
    <row r="2289" spans="2:23" s="97" customFormat="1">
      <c r="B2289" s="96"/>
      <c r="H2289" s="96"/>
      <c r="J2289" s="1"/>
      <c r="K2289" s="1"/>
      <c r="L2289" s="1"/>
      <c r="O2289" s="475"/>
      <c r="P2289" s="475"/>
      <c r="Q2289" s="475"/>
      <c r="R2289" s="475"/>
      <c r="S2289" s="475"/>
      <c r="T2289" s="475"/>
      <c r="U2289" s="475"/>
      <c r="V2289" s="475"/>
      <c r="W2289" s="475"/>
    </row>
    <row r="2290" spans="2:23" s="97" customFormat="1">
      <c r="B2290" s="96"/>
      <c r="H2290" s="96"/>
      <c r="J2290" s="1"/>
      <c r="K2290" s="1"/>
      <c r="L2290" s="1"/>
      <c r="O2290" s="475"/>
      <c r="P2290" s="475"/>
      <c r="Q2290" s="475"/>
      <c r="R2290" s="475"/>
      <c r="S2290" s="475"/>
      <c r="T2290" s="475"/>
      <c r="U2290" s="475"/>
      <c r="V2290" s="475"/>
      <c r="W2290" s="475"/>
    </row>
    <row r="2291" spans="2:23" s="97" customFormat="1">
      <c r="B2291" s="96"/>
      <c r="H2291" s="96"/>
      <c r="J2291" s="1"/>
      <c r="K2291" s="1"/>
      <c r="L2291" s="1"/>
      <c r="O2291" s="475"/>
      <c r="P2291" s="475"/>
      <c r="Q2291" s="475"/>
      <c r="R2291" s="475"/>
      <c r="S2291" s="475"/>
      <c r="T2291" s="475"/>
      <c r="U2291" s="475"/>
      <c r="V2291" s="475"/>
      <c r="W2291" s="475"/>
    </row>
    <row r="2292" spans="2:23" s="97" customFormat="1">
      <c r="B2292" s="96"/>
      <c r="H2292" s="96"/>
      <c r="J2292" s="1"/>
      <c r="K2292" s="1"/>
      <c r="L2292" s="1"/>
      <c r="O2292" s="475"/>
      <c r="P2292" s="475"/>
      <c r="Q2292" s="475"/>
      <c r="R2292" s="475"/>
      <c r="S2292" s="475"/>
      <c r="T2292" s="475"/>
      <c r="U2292" s="475"/>
      <c r="V2292" s="475"/>
      <c r="W2292" s="475"/>
    </row>
    <row r="2293" spans="2:23" s="97" customFormat="1">
      <c r="B2293" s="96"/>
      <c r="H2293" s="96"/>
      <c r="J2293" s="1"/>
      <c r="K2293" s="1"/>
      <c r="L2293" s="1"/>
      <c r="O2293" s="475"/>
      <c r="P2293" s="475"/>
      <c r="Q2293" s="475"/>
      <c r="R2293" s="475"/>
      <c r="S2293" s="475"/>
      <c r="T2293" s="475"/>
      <c r="U2293" s="475"/>
      <c r="V2293" s="475"/>
      <c r="W2293" s="475"/>
    </row>
    <row r="2294" spans="2:23" s="97" customFormat="1">
      <c r="B2294" s="96"/>
      <c r="H2294" s="96"/>
      <c r="J2294" s="1"/>
      <c r="K2294" s="1"/>
      <c r="L2294" s="1"/>
      <c r="O2294" s="475"/>
      <c r="P2294" s="475"/>
      <c r="Q2294" s="475"/>
      <c r="R2294" s="475"/>
      <c r="S2294" s="475"/>
      <c r="T2294" s="475"/>
      <c r="U2294" s="475"/>
      <c r="V2294" s="475"/>
      <c r="W2294" s="475"/>
    </row>
    <row r="2295" spans="2:23" s="97" customFormat="1">
      <c r="B2295" s="96"/>
      <c r="H2295" s="96"/>
      <c r="J2295" s="1"/>
      <c r="K2295" s="1"/>
      <c r="L2295" s="1"/>
      <c r="O2295" s="475"/>
      <c r="P2295" s="475"/>
      <c r="Q2295" s="475"/>
      <c r="R2295" s="475"/>
      <c r="S2295" s="475"/>
      <c r="T2295" s="475"/>
      <c r="U2295" s="475"/>
      <c r="V2295" s="475"/>
      <c r="W2295" s="475"/>
    </row>
    <row r="2296" spans="2:23" s="97" customFormat="1">
      <c r="B2296" s="96"/>
      <c r="H2296" s="96"/>
      <c r="J2296" s="1"/>
      <c r="K2296" s="1"/>
      <c r="L2296" s="1"/>
      <c r="O2296" s="475"/>
      <c r="P2296" s="475"/>
      <c r="Q2296" s="475"/>
      <c r="R2296" s="475"/>
      <c r="S2296" s="475"/>
      <c r="T2296" s="475"/>
      <c r="U2296" s="475"/>
      <c r="V2296" s="475"/>
      <c r="W2296" s="475"/>
    </row>
    <row r="2297" spans="2:23" s="97" customFormat="1">
      <c r="B2297" s="96"/>
      <c r="H2297" s="96"/>
      <c r="J2297" s="1"/>
      <c r="K2297" s="1"/>
      <c r="L2297" s="1"/>
      <c r="O2297" s="475"/>
      <c r="P2297" s="475"/>
      <c r="Q2297" s="475"/>
      <c r="R2297" s="475"/>
      <c r="S2297" s="475"/>
      <c r="T2297" s="475"/>
      <c r="U2297" s="475"/>
      <c r="V2297" s="475"/>
      <c r="W2297" s="475"/>
    </row>
    <row r="2298" spans="2:23" s="97" customFormat="1">
      <c r="B2298" s="96"/>
      <c r="H2298" s="96"/>
      <c r="J2298" s="1"/>
      <c r="K2298" s="1"/>
      <c r="L2298" s="1"/>
      <c r="O2298" s="475"/>
      <c r="P2298" s="475"/>
      <c r="Q2298" s="475"/>
      <c r="R2298" s="475"/>
      <c r="S2298" s="475"/>
      <c r="T2298" s="475"/>
      <c r="U2298" s="475"/>
      <c r="V2298" s="475"/>
      <c r="W2298" s="475"/>
    </row>
    <row r="2299" spans="2:23" s="97" customFormat="1">
      <c r="B2299" s="96"/>
      <c r="H2299" s="96"/>
      <c r="J2299" s="1"/>
      <c r="K2299" s="1"/>
      <c r="L2299" s="1"/>
      <c r="O2299" s="475"/>
      <c r="P2299" s="475"/>
      <c r="Q2299" s="475"/>
      <c r="R2299" s="475"/>
      <c r="S2299" s="475"/>
      <c r="T2299" s="475"/>
      <c r="U2299" s="475"/>
      <c r="V2299" s="475"/>
      <c r="W2299" s="475"/>
    </row>
    <row r="2300" spans="2:23" s="97" customFormat="1">
      <c r="B2300" s="96"/>
      <c r="H2300" s="96"/>
      <c r="J2300" s="1"/>
      <c r="K2300" s="1"/>
      <c r="L2300" s="1"/>
      <c r="O2300" s="475"/>
      <c r="P2300" s="475"/>
      <c r="Q2300" s="475"/>
      <c r="R2300" s="475"/>
      <c r="S2300" s="475"/>
      <c r="T2300" s="475"/>
      <c r="U2300" s="475"/>
      <c r="V2300" s="475"/>
      <c r="W2300" s="475"/>
    </row>
    <row r="2301" spans="2:23" s="97" customFormat="1">
      <c r="B2301" s="96"/>
      <c r="H2301" s="96"/>
      <c r="J2301" s="1"/>
      <c r="K2301" s="1"/>
      <c r="L2301" s="1"/>
      <c r="O2301" s="475"/>
      <c r="P2301" s="475"/>
      <c r="Q2301" s="475"/>
      <c r="R2301" s="475"/>
      <c r="S2301" s="475"/>
      <c r="T2301" s="475"/>
      <c r="U2301" s="475"/>
      <c r="V2301" s="475"/>
      <c r="W2301" s="475"/>
    </row>
    <row r="2302" spans="2:23" s="97" customFormat="1">
      <c r="B2302" s="96"/>
      <c r="H2302" s="96"/>
      <c r="J2302" s="1"/>
      <c r="K2302" s="1"/>
      <c r="L2302" s="1"/>
      <c r="O2302" s="475"/>
      <c r="P2302" s="475"/>
      <c r="Q2302" s="475"/>
      <c r="R2302" s="475"/>
      <c r="S2302" s="475"/>
      <c r="T2302" s="475"/>
      <c r="U2302" s="475"/>
      <c r="V2302" s="475"/>
      <c r="W2302" s="475"/>
    </row>
    <row r="2303" spans="2:23" s="97" customFormat="1">
      <c r="B2303" s="96"/>
      <c r="H2303" s="96"/>
      <c r="J2303" s="1"/>
      <c r="K2303" s="1"/>
      <c r="L2303" s="1"/>
      <c r="O2303" s="475"/>
      <c r="P2303" s="475"/>
      <c r="Q2303" s="475"/>
      <c r="R2303" s="475"/>
      <c r="S2303" s="475"/>
      <c r="T2303" s="475"/>
      <c r="U2303" s="475"/>
      <c r="V2303" s="475"/>
      <c r="W2303" s="475"/>
    </row>
    <row r="2304" spans="2:23" s="97" customFormat="1">
      <c r="B2304" s="96"/>
      <c r="H2304" s="96"/>
      <c r="J2304" s="1"/>
      <c r="K2304" s="1"/>
      <c r="L2304" s="1"/>
      <c r="O2304" s="475"/>
      <c r="P2304" s="475"/>
      <c r="Q2304" s="475"/>
      <c r="R2304" s="475"/>
      <c r="S2304" s="475"/>
      <c r="T2304" s="475"/>
      <c r="U2304" s="475"/>
      <c r="V2304" s="475"/>
      <c r="W2304" s="475"/>
    </row>
    <row r="2305" spans="2:23" s="97" customFormat="1">
      <c r="B2305" s="96"/>
      <c r="H2305" s="96"/>
      <c r="J2305" s="1"/>
      <c r="K2305" s="1"/>
      <c r="L2305" s="1"/>
      <c r="O2305" s="475"/>
      <c r="P2305" s="475"/>
      <c r="Q2305" s="475"/>
      <c r="R2305" s="475"/>
      <c r="S2305" s="475"/>
      <c r="T2305" s="475"/>
      <c r="U2305" s="475"/>
      <c r="V2305" s="475"/>
      <c r="W2305" s="475"/>
    </row>
    <row r="2306" spans="2:23" s="97" customFormat="1">
      <c r="B2306" s="96"/>
      <c r="H2306" s="96"/>
      <c r="J2306" s="1"/>
      <c r="K2306" s="1"/>
      <c r="L2306" s="1"/>
      <c r="O2306" s="475"/>
      <c r="P2306" s="475"/>
      <c r="Q2306" s="475"/>
      <c r="R2306" s="475"/>
      <c r="S2306" s="475"/>
      <c r="T2306" s="475"/>
      <c r="U2306" s="475"/>
      <c r="V2306" s="475"/>
      <c r="W2306" s="475"/>
    </row>
    <row r="2307" spans="2:23" s="97" customFormat="1">
      <c r="B2307" s="96"/>
      <c r="H2307" s="96"/>
      <c r="J2307" s="1"/>
      <c r="K2307" s="1"/>
      <c r="L2307" s="1"/>
      <c r="O2307" s="475"/>
      <c r="P2307" s="475"/>
      <c r="Q2307" s="475"/>
      <c r="R2307" s="475"/>
      <c r="S2307" s="475"/>
      <c r="T2307" s="475"/>
      <c r="U2307" s="475"/>
      <c r="V2307" s="475"/>
      <c r="W2307" s="475"/>
    </row>
    <row r="2308" spans="2:23" s="97" customFormat="1">
      <c r="B2308" s="96"/>
      <c r="H2308" s="96"/>
      <c r="J2308" s="1"/>
      <c r="K2308" s="1"/>
      <c r="L2308" s="1"/>
      <c r="O2308" s="475"/>
      <c r="P2308" s="475"/>
      <c r="Q2308" s="475"/>
      <c r="R2308" s="475"/>
      <c r="S2308" s="475"/>
      <c r="T2308" s="475"/>
      <c r="U2308" s="475"/>
      <c r="V2308" s="475"/>
      <c r="W2308" s="475"/>
    </row>
    <row r="2309" spans="2:23" s="97" customFormat="1">
      <c r="B2309" s="96"/>
      <c r="H2309" s="96"/>
      <c r="J2309" s="1"/>
      <c r="K2309" s="1"/>
      <c r="L2309" s="1"/>
      <c r="O2309" s="475"/>
      <c r="P2309" s="475"/>
      <c r="Q2309" s="475"/>
      <c r="R2309" s="475"/>
      <c r="S2309" s="475"/>
      <c r="T2309" s="475"/>
      <c r="U2309" s="475"/>
      <c r="V2309" s="475"/>
      <c r="W2309" s="475"/>
    </row>
    <row r="2310" spans="2:23" s="97" customFormat="1">
      <c r="B2310" s="96"/>
      <c r="H2310" s="96"/>
      <c r="J2310" s="1"/>
      <c r="K2310" s="1"/>
      <c r="L2310" s="1"/>
      <c r="O2310" s="475"/>
      <c r="P2310" s="475"/>
      <c r="Q2310" s="475"/>
      <c r="R2310" s="475"/>
      <c r="S2310" s="475"/>
      <c r="T2310" s="475"/>
      <c r="U2310" s="475"/>
      <c r="V2310" s="475"/>
      <c r="W2310" s="475"/>
    </row>
    <row r="2311" spans="2:23" s="97" customFormat="1">
      <c r="B2311" s="96"/>
      <c r="H2311" s="96"/>
      <c r="J2311" s="1"/>
      <c r="K2311" s="1"/>
      <c r="L2311" s="1"/>
      <c r="O2311" s="475"/>
      <c r="P2311" s="475"/>
      <c r="Q2311" s="475"/>
      <c r="R2311" s="475"/>
      <c r="S2311" s="475"/>
      <c r="T2311" s="475"/>
      <c r="U2311" s="475"/>
      <c r="V2311" s="475"/>
      <c r="W2311" s="475"/>
    </row>
    <row r="2312" spans="2:23" s="97" customFormat="1">
      <c r="B2312" s="96"/>
      <c r="H2312" s="96"/>
      <c r="J2312" s="1"/>
      <c r="K2312" s="1"/>
      <c r="L2312" s="1"/>
      <c r="O2312" s="475"/>
      <c r="P2312" s="475"/>
      <c r="Q2312" s="475"/>
      <c r="R2312" s="475"/>
      <c r="S2312" s="475"/>
      <c r="T2312" s="475"/>
      <c r="U2312" s="475"/>
      <c r="V2312" s="475"/>
      <c r="W2312" s="475"/>
    </row>
    <row r="2313" spans="2:23" s="97" customFormat="1">
      <c r="B2313" s="96"/>
      <c r="H2313" s="96"/>
      <c r="J2313" s="1"/>
      <c r="K2313" s="1"/>
      <c r="L2313" s="1"/>
      <c r="O2313" s="475"/>
      <c r="P2313" s="475"/>
      <c r="Q2313" s="475"/>
      <c r="R2313" s="475"/>
      <c r="S2313" s="475"/>
      <c r="T2313" s="475"/>
      <c r="U2313" s="475"/>
      <c r="V2313" s="475"/>
      <c r="W2313" s="475"/>
    </row>
    <row r="2314" spans="2:23" s="97" customFormat="1">
      <c r="B2314" s="96"/>
      <c r="H2314" s="96"/>
      <c r="J2314" s="1"/>
      <c r="K2314" s="1"/>
      <c r="L2314" s="1"/>
      <c r="O2314" s="475"/>
      <c r="P2314" s="475"/>
      <c r="Q2314" s="475"/>
      <c r="R2314" s="475"/>
      <c r="S2314" s="475"/>
      <c r="T2314" s="475"/>
      <c r="U2314" s="475"/>
      <c r="V2314" s="475"/>
      <c r="W2314" s="475"/>
    </row>
    <row r="2315" spans="2:23" s="97" customFormat="1">
      <c r="B2315" s="96"/>
      <c r="H2315" s="96"/>
      <c r="J2315" s="1"/>
      <c r="K2315" s="1"/>
      <c r="L2315" s="1"/>
      <c r="O2315" s="475"/>
      <c r="P2315" s="475"/>
      <c r="Q2315" s="475"/>
      <c r="R2315" s="475"/>
      <c r="S2315" s="475"/>
      <c r="T2315" s="475"/>
      <c r="U2315" s="475"/>
      <c r="V2315" s="475"/>
      <c r="W2315" s="475"/>
    </row>
    <row r="2316" spans="2:23" s="97" customFormat="1">
      <c r="B2316" s="96"/>
      <c r="H2316" s="96"/>
      <c r="J2316" s="1"/>
      <c r="K2316" s="1"/>
      <c r="L2316" s="1"/>
      <c r="O2316" s="475"/>
      <c r="P2316" s="475"/>
      <c r="Q2316" s="475"/>
      <c r="R2316" s="475"/>
      <c r="S2316" s="475"/>
      <c r="T2316" s="475"/>
      <c r="U2316" s="475"/>
      <c r="V2316" s="475"/>
      <c r="W2316" s="475"/>
    </row>
    <row r="2317" spans="2:23" s="97" customFormat="1">
      <c r="B2317" s="96"/>
      <c r="H2317" s="96"/>
      <c r="J2317" s="1"/>
      <c r="K2317" s="1"/>
      <c r="L2317" s="1"/>
      <c r="O2317" s="475"/>
      <c r="P2317" s="475"/>
      <c r="Q2317" s="475"/>
      <c r="R2317" s="475"/>
      <c r="S2317" s="475"/>
      <c r="T2317" s="475"/>
      <c r="U2317" s="475"/>
      <c r="V2317" s="475"/>
      <c r="W2317" s="475"/>
    </row>
    <row r="2318" spans="2:23" s="97" customFormat="1">
      <c r="B2318" s="96"/>
      <c r="H2318" s="96"/>
      <c r="J2318" s="1"/>
      <c r="K2318" s="1"/>
      <c r="L2318" s="1"/>
      <c r="O2318" s="475"/>
      <c r="P2318" s="475"/>
      <c r="Q2318" s="475"/>
      <c r="R2318" s="475"/>
      <c r="S2318" s="475"/>
      <c r="T2318" s="475"/>
      <c r="U2318" s="475"/>
      <c r="V2318" s="475"/>
      <c r="W2318" s="475"/>
    </row>
    <row r="2319" spans="2:23" s="97" customFormat="1">
      <c r="B2319" s="96"/>
      <c r="H2319" s="96"/>
      <c r="J2319" s="1"/>
      <c r="K2319" s="1"/>
      <c r="L2319" s="1"/>
      <c r="O2319" s="475"/>
      <c r="P2319" s="475"/>
      <c r="Q2319" s="475"/>
      <c r="R2319" s="475"/>
      <c r="S2319" s="475"/>
      <c r="T2319" s="475"/>
      <c r="U2319" s="475"/>
      <c r="V2319" s="475"/>
      <c r="W2319" s="475"/>
    </row>
    <row r="2320" spans="2:23" s="97" customFormat="1">
      <c r="B2320" s="96"/>
      <c r="H2320" s="96"/>
      <c r="J2320" s="1"/>
      <c r="K2320" s="1"/>
      <c r="L2320" s="1"/>
      <c r="O2320" s="475"/>
      <c r="P2320" s="475"/>
      <c r="Q2320" s="475"/>
      <c r="R2320" s="475"/>
      <c r="S2320" s="475"/>
      <c r="T2320" s="475"/>
      <c r="U2320" s="475"/>
      <c r="V2320" s="475"/>
      <c r="W2320" s="475"/>
    </row>
    <row r="2321" spans="2:23" s="97" customFormat="1">
      <c r="B2321" s="96"/>
      <c r="H2321" s="96"/>
      <c r="J2321" s="1"/>
      <c r="K2321" s="1"/>
      <c r="L2321" s="1"/>
      <c r="O2321" s="475"/>
      <c r="P2321" s="475"/>
      <c r="Q2321" s="475"/>
      <c r="R2321" s="475"/>
      <c r="S2321" s="475"/>
      <c r="T2321" s="475"/>
      <c r="U2321" s="475"/>
      <c r="V2321" s="475"/>
      <c r="W2321" s="475"/>
    </row>
    <row r="2322" spans="2:23" s="97" customFormat="1">
      <c r="B2322" s="96"/>
      <c r="H2322" s="96"/>
      <c r="J2322" s="1"/>
      <c r="K2322" s="1"/>
      <c r="L2322" s="1"/>
      <c r="O2322" s="475"/>
      <c r="P2322" s="475"/>
      <c r="Q2322" s="475"/>
      <c r="R2322" s="475"/>
      <c r="S2322" s="475"/>
      <c r="T2322" s="475"/>
      <c r="U2322" s="475"/>
      <c r="V2322" s="475"/>
      <c r="W2322" s="475"/>
    </row>
    <row r="2323" spans="2:23" s="97" customFormat="1">
      <c r="B2323" s="96"/>
      <c r="H2323" s="96"/>
      <c r="J2323" s="1"/>
      <c r="K2323" s="1"/>
      <c r="L2323" s="1"/>
      <c r="O2323" s="475"/>
      <c r="P2323" s="475"/>
      <c r="Q2323" s="475"/>
      <c r="R2323" s="475"/>
      <c r="S2323" s="475"/>
      <c r="T2323" s="475"/>
      <c r="U2323" s="475"/>
      <c r="V2323" s="475"/>
      <c r="W2323" s="475"/>
    </row>
    <row r="2324" spans="2:23" s="97" customFormat="1">
      <c r="B2324" s="96"/>
      <c r="H2324" s="96"/>
      <c r="J2324" s="1"/>
      <c r="K2324" s="1"/>
      <c r="L2324" s="1"/>
      <c r="O2324" s="475"/>
      <c r="P2324" s="475"/>
      <c r="Q2324" s="475"/>
      <c r="R2324" s="475"/>
      <c r="S2324" s="475"/>
      <c r="T2324" s="475"/>
      <c r="U2324" s="475"/>
      <c r="V2324" s="475"/>
      <c r="W2324" s="475"/>
    </row>
    <row r="2325" spans="2:23" s="97" customFormat="1">
      <c r="B2325" s="96"/>
      <c r="H2325" s="96"/>
      <c r="J2325" s="1"/>
      <c r="K2325" s="1"/>
      <c r="L2325" s="1"/>
      <c r="O2325" s="475"/>
      <c r="P2325" s="475"/>
      <c r="Q2325" s="475"/>
      <c r="R2325" s="475"/>
      <c r="S2325" s="475"/>
      <c r="T2325" s="475"/>
      <c r="U2325" s="475"/>
      <c r="V2325" s="475"/>
      <c r="W2325" s="475"/>
    </row>
    <row r="2326" spans="2:23" s="97" customFormat="1">
      <c r="B2326" s="96"/>
      <c r="H2326" s="96"/>
      <c r="J2326" s="1"/>
      <c r="K2326" s="1"/>
      <c r="L2326" s="1"/>
      <c r="O2326" s="475"/>
      <c r="P2326" s="475"/>
      <c r="Q2326" s="475"/>
      <c r="R2326" s="475"/>
      <c r="S2326" s="475"/>
      <c r="T2326" s="475"/>
      <c r="U2326" s="475"/>
      <c r="V2326" s="475"/>
      <c r="W2326" s="475"/>
    </row>
    <row r="2327" spans="2:23" s="97" customFormat="1">
      <c r="B2327" s="96"/>
      <c r="H2327" s="96"/>
      <c r="J2327" s="1"/>
      <c r="K2327" s="1"/>
      <c r="L2327" s="1"/>
      <c r="O2327" s="475"/>
      <c r="P2327" s="475"/>
      <c r="Q2327" s="475"/>
      <c r="R2327" s="475"/>
      <c r="S2327" s="475"/>
      <c r="T2327" s="475"/>
      <c r="U2327" s="475"/>
      <c r="V2327" s="475"/>
      <c r="W2327" s="475"/>
    </row>
    <row r="2328" spans="2:23" s="97" customFormat="1">
      <c r="B2328" s="96"/>
      <c r="H2328" s="96"/>
      <c r="J2328" s="1"/>
      <c r="K2328" s="1"/>
      <c r="L2328" s="1"/>
      <c r="O2328" s="475"/>
      <c r="P2328" s="475"/>
      <c r="Q2328" s="475"/>
      <c r="R2328" s="475"/>
      <c r="S2328" s="475"/>
      <c r="T2328" s="475"/>
      <c r="U2328" s="475"/>
      <c r="V2328" s="475"/>
      <c r="W2328" s="475"/>
    </row>
    <row r="2329" spans="2:23" s="97" customFormat="1">
      <c r="B2329" s="96"/>
      <c r="H2329" s="96"/>
      <c r="J2329" s="1"/>
      <c r="K2329" s="1"/>
      <c r="L2329" s="1"/>
      <c r="O2329" s="475"/>
      <c r="P2329" s="475"/>
      <c r="Q2329" s="475"/>
      <c r="R2329" s="475"/>
      <c r="S2329" s="475"/>
      <c r="T2329" s="475"/>
      <c r="U2329" s="475"/>
      <c r="V2329" s="475"/>
      <c r="W2329" s="475"/>
    </row>
    <row r="2330" spans="2:23" s="97" customFormat="1">
      <c r="B2330" s="96"/>
      <c r="H2330" s="96"/>
      <c r="J2330" s="1"/>
      <c r="K2330" s="1"/>
      <c r="L2330" s="1"/>
      <c r="O2330" s="475"/>
      <c r="P2330" s="475"/>
      <c r="Q2330" s="475"/>
      <c r="R2330" s="475"/>
      <c r="S2330" s="475"/>
      <c r="T2330" s="475"/>
      <c r="U2330" s="475"/>
      <c r="V2330" s="475"/>
      <c r="W2330" s="475"/>
    </row>
    <row r="2331" spans="2:23" s="97" customFormat="1">
      <c r="B2331" s="96"/>
      <c r="H2331" s="96"/>
      <c r="J2331" s="1"/>
      <c r="K2331" s="1"/>
      <c r="L2331" s="1"/>
      <c r="O2331" s="475"/>
      <c r="P2331" s="475"/>
      <c r="Q2331" s="475"/>
      <c r="R2331" s="475"/>
      <c r="S2331" s="475"/>
      <c r="T2331" s="475"/>
      <c r="U2331" s="475"/>
      <c r="V2331" s="475"/>
      <c r="W2331" s="475"/>
    </row>
    <row r="2332" spans="2:23" s="97" customFormat="1">
      <c r="B2332" s="96"/>
      <c r="H2332" s="96"/>
      <c r="J2332" s="1"/>
      <c r="K2332" s="1"/>
      <c r="L2332" s="1"/>
      <c r="O2332" s="475"/>
      <c r="P2332" s="475"/>
      <c r="Q2332" s="475"/>
      <c r="R2332" s="475"/>
      <c r="S2332" s="475"/>
      <c r="T2332" s="475"/>
      <c r="U2332" s="475"/>
      <c r="V2332" s="475"/>
      <c r="W2332" s="475"/>
    </row>
    <row r="2333" spans="2:23" s="97" customFormat="1">
      <c r="B2333" s="96"/>
      <c r="H2333" s="96"/>
      <c r="J2333" s="1"/>
      <c r="K2333" s="1"/>
      <c r="L2333" s="1"/>
      <c r="O2333" s="475"/>
      <c r="P2333" s="475"/>
      <c r="Q2333" s="475"/>
      <c r="R2333" s="475"/>
      <c r="S2333" s="475"/>
      <c r="T2333" s="475"/>
      <c r="U2333" s="475"/>
      <c r="V2333" s="475"/>
      <c r="W2333" s="475"/>
    </row>
    <row r="2334" spans="2:23" s="97" customFormat="1">
      <c r="B2334" s="96"/>
      <c r="H2334" s="96"/>
      <c r="J2334" s="1"/>
      <c r="K2334" s="1"/>
      <c r="L2334" s="1"/>
      <c r="O2334" s="475"/>
      <c r="P2334" s="475"/>
      <c r="Q2334" s="475"/>
      <c r="R2334" s="475"/>
      <c r="S2334" s="475"/>
      <c r="T2334" s="475"/>
      <c r="U2334" s="475"/>
      <c r="V2334" s="475"/>
      <c r="W2334" s="475"/>
    </row>
    <row r="2335" spans="2:23" s="97" customFormat="1">
      <c r="B2335" s="96"/>
      <c r="H2335" s="96"/>
      <c r="J2335" s="1"/>
      <c r="K2335" s="1"/>
      <c r="L2335" s="1"/>
      <c r="O2335" s="475"/>
      <c r="P2335" s="475"/>
      <c r="Q2335" s="475"/>
      <c r="R2335" s="475"/>
      <c r="S2335" s="475"/>
      <c r="T2335" s="475"/>
      <c r="U2335" s="475"/>
      <c r="V2335" s="475"/>
      <c r="W2335" s="475"/>
    </row>
    <row r="2336" spans="2:23" s="97" customFormat="1">
      <c r="B2336" s="96"/>
      <c r="H2336" s="96"/>
      <c r="J2336" s="1"/>
      <c r="K2336" s="1"/>
      <c r="L2336" s="1"/>
      <c r="O2336" s="475"/>
      <c r="P2336" s="475"/>
      <c r="Q2336" s="475"/>
      <c r="R2336" s="475"/>
      <c r="S2336" s="475"/>
      <c r="T2336" s="475"/>
      <c r="U2336" s="475"/>
      <c r="V2336" s="475"/>
      <c r="W2336" s="475"/>
    </row>
    <row r="2337" spans="2:23" s="97" customFormat="1">
      <c r="B2337" s="96"/>
      <c r="H2337" s="96"/>
      <c r="J2337" s="1"/>
      <c r="K2337" s="1"/>
      <c r="L2337" s="1"/>
      <c r="O2337" s="475"/>
      <c r="P2337" s="475"/>
      <c r="Q2337" s="475"/>
      <c r="R2337" s="475"/>
      <c r="S2337" s="475"/>
      <c r="T2337" s="475"/>
      <c r="U2337" s="475"/>
      <c r="V2337" s="475"/>
      <c r="W2337" s="475"/>
    </row>
    <row r="2338" spans="2:23" s="97" customFormat="1">
      <c r="B2338" s="96"/>
      <c r="H2338" s="96"/>
      <c r="J2338" s="1"/>
      <c r="K2338" s="1"/>
      <c r="L2338" s="1"/>
      <c r="O2338" s="475"/>
      <c r="P2338" s="475"/>
      <c r="Q2338" s="475"/>
      <c r="R2338" s="475"/>
      <c r="S2338" s="475"/>
      <c r="T2338" s="475"/>
      <c r="U2338" s="475"/>
      <c r="V2338" s="475"/>
      <c r="W2338" s="475"/>
    </row>
    <row r="2339" spans="2:23" s="97" customFormat="1">
      <c r="B2339" s="96"/>
      <c r="H2339" s="96"/>
      <c r="J2339" s="1"/>
      <c r="K2339" s="1"/>
      <c r="L2339" s="1"/>
      <c r="O2339" s="475"/>
      <c r="P2339" s="475"/>
      <c r="Q2339" s="475"/>
      <c r="R2339" s="475"/>
      <c r="S2339" s="475"/>
      <c r="T2339" s="475"/>
      <c r="U2339" s="475"/>
      <c r="V2339" s="475"/>
      <c r="W2339" s="475"/>
    </row>
    <row r="2340" spans="2:23" s="97" customFormat="1">
      <c r="B2340" s="96"/>
      <c r="H2340" s="96"/>
      <c r="J2340" s="1"/>
      <c r="K2340" s="1"/>
      <c r="L2340" s="1"/>
      <c r="O2340" s="475"/>
      <c r="P2340" s="475"/>
      <c r="Q2340" s="475"/>
      <c r="R2340" s="475"/>
      <c r="S2340" s="475"/>
      <c r="T2340" s="475"/>
      <c r="U2340" s="475"/>
      <c r="V2340" s="475"/>
      <c r="W2340" s="475"/>
    </row>
    <row r="2341" spans="2:23" s="97" customFormat="1">
      <c r="B2341" s="96"/>
      <c r="H2341" s="96"/>
      <c r="J2341" s="1"/>
      <c r="K2341" s="1"/>
      <c r="L2341" s="1"/>
      <c r="O2341" s="475"/>
      <c r="P2341" s="475"/>
      <c r="Q2341" s="475"/>
      <c r="R2341" s="475"/>
      <c r="S2341" s="475"/>
      <c r="T2341" s="475"/>
      <c r="U2341" s="475"/>
      <c r="V2341" s="475"/>
      <c r="W2341" s="475"/>
    </row>
    <row r="2342" spans="2:23" s="97" customFormat="1">
      <c r="B2342" s="96"/>
      <c r="H2342" s="96"/>
      <c r="J2342" s="1"/>
      <c r="K2342" s="1"/>
      <c r="L2342" s="1"/>
      <c r="O2342" s="475"/>
      <c r="P2342" s="475"/>
      <c r="Q2342" s="475"/>
      <c r="R2342" s="475"/>
      <c r="S2342" s="475"/>
      <c r="T2342" s="475"/>
      <c r="U2342" s="475"/>
      <c r="V2342" s="475"/>
      <c r="W2342" s="475"/>
    </row>
    <row r="2343" spans="2:23" s="97" customFormat="1">
      <c r="B2343" s="96"/>
      <c r="H2343" s="96"/>
      <c r="J2343" s="1"/>
      <c r="K2343" s="1"/>
      <c r="L2343" s="1"/>
      <c r="O2343" s="475"/>
      <c r="P2343" s="475"/>
      <c r="Q2343" s="475"/>
      <c r="R2343" s="475"/>
      <c r="S2343" s="475"/>
      <c r="T2343" s="475"/>
      <c r="U2343" s="475"/>
      <c r="V2343" s="475"/>
      <c r="W2343" s="475"/>
    </row>
    <row r="2344" spans="2:23" s="97" customFormat="1">
      <c r="B2344" s="96"/>
      <c r="H2344" s="96"/>
      <c r="J2344" s="1"/>
      <c r="K2344" s="1"/>
      <c r="L2344" s="1"/>
      <c r="O2344" s="475"/>
      <c r="P2344" s="475"/>
      <c r="Q2344" s="475"/>
      <c r="R2344" s="475"/>
      <c r="S2344" s="475"/>
      <c r="T2344" s="475"/>
      <c r="U2344" s="475"/>
      <c r="V2344" s="475"/>
      <c r="W2344" s="475"/>
    </row>
    <row r="2345" spans="2:23" s="97" customFormat="1">
      <c r="B2345" s="96"/>
      <c r="H2345" s="96"/>
      <c r="J2345" s="1"/>
      <c r="K2345" s="1"/>
      <c r="L2345" s="1"/>
      <c r="O2345" s="475"/>
      <c r="P2345" s="475"/>
      <c r="Q2345" s="475"/>
      <c r="R2345" s="475"/>
      <c r="S2345" s="475"/>
      <c r="T2345" s="475"/>
      <c r="U2345" s="475"/>
      <c r="V2345" s="475"/>
      <c r="W2345" s="475"/>
    </row>
    <row r="2346" spans="2:23" s="97" customFormat="1">
      <c r="B2346" s="96"/>
      <c r="H2346" s="96"/>
      <c r="J2346" s="1"/>
      <c r="K2346" s="1"/>
      <c r="L2346" s="1"/>
      <c r="O2346" s="475"/>
      <c r="P2346" s="475"/>
      <c r="Q2346" s="475"/>
      <c r="R2346" s="475"/>
      <c r="S2346" s="475"/>
      <c r="T2346" s="475"/>
      <c r="U2346" s="475"/>
      <c r="V2346" s="475"/>
      <c r="W2346" s="475"/>
    </row>
    <row r="2347" spans="2:23" s="97" customFormat="1">
      <c r="B2347" s="96"/>
      <c r="H2347" s="96"/>
      <c r="J2347" s="1"/>
      <c r="K2347" s="1"/>
      <c r="L2347" s="1"/>
      <c r="O2347" s="475"/>
      <c r="P2347" s="475"/>
      <c r="Q2347" s="475"/>
      <c r="R2347" s="475"/>
      <c r="S2347" s="475"/>
      <c r="T2347" s="475"/>
      <c r="U2347" s="475"/>
      <c r="V2347" s="475"/>
      <c r="W2347" s="475"/>
    </row>
    <row r="2348" spans="2:23" s="97" customFormat="1">
      <c r="B2348" s="96"/>
      <c r="H2348" s="96"/>
      <c r="J2348" s="1"/>
      <c r="K2348" s="1"/>
      <c r="L2348" s="1"/>
      <c r="O2348" s="475"/>
      <c r="P2348" s="475"/>
      <c r="Q2348" s="475"/>
      <c r="R2348" s="475"/>
      <c r="S2348" s="475"/>
      <c r="T2348" s="475"/>
      <c r="U2348" s="475"/>
      <c r="V2348" s="475"/>
      <c r="W2348" s="475"/>
    </row>
    <row r="2349" spans="2:23" s="97" customFormat="1">
      <c r="B2349" s="96"/>
      <c r="H2349" s="96"/>
      <c r="J2349" s="1"/>
      <c r="K2349" s="1"/>
      <c r="L2349" s="1"/>
      <c r="O2349" s="475"/>
      <c r="P2349" s="475"/>
      <c r="Q2349" s="475"/>
      <c r="R2349" s="475"/>
      <c r="S2349" s="475"/>
      <c r="T2349" s="475"/>
      <c r="U2349" s="475"/>
      <c r="V2349" s="475"/>
      <c r="W2349" s="475"/>
    </row>
    <row r="2350" spans="2:23" s="97" customFormat="1">
      <c r="B2350" s="96"/>
      <c r="H2350" s="96"/>
      <c r="J2350" s="1"/>
      <c r="K2350" s="1"/>
      <c r="L2350" s="1"/>
      <c r="O2350" s="475"/>
      <c r="P2350" s="475"/>
      <c r="Q2350" s="475"/>
      <c r="R2350" s="475"/>
      <c r="S2350" s="475"/>
      <c r="T2350" s="475"/>
      <c r="U2350" s="475"/>
      <c r="V2350" s="475"/>
      <c r="W2350" s="475"/>
    </row>
    <row r="2351" spans="2:23" s="97" customFormat="1">
      <c r="B2351" s="96"/>
      <c r="H2351" s="96"/>
      <c r="J2351" s="1"/>
      <c r="K2351" s="1"/>
      <c r="L2351" s="1"/>
      <c r="O2351" s="475"/>
      <c r="P2351" s="475"/>
      <c r="Q2351" s="475"/>
      <c r="R2351" s="475"/>
      <c r="S2351" s="475"/>
      <c r="T2351" s="475"/>
      <c r="U2351" s="475"/>
      <c r="V2351" s="475"/>
      <c r="W2351" s="475"/>
    </row>
    <row r="2352" spans="2:23" s="97" customFormat="1">
      <c r="B2352" s="96"/>
      <c r="H2352" s="96"/>
      <c r="J2352" s="1"/>
      <c r="K2352" s="1"/>
      <c r="L2352" s="1"/>
      <c r="O2352" s="475"/>
      <c r="P2352" s="475"/>
      <c r="Q2352" s="475"/>
      <c r="R2352" s="475"/>
      <c r="S2352" s="475"/>
      <c r="T2352" s="475"/>
      <c r="U2352" s="475"/>
      <c r="V2352" s="475"/>
      <c r="W2352" s="475"/>
    </row>
    <row r="2353" spans="2:23" s="97" customFormat="1">
      <c r="B2353" s="96"/>
      <c r="H2353" s="96"/>
      <c r="J2353" s="1"/>
      <c r="K2353" s="1"/>
      <c r="L2353" s="1"/>
      <c r="O2353" s="475"/>
      <c r="P2353" s="475"/>
      <c r="Q2353" s="475"/>
      <c r="R2353" s="475"/>
      <c r="S2353" s="475"/>
      <c r="T2353" s="475"/>
      <c r="U2353" s="475"/>
      <c r="V2353" s="475"/>
      <c r="W2353" s="475"/>
    </row>
    <row r="2354" spans="2:23" s="97" customFormat="1">
      <c r="B2354" s="96"/>
      <c r="H2354" s="96"/>
      <c r="J2354" s="1"/>
      <c r="K2354" s="1"/>
      <c r="L2354" s="1"/>
      <c r="O2354" s="475"/>
      <c r="P2354" s="475"/>
      <c r="Q2354" s="475"/>
      <c r="R2354" s="475"/>
      <c r="S2354" s="475"/>
      <c r="T2354" s="475"/>
      <c r="U2354" s="475"/>
      <c r="V2354" s="475"/>
      <c r="W2354" s="475"/>
    </row>
    <row r="2355" spans="2:23" s="97" customFormat="1">
      <c r="B2355" s="96"/>
      <c r="H2355" s="96"/>
      <c r="J2355" s="1"/>
      <c r="K2355" s="1"/>
      <c r="L2355" s="1"/>
      <c r="O2355" s="475"/>
      <c r="P2355" s="475"/>
      <c r="Q2355" s="475"/>
      <c r="R2355" s="475"/>
      <c r="S2355" s="475"/>
      <c r="T2355" s="475"/>
      <c r="U2355" s="475"/>
      <c r="V2355" s="475"/>
      <c r="W2355" s="475"/>
    </row>
    <row r="2356" spans="2:23" s="97" customFormat="1">
      <c r="B2356" s="96"/>
      <c r="H2356" s="96"/>
      <c r="J2356" s="1"/>
      <c r="K2356" s="1"/>
      <c r="L2356" s="1"/>
      <c r="O2356" s="475"/>
      <c r="P2356" s="475"/>
      <c r="Q2356" s="475"/>
      <c r="R2356" s="475"/>
      <c r="S2356" s="475"/>
      <c r="T2356" s="475"/>
      <c r="U2356" s="475"/>
      <c r="V2356" s="475"/>
      <c r="W2356" s="475"/>
    </row>
    <row r="2357" spans="2:23" s="97" customFormat="1">
      <c r="B2357" s="96"/>
      <c r="H2357" s="96"/>
      <c r="J2357" s="1"/>
      <c r="K2357" s="1"/>
      <c r="L2357" s="1"/>
      <c r="O2357" s="475"/>
      <c r="P2357" s="475"/>
      <c r="Q2357" s="475"/>
      <c r="R2357" s="475"/>
      <c r="S2357" s="475"/>
      <c r="T2357" s="475"/>
      <c r="U2357" s="475"/>
      <c r="V2357" s="475"/>
      <c r="W2357" s="475"/>
    </row>
    <row r="2358" spans="2:23" s="97" customFormat="1">
      <c r="B2358" s="96"/>
      <c r="H2358" s="96"/>
      <c r="J2358" s="1"/>
      <c r="K2358" s="1"/>
      <c r="L2358" s="1"/>
      <c r="O2358" s="475"/>
      <c r="P2358" s="475"/>
      <c r="Q2358" s="475"/>
      <c r="R2358" s="475"/>
      <c r="S2358" s="475"/>
      <c r="T2358" s="475"/>
      <c r="U2358" s="475"/>
      <c r="V2358" s="475"/>
      <c r="W2358" s="475"/>
    </row>
    <row r="2359" spans="2:23" s="97" customFormat="1">
      <c r="B2359" s="96"/>
      <c r="H2359" s="96"/>
      <c r="J2359" s="1"/>
      <c r="K2359" s="1"/>
      <c r="L2359" s="1"/>
      <c r="O2359" s="475"/>
      <c r="P2359" s="475"/>
      <c r="Q2359" s="475"/>
      <c r="R2359" s="475"/>
      <c r="S2359" s="475"/>
      <c r="T2359" s="475"/>
      <c r="U2359" s="475"/>
      <c r="V2359" s="475"/>
      <c r="W2359" s="475"/>
    </row>
    <row r="2360" spans="2:23" s="97" customFormat="1">
      <c r="B2360" s="96"/>
      <c r="H2360" s="96"/>
      <c r="J2360" s="1"/>
      <c r="K2360" s="1"/>
      <c r="L2360" s="1"/>
      <c r="O2360" s="475"/>
      <c r="P2360" s="475"/>
      <c r="Q2360" s="475"/>
      <c r="R2360" s="475"/>
      <c r="S2360" s="475"/>
      <c r="T2360" s="475"/>
      <c r="U2360" s="475"/>
      <c r="V2360" s="475"/>
      <c r="W2360" s="475"/>
    </row>
    <row r="2361" spans="2:23" s="97" customFormat="1">
      <c r="B2361" s="96"/>
      <c r="H2361" s="96"/>
      <c r="J2361" s="1"/>
      <c r="K2361" s="1"/>
      <c r="L2361" s="1"/>
      <c r="O2361" s="475"/>
      <c r="P2361" s="475"/>
      <c r="Q2361" s="475"/>
      <c r="R2361" s="475"/>
      <c r="S2361" s="475"/>
      <c r="T2361" s="475"/>
      <c r="U2361" s="475"/>
      <c r="V2361" s="475"/>
      <c r="W2361" s="475"/>
    </row>
    <row r="2362" spans="2:23" s="97" customFormat="1">
      <c r="B2362" s="96"/>
      <c r="H2362" s="96"/>
      <c r="J2362" s="1"/>
      <c r="K2362" s="1"/>
      <c r="L2362" s="1"/>
      <c r="O2362" s="475"/>
      <c r="P2362" s="475"/>
      <c r="Q2362" s="475"/>
      <c r="R2362" s="475"/>
      <c r="S2362" s="475"/>
      <c r="T2362" s="475"/>
      <c r="U2362" s="475"/>
      <c r="V2362" s="475"/>
      <c r="W2362" s="475"/>
    </row>
    <row r="2363" spans="2:23" s="97" customFormat="1">
      <c r="B2363" s="96"/>
      <c r="H2363" s="96"/>
      <c r="J2363" s="1"/>
      <c r="K2363" s="1"/>
      <c r="L2363" s="1"/>
      <c r="O2363" s="475"/>
      <c r="P2363" s="475"/>
      <c r="Q2363" s="475"/>
      <c r="R2363" s="475"/>
      <c r="S2363" s="475"/>
      <c r="T2363" s="475"/>
      <c r="U2363" s="475"/>
      <c r="V2363" s="475"/>
      <c r="W2363" s="475"/>
    </row>
    <row r="2364" spans="2:23" s="97" customFormat="1">
      <c r="B2364" s="96"/>
      <c r="H2364" s="96"/>
      <c r="J2364" s="1"/>
      <c r="K2364" s="1"/>
      <c r="L2364" s="1"/>
      <c r="O2364" s="475"/>
      <c r="P2364" s="475"/>
      <c r="Q2364" s="475"/>
      <c r="R2364" s="475"/>
      <c r="S2364" s="475"/>
      <c r="T2364" s="475"/>
      <c r="U2364" s="475"/>
      <c r="V2364" s="475"/>
      <c r="W2364" s="475"/>
    </row>
    <row r="2365" spans="2:23" s="97" customFormat="1">
      <c r="B2365" s="96"/>
      <c r="H2365" s="96"/>
      <c r="J2365" s="1"/>
      <c r="K2365" s="1"/>
      <c r="L2365" s="1"/>
      <c r="O2365" s="475"/>
      <c r="P2365" s="475"/>
      <c r="Q2365" s="475"/>
      <c r="R2365" s="475"/>
      <c r="S2365" s="475"/>
      <c r="T2365" s="475"/>
      <c r="U2365" s="475"/>
      <c r="V2365" s="475"/>
      <c r="W2365" s="475"/>
    </row>
    <row r="2366" spans="2:23" s="97" customFormat="1">
      <c r="B2366" s="96"/>
      <c r="H2366" s="96"/>
      <c r="J2366" s="1"/>
      <c r="K2366" s="1"/>
      <c r="L2366" s="1"/>
      <c r="O2366" s="475"/>
      <c r="P2366" s="475"/>
      <c r="Q2366" s="475"/>
      <c r="R2366" s="475"/>
      <c r="S2366" s="475"/>
      <c r="T2366" s="475"/>
      <c r="U2366" s="475"/>
      <c r="V2366" s="475"/>
      <c r="W2366" s="475"/>
    </row>
    <row r="2367" spans="2:23" s="97" customFormat="1">
      <c r="B2367" s="96"/>
      <c r="H2367" s="96"/>
      <c r="J2367" s="1"/>
      <c r="K2367" s="1"/>
      <c r="L2367" s="1"/>
      <c r="O2367" s="475"/>
      <c r="P2367" s="475"/>
      <c r="Q2367" s="475"/>
      <c r="R2367" s="475"/>
      <c r="S2367" s="475"/>
      <c r="T2367" s="475"/>
      <c r="U2367" s="475"/>
      <c r="V2367" s="475"/>
      <c r="W2367" s="475"/>
    </row>
    <row r="2368" spans="2:23" s="97" customFormat="1">
      <c r="B2368" s="96"/>
      <c r="H2368" s="96"/>
      <c r="J2368" s="1"/>
      <c r="K2368" s="1"/>
      <c r="L2368" s="1"/>
      <c r="O2368" s="475"/>
      <c r="P2368" s="475"/>
      <c r="Q2368" s="475"/>
      <c r="R2368" s="475"/>
      <c r="S2368" s="475"/>
      <c r="T2368" s="475"/>
      <c r="U2368" s="475"/>
      <c r="V2368" s="475"/>
      <c r="W2368" s="475"/>
    </row>
    <row r="2369" spans="2:23" s="97" customFormat="1">
      <c r="B2369" s="96"/>
      <c r="H2369" s="96"/>
      <c r="J2369" s="1"/>
      <c r="K2369" s="1"/>
      <c r="L2369" s="1"/>
      <c r="O2369" s="475"/>
      <c r="P2369" s="475"/>
      <c r="Q2369" s="475"/>
      <c r="R2369" s="475"/>
      <c r="S2369" s="475"/>
      <c r="T2369" s="475"/>
      <c r="U2369" s="475"/>
      <c r="V2369" s="475"/>
      <c r="W2369" s="475"/>
    </row>
    <row r="2370" spans="2:23" s="97" customFormat="1">
      <c r="B2370" s="96"/>
      <c r="H2370" s="96"/>
      <c r="J2370" s="1"/>
      <c r="K2370" s="1"/>
      <c r="L2370" s="1"/>
      <c r="O2370" s="475"/>
      <c r="P2370" s="475"/>
      <c r="Q2370" s="475"/>
      <c r="R2370" s="475"/>
      <c r="S2370" s="475"/>
      <c r="T2370" s="475"/>
      <c r="U2370" s="475"/>
      <c r="V2370" s="475"/>
      <c r="W2370" s="475"/>
    </row>
    <row r="2371" spans="2:23" s="97" customFormat="1">
      <c r="B2371" s="96"/>
      <c r="H2371" s="96"/>
      <c r="J2371" s="1"/>
      <c r="K2371" s="1"/>
      <c r="L2371" s="1"/>
      <c r="O2371" s="475"/>
      <c r="P2371" s="475"/>
      <c r="Q2371" s="475"/>
      <c r="R2371" s="475"/>
      <c r="S2371" s="475"/>
      <c r="T2371" s="475"/>
      <c r="U2371" s="475"/>
      <c r="V2371" s="475"/>
      <c r="W2371" s="475"/>
    </row>
    <row r="2372" spans="2:23" s="97" customFormat="1">
      <c r="B2372" s="96"/>
      <c r="H2372" s="96"/>
      <c r="J2372" s="1"/>
      <c r="K2372" s="1"/>
      <c r="L2372" s="1"/>
      <c r="O2372" s="475"/>
      <c r="P2372" s="475"/>
      <c r="Q2372" s="475"/>
      <c r="R2372" s="475"/>
      <c r="S2372" s="475"/>
      <c r="T2372" s="475"/>
      <c r="U2372" s="475"/>
      <c r="V2372" s="475"/>
      <c r="W2372" s="475"/>
    </row>
    <row r="2373" spans="2:23" s="97" customFormat="1">
      <c r="B2373" s="96"/>
      <c r="H2373" s="96"/>
      <c r="J2373" s="1"/>
      <c r="K2373" s="1"/>
      <c r="L2373" s="1"/>
      <c r="O2373" s="475"/>
      <c r="P2373" s="475"/>
      <c r="Q2373" s="475"/>
      <c r="R2373" s="475"/>
      <c r="S2373" s="475"/>
      <c r="T2373" s="475"/>
      <c r="U2373" s="475"/>
      <c r="V2373" s="475"/>
      <c r="W2373" s="475"/>
    </row>
    <row r="2374" spans="2:23" s="97" customFormat="1">
      <c r="B2374" s="96"/>
      <c r="H2374" s="96"/>
      <c r="J2374" s="1"/>
      <c r="K2374" s="1"/>
      <c r="L2374" s="1"/>
      <c r="O2374" s="475"/>
      <c r="P2374" s="475"/>
      <c r="Q2374" s="475"/>
      <c r="R2374" s="475"/>
      <c r="S2374" s="475"/>
      <c r="T2374" s="475"/>
      <c r="U2374" s="475"/>
      <c r="V2374" s="475"/>
      <c r="W2374" s="475"/>
    </row>
    <row r="2375" spans="2:23" s="97" customFormat="1">
      <c r="B2375" s="96"/>
      <c r="H2375" s="96"/>
      <c r="J2375" s="1"/>
      <c r="K2375" s="1"/>
      <c r="L2375" s="1"/>
      <c r="O2375" s="475"/>
      <c r="P2375" s="475"/>
      <c r="Q2375" s="475"/>
      <c r="R2375" s="475"/>
      <c r="S2375" s="475"/>
      <c r="T2375" s="475"/>
      <c r="U2375" s="475"/>
      <c r="V2375" s="475"/>
      <c r="W2375" s="475"/>
    </row>
    <row r="2376" spans="2:23" s="97" customFormat="1">
      <c r="B2376" s="96"/>
      <c r="H2376" s="96"/>
      <c r="J2376" s="1"/>
      <c r="K2376" s="1"/>
      <c r="L2376" s="1"/>
      <c r="O2376" s="475"/>
      <c r="P2376" s="475"/>
      <c r="Q2376" s="475"/>
      <c r="R2376" s="475"/>
      <c r="S2376" s="475"/>
      <c r="T2376" s="475"/>
      <c r="U2376" s="475"/>
      <c r="V2376" s="475"/>
      <c r="W2376" s="475"/>
    </row>
    <row r="2377" spans="2:23" s="97" customFormat="1">
      <c r="B2377" s="96"/>
      <c r="H2377" s="96"/>
      <c r="J2377" s="1"/>
      <c r="K2377" s="1"/>
      <c r="L2377" s="1"/>
      <c r="O2377" s="475"/>
      <c r="P2377" s="475"/>
      <c r="Q2377" s="475"/>
      <c r="R2377" s="475"/>
      <c r="S2377" s="475"/>
      <c r="T2377" s="475"/>
      <c r="U2377" s="475"/>
      <c r="V2377" s="475"/>
      <c r="W2377" s="475"/>
    </row>
    <row r="2378" spans="2:23" s="97" customFormat="1">
      <c r="B2378" s="96"/>
      <c r="H2378" s="96"/>
      <c r="J2378" s="1"/>
      <c r="K2378" s="1"/>
      <c r="L2378" s="1"/>
      <c r="O2378" s="475"/>
      <c r="P2378" s="475"/>
      <c r="Q2378" s="475"/>
      <c r="R2378" s="475"/>
      <c r="S2378" s="475"/>
      <c r="T2378" s="475"/>
      <c r="U2378" s="475"/>
      <c r="V2378" s="475"/>
      <c r="W2378" s="475"/>
    </row>
    <row r="2379" spans="2:23" s="97" customFormat="1">
      <c r="B2379" s="96"/>
      <c r="H2379" s="96"/>
      <c r="J2379" s="1"/>
      <c r="K2379" s="1"/>
      <c r="L2379" s="1"/>
      <c r="O2379" s="475"/>
      <c r="P2379" s="475"/>
      <c r="Q2379" s="475"/>
      <c r="R2379" s="475"/>
      <c r="S2379" s="475"/>
      <c r="T2379" s="475"/>
      <c r="U2379" s="475"/>
      <c r="V2379" s="475"/>
      <c r="W2379" s="475"/>
    </row>
    <row r="2380" spans="2:23" s="97" customFormat="1">
      <c r="B2380" s="96"/>
      <c r="H2380" s="96"/>
      <c r="J2380" s="1"/>
      <c r="K2380" s="1"/>
      <c r="L2380" s="1"/>
      <c r="O2380" s="475"/>
      <c r="P2380" s="475"/>
      <c r="Q2380" s="475"/>
      <c r="R2380" s="475"/>
      <c r="S2380" s="475"/>
      <c r="T2380" s="475"/>
      <c r="U2380" s="475"/>
      <c r="V2380" s="475"/>
      <c r="W2380" s="475"/>
    </row>
    <row r="2381" spans="2:23" s="97" customFormat="1">
      <c r="B2381" s="96"/>
      <c r="H2381" s="96"/>
      <c r="J2381" s="1"/>
      <c r="K2381" s="1"/>
      <c r="L2381" s="1"/>
      <c r="O2381" s="475"/>
      <c r="P2381" s="475"/>
      <c r="Q2381" s="475"/>
      <c r="R2381" s="475"/>
      <c r="S2381" s="475"/>
      <c r="T2381" s="475"/>
      <c r="U2381" s="475"/>
      <c r="V2381" s="475"/>
      <c r="W2381" s="475"/>
    </row>
    <row r="2382" spans="2:23" s="97" customFormat="1">
      <c r="B2382" s="96"/>
      <c r="H2382" s="96"/>
      <c r="J2382" s="1"/>
      <c r="K2382" s="1"/>
      <c r="L2382" s="1"/>
      <c r="O2382" s="475"/>
      <c r="P2382" s="475"/>
      <c r="Q2382" s="475"/>
      <c r="R2382" s="475"/>
      <c r="S2382" s="475"/>
      <c r="T2382" s="475"/>
      <c r="U2382" s="475"/>
      <c r="V2382" s="475"/>
      <c r="W2382" s="475"/>
    </row>
    <row r="2383" spans="2:23" s="97" customFormat="1">
      <c r="B2383" s="96"/>
      <c r="H2383" s="96"/>
      <c r="J2383" s="1"/>
      <c r="K2383" s="1"/>
      <c r="L2383" s="1"/>
      <c r="O2383" s="475"/>
      <c r="P2383" s="475"/>
      <c r="Q2383" s="475"/>
      <c r="R2383" s="475"/>
      <c r="S2383" s="475"/>
      <c r="T2383" s="475"/>
      <c r="U2383" s="475"/>
      <c r="V2383" s="475"/>
      <c r="W2383" s="475"/>
    </row>
    <row r="2384" spans="2:23" s="97" customFormat="1">
      <c r="B2384" s="96"/>
      <c r="H2384" s="96"/>
      <c r="J2384" s="1"/>
      <c r="K2384" s="1"/>
      <c r="L2384" s="1"/>
      <c r="O2384" s="475"/>
      <c r="P2384" s="475"/>
      <c r="Q2384" s="475"/>
      <c r="R2384" s="475"/>
      <c r="S2384" s="475"/>
      <c r="T2384" s="475"/>
      <c r="U2384" s="475"/>
      <c r="V2384" s="475"/>
      <c r="W2384" s="475"/>
    </row>
    <row r="2385" spans="2:23" s="97" customFormat="1">
      <c r="B2385" s="96"/>
      <c r="H2385" s="96"/>
      <c r="J2385" s="1"/>
      <c r="K2385" s="1"/>
      <c r="L2385" s="1"/>
      <c r="O2385" s="475"/>
      <c r="P2385" s="475"/>
      <c r="Q2385" s="475"/>
      <c r="R2385" s="475"/>
      <c r="S2385" s="475"/>
      <c r="T2385" s="475"/>
      <c r="U2385" s="475"/>
      <c r="V2385" s="475"/>
      <c r="W2385" s="475"/>
    </row>
    <row r="2386" spans="2:23" s="97" customFormat="1">
      <c r="B2386" s="96"/>
      <c r="H2386" s="96"/>
      <c r="J2386" s="1"/>
      <c r="K2386" s="1"/>
      <c r="L2386" s="1"/>
      <c r="O2386" s="475"/>
      <c r="P2386" s="475"/>
      <c r="Q2386" s="475"/>
      <c r="R2386" s="475"/>
      <c r="S2386" s="475"/>
      <c r="T2386" s="475"/>
      <c r="U2386" s="475"/>
      <c r="V2386" s="475"/>
      <c r="W2386" s="475"/>
    </row>
    <row r="2387" spans="2:23" s="97" customFormat="1">
      <c r="B2387" s="96"/>
      <c r="H2387" s="96"/>
      <c r="J2387" s="1"/>
      <c r="K2387" s="1"/>
      <c r="L2387" s="1"/>
      <c r="O2387" s="475"/>
      <c r="P2387" s="475"/>
      <c r="Q2387" s="475"/>
      <c r="R2387" s="475"/>
      <c r="S2387" s="475"/>
      <c r="T2387" s="475"/>
      <c r="U2387" s="475"/>
      <c r="V2387" s="475"/>
      <c r="W2387" s="475"/>
    </row>
    <row r="2388" spans="2:23" s="97" customFormat="1">
      <c r="B2388" s="96"/>
      <c r="H2388" s="96"/>
      <c r="J2388" s="1"/>
      <c r="K2388" s="1"/>
      <c r="L2388" s="1"/>
      <c r="O2388" s="475"/>
      <c r="P2388" s="475"/>
      <c r="Q2388" s="475"/>
      <c r="R2388" s="475"/>
      <c r="S2388" s="475"/>
      <c r="T2388" s="475"/>
      <c r="U2388" s="475"/>
      <c r="V2388" s="475"/>
      <c r="W2388" s="475"/>
    </row>
    <row r="2389" spans="2:23" s="97" customFormat="1">
      <c r="B2389" s="96"/>
      <c r="H2389" s="96"/>
      <c r="J2389" s="1"/>
      <c r="K2389" s="1"/>
      <c r="L2389" s="1"/>
      <c r="O2389" s="475"/>
      <c r="P2389" s="475"/>
      <c r="Q2389" s="475"/>
      <c r="R2389" s="475"/>
      <c r="S2389" s="475"/>
      <c r="T2389" s="475"/>
      <c r="U2389" s="475"/>
      <c r="V2389" s="475"/>
      <c r="W2389" s="475"/>
    </row>
    <row r="2390" spans="2:23" s="97" customFormat="1">
      <c r="B2390" s="96"/>
      <c r="H2390" s="96"/>
      <c r="J2390" s="1"/>
      <c r="K2390" s="1"/>
      <c r="L2390" s="1"/>
      <c r="O2390" s="475"/>
      <c r="P2390" s="475"/>
      <c r="Q2390" s="475"/>
      <c r="R2390" s="475"/>
      <c r="S2390" s="475"/>
      <c r="T2390" s="475"/>
      <c r="U2390" s="475"/>
      <c r="V2390" s="475"/>
      <c r="W2390" s="475"/>
    </row>
    <row r="2391" spans="2:23" s="97" customFormat="1">
      <c r="B2391" s="96"/>
      <c r="H2391" s="96"/>
      <c r="J2391" s="1"/>
      <c r="K2391" s="1"/>
      <c r="L2391" s="1"/>
      <c r="O2391" s="475"/>
      <c r="P2391" s="475"/>
      <c r="Q2391" s="475"/>
      <c r="R2391" s="475"/>
      <c r="S2391" s="475"/>
      <c r="T2391" s="475"/>
      <c r="U2391" s="475"/>
      <c r="V2391" s="475"/>
      <c r="W2391" s="475"/>
    </row>
    <row r="2392" spans="2:23" s="97" customFormat="1">
      <c r="B2392" s="96"/>
      <c r="H2392" s="96"/>
      <c r="J2392" s="1"/>
      <c r="K2392" s="1"/>
      <c r="L2392" s="1"/>
      <c r="O2392" s="475"/>
      <c r="P2392" s="475"/>
      <c r="Q2392" s="475"/>
      <c r="R2392" s="475"/>
      <c r="S2392" s="475"/>
      <c r="T2392" s="475"/>
      <c r="U2392" s="475"/>
      <c r="V2392" s="475"/>
      <c r="W2392" s="475"/>
    </row>
    <row r="2393" spans="2:23" s="97" customFormat="1">
      <c r="B2393" s="96"/>
      <c r="H2393" s="96"/>
      <c r="J2393" s="1"/>
      <c r="K2393" s="1"/>
      <c r="L2393" s="1"/>
      <c r="O2393" s="475"/>
      <c r="P2393" s="475"/>
      <c r="Q2393" s="475"/>
      <c r="R2393" s="475"/>
      <c r="S2393" s="475"/>
      <c r="T2393" s="475"/>
      <c r="U2393" s="475"/>
      <c r="V2393" s="475"/>
      <c r="W2393" s="475"/>
    </row>
    <row r="2394" spans="2:23" s="97" customFormat="1">
      <c r="B2394" s="96"/>
      <c r="H2394" s="96"/>
      <c r="J2394" s="1"/>
      <c r="K2394" s="1"/>
      <c r="L2394" s="1"/>
      <c r="O2394" s="475"/>
      <c r="P2394" s="475"/>
      <c r="Q2394" s="475"/>
      <c r="R2394" s="475"/>
      <c r="S2394" s="475"/>
      <c r="T2394" s="475"/>
      <c r="U2394" s="475"/>
      <c r="V2394" s="475"/>
      <c r="W2394" s="475"/>
    </row>
    <row r="2395" spans="2:23" s="97" customFormat="1">
      <c r="B2395" s="96"/>
      <c r="H2395" s="96"/>
      <c r="J2395" s="1"/>
      <c r="K2395" s="1"/>
      <c r="L2395" s="1"/>
      <c r="O2395" s="475"/>
      <c r="P2395" s="475"/>
      <c r="Q2395" s="475"/>
      <c r="R2395" s="475"/>
      <c r="S2395" s="475"/>
      <c r="T2395" s="475"/>
      <c r="U2395" s="475"/>
      <c r="V2395" s="475"/>
      <c r="W2395" s="475"/>
    </row>
    <row r="2396" spans="2:23" s="97" customFormat="1">
      <c r="B2396" s="96"/>
      <c r="H2396" s="96"/>
      <c r="J2396" s="1"/>
      <c r="K2396" s="1"/>
      <c r="L2396" s="1"/>
      <c r="O2396" s="475"/>
      <c r="P2396" s="475"/>
      <c r="Q2396" s="475"/>
      <c r="R2396" s="475"/>
      <c r="S2396" s="475"/>
      <c r="T2396" s="475"/>
      <c r="U2396" s="475"/>
      <c r="V2396" s="475"/>
      <c r="W2396" s="475"/>
    </row>
    <row r="2397" spans="2:23" s="97" customFormat="1">
      <c r="B2397" s="96"/>
      <c r="H2397" s="96"/>
      <c r="J2397" s="1"/>
      <c r="K2397" s="1"/>
      <c r="L2397" s="1"/>
      <c r="O2397" s="475"/>
      <c r="P2397" s="475"/>
      <c r="Q2397" s="475"/>
      <c r="R2397" s="475"/>
      <c r="S2397" s="475"/>
      <c r="T2397" s="475"/>
      <c r="U2397" s="475"/>
      <c r="V2397" s="475"/>
      <c r="W2397" s="475"/>
    </row>
    <row r="2398" spans="2:23" s="97" customFormat="1">
      <c r="B2398" s="96"/>
      <c r="H2398" s="96"/>
      <c r="J2398" s="1"/>
      <c r="K2398" s="1"/>
      <c r="L2398" s="1"/>
      <c r="O2398" s="475"/>
      <c r="P2398" s="475"/>
      <c r="Q2398" s="475"/>
      <c r="R2398" s="475"/>
      <c r="S2398" s="475"/>
      <c r="T2398" s="475"/>
      <c r="U2398" s="475"/>
      <c r="V2398" s="475"/>
      <c r="W2398" s="475"/>
    </row>
    <row r="2399" spans="2:23" s="97" customFormat="1">
      <c r="B2399" s="96"/>
      <c r="H2399" s="96"/>
      <c r="J2399" s="1"/>
      <c r="K2399" s="1"/>
      <c r="L2399" s="1"/>
      <c r="O2399" s="475"/>
      <c r="P2399" s="475"/>
      <c r="Q2399" s="475"/>
      <c r="R2399" s="475"/>
      <c r="S2399" s="475"/>
      <c r="T2399" s="475"/>
      <c r="U2399" s="475"/>
      <c r="V2399" s="475"/>
      <c r="W2399" s="475"/>
    </row>
    <row r="2400" spans="2:23" s="97" customFormat="1">
      <c r="B2400" s="96"/>
      <c r="H2400" s="96"/>
      <c r="J2400" s="1"/>
      <c r="K2400" s="1"/>
      <c r="L2400" s="1"/>
      <c r="O2400" s="475"/>
      <c r="P2400" s="475"/>
      <c r="Q2400" s="475"/>
      <c r="R2400" s="475"/>
      <c r="S2400" s="475"/>
      <c r="T2400" s="475"/>
      <c r="U2400" s="475"/>
      <c r="V2400" s="475"/>
      <c r="W2400" s="475"/>
    </row>
    <row r="2401" spans="2:23" s="97" customFormat="1">
      <c r="B2401" s="96"/>
      <c r="H2401" s="96"/>
      <c r="J2401" s="1"/>
      <c r="K2401" s="1"/>
      <c r="L2401" s="1"/>
      <c r="O2401" s="475"/>
      <c r="P2401" s="475"/>
      <c r="Q2401" s="475"/>
      <c r="R2401" s="475"/>
      <c r="S2401" s="475"/>
      <c r="T2401" s="475"/>
      <c r="U2401" s="475"/>
      <c r="V2401" s="475"/>
      <c r="W2401" s="475"/>
    </row>
    <row r="2402" spans="2:23" s="97" customFormat="1">
      <c r="B2402" s="96"/>
      <c r="H2402" s="96"/>
      <c r="J2402" s="1"/>
      <c r="K2402" s="1"/>
      <c r="L2402" s="1"/>
      <c r="O2402" s="475"/>
      <c r="P2402" s="475"/>
      <c r="Q2402" s="475"/>
      <c r="R2402" s="475"/>
      <c r="S2402" s="475"/>
      <c r="T2402" s="475"/>
      <c r="U2402" s="475"/>
      <c r="V2402" s="475"/>
      <c r="W2402" s="475"/>
    </row>
    <row r="2403" spans="2:23" s="97" customFormat="1">
      <c r="B2403" s="96"/>
      <c r="H2403" s="96"/>
      <c r="J2403" s="1"/>
      <c r="K2403" s="1"/>
      <c r="L2403" s="1"/>
      <c r="O2403" s="475"/>
      <c r="P2403" s="475"/>
      <c r="Q2403" s="475"/>
      <c r="R2403" s="475"/>
      <c r="S2403" s="475"/>
      <c r="T2403" s="475"/>
      <c r="U2403" s="475"/>
      <c r="V2403" s="475"/>
      <c r="W2403" s="475"/>
    </row>
    <row r="2404" spans="2:23" s="97" customFormat="1">
      <c r="B2404" s="96"/>
      <c r="H2404" s="96"/>
      <c r="J2404" s="1"/>
      <c r="K2404" s="1"/>
      <c r="L2404" s="1"/>
      <c r="O2404" s="475"/>
      <c r="P2404" s="475"/>
      <c r="Q2404" s="475"/>
      <c r="R2404" s="475"/>
      <c r="S2404" s="475"/>
      <c r="T2404" s="475"/>
      <c r="U2404" s="475"/>
      <c r="V2404" s="475"/>
      <c r="W2404" s="475"/>
    </row>
    <row r="2405" spans="2:23" s="97" customFormat="1">
      <c r="B2405" s="96"/>
      <c r="H2405" s="96"/>
      <c r="J2405" s="1"/>
      <c r="K2405" s="1"/>
      <c r="L2405" s="1"/>
      <c r="O2405" s="475"/>
      <c r="P2405" s="475"/>
      <c r="Q2405" s="475"/>
      <c r="R2405" s="475"/>
      <c r="S2405" s="475"/>
      <c r="T2405" s="475"/>
      <c r="U2405" s="475"/>
      <c r="V2405" s="475"/>
      <c r="W2405" s="475"/>
    </row>
    <row r="2406" spans="2:23" s="97" customFormat="1">
      <c r="B2406" s="96"/>
      <c r="H2406" s="96"/>
      <c r="J2406" s="1"/>
      <c r="K2406" s="1"/>
      <c r="L2406" s="1"/>
      <c r="O2406" s="475"/>
      <c r="P2406" s="475"/>
      <c r="Q2406" s="475"/>
      <c r="R2406" s="475"/>
      <c r="S2406" s="475"/>
      <c r="T2406" s="475"/>
      <c r="U2406" s="475"/>
      <c r="V2406" s="475"/>
      <c r="W2406" s="475"/>
    </row>
    <row r="2407" spans="2:23" s="97" customFormat="1">
      <c r="B2407" s="96"/>
      <c r="H2407" s="96"/>
      <c r="J2407" s="1"/>
      <c r="K2407" s="1"/>
      <c r="L2407" s="1"/>
      <c r="O2407" s="475"/>
      <c r="P2407" s="475"/>
      <c r="Q2407" s="475"/>
      <c r="R2407" s="475"/>
      <c r="S2407" s="475"/>
      <c r="T2407" s="475"/>
      <c r="U2407" s="475"/>
      <c r="V2407" s="475"/>
      <c r="W2407" s="475"/>
    </row>
    <row r="2408" spans="2:23" s="97" customFormat="1">
      <c r="B2408" s="96"/>
      <c r="H2408" s="96"/>
      <c r="J2408" s="1"/>
      <c r="K2408" s="1"/>
      <c r="L2408" s="1"/>
      <c r="O2408" s="475"/>
      <c r="P2408" s="475"/>
      <c r="Q2408" s="475"/>
      <c r="R2408" s="475"/>
      <c r="S2408" s="475"/>
      <c r="T2408" s="475"/>
      <c r="U2408" s="475"/>
      <c r="V2408" s="475"/>
      <c r="W2408" s="475"/>
    </row>
    <row r="2409" spans="2:23" s="97" customFormat="1">
      <c r="B2409" s="96"/>
      <c r="H2409" s="96"/>
      <c r="J2409" s="1"/>
      <c r="K2409" s="1"/>
      <c r="L2409" s="1"/>
      <c r="O2409" s="475"/>
      <c r="P2409" s="475"/>
      <c r="Q2409" s="475"/>
      <c r="R2409" s="475"/>
      <c r="S2409" s="475"/>
      <c r="T2409" s="475"/>
      <c r="U2409" s="475"/>
      <c r="V2409" s="475"/>
      <c r="W2409" s="475"/>
    </row>
    <row r="2410" spans="2:23" s="97" customFormat="1">
      <c r="B2410" s="96"/>
      <c r="H2410" s="96"/>
      <c r="J2410" s="1"/>
      <c r="K2410" s="1"/>
      <c r="L2410" s="1"/>
      <c r="O2410" s="475"/>
      <c r="P2410" s="475"/>
      <c r="Q2410" s="475"/>
      <c r="R2410" s="475"/>
      <c r="S2410" s="475"/>
      <c r="T2410" s="475"/>
      <c r="U2410" s="475"/>
      <c r="V2410" s="475"/>
      <c r="W2410" s="475"/>
    </row>
    <row r="2411" spans="2:23" s="97" customFormat="1">
      <c r="B2411" s="96"/>
      <c r="H2411" s="96"/>
      <c r="J2411" s="1"/>
      <c r="K2411" s="1"/>
      <c r="L2411" s="1"/>
      <c r="O2411" s="475"/>
      <c r="P2411" s="475"/>
      <c r="Q2411" s="475"/>
      <c r="R2411" s="475"/>
      <c r="S2411" s="475"/>
      <c r="T2411" s="475"/>
      <c r="U2411" s="475"/>
      <c r="V2411" s="475"/>
      <c r="W2411" s="475"/>
    </row>
    <row r="2412" spans="2:23" s="97" customFormat="1">
      <c r="B2412" s="96"/>
      <c r="H2412" s="96"/>
      <c r="J2412" s="1"/>
      <c r="K2412" s="1"/>
      <c r="L2412" s="1"/>
      <c r="O2412" s="475"/>
      <c r="P2412" s="475"/>
      <c r="Q2412" s="475"/>
      <c r="R2412" s="475"/>
      <c r="S2412" s="475"/>
      <c r="T2412" s="475"/>
      <c r="U2412" s="475"/>
      <c r="V2412" s="475"/>
      <c r="W2412" s="475"/>
    </row>
    <row r="2413" spans="2:23" s="97" customFormat="1">
      <c r="B2413" s="96"/>
      <c r="H2413" s="96"/>
      <c r="J2413" s="1"/>
      <c r="K2413" s="1"/>
      <c r="L2413" s="1"/>
      <c r="O2413" s="475"/>
      <c r="P2413" s="475"/>
      <c r="Q2413" s="475"/>
      <c r="R2413" s="475"/>
      <c r="S2413" s="475"/>
      <c r="T2413" s="475"/>
      <c r="U2413" s="475"/>
      <c r="V2413" s="475"/>
      <c r="W2413" s="475"/>
    </row>
    <row r="2414" spans="2:23" s="97" customFormat="1">
      <c r="B2414" s="96"/>
      <c r="H2414" s="96"/>
      <c r="J2414" s="1"/>
      <c r="K2414" s="1"/>
      <c r="L2414" s="1"/>
      <c r="O2414" s="475"/>
      <c r="P2414" s="475"/>
      <c r="Q2414" s="475"/>
      <c r="R2414" s="475"/>
      <c r="S2414" s="475"/>
      <c r="T2414" s="475"/>
      <c r="U2414" s="475"/>
      <c r="V2414" s="475"/>
      <c r="W2414" s="475"/>
    </row>
    <row r="2415" spans="2:23" s="97" customFormat="1">
      <c r="B2415" s="96"/>
      <c r="H2415" s="96"/>
      <c r="J2415" s="1"/>
      <c r="K2415" s="1"/>
      <c r="L2415" s="1"/>
      <c r="O2415" s="475"/>
      <c r="P2415" s="475"/>
      <c r="Q2415" s="475"/>
      <c r="R2415" s="475"/>
      <c r="S2415" s="475"/>
      <c r="T2415" s="475"/>
      <c r="U2415" s="475"/>
      <c r="V2415" s="475"/>
      <c r="W2415" s="475"/>
    </row>
    <row r="2416" spans="2:23" s="97" customFormat="1">
      <c r="B2416" s="96"/>
      <c r="H2416" s="96"/>
      <c r="J2416" s="1"/>
      <c r="K2416" s="1"/>
      <c r="L2416" s="1"/>
      <c r="O2416" s="475"/>
      <c r="P2416" s="475"/>
      <c r="Q2416" s="475"/>
      <c r="R2416" s="475"/>
      <c r="S2416" s="475"/>
      <c r="T2416" s="475"/>
      <c r="U2416" s="475"/>
      <c r="V2416" s="475"/>
      <c r="W2416" s="475"/>
    </row>
    <row r="2417" spans="2:23" s="97" customFormat="1">
      <c r="B2417" s="96"/>
      <c r="H2417" s="96"/>
      <c r="J2417" s="1"/>
      <c r="K2417" s="1"/>
      <c r="L2417" s="1"/>
      <c r="O2417" s="475"/>
      <c r="P2417" s="475"/>
      <c r="Q2417" s="475"/>
      <c r="R2417" s="475"/>
      <c r="S2417" s="475"/>
      <c r="T2417" s="475"/>
      <c r="U2417" s="475"/>
      <c r="V2417" s="475"/>
      <c r="W2417" s="475"/>
    </row>
    <row r="2418" spans="2:23" s="97" customFormat="1">
      <c r="B2418" s="96"/>
      <c r="H2418" s="96"/>
      <c r="J2418" s="1"/>
      <c r="K2418" s="1"/>
      <c r="L2418" s="1"/>
      <c r="O2418" s="475"/>
      <c r="P2418" s="475"/>
      <c r="Q2418" s="475"/>
      <c r="R2418" s="475"/>
      <c r="S2418" s="475"/>
      <c r="T2418" s="475"/>
      <c r="U2418" s="475"/>
      <c r="V2418" s="475"/>
      <c r="W2418" s="475"/>
    </row>
    <row r="2419" spans="2:23" s="97" customFormat="1">
      <c r="B2419" s="96"/>
      <c r="H2419" s="96"/>
      <c r="J2419" s="1"/>
      <c r="K2419" s="1"/>
      <c r="L2419" s="1"/>
      <c r="O2419" s="475"/>
      <c r="P2419" s="475"/>
      <c r="Q2419" s="475"/>
      <c r="R2419" s="475"/>
      <c r="S2419" s="475"/>
      <c r="T2419" s="475"/>
      <c r="U2419" s="475"/>
      <c r="V2419" s="475"/>
      <c r="W2419" s="475"/>
    </row>
    <row r="2420" spans="2:23" s="97" customFormat="1">
      <c r="B2420" s="96"/>
      <c r="H2420" s="96"/>
      <c r="J2420" s="1"/>
      <c r="K2420" s="1"/>
      <c r="L2420" s="1"/>
      <c r="O2420" s="475"/>
      <c r="P2420" s="475"/>
      <c r="Q2420" s="475"/>
      <c r="R2420" s="475"/>
      <c r="S2420" s="475"/>
      <c r="T2420" s="475"/>
      <c r="U2420" s="475"/>
      <c r="V2420" s="475"/>
      <c r="W2420" s="475"/>
    </row>
    <row r="2421" spans="2:23" s="97" customFormat="1">
      <c r="B2421" s="96"/>
      <c r="H2421" s="96"/>
      <c r="J2421" s="1"/>
      <c r="K2421" s="1"/>
      <c r="L2421" s="1"/>
      <c r="O2421" s="475"/>
      <c r="P2421" s="475"/>
      <c r="Q2421" s="475"/>
      <c r="R2421" s="475"/>
      <c r="S2421" s="475"/>
      <c r="T2421" s="475"/>
      <c r="U2421" s="475"/>
      <c r="V2421" s="475"/>
      <c r="W2421" s="475"/>
    </row>
    <row r="2422" spans="2:23" s="97" customFormat="1">
      <c r="B2422" s="96"/>
      <c r="H2422" s="96"/>
      <c r="J2422" s="1"/>
      <c r="K2422" s="1"/>
      <c r="L2422" s="1"/>
      <c r="O2422" s="475"/>
      <c r="P2422" s="475"/>
      <c r="Q2422" s="475"/>
      <c r="R2422" s="475"/>
      <c r="S2422" s="475"/>
      <c r="T2422" s="475"/>
      <c r="U2422" s="475"/>
      <c r="V2422" s="475"/>
      <c r="W2422" s="475"/>
    </row>
    <row r="2423" spans="2:23" s="97" customFormat="1">
      <c r="B2423" s="96"/>
      <c r="H2423" s="96"/>
      <c r="J2423" s="1"/>
      <c r="K2423" s="1"/>
      <c r="L2423" s="1"/>
      <c r="O2423" s="475"/>
      <c r="P2423" s="475"/>
      <c r="Q2423" s="475"/>
      <c r="R2423" s="475"/>
      <c r="S2423" s="475"/>
      <c r="T2423" s="475"/>
      <c r="U2423" s="475"/>
      <c r="V2423" s="475"/>
      <c r="W2423" s="475"/>
    </row>
    <row r="2424" spans="2:23" s="97" customFormat="1">
      <c r="B2424" s="96"/>
      <c r="H2424" s="96"/>
      <c r="J2424" s="1"/>
      <c r="K2424" s="1"/>
      <c r="L2424" s="1"/>
      <c r="O2424" s="475"/>
      <c r="P2424" s="475"/>
      <c r="Q2424" s="475"/>
      <c r="R2424" s="475"/>
      <c r="S2424" s="475"/>
      <c r="T2424" s="475"/>
      <c r="U2424" s="475"/>
      <c r="V2424" s="475"/>
      <c r="W2424" s="475"/>
    </row>
    <row r="2425" spans="2:23" s="97" customFormat="1">
      <c r="B2425" s="96"/>
      <c r="H2425" s="96"/>
      <c r="J2425" s="1"/>
      <c r="K2425" s="1"/>
      <c r="L2425" s="1"/>
      <c r="O2425" s="475"/>
      <c r="P2425" s="475"/>
      <c r="Q2425" s="475"/>
      <c r="R2425" s="475"/>
      <c r="S2425" s="475"/>
      <c r="T2425" s="475"/>
      <c r="U2425" s="475"/>
      <c r="V2425" s="475"/>
      <c r="W2425" s="475"/>
    </row>
    <row r="2426" spans="2:23" s="97" customFormat="1">
      <c r="B2426" s="96"/>
      <c r="H2426" s="96"/>
      <c r="J2426" s="1"/>
      <c r="K2426" s="1"/>
      <c r="L2426" s="1"/>
      <c r="O2426" s="475"/>
      <c r="P2426" s="475"/>
      <c r="Q2426" s="475"/>
      <c r="R2426" s="475"/>
      <c r="S2426" s="475"/>
      <c r="T2426" s="475"/>
      <c r="U2426" s="475"/>
      <c r="V2426" s="475"/>
      <c r="W2426" s="475"/>
    </row>
    <row r="2427" spans="2:23" s="97" customFormat="1">
      <c r="B2427" s="96"/>
      <c r="H2427" s="96"/>
      <c r="J2427" s="1"/>
      <c r="K2427" s="1"/>
      <c r="L2427" s="1"/>
      <c r="O2427" s="475"/>
      <c r="P2427" s="475"/>
      <c r="Q2427" s="475"/>
      <c r="R2427" s="475"/>
      <c r="S2427" s="475"/>
      <c r="T2427" s="475"/>
      <c r="U2427" s="475"/>
      <c r="V2427" s="475"/>
      <c r="W2427" s="475"/>
    </row>
    <row r="2428" spans="2:23" s="97" customFormat="1">
      <c r="B2428" s="96"/>
      <c r="H2428" s="96"/>
      <c r="J2428" s="1"/>
      <c r="K2428" s="1"/>
      <c r="L2428" s="1"/>
      <c r="O2428" s="475"/>
      <c r="P2428" s="475"/>
      <c r="Q2428" s="475"/>
      <c r="R2428" s="475"/>
      <c r="S2428" s="475"/>
      <c r="T2428" s="475"/>
      <c r="U2428" s="475"/>
      <c r="V2428" s="475"/>
      <c r="W2428" s="475"/>
    </row>
    <row r="2429" spans="2:23" s="97" customFormat="1">
      <c r="B2429" s="96"/>
      <c r="H2429" s="96"/>
      <c r="J2429" s="1"/>
      <c r="K2429" s="1"/>
      <c r="L2429" s="1"/>
      <c r="O2429" s="475"/>
      <c r="P2429" s="475"/>
      <c r="Q2429" s="475"/>
      <c r="R2429" s="475"/>
      <c r="S2429" s="475"/>
      <c r="T2429" s="475"/>
      <c r="U2429" s="475"/>
      <c r="V2429" s="475"/>
      <c r="W2429" s="475"/>
    </row>
    <row r="2430" spans="2:23" s="97" customFormat="1">
      <c r="B2430" s="96"/>
      <c r="H2430" s="96"/>
      <c r="J2430" s="1"/>
      <c r="K2430" s="1"/>
      <c r="L2430" s="1"/>
      <c r="O2430" s="475"/>
      <c r="P2430" s="475"/>
      <c r="Q2430" s="475"/>
      <c r="R2430" s="475"/>
      <c r="S2430" s="475"/>
      <c r="T2430" s="475"/>
      <c r="U2430" s="475"/>
      <c r="V2430" s="475"/>
      <c r="W2430" s="475"/>
    </row>
    <row r="2431" spans="2:23" s="97" customFormat="1">
      <c r="B2431" s="96"/>
      <c r="H2431" s="96"/>
      <c r="J2431" s="1"/>
      <c r="K2431" s="1"/>
      <c r="L2431" s="1"/>
      <c r="O2431" s="475"/>
      <c r="P2431" s="475"/>
      <c r="Q2431" s="475"/>
      <c r="R2431" s="475"/>
      <c r="S2431" s="475"/>
      <c r="T2431" s="475"/>
      <c r="U2431" s="475"/>
      <c r="V2431" s="475"/>
      <c r="W2431" s="475"/>
    </row>
    <row r="2432" spans="2:23" s="97" customFormat="1">
      <c r="B2432" s="96"/>
      <c r="H2432" s="96"/>
      <c r="J2432" s="1"/>
      <c r="K2432" s="1"/>
      <c r="L2432" s="1"/>
      <c r="O2432" s="475"/>
      <c r="P2432" s="475"/>
      <c r="Q2432" s="475"/>
      <c r="R2432" s="475"/>
      <c r="S2432" s="475"/>
      <c r="T2432" s="475"/>
      <c r="U2432" s="475"/>
      <c r="V2432" s="475"/>
      <c r="W2432" s="475"/>
    </row>
    <row r="2433" spans="2:23" s="97" customFormat="1">
      <c r="B2433" s="96"/>
      <c r="H2433" s="96"/>
      <c r="J2433" s="1"/>
      <c r="K2433" s="1"/>
      <c r="L2433" s="1"/>
      <c r="O2433" s="475"/>
      <c r="P2433" s="475"/>
      <c r="Q2433" s="475"/>
      <c r="R2433" s="475"/>
      <c r="S2433" s="475"/>
      <c r="T2433" s="475"/>
      <c r="U2433" s="475"/>
      <c r="V2433" s="475"/>
      <c r="W2433" s="475"/>
    </row>
    <row r="2434" spans="2:23" s="97" customFormat="1">
      <c r="B2434" s="96"/>
      <c r="H2434" s="96"/>
      <c r="J2434" s="1"/>
      <c r="K2434" s="1"/>
      <c r="L2434" s="1"/>
      <c r="O2434" s="475"/>
      <c r="P2434" s="475"/>
      <c r="Q2434" s="475"/>
      <c r="R2434" s="475"/>
      <c r="S2434" s="475"/>
      <c r="T2434" s="475"/>
      <c r="U2434" s="475"/>
      <c r="V2434" s="475"/>
      <c r="W2434" s="475"/>
    </row>
    <row r="2435" spans="2:23" s="97" customFormat="1">
      <c r="B2435" s="96"/>
      <c r="H2435" s="96"/>
      <c r="J2435" s="1"/>
      <c r="K2435" s="1"/>
      <c r="L2435" s="1"/>
      <c r="O2435" s="475"/>
      <c r="P2435" s="475"/>
      <c r="Q2435" s="475"/>
      <c r="R2435" s="475"/>
      <c r="S2435" s="475"/>
      <c r="T2435" s="475"/>
      <c r="U2435" s="475"/>
      <c r="V2435" s="475"/>
      <c r="W2435" s="475"/>
    </row>
    <row r="2436" spans="2:23" s="97" customFormat="1">
      <c r="B2436" s="96"/>
      <c r="H2436" s="96"/>
      <c r="J2436" s="1"/>
      <c r="K2436" s="1"/>
      <c r="L2436" s="1"/>
      <c r="O2436" s="475"/>
      <c r="P2436" s="475"/>
      <c r="Q2436" s="475"/>
      <c r="R2436" s="475"/>
      <c r="S2436" s="475"/>
      <c r="T2436" s="475"/>
      <c r="U2436" s="475"/>
      <c r="V2436" s="475"/>
      <c r="W2436" s="475"/>
    </row>
    <row r="2437" spans="2:23" s="97" customFormat="1">
      <c r="B2437" s="96"/>
      <c r="H2437" s="96"/>
      <c r="J2437" s="1"/>
      <c r="K2437" s="1"/>
      <c r="L2437" s="1"/>
      <c r="O2437" s="475"/>
      <c r="P2437" s="475"/>
      <c r="Q2437" s="475"/>
      <c r="R2437" s="475"/>
      <c r="S2437" s="475"/>
      <c r="T2437" s="475"/>
      <c r="U2437" s="475"/>
      <c r="V2437" s="475"/>
      <c r="W2437" s="475"/>
    </row>
    <row r="2438" spans="2:23" s="97" customFormat="1">
      <c r="B2438" s="96"/>
      <c r="H2438" s="96"/>
      <c r="J2438" s="1"/>
      <c r="K2438" s="1"/>
      <c r="L2438" s="1"/>
      <c r="O2438" s="475"/>
      <c r="P2438" s="475"/>
      <c r="Q2438" s="475"/>
      <c r="R2438" s="475"/>
      <c r="S2438" s="475"/>
      <c r="T2438" s="475"/>
      <c r="U2438" s="475"/>
      <c r="V2438" s="475"/>
      <c r="W2438" s="475"/>
    </row>
    <row r="2439" spans="2:23" s="97" customFormat="1">
      <c r="B2439" s="96"/>
      <c r="H2439" s="96"/>
      <c r="J2439" s="1"/>
      <c r="K2439" s="1"/>
      <c r="L2439" s="1"/>
      <c r="O2439" s="475"/>
      <c r="P2439" s="475"/>
      <c r="Q2439" s="475"/>
      <c r="R2439" s="475"/>
      <c r="S2439" s="475"/>
      <c r="T2439" s="475"/>
      <c r="U2439" s="475"/>
      <c r="V2439" s="475"/>
      <c r="W2439" s="475"/>
    </row>
    <row r="2440" spans="2:23" s="97" customFormat="1">
      <c r="B2440" s="96"/>
      <c r="H2440" s="96"/>
      <c r="J2440" s="1"/>
      <c r="K2440" s="1"/>
      <c r="L2440" s="1"/>
      <c r="O2440" s="475"/>
      <c r="P2440" s="475"/>
      <c r="Q2440" s="475"/>
      <c r="R2440" s="475"/>
      <c r="S2440" s="475"/>
      <c r="T2440" s="475"/>
      <c r="U2440" s="475"/>
      <c r="V2440" s="475"/>
      <c r="W2440" s="475"/>
    </row>
    <row r="2441" spans="2:23" s="97" customFormat="1">
      <c r="B2441" s="96"/>
      <c r="H2441" s="96"/>
      <c r="J2441" s="1"/>
      <c r="K2441" s="1"/>
      <c r="L2441" s="1"/>
      <c r="O2441" s="475"/>
      <c r="P2441" s="475"/>
      <c r="Q2441" s="475"/>
      <c r="R2441" s="475"/>
      <c r="S2441" s="475"/>
      <c r="T2441" s="475"/>
      <c r="U2441" s="475"/>
      <c r="V2441" s="475"/>
      <c r="W2441" s="475"/>
    </row>
    <row r="2442" spans="2:23" s="97" customFormat="1">
      <c r="B2442" s="96"/>
      <c r="H2442" s="96"/>
      <c r="J2442" s="1"/>
      <c r="K2442" s="1"/>
      <c r="L2442" s="1"/>
      <c r="O2442" s="475"/>
      <c r="P2442" s="475"/>
      <c r="Q2442" s="475"/>
      <c r="R2442" s="475"/>
      <c r="S2442" s="475"/>
      <c r="T2442" s="475"/>
      <c r="U2442" s="475"/>
      <c r="V2442" s="475"/>
      <c r="W2442" s="475"/>
    </row>
    <row r="2443" spans="2:23" s="97" customFormat="1">
      <c r="B2443" s="96"/>
      <c r="H2443" s="96"/>
      <c r="J2443" s="1"/>
      <c r="K2443" s="1"/>
      <c r="L2443" s="1"/>
      <c r="O2443" s="475"/>
      <c r="P2443" s="475"/>
      <c r="Q2443" s="475"/>
      <c r="R2443" s="475"/>
      <c r="S2443" s="475"/>
      <c r="T2443" s="475"/>
      <c r="U2443" s="475"/>
      <c r="V2443" s="475"/>
      <c r="W2443" s="475"/>
    </row>
    <row r="2444" spans="2:23" s="97" customFormat="1">
      <c r="B2444" s="96"/>
      <c r="H2444" s="96"/>
      <c r="J2444" s="1"/>
      <c r="K2444" s="1"/>
      <c r="L2444" s="1"/>
      <c r="O2444" s="475"/>
      <c r="P2444" s="475"/>
      <c r="Q2444" s="475"/>
      <c r="R2444" s="475"/>
      <c r="S2444" s="475"/>
      <c r="T2444" s="475"/>
      <c r="U2444" s="475"/>
      <c r="V2444" s="475"/>
      <c r="W2444" s="475"/>
    </row>
    <row r="2445" spans="2:23" s="97" customFormat="1">
      <c r="B2445" s="96"/>
      <c r="H2445" s="96"/>
      <c r="J2445" s="1"/>
      <c r="K2445" s="1"/>
      <c r="L2445" s="1"/>
      <c r="O2445" s="475"/>
      <c r="P2445" s="475"/>
      <c r="Q2445" s="475"/>
      <c r="R2445" s="475"/>
      <c r="S2445" s="475"/>
      <c r="T2445" s="475"/>
      <c r="U2445" s="475"/>
      <c r="V2445" s="475"/>
      <c r="W2445" s="475"/>
    </row>
    <row r="2446" spans="2:23" s="97" customFormat="1">
      <c r="B2446" s="96"/>
      <c r="H2446" s="96"/>
      <c r="J2446" s="1"/>
      <c r="K2446" s="1"/>
      <c r="L2446" s="1"/>
      <c r="O2446" s="475"/>
      <c r="P2446" s="475"/>
      <c r="Q2446" s="475"/>
      <c r="R2446" s="475"/>
      <c r="S2446" s="475"/>
      <c r="T2446" s="475"/>
      <c r="U2446" s="475"/>
      <c r="V2446" s="475"/>
      <c r="W2446" s="475"/>
    </row>
    <row r="2447" spans="2:23" s="97" customFormat="1">
      <c r="B2447" s="96"/>
      <c r="H2447" s="96"/>
      <c r="J2447" s="1"/>
      <c r="K2447" s="1"/>
      <c r="L2447" s="1"/>
      <c r="O2447" s="475"/>
      <c r="P2447" s="475"/>
      <c r="Q2447" s="475"/>
      <c r="R2447" s="475"/>
      <c r="S2447" s="475"/>
      <c r="T2447" s="475"/>
      <c r="U2447" s="475"/>
      <c r="V2447" s="475"/>
      <c r="W2447" s="475"/>
    </row>
    <row r="2448" spans="2:23" s="97" customFormat="1">
      <c r="B2448" s="96"/>
      <c r="H2448" s="96"/>
      <c r="J2448" s="1"/>
      <c r="K2448" s="1"/>
      <c r="L2448" s="1"/>
      <c r="O2448" s="475"/>
      <c r="P2448" s="475"/>
      <c r="Q2448" s="475"/>
      <c r="R2448" s="475"/>
      <c r="S2448" s="475"/>
      <c r="T2448" s="475"/>
      <c r="U2448" s="475"/>
      <c r="V2448" s="475"/>
      <c r="W2448" s="475"/>
    </row>
    <row r="2449" spans="2:23" s="97" customFormat="1">
      <c r="B2449" s="96"/>
      <c r="H2449" s="96"/>
      <c r="J2449" s="1"/>
      <c r="K2449" s="1"/>
      <c r="L2449" s="1"/>
      <c r="O2449" s="475"/>
      <c r="P2449" s="475"/>
      <c r="Q2449" s="475"/>
      <c r="R2449" s="475"/>
      <c r="S2449" s="475"/>
      <c r="T2449" s="475"/>
      <c r="U2449" s="475"/>
      <c r="V2449" s="475"/>
      <c r="W2449" s="475"/>
    </row>
    <row r="2450" spans="2:23" s="97" customFormat="1">
      <c r="B2450" s="96"/>
      <c r="H2450" s="96"/>
      <c r="J2450" s="1"/>
      <c r="K2450" s="1"/>
      <c r="L2450" s="1"/>
      <c r="O2450" s="475"/>
      <c r="P2450" s="475"/>
      <c r="Q2450" s="475"/>
      <c r="R2450" s="475"/>
      <c r="S2450" s="475"/>
      <c r="T2450" s="475"/>
      <c r="U2450" s="475"/>
      <c r="V2450" s="475"/>
      <c r="W2450" s="475"/>
    </row>
    <row r="2451" spans="2:23" s="97" customFormat="1">
      <c r="B2451" s="96"/>
      <c r="H2451" s="96"/>
      <c r="J2451" s="1"/>
      <c r="K2451" s="1"/>
      <c r="L2451" s="1"/>
      <c r="O2451" s="475"/>
      <c r="P2451" s="475"/>
      <c r="Q2451" s="475"/>
      <c r="R2451" s="475"/>
      <c r="S2451" s="475"/>
      <c r="T2451" s="475"/>
      <c r="U2451" s="475"/>
      <c r="V2451" s="475"/>
      <c r="W2451" s="475"/>
    </row>
    <row r="2452" spans="2:23" s="97" customFormat="1">
      <c r="B2452" s="96"/>
      <c r="H2452" s="96"/>
      <c r="J2452" s="1"/>
      <c r="K2452" s="1"/>
      <c r="L2452" s="1"/>
      <c r="O2452" s="475"/>
      <c r="P2452" s="475"/>
      <c r="Q2452" s="475"/>
      <c r="R2452" s="475"/>
      <c r="S2452" s="475"/>
      <c r="T2452" s="475"/>
      <c r="U2452" s="475"/>
      <c r="V2452" s="475"/>
      <c r="W2452" s="475"/>
    </row>
    <row r="2453" spans="2:23" s="97" customFormat="1">
      <c r="B2453" s="96"/>
      <c r="H2453" s="96"/>
      <c r="J2453" s="1"/>
      <c r="K2453" s="1"/>
      <c r="L2453" s="1"/>
      <c r="O2453" s="475"/>
      <c r="P2453" s="475"/>
      <c r="Q2453" s="475"/>
      <c r="R2453" s="475"/>
      <c r="S2453" s="475"/>
      <c r="T2453" s="475"/>
      <c r="U2453" s="475"/>
      <c r="V2453" s="475"/>
      <c r="W2453" s="475"/>
    </row>
    <row r="2454" spans="2:23" s="97" customFormat="1">
      <c r="B2454" s="96"/>
      <c r="H2454" s="96"/>
      <c r="J2454" s="1"/>
      <c r="K2454" s="1"/>
      <c r="L2454" s="1"/>
      <c r="O2454" s="475"/>
      <c r="P2454" s="475"/>
      <c r="Q2454" s="475"/>
      <c r="R2454" s="475"/>
      <c r="S2454" s="475"/>
      <c r="T2454" s="475"/>
      <c r="U2454" s="475"/>
      <c r="V2454" s="475"/>
      <c r="W2454" s="475"/>
    </row>
    <row r="2455" spans="2:23" s="97" customFormat="1">
      <c r="B2455" s="96"/>
      <c r="H2455" s="96"/>
      <c r="J2455" s="1"/>
      <c r="K2455" s="1"/>
      <c r="L2455" s="1"/>
      <c r="O2455" s="475"/>
      <c r="P2455" s="475"/>
      <c r="Q2455" s="475"/>
      <c r="R2455" s="475"/>
      <c r="S2455" s="475"/>
      <c r="T2455" s="475"/>
      <c r="U2455" s="475"/>
      <c r="V2455" s="475"/>
      <c r="W2455" s="475"/>
    </row>
    <row r="2456" spans="2:23" s="97" customFormat="1">
      <c r="B2456" s="96"/>
      <c r="H2456" s="96"/>
      <c r="J2456" s="1"/>
      <c r="K2456" s="1"/>
      <c r="L2456" s="1"/>
      <c r="O2456" s="475"/>
      <c r="P2456" s="475"/>
      <c r="Q2456" s="475"/>
      <c r="R2456" s="475"/>
      <c r="S2456" s="475"/>
      <c r="T2456" s="475"/>
      <c r="U2456" s="475"/>
      <c r="V2456" s="475"/>
      <c r="W2456" s="475"/>
    </row>
    <row r="2457" spans="2:23" s="97" customFormat="1">
      <c r="B2457" s="96"/>
      <c r="H2457" s="96"/>
      <c r="J2457" s="1"/>
      <c r="K2457" s="1"/>
      <c r="L2457" s="1"/>
      <c r="O2457" s="475"/>
      <c r="P2457" s="475"/>
      <c r="Q2457" s="475"/>
      <c r="R2457" s="475"/>
      <c r="S2457" s="475"/>
      <c r="T2457" s="475"/>
      <c r="U2457" s="475"/>
      <c r="V2457" s="475"/>
      <c r="W2457" s="475"/>
    </row>
    <row r="2458" spans="2:23" s="97" customFormat="1">
      <c r="B2458" s="96"/>
      <c r="H2458" s="96"/>
      <c r="J2458" s="1"/>
      <c r="K2458" s="1"/>
      <c r="L2458" s="1"/>
      <c r="O2458" s="475"/>
      <c r="P2458" s="475"/>
      <c r="Q2458" s="475"/>
      <c r="R2458" s="475"/>
      <c r="S2458" s="475"/>
      <c r="T2458" s="475"/>
      <c r="U2458" s="475"/>
      <c r="V2458" s="475"/>
      <c r="W2458" s="475"/>
    </row>
    <row r="2459" spans="2:23" s="97" customFormat="1">
      <c r="B2459" s="96"/>
      <c r="H2459" s="96"/>
      <c r="J2459" s="1"/>
      <c r="K2459" s="1"/>
      <c r="L2459" s="1"/>
      <c r="O2459" s="475"/>
      <c r="P2459" s="475"/>
      <c r="Q2459" s="475"/>
      <c r="R2459" s="475"/>
      <c r="S2459" s="475"/>
      <c r="T2459" s="475"/>
      <c r="U2459" s="475"/>
      <c r="V2459" s="475"/>
      <c r="W2459" s="475"/>
    </row>
    <row r="2460" spans="2:23" s="97" customFormat="1">
      <c r="B2460" s="96"/>
      <c r="H2460" s="96"/>
      <c r="J2460" s="1"/>
      <c r="K2460" s="1"/>
      <c r="L2460" s="1"/>
      <c r="O2460" s="475"/>
      <c r="P2460" s="475"/>
      <c r="Q2460" s="475"/>
      <c r="R2460" s="475"/>
      <c r="S2460" s="475"/>
      <c r="T2460" s="475"/>
      <c r="U2460" s="475"/>
      <c r="V2460" s="475"/>
      <c r="W2460" s="475"/>
    </row>
    <row r="2461" spans="2:23" s="97" customFormat="1">
      <c r="B2461" s="96"/>
      <c r="H2461" s="96"/>
      <c r="J2461" s="1"/>
      <c r="K2461" s="1"/>
      <c r="L2461" s="1"/>
      <c r="O2461" s="475"/>
      <c r="P2461" s="475"/>
      <c r="Q2461" s="475"/>
      <c r="R2461" s="475"/>
      <c r="S2461" s="475"/>
      <c r="T2461" s="475"/>
      <c r="U2461" s="475"/>
      <c r="V2461" s="475"/>
      <c r="W2461" s="475"/>
    </row>
    <row r="2462" spans="2:23" s="97" customFormat="1">
      <c r="B2462" s="96"/>
      <c r="H2462" s="96"/>
      <c r="J2462" s="1"/>
      <c r="K2462" s="1"/>
      <c r="L2462" s="1"/>
      <c r="O2462" s="475"/>
      <c r="P2462" s="475"/>
      <c r="Q2462" s="475"/>
      <c r="R2462" s="475"/>
      <c r="S2462" s="475"/>
      <c r="T2462" s="475"/>
      <c r="U2462" s="475"/>
      <c r="V2462" s="475"/>
      <c r="W2462" s="475"/>
    </row>
    <row r="2463" spans="2:23" s="97" customFormat="1">
      <c r="B2463" s="96"/>
      <c r="H2463" s="96"/>
      <c r="J2463" s="1"/>
      <c r="K2463" s="1"/>
      <c r="L2463" s="1"/>
      <c r="O2463" s="475"/>
      <c r="P2463" s="475"/>
      <c r="Q2463" s="475"/>
      <c r="R2463" s="475"/>
      <c r="S2463" s="475"/>
      <c r="T2463" s="475"/>
      <c r="U2463" s="475"/>
      <c r="V2463" s="475"/>
      <c r="W2463" s="475"/>
    </row>
    <row r="2464" spans="2:23" s="97" customFormat="1">
      <c r="B2464" s="96"/>
      <c r="H2464" s="96"/>
      <c r="J2464" s="1"/>
      <c r="K2464" s="1"/>
      <c r="L2464" s="1"/>
      <c r="O2464" s="475"/>
      <c r="P2464" s="475"/>
      <c r="Q2464" s="475"/>
      <c r="R2464" s="475"/>
      <c r="S2464" s="475"/>
      <c r="T2464" s="475"/>
      <c r="U2464" s="475"/>
      <c r="V2464" s="475"/>
      <c r="W2464" s="475"/>
    </row>
    <row r="2465" spans="2:23" s="97" customFormat="1">
      <c r="B2465" s="96"/>
      <c r="H2465" s="96"/>
      <c r="J2465" s="1"/>
      <c r="K2465" s="1"/>
      <c r="L2465" s="1"/>
      <c r="O2465" s="475"/>
      <c r="P2465" s="475"/>
      <c r="Q2465" s="475"/>
      <c r="R2465" s="475"/>
      <c r="S2465" s="475"/>
      <c r="T2465" s="475"/>
      <c r="U2465" s="475"/>
      <c r="V2465" s="475"/>
      <c r="W2465" s="475"/>
    </row>
    <row r="2466" spans="2:23" s="97" customFormat="1">
      <c r="B2466" s="96"/>
      <c r="H2466" s="96"/>
      <c r="J2466" s="1"/>
      <c r="K2466" s="1"/>
      <c r="L2466" s="1"/>
      <c r="O2466" s="475"/>
      <c r="P2466" s="475"/>
      <c r="Q2466" s="475"/>
      <c r="R2466" s="475"/>
      <c r="S2466" s="475"/>
      <c r="T2466" s="475"/>
      <c r="U2466" s="475"/>
      <c r="V2466" s="475"/>
      <c r="W2466" s="475"/>
    </row>
    <row r="2467" spans="2:23" s="97" customFormat="1">
      <c r="B2467" s="96"/>
      <c r="H2467" s="96"/>
      <c r="J2467" s="1"/>
      <c r="K2467" s="1"/>
      <c r="L2467" s="1"/>
      <c r="O2467" s="475"/>
      <c r="P2467" s="475"/>
      <c r="Q2467" s="475"/>
      <c r="R2467" s="475"/>
      <c r="S2467" s="475"/>
      <c r="T2467" s="475"/>
      <c r="U2467" s="475"/>
      <c r="V2467" s="475"/>
      <c r="W2467" s="475"/>
    </row>
    <row r="2468" spans="2:23" s="97" customFormat="1">
      <c r="B2468" s="96"/>
      <c r="H2468" s="96"/>
      <c r="J2468" s="1"/>
      <c r="K2468" s="1"/>
      <c r="L2468" s="1"/>
      <c r="O2468" s="475"/>
      <c r="P2468" s="475"/>
      <c r="Q2468" s="475"/>
      <c r="R2468" s="475"/>
      <c r="S2468" s="475"/>
      <c r="T2468" s="475"/>
      <c r="U2468" s="475"/>
      <c r="V2468" s="475"/>
      <c r="W2468" s="475"/>
    </row>
    <row r="2469" spans="2:23" s="97" customFormat="1">
      <c r="B2469" s="96"/>
      <c r="H2469" s="96"/>
      <c r="J2469" s="1"/>
      <c r="K2469" s="1"/>
      <c r="L2469" s="1"/>
      <c r="O2469" s="475"/>
      <c r="P2469" s="475"/>
      <c r="Q2469" s="475"/>
      <c r="R2469" s="475"/>
      <c r="S2469" s="475"/>
      <c r="T2469" s="475"/>
      <c r="U2469" s="475"/>
      <c r="V2469" s="475"/>
      <c r="W2469" s="475"/>
    </row>
    <row r="2470" spans="2:23" s="97" customFormat="1">
      <c r="B2470" s="96"/>
      <c r="H2470" s="96"/>
      <c r="J2470" s="1"/>
      <c r="K2470" s="1"/>
      <c r="L2470" s="1"/>
      <c r="O2470" s="475"/>
      <c r="P2470" s="475"/>
      <c r="Q2470" s="475"/>
      <c r="R2470" s="475"/>
      <c r="S2470" s="475"/>
      <c r="T2470" s="475"/>
      <c r="U2470" s="475"/>
      <c r="V2470" s="475"/>
      <c r="W2470" s="475"/>
    </row>
    <row r="2471" spans="2:23" s="97" customFormat="1">
      <c r="B2471" s="96"/>
      <c r="H2471" s="96"/>
      <c r="J2471" s="1"/>
      <c r="K2471" s="1"/>
      <c r="L2471" s="1"/>
      <c r="O2471" s="475"/>
      <c r="P2471" s="475"/>
      <c r="Q2471" s="475"/>
      <c r="R2471" s="475"/>
      <c r="S2471" s="475"/>
      <c r="T2471" s="475"/>
      <c r="U2471" s="475"/>
      <c r="V2471" s="475"/>
      <c r="W2471" s="475"/>
    </row>
    <row r="2472" spans="2:23" s="97" customFormat="1">
      <c r="B2472" s="96"/>
      <c r="H2472" s="96"/>
      <c r="J2472" s="1"/>
      <c r="K2472" s="1"/>
      <c r="L2472" s="1"/>
      <c r="O2472" s="475"/>
      <c r="P2472" s="475"/>
      <c r="Q2472" s="475"/>
      <c r="R2472" s="475"/>
      <c r="S2472" s="475"/>
      <c r="T2472" s="475"/>
      <c r="U2472" s="475"/>
      <c r="V2472" s="475"/>
      <c r="W2472" s="475"/>
    </row>
    <row r="2473" spans="2:23" s="97" customFormat="1">
      <c r="B2473" s="96"/>
      <c r="H2473" s="96"/>
      <c r="J2473" s="1"/>
      <c r="K2473" s="1"/>
      <c r="L2473" s="1"/>
      <c r="O2473" s="475"/>
      <c r="P2473" s="475"/>
      <c r="Q2473" s="475"/>
      <c r="R2473" s="475"/>
      <c r="S2473" s="475"/>
      <c r="T2473" s="475"/>
      <c r="U2473" s="475"/>
      <c r="V2473" s="475"/>
      <c r="W2473" s="475"/>
    </row>
    <row r="2474" spans="2:23" s="97" customFormat="1">
      <c r="B2474" s="96"/>
      <c r="H2474" s="96"/>
      <c r="J2474" s="1"/>
      <c r="K2474" s="1"/>
      <c r="L2474" s="1"/>
      <c r="O2474" s="475"/>
      <c r="P2474" s="475"/>
      <c r="Q2474" s="475"/>
      <c r="R2474" s="475"/>
      <c r="S2474" s="475"/>
      <c r="T2474" s="475"/>
      <c r="U2474" s="475"/>
      <c r="V2474" s="475"/>
      <c r="W2474" s="475"/>
    </row>
    <row r="2475" spans="2:23" s="97" customFormat="1">
      <c r="B2475" s="96"/>
      <c r="H2475" s="96"/>
      <c r="J2475" s="1"/>
      <c r="K2475" s="1"/>
      <c r="L2475" s="1"/>
      <c r="O2475" s="475"/>
      <c r="P2475" s="475"/>
      <c r="Q2475" s="475"/>
      <c r="R2475" s="475"/>
      <c r="S2475" s="475"/>
      <c r="T2475" s="475"/>
      <c r="U2475" s="475"/>
      <c r="V2475" s="475"/>
      <c r="W2475" s="475"/>
    </row>
    <row r="2476" spans="2:23" s="97" customFormat="1">
      <c r="B2476" s="96"/>
      <c r="H2476" s="96"/>
      <c r="J2476" s="1"/>
      <c r="K2476" s="1"/>
      <c r="L2476" s="1"/>
      <c r="O2476" s="475"/>
      <c r="P2476" s="475"/>
      <c r="Q2476" s="475"/>
      <c r="R2476" s="475"/>
      <c r="S2476" s="475"/>
      <c r="T2476" s="475"/>
      <c r="U2476" s="475"/>
      <c r="V2476" s="475"/>
      <c r="W2476" s="475"/>
    </row>
    <row r="2477" spans="2:23" s="97" customFormat="1">
      <c r="B2477" s="96"/>
      <c r="H2477" s="96"/>
      <c r="J2477" s="1"/>
      <c r="K2477" s="1"/>
      <c r="L2477" s="1"/>
      <c r="O2477" s="475"/>
      <c r="P2477" s="475"/>
      <c r="Q2477" s="475"/>
      <c r="R2477" s="475"/>
      <c r="S2477" s="475"/>
      <c r="T2477" s="475"/>
      <c r="U2477" s="475"/>
      <c r="V2477" s="475"/>
      <c r="W2477" s="475"/>
    </row>
    <row r="2478" spans="2:23" s="97" customFormat="1">
      <c r="B2478" s="96"/>
      <c r="H2478" s="96"/>
      <c r="J2478" s="1"/>
      <c r="K2478" s="1"/>
      <c r="L2478" s="1"/>
      <c r="O2478" s="475"/>
      <c r="P2478" s="475"/>
      <c r="Q2478" s="475"/>
      <c r="R2478" s="475"/>
      <c r="S2478" s="475"/>
      <c r="T2478" s="475"/>
      <c r="U2478" s="475"/>
      <c r="V2478" s="475"/>
      <c r="W2478" s="475"/>
    </row>
    <row r="2479" spans="2:23" s="97" customFormat="1">
      <c r="B2479" s="96"/>
      <c r="H2479" s="96"/>
      <c r="J2479" s="1"/>
      <c r="K2479" s="1"/>
      <c r="L2479" s="1"/>
      <c r="O2479" s="475"/>
      <c r="P2479" s="475"/>
      <c r="Q2479" s="475"/>
      <c r="R2479" s="475"/>
      <c r="S2479" s="475"/>
      <c r="T2479" s="475"/>
      <c r="U2479" s="475"/>
      <c r="V2479" s="475"/>
      <c r="W2479" s="475"/>
    </row>
    <row r="2480" spans="2:23" s="97" customFormat="1">
      <c r="B2480" s="96"/>
      <c r="H2480" s="96"/>
      <c r="J2480" s="1"/>
      <c r="K2480" s="1"/>
      <c r="L2480" s="1"/>
      <c r="O2480" s="475"/>
      <c r="P2480" s="475"/>
      <c r="Q2480" s="475"/>
      <c r="R2480" s="475"/>
      <c r="S2480" s="475"/>
      <c r="T2480" s="475"/>
      <c r="U2480" s="475"/>
      <c r="V2480" s="475"/>
      <c r="W2480" s="475"/>
    </row>
    <row r="2481" spans="2:23" s="97" customFormat="1">
      <c r="B2481" s="96"/>
      <c r="H2481" s="96"/>
      <c r="J2481" s="1"/>
      <c r="K2481" s="1"/>
      <c r="L2481" s="1"/>
      <c r="O2481" s="475"/>
      <c r="P2481" s="475"/>
      <c r="Q2481" s="475"/>
      <c r="R2481" s="475"/>
      <c r="S2481" s="475"/>
      <c r="T2481" s="475"/>
      <c r="U2481" s="475"/>
      <c r="V2481" s="475"/>
      <c r="W2481" s="475"/>
    </row>
    <row r="2482" spans="2:23" s="97" customFormat="1">
      <c r="B2482" s="96"/>
      <c r="H2482" s="96"/>
      <c r="J2482" s="1"/>
      <c r="K2482" s="1"/>
      <c r="L2482" s="1"/>
      <c r="O2482" s="475"/>
      <c r="P2482" s="475"/>
      <c r="Q2482" s="475"/>
      <c r="R2482" s="475"/>
      <c r="S2482" s="475"/>
      <c r="T2482" s="475"/>
      <c r="U2482" s="475"/>
      <c r="V2482" s="475"/>
      <c r="W2482" s="475"/>
    </row>
    <row r="2483" spans="2:23" s="97" customFormat="1">
      <c r="B2483" s="96"/>
      <c r="H2483" s="96"/>
      <c r="J2483" s="1"/>
      <c r="K2483" s="1"/>
      <c r="L2483" s="1"/>
      <c r="O2483" s="475"/>
      <c r="P2483" s="475"/>
      <c r="Q2483" s="475"/>
      <c r="R2483" s="475"/>
      <c r="S2483" s="475"/>
      <c r="T2483" s="475"/>
      <c r="U2483" s="475"/>
      <c r="V2483" s="475"/>
      <c r="W2483" s="475"/>
    </row>
    <row r="2484" spans="2:23" s="97" customFormat="1">
      <c r="B2484" s="96"/>
      <c r="H2484" s="96"/>
      <c r="J2484" s="1"/>
      <c r="K2484" s="1"/>
      <c r="L2484" s="1"/>
      <c r="O2484" s="475"/>
      <c r="P2484" s="475"/>
      <c r="Q2484" s="475"/>
      <c r="R2484" s="475"/>
      <c r="S2484" s="475"/>
      <c r="T2484" s="475"/>
      <c r="U2484" s="475"/>
      <c r="V2484" s="475"/>
      <c r="W2484" s="475"/>
    </row>
    <row r="2485" spans="2:23" s="97" customFormat="1">
      <c r="B2485" s="96"/>
      <c r="H2485" s="96"/>
      <c r="J2485" s="1"/>
      <c r="K2485" s="1"/>
      <c r="L2485" s="1"/>
      <c r="O2485" s="475"/>
      <c r="P2485" s="475"/>
      <c r="Q2485" s="475"/>
      <c r="R2485" s="475"/>
      <c r="S2485" s="475"/>
      <c r="T2485" s="475"/>
      <c r="U2485" s="475"/>
      <c r="V2485" s="475"/>
      <c r="W2485" s="475"/>
    </row>
    <row r="2486" spans="2:23" s="97" customFormat="1">
      <c r="B2486" s="96"/>
      <c r="H2486" s="96"/>
      <c r="J2486" s="1"/>
      <c r="K2486" s="1"/>
      <c r="L2486" s="1"/>
      <c r="O2486" s="475"/>
      <c r="P2486" s="475"/>
      <c r="Q2486" s="475"/>
      <c r="R2486" s="475"/>
      <c r="S2486" s="475"/>
      <c r="T2486" s="475"/>
      <c r="U2486" s="475"/>
      <c r="V2486" s="475"/>
      <c r="W2486" s="475"/>
    </row>
    <row r="2487" spans="2:23" s="97" customFormat="1">
      <c r="B2487" s="96"/>
      <c r="H2487" s="96"/>
      <c r="J2487" s="1"/>
      <c r="K2487" s="1"/>
      <c r="L2487" s="1"/>
      <c r="O2487" s="475"/>
      <c r="P2487" s="475"/>
      <c r="Q2487" s="475"/>
      <c r="R2487" s="475"/>
      <c r="S2487" s="475"/>
      <c r="T2487" s="475"/>
      <c r="U2487" s="475"/>
      <c r="V2487" s="475"/>
      <c r="W2487" s="475"/>
    </row>
    <row r="2488" spans="2:23" s="97" customFormat="1">
      <c r="B2488" s="96"/>
      <c r="H2488" s="96"/>
      <c r="J2488" s="1"/>
      <c r="K2488" s="1"/>
      <c r="L2488" s="1"/>
      <c r="O2488" s="475"/>
      <c r="P2488" s="475"/>
      <c r="Q2488" s="475"/>
      <c r="R2488" s="475"/>
      <c r="S2488" s="475"/>
      <c r="T2488" s="475"/>
      <c r="U2488" s="475"/>
      <c r="V2488" s="475"/>
      <c r="W2488" s="475"/>
    </row>
    <row r="2489" spans="2:23" s="97" customFormat="1">
      <c r="B2489" s="96"/>
      <c r="H2489" s="96"/>
      <c r="J2489" s="1"/>
      <c r="K2489" s="1"/>
      <c r="L2489" s="1"/>
      <c r="O2489" s="475"/>
      <c r="P2489" s="475"/>
      <c r="Q2489" s="475"/>
      <c r="R2489" s="475"/>
      <c r="S2489" s="475"/>
      <c r="T2489" s="475"/>
      <c r="U2489" s="475"/>
      <c r="V2489" s="475"/>
      <c r="W2489" s="475"/>
    </row>
    <row r="2490" spans="2:23" s="97" customFormat="1">
      <c r="B2490" s="96"/>
      <c r="H2490" s="96"/>
      <c r="J2490" s="1"/>
      <c r="K2490" s="1"/>
      <c r="L2490" s="1"/>
      <c r="O2490" s="475"/>
      <c r="P2490" s="475"/>
      <c r="Q2490" s="475"/>
      <c r="R2490" s="475"/>
      <c r="S2490" s="475"/>
      <c r="T2490" s="475"/>
      <c r="U2490" s="475"/>
      <c r="V2490" s="475"/>
      <c r="W2490" s="475"/>
    </row>
    <row r="2491" spans="2:23" s="97" customFormat="1">
      <c r="B2491" s="96"/>
      <c r="H2491" s="96"/>
      <c r="J2491" s="1"/>
      <c r="K2491" s="1"/>
      <c r="L2491" s="1"/>
      <c r="O2491" s="475"/>
      <c r="P2491" s="475"/>
      <c r="Q2491" s="475"/>
      <c r="R2491" s="475"/>
      <c r="S2491" s="475"/>
      <c r="T2491" s="475"/>
      <c r="U2491" s="475"/>
      <c r="V2491" s="475"/>
      <c r="W2491" s="475"/>
    </row>
    <row r="2492" spans="2:23" s="97" customFormat="1">
      <c r="B2492" s="96"/>
      <c r="H2492" s="96"/>
      <c r="J2492" s="1"/>
      <c r="K2492" s="1"/>
      <c r="L2492" s="1"/>
      <c r="O2492" s="475"/>
      <c r="P2492" s="475"/>
      <c r="Q2492" s="475"/>
      <c r="R2492" s="475"/>
      <c r="S2492" s="475"/>
      <c r="T2492" s="475"/>
      <c r="U2492" s="475"/>
      <c r="V2492" s="475"/>
      <c r="W2492" s="475"/>
    </row>
    <row r="2493" spans="2:23" s="97" customFormat="1">
      <c r="B2493" s="96"/>
      <c r="H2493" s="96"/>
      <c r="J2493" s="1"/>
      <c r="K2493" s="1"/>
      <c r="L2493" s="1"/>
      <c r="O2493" s="475"/>
      <c r="P2493" s="475"/>
      <c r="Q2493" s="475"/>
      <c r="R2493" s="475"/>
      <c r="S2493" s="475"/>
      <c r="T2493" s="475"/>
      <c r="U2493" s="475"/>
      <c r="V2493" s="475"/>
      <c r="W2493" s="475"/>
    </row>
    <row r="2494" spans="2:23" s="97" customFormat="1">
      <c r="B2494" s="96"/>
      <c r="H2494" s="96"/>
      <c r="J2494" s="1"/>
      <c r="K2494" s="1"/>
      <c r="L2494" s="1"/>
      <c r="O2494" s="475"/>
      <c r="P2494" s="475"/>
      <c r="Q2494" s="475"/>
      <c r="R2494" s="475"/>
      <c r="S2494" s="475"/>
      <c r="T2494" s="475"/>
      <c r="U2494" s="475"/>
      <c r="V2494" s="475"/>
      <c r="W2494" s="475"/>
    </row>
    <row r="2495" spans="2:23" s="97" customFormat="1">
      <c r="B2495" s="96"/>
      <c r="H2495" s="96"/>
      <c r="J2495" s="1"/>
      <c r="K2495" s="1"/>
      <c r="L2495" s="1"/>
      <c r="O2495" s="475"/>
      <c r="P2495" s="475"/>
      <c r="Q2495" s="475"/>
      <c r="R2495" s="475"/>
      <c r="S2495" s="475"/>
      <c r="T2495" s="475"/>
      <c r="U2495" s="475"/>
      <c r="V2495" s="475"/>
      <c r="W2495" s="475"/>
    </row>
    <row r="2496" spans="2:23" s="97" customFormat="1">
      <c r="B2496" s="96"/>
      <c r="H2496" s="96"/>
      <c r="J2496" s="1"/>
      <c r="K2496" s="1"/>
      <c r="L2496" s="1"/>
      <c r="O2496" s="475"/>
      <c r="P2496" s="475"/>
      <c r="Q2496" s="475"/>
      <c r="R2496" s="475"/>
      <c r="S2496" s="475"/>
      <c r="T2496" s="475"/>
      <c r="U2496" s="475"/>
      <c r="V2496" s="475"/>
      <c r="W2496" s="475"/>
    </row>
    <row r="2497" spans="2:23" s="97" customFormat="1">
      <c r="B2497" s="96"/>
      <c r="H2497" s="96"/>
      <c r="J2497" s="1"/>
      <c r="K2497" s="1"/>
      <c r="L2497" s="1"/>
      <c r="O2497" s="475"/>
      <c r="P2497" s="475"/>
      <c r="Q2497" s="475"/>
      <c r="R2497" s="475"/>
      <c r="S2497" s="475"/>
      <c r="T2497" s="475"/>
      <c r="U2497" s="475"/>
      <c r="V2497" s="475"/>
      <c r="W2497" s="475"/>
    </row>
    <row r="2498" spans="2:23" s="97" customFormat="1">
      <c r="B2498" s="96"/>
      <c r="H2498" s="96"/>
      <c r="J2498" s="1"/>
      <c r="K2498" s="1"/>
      <c r="L2498" s="1"/>
      <c r="O2498" s="475"/>
      <c r="P2498" s="475"/>
      <c r="Q2498" s="475"/>
      <c r="R2498" s="475"/>
      <c r="S2498" s="475"/>
      <c r="T2498" s="475"/>
      <c r="U2498" s="475"/>
      <c r="V2498" s="475"/>
      <c r="W2498" s="475"/>
    </row>
    <row r="2499" spans="2:23" s="97" customFormat="1">
      <c r="B2499" s="96"/>
      <c r="H2499" s="96"/>
      <c r="J2499" s="1"/>
      <c r="K2499" s="1"/>
      <c r="L2499" s="1"/>
      <c r="O2499" s="475"/>
      <c r="P2499" s="475"/>
      <c r="Q2499" s="475"/>
      <c r="R2499" s="475"/>
      <c r="S2499" s="475"/>
      <c r="T2499" s="475"/>
      <c r="U2499" s="475"/>
      <c r="V2499" s="475"/>
      <c r="W2499" s="475"/>
    </row>
    <row r="2500" spans="2:23" s="97" customFormat="1">
      <c r="B2500" s="96"/>
      <c r="H2500" s="96"/>
      <c r="J2500" s="1"/>
      <c r="K2500" s="1"/>
      <c r="L2500" s="1"/>
      <c r="O2500" s="475"/>
      <c r="P2500" s="475"/>
      <c r="Q2500" s="475"/>
      <c r="R2500" s="475"/>
      <c r="S2500" s="475"/>
      <c r="T2500" s="475"/>
      <c r="U2500" s="475"/>
      <c r="V2500" s="475"/>
      <c r="W2500" s="475"/>
    </row>
    <row r="2501" spans="2:23" s="97" customFormat="1">
      <c r="B2501" s="96"/>
      <c r="H2501" s="96"/>
      <c r="J2501" s="1"/>
      <c r="K2501" s="1"/>
      <c r="L2501" s="1"/>
      <c r="O2501" s="475"/>
      <c r="P2501" s="475"/>
      <c r="Q2501" s="475"/>
      <c r="R2501" s="475"/>
      <c r="S2501" s="475"/>
      <c r="T2501" s="475"/>
      <c r="U2501" s="475"/>
      <c r="V2501" s="475"/>
      <c r="W2501" s="475"/>
    </row>
    <row r="2502" spans="2:23" s="97" customFormat="1">
      <c r="B2502" s="96"/>
      <c r="H2502" s="96"/>
      <c r="J2502" s="1"/>
      <c r="K2502" s="1"/>
      <c r="L2502" s="1"/>
      <c r="O2502" s="475"/>
      <c r="P2502" s="475"/>
      <c r="Q2502" s="475"/>
      <c r="R2502" s="475"/>
      <c r="S2502" s="475"/>
      <c r="T2502" s="475"/>
      <c r="U2502" s="475"/>
      <c r="V2502" s="475"/>
      <c r="W2502" s="475"/>
    </row>
    <row r="2503" spans="2:23" s="97" customFormat="1">
      <c r="B2503" s="96"/>
      <c r="H2503" s="96"/>
      <c r="J2503" s="1"/>
      <c r="K2503" s="1"/>
      <c r="L2503" s="1"/>
      <c r="O2503" s="475"/>
      <c r="P2503" s="475"/>
      <c r="Q2503" s="475"/>
      <c r="R2503" s="475"/>
      <c r="S2503" s="475"/>
      <c r="T2503" s="475"/>
      <c r="U2503" s="475"/>
      <c r="V2503" s="475"/>
      <c r="W2503" s="475"/>
    </row>
    <row r="2504" spans="2:23" s="97" customFormat="1">
      <c r="B2504" s="96"/>
      <c r="H2504" s="96"/>
      <c r="J2504" s="1"/>
      <c r="K2504" s="1"/>
      <c r="L2504" s="1"/>
      <c r="O2504" s="475"/>
      <c r="P2504" s="475"/>
      <c r="Q2504" s="475"/>
      <c r="R2504" s="475"/>
      <c r="S2504" s="475"/>
      <c r="T2504" s="475"/>
      <c r="U2504" s="475"/>
      <c r="V2504" s="475"/>
      <c r="W2504" s="475"/>
    </row>
    <row r="2505" spans="2:23" s="97" customFormat="1">
      <c r="B2505" s="96"/>
      <c r="H2505" s="96"/>
      <c r="J2505" s="1"/>
      <c r="K2505" s="1"/>
      <c r="L2505" s="1"/>
      <c r="O2505" s="475"/>
      <c r="P2505" s="475"/>
      <c r="Q2505" s="475"/>
      <c r="R2505" s="475"/>
      <c r="S2505" s="475"/>
      <c r="T2505" s="475"/>
      <c r="U2505" s="475"/>
      <c r="V2505" s="475"/>
      <c r="W2505" s="475"/>
    </row>
    <row r="2506" spans="2:23" s="97" customFormat="1">
      <c r="B2506" s="96"/>
      <c r="H2506" s="96"/>
      <c r="J2506" s="1"/>
      <c r="K2506" s="1"/>
      <c r="L2506" s="1"/>
      <c r="O2506" s="475"/>
      <c r="P2506" s="475"/>
      <c r="Q2506" s="475"/>
      <c r="R2506" s="475"/>
      <c r="S2506" s="475"/>
      <c r="T2506" s="475"/>
      <c r="U2506" s="475"/>
      <c r="V2506" s="475"/>
      <c r="W2506" s="475"/>
    </row>
    <row r="2507" spans="2:23" s="97" customFormat="1">
      <c r="B2507" s="96"/>
      <c r="H2507" s="96"/>
      <c r="J2507" s="1"/>
      <c r="K2507" s="1"/>
      <c r="L2507" s="1"/>
      <c r="O2507" s="475"/>
      <c r="P2507" s="475"/>
      <c r="Q2507" s="475"/>
      <c r="R2507" s="475"/>
      <c r="S2507" s="475"/>
      <c r="T2507" s="475"/>
      <c r="U2507" s="475"/>
      <c r="V2507" s="475"/>
      <c r="W2507" s="475"/>
    </row>
    <row r="2508" spans="2:23" s="97" customFormat="1">
      <c r="B2508" s="96"/>
      <c r="H2508" s="96"/>
      <c r="J2508" s="1"/>
      <c r="K2508" s="1"/>
      <c r="L2508" s="1"/>
      <c r="O2508" s="475"/>
      <c r="P2508" s="475"/>
      <c r="Q2508" s="475"/>
      <c r="R2508" s="475"/>
      <c r="S2508" s="475"/>
      <c r="T2508" s="475"/>
      <c r="U2508" s="475"/>
      <c r="V2508" s="475"/>
      <c r="W2508" s="475"/>
    </row>
    <row r="2509" spans="2:23" s="97" customFormat="1">
      <c r="B2509" s="96"/>
      <c r="H2509" s="96"/>
      <c r="J2509" s="1"/>
      <c r="K2509" s="1"/>
      <c r="L2509" s="1"/>
      <c r="O2509" s="475"/>
      <c r="P2509" s="475"/>
      <c r="Q2509" s="475"/>
      <c r="R2509" s="475"/>
      <c r="S2509" s="475"/>
      <c r="T2509" s="475"/>
      <c r="U2509" s="475"/>
      <c r="V2509" s="475"/>
      <c r="W2509" s="475"/>
    </row>
    <row r="2510" spans="2:23" s="97" customFormat="1">
      <c r="B2510" s="96"/>
      <c r="H2510" s="96"/>
      <c r="J2510" s="1"/>
      <c r="K2510" s="1"/>
      <c r="L2510" s="1"/>
      <c r="O2510" s="475"/>
      <c r="P2510" s="475"/>
      <c r="Q2510" s="475"/>
      <c r="R2510" s="475"/>
      <c r="S2510" s="475"/>
      <c r="T2510" s="475"/>
      <c r="U2510" s="475"/>
      <c r="V2510" s="475"/>
      <c r="W2510" s="475"/>
    </row>
    <row r="2511" spans="2:23" s="97" customFormat="1">
      <c r="B2511" s="96"/>
      <c r="H2511" s="96"/>
      <c r="J2511" s="1"/>
      <c r="K2511" s="1"/>
      <c r="L2511" s="1"/>
      <c r="O2511" s="475"/>
      <c r="P2511" s="475"/>
      <c r="Q2511" s="475"/>
      <c r="R2511" s="475"/>
      <c r="S2511" s="475"/>
      <c r="T2511" s="475"/>
      <c r="U2511" s="475"/>
      <c r="V2511" s="475"/>
      <c r="W2511" s="475"/>
    </row>
    <row r="2512" spans="2:23" s="97" customFormat="1">
      <c r="B2512" s="96"/>
      <c r="H2512" s="96"/>
      <c r="J2512" s="1"/>
      <c r="K2512" s="1"/>
      <c r="L2512" s="1"/>
      <c r="O2512" s="475"/>
      <c r="P2512" s="475"/>
      <c r="Q2512" s="475"/>
      <c r="R2512" s="475"/>
      <c r="S2512" s="475"/>
      <c r="T2512" s="475"/>
      <c r="U2512" s="475"/>
      <c r="V2512" s="475"/>
      <c r="W2512" s="475"/>
    </row>
    <row r="2513" spans="2:23" s="97" customFormat="1">
      <c r="B2513" s="96"/>
      <c r="H2513" s="96"/>
      <c r="J2513" s="1"/>
      <c r="K2513" s="1"/>
      <c r="L2513" s="1"/>
      <c r="O2513" s="475"/>
      <c r="P2513" s="475"/>
      <c r="Q2513" s="475"/>
      <c r="R2513" s="475"/>
      <c r="S2513" s="475"/>
      <c r="T2513" s="475"/>
      <c r="U2513" s="475"/>
      <c r="V2513" s="475"/>
      <c r="W2513" s="475"/>
    </row>
    <row r="2514" spans="2:23" s="97" customFormat="1">
      <c r="B2514" s="96"/>
      <c r="H2514" s="96"/>
      <c r="J2514" s="1"/>
      <c r="K2514" s="1"/>
      <c r="L2514" s="1"/>
      <c r="O2514" s="475"/>
      <c r="P2514" s="475"/>
      <c r="Q2514" s="475"/>
      <c r="R2514" s="475"/>
      <c r="S2514" s="475"/>
      <c r="T2514" s="475"/>
      <c r="U2514" s="475"/>
      <c r="V2514" s="475"/>
      <c r="W2514" s="475"/>
    </row>
    <row r="2515" spans="2:23" s="97" customFormat="1">
      <c r="B2515" s="96"/>
      <c r="H2515" s="96"/>
      <c r="J2515" s="1"/>
      <c r="K2515" s="1"/>
      <c r="L2515" s="1"/>
      <c r="O2515" s="475"/>
      <c r="P2515" s="475"/>
      <c r="Q2515" s="475"/>
      <c r="R2515" s="475"/>
      <c r="S2515" s="475"/>
      <c r="T2515" s="475"/>
      <c r="U2515" s="475"/>
      <c r="V2515" s="475"/>
      <c r="W2515" s="475"/>
    </row>
    <row r="2516" spans="2:23" s="97" customFormat="1">
      <c r="B2516" s="96"/>
      <c r="H2516" s="96"/>
      <c r="J2516" s="1"/>
      <c r="K2516" s="1"/>
      <c r="L2516" s="1"/>
      <c r="O2516" s="475"/>
      <c r="P2516" s="475"/>
      <c r="Q2516" s="475"/>
      <c r="R2516" s="475"/>
      <c r="S2516" s="475"/>
      <c r="T2516" s="475"/>
      <c r="U2516" s="475"/>
      <c r="V2516" s="475"/>
      <c r="W2516" s="475"/>
    </row>
    <row r="2517" spans="2:23" s="97" customFormat="1">
      <c r="B2517" s="96"/>
      <c r="H2517" s="96"/>
      <c r="J2517" s="1"/>
      <c r="K2517" s="1"/>
      <c r="L2517" s="1"/>
      <c r="O2517" s="475"/>
      <c r="P2517" s="475"/>
      <c r="Q2517" s="475"/>
      <c r="R2517" s="475"/>
      <c r="S2517" s="475"/>
      <c r="T2517" s="475"/>
      <c r="U2517" s="475"/>
      <c r="V2517" s="475"/>
      <c r="W2517" s="475"/>
    </row>
    <row r="2518" spans="2:23" s="97" customFormat="1">
      <c r="B2518" s="96"/>
      <c r="H2518" s="96"/>
      <c r="J2518" s="1"/>
      <c r="K2518" s="1"/>
      <c r="L2518" s="1"/>
      <c r="O2518" s="475"/>
      <c r="P2518" s="475"/>
      <c r="Q2518" s="475"/>
      <c r="R2518" s="475"/>
      <c r="S2518" s="475"/>
      <c r="T2518" s="475"/>
      <c r="U2518" s="475"/>
      <c r="V2518" s="475"/>
      <c r="W2518" s="475"/>
    </row>
    <row r="2519" spans="2:23" s="97" customFormat="1">
      <c r="B2519" s="96"/>
      <c r="H2519" s="96"/>
      <c r="J2519" s="1"/>
      <c r="K2519" s="1"/>
      <c r="L2519" s="1"/>
      <c r="O2519" s="475"/>
      <c r="P2519" s="475"/>
      <c r="Q2519" s="475"/>
      <c r="R2519" s="475"/>
      <c r="S2519" s="475"/>
      <c r="T2519" s="475"/>
      <c r="U2519" s="475"/>
      <c r="V2519" s="475"/>
      <c r="W2519" s="475"/>
    </row>
    <row r="2520" spans="2:23" s="97" customFormat="1">
      <c r="B2520" s="96"/>
      <c r="H2520" s="96"/>
      <c r="J2520" s="1"/>
      <c r="K2520" s="1"/>
      <c r="L2520" s="1"/>
      <c r="O2520" s="475"/>
      <c r="P2520" s="475"/>
      <c r="Q2520" s="475"/>
      <c r="R2520" s="475"/>
      <c r="S2520" s="475"/>
      <c r="T2520" s="475"/>
      <c r="U2520" s="475"/>
      <c r="V2520" s="475"/>
      <c r="W2520" s="475"/>
    </row>
    <row r="2521" spans="2:23" s="97" customFormat="1">
      <c r="B2521" s="96"/>
      <c r="H2521" s="96"/>
      <c r="J2521" s="1"/>
      <c r="K2521" s="1"/>
      <c r="L2521" s="1"/>
      <c r="O2521" s="475"/>
      <c r="P2521" s="475"/>
      <c r="Q2521" s="475"/>
      <c r="R2521" s="475"/>
      <c r="S2521" s="475"/>
      <c r="T2521" s="475"/>
      <c r="U2521" s="475"/>
      <c r="V2521" s="475"/>
      <c r="W2521" s="475"/>
    </row>
    <row r="2522" spans="2:23" s="97" customFormat="1">
      <c r="B2522" s="96"/>
      <c r="H2522" s="96"/>
      <c r="J2522" s="1"/>
      <c r="K2522" s="1"/>
      <c r="L2522" s="1"/>
      <c r="O2522" s="475"/>
      <c r="P2522" s="475"/>
      <c r="Q2522" s="475"/>
      <c r="R2522" s="475"/>
      <c r="S2522" s="475"/>
      <c r="T2522" s="475"/>
      <c r="U2522" s="475"/>
      <c r="V2522" s="475"/>
      <c r="W2522" s="475"/>
    </row>
    <row r="2523" spans="2:23" s="97" customFormat="1">
      <c r="B2523" s="96"/>
      <c r="H2523" s="96"/>
      <c r="J2523" s="1"/>
      <c r="K2523" s="1"/>
      <c r="L2523" s="1"/>
      <c r="O2523" s="475"/>
      <c r="P2523" s="475"/>
      <c r="Q2523" s="475"/>
      <c r="R2523" s="475"/>
      <c r="S2523" s="475"/>
      <c r="T2523" s="475"/>
      <c r="U2523" s="475"/>
      <c r="V2523" s="475"/>
      <c r="W2523" s="475"/>
    </row>
    <row r="2524" spans="2:23" s="97" customFormat="1">
      <c r="B2524" s="96"/>
      <c r="H2524" s="96"/>
      <c r="J2524" s="1"/>
      <c r="K2524" s="1"/>
      <c r="L2524" s="1"/>
      <c r="O2524" s="475"/>
      <c r="P2524" s="475"/>
      <c r="Q2524" s="475"/>
      <c r="R2524" s="475"/>
      <c r="S2524" s="475"/>
      <c r="T2524" s="475"/>
      <c r="U2524" s="475"/>
      <c r="V2524" s="475"/>
      <c r="W2524" s="475"/>
    </row>
    <row r="2525" spans="2:23" s="97" customFormat="1">
      <c r="B2525" s="96"/>
      <c r="H2525" s="96"/>
      <c r="J2525" s="1"/>
      <c r="K2525" s="1"/>
      <c r="L2525" s="1"/>
      <c r="O2525" s="475"/>
      <c r="P2525" s="475"/>
      <c r="Q2525" s="475"/>
      <c r="R2525" s="475"/>
      <c r="S2525" s="475"/>
      <c r="T2525" s="475"/>
      <c r="U2525" s="475"/>
      <c r="V2525" s="475"/>
      <c r="W2525" s="475"/>
    </row>
    <row r="2526" spans="2:23" s="97" customFormat="1">
      <c r="B2526" s="96"/>
      <c r="H2526" s="96"/>
      <c r="J2526" s="1"/>
      <c r="K2526" s="1"/>
      <c r="L2526" s="1"/>
      <c r="O2526" s="475"/>
      <c r="P2526" s="475"/>
      <c r="Q2526" s="475"/>
      <c r="R2526" s="475"/>
      <c r="S2526" s="475"/>
      <c r="T2526" s="475"/>
      <c r="U2526" s="475"/>
      <c r="V2526" s="475"/>
      <c r="W2526" s="475"/>
    </row>
    <row r="2527" spans="2:23" s="97" customFormat="1">
      <c r="B2527" s="96"/>
      <c r="H2527" s="96"/>
      <c r="J2527" s="1"/>
      <c r="K2527" s="1"/>
      <c r="L2527" s="1"/>
      <c r="O2527" s="475"/>
      <c r="P2527" s="475"/>
      <c r="Q2527" s="475"/>
      <c r="R2527" s="475"/>
      <c r="S2527" s="475"/>
      <c r="T2527" s="475"/>
      <c r="U2527" s="475"/>
      <c r="V2527" s="475"/>
      <c r="W2527" s="475"/>
    </row>
    <row r="2528" spans="2:23" s="97" customFormat="1">
      <c r="B2528" s="96"/>
      <c r="H2528" s="96"/>
      <c r="J2528" s="1"/>
      <c r="K2528" s="1"/>
      <c r="L2528" s="1"/>
      <c r="O2528" s="475"/>
      <c r="P2528" s="475"/>
      <c r="Q2528" s="475"/>
      <c r="R2528" s="475"/>
      <c r="S2528" s="475"/>
      <c r="T2528" s="475"/>
      <c r="U2528" s="475"/>
      <c r="V2528" s="475"/>
      <c r="W2528" s="475"/>
    </row>
    <row r="2529" spans="2:23" s="97" customFormat="1">
      <c r="B2529" s="96"/>
      <c r="H2529" s="96"/>
      <c r="J2529" s="1"/>
      <c r="K2529" s="1"/>
      <c r="L2529" s="1"/>
      <c r="O2529" s="475"/>
      <c r="P2529" s="475"/>
      <c r="Q2529" s="475"/>
      <c r="R2529" s="475"/>
      <c r="S2529" s="475"/>
      <c r="T2529" s="475"/>
      <c r="U2529" s="475"/>
      <c r="V2529" s="475"/>
      <c r="W2529" s="475"/>
    </row>
    <row r="2530" spans="2:23" s="97" customFormat="1">
      <c r="B2530" s="96"/>
      <c r="H2530" s="96"/>
      <c r="J2530" s="1"/>
      <c r="K2530" s="1"/>
      <c r="L2530" s="1"/>
      <c r="O2530" s="475"/>
      <c r="P2530" s="475"/>
      <c r="Q2530" s="475"/>
      <c r="R2530" s="475"/>
      <c r="S2530" s="475"/>
      <c r="T2530" s="475"/>
      <c r="U2530" s="475"/>
      <c r="V2530" s="475"/>
      <c r="W2530" s="475"/>
    </row>
    <row r="2531" spans="2:23" s="97" customFormat="1">
      <c r="B2531" s="96"/>
      <c r="H2531" s="96"/>
      <c r="J2531" s="1"/>
      <c r="K2531" s="1"/>
      <c r="L2531" s="1"/>
      <c r="O2531" s="475"/>
      <c r="P2531" s="475"/>
      <c r="Q2531" s="475"/>
      <c r="R2531" s="475"/>
      <c r="S2531" s="475"/>
      <c r="T2531" s="475"/>
      <c r="U2531" s="475"/>
      <c r="V2531" s="475"/>
      <c r="W2531" s="475"/>
    </row>
    <row r="2532" spans="2:23" s="97" customFormat="1">
      <c r="B2532" s="96"/>
      <c r="H2532" s="96"/>
      <c r="J2532" s="1"/>
      <c r="K2532" s="1"/>
      <c r="L2532" s="1"/>
      <c r="O2532" s="475"/>
      <c r="P2532" s="475"/>
      <c r="Q2532" s="475"/>
      <c r="R2532" s="475"/>
      <c r="S2532" s="475"/>
      <c r="T2532" s="475"/>
      <c r="U2532" s="475"/>
      <c r="V2532" s="475"/>
      <c r="W2532" s="475"/>
    </row>
    <row r="2533" spans="2:23" s="97" customFormat="1">
      <c r="B2533" s="96"/>
      <c r="H2533" s="96"/>
      <c r="J2533" s="1"/>
      <c r="K2533" s="1"/>
      <c r="L2533" s="1"/>
      <c r="O2533" s="475"/>
      <c r="P2533" s="475"/>
      <c r="Q2533" s="475"/>
      <c r="R2533" s="475"/>
      <c r="S2533" s="475"/>
      <c r="T2533" s="475"/>
      <c r="U2533" s="475"/>
      <c r="V2533" s="475"/>
      <c r="W2533" s="475"/>
    </row>
    <row r="2534" spans="2:23" s="97" customFormat="1">
      <c r="B2534" s="96"/>
      <c r="H2534" s="96"/>
      <c r="J2534" s="1"/>
      <c r="K2534" s="1"/>
      <c r="L2534" s="1"/>
      <c r="O2534" s="475"/>
      <c r="P2534" s="475"/>
      <c r="Q2534" s="475"/>
      <c r="R2534" s="475"/>
      <c r="S2534" s="475"/>
      <c r="T2534" s="475"/>
      <c r="U2534" s="475"/>
      <c r="V2534" s="475"/>
      <c r="W2534" s="475"/>
    </row>
    <row r="2535" spans="2:23" s="97" customFormat="1">
      <c r="B2535" s="96"/>
      <c r="H2535" s="96"/>
      <c r="J2535" s="1"/>
      <c r="K2535" s="1"/>
      <c r="L2535" s="1"/>
      <c r="O2535" s="475"/>
      <c r="P2535" s="475"/>
      <c r="Q2535" s="475"/>
      <c r="R2535" s="475"/>
      <c r="S2535" s="475"/>
      <c r="T2535" s="475"/>
      <c r="U2535" s="475"/>
      <c r="V2535" s="475"/>
      <c r="W2535" s="475"/>
    </row>
    <row r="2536" spans="2:23" s="97" customFormat="1">
      <c r="B2536" s="96"/>
      <c r="H2536" s="96"/>
      <c r="J2536" s="1"/>
      <c r="K2536" s="1"/>
      <c r="L2536" s="1"/>
      <c r="O2536" s="475"/>
      <c r="P2536" s="475"/>
      <c r="Q2536" s="475"/>
      <c r="R2536" s="475"/>
      <c r="S2536" s="475"/>
      <c r="T2536" s="475"/>
      <c r="U2536" s="475"/>
      <c r="V2536" s="475"/>
      <c r="W2536" s="475"/>
    </row>
    <row r="2537" spans="2:23" s="97" customFormat="1">
      <c r="B2537" s="96"/>
      <c r="H2537" s="96"/>
      <c r="J2537" s="1"/>
      <c r="K2537" s="1"/>
      <c r="L2537" s="1"/>
      <c r="O2537" s="475"/>
      <c r="P2537" s="475"/>
      <c r="Q2537" s="475"/>
      <c r="R2537" s="475"/>
      <c r="S2537" s="475"/>
      <c r="T2537" s="475"/>
      <c r="U2537" s="475"/>
      <c r="V2537" s="475"/>
      <c r="W2537" s="475"/>
    </row>
    <row r="2538" spans="2:23" s="97" customFormat="1">
      <c r="B2538" s="96"/>
      <c r="H2538" s="96"/>
      <c r="J2538" s="1"/>
      <c r="K2538" s="1"/>
      <c r="L2538" s="1"/>
      <c r="O2538" s="475"/>
      <c r="P2538" s="475"/>
      <c r="Q2538" s="475"/>
      <c r="R2538" s="475"/>
      <c r="S2538" s="475"/>
      <c r="T2538" s="475"/>
      <c r="U2538" s="475"/>
      <c r="V2538" s="475"/>
      <c r="W2538" s="475"/>
    </row>
    <row r="2539" spans="2:23" s="97" customFormat="1">
      <c r="B2539" s="96"/>
      <c r="H2539" s="96"/>
      <c r="J2539" s="1"/>
      <c r="K2539" s="1"/>
      <c r="L2539" s="1"/>
      <c r="O2539" s="475"/>
      <c r="P2539" s="475"/>
      <c r="Q2539" s="475"/>
      <c r="R2539" s="475"/>
      <c r="S2539" s="475"/>
      <c r="T2539" s="475"/>
      <c r="U2539" s="475"/>
      <c r="V2539" s="475"/>
      <c r="W2539" s="475"/>
    </row>
    <row r="2540" spans="2:23" s="97" customFormat="1">
      <c r="B2540" s="96"/>
      <c r="H2540" s="96"/>
      <c r="J2540" s="1"/>
      <c r="K2540" s="1"/>
      <c r="L2540" s="1"/>
      <c r="O2540" s="475"/>
      <c r="P2540" s="475"/>
      <c r="Q2540" s="475"/>
      <c r="R2540" s="475"/>
      <c r="S2540" s="475"/>
      <c r="T2540" s="475"/>
      <c r="U2540" s="475"/>
      <c r="V2540" s="475"/>
      <c r="W2540" s="475"/>
    </row>
    <row r="2541" spans="2:23" s="97" customFormat="1">
      <c r="B2541" s="96"/>
      <c r="H2541" s="96"/>
      <c r="J2541" s="1"/>
      <c r="K2541" s="1"/>
      <c r="L2541" s="1"/>
      <c r="O2541" s="475"/>
      <c r="P2541" s="475"/>
      <c r="Q2541" s="475"/>
      <c r="R2541" s="475"/>
      <c r="S2541" s="475"/>
      <c r="T2541" s="475"/>
      <c r="U2541" s="475"/>
      <c r="V2541" s="475"/>
      <c r="W2541" s="475"/>
    </row>
    <row r="2542" spans="2:23" s="97" customFormat="1">
      <c r="B2542" s="96"/>
      <c r="H2542" s="96"/>
      <c r="J2542" s="1"/>
      <c r="K2542" s="1"/>
      <c r="L2542" s="1"/>
      <c r="O2542" s="475"/>
      <c r="P2542" s="475"/>
      <c r="Q2542" s="475"/>
      <c r="R2542" s="475"/>
      <c r="S2542" s="475"/>
      <c r="T2542" s="475"/>
      <c r="U2542" s="475"/>
      <c r="V2542" s="475"/>
      <c r="W2542" s="475"/>
    </row>
    <row r="2543" spans="2:23" s="97" customFormat="1">
      <c r="B2543" s="96"/>
      <c r="H2543" s="96"/>
      <c r="J2543" s="1"/>
      <c r="K2543" s="1"/>
      <c r="L2543" s="1"/>
      <c r="O2543" s="475"/>
      <c r="P2543" s="475"/>
      <c r="Q2543" s="475"/>
      <c r="R2543" s="475"/>
      <c r="S2543" s="475"/>
      <c r="T2543" s="475"/>
      <c r="U2543" s="475"/>
      <c r="V2543" s="475"/>
      <c r="W2543" s="475"/>
    </row>
    <row r="2544" spans="2:23" s="97" customFormat="1">
      <c r="B2544" s="96"/>
      <c r="H2544" s="96"/>
      <c r="J2544" s="1"/>
      <c r="K2544" s="1"/>
      <c r="L2544" s="1"/>
      <c r="O2544" s="475"/>
      <c r="P2544" s="475"/>
      <c r="Q2544" s="475"/>
      <c r="R2544" s="475"/>
      <c r="S2544" s="475"/>
      <c r="T2544" s="475"/>
      <c r="U2544" s="475"/>
      <c r="V2544" s="475"/>
      <c r="W2544" s="475"/>
    </row>
    <row r="2545" spans="2:23" s="97" customFormat="1">
      <c r="B2545" s="96"/>
      <c r="H2545" s="96"/>
      <c r="J2545" s="1"/>
      <c r="K2545" s="1"/>
      <c r="L2545" s="1"/>
      <c r="O2545" s="475"/>
      <c r="P2545" s="475"/>
      <c r="Q2545" s="475"/>
      <c r="R2545" s="475"/>
      <c r="S2545" s="475"/>
      <c r="T2545" s="475"/>
      <c r="U2545" s="475"/>
      <c r="V2545" s="475"/>
      <c r="W2545" s="475"/>
    </row>
    <row r="2546" spans="2:23" s="97" customFormat="1">
      <c r="B2546" s="96"/>
      <c r="H2546" s="96"/>
      <c r="J2546" s="1"/>
      <c r="K2546" s="1"/>
      <c r="L2546" s="1"/>
      <c r="O2546" s="475"/>
      <c r="P2546" s="475"/>
      <c r="Q2546" s="475"/>
      <c r="R2546" s="475"/>
      <c r="S2546" s="475"/>
      <c r="T2546" s="475"/>
      <c r="U2546" s="475"/>
      <c r="V2546" s="475"/>
      <c r="W2546" s="475"/>
    </row>
    <row r="2547" spans="2:23" s="97" customFormat="1">
      <c r="B2547" s="96"/>
      <c r="H2547" s="96"/>
      <c r="J2547" s="1"/>
      <c r="K2547" s="1"/>
      <c r="L2547" s="1"/>
      <c r="O2547" s="475"/>
      <c r="P2547" s="475"/>
      <c r="Q2547" s="475"/>
      <c r="R2547" s="475"/>
      <c r="S2547" s="475"/>
      <c r="T2547" s="475"/>
      <c r="U2547" s="475"/>
      <c r="V2547" s="475"/>
      <c r="W2547" s="475"/>
    </row>
    <row r="2548" spans="2:23" s="97" customFormat="1">
      <c r="B2548" s="96"/>
      <c r="H2548" s="96"/>
      <c r="J2548" s="1"/>
      <c r="K2548" s="1"/>
      <c r="L2548" s="1"/>
      <c r="O2548" s="475"/>
      <c r="P2548" s="475"/>
      <c r="Q2548" s="475"/>
      <c r="R2548" s="475"/>
      <c r="S2548" s="475"/>
      <c r="T2548" s="475"/>
      <c r="U2548" s="475"/>
      <c r="V2548" s="475"/>
      <c r="W2548" s="475"/>
    </row>
    <row r="2549" spans="2:23" s="97" customFormat="1">
      <c r="B2549" s="96"/>
      <c r="H2549" s="96"/>
      <c r="J2549" s="1"/>
      <c r="K2549" s="1"/>
      <c r="L2549" s="1"/>
      <c r="O2549" s="475"/>
      <c r="P2549" s="475"/>
      <c r="Q2549" s="475"/>
      <c r="R2549" s="475"/>
      <c r="S2549" s="475"/>
      <c r="T2549" s="475"/>
      <c r="U2549" s="475"/>
      <c r="V2549" s="475"/>
      <c r="W2549" s="475"/>
    </row>
    <row r="2550" spans="2:23" s="97" customFormat="1">
      <c r="B2550" s="96"/>
      <c r="H2550" s="96"/>
      <c r="J2550" s="1"/>
      <c r="K2550" s="1"/>
      <c r="L2550" s="1"/>
      <c r="O2550" s="475"/>
      <c r="P2550" s="475"/>
      <c r="Q2550" s="475"/>
      <c r="R2550" s="475"/>
      <c r="S2550" s="475"/>
      <c r="T2550" s="475"/>
      <c r="U2550" s="475"/>
      <c r="V2550" s="475"/>
      <c r="W2550" s="475"/>
    </row>
    <row r="2551" spans="2:23" s="97" customFormat="1">
      <c r="B2551" s="96"/>
      <c r="H2551" s="96"/>
      <c r="J2551" s="1"/>
      <c r="K2551" s="1"/>
      <c r="L2551" s="1"/>
      <c r="O2551" s="475"/>
      <c r="P2551" s="475"/>
      <c r="Q2551" s="475"/>
      <c r="R2551" s="475"/>
      <c r="S2551" s="475"/>
      <c r="T2551" s="475"/>
      <c r="U2551" s="475"/>
      <c r="V2551" s="475"/>
      <c r="W2551" s="475"/>
    </row>
    <row r="2552" spans="2:23" s="97" customFormat="1">
      <c r="B2552" s="96"/>
      <c r="H2552" s="96"/>
      <c r="J2552" s="1"/>
      <c r="K2552" s="1"/>
      <c r="L2552" s="1"/>
      <c r="O2552" s="475"/>
      <c r="P2552" s="475"/>
      <c r="Q2552" s="475"/>
      <c r="R2552" s="475"/>
      <c r="S2552" s="475"/>
      <c r="T2552" s="475"/>
      <c r="U2552" s="475"/>
      <c r="V2552" s="475"/>
      <c r="W2552" s="475"/>
    </row>
    <row r="2553" spans="2:23" s="97" customFormat="1">
      <c r="B2553" s="96"/>
      <c r="H2553" s="96"/>
      <c r="J2553" s="1"/>
      <c r="K2553" s="1"/>
      <c r="L2553" s="1"/>
      <c r="O2553" s="475"/>
      <c r="P2553" s="475"/>
      <c r="Q2553" s="475"/>
      <c r="R2553" s="475"/>
      <c r="S2553" s="475"/>
      <c r="T2553" s="475"/>
      <c r="U2553" s="475"/>
      <c r="V2553" s="475"/>
      <c r="W2553" s="475"/>
    </row>
    <row r="2554" spans="2:23" s="97" customFormat="1">
      <c r="B2554" s="96"/>
      <c r="H2554" s="96"/>
      <c r="J2554" s="1"/>
      <c r="K2554" s="1"/>
      <c r="L2554" s="1"/>
      <c r="O2554" s="475"/>
      <c r="P2554" s="475"/>
      <c r="Q2554" s="475"/>
      <c r="R2554" s="475"/>
      <c r="S2554" s="475"/>
      <c r="T2554" s="475"/>
      <c r="U2554" s="475"/>
      <c r="V2554" s="475"/>
      <c r="W2554" s="475"/>
    </row>
    <row r="2555" spans="2:23" s="97" customFormat="1">
      <c r="B2555" s="96"/>
      <c r="H2555" s="96"/>
      <c r="J2555" s="1"/>
      <c r="K2555" s="1"/>
      <c r="L2555" s="1"/>
      <c r="O2555" s="475"/>
      <c r="P2555" s="475"/>
      <c r="Q2555" s="475"/>
      <c r="R2555" s="475"/>
      <c r="S2555" s="475"/>
      <c r="T2555" s="475"/>
      <c r="U2555" s="475"/>
      <c r="V2555" s="475"/>
      <c r="W2555" s="475"/>
    </row>
    <row r="2556" spans="2:23" s="97" customFormat="1">
      <c r="B2556" s="96"/>
      <c r="H2556" s="96"/>
      <c r="J2556" s="1"/>
      <c r="K2556" s="1"/>
      <c r="L2556" s="1"/>
      <c r="O2556" s="475"/>
      <c r="P2556" s="475"/>
      <c r="Q2556" s="475"/>
      <c r="R2556" s="475"/>
      <c r="S2556" s="475"/>
      <c r="T2556" s="475"/>
      <c r="U2556" s="475"/>
      <c r="V2556" s="475"/>
      <c r="W2556" s="475"/>
    </row>
    <row r="2557" spans="2:23" s="97" customFormat="1">
      <c r="B2557" s="96"/>
      <c r="H2557" s="96"/>
      <c r="J2557" s="1"/>
      <c r="K2557" s="1"/>
      <c r="L2557" s="1"/>
      <c r="O2557" s="475"/>
      <c r="P2557" s="475"/>
      <c r="Q2557" s="475"/>
      <c r="R2557" s="475"/>
      <c r="S2557" s="475"/>
      <c r="T2557" s="475"/>
      <c r="U2557" s="475"/>
      <c r="V2557" s="475"/>
      <c r="W2557" s="475"/>
    </row>
    <row r="2558" spans="2:23" s="97" customFormat="1">
      <c r="B2558" s="96"/>
      <c r="H2558" s="96"/>
      <c r="J2558" s="1"/>
      <c r="K2558" s="1"/>
      <c r="L2558" s="1"/>
      <c r="O2558" s="475"/>
      <c r="P2558" s="475"/>
      <c r="Q2558" s="475"/>
      <c r="R2558" s="475"/>
      <c r="S2558" s="475"/>
      <c r="T2558" s="475"/>
      <c r="U2558" s="475"/>
      <c r="V2558" s="475"/>
      <c r="W2558" s="475"/>
    </row>
    <row r="2559" spans="2:23" s="97" customFormat="1">
      <c r="B2559" s="96"/>
      <c r="H2559" s="96"/>
      <c r="J2559" s="1"/>
      <c r="K2559" s="1"/>
      <c r="L2559" s="1"/>
      <c r="O2559" s="475"/>
      <c r="P2559" s="475"/>
      <c r="Q2559" s="475"/>
      <c r="R2559" s="475"/>
      <c r="S2559" s="475"/>
      <c r="T2559" s="475"/>
      <c r="U2559" s="475"/>
      <c r="V2559" s="475"/>
      <c r="W2559" s="475"/>
    </row>
    <row r="2560" spans="2:23" s="97" customFormat="1">
      <c r="B2560" s="96"/>
      <c r="H2560" s="96"/>
      <c r="J2560" s="1"/>
      <c r="K2560" s="1"/>
      <c r="L2560" s="1"/>
      <c r="O2560" s="475"/>
      <c r="P2560" s="475"/>
      <c r="Q2560" s="475"/>
      <c r="R2560" s="475"/>
      <c r="S2560" s="475"/>
      <c r="T2560" s="475"/>
      <c r="U2560" s="475"/>
      <c r="V2560" s="475"/>
      <c r="W2560" s="475"/>
    </row>
    <row r="2561" spans="2:23" s="97" customFormat="1">
      <c r="B2561" s="96"/>
      <c r="H2561" s="96"/>
      <c r="J2561" s="1"/>
      <c r="K2561" s="1"/>
      <c r="L2561" s="1"/>
      <c r="O2561" s="475"/>
      <c r="P2561" s="475"/>
      <c r="Q2561" s="475"/>
      <c r="R2561" s="475"/>
      <c r="S2561" s="475"/>
      <c r="T2561" s="475"/>
      <c r="U2561" s="475"/>
      <c r="V2561" s="475"/>
      <c r="W2561" s="475"/>
    </row>
    <row r="2562" spans="2:23" s="97" customFormat="1">
      <c r="B2562" s="96"/>
      <c r="H2562" s="96"/>
      <c r="J2562" s="1"/>
      <c r="K2562" s="1"/>
      <c r="L2562" s="1"/>
      <c r="O2562" s="475"/>
      <c r="P2562" s="475"/>
      <c r="Q2562" s="475"/>
      <c r="R2562" s="475"/>
      <c r="S2562" s="475"/>
      <c r="T2562" s="475"/>
      <c r="U2562" s="475"/>
      <c r="V2562" s="475"/>
      <c r="W2562" s="475"/>
    </row>
    <row r="2563" spans="2:23" s="97" customFormat="1">
      <c r="B2563" s="96"/>
      <c r="H2563" s="96"/>
      <c r="J2563" s="1"/>
      <c r="K2563" s="1"/>
      <c r="L2563" s="1"/>
      <c r="O2563" s="475"/>
      <c r="P2563" s="475"/>
      <c r="Q2563" s="475"/>
      <c r="R2563" s="475"/>
      <c r="S2563" s="475"/>
      <c r="T2563" s="475"/>
      <c r="U2563" s="475"/>
      <c r="V2563" s="475"/>
      <c r="W2563" s="475"/>
    </row>
    <row r="2564" spans="2:23" s="97" customFormat="1">
      <c r="B2564" s="96"/>
      <c r="H2564" s="96"/>
      <c r="J2564" s="1"/>
      <c r="K2564" s="1"/>
      <c r="L2564" s="1"/>
      <c r="O2564" s="475"/>
      <c r="P2564" s="475"/>
      <c r="Q2564" s="475"/>
      <c r="R2564" s="475"/>
      <c r="S2564" s="475"/>
      <c r="T2564" s="475"/>
      <c r="U2564" s="475"/>
      <c r="V2564" s="475"/>
      <c r="W2564" s="475"/>
    </row>
    <row r="2565" spans="2:23" s="97" customFormat="1">
      <c r="B2565" s="96"/>
      <c r="H2565" s="96"/>
      <c r="J2565" s="1"/>
      <c r="K2565" s="1"/>
      <c r="L2565" s="1"/>
      <c r="O2565" s="475"/>
      <c r="P2565" s="475"/>
      <c r="Q2565" s="475"/>
      <c r="R2565" s="475"/>
      <c r="S2565" s="475"/>
      <c r="T2565" s="475"/>
      <c r="U2565" s="475"/>
      <c r="V2565" s="475"/>
      <c r="W2565" s="475"/>
    </row>
    <row r="2566" spans="2:23" s="97" customFormat="1">
      <c r="B2566" s="96"/>
      <c r="H2566" s="96"/>
      <c r="J2566" s="1"/>
      <c r="K2566" s="1"/>
      <c r="L2566" s="1"/>
      <c r="O2566" s="475"/>
      <c r="P2566" s="475"/>
      <c r="Q2566" s="475"/>
      <c r="R2566" s="475"/>
      <c r="S2566" s="475"/>
      <c r="T2566" s="475"/>
      <c r="U2566" s="475"/>
      <c r="V2566" s="475"/>
      <c r="W2566" s="475"/>
    </row>
    <row r="2567" spans="2:23" s="97" customFormat="1">
      <c r="B2567" s="96"/>
      <c r="H2567" s="96"/>
      <c r="J2567" s="1"/>
      <c r="K2567" s="1"/>
      <c r="L2567" s="1"/>
      <c r="O2567" s="475"/>
      <c r="P2567" s="475"/>
      <c r="Q2567" s="475"/>
      <c r="R2567" s="475"/>
      <c r="S2567" s="475"/>
      <c r="T2567" s="475"/>
      <c r="U2567" s="475"/>
      <c r="V2567" s="475"/>
      <c r="W2567" s="475"/>
    </row>
    <row r="2568" spans="2:23" s="97" customFormat="1">
      <c r="B2568" s="96"/>
      <c r="H2568" s="96"/>
      <c r="J2568" s="1"/>
      <c r="K2568" s="1"/>
      <c r="L2568" s="1"/>
      <c r="O2568" s="475"/>
      <c r="P2568" s="475"/>
      <c r="Q2568" s="475"/>
      <c r="R2568" s="475"/>
      <c r="S2568" s="475"/>
      <c r="T2568" s="475"/>
      <c r="U2568" s="475"/>
      <c r="V2568" s="475"/>
      <c r="W2568" s="475"/>
    </row>
    <row r="2569" spans="2:23" s="97" customFormat="1">
      <c r="B2569" s="96"/>
      <c r="H2569" s="96"/>
      <c r="J2569" s="1"/>
      <c r="K2569" s="1"/>
      <c r="L2569" s="1"/>
      <c r="O2569" s="475"/>
      <c r="P2569" s="475"/>
      <c r="Q2569" s="475"/>
      <c r="R2569" s="475"/>
      <c r="S2569" s="475"/>
      <c r="T2569" s="475"/>
      <c r="U2569" s="475"/>
      <c r="V2569" s="475"/>
      <c r="W2569" s="475"/>
    </row>
    <row r="2570" spans="2:23" s="97" customFormat="1">
      <c r="B2570" s="96"/>
      <c r="H2570" s="96"/>
      <c r="J2570" s="1"/>
      <c r="K2570" s="1"/>
      <c r="L2570" s="1"/>
      <c r="O2570" s="475"/>
      <c r="P2570" s="475"/>
      <c r="Q2570" s="475"/>
      <c r="R2570" s="475"/>
      <c r="S2570" s="475"/>
      <c r="T2570" s="475"/>
      <c r="U2570" s="475"/>
      <c r="V2570" s="475"/>
      <c r="W2570" s="475"/>
    </row>
    <row r="2571" spans="2:23" s="97" customFormat="1">
      <c r="B2571" s="96"/>
      <c r="H2571" s="96"/>
      <c r="J2571" s="1"/>
      <c r="K2571" s="1"/>
      <c r="L2571" s="1"/>
      <c r="O2571" s="475"/>
      <c r="P2571" s="475"/>
      <c r="Q2571" s="475"/>
      <c r="R2571" s="475"/>
      <c r="S2571" s="475"/>
      <c r="T2571" s="475"/>
      <c r="U2571" s="475"/>
      <c r="V2571" s="475"/>
      <c r="W2571" s="475"/>
    </row>
    <row r="2572" spans="2:23" s="97" customFormat="1">
      <c r="B2572" s="96"/>
      <c r="H2572" s="96"/>
      <c r="J2572" s="1"/>
      <c r="K2572" s="1"/>
      <c r="L2572" s="1"/>
      <c r="O2572" s="475"/>
      <c r="P2572" s="475"/>
      <c r="Q2572" s="475"/>
      <c r="R2572" s="475"/>
      <c r="S2572" s="475"/>
      <c r="T2572" s="475"/>
      <c r="U2572" s="475"/>
      <c r="V2572" s="475"/>
      <c r="W2572" s="475"/>
    </row>
    <row r="2573" spans="2:23" s="97" customFormat="1">
      <c r="B2573" s="96"/>
      <c r="H2573" s="96"/>
      <c r="J2573" s="1"/>
      <c r="K2573" s="1"/>
      <c r="L2573" s="1"/>
      <c r="O2573" s="475"/>
      <c r="P2573" s="475"/>
      <c r="Q2573" s="475"/>
      <c r="R2573" s="475"/>
      <c r="S2573" s="475"/>
      <c r="T2573" s="475"/>
      <c r="U2573" s="475"/>
      <c r="V2573" s="475"/>
      <c r="W2573" s="475"/>
    </row>
    <row r="2574" spans="2:23" s="97" customFormat="1">
      <c r="B2574" s="96"/>
      <c r="H2574" s="96"/>
      <c r="J2574" s="1"/>
      <c r="K2574" s="1"/>
      <c r="L2574" s="1"/>
      <c r="O2574" s="475"/>
      <c r="P2574" s="475"/>
      <c r="Q2574" s="475"/>
      <c r="R2574" s="475"/>
      <c r="S2574" s="475"/>
      <c r="T2574" s="475"/>
      <c r="U2574" s="475"/>
      <c r="V2574" s="475"/>
      <c r="W2574" s="475"/>
    </row>
    <row r="2575" spans="2:23" s="97" customFormat="1">
      <c r="B2575" s="96"/>
      <c r="H2575" s="96"/>
      <c r="J2575" s="1"/>
      <c r="K2575" s="1"/>
      <c r="L2575" s="1"/>
      <c r="O2575" s="475"/>
      <c r="P2575" s="475"/>
      <c r="Q2575" s="475"/>
      <c r="R2575" s="475"/>
      <c r="S2575" s="475"/>
      <c r="T2575" s="475"/>
      <c r="U2575" s="475"/>
      <c r="V2575" s="475"/>
      <c r="W2575" s="475"/>
    </row>
    <row r="2576" spans="2:23" s="97" customFormat="1">
      <c r="B2576" s="96"/>
      <c r="H2576" s="96"/>
      <c r="J2576" s="1"/>
      <c r="K2576" s="1"/>
      <c r="L2576" s="1"/>
      <c r="O2576" s="475"/>
      <c r="P2576" s="475"/>
      <c r="Q2576" s="475"/>
      <c r="R2576" s="475"/>
      <c r="S2576" s="475"/>
      <c r="T2576" s="475"/>
      <c r="U2576" s="475"/>
      <c r="V2576" s="475"/>
      <c r="W2576" s="475"/>
    </row>
    <row r="2577" spans="2:23" s="97" customFormat="1">
      <c r="B2577" s="96"/>
      <c r="H2577" s="96"/>
      <c r="J2577" s="1"/>
      <c r="K2577" s="1"/>
      <c r="L2577" s="1"/>
      <c r="O2577" s="475"/>
      <c r="P2577" s="475"/>
      <c r="Q2577" s="475"/>
      <c r="R2577" s="475"/>
      <c r="S2577" s="475"/>
      <c r="T2577" s="475"/>
      <c r="U2577" s="475"/>
      <c r="V2577" s="475"/>
      <c r="W2577" s="475"/>
    </row>
    <row r="2578" spans="2:23" s="97" customFormat="1">
      <c r="B2578" s="96"/>
      <c r="H2578" s="96"/>
      <c r="J2578" s="1"/>
      <c r="K2578" s="1"/>
      <c r="L2578" s="1"/>
      <c r="O2578" s="475"/>
      <c r="P2578" s="475"/>
      <c r="Q2578" s="475"/>
      <c r="R2578" s="475"/>
      <c r="S2578" s="475"/>
      <c r="T2578" s="475"/>
      <c r="U2578" s="475"/>
      <c r="V2578" s="475"/>
      <c r="W2578" s="475"/>
    </row>
    <row r="2579" spans="2:23" s="97" customFormat="1">
      <c r="B2579" s="96"/>
      <c r="H2579" s="96"/>
      <c r="J2579" s="1"/>
      <c r="K2579" s="1"/>
      <c r="L2579" s="1"/>
      <c r="O2579" s="475"/>
      <c r="P2579" s="475"/>
      <c r="Q2579" s="475"/>
      <c r="R2579" s="475"/>
      <c r="S2579" s="475"/>
      <c r="T2579" s="475"/>
      <c r="U2579" s="475"/>
      <c r="V2579" s="475"/>
      <c r="W2579" s="475"/>
    </row>
    <row r="2580" spans="2:23" s="97" customFormat="1">
      <c r="B2580" s="96"/>
      <c r="H2580" s="96"/>
      <c r="J2580" s="1"/>
      <c r="K2580" s="1"/>
      <c r="L2580" s="1"/>
      <c r="O2580" s="475"/>
      <c r="P2580" s="475"/>
      <c r="Q2580" s="475"/>
      <c r="R2580" s="475"/>
      <c r="S2580" s="475"/>
      <c r="T2580" s="475"/>
      <c r="U2580" s="475"/>
      <c r="V2580" s="475"/>
      <c r="W2580" s="475"/>
    </row>
    <row r="2581" spans="2:23" s="97" customFormat="1">
      <c r="B2581" s="96"/>
      <c r="H2581" s="96"/>
      <c r="J2581" s="1"/>
      <c r="K2581" s="1"/>
      <c r="L2581" s="1"/>
      <c r="O2581" s="475"/>
      <c r="P2581" s="475"/>
      <c r="Q2581" s="475"/>
      <c r="R2581" s="475"/>
      <c r="S2581" s="475"/>
      <c r="T2581" s="475"/>
      <c r="U2581" s="475"/>
      <c r="V2581" s="475"/>
      <c r="W2581" s="475"/>
    </row>
    <row r="2582" spans="2:23" s="97" customFormat="1">
      <c r="B2582" s="96"/>
      <c r="H2582" s="96"/>
      <c r="J2582" s="1"/>
      <c r="K2582" s="1"/>
      <c r="L2582" s="1"/>
      <c r="O2582" s="475"/>
      <c r="P2582" s="475"/>
      <c r="Q2582" s="475"/>
      <c r="R2582" s="475"/>
      <c r="S2582" s="475"/>
      <c r="T2582" s="475"/>
      <c r="U2582" s="475"/>
      <c r="V2582" s="475"/>
      <c r="W2582" s="475"/>
    </row>
    <row r="2583" spans="2:23" s="97" customFormat="1">
      <c r="B2583" s="96"/>
      <c r="H2583" s="96"/>
      <c r="J2583" s="1"/>
      <c r="K2583" s="1"/>
      <c r="L2583" s="1"/>
      <c r="O2583" s="475"/>
      <c r="P2583" s="475"/>
      <c r="Q2583" s="475"/>
      <c r="R2583" s="475"/>
      <c r="S2583" s="475"/>
      <c r="T2583" s="475"/>
      <c r="U2583" s="475"/>
      <c r="V2583" s="475"/>
      <c r="W2583" s="475"/>
    </row>
    <row r="2584" spans="2:23" s="97" customFormat="1">
      <c r="B2584" s="96"/>
      <c r="H2584" s="96"/>
      <c r="J2584" s="1"/>
      <c r="K2584" s="1"/>
      <c r="L2584" s="1"/>
      <c r="O2584" s="475"/>
      <c r="P2584" s="475"/>
      <c r="Q2584" s="475"/>
      <c r="R2584" s="475"/>
      <c r="S2584" s="475"/>
      <c r="T2584" s="475"/>
      <c r="U2584" s="475"/>
      <c r="V2584" s="475"/>
      <c r="W2584" s="475"/>
    </row>
    <row r="2585" spans="2:23" s="97" customFormat="1">
      <c r="B2585" s="96"/>
      <c r="H2585" s="96"/>
      <c r="J2585" s="1"/>
      <c r="K2585" s="1"/>
      <c r="L2585" s="1"/>
      <c r="O2585" s="475"/>
      <c r="P2585" s="475"/>
      <c r="Q2585" s="475"/>
      <c r="R2585" s="475"/>
      <c r="S2585" s="475"/>
      <c r="T2585" s="475"/>
      <c r="U2585" s="475"/>
      <c r="V2585" s="475"/>
      <c r="W2585" s="475"/>
    </row>
    <row r="2586" spans="2:23" s="97" customFormat="1">
      <c r="B2586" s="96"/>
      <c r="H2586" s="96"/>
      <c r="J2586" s="1"/>
      <c r="K2586" s="1"/>
      <c r="L2586" s="1"/>
      <c r="O2586" s="475"/>
      <c r="P2586" s="475"/>
      <c r="Q2586" s="475"/>
      <c r="R2586" s="475"/>
      <c r="S2586" s="475"/>
      <c r="T2586" s="475"/>
      <c r="U2586" s="475"/>
      <c r="V2586" s="475"/>
      <c r="W2586" s="475"/>
    </row>
    <row r="2587" spans="2:23" s="97" customFormat="1">
      <c r="B2587" s="96"/>
      <c r="H2587" s="96"/>
      <c r="J2587" s="1"/>
      <c r="K2587" s="1"/>
      <c r="L2587" s="1"/>
      <c r="O2587" s="475"/>
      <c r="P2587" s="475"/>
      <c r="Q2587" s="475"/>
      <c r="R2587" s="475"/>
      <c r="S2587" s="475"/>
      <c r="T2587" s="475"/>
      <c r="U2587" s="475"/>
      <c r="V2587" s="475"/>
      <c r="W2587" s="475"/>
    </row>
    <row r="2588" spans="2:23" s="97" customFormat="1">
      <c r="B2588" s="96"/>
      <c r="H2588" s="96"/>
      <c r="J2588" s="1"/>
      <c r="K2588" s="1"/>
      <c r="L2588" s="1"/>
      <c r="O2588" s="475"/>
      <c r="P2588" s="475"/>
      <c r="Q2588" s="475"/>
      <c r="R2588" s="475"/>
      <c r="S2588" s="475"/>
      <c r="T2588" s="475"/>
      <c r="U2588" s="475"/>
      <c r="V2588" s="475"/>
      <c r="W2588" s="475"/>
    </row>
    <row r="2589" spans="2:23" s="97" customFormat="1">
      <c r="B2589" s="96"/>
      <c r="H2589" s="96"/>
      <c r="J2589" s="1"/>
      <c r="K2589" s="1"/>
      <c r="L2589" s="1"/>
      <c r="O2589" s="475"/>
      <c r="P2589" s="475"/>
      <c r="Q2589" s="475"/>
      <c r="R2589" s="475"/>
      <c r="S2589" s="475"/>
      <c r="T2589" s="475"/>
      <c r="U2589" s="475"/>
      <c r="V2589" s="475"/>
      <c r="W2589" s="475"/>
    </row>
    <row r="2590" spans="2:23" s="97" customFormat="1">
      <c r="B2590" s="96"/>
      <c r="H2590" s="96"/>
      <c r="J2590" s="1"/>
      <c r="K2590" s="1"/>
      <c r="L2590" s="1"/>
      <c r="O2590" s="475"/>
      <c r="P2590" s="475"/>
      <c r="Q2590" s="475"/>
      <c r="R2590" s="475"/>
      <c r="S2590" s="475"/>
      <c r="T2590" s="475"/>
      <c r="U2590" s="475"/>
      <c r="V2590" s="475"/>
      <c r="W2590" s="475"/>
    </row>
    <row r="2591" spans="2:23" s="97" customFormat="1">
      <c r="B2591" s="96"/>
      <c r="H2591" s="96"/>
      <c r="J2591" s="1"/>
      <c r="K2591" s="1"/>
      <c r="L2591" s="1"/>
      <c r="O2591" s="475"/>
      <c r="P2591" s="475"/>
      <c r="Q2591" s="475"/>
      <c r="R2591" s="475"/>
      <c r="S2591" s="475"/>
      <c r="T2591" s="475"/>
      <c r="U2591" s="475"/>
      <c r="V2591" s="475"/>
      <c r="W2591" s="475"/>
    </row>
    <row r="2592" spans="2:23" s="97" customFormat="1">
      <c r="B2592" s="96"/>
      <c r="H2592" s="96"/>
      <c r="J2592" s="1"/>
      <c r="K2592" s="1"/>
      <c r="L2592" s="1"/>
      <c r="O2592" s="475"/>
      <c r="P2592" s="475"/>
      <c r="Q2592" s="475"/>
      <c r="R2592" s="475"/>
      <c r="S2592" s="475"/>
      <c r="T2592" s="475"/>
      <c r="U2592" s="475"/>
      <c r="V2592" s="475"/>
      <c r="W2592" s="475"/>
    </row>
    <row r="2593" spans="2:23" s="97" customFormat="1">
      <c r="B2593" s="96"/>
      <c r="H2593" s="96"/>
      <c r="J2593" s="1"/>
      <c r="K2593" s="1"/>
      <c r="L2593" s="1"/>
      <c r="O2593" s="475"/>
      <c r="P2593" s="475"/>
      <c r="Q2593" s="475"/>
      <c r="R2593" s="475"/>
      <c r="S2593" s="475"/>
      <c r="T2593" s="475"/>
      <c r="U2593" s="475"/>
      <c r="V2593" s="475"/>
      <c r="W2593" s="475"/>
    </row>
    <row r="2594" spans="2:23" s="97" customFormat="1">
      <c r="B2594" s="96"/>
      <c r="H2594" s="96"/>
      <c r="J2594" s="1"/>
      <c r="K2594" s="1"/>
      <c r="L2594" s="1"/>
      <c r="O2594" s="475"/>
      <c r="P2594" s="475"/>
      <c r="Q2594" s="475"/>
      <c r="R2594" s="475"/>
      <c r="S2594" s="475"/>
      <c r="T2594" s="475"/>
      <c r="U2594" s="475"/>
      <c r="V2594" s="475"/>
      <c r="W2594" s="475"/>
    </row>
    <row r="2595" spans="2:23" s="97" customFormat="1">
      <c r="B2595" s="96"/>
      <c r="H2595" s="96"/>
      <c r="J2595" s="1"/>
      <c r="K2595" s="1"/>
      <c r="L2595" s="1"/>
      <c r="O2595" s="475"/>
      <c r="P2595" s="475"/>
      <c r="Q2595" s="475"/>
      <c r="R2595" s="475"/>
      <c r="S2595" s="475"/>
      <c r="T2595" s="475"/>
      <c r="U2595" s="475"/>
      <c r="V2595" s="475"/>
      <c r="W2595" s="475"/>
    </row>
    <row r="2596" spans="2:23" s="97" customFormat="1">
      <c r="B2596" s="96"/>
      <c r="H2596" s="96"/>
      <c r="J2596" s="1"/>
      <c r="K2596" s="1"/>
      <c r="L2596" s="1"/>
      <c r="O2596" s="475"/>
      <c r="P2596" s="475"/>
      <c r="Q2596" s="475"/>
      <c r="R2596" s="475"/>
      <c r="S2596" s="475"/>
      <c r="T2596" s="475"/>
      <c r="U2596" s="475"/>
      <c r="V2596" s="475"/>
      <c r="W2596" s="475"/>
    </row>
    <row r="2597" spans="2:23" s="97" customFormat="1">
      <c r="B2597" s="96"/>
      <c r="H2597" s="96"/>
      <c r="J2597" s="1"/>
      <c r="K2597" s="1"/>
      <c r="L2597" s="1"/>
      <c r="O2597" s="475"/>
      <c r="P2597" s="475"/>
      <c r="Q2597" s="475"/>
      <c r="R2597" s="475"/>
      <c r="S2597" s="475"/>
      <c r="T2597" s="475"/>
      <c r="U2597" s="475"/>
      <c r="V2597" s="475"/>
      <c r="W2597" s="475"/>
    </row>
    <row r="2598" spans="2:23" s="97" customFormat="1">
      <c r="B2598" s="96"/>
      <c r="H2598" s="96"/>
      <c r="J2598" s="1"/>
      <c r="K2598" s="1"/>
      <c r="L2598" s="1"/>
      <c r="O2598" s="475"/>
      <c r="P2598" s="475"/>
      <c r="Q2598" s="475"/>
      <c r="R2598" s="475"/>
      <c r="S2598" s="475"/>
      <c r="T2598" s="475"/>
      <c r="U2598" s="475"/>
      <c r="V2598" s="475"/>
      <c r="W2598" s="475"/>
    </row>
    <row r="2599" spans="2:23" s="97" customFormat="1">
      <c r="B2599" s="96"/>
      <c r="H2599" s="96"/>
      <c r="J2599" s="1"/>
      <c r="K2599" s="1"/>
      <c r="L2599" s="1"/>
      <c r="O2599" s="475"/>
      <c r="P2599" s="475"/>
      <c r="Q2599" s="475"/>
      <c r="R2599" s="475"/>
      <c r="S2599" s="475"/>
      <c r="T2599" s="475"/>
      <c r="U2599" s="475"/>
      <c r="V2599" s="475"/>
      <c r="W2599" s="475"/>
    </row>
    <row r="2600" spans="2:23" s="97" customFormat="1">
      <c r="B2600" s="96"/>
      <c r="H2600" s="96"/>
      <c r="J2600" s="1"/>
      <c r="K2600" s="1"/>
      <c r="L2600" s="1"/>
      <c r="O2600" s="475"/>
      <c r="P2600" s="475"/>
      <c r="Q2600" s="475"/>
      <c r="R2600" s="475"/>
      <c r="S2600" s="475"/>
      <c r="T2600" s="475"/>
      <c r="U2600" s="475"/>
      <c r="V2600" s="475"/>
      <c r="W2600" s="475"/>
    </row>
    <row r="2601" spans="2:23" s="97" customFormat="1">
      <c r="B2601" s="96"/>
      <c r="H2601" s="96"/>
      <c r="J2601" s="1"/>
      <c r="K2601" s="1"/>
      <c r="L2601" s="1"/>
      <c r="O2601" s="475"/>
      <c r="P2601" s="475"/>
      <c r="Q2601" s="475"/>
      <c r="R2601" s="475"/>
      <c r="S2601" s="475"/>
      <c r="T2601" s="475"/>
      <c r="U2601" s="475"/>
      <c r="V2601" s="475"/>
      <c r="W2601" s="475"/>
    </row>
    <row r="2602" spans="2:23" s="97" customFormat="1">
      <c r="B2602" s="96"/>
      <c r="H2602" s="96"/>
      <c r="J2602" s="1"/>
      <c r="K2602" s="1"/>
      <c r="L2602" s="1"/>
      <c r="O2602" s="475"/>
      <c r="P2602" s="475"/>
      <c r="Q2602" s="475"/>
      <c r="R2602" s="475"/>
      <c r="S2602" s="475"/>
      <c r="T2602" s="475"/>
      <c r="U2602" s="475"/>
      <c r="V2602" s="475"/>
      <c r="W2602" s="475"/>
    </row>
    <row r="2603" spans="2:23" s="97" customFormat="1">
      <c r="B2603" s="96"/>
      <c r="H2603" s="96"/>
      <c r="J2603" s="1"/>
      <c r="K2603" s="1"/>
      <c r="L2603" s="1"/>
      <c r="O2603" s="475"/>
      <c r="P2603" s="475"/>
      <c r="Q2603" s="475"/>
      <c r="R2603" s="475"/>
      <c r="S2603" s="475"/>
      <c r="T2603" s="475"/>
      <c r="U2603" s="475"/>
      <c r="V2603" s="475"/>
      <c r="W2603" s="475"/>
    </row>
    <row r="2604" spans="2:23" s="97" customFormat="1">
      <c r="B2604" s="96"/>
      <c r="H2604" s="96"/>
      <c r="J2604" s="1"/>
      <c r="K2604" s="1"/>
      <c r="L2604" s="1"/>
      <c r="O2604" s="475"/>
      <c r="P2604" s="475"/>
      <c r="Q2604" s="475"/>
      <c r="R2604" s="475"/>
      <c r="S2604" s="475"/>
      <c r="T2604" s="475"/>
      <c r="U2604" s="475"/>
      <c r="V2604" s="475"/>
      <c r="W2604" s="475"/>
    </row>
    <row r="2605" spans="2:23" s="97" customFormat="1">
      <c r="B2605" s="96"/>
      <c r="H2605" s="96"/>
      <c r="J2605" s="1"/>
      <c r="K2605" s="1"/>
      <c r="L2605" s="1"/>
      <c r="O2605" s="475"/>
      <c r="P2605" s="475"/>
      <c r="Q2605" s="475"/>
      <c r="R2605" s="475"/>
      <c r="S2605" s="475"/>
      <c r="T2605" s="475"/>
      <c r="U2605" s="475"/>
      <c r="V2605" s="475"/>
      <c r="W2605" s="475"/>
    </row>
    <row r="2606" spans="2:23" s="97" customFormat="1">
      <c r="B2606" s="96"/>
      <c r="H2606" s="96"/>
      <c r="J2606" s="1"/>
      <c r="K2606" s="1"/>
      <c r="L2606" s="1"/>
      <c r="O2606" s="475"/>
      <c r="P2606" s="475"/>
      <c r="Q2606" s="475"/>
      <c r="R2606" s="475"/>
      <c r="S2606" s="475"/>
      <c r="T2606" s="475"/>
      <c r="U2606" s="475"/>
      <c r="V2606" s="475"/>
      <c r="W2606" s="475"/>
    </row>
    <row r="2607" spans="2:23" s="97" customFormat="1">
      <c r="B2607" s="96"/>
      <c r="H2607" s="96"/>
      <c r="J2607" s="1"/>
      <c r="K2607" s="1"/>
      <c r="L2607" s="1"/>
      <c r="O2607" s="475"/>
      <c r="P2607" s="475"/>
      <c r="Q2607" s="475"/>
      <c r="R2607" s="475"/>
      <c r="S2607" s="475"/>
      <c r="T2607" s="475"/>
      <c r="U2607" s="475"/>
      <c r="V2607" s="475"/>
      <c r="W2607" s="475"/>
    </row>
    <row r="2608" spans="2:23" s="97" customFormat="1">
      <c r="B2608" s="96"/>
      <c r="H2608" s="96"/>
      <c r="J2608" s="1"/>
      <c r="K2608" s="1"/>
      <c r="L2608" s="1"/>
      <c r="O2608" s="475"/>
      <c r="P2608" s="475"/>
      <c r="Q2608" s="475"/>
      <c r="R2608" s="475"/>
      <c r="S2608" s="475"/>
      <c r="T2608" s="475"/>
      <c r="U2608" s="475"/>
      <c r="V2608" s="475"/>
      <c r="W2608" s="475"/>
    </row>
    <row r="2609" spans="2:23" s="97" customFormat="1">
      <c r="B2609" s="96"/>
      <c r="H2609" s="96"/>
      <c r="J2609" s="1"/>
      <c r="K2609" s="1"/>
      <c r="L2609" s="1"/>
      <c r="O2609" s="475"/>
      <c r="P2609" s="475"/>
      <c r="Q2609" s="475"/>
      <c r="R2609" s="475"/>
      <c r="S2609" s="475"/>
      <c r="T2609" s="475"/>
      <c r="U2609" s="475"/>
      <c r="V2609" s="475"/>
      <c r="W2609" s="475"/>
    </row>
    <row r="2610" spans="2:23" s="97" customFormat="1">
      <c r="B2610" s="96"/>
      <c r="H2610" s="96"/>
      <c r="J2610" s="1"/>
      <c r="K2610" s="1"/>
      <c r="L2610" s="1"/>
      <c r="O2610" s="475"/>
      <c r="P2610" s="475"/>
      <c r="Q2610" s="475"/>
      <c r="R2610" s="475"/>
      <c r="S2610" s="475"/>
      <c r="T2610" s="475"/>
      <c r="U2610" s="475"/>
      <c r="V2610" s="475"/>
      <c r="W2610" s="475"/>
    </row>
    <row r="2611" spans="2:23" s="97" customFormat="1">
      <c r="B2611" s="96"/>
      <c r="H2611" s="96"/>
      <c r="J2611" s="1"/>
      <c r="K2611" s="1"/>
      <c r="L2611" s="1"/>
      <c r="O2611" s="475"/>
      <c r="P2611" s="475"/>
      <c r="Q2611" s="475"/>
      <c r="R2611" s="475"/>
      <c r="S2611" s="475"/>
      <c r="T2611" s="475"/>
      <c r="U2611" s="475"/>
      <c r="V2611" s="475"/>
      <c r="W2611" s="475"/>
    </row>
    <row r="2612" spans="2:23" s="97" customFormat="1">
      <c r="B2612" s="96"/>
      <c r="H2612" s="96"/>
      <c r="J2612" s="1"/>
      <c r="K2612" s="1"/>
      <c r="L2612" s="1"/>
      <c r="O2612" s="475"/>
      <c r="P2612" s="475"/>
      <c r="Q2612" s="475"/>
      <c r="R2612" s="475"/>
      <c r="S2612" s="475"/>
      <c r="T2612" s="475"/>
      <c r="U2612" s="475"/>
      <c r="V2612" s="475"/>
      <c r="W2612" s="475"/>
    </row>
    <row r="2613" spans="2:23" s="97" customFormat="1">
      <c r="B2613" s="96"/>
      <c r="H2613" s="96"/>
      <c r="J2613" s="1"/>
      <c r="K2613" s="1"/>
      <c r="L2613" s="1"/>
      <c r="O2613" s="475"/>
      <c r="P2613" s="475"/>
      <c r="Q2613" s="475"/>
      <c r="R2613" s="475"/>
      <c r="S2613" s="475"/>
      <c r="T2613" s="475"/>
      <c r="U2613" s="475"/>
      <c r="V2613" s="475"/>
      <c r="W2613" s="475"/>
    </row>
    <row r="2614" spans="2:23" s="97" customFormat="1">
      <c r="B2614" s="96"/>
      <c r="H2614" s="96"/>
      <c r="J2614" s="1"/>
      <c r="K2614" s="1"/>
      <c r="L2614" s="1"/>
      <c r="O2614" s="475"/>
      <c r="P2614" s="475"/>
      <c r="Q2614" s="475"/>
      <c r="R2614" s="475"/>
      <c r="S2614" s="475"/>
      <c r="T2614" s="475"/>
      <c r="U2614" s="475"/>
      <c r="V2614" s="475"/>
      <c r="W2614" s="475"/>
    </row>
    <row r="2615" spans="2:23" s="97" customFormat="1">
      <c r="B2615" s="96"/>
      <c r="H2615" s="96"/>
      <c r="J2615" s="1"/>
      <c r="K2615" s="1"/>
      <c r="L2615" s="1"/>
      <c r="O2615" s="475"/>
      <c r="P2615" s="475"/>
      <c r="Q2615" s="475"/>
      <c r="R2615" s="475"/>
      <c r="S2615" s="475"/>
      <c r="T2615" s="475"/>
      <c r="U2615" s="475"/>
      <c r="V2615" s="475"/>
      <c r="W2615" s="475"/>
    </row>
    <row r="2616" spans="2:23" s="97" customFormat="1">
      <c r="B2616" s="96"/>
      <c r="H2616" s="96"/>
      <c r="J2616" s="1"/>
      <c r="K2616" s="1"/>
      <c r="L2616" s="1"/>
      <c r="O2616" s="475"/>
      <c r="P2616" s="475"/>
      <c r="Q2616" s="475"/>
      <c r="R2616" s="475"/>
      <c r="S2616" s="475"/>
      <c r="T2616" s="475"/>
      <c r="U2616" s="475"/>
      <c r="V2616" s="475"/>
      <c r="W2616" s="475"/>
    </row>
    <row r="2617" spans="2:23" s="97" customFormat="1">
      <c r="B2617" s="96"/>
      <c r="H2617" s="96"/>
      <c r="J2617" s="1"/>
      <c r="K2617" s="1"/>
      <c r="L2617" s="1"/>
      <c r="O2617" s="475"/>
      <c r="P2617" s="475"/>
      <c r="Q2617" s="475"/>
      <c r="R2617" s="475"/>
      <c r="S2617" s="475"/>
      <c r="T2617" s="475"/>
      <c r="U2617" s="475"/>
      <c r="V2617" s="475"/>
      <c r="W2617" s="475"/>
    </row>
    <row r="2618" spans="2:23" s="97" customFormat="1">
      <c r="B2618" s="96"/>
      <c r="H2618" s="96"/>
      <c r="J2618" s="1"/>
      <c r="K2618" s="1"/>
      <c r="L2618" s="1"/>
      <c r="O2618" s="475"/>
      <c r="P2618" s="475"/>
      <c r="Q2618" s="475"/>
      <c r="R2618" s="475"/>
      <c r="S2618" s="475"/>
      <c r="T2618" s="475"/>
      <c r="U2618" s="475"/>
      <c r="V2618" s="475"/>
      <c r="W2618" s="475"/>
    </row>
    <row r="2619" spans="2:23" s="97" customFormat="1">
      <c r="B2619" s="96"/>
      <c r="H2619" s="96"/>
      <c r="J2619" s="1"/>
      <c r="K2619" s="1"/>
      <c r="L2619" s="1"/>
      <c r="O2619" s="475"/>
      <c r="P2619" s="475"/>
      <c r="Q2619" s="475"/>
      <c r="R2619" s="475"/>
      <c r="S2619" s="475"/>
      <c r="T2619" s="475"/>
      <c r="U2619" s="475"/>
      <c r="V2619" s="475"/>
      <c r="W2619" s="475"/>
    </row>
    <row r="2620" spans="2:23" s="97" customFormat="1">
      <c r="B2620" s="96"/>
      <c r="H2620" s="96"/>
      <c r="J2620" s="1"/>
      <c r="K2620" s="1"/>
      <c r="L2620" s="1"/>
      <c r="O2620" s="475"/>
      <c r="P2620" s="475"/>
      <c r="Q2620" s="475"/>
      <c r="R2620" s="475"/>
      <c r="S2620" s="475"/>
      <c r="T2620" s="475"/>
      <c r="U2620" s="475"/>
      <c r="V2620" s="475"/>
      <c r="W2620" s="475"/>
    </row>
    <row r="2621" spans="2:23" s="97" customFormat="1">
      <c r="B2621" s="96"/>
      <c r="H2621" s="96"/>
      <c r="J2621" s="1"/>
      <c r="K2621" s="1"/>
      <c r="L2621" s="1"/>
      <c r="O2621" s="475"/>
      <c r="P2621" s="475"/>
      <c r="Q2621" s="475"/>
      <c r="R2621" s="475"/>
      <c r="S2621" s="475"/>
      <c r="T2621" s="475"/>
      <c r="U2621" s="475"/>
      <c r="V2621" s="475"/>
      <c r="W2621" s="475"/>
    </row>
    <row r="2622" spans="2:23" s="97" customFormat="1">
      <c r="B2622" s="96"/>
      <c r="H2622" s="96"/>
      <c r="J2622" s="1"/>
      <c r="K2622" s="1"/>
      <c r="L2622" s="1"/>
      <c r="O2622" s="475"/>
      <c r="P2622" s="475"/>
      <c r="Q2622" s="475"/>
      <c r="R2622" s="475"/>
      <c r="S2622" s="475"/>
      <c r="T2622" s="475"/>
      <c r="U2622" s="475"/>
      <c r="V2622" s="475"/>
      <c r="W2622" s="475"/>
    </row>
    <row r="2623" spans="2:23" s="97" customFormat="1">
      <c r="B2623" s="96"/>
      <c r="H2623" s="96"/>
      <c r="J2623" s="1"/>
      <c r="K2623" s="1"/>
      <c r="L2623" s="1"/>
      <c r="O2623" s="475"/>
      <c r="P2623" s="475"/>
      <c r="Q2623" s="475"/>
      <c r="R2623" s="475"/>
      <c r="S2623" s="475"/>
      <c r="T2623" s="475"/>
      <c r="U2623" s="475"/>
      <c r="V2623" s="475"/>
      <c r="W2623" s="475"/>
    </row>
    <row r="2624" spans="2:23" s="97" customFormat="1">
      <c r="B2624" s="96"/>
      <c r="H2624" s="96"/>
      <c r="J2624" s="1"/>
      <c r="K2624" s="1"/>
      <c r="L2624" s="1"/>
      <c r="O2624" s="475"/>
      <c r="P2624" s="475"/>
      <c r="Q2624" s="475"/>
      <c r="R2624" s="475"/>
      <c r="S2624" s="475"/>
      <c r="T2624" s="475"/>
      <c r="U2624" s="475"/>
      <c r="V2624" s="475"/>
      <c r="W2624" s="475"/>
    </row>
    <row r="2625" spans="2:23" s="97" customFormat="1">
      <c r="B2625" s="96"/>
      <c r="H2625" s="96"/>
      <c r="J2625" s="1"/>
      <c r="K2625" s="1"/>
      <c r="L2625" s="1"/>
      <c r="O2625" s="475"/>
      <c r="P2625" s="475"/>
      <c r="Q2625" s="475"/>
      <c r="R2625" s="475"/>
      <c r="S2625" s="475"/>
      <c r="T2625" s="475"/>
      <c r="U2625" s="475"/>
      <c r="V2625" s="475"/>
      <c r="W2625" s="475"/>
    </row>
    <row r="2626" spans="2:23" s="97" customFormat="1">
      <c r="B2626" s="96"/>
      <c r="H2626" s="96"/>
      <c r="J2626" s="1"/>
      <c r="K2626" s="1"/>
      <c r="L2626" s="1"/>
      <c r="O2626" s="475"/>
      <c r="P2626" s="475"/>
      <c r="Q2626" s="475"/>
      <c r="R2626" s="475"/>
      <c r="S2626" s="475"/>
      <c r="T2626" s="475"/>
      <c r="U2626" s="475"/>
      <c r="V2626" s="475"/>
      <c r="W2626" s="475"/>
    </row>
    <row r="2627" spans="2:23" s="97" customFormat="1">
      <c r="B2627" s="96"/>
      <c r="H2627" s="96"/>
      <c r="J2627" s="1"/>
      <c r="K2627" s="1"/>
      <c r="L2627" s="1"/>
      <c r="O2627" s="475"/>
      <c r="P2627" s="475"/>
      <c r="Q2627" s="475"/>
      <c r="R2627" s="475"/>
      <c r="S2627" s="475"/>
      <c r="T2627" s="475"/>
      <c r="U2627" s="475"/>
      <c r="V2627" s="475"/>
      <c r="W2627" s="475"/>
    </row>
    <row r="2628" spans="2:23" s="97" customFormat="1">
      <c r="B2628" s="96"/>
      <c r="H2628" s="96"/>
      <c r="J2628" s="1"/>
      <c r="K2628" s="1"/>
      <c r="L2628" s="1"/>
      <c r="O2628" s="475"/>
      <c r="P2628" s="475"/>
      <c r="Q2628" s="475"/>
      <c r="R2628" s="475"/>
      <c r="S2628" s="475"/>
      <c r="T2628" s="475"/>
      <c r="U2628" s="475"/>
      <c r="V2628" s="475"/>
      <c r="W2628" s="475"/>
    </row>
    <row r="2629" spans="2:23" s="97" customFormat="1">
      <c r="B2629" s="96"/>
      <c r="H2629" s="96"/>
      <c r="J2629" s="1"/>
      <c r="K2629" s="1"/>
      <c r="L2629" s="1"/>
      <c r="O2629" s="475"/>
      <c r="P2629" s="475"/>
      <c r="Q2629" s="475"/>
      <c r="R2629" s="475"/>
      <c r="S2629" s="475"/>
      <c r="T2629" s="475"/>
      <c r="U2629" s="475"/>
      <c r="V2629" s="475"/>
      <c r="W2629" s="475"/>
    </row>
    <row r="2630" spans="2:23" s="97" customFormat="1">
      <c r="B2630" s="96"/>
      <c r="H2630" s="96"/>
      <c r="J2630" s="1"/>
      <c r="K2630" s="1"/>
      <c r="L2630" s="1"/>
      <c r="O2630" s="475"/>
      <c r="P2630" s="475"/>
      <c r="Q2630" s="475"/>
      <c r="R2630" s="475"/>
      <c r="S2630" s="475"/>
      <c r="T2630" s="475"/>
      <c r="U2630" s="475"/>
      <c r="V2630" s="475"/>
      <c r="W2630" s="475"/>
    </row>
    <row r="2631" spans="2:23" s="97" customFormat="1">
      <c r="B2631" s="96"/>
      <c r="H2631" s="96"/>
      <c r="J2631" s="1"/>
      <c r="K2631" s="1"/>
      <c r="L2631" s="1"/>
      <c r="O2631" s="475"/>
      <c r="P2631" s="475"/>
      <c r="Q2631" s="475"/>
      <c r="R2631" s="475"/>
      <c r="S2631" s="475"/>
      <c r="T2631" s="475"/>
      <c r="U2631" s="475"/>
      <c r="V2631" s="475"/>
      <c r="W2631" s="475"/>
    </row>
    <row r="2632" spans="2:23" s="97" customFormat="1">
      <c r="B2632" s="96"/>
      <c r="H2632" s="96"/>
      <c r="J2632" s="1"/>
      <c r="K2632" s="1"/>
      <c r="L2632" s="1"/>
      <c r="O2632" s="475"/>
      <c r="P2632" s="475"/>
      <c r="Q2632" s="475"/>
      <c r="R2632" s="475"/>
      <c r="S2632" s="475"/>
      <c r="T2632" s="475"/>
      <c r="U2632" s="475"/>
      <c r="V2632" s="475"/>
      <c r="W2632" s="475"/>
    </row>
    <row r="2633" spans="2:23" s="97" customFormat="1">
      <c r="B2633" s="96"/>
      <c r="H2633" s="96"/>
      <c r="J2633" s="1"/>
      <c r="K2633" s="1"/>
      <c r="L2633" s="1"/>
      <c r="O2633" s="475"/>
      <c r="P2633" s="475"/>
      <c r="Q2633" s="475"/>
      <c r="R2633" s="475"/>
      <c r="S2633" s="475"/>
      <c r="T2633" s="475"/>
      <c r="U2633" s="475"/>
      <c r="V2633" s="475"/>
      <c r="W2633" s="475"/>
    </row>
    <row r="2634" spans="2:23" s="97" customFormat="1">
      <c r="B2634" s="96"/>
      <c r="H2634" s="96"/>
      <c r="J2634" s="1"/>
      <c r="K2634" s="1"/>
      <c r="L2634" s="1"/>
      <c r="O2634" s="475"/>
      <c r="P2634" s="475"/>
      <c r="Q2634" s="475"/>
      <c r="R2634" s="475"/>
      <c r="S2634" s="475"/>
      <c r="T2634" s="475"/>
      <c r="U2634" s="475"/>
      <c r="V2634" s="475"/>
      <c r="W2634" s="475"/>
    </row>
    <row r="2635" spans="2:23" s="97" customFormat="1">
      <c r="B2635" s="96"/>
      <c r="H2635" s="96"/>
      <c r="J2635" s="1"/>
      <c r="K2635" s="1"/>
      <c r="L2635" s="1"/>
      <c r="O2635" s="475"/>
      <c r="P2635" s="475"/>
      <c r="Q2635" s="475"/>
      <c r="R2635" s="475"/>
      <c r="S2635" s="475"/>
      <c r="T2635" s="475"/>
      <c r="U2635" s="475"/>
      <c r="V2635" s="475"/>
      <c r="W2635" s="475"/>
    </row>
    <row r="2636" spans="2:23" s="97" customFormat="1">
      <c r="B2636" s="96"/>
      <c r="H2636" s="96"/>
      <c r="J2636" s="1"/>
      <c r="K2636" s="1"/>
      <c r="L2636" s="1"/>
      <c r="O2636" s="475"/>
      <c r="P2636" s="475"/>
      <c r="Q2636" s="475"/>
      <c r="R2636" s="475"/>
      <c r="S2636" s="475"/>
      <c r="T2636" s="475"/>
      <c r="U2636" s="475"/>
      <c r="V2636" s="475"/>
      <c r="W2636" s="475"/>
    </row>
    <row r="2637" spans="2:23" s="97" customFormat="1">
      <c r="B2637" s="96"/>
      <c r="H2637" s="96"/>
      <c r="J2637" s="1"/>
      <c r="K2637" s="1"/>
      <c r="L2637" s="1"/>
      <c r="O2637" s="475"/>
      <c r="P2637" s="475"/>
      <c r="Q2637" s="475"/>
      <c r="R2637" s="475"/>
      <c r="S2637" s="475"/>
      <c r="T2637" s="475"/>
      <c r="U2637" s="475"/>
      <c r="V2637" s="475"/>
      <c r="W2637" s="475"/>
    </row>
    <row r="2638" spans="2:23" s="97" customFormat="1">
      <c r="B2638" s="96"/>
      <c r="H2638" s="96"/>
      <c r="J2638" s="1"/>
      <c r="K2638" s="1"/>
      <c r="L2638" s="1"/>
      <c r="O2638" s="475"/>
      <c r="P2638" s="475"/>
      <c r="Q2638" s="475"/>
      <c r="R2638" s="475"/>
      <c r="S2638" s="475"/>
      <c r="T2638" s="475"/>
      <c r="U2638" s="475"/>
      <c r="V2638" s="475"/>
      <c r="W2638" s="475"/>
    </row>
    <row r="2639" spans="2:23" s="97" customFormat="1">
      <c r="B2639" s="96"/>
      <c r="H2639" s="96"/>
      <c r="J2639" s="1"/>
      <c r="K2639" s="1"/>
      <c r="L2639" s="1"/>
      <c r="O2639" s="475"/>
      <c r="P2639" s="475"/>
      <c r="Q2639" s="475"/>
      <c r="R2639" s="475"/>
      <c r="S2639" s="475"/>
      <c r="T2639" s="475"/>
      <c r="U2639" s="475"/>
      <c r="V2639" s="475"/>
      <c r="W2639" s="475"/>
    </row>
    <row r="2640" spans="2:23" s="97" customFormat="1">
      <c r="B2640" s="96"/>
      <c r="H2640" s="96"/>
      <c r="J2640" s="1"/>
      <c r="K2640" s="1"/>
      <c r="L2640" s="1"/>
      <c r="O2640" s="475"/>
      <c r="P2640" s="475"/>
      <c r="Q2640" s="475"/>
      <c r="R2640" s="475"/>
      <c r="S2640" s="475"/>
      <c r="T2640" s="475"/>
      <c r="U2640" s="475"/>
      <c r="V2640" s="475"/>
      <c r="W2640" s="475"/>
    </row>
    <row r="2641" spans="2:23" s="97" customFormat="1">
      <c r="B2641" s="96"/>
      <c r="H2641" s="96"/>
      <c r="J2641" s="1"/>
      <c r="K2641" s="1"/>
      <c r="L2641" s="1"/>
      <c r="O2641" s="475"/>
      <c r="P2641" s="475"/>
      <c r="Q2641" s="475"/>
      <c r="R2641" s="475"/>
      <c r="S2641" s="475"/>
      <c r="T2641" s="475"/>
      <c r="U2641" s="475"/>
      <c r="V2641" s="475"/>
      <c r="W2641" s="475"/>
    </row>
    <row r="2642" spans="2:23" s="97" customFormat="1">
      <c r="B2642" s="96"/>
      <c r="H2642" s="96"/>
      <c r="J2642" s="1"/>
      <c r="K2642" s="1"/>
      <c r="L2642" s="1"/>
      <c r="O2642" s="475"/>
      <c r="P2642" s="475"/>
      <c r="Q2642" s="475"/>
      <c r="R2642" s="475"/>
      <c r="S2642" s="475"/>
      <c r="T2642" s="475"/>
      <c r="U2642" s="475"/>
      <c r="V2642" s="475"/>
      <c r="W2642" s="475"/>
    </row>
    <row r="2643" spans="2:23" s="97" customFormat="1">
      <c r="B2643" s="96"/>
      <c r="H2643" s="96"/>
      <c r="J2643" s="1"/>
      <c r="K2643" s="1"/>
      <c r="L2643" s="1"/>
      <c r="O2643" s="475"/>
      <c r="P2643" s="475"/>
      <c r="Q2643" s="475"/>
      <c r="R2643" s="475"/>
      <c r="S2643" s="475"/>
      <c r="T2643" s="475"/>
      <c r="U2643" s="475"/>
      <c r="V2643" s="475"/>
      <c r="W2643" s="475"/>
    </row>
    <row r="2644" spans="2:23" s="97" customFormat="1">
      <c r="B2644" s="96"/>
      <c r="H2644" s="96"/>
      <c r="J2644" s="1"/>
      <c r="K2644" s="1"/>
      <c r="L2644" s="1"/>
      <c r="O2644" s="475"/>
      <c r="P2644" s="475"/>
      <c r="Q2644" s="475"/>
      <c r="R2644" s="475"/>
      <c r="S2644" s="475"/>
      <c r="T2644" s="475"/>
      <c r="U2644" s="475"/>
      <c r="V2644" s="475"/>
      <c r="W2644" s="475"/>
    </row>
    <row r="2645" spans="2:23" s="97" customFormat="1">
      <c r="B2645" s="96"/>
      <c r="H2645" s="96"/>
      <c r="J2645" s="1"/>
      <c r="K2645" s="1"/>
      <c r="L2645" s="1"/>
      <c r="O2645" s="475"/>
      <c r="P2645" s="475"/>
      <c r="Q2645" s="475"/>
      <c r="R2645" s="475"/>
      <c r="S2645" s="475"/>
      <c r="T2645" s="475"/>
      <c r="U2645" s="475"/>
      <c r="V2645" s="475"/>
      <c r="W2645" s="475"/>
    </row>
    <row r="2646" spans="2:23" s="97" customFormat="1">
      <c r="B2646" s="96"/>
      <c r="H2646" s="96"/>
      <c r="J2646" s="1"/>
      <c r="K2646" s="1"/>
      <c r="L2646" s="1"/>
      <c r="O2646" s="475"/>
      <c r="P2646" s="475"/>
      <c r="Q2646" s="475"/>
      <c r="R2646" s="475"/>
      <c r="S2646" s="475"/>
      <c r="T2646" s="475"/>
      <c r="U2646" s="475"/>
      <c r="V2646" s="475"/>
      <c r="W2646" s="475"/>
    </row>
    <row r="2647" spans="2:23" s="97" customFormat="1">
      <c r="B2647" s="96"/>
      <c r="H2647" s="96"/>
      <c r="J2647" s="1"/>
      <c r="K2647" s="1"/>
      <c r="L2647" s="1"/>
      <c r="O2647" s="475"/>
      <c r="P2647" s="475"/>
      <c r="Q2647" s="475"/>
      <c r="R2647" s="475"/>
      <c r="S2647" s="475"/>
      <c r="T2647" s="475"/>
      <c r="U2647" s="475"/>
      <c r="V2647" s="475"/>
      <c r="W2647" s="475"/>
    </row>
    <row r="2648" spans="2:23" s="97" customFormat="1">
      <c r="B2648" s="96"/>
      <c r="H2648" s="96"/>
      <c r="J2648" s="1"/>
      <c r="K2648" s="1"/>
      <c r="L2648" s="1"/>
      <c r="O2648" s="475"/>
      <c r="P2648" s="475"/>
      <c r="Q2648" s="475"/>
      <c r="R2648" s="475"/>
      <c r="S2648" s="475"/>
      <c r="T2648" s="475"/>
      <c r="U2648" s="475"/>
      <c r="V2648" s="475"/>
      <c r="W2648" s="475"/>
    </row>
    <row r="2649" spans="2:23" s="97" customFormat="1">
      <c r="B2649" s="96"/>
      <c r="H2649" s="96"/>
      <c r="J2649" s="1"/>
      <c r="K2649" s="1"/>
      <c r="L2649" s="1"/>
      <c r="O2649" s="475"/>
      <c r="P2649" s="475"/>
      <c r="Q2649" s="475"/>
      <c r="R2649" s="475"/>
      <c r="S2649" s="475"/>
      <c r="T2649" s="475"/>
      <c r="U2649" s="475"/>
      <c r="V2649" s="475"/>
      <c r="W2649" s="475"/>
    </row>
    <row r="2650" spans="2:23" s="97" customFormat="1">
      <c r="B2650" s="96"/>
      <c r="H2650" s="96"/>
      <c r="J2650" s="1"/>
      <c r="K2650" s="1"/>
      <c r="L2650" s="1"/>
      <c r="O2650" s="475"/>
      <c r="P2650" s="475"/>
      <c r="Q2650" s="475"/>
      <c r="R2650" s="475"/>
      <c r="S2650" s="475"/>
      <c r="T2650" s="475"/>
      <c r="U2650" s="475"/>
      <c r="V2650" s="475"/>
      <c r="W2650" s="475"/>
    </row>
    <row r="2651" spans="2:23" s="97" customFormat="1">
      <c r="B2651" s="96"/>
      <c r="H2651" s="96"/>
      <c r="J2651" s="1"/>
      <c r="K2651" s="1"/>
      <c r="L2651" s="1"/>
      <c r="O2651" s="475"/>
      <c r="P2651" s="475"/>
      <c r="Q2651" s="475"/>
      <c r="R2651" s="475"/>
      <c r="S2651" s="475"/>
      <c r="T2651" s="475"/>
      <c r="U2651" s="475"/>
      <c r="V2651" s="475"/>
      <c r="W2651" s="475"/>
    </row>
    <row r="2652" spans="2:23" s="97" customFormat="1">
      <c r="B2652" s="96"/>
      <c r="H2652" s="96"/>
      <c r="J2652" s="1"/>
      <c r="K2652" s="1"/>
      <c r="L2652" s="1"/>
      <c r="O2652" s="475"/>
      <c r="P2652" s="475"/>
      <c r="Q2652" s="475"/>
      <c r="R2652" s="475"/>
      <c r="S2652" s="475"/>
      <c r="T2652" s="475"/>
      <c r="U2652" s="475"/>
      <c r="V2652" s="475"/>
      <c r="W2652" s="475"/>
    </row>
    <row r="2653" spans="2:23" s="97" customFormat="1">
      <c r="B2653" s="96"/>
      <c r="H2653" s="96"/>
      <c r="J2653" s="1"/>
      <c r="K2653" s="1"/>
      <c r="L2653" s="1"/>
      <c r="O2653" s="475"/>
      <c r="P2653" s="475"/>
      <c r="Q2653" s="475"/>
      <c r="R2653" s="475"/>
      <c r="S2653" s="475"/>
      <c r="T2653" s="475"/>
      <c r="U2653" s="475"/>
      <c r="V2653" s="475"/>
      <c r="W2653" s="475"/>
    </row>
    <row r="2654" spans="2:23" s="97" customFormat="1">
      <c r="B2654" s="96"/>
      <c r="H2654" s="96"/>
      <c r="J2654" s="1"/>
      <c r="K2654" s="1"/>
      <c r="L2654" s="1"/>
      <c r="O2654" s="475"/>
      <c r="P2654" s="475"/>
      <c r="Q2654" s="475"/>
      <c r="R2654" s="475"/>
      <c r="S2654" s="475"/>
      <c r="T2654" s="475"/>
      <c r="U2654" s="475"/>
      <c r="V2654" s="475"/>
      <c r="W2654" s="475"/>
    </row>
    <row r="2655" spans="2:23" s="97" customFormat="1">
      <c r="B2655" s="96"/>
      <c r="H2655" s="96"/>
      <c r="J2655" s="1"/>
      <c r="K2655" s="1"/>
      <c r="L2655" s="1"/>
      <c r="O2655" s="475"/>
      <c r="P2655" s="475"/>
      <c r="Q2655" s="475"/>
      <c r="R2655" s="475"/>
      <c r="S2655" s="475"/>
      <c r="T2655" s="475"/>
      <c r="U2655" s="475"/>
      <c r="V2655" s="475"/>
      <c r="W2655" s="475"/>
    </row>
    <row r="2656" spans="2:23" s="97" customFormat="1">
      <c r="B2656" s="96"/>
      <c r="H2656" s="96"/>
      <c r="J2656" s="1"/>
      <c r="K2656" s="1"/>
      <c r="L2656" s="1"/>
      <c r="O2656" s="475"/>
      <c r="P2656" s="475"/>
      <c r="Q2656" s="475"/>
      <c r="R2656" s="475"/>
      <c r="S2656" s="475"/>
      <c r="T2656" s="475"/>
      <c r="U2656" s="475"/>
      <c r="V2656" s="475"/>
      <c r="W2656" s="475"/>
    </row>
    <row r="2657" spans="2:23" s="97" customFormat="1">
      <c r="B2657" s="96"/>
      <c r="H2657" s="96"/>
      <c r="J2657" s="1"/>
      <c r="K2657" s="1"/>
      <c r="L2657" s="1"/>
      <c r="O2657" s="475"/>
      <c r="P2657" s="475"/>
      <c r="Q2657" s="475"/>
      <c r="R2657" s="475"/>
      <c r="S2657" s="475"/>
      <c r="T2657" s="475"/>
      <c r="U2657" s="475"/>
      <c r="V2657" s="475"/>
      <c r="W2657" s="475"/>
    </row>
    <row r="2658" spans="2:23" s="97" customFormat="1">
      <c r="B2658" s="96"/>
      <c r="H2658" s="96"/>
      <c r="J2658" s="1"/>
      <c r="K2658" s="1"/>
      <c r="L2658" s="1"/>
      <c r="O2658" s="475"/>
      <c r="P2658" s="475"/>
      <c r="Q2658" s="475"/>
      <c r="R2658" s="475"/>
      <c r="S2658" s="475"/>
      <c r="T2658" s="475"/>
      <c r="U2658" s="475"/>
      <c r="V2658" s="475"/>
      <c r="W2658" s="475"/>
    </row>
    <row r="2659" spans="2:23" s="97" customFormat="1">
      <c r="B2659" s="96"/>
      <c r="H2659" s="96"/>
      <c r="J2659" s="1"/>
      <c r="K2659" s="1"/>
      <c r="L2659" s="1"/>
      <c r="O2659" s="475"/>
      <c r="P2659" s="475"/>
      <c r="Q2659" s="475"/>
      <c r="R2659" s="475"/>
      <c r="S2659" s="475"/>
      <c r="T2659" s="475"/>
      <c r="U2659" s="475"/>
      <c r="V2659" s="475"/>
      <c r="W2659" s="475"/>
    </row>
    <row r="2660" spans="2:23" s="97" customFormat="1">
      <c r="B2660" s="96"/>
      <c r="H2660" s="96"/>
      <c r="J2660" s="1"/>
      <c r="K2660" s="1"/>
      <c r="L2660" s="1"/>
      <c r="O2660" s="475"/>
      <c r="P2660" s="475"/>
      <c r="Q2660" s="475"/>
      <c r="R2660" s="475"/>
      <c r="S2660" s="475"/>
      <c r="T2660" s="475"/>
      <c r="U2660" s="475"/>
      <c r="V2660" s="475"/>
      <c r="W2660" s="475"/>
    </row>
    <row r="2661" spans="2:23" s="97" customFormat="1">
      <c r="B2661" s="96"/>
      <c r="H2661" s="96"/>
      <c r="J2661" s="1"/>
      <c r="K2661" s="1"/>
      <c r="L2661" s="1"/>
      <c r="O2661" s="475"/>
      <c r="P2661" s="475"/>
      <c r="Q2661" s="475"/>
      <c r="R2661" s="475"/>
      <c r="S2661" s="475"/>
      <c r="T2661" s="475"/>
      <c r="U2661" s="475"/>
      <c r="V2661" s="475"/>
      <c r="W2661" s="475"/>
    </row>
    <row r="2662" spans="2:23" s="97" customFormat="1">
      <c r="B2662" s="96"/>
      <c r="H2662" s="96"/>
      <c r="J2662" s="1"/>
      <c r="K2662" s="1"/>
      <c r="L2662" s="1"/>
      <c r="O2662" s="475"/>
      <c r="P2662" s="475"/>
      <c r="Q2662" s="475"/>
      <c r="R2662" s="475"/>
      <c r="S2662" s="475"/>
      <c r="T2662" s="475"/>
      <c r="U2662" s="475"/>
      <c r="V2662" s="475"/>
      <c r="W2662" s="475"/>
    </row>
    <row r="2663" spans="2:23" s="97" customFormat="1">
      <c r="B2663" s="96"/>
      <c r="H2663" s="96"/>
      <c r="J2663" s="1"/>
      <c r="K2663" s="1"/>
      <c r="L2663" s="1"/>
      <c r="O2663" s="475"/>
      <c r="P2663" s="475"/>
      <c r="Q2663" s="475"/>
      <c r="R2663" s="475"/>
      <c r="S2663" s="475"/>
      <c r="T2663" s="475"/>
      <c r="U2663" s="475"/>
      <c r="V2663" s="475"/>
      <c r="W2663" s="475"/>
    </row>
    <row r="2664" spans="2:23" s="97" customFormat="1">
      <c r="B2664" s="96"/>
      <c r="H2664" s="96"/>
      <c r="J2664" s="1"/>
      <c r="K2664" s="1"/>
      <c r="L2664" s="1"/>
      <c r="O2664" s="475"/>
      <c r="P2664" s="475"/>
      <c r="Q2664" s="475"/>
      <c r="R2664" s="475"/>
      <c r="S2664" s="475"/>
      <c r="T2664" s="475"/>
      <c r="U2664" s="475"/>
      <c r="V2664" s="475"/>
      <c r="W2664" s="475"/>
    </row>
    <row r="2665" spans="2:23" s="97" customFormat="1">
      <c r="B2665" s="96"/>
      <c r="H2665" s="96"/>
      <c r="J2665" s="1"/>
      <c r="K2665" s="1"/>
      <c r="L2665" s="1"/>
      <c r="O2665" s="475"/>
      <c r="P2665" s="475"/>
      <c r="Q2665" s="475"/>
      <c r="R2665" s="475"/>
      <c r="S2665" s="475"/>
      <c r="T2665" s="475"/>
      <c r="U2665" s="475"/>
      <c r="V2665" s="475"/>
      <c r="W2665" s="475"/>
    </row>
    <row r="2666" spans="2:23" s="97" customFormat="1">
      <c r="B2666" s="96"/>
      <c r="H2666" s="96"/>
      <c r="J2666" s="1"/>
      <c r="K2666" s="1"/>
      <c r="L2666" s="1"/>
      <c r="O2666" s="475"/>
      <c r="P2666" s="475"/>
      <c r="Q2666" s="475"/>
      <c r="R2666" s="475"/>
      <c r="S2666" s="475"/>
      <c r="T2666" s="475"/>
      <c r="U2666" s="475"/>
      <c r="V2666" s="475"/>
      <c r="W2666" s="475"/>
    </row>
    <row r="2667" spans="2:23" s="97" customFormat="1">
      <c r="B2667" s="96"/>
      <c r="H2667" s="96"/>
      <c r="J2667" s="1"/>
      <c r="K2667" s="1"/>
      <c r="L2667" s="1"/>
      <c r="O2667" s="475"/>
      <c r="P2667" s="475"/>
      <c r="Q2667" s="475"/>
      <c r="R2667" s="475"/>
      <c r="S2667" s="475"/>
      <c r="T2667" s="475"/>
      <c r="U2667" s="475"/>
      <c r="V2667" s="475"/>
      <c r="W2667" s="475"/>
    </row>
    <row r="2668" spans="2:23" s="97" customFormat="1">
      <c r="B2668" s="96"/>
      <c r="H2668" s="96"/>
      <c r="J2668" s="1"/>
      <c r="K2668" s="1"/>
      <c r="L2668" s="1"/>
      <c r="O2668" s="475"/>
      <c r="P2668" s="475"/>
      <c r="Q2668" s="475"/>
      <c r="R2668" s="475"/>
      <c r="S2668" s="475"/>
      <c r="T2668" s="475"/>
      <c r="U2668" s="475"/>
      <c r="V2668" s="475"/>
      <c r="W2668" s="475"/>
    </row>
    <row r="2669" spans="2:23" s="97" customFormat="1">
      <c r="B2669" s="96"/>
      <c r="H2669" s="96"/>
      <c r="J2669" s="1"/>
      <c r="K2669" s="1"/>
      <c r="L2669" s="1"/>
      <c r="O2669" s="475"/>
      <c r="P2669" s="475"/>
      <c r="Q2669" s="475"/>
      <c r="R2669" s="475"/>
      <c r="S2669" s="475"/>
      <c r="T2669" s="475"/>
      <c r="U2669" s="475"/>
      <c r="V2669" s="475"/>
      <c r="W2669" s="475"/>
    </row>
    <row r="2670" spans="2:23" s="97" customFormat="1">
      <c r="B2670" s="96"/>
      <c r="H2670" s="96"/>
      <c r="J2670" s="1"/>
      <c r="K2670" s="1"/>
      <c r="L2670" s="1"/>
      <c r="O2670" s="475"/>
      <c r="P2670" s="475"/>
      <c r="Q2670" s="475"/>
      <c r="R2670" s="475"/>
      <c r="S2670" s="475"/>
      <c r="T2670" s="475"/>
      <c r="U2670" s="475"/>
      <c r="V2670" s="475"/>
      <c r="W2670" s="475"/>
    </row>
    <row r="2671" spans="2:23" s="97" customFormat="1">
      <c r="B2671" s="96"/>
      <c r="H2671" s="96"/>
      <c r="J2671" s="1"/>
      <c r="K2671" s="1"/>
      <c r="L2671" s="1"/>
      <c r="O2671" s="475"/>
      <c r="P2671" s="475"/>
      <c r="Q2671" s="475"/>
      <c r="R2671" s="475"/>
      <c r="S2671" s="475"/>
      <c r="T2671" s="475"/>
      <c r="U2671" s="475"/>
      <c r="V2671" s="475"/>
      <c r="W2671" s="475"/>
    </row>
    <row r="2672" spans="2:23" s="97" customFormat="1">
      <c r="B2672" s="96"/>
      <c r="H2672" s="96"/>
      <c r="J2672" s="1"/>
      <c r="K2672" s="1"/>
      <c r="L2672" s="1"/>
      <c r="O2672" s="475"/>
      <c r="P2672" s="475"/>
      <c r="Q2672" s="475"/>
      <c r="R2672" s="475"/>
      <c r="S2672" s="475"/>
      <c r="T2672" s="475"/>
      <c r="U2672" s="475"/>
      <c r="V2672" s="475"/>
      <c r="W2672" s="475"/>
    </row>
    <row r="2673" spans="2:23" s="97" customFormat="1">
      <c r="B2673" s="96"/>
      <c r="H2673" s="96"/>
      <c r="J2673" s="1"/>
      <c r="K2673" s="1"/>
      <c r="L2673" s="1"/>
      <c r="O2673" s="475"/>
      <c r="P2673" s="475"/>
      <c r="Q2673" s="475"/>
      <c r="R2673" s="475"/>
      <c r="S2673" s="475"/>
      <c r="T2673" s="475"/>
      <c r="U2673" s="475"/>
      <c r="V2673" s="475"/>
      <c r="W2673" s="475"/>
    </row>
    <row r="2674" spans="2:23" s="97" customFormat="1">
      <c r="B2674" s="96"/>
      <c r="H2674" s="96"/>
      <c r="J2674" s="1"/>
      <c r="K2674" s="1"/>
      <c r="L2674" s="1"/>
      <c r="O2674" s="475"/>
      <c r="P2674" s="475"/>
      <c r="Q2674" s="475"/>
      <c r="R2674" s="475"/>
      <c r="S2674" s="475"/>
      <c r="T2674" s="475"/>
      <c r="U2674" s="475"/>
      <c r="V2674" s="475"/>
      <c r="W2674" s="475"/>
    </row>
    <row r="2675" spans="2:23" s="97" customFormat="1">
      <c r="B2675" s="96"/>
      <c r="H2675" s="96"/>
      <c r="J2675" s="1"/>
      <c r="K2675" s="1"/>
      <c r="L2675" s="1"/>
      <c r="O2675" s="475"/>
      <c r="P2675" s="475"/>
      <c r="Q2675" s="475"/>
      <c r="R2675" s="475"/>
      <c r="S2675" s="475"/>
      <c r="T2675" s="475"/>
      <c r="U2675" s="475"/>
      <c r="V2675" s="475"/>
      <c r="W2675" s="475"/>
    </row>
    <row r="2676" spans="2:23" s="97" customFormat="1">
      <c r="B2676" s="96"/>
      <c r="H2676" s="96"/>
      <c r="J2676" s="1"/>
      <c r="K2676" s="1"/>
      <c r="L2676" s="1"/>
      <c r="O2676" s="475"/>
      <c r="P2676" s="475"/>
      <c r="Q2676" s="475"/>
      <c r="R2676" s="475"/>
      <c r="S2676" s="475"/>
      <c r="T2676" s="475"/>
      <c r="U2676" s="475"/>
      <c r="V2676" s="475"/>
      <c r="W2676" s="475"/>
    </row>
    <row r="2677" spans="2:23" s="97" customFormat="1">
      <c r="B2677" s="96"/>
      <c r="H2677" s="96"/>
      <c r="J2677" s="1"/>
      <c r="K2677" s="1"/>
      <c r="L2677" s="1"/>
      <c r="O2677" s="475"/>
      <c r="P2677" s="475"/>
      <c r="Q2677" s="475"/>
      <c r="R2677" s="475"/>
      <c r="S2677" s="475"/>
      <c r="T2677" s="475"/>
      <c r="U2677" s="475"/>
      <c r="V2677" s="475"/>
      <c r="W2677" s="475"/>
    </row>
    <row r="2678" spans="2:23" s="97" customFormat="1">
      <c r="B2678" s="96"/>
      <c r="H2678" s="96"/>
      <c r="J2678" s="1"/>
      <c r="K2678" s="1"/>
      <c r="L2678" s="1"/>
      <c r="O2678" s="475"/>
      <c r="P2678" s="475"/>
      <c r="Q2678" s="475"/>
      <c r="R2678" s="475"/>
      <c r="S2678" s="475"/>
      <c r="T2678" s="475"/>
      <c r="U2678" s="475"/>
      <c r="V2678" s="475"/>
      <c r="W2678" s="475"/>
    </row>
    <row r="2679" spans="2:23" s="97" customFormat="1">
      <c r="B2679" s="96"/>
      <c r="H2679" s="96"/>
      <c r="J2679" s="1"/>
      <c r="K2679" s="1"/>
      <c r="L2679" s="1"/>
      <c r="O2679" s="475"/>
      <c r="P2679" s="475"/>
      <c r="Q2679" s="475"/>
      <c r="R2679" s="475"/>
      <c r="S2679" s="475"/>
      <c r="T2679" s="475"/>
      <c r="U2679" s="475"/>
      <c r="V2679" s="475"/>
      <c r="W2679" s="475"/>
    </row>
    <row r="2680" spans="2:23" s="97" customFormat="1">
      <c r="B2680" s="96"/>
      <c r="H2680" s="96"/>
      <c r="J2680" s="1"/>
      <c r="K2680" s="1"/>
      <c r="L2680" s="1"/>
      <c r="O2680" s="475"/>
      <c r="P2680" s="475"/>
      <c r="Q2680" s="475"/>
      <c r="R2680" s="475"/>
      <c r="S2680" s="475"/>
      <c r="T2680" s="475"/>
      <c r="U2680" s="475"/>
      <c r="V2680" s="475"/>
      <c r="W2680" s="475"/>
    </row>
    <row r="2681" spans="2:23" s="97" customFormat="1">
      <c r="B2681" s="96"/>
      <c r="H2681" s="96"/>
      <c r="J2681" s="1"/>
      <c r="K2681" s="1"/>
      <c r="L2681" s="1"/>
      <c r="O2681" s="475"/>
      <c r="P2681" s="475"/>
      <c r="Q2681" s="475"/>
      <c r="R2681" s="475"/>
      <c r="S2681" s="475"/>
      <c r="T2681" s="475"/>
      <c r="U2681" s="475"/>
      <c r="V2681" s="475"/>
      <c r="W2681" s="475"/>
    </row>
    <row r="2682" spans="2:23" s="97" customFormat="1">
      <c r="B2682" s="96"/>
      <c r="H2682" s="96"/>
      <c r="J2682" s="1"/>
      <c r="K2682" s="1"/>
      <c r="L2682" s="1"/>
      <c r="O2682" s="475"/>
      <c r="P2682" s="475"/>
      <c r="Q2682" s="475"/>
      <c r="R2682" s="475"/>
      <c r="S2682" s="475"/>
      <c r="T2682" s="475"/>
      <c r="U2682" s="475"/>
      <c r="V2682" s="475"/>
      <c r="W2682" s="475"/>
    </row>
    <row r="2683" spans="2:23" s="97" customFormat="1">
      <c r="B2683" s="96"/>
      <c r="H2683" s="96"/>
      <c r="J2683" s="1"/>
      <c r="K2683" s="1"/>
      <c r="L2683" s="1"/>
      <c r="O2683" s="475"/>
      <c r="P2683" s="475"/>
      <c r="Q2683" s="475"/>
      <c r="R2683" s="475"/>
      <c r="S2683" s="475"/>
      <c r="T2683" s="475"/>
      <c r="U2683" s="475"/>
      <c r="V2683" s="475"/>
      <c r="W2683" s="475"/>
    </row>
    <row r="2684" spans="2:23" s="97" customFormat="1">
      <c r="B2684" s="96"/>
      <c r="H2684" s="96"/>
      <c r="J2684" s="1"/>
      <c r="K2684" s="1"/>
      <c r="L2684" s="1"/>
      <c r="O2684" s="475"/>
      <c r="P2684" s="475"/>
      <c r="Q2684" s="475"/>
      <c r="R2684" s="475"/>
      <c r="S2684" s="475"/>
      <c r="T2684" s="475"/>
      <c r="U2684" s="475"/>
      <c r="V2684" s="475"/>
      <c r="W2684" s="475"/>
    </row>
    <row r="2685" spans="2:23" s="97" customFormat="1">
      <c r="B2685" s="96"/>
      <c r="H2685" s="96"/>
      <c r="J2685" s="1"/>
      <c r="K2685" s="1"/>
      <c r="L2685" s="1"/>
      <c r="O2685" s="475"/>
      <c r="P2685" s="475"/>
      <c r="Q2685" s="475"/>
      <c r="R2685" s="475"/>
      <c r="S2685" s="475"/>
      <c r="T2685" s="475"/>
      <c r="U2685" s="475"/>
      <c r="V2685" s="475"/>
      <c r="W2685" s="475"/>
    </row>
    <row r="2686" spans="2:23" s="97" customFormat="1">
      <c r="B2686" s="96"/>
      <c r="H2686" s="96"/>
      <c r="J2686" s="1"/>
      <c r="K2686" s="1"/>
      <c r="L2686" s="1"/>
      <c r="O2686" s="475"/>
      <c r="P2686" s="475"/>
      <c r="Q2686" s="475"/>
      <c r="R2686" s="475"/>
      <c r="S2686" s="475"/>
      <c r="T2686" s="475"/>
      <c r="U2686" s="475"/>
      <c r="V2686" s="475"/>
      <c r="W2686" s="475"/>
    </row>
    <row r="2687" spans="2:23" s="97" customFormat="1">
      <c r="B2687" s="96"/>
      <c r="H2687" s="96"/>
      <c r="J2687" s="1"/>
      <c r="K2687" s="1"/>
      <c r="L2687" s="1"/>
      <c r="O2687" s="475"/>
      <c r="P2687" s="475"/>
      <c r="Q2687" s="475"/>
      <c r="R2687" s="475"/>
      <c r="S2687" s="475"/>
      <c r="T2687" s="475"/>
      <c r="U2687" s="475"/>
      <c r="V2687" s="475"/>
      <c r="W2687" s="475"/>
    </row>
    <row r="2688" spans="2:23" s="97" customFormat="1">
      <c r="B2688" s="96"/>
      <c r="H2688" s="96"/>
      <c r="J2688" s="1"/>
      <c r="K2688" s="1"/>
      <c r="L2688" s="1"/>
      <c r="O2688" s="475"/>
      <c r="P2688" s="475"/>
      <c r="Q2688" s="475"/>
      <c r="R2688" s="475"/>
      <c r="S2688" s="475"/>
      <c r="T2688" s="475"/>
      <c r="U2688" s="475"/>
      <c r="V2688" s="475"/>
      <c r="W2688" s="475"/>
    </row>
    <row r="2689" spans="2:23" s="97" customFormat="1">
      <c r="B2689" s="96"/>
      <c r="H2689" s="96"/>
      <c r="J2689" s="1"/>
      <c r="K2689" s="1"/>
      <c r="L2689" s="1"/>
      <c r="O2689" s="475"/>
      <c r="P2689" s="475"/>
      <c r="Q2689" s="475"/>
      <c r="R2689" s="475"/>
      <c r="S2689" s="475"/>
      <c r="T2689" s="475"/>
      <c r="U2689" s="475"/>
      <c r="V2689" s="475"/>
      <c r="W2689" s="475"/>
    </row>
    <row r="2690" spans="2:23" s="97" customFormat="1">
      <c r="B2690" s="96"/>
      <c r="H2690" s="96"/>
      <c r="J2690" s="1"/>
      <c r="K2690" s="1"/>
      <c r="L2690" s="1"/>
      <c r="O2690" s="475"/>
      <c r="P2690" s="475"/>
      <c r="Q2690" s="475"/>
      <c r="R2690" s="475"/>
      <c r="S2690" s="475"/>
      <c r="T2690" s="475"/>
      <c r="U2690" s="475"/>
      <c r="V2690" s="475"/>
      <c r="W2690" s="475"/>
    </row>
    <row r="2691" spans="2:23" s="97" customFormat="1">
      <c r="B2691" s="96"/>
      <c r="H2691" s="96"/>
      <c r="J2691" s="1"/>
      <c r="K2691" s="1"/>
      <c r="L2691" s="1"/>
      <c r="O2691" s="475"/>
      <c r="P2691" s="475"/>
      <c r="Q2691" s="475"/>
      <c r="R2691" s="475"/>
      <c r="S2691" s="475"/>
      <c r="T2691" s="475"/>
      <c r="U2691" s="475"/>
      <c r="V2691" s="475"/>
      <c r="W2691" s="475"/>
    </row>
    <row r="2692" spans="2:23" s="97" customFormat="1">
      <c r="B2692" s="96"/>
      <c r="H2692" s="96"/>
      <c r="J2692" s="1"/>
      <c r="K2692" s="1"/>
      <c r="L2692" s="1"/>
      <c r="O2692" s="475"/>
      <c r="P2692" s="475"/>
      <c r="Q2692" s="475"/>
      <c r="R2692" s="475"/>
      <c r="S2692" s="475"/>
      <c r="T2692" s="475"/>
      <c r="U2692" s="475"/>
      <c r="V2692" s="475"/>
      <c r="W2692" s="475"/>
    </row>
    <row r="2693" spans="2:23" s="97" customFormat="1">
      <c r="B2693" s="96"/>
      <c r="H2693" s="96"/>
      <c r="J2693" s="1"/>
      <c r="K2693" s="1"/>
      <c r="L2693" s="1"/>
      <c r="O2693" s="475"/>
      <c r="P2693" s="475"/>
      <c r="Q2693" s="475"/>
      <c r="R2693" s="475"/>
      <c r="S2693" s="475"/>
      <c r="T2693" s="475"/>
      <c r="U2693" s="475"/>
      <c r="V2693" s="475"/>
      <c r="W2693" s="475"/>
    </row>
    <row r="2694" spans="2:23" s="97" customFormat="1">
      <c r="B2694" s="96"/>
      <c r="H2694" s="96"/>
      <c r="J2694" s="1"/>
      <c r="K2694" s="1"/>
      <c r="L2694" s="1"/>
      <c r="O2694" s="475"/>
      <c r="P2694" s="475"/>
      <c r="Q2694" s="475"/>
      <c r="R2694" s="475"/>
      <c r="S2694" s="475"/>
      <c r="T2694" s="475"/>
      <c r="U2694" s="475"/>
      <c r="V2694" s="475"/>
      <c r="W2694" s="475"/>
    </row>
    <row r="2695" spans="2:23" s="97" customFormat="1">
      <c r="B2695" s="96"/>
      <c r="H2695" s="96"/>
      <c r="J2695" s="1"/>
      <c r="K2695" s="1"/>
      <c r="L2695" s="1"/>
      <c r="O2695" s="475"/>
      <c r="P2695" s="475"/>
      <c r="Q2695" s="475"/>
      <c r="R2695" s="475"/>
      <c r="S2695" s="475"/>
      <c r="T2695" s="475"/>
      <c r="U2695" s="475"/>
      <c r="V2695" s="475"/>
      <c r="W2695" s="475"/>
    </row>
    <row r="2696" spans="2:23" s="97" customFormat="1">
      <c r="B2696" s="96"/>
      <c r="H2696" s="96"/>
      <c r="J2696" s="1"/>
      <c r="K2696" s="1"/>
      <c r="L2696" s="1"/>
      <c r="O2696" s="475"/>
      <c r="P2696" s="475"/>
      <c r="Q2696" s="475"/>
      <c r="R2696" s="475"/>
      <c r="S2696" s="475"/>
      <c r="T2696" s="475"/>
      <c r="U2696" s="475"/>
      <c r="V2696" s="475"/>
      <c r="W2696" s="475"/>
    </row>
    <row r="2697" spans="2:23" s="97" customFormat="1">
      <c r="B2697" s="96"/>
      <c r="H2697" s="96"/>
      <c r="J2697" s="1"/>
      <c r="K2697" s="1"/>
      <c r="L2697" s="1"/>
      <c r="O2697" s="475"/>
      <c r="P2697" s="475"/>
      <c r="Q2697" s="475"/>
      <c r="R2697" s="475"/>
      <c r="S2697" s="475"/>
      <c r="T2697" s="475"/>
      <c r="U2697" s="475"/>
      <c r="V2697" s="475"/>
      <c r="W2697" s="475"/>
    </row>
    <row r="2698" spans="2:23" s="97" customFormat="1">
      <c r="B2698" s="96"/>
      <c r="H2698" s="96"/>
      <c r="J2698" s="1"/>
      <c r="K2698" s="1"/>
      <c r="L2698" s="1"/>
      <c r="O2698" s="475"/>
      <c r="P2698" s="475"/>
      <c r="Q2698" s="475"/>
      <c r="R2698" s="475"/>
      <c r="S2698" s="475"/>
      <c r="T2698" s="475"/>
      <c r="U2698" s="475"/>
      <c r="V2698" s="475"/>
      <c r="W2698" s="475"/>
    </row>
    <row r="2699" spans="2:23" s="97" customFormat="1">
      <c r="B2699" s="96"/>
      <c r="H2699" s="96"/>
      <c r="J2699" s="1"/>
      <c r="K2699" s="1"/>
      <c r="L2699" s="1"/>
      <c r="O2699" s="475"/>
      <c r="P2699" s="475"/>
      <c r="Q2699" s="475"/>
      <c r="R2699" s="475"/>
      <c r="S2699" s="475"/>
      <c r="T2699" s="475"/>
      <c r="U2699" s="475"/>
      <c r="V2699" s="475"/>
      <c r="W2699" s="475"/>
    </row>
    <row r="2700" spans="2:23" s="97" customFormat="1">
      <c r="B2700" s="96"/>
      <c r="H2700" s="96"/>
      <c r="J2700" s="1"/>
      <c r="K2700" s="1"/>
      <c r="L2700" s="1"/>
      <c r="O2700" s="475"/>
      <c r="P2700" s="475"/>
      <c r="Q2700" s="475"/>
      <c r="R2700" s="475"/>
      <c r="S2700" s="475"/>
      <c r="T2700" s="475"/>
      <c r="U2700" s="475"/>
      <c r="V2700" s="475"/>
      <c r="W2700" s="475"/>
    </row>
    <row r="2701" spans="2:23" s="97" customFormat="1">
      <c r="B2701" s="96"/>
      <c r="H2701" s="96"/>
      <c r="J2701" s="1"/>
      <c r="K2701" s="1"/>
      <c r="L2701" s="1"/>
      <c r="O2701" s="475"/>
      <c r="P2701" s="475"/>
      <c r="Q2701" s="475"/>
      <c r="R2701" s="475"/>
      <c r="S2701" s="475"/>
      <c r="T2701" s="475"/>
      <c r="U2701" s="475"/>
      <c r="V2701" s="475"/>
      <c r="W2701" s="475"/>
    </row>
    <row r="2702" spans="2:23" s="97" customFormat="1">
      <c r="B2702" s="96"/>
      <c r="H2702" s="96"/>
      <c r="J2702" s="1"/>
      <c r="K2702" s="1"/>
      <c r="L2702" s="1"/>
      <c r="O2702" s="475"/>
      <c r="P2702" s="475"/>
      <c r="Q2702" s="475"/>
      <c r="R2702" s="475"/>
      <c r="S2702" s="475"/>
      <c r="T2702" s="475"/>
      <c r="U2702" s="475"/>
      <c r="V2702" s="475"/>
      <c r="W2702" s="475"/>
    </row>
    <row r="2703" spans="2:23" s="97" customFormat="1">
      <c r="B2703" s="96"/>
      <c r="H2703" s="96"/>
      <c r="J2703" s="1"/>
      <c r="K2703" s="1"/>
      <c r="L2703" s="1"/>
      <c r="O2703" s="475"/>
      <c r="P2703" s="475"/>
      <c r="Q2703" s="475"/>
      <c r="R2703" s="475"/>
      <c r="S2703" s="475"/>
      <c r="T2703" s="475"/>
      <c r="U2703" s="475"/>
      <c r="V2703" s="475"/>
      <c r="W2703" s="475"/>
    </row>
    <row r="2704" spans="2:23" s="97" customFormat="1">
      <c r="B2704" s="96"/>
      <c r="H2704" s="96"/>
      <c r="J2704" s="1"/>
      <c r="K2704" s="1"/>
      <c r="L2704" s="1"/>
      <c r="O2704" s="475"/>
      <c r="P2704" s="475"/>
      <c r="Q2704" s="475"/>
      <c r="R2704" s="475"/>
      <c r="S2704" s="475"/>
      <c r="T2704" s="475"/>
      <c r="U2704" s="475"/>
      <c r="V2704" s="475"/>
      <c r="W2704" s="475"/>
    </row>
    <row r="2705" spans="2:23" s="97" customFormat="1">
      <c r="B2705" s="96"/>
      <c r="H2705" s="96"/>
      <c r="J2705" s="1"/>
      <c r="K2705" s="1"/>
      <c r="L2705" s="1"/>
      <c r="O2705" s="475"/>
      <c r="P2705" s="475"/>
      <c r="Q2705" s="475"/>
      <c r="R2705" s="475"/>
      <c r="S2705" s="475"/>
      <c r="T2705" s="475"/>
      <c r="U2705" s="475"/>
      <c r="V2705" s="475"/>
      <c r="W2705" s="475"/>
    </row>
    <row r="2706" spans="2:23" s="97" customFormat="1">
      <c r="B2706" s="96"/>
      <c r="H2706" s="96"/>
      <c r="J2706" s="1"/>
      <c r="K2706" s="1"/>
      <c r="L2706" s="1"/>
      <c r="O2706" s="475"/>
      <c r="P2706" s="475"/>
      <c r="Q2706" s="475"/>
      <c r="R2706" s="475"/>
      <c r="S2706" s="475"/>
      <c r="T2706" s="475"/>
      <c r="U2706" s="475"/>
      <c r="V2706" s="475"/>
      <c r="W2706" s="475"/>
    </row>
    <row r="2707" spans="2:23" s="97" customFormat="1">
      <c r="B2707" s="96"/>
      <c r="H2707" s="96"/>
      <c r="J2707" s="1"/>
      <c r="K2707" s="1"/>
      <c r="L2707" s="1"/>
      <c r="O2707" s="475"/>
      <c r="P2707" s="475"/>
      <c r="Q2707" s="475"/>
      <c r="R2707" s="475"/>
      <c r="S2707" s="475"/>
      <c r="T2707" s="475"/>
      <c r="U2707" s="475"/>
      <c r="V2707" s="475"/>
      <c r="W2707" s="475"/>
    </row>
    <row r="2708" spans="2:23" s="97" customFormat="1">
      <c r="B2708" s="96"/>
      <c r="H2708" s="96"/>
      <c r="J2708" s="1"/>
      <c r="K2708" s="1"/>
      <c r="L2708" s="1"/>
      <c r="O2708" s="475"/>
      <c r="P2708" s="475"/>
      <c r="Q2708" s="475"/>
      <c r="R2708" s="475"/>
      <c r="S2708" s="475"/>
      <c r="T2708" s="475"/>
      <c r="U2708" s="475"/>
      <c r="V2708" s="475"/>
      <c r="W2708" s="475"/>
    </row>
    <row r="2709" spans="2:23" s="97" customFormat="1">
      <c r="B2709" s="96"/>
      <c r="H2709" s="96"/>
      <c r="J2709" s="1"/>
      <c r="K2709" s="1"/>
      <c r="L2709" s="1"/>
      <c r="O2709" s="475"/>
      <c r="P2709" s="475"/>
      <c r="Q2709" s="475"/>
      <c r="R2709" s="475"/>
      <c r="S2709" s="475"/>
      <c r="T2709" s="475"/>
      <c r="U2709" s="475"/>
      <c r="V2709" s="475"/>
      <c r="W2709" s="475"/>
    </row>
    <row r="2710" spans="2:23" s="97" customFormat="1">
      <c r="B2710" s="96"/>
      <c r="H2710" s="96"/>
      <c r="J2710" s="1"/>
      <c r="K2710" s="1"/>
      <c r="L2710" s="1"/>
      <c r="O2710" s="475"/>
      <c r="P2710" s="475"/>
      <c r="Q2710" s="475"/>
      <c r="R2710" s="475"/>
      <c r="S2710" s="475"/>
      <c r="T2710" s="475"/>
      <c r="U2710" s="475"/>
      <c r="V2710" s="475"/>
      <c r="W2710" s="475"/>
    </row>
    <row r="2711" spans="2:23" s="97" customFormat="1">
      <c r="B2711" s="96"/>
      <c r="H2711" s="96"/>
      <c r="J2711" s="1"/>
      <c r="K2711" s="1"/>
      <c r="L2711" s="1"/>
      <c r="O2711" s="475"/>
      <c r="P2711" s="475"/>
      <c r="Q2711" s="475"/>
      <c r="R2711" s="475"/>
      <c r="S2711" s="475"/>
      <c r="T2711" s="475"/>
      <c r="U2711" s="475"/>
      <c r="V2711" s="475"/>
      <c r="W2711" s="475"/>
    </row>
    <row r="2712" spans="2:23" s="97" customFormat="1">
      <c r="B2712" s="96"/>
      <c r="H2712" s="96"/>
      <c r="J2712" s="1"/>
      <c r="K2712" s="1"/>
      <c r="L2712" s="1"/>
      <c r="O2712" s="475"/>
      <c r="P2712" s="475"/>
      <c r="Q2712" s="475"/>
      <c r="R2712" s="475"/>
      <c r="S2712" s="475"/>
      <c r="T2712" s="475"/>
      <c r="U2712" s="475"/>
      <c r="V2712" s="475"/>
      <c r="W2712" s="475"/>
    </row>
    <row r="2713" spans="2:23" s="97" customFormat="1">
      <c r="B2713" s="96"/>
      <c r="H2713" s="96"/>
      <c r="J2713" s="1"/>
      <c r="K2713" s="1"/>
      <c r="L2713" s="1"/>
      <c r="O2713" s="475"/>
      <c r="P2713" s="475"/>
      <c r="Q2713" s="475"/>
      <c r="R2713" s="475"/>
      <c r="S2713" s="475"/>
      <c r="T2713" s="475"/>
      <c r="U2713" s="475"/>
      <c r="V2713" s="475"/>
      <c r="W2713" s="475"/>
    </row>
    <row r="2714" spans="2:23" s="97" customFormat="1">
      <c r="B2714" s="96"/>
      <c r="H2714" s="96"/>
      <c r="J2714" s="1"/>
      <c r="K2714" s="1"/>
      <c r="L2714" s="1"/>
      <c r="O2714" s="475"/>
      <c r="P2714" s="475"/>
      <c r="Q2714" s="475"/>
      <c r="R2714" s="475"/>
      <c r="S2714" s="475"/>
      <c r="T2714" s="475"/>
      <c r="U2714" s="475"/>
      <c r="V2714" s="475"/>
      <c r="W2714" s="475"/>
    </row>
    <row r="2715" spans="2:23" s="97" customFormat="1">
      <c r="B2715" s="96"/>
      <c r="H2715" s="96"/>
      <c r="J2715" s="1"/>
      <c r="K2715" s="1"/>
      <c r="L2715" s="1"/>
      <c r="O2715" s="475"/>
      <c r="P2715" s="475"/>
      <c r="Q2715" s="475"/>
      <c r="R2715" s="475"/>
      <c r="S2715" s="475"/>
      <c r="T2715" s="475"/>
      <c r="U2715" s="475"/>
      <c r="V2715" s="475"/>
      <c r="W2715" s="475"/>
    </row>
    <row r="2716" spans="2:23" s="97" customFormat="1">
      <c r="B2716" s="96"/>
      <c r="H2716" s="96"/>
      <c r="J2716" s="1"/>
      <c r="K2716" s="1"/>
      <c r="L2716" s="1"/>
      <c r="O2716" s="475"/>
      <c r="P2716" s="475"/>
      <c r="Q2716" s="475"/>
      <c r="R2716" s="475"/>
      <c r="S2716" s="475"/>
      <c r="T2716" s="475"/>
      <c r="U2716" s="475"/>
      <c r="V2716" s="475"/>
      <c r="W2716" s="475"/>
    </row>
    <row r="2717" spans="2:23" s="97" customFormat="1">
      <c r="B2717" s="96"/>
      <c r="H2717" s="96"/>
      <c r="J2717" s="1"/>
      <c r="K2717" s="1"/>
      <c r="L2717" s="1"/>
      <c r="O2717" s="475"/>
      <c r="P2717" s="475"/>
      <c r="Q2717" s="475"/>
      <c r="R2717" s="475"/>
      <c r="S2717" s="475"/>
      <c r="T2717" s="475"/>
      <c r="U2717" s="475"/>
      <c r="V2717" s="475"/>
      <c r="W2717" s="475"/>
    </row>
    <row r="2718" spans="2:23" s="97" customFormat="1">
      <c r="B2718" s="96"/>
      <c r="H2718" s="96"/>
      <c r="J2718" s="1"/>
      <c r="K2718" s="1"/>
      <c r="L2718" s="1"/>
      <c r="O2718" s="475"/>
      <c r="P2718" s="475"/>
      <c r="Q2718" s="475"/>
      <c r="R2718" s="475"/>
      <c r="S2718" s="475"/>
      <c r="T2718" s="475"/>
      <c r="U2718" s="475"/>
      <c r="V2718" s="475"/>
      <c r="W2718" s="475"/>
    </row>
    <row r="2719" spans="2:23" s="97" customFormat="1">
      <c r="B2719" s="96"/>
      <c r="H2719" s="96"/>
      <c r="J2719" s="1"/>
      <c r="K2719" s="1"/>
      <c r="L2719" s="1"/>
      <c r="O2719" s="475"/>
      <c r="P2719" s="475"/>
      <c r="Q2719" s="475"/>
      <c r="R2719" s="475"/>
      <c r="S2719" s="475"/>
      <c r="T2719" s="475"/>
      <c r="U2719" s="475"/>
      <c r="V2719" s="475"/>
      <c r="W2719" s="475"/>
    </row>
    <row r="2720" spans="2:23" s="97" customFormat="1">
      <c r="B2720" s="96"/>
      <c r="H2720" s="96"/>
      <c r="J2720" s="1"/>
      <c r="K2720" s="1"/>
      <c r="L2720" s="1"/>
      <c r="O2720" s="475"/>
      <c r="P2720" s="475"/>
      <c r="Q2720" s="475"/>
      <c r="R2720" s="475"/>
      <c r="S2720" s="475"/>
      <c r="T2720" s="475"/>
      <c r="U2720" s="475"/>
      <c r="V2720" s="475"/>
      <c r="W2720" s="475"/>
    </row>
    <row r="2721" spans="2:23" s="97" customFormat="1">
      <c r="B2721" s="96"/>
      <c r="H2721" s="96"/>
      <c r="J2721" s="1"/>
      <c r="K2721" s="1"/>
      <c r="L2721" s="1"/>
      <c r="O2721" s="475"/>
      <c r="P2721" s="475"/>
      <c r="Q2721" s="475"/>
      <c r="R2721" s="475"/>
      <c r="S2721" s="475"/>
      <c r="T2721" s="475"/>
      <c r="U2721" s="475"/>
      <c r="V2721" s="475"/>
      <c r="W2721" s="475"/>
    </row>
    <row r="2722" spans="2:23" s="97" customFormat="1">
      <c r="B2722" s="96"/>
      <c r="H2722" s="96"/>
      <c r="J2722" s="1"/>
      <c r="K2722" s="1"/>
      <c r="L2722" s="1"/>
      <c r="O2722" s="475"/>
      <c r="P2722" s="475"/>
      <c r="Q2722" s="475"/>
      <c r="R2722" s="475"/>
      <c r="S2722" s="475"/>
      <c r="T2722" s="475"/>
      <c r="U2722" s="475"/>
      <c r="V2722" s="475"/>
      <c r="W2722" s="475"/>
    </row>
    <row r="2723" spans="2:23" s="97" customFormat="1">
      <c r="B2723" s="96"/>
      <c r="H2723" s="96"/>
      <c r="J2723" s="1"/>
      <c r="K2723" s="1"/>
      <c r="L2723" s="1"/>
      <c r="O2723" s="475"/>
      <c r="P2723" s="475"/>
      <c r="Q2723" s="475"/>
      <c r="R2723" s="475"/>
      <c r="S2723" s="475"/>
      <c r="T2723" s="475"/>
      <c r="U2723" s="475"/>
      <c r="V2723" s="475"/>
      <c r="W2723" s="475"/>
    </row>
    <row r="2724" spans="2:23" s="97" customFormat="1">
      <c r="B2724" s="96"/>
      <c r="H2724" s="96"/>
      <c r="J2724" s="1"/>
      <c r="K2724" s="1"/>
      <c r="L2724" s="1"/>
      <c r="O2724" s="475"/>
      <c r="P2724" s="475"/>
      <c r="Q2724" s="475"/>
      <c r="R2724" s="475"/>
      <c r="S2724" s="475"/>
      <c r="T2724" s="475"/>
      <c r="U2724" s="475"/>
      <c r="V2724" s="475"/>
      <c r="W2724" s="475"/>
    </row>
    <row r="2725" spans="2:23" s="97" customFormat="1">
      <c r="B2725" s="96"/>
      <c r="H2725" s="96"/>
      <c r="J2725" s="1"/>
      <c r="K2725" s="1"/>
      <c r="L2725" s="1"/>
      <c r="O2725" s="475"/>
      <c r="P2725" s="475"/>
      <c r="Q2725" s="475"/>
      <c r="R2725" s="475"/>
      <c r="S2725" s="475"/>
      <c r="T2725" s="475"/>
      <c r="U2725" s="475"/>
      <c r="V2725" s="475"/>
      <c r="W2725" s="475"/>
    </row>
    <row r="2726" spans="2:23" s="97" customFormat="1">
      <c r="B2726" s="96"/>
      <c r="H2726" s="96"/>
      <c r="J2726" s="1"/>
      <c r="K2726" s="1"/>
      <c r="L2726" s="1"/>
      <c r="O2726" s="475"/>
      <c r="P2726" s="475"/>
      <c r="Q2726" s="475"/>
      <c r="R2726" s="475"/>
      <c r="S2726" s="475"/>
      <c r="T2726" s="475"/>
      <c r="U2726" s="475"/>
      <c r="V2726" s="475"/>
      <c r="W2726" s="475"/>
    </row>
    <row r="2727" spans="2:23" s="97" customFormat="1">
      <c r="B2727" s="96"/>
      <c r="H2727" s="96"/>
      <c r="J2727" s="1"/>
      <c r="K2727" s="1"/>
      <c r="L2727" s="1"/>
      <c r="O2727" s="475"/>
      <c r="P2727" s="475"/>
      <c r="Q2727" s="475"/>
      <c r="R2727" s="475"/>
      <c r="S2727" s="475"/>
      <c r="T2727" s="475"/>
      <c r="U2727" s="475"/>
      <c r="V2727" s="475"/>
      <c r="W2727" s="475"/>
    </row>
    <row r="2728" spans="2:23" s="97" customFormat="1">
      <c r="B2728" s="96"/>
      <c r="H2728" s="96"/>
      <c r="J2728" s="1"/>
      <c r="K2728" s="1"/>
      <c r="L2728" s="1"/>
      <c r="O2728" s="475"/>
      <c r="P2728" s="475"/>
      <c r="Q2728" s="475"/>
      <c r="R2728" s="475"/>
      <c r="S2728" s="475"/>
      <c r="T2728" s="475"/>
      <c r="U2728" s="475"/>
      <c r="V2728" s="475"/>
      <c r="W2728" s="475"/>
    </row>
    <row r="2729" spans="2:23" s="97" customFormat="1">
      <c r="B2729" s="96"/>
      <c r="H2729" s="96"/>
      <c r="J2729" s="1"/>
      <c r="K2729" s="1"/>
      <c r="L2729" s="1"/>
      <c r="O2729" s="475"/>
      <c r="P2729" s="475"/>
      <c r="Q2729" s="475"/>
      <c r="R2729" s="475"/>
      <c r="S2729" s="475"/>
      <c r="T2729" s="475"/>
      <c r="U2729" s="475"/>
      <c r="V2729" s="475"/>
      <c r="W2729" s="475"/>
    </row>
    <row r="2730" spans="2:23" s="97" customFormat="1">
      <c r="B2730" s="96"/>
      <c r="H2730" s="96"/>
      <c r="J2730" s="1"/>
      <c r="K2730" s="1"/>
      <c r="L2730" s="1"/>
      <c r="O2730" s="475"/>
      <c r="P2730" s="475"/>
      <c r="Q2730" s="475"/>
      <c r="R2730" s="475"/>
      <c r="S2730" s="475"/>
      <c r="T2730" s="475"/>
      <c r="U2730" s="475"/>
      <c r="V2730" s="475"/>
      <c r="W2730" s="475"/>
    </row>
    <row r="2731" spans="2:23" s="97" customFormat="1">
      <c r="B2731" s="96"/>
      <c r="H2731" s="96"/>
      <c r="J2731" s="1"/>
      <c r="K2731" s="1"/>
      <c r="L2731" s="1"/>
      <c r="O2731" s="475"/>
      <c r="P2731" s="475"/>
      <c r="Q2731" s="475"/>
      <c r="R2731" s="475"/>
      <c r="S2731" s="475"/>
      <c r="T2731" s="475"/>
      <c r="U2731" s="475"/>
      <c r="V2731" s="475"/>
      <c r="W2731" s="475"/>
    </row>
    <row r="2732" spans="2:23" s="97" customFormat="1">
      <c r="B2732" s="96"/>
      <c r="H2732" s="96"/>
      <c r="J2732" s="1"/>
      <c r="K2732" s="1"/>
      <c r="L2732" s="1"/>
      <c r="O2732" s="475"/>
      <c r="P2732" s="475"/>
      <c r="Q2732" s="475"/>
      <c r="R2732" s="475"/>
      <c r="S2732" s="475"/>
      <c r="T2732" s="475"/>
      <c r="U2732" s="475"/>
      <c r="V2732" s="475"/>
      <c r="W2732" s="475"/>
    </row>
    <row r="2733" spans="2:23" s="97" customFormat="1">
      <c r="B2733" s="96"/>
      <c r="H2733" s="96"/>
      <c r="J2733" s="1"/>
      <c r="K2733" s="1"/>
      <c r="L2733" s="1"/>
      <c r="O2733" s="475"/>
      <c r="P2733" s="475"/>
      <c r="Q2733" s="475"/>
      <c r="R2733" s="475"/>
      <c r="S2733" s="475"/>
      <c r="T2733" s="475"/>
      <c r="U2733" s="475"/>
      <c r="V2733" s="475"/>
      <c r="W2733" s="475"/>
    </row>
    <row r="2734" spans="2:23" s="97" customFormat="1">
      <c r="B2734" s="96"/>
      <c r="H2734" s="96"/>
      <c r="J2734" s="1"/>
      <c r="K2734" s="1"/>
      <c r="L2734" s="1"/>
      <c r="O2734" s="475"/>
      <c r="P2734" s="475"/>
      <c r="Q2734" s="475"/>
      <c r="R2734" s="475"/>
      <c r="S2734" s="475"/>
      <c r="T2734" s="475"/>
      <c r="U2734" s="475"/>
      <c r="V2734" s="475"/>
      <c r="W2734" s="475"/>
    </row>
    <row r="2735" spans="2:23" s="97" customFormat="1">
      <c r="B2735" s="96"/>
      <c r="H2735" s="96"/>
      <c r="J2735" s="1"/>
      <c r="K2735" s="1"/>
      <c r="L2735" s="1"/>
      <c r="O2735" s="475"/>
      <c r="P2735" s="475"/>
      <c r="Q2735" s="475"/>
      <c r="R2735" s="475"/>
      <c r="S2735" s="475"/>
      <c r="T2735" s="475"/>
      <c r="U2735" s="475"/>
      <c r="V2735" s="475"/>
      <c r="W2735" s="475"/>
    </row>
    <row r="2736" spans="2:23" s="97" customFormat="1">
      <c r="B2736" s="96"/>
      <c r="H2736" s="96"/>
      <c r="J2736" s="1"/>
      <c r="K2736" s="1"/>
      <c r="L2736" s="1"/>
      <c r="O2736" s="475"/>
      <c r="P2736" s="475"/>
      <c r="Q2736" s="475"/>
      <c r="R2736" s="475"/>
      <c r="S2736" s="475"/>
      <c r="T2736" s="475"/>
      <c r="U2736" s="475"/>
      <c r="V2736" s="475"/>
      <c r="W2736" s="475"/>
    </row>
    <row r="2737" spans="2:23" s="97" customFormat="1">
      <c r="B2737" s="96"/>
      <c r="H2737" s="96"/>
      <c r="J2737" s="1"/>
      <c r="K2737" s="1"/>
      <c r="L2737" s="1"/>
      <c r="O2737" s="475"/>
      <c r="P2737" s="475"/>
      <c r="Q2737" s="475"/>
      <c r="R2737" s="475"/>
      <c r="S2737" s="475"/>
      <c r="T2737" s="475"/>
      <c r="U2737" s="475"/>
      <c r="V2737" s="475"/>
      <c r="W2737" s="475"/>
    </row>
    <row r="2738" spans="2:23" s="97" customFormat="1">
      <c r="B2738" s="96"/>
      <c r="H2738" s="96"/>
      <c r="J2738" s="1"/>
      <c r="K2738" s="1"/>
      <c r="L2738" s="1"/>
      <c r="O2738" s="475"/>
      <c r="P2738" s="475"/>
      <c r="Q2738" s="475"/>
      <c r="R2738" s="475"/>
      <c r="S2738" s="475"/>
      <c r="T2738" s="475"/>
      <c r="U2738" s="475"/>
      <c r="V2738" s="475"/>
      <c r="W2738" s="475"/>
    </row>
    <row r="2739" spans="2:23" s="97" customFormat="1">
      <c r="B2739" s="96"/>
      <c r="H2739" s="96"/>
      <c r="J2739" s="1"/>
      <c r="K2739" s="1"/>
      <c r="L2739" s="1"/>
      <c r="O2739" s="475"/>
      <c r="P2739" s="475"/>
      <c r="Q2739" s="475"/>
      <c r="R2739" s="475"/>
      <c r="S2739" s="475"/>
      <c r="T2739" s="475"/>
      <c r="U2739" s="475"/>
      <c r="V2739" s="475"/>
      <c r="W2739" s="475"/>
    </row>
    <row r="2740" spans="2:23" s="97" customFormat="1">
      <c r="B2740" s="96"/>
      <c r="H2740" s="96"/>
      <c r="J2740" s="1"/>
      <c r="K2740" s="1"/>
      <c r="L2740" s="1"/>
      <c r="O2740" s="475"/>
      <c r="P2740" s="475"/>
      <c r="Q2740" s="475"/>
      <c r="R2740" s="475"/>
      <c r="S2740" s="475"/>
      <c r="T2740" s="475"/>
      <c r="U2740" s="475"/>
      <c r="V2740" s="475"/>
      <c r="W2740" s="475"/>
    </row>
    <row r="2741" spans="2:23" s="97" customFormat="1">
      <c r="B2741" s="96"/>
      <c r="H2741" s="96"/>
      <c r="J2741" s="1"/>
      <c r="K2741" s="1"/>
      <c r="L2741" s="1"/>
      <c r="O2741" s="475"/>
      <c r="P2741" s="475"/>
      <c r="Q2741" s="475"/>
      <c r="R2741" s="475"/>
      <c r="S2741" s="475"/>
      <c r="T2741" s="475"/>
      <c r="U2741" s="475"/>
      <c r="V2741" s="475"/>
      <c r="W2741" s="475"/>
    </row>
    <row r="2742" spans="2:23" s="97" customFormat="1">
      <c r="B2742" s="96"/>
      <c r="H2742" s="96"/>
      <c r="J2742" s="1"/>
      <c r="K2742" s="1"/>
      <c r="L2742" s="1"/>
      <c r="O2742" s="475"/>
      <c r="P2742" s="475"/>
      <c r="Q2742" s="475"/>
      <c r="R2742" s="475"/>
      <c r="S2742" s="475"/>
      <c r="T2742" s="475"/>
      <c r="U2742" s="475"/>
      <c r="V2742" s="475"/>
      <c r="W2742" s="475"/>
    </row>
    <row r="2743" spans="2:23" s="97" customFormat="1">
      <c r="B2743" s="96"/>
      <c r="H2743" s="96"/>
      <c r="J2743" s="1"/>
      <c r="K2743" s="1"/>
      <c r="L2743" s="1"/>
      <c r="O2743" s="475"/>
      <c r="P2743" s="475"/>
      <c r="Q2743" s="475"/>
      <c r="R2743" s="475"/>
      <c r="S2743" s="475"/>
      <c r="T2743" s="475"/>
      <c r="U2743" s="475"/>
      <c r="V2743" s="475"/>
      <c r="W2743" s="475"/>
    </row>
    <row r="2744" spans="2:23" s="97" customFormat="1">
      <c r="B2744" s="96"/>
      <c r="H2744" s="96"/>
      <c r="J2744" s="1"/>
      <c r="K2744" s="1"/>
      <c r="L2744" s="1"/>
      <c r="O2744" s="475"/>
      <c r="P2744" s="475"/>
      <c r="Q2744" s="475"/>
      <c r="R2744" s="475"/>
      <c r="S2744" s="475"/>
      <c r="T2744" s="475"/>
      <c r="U2744" s="475"/>
      <c r="V2744" s="475"/>
      <c r="W2744" s="475"/>
    </row>
    <row r="2745" spans="2:23" s="97" customFormat="1">
      <c r="B2745" s="96"/>
      <c r="H2745" s="96"/>
      <c r="J2745" s="1"/>
      <c r="K2745" s="1"/>
      <c r="L2745" s="1"/>
      <c r="O2745" s="475"/>
      <c r="P2745" s="475"/>
      <c r="Q2745" s="475"/>
      <c r="R2745" s="475"/>
      <c r="S2745" s="475"/>
      <c r="T2745" s="475"/>
      <c r="U2745" s="475"/>
      <c r="V2745" s="475"/>
      <c r="W2745" s="475"/>
    </row>
    <row r="2746" spans="2:23" s="97" customFormat="1">
      <c r="B2746" s="96"/>
      <c r="H2746" s="96"/>
      <c r="J2746" s="1"/>
      <c r="K2746" s="1"/>
      <c r="L2746" s="1"/>
      <c r="O2746" s="475"/>
      <c r="P2746" s="475"/>
      <c r="Q2746" s="475"/>
      <c r="R2746" s="475"/>
      <c r="S2746" s="475"/>
      <c r="T2746" s="475"/>
      <c r="U2746" s="475"/>
      <c r="V2746" s="475"/>
      <c r="W2746" s="475"/>
    </row>
    <row r="2747" spans="2:23" s="97" customFormat="1">
      <c r="B2747" s="96"/>
      <c r="H2747" s="96"/>
      <c r="J2747" s="1"/>
      <c r="K2747" s="1"/>
      <c r="L2747" s="1"/>
      <c r="O2747" s="475"/>
      <c r="P2747" s="475"/>
      <c r="Q2747" s="475"/>
      <c r="R2747" s="475"/>
      <c r="S2747" s="475"/>
      <c r="T2747" s="475"/>
      <c r="U2747" s="475"/>
      <c r="V2747" s="475"/>
      <c r="W2747" s="475"/>
    </row>
    <row r="2748" spans="2:23" s="97" customFormat="1">
      <c r="B2748" s="96"/>
      <c r="H2748" s="96"/>
      <c r="J2748" s="1"/>
      <c r="K2748" s="1"/>
      <c r="L2748" s="1"/>
      <c r="O2748" s="475"/>
      <c r="P2748" s="475"/>
      <c r="Q2748" s="475"/>
      <c r="R2748" s="475"/>
      <c r="S2748" s="475"/>
      <c r="T2748" s="475"/>
      <c r="U2748" s="475"/>
      <c r="V2748" s="475"/>
      <c r="W2748" s="475"/>
    </row>
    <row r="2749" spans="2:23" s="97" customFormat="1">
      <c r="B2749" s="96"/>
      <c r="H2749" s="96"/>
      <c r="J2749" s="1"/>
      <c r="K2749" s="1"/>
      <c r="L2749" s="1"/>
      <c r="O2749" s="475"/>
      <c r="P2749" s="475"/>
      <c r="Q2749" s="475"/>
      <c r="R2749" s="475"/>
      <c r="S2749" s="475"/>
      <c r="T2749" s="475"/>
      <c r="U2749" s="475"/>
      <c r="V2749" s="475"/>
      <c r="W2749" s="475"/>
    </row>
    <row r="2750" spans="2:23" s="97" customFormat="1">
      <c r="B2750" s="96"/>
      <c r="H2750" s="96"/>
      <c r="J2750" s="1"/>
      <c r="K2750" s="1"/>
      <c r="L2750" s="1"/>
      <c r="O2750" s="475"/>
      <c r="P2750" s="475"/>
      <c r="Q2750" s="475"/>
      <c r="R2750" s="475"/>
      <c r="S2750" s="475"/>
      <c r="T2750" s="475"/>
      <c r="U2750" s="475"/>
      <c r="V2750" s="475"/>
      <c r="W2750" s="475"/>
    </row>
    <row r="2751" spans="2:23" s="97" customFormat="1">
      <c r="B2751" s="96"/>
      <c r="H2751" s="96"/>
      <c r="J2751" s="1"/>
      <c r="K2751" s="1"/>
      <c r="L2751" s="1"/>
      <c r="O2751" s="475"/>
      <c r="P2751" s="475"/>
      <c r="Q2751" s="475"/>
      <c r="R2751" s="475"/>
      <c r="S2751" s="475"/>
      <c r="T2751" s="475"/>
      <c r="U2751" s="475"/>
      <c r="V2751" s="475"/>
      <c r="W2751" s="475"/>
    </row>
    <row r="2752" spans="2:23" s="97" customFormat="1">
      <c r="B2752" s="96"/>
      <c r="H2752" s="96"/>
      <c r="J2752" s="1"/>
      <c r="K2752" s="1"/>
      <c r="L2752" s="1"/>
      <c r="O2752" s="475"/>
      <c r="P2752" s="475"/>
      <c r="Q2752" s="475"/>
      <c r="R2752" s="475"/>
      <c r="S2752" s="475"/>
      <c r="T2752" s="475"/>
      <c r="U2752" s="475"/>
      <c r="V2752" s="475"/>
      <c r="W2752" s="475"/>
    </row>
    <row r="2753" spans="2:23" s="97" customFormat="1">
      <c r="B2753" s="96"/>
      <c r="H2753" s="96"/>
      <c r="J2753" s="1"/>
      <c r="K2753" s="1"/>
      <c r="L2753" s="1"/>
      <c r="O2753" s="475"/>
      <c r="P2753" s="475"/>
      <c r="Q2753" s="475"/>
      <c r="R2753" s="475"/>
      <c r="S2753" s="475"/>
      <c r="T2753" s="475"/>
      <c r="U2753" s="475"/>
      <c r="V2753" s="475"/>
      <c r="W2753" s="475"/>
    </row>
    <row r="2754" spans="2:23" s="97" customFormat="1">
      <c r="B2754" s="96"/>
      <c r="H2754" s="96"/>
      <c r="J2754" s="1"/>
      <c r="K2754" s="1"/>
      <c r="L2754" s="1"/>
      <c r="O2754" s="475"/>
      <c r="P2754" s="475"/>
      <c r="Q2754" s="475"/>
      <c r="R2754" s="475"/>
      <c r="S2754" s="475"/>
      <c r="T2754" s="475"/>
      <c r="U2754" s="475"/>
      <c r="V2754" s="475"/>
      <c r="W2754" s="475"/>
    </row>
    <row r="2755" spans="2:23" s="97" customFormat="1">
      <c r="B2755" s="96"/>
      <c r="H2755" s="96"/>
      <c r="J2755" s="1"/>
      <c r="K2755" s="1"/>
      <c r="L2755" s="1"/>
      <c r="O2755" s="475"/>
      <c r="P2755" s="475"/>
      <c r="Q2755" s="475"/>
      <c r="R2755" s="475"/>
      <c r="S2755" s="475"/>
      <c r="T2755" s="475"/>
      <c r="U2755" s="475"/>
      <c r="V2755" s="475"/>
      <c r="W2755" s="475"/>
    </row>
    <row r="2756" spans="2:23" s="97" customFormat="1">
      <c r="B2756" s="96"/>
      <c r="H2756" s="96"/>
      <c r="J2756" s="1"/>
      <c r="K2756" s="1"/>
      <c r="L2756" s="1"/>
      <c r="O2756" s="475"/>
      <c r="P2756" s="475"/>
      <c r="Q2756" s="475"/>
      <c r="R2756" s="475"/>
      <c r="S2756" s="475"/>
      <c r="T2756" s="475"/>
      <c r="U2756" s="475"/>
      <c r="V2756" s="475"/>
      <c r="W2756" s="475"/>
    </row>
    <row r="2757" spans="2:23" s="97" customFormat="1">
      <c r="B2757" s="96"/>
      <c r="H2757" s="96"/>
      <c r="J2757" s="1"/>
      <c r="K2757" s="1"/>
      <c r="L2757" s="1"/>
      <c r="O2757" s="475"/>
      <c r="P2757" s="475"/>
      <c r="Q2757" s="475"/>
      <c r="R2757" s="475"/>
      <c r="S2757" s="475"/>
      <c r="T2757" s="475"/>
      <c r="U2757" s="475"/>
      <c r="V2757" s="475"/>
      <c r="W2757" s="475"/>
    </row>
    <row r="2758" spans="2:23" s="97" customFormat="1">
      <c r="B2758" s="96"/>
      <c r="H2758" s="96"/>
      <c r="J2758" s="1"/>
      <c r="K2758" s="1"/>
      <c r="L2758" s="1"/>
      <c r="O2758" s="475"/>
      <c r="P2758" s="475"/>
      <c r="Q2758" s="475"/>
      <c r="R2758" s="475"/>
      <c r="S2758" s="475"/>
      <c r="T2758" s="475"/>
      <c r="U2758" s="475"/>
      <c r="V2758" s="475"/>
      <c r="W2758" s="475"/>
    </row>
    <row r="2759" spans="2:23" s="97" customFormat="1">
      <c r="B2759" s="96"/>
      <c r="H2759" s="96"/>
      <c r="J2759" s="1"/>
      <c r="K2759" s="1"/>
      <c r="L2759" s="1"/>
      <c r="O2759" s="475"/>
      <c r="P2759" s="475"/>
      <c r="Q2759" s="475"/>
      <c r="R2759" s="475"/>
      <c r="S2759" s="475"/>
      <c r="T2759" s="475"/>
      <c r="U2759" s="475"/>
      <c r="V2759" s="475"/>
      <c r="W2759" s="475"/>
    </row>
    <row r="2760" spans="2:23" s="97" customFormat="1">
      <c r="B2760" s="96"/>
      <c r="H2760" s="96"/>
      <c r="J2760" s="1"/>
      <c r="K2760" s="1"/>
      <c r="L2760" s="1"/>
      <c r="O2760" s="475"/>
      <c r="P2760" s="475"/>
      <c r="Q2760" s="475"/>
      <c r="R2760" s="475"/>
      <c r="S2760" s="475"/>
      <c r="T2760" s="475"/>
      <c r="U2760" s="475"/>
      <c r="V2760" s="475"/>
      <c r="W2760" s="475"/>
    </row>
    <row r="2761" spans="2:23" s="97" customFormat="1">
      <c r="B2761" s="96"/>
      <c r="H2761" s="96"/>
      <c r="J2761" s="1"/>
      <c r="K2761" s="1"/>
      <c r="L2761" s="1"/>
      <c r="O2761" s="475"/>
      <c r="P2761" s="475"/>
      <c r="Q2761" s="475"/>
      <c r="R2761" s="475"/>
      <c r="S2761" s="475"/>
      <c r="T2761" s="475"/>
      <c r="U2761" s="475"/>
      <c r="V2761" s="475"/>
      <c r="W2761" s="475"/>
    </row>
    <row r="2762" spans="2:23" s="97" customFormat="1">
      <c r="B2762" s="96"/>
      <c r="H2762" s="96"/>
      <c r="J2762" s="1"/>
      <c r="K2762" s="1"/>
      <c r="L2762" s="1"/>
      <c r="O2762" s="475"/>
      <c r="P2762" s="475"/>
      <c r="Q2762" s="475"/>
      <c r="R2762" s="475"/>
      <c r="S2762" s="475"/>
      <c r="T2762" s="475"/>
      <c r="U2762" s="475"/>
      <c r="V2762" s="475"/>
      <c r="W2762" s="475"/>
    </row>
    <row r="2763" spans="2:23" s="97" customFormat="1">
      <c r="B2763" s="96"/>
      <c r="H2763" s="96"/>
      <c r="J2763" s="1"/>
      <c r="K2763" s="1"/>
      <c r="L2763" s="1"/>
      <c r="O2763" s="475"/>
      <c r="P2763" s="475"/>
      <c r="Q2763" s="475"/>
      <c r="R2763" s="475"/>
      <c r="S2763" s="475"/>
      <c r="T2763" s="475"/>
      <c r="U2763" s="475"/>
      <c r="V2763" s="475"/>
      <c r="W2763" s="475"/>
    </row>
    <row r="2764" spans="2:23" s="97" customFormat="1">
      <c r="B2764" s="96"/>
      <c r="H2764" s="96"/>
      <c r="J2764" s="1"/>
      <c r="K2764" s="1"/>
      <c r="L2764" s="1"/>
      <c r="O2764" s="475"/>
      <c r="P2764" s="475"/>
      <c r="Q2764" s="475"/>
      <c r="R2764" s="475"/>
      <c r="S2764" s="475"/>
      <c r="T2764" s="475"/>
      <c r="U2764" s="475"/>
      <c r="V2764" s="475"/>
      <c r="W2764" s="475"/>
    </row>
    <row r="2765" spans="2:23" s="97" customFormat="1">
      <c r="B2765" s="96"/>
      <c r="H2765" s="96"/>
      <c r="J2765" s="1"/>
      <c r="K2765" s="1"/>
      <c r="L2765" s="1"/>
      <c r="O2765" s="475"/>
      <c r="P2765" s="475"/>
      <c r="Q2765" s="475"/>
      <c r="R2765" s="475"/>
      <c r="S2765" s="475"/>
      <c r="T2765" s="475"/>
      <c r="U2765" s="475"/>
      <c r="V2765" s="475"/>
      <c r="W2765" s="475"/>
    </row>
    <row r="2766" spans="2:23" s="97" customFormat="1">
      <c r="B2766" s="96"/>
      <c r="H2766" s="96"/>
      <c r="J2766" s="1"/>
      <c r="K2766" s="1"/>
      <c r="L2766" s="1"/>
      <c r="O2766" s="475"/>
      <c r="P2766" s="475"/>
      <c r="Q2766" s="475"/>
      <c r="R2766" s="475"/>
      <c r="S2766" s="475"/>
      <c r="T2766" s="475"/>
      <c r="U2766" s="475"/>
      <c r="V2766" s="475"/>
      <c r="W2766" s="475"/>
    </row>
    <row r="2767" spans="2:23" s="97" customFormat="1">
      <c r="B2767" s="96"/>
      <c r="H2767" s="96"/>
      <c r="J2767" s="1"/>
      <c r="K2767" s="1"/>
      <c r="L2767" s="1"/>
      <c r="O2767" s="475"/>
      <c r="P2767" s="475"/>
      <c r="Q2767" s="475"/>
      <c r="R2767" s="475"/>
      <c r="S2767" s="475"/>
      <c r="T2767" s="475"/>
      <c r="U2767" s="475"/>
      <c r="V2767" s="475"/>
      <c r="W2767" s="475"/>
    </row>
    <row r="2768" spans="2:23" s="97" customFormat="1">
      <c r="B2768" s="96"/>
      <c r="H2768" s="96"/>
      <c r="J2768" s="1"/>
      <c r="K2768" s="1"/>
      <c r="L2768" s="1"/>
      <c r="O2768" s="475"/>
      <c r="P2768" s="475"/>
      <c r="Q2768" s="475"/>
      <c r="R2768" s="475"/>
      <c r="S2768" s="475"/>
      <c r="T2768" s="475"/>
      <c r="U2768" s="475"/>
      <c r="V2768" s="475"/>
      <c r="W2768" s="475"/>
    </row>
    <row r="2769" spans="2:23" s="97" customFormat="1">
      <c r="B2769" s="96"/>
      <c r="H2769" s="96"/>
      <c r="J2769" s="1"/>
      <c r="K2769" s="1"/>
      <c r="L2769" s="1"/>
      <c r="O2769" s="475"/>
      <c r="P2769" s="475"/>
      <c r="Q2769" s="475"/>
      <c r="R2769" s="475"/>
      <c r="S2769" s="475"/>
      <c r="T2769" s="475"/>
      <c r="U2769" s="475"/>
      <c r="V2769" s="475"/>
      <c r="W2769" s="475"/>
    </row>
    <row r="2770" spans="2:23" s="97" customFormat="1">
      <c r="B2770" s="96"/>
      <c r="H2770" s="96"/>
      <c r="J2770" s="1"/>
      <c r="K2770" s="1"/>
      <c r="L2770" s="1"/>
      <c r="O2770" s="475"/>
      <c r="P2770" s="475"/>
      <c r="Q2770" s="475"/>
      <c r="R2770" s="475"/>
      <c r="S2770" s="475"/>
      <c r="T2770" s="475"/>
      <c r="U2770" s="475"/>
      <c r="V2770" s="475"/>
      <c r="W2770" s="475"/>
    </row>
    <row r="2771" spans="2:23" s="97" customFormat="1">
      <c r="B2771" s="96"/>
      <c r="H2771" s="96"/>
      <c r="J2771" s="1"/>
      <c r="K2771" s="1"/>
      <c r="L2771" s="1"/>
      <c r="O2771" s="475"/>
      <c r="P2771" s="475"/>
      <c r="Q2771" s="475"/>
      <c r="R2771" s="475"/>
      <c r="S2771" s="475"/>
      <c r="T2771" s="475"/>
      <c r="U2771" s="475"/>
      <c r="V2771" s="475"/>
      <c r="W2771" s="475"/>
    </row>
    <row r="2772" spans="2:23" s="97" customFormat="1">
      <c r="B2772" s="96"/>
      <c r="H2772" s="96"/>
      <c r="J2772" s="1"/>
      <c r="K2772" s="1"/>
      <c r="L2772" s="1"/>
      <c r="O2772" s="475"/>
      <c r="P2772" s="475"/>
      <c r="Q2772" s="475"/>
      <c r="R2772" s="475"/>
      <c r="S2772" s="475"/>
      <c r="T2772" s="475"/>
      <c r="U2772" s="475"/>
      <c r="V2772" s="475"/>
      <c r="W2772" s="475"/>
    </row>
    <row r="2773" spans="2:23" s="97" customFormat="1">
      <c r="B2773" s="96"/>
      <c r="H2773" s="96"/>
      <c r="J2773" s="1"/>
      <c r="K2773" s="1"/>
      <c r="L2773" s="1"/>
      <c r="O2773" s="475"/>
      <c r="P2773" s="475"/>
      <c r="Q2773" s="475"/>
      <c r="R2773" s="475"/>
      <c r="S2773" s="475"/>
      <c r="T2773" s="475"/>
      <c r="U2773" s="475"/>
      <c r="V2773" s="475"/>
      <c r="W2773" s="475"/>
    </row>
    <row r="2774" spans="2:23" s="97" customFormat="1">
      <c r="B2774" s="96"/>
      <c r="H2774" s="96"/>
      <c r="J2774" s="1"/>
      <c r="K2774" s="1"/>
      <c r="L2774" s="1"/>
      <c r="O2774" s="475"/>
      <c r="P2774" s="475"/>
      <c r="Q2774" s="475"/>
      <c r="R2774" s="475"/>
      <c r="S2774" s="475"/>
      <c r="T2774" s="475"/>
      <c r="U2774" s="475"/>
      <c r="V2774" s="475"/>
      <c r="W2774" s="475"/>
    </row>
    <row r="2775" spans="2:23" s="97" customFormat="1">
      <c r="B2775" s="96"/>
      <c r="H2775" s="96"/>
      <c r="J2775" s="1"/>
      <c r="K2775" s="1"/>
      <c r="L2775" s="1"/>
      <c r="O2775" s="475"/>
      <c r="P2775" s="475"/>
      <c r="Q2775" s="475"/>
      <c r="R2775" s="475"/>
      <c r="S2775" s="475"/>
      <c r="T2775" s="475"/>
      <c r="U2775" s="475"/>
      <c r="V2775" s="475"/>
      <c r="W2775" s="475"/>
    </row>
    <row r="2776" spans="2:23" s="97" customFormat="1">
      <c r="B2776" s="96"/>
      <c r="H2776" s="96"/>
      <c r="J2776" s="1"/>
      <c r="K2776" s="1"/>
      <c r="L2776" s="1"/>
      <c r="O2776" s="475"/>
      <c r="P2776" s="475"/>
      <c r="Q2776" s="475"/>
      <c r="R2776" s="475"/>
      <c r="S2776" s="475"/>
      <c r="T2776" s="475"/>
      <c r="U2776" s="475"/>
      <c r="V2776" s="475"/>
      <c r="W2776" s="475"/>
    </row>
    <row r="2777" spans="2:23" s="97" customFormat="1">
      <c r="B2777" s="96"/>
      <c r="H2777" s="96"/>
      <c r="J2777" s="1"/>
      <c r="K2777" s="1"/>
      <c r="L2777" s="1"/>
      <c r="O2777" s="475"/>
      <c r="P2777" s="475"/>
      <c r="Q2777" s="475"/>
      <c r="R2777" s="475"/>
      <c r="S2777" s="475"/>
      <c r="T2777" s="475"/>
      <c r="U2777" s="475"/>
      <c r="V2777" s="475"/>
      <c r="W2777" s="475"/>
    </row>
    <row r="2778" spans="2:23" s="97" customFormat="1">
      <c r="B2778" s="96"/>
      <c r="H2778" s="96"/>
      <c r="J2778" s="1"/>
      <c r="K2778" s="1"/>
      <c r="L2778" s="1"/>
      <c r="O2778" s="475"/>
      <c r="P2778" s="475"/>
      <c r="Q2778" s="475"/>
      <c r="R2778" s="475"/>
      <c r="S2778" s="475"/>
      <c r="T2778" s="475"/>
      <c r="U2778" s="475"/>
      <c r="V2778" s="475"/>
      <c r="W2778" s="475"/>
    </row>
    <row r="2779" spans="2:23" s="97" customFormat="1">
      <c r="B2779" s="96"/>
      <c r="H2779" s="96"/>
      <c r="J2779" s="1"/>
      <c r="K2779" s="1"/>
      <c r="L2779" s="1"/>
      <c r="O2779" s="475"/>
      <c r="P2779" s="475"/>
      <c r="Q2779" s="475"/>
      <c r="R2779" s="475"/>
      <c r="S2779" s="475"/>
      <c r="T2779" s="475"/>
      <c r="U2779" s="475"/>
      <c r="V2779" s="475"/>
      <c r="W2779" s="475"/>
    </row>
    <row r="2780" spans="2:23" s="97" customFormat="1">
      <c r="B2780" s="96"/>
      <c r="H2780" s="96"/>
      <c r="J2780" s="1"/>
      <c r="K2780" s="1"/>
      <c r="L2780" s="1"/>
      <c r="O2780" s="475"/>
      <c r="P2780" s="475"/>
      <c r="Q2780" s="475"/>
      <c r="R2780" s="475"/>
      <c r="S2780" s="475"/>
      <c r="T2780" s="475"/>
      <c r="U2780" s="475"/>
      <c r="V2780" s="475"/>
      <c r="W2780" s="475"/>
    </row>
    <row r="2781" spans="2:23" s="97" customFormat="1">
      <c r="B2781" s="96"/>
      <c r="H2781" s="96"/>
      <c r="J2781" s="1"/>
      <c r="K2781" s="1"/>
      <c r="L2781" s="1"/>
      <c r="O2781" s="475"/>
      <c r="P2781" s="475"/>
      <c r="Q2781" s="475"/>
      <c r="R2781" s="475"/>
      <c r="S2781" s="475"/>
      <c r="T2781" s="475"/>
      <c r="U2781" s="475"/>
      <c r="V2781" s="475"/>
      <c r="W2781" s="475"/>
    </row>
    <row r="2782" spans="2:23" s="97" customFormat="1">
      <c r="B2782" s="96"/>
      <c r="H2782" s="96"/>
      <c r="J2782" s="1"/>
      <c r="K2782" s="1"/>
      <c r="L2782" s="1"/>
      <c r="O2782" s="475"/>
      <c r="P2782" s="475"/>
      <c r="Q2782" s="475"/>
      <c r="R2782" s="475"/>
      <c r="S2782" s="475"/>
      <c r="T2782" s="475"/>
      <c r="U2782" s="475"/>
      <c r="V2782" s="475"/>
      <c r="W2782" s="475"/>
    </row>
    <row r="2783" spans="2:23" s="97" customFormat="1">
      <c r="B2783" s="96"/>
      <c r="H2783" s="96"/>
      <c r="J2783" s="1"/>
      <c r="K2783" s="1"/>
      <c r="L2783" s="1"/>
      <c r="O2783" s="475"/>
      <c r="P2783" s="475"/>
      <c r="Q2783" s="475"/>
      <c r="R2783" s="475"/>
      <c r="S2783" s="475"/>
      <c r="T2783" s="475"/>
      <c r="U2783" s="475"/>
      <c r="V2783" s="475"/>
      <c r="W2783" s="475"/>
    </row>
    <row r="2784" spans="2:23" s="97" customFormat="1">
      <c r="B2784" s="96"/>
      <c r="H2784" s="96"/>
      <c r="J2784" s="1"/>
      <c r="K2784" s="1"/>
      <c r="L2784" s="1"/>
      <c r="O2784" s="475"/>
      <c r="P2784" s="475"/>
      <c r="Q2784" s="475"/>
      <c r="R2784" s="475"/>
      <c r="S2784" s="475"/>
      <c r="T2784" s="475"/>
      <c r="U2784" s="475"/>
      <c r="V2784" s="475"/>
      <c r="W2784" s="475"/>
    </row>
    <row r="2785" spans="2:23" s="97" customFormat="1">
      <c r="B2785" s="96"/>
      <c r="H2785" s="96"/>
      <c r="J2785" s="1"/>
      <c r="K2785" s="1"/>
      <c r="L2785" s="1"/>
      <c r="O2785" s="475"/>
      <c r="P2785" s="475"/>
      <c r="Q2785" s="475"/>
      <c r="R2785" s="475"/>
      <c r="S2785" s="475"/>
      <c r="T2785" s="475"/>
      <c r="U2785" s="475"/>
      <c r="V2785" s="475"/>
      <c r="W2785" s="475"/>
    </row>
    <row r="2786" spans="2:23" s="97" customFormat="1">
      <c r="B2786" s="96"/>
      <c r="H2786" s="96"/>
      <c r="J2786" s="1"/>
      <c r="K2786" s="1"/>
      <c r="L2786" s="1"/>
      <c r="O2786" s="475"/>
      <c r="P2786" s="475"/>
      <c r="Q2786" s="475"/>
      <c r="R2786" s="475"/>
      <c r="S2786" s="475"/>
      <c r="T2786" s="475"/>
      <c r="U2786" s="475"/>
      <c r="V2786" s="475"/>
      <c r="W2786" s="475"/>
    </row>
    <row r="2787" spans="2:23" s="97" customFormat="1">
      <c r="B2787" s="96"/>
      <c r="H2787" s="96"/>
      <c r="J2787" s="1"/>
      <c r="K2787" s="1"/>
      <c r="L2787" s="1"/>
      <c r="O2787" s="475"/>
      <c r="P2787" s="475"/>
      <c r="Q2787" s="475"/>
      <c r="R2787" s="475"/>
      <c r="S2787" s="475"/>
      <c r="T2787" s="475"/>
      <c r="U2787" s="475"/>
      <c r="V2787" s="475"/>
      <c r="W2787" s="475"/>
    </row>
    <row r="2788" spans="2:23" s="97" customFormat="1">
      <c r="B2788" s="96"/>
      <c r="H2788" s="96"/>
      <c r="J2788" s="1"/>
      <c r="K2788" s="1"/>
      <c r="L2788" s="1"/>
      <c r="O2788" s="475"/>
      <c r="P2788" s="475"/>
      <c r="Q2788" s="475"/>
      <c r="R2788" s="475"/>
      <c r="S2788" s="475"/>
      <c r="T2788" s="475"/>
      <c r="U2788" s="475"/>
      <c r="V2788" s="475"/>
      <c r="W2788" s="475"/>
    </row>
    <row r="2789" spans="2:23" s="97" customFormat="1">
      <c r="B2789" s="96"/>
      <c r="H2789" s="96"/>
      <c r="J2789" s="1"/>
      <c r="K2789" s="1"/>
      <c r="L2789" s="1"/>
      <c r="O2789" s="475"/>
      <c r="P2789" s="475"/>
      <c r="Q2789" s="475"/>
      <c r="R2789" s="475"/>
      <c r="S2789" s="475"/>
      <c r="T2789" s="475"/>
      <c r="U2789" s="475"/>
      <c r="V2789" s="475"/>
      <c r="W2789" s="475"/>
    </row>
    <row r="2790" spans="2:23" s="97" customFormat="1">
      <c r="B2790" s="96"/>
      <c r="H2790" s="96"/>
      <c r="J2790" s="1"/>
      <c r="K2790" s="1"/>
      <c r="L2790" s="1"/>
      <c r="O2790" s="475"/>
      <c r="P2790" s="475"/>
      <c r="Q2790" s="475"/>
      <c r="R2790" s="475"/>
      <c r="S2790" s="475"/>
      <c r="T2790" s="475"/>
      <c r="U2790" s="475"/>
      <c r="V2790" s="475"/>
      <c r="W2790" s="475"/>
    </row>
    <row r="2791" spans="2:23" s="97" customFormat="1">
      <c r="B2791" s="96"/>
      <c r="H2791" s="96"/>
      <c r="J2791" s="1"/>
      <c r="K2791" s="1"/>
      <c r="L2791" s="1"/>
      <c r="O2791" s="475"/>
      <c r="P2791" s="475"/>
      <c r="Q2791" s="475"/>
      <c r="R2791" s="475"/>
      <c r="S2791" s="475"/>
      <c r="T2791" s="475"/>
      <c r="U2791" s="475"/>
      <c r="V2791" s="475"/>
      <c r="W2791" s="475"/>
    </row>
    <row r="2792" spans="2:23" s="97" customFormat="1">
      <c r="B2792" s="96"/>
      <c r="H2792" s="96"/>
      <c r="J2792" s="1"/>
      <c r="K2792" s="1"/>
      <c r="L2792" s="1"/>
      <c r="O2792" s="475"/>
      <c r="P2792" s="475"/>
      <c r="Q2792" s="475"/>
      <c r="R2792" s="475"/>
      <c r="S2792" s="475"/>
      <c r="T2792" s="475"/>
      <c r="U2792" s="475"/>
      <c r="V2792" s="475"/>
      <c r="W2792" s="475"/>
    </row>
    <row r="2793" spans="2:23" s="97" customFormat="1">
      <c r="B2793" s="96"/>
      <c r="H2793" s="96"/>
      <c r="J2793" s="1"/>
      <c r="K2793" s="1"/>
      <c r="L2793" s="1"/>
      <c r="O2793" s="475"/>
      <c r="P2793" s="475"/>
      <c r="Q2793" s="475"/>
      <c r="R2793" s="475"/>
      <c r="S2793" s="475"/>
      <c r="T2793" s="475"/>
      <c r="U2793" s="475"/>
      <c r="V2793" s="475"/>
      <c r="W2793" s="475"/>
    </row>
    <row r="2794" spans="2:23" s="97" customFormat="1">
      <c r="B2794" s="96"/>
      <c r="H2794" s="96"/>
      <c r="J2794" s="1"/>
      <c r="K2794" s="1"/>
      <c r="L2794" s="1"/>
      <c r="O2794" s="475"/>
      <c r="P2794" s="475"/>
      <c r="Q2794" s="475"/>
      <c r="R2794" s="475"/>
      <c r="S2794" s="475"/>
      <c r="T2794" s="475"/>
      <c r="U2794" s="475"/>
      <c r="V2794" s="475"/>
      <c r="W2794" s="475"/>
    </row>
    <row r="2795" spans="2:23" s="97" customFormat="1">
      <c r="B2795" s="96"/>
      <c r="H2795" s="96"/>
      <c r="J2795" s="1"/>
      <c r="K2795" s="1"/>
      <c r="L2795" s="1"/>
      <c r="O2795" s="475"/>
      <c r="P2795" s="475"/>
      <c r="Q2795" s="475"/>
      <c r="R2795" s="475"/>
      <c r="S2795" s="475"/>
      <c r="T2795" s="475"/>
      <c r="U2795" s="475"/>
      <c r="V2795" s="475"/>
      <c r="W2795" s="475"/>
    </row>
    <row r="2796" spans="2:23" s="97" customFormat="1">
      <c r="B2796" s="96"/>
      <c r="H2796" s="96"/>
      <c r="J2796" s="1"/>
      <c r="K2796" s="1"/>
      <c r="L2796" s="1"/>
      <c r="O2796" s="475"/>
      <c r="P2796" s="475"/>
      <c r="Q2796" s="475"/>
      <c r="R2796" s="475"/>
      <c r="S2796" s="475"/>
      <c r="T2796" s="475"/>
      <c r="U2796" s="475"/>
      <c r="V2796" s="475"/>
      <c r="W2796" s="475"/>
    </row>
    <row r="2797" spans="2:23" s="97" customFormat="1">
      <c r="B2797" s="96"/>
      <c r="H2797" s="96"/>
      <c r="J2797" s="1"/>
      <c r="K2797" s="1"/>
      <c r="L2797" s="1"/>
      <c r="O2797" s="475"/>
      <c r="P2797" s="475"/>
      <c r="Q2797" s="475"/>
      <c r="R2797" s="475"/>
      <c r="S2797" s="475"/>
      <c r="T2797" s="475"/>
      <c r="U2797" s="475"/>
      <c r="V2797" s="475"/>
      <c r="W2797" s="475"/>
    </row>
    <row r="2798" spans="2:23" s="97" customFormat="1">
      <c r="B2798" s="96"/>
      <c r="H2798" s="96"/>
      <c r="J2798" s="1"/>
      <c r="K2798" s="1"/>
      <c r="L2798" s="1"/>
      <c r="O2798" s="475"/>
      <c r="P2798" s="475"/>
      <c r="Q2798" s="475"/>
      <c r="R2798" s="475"/>
      <c r="S2798" s="475"/>
      <c r="T2798" s="475"/>
      <c r="U2798" s="475"/>
      <c r="V2798" s="475"/>
      <c r="W2798" s="475"/>
    </row>
    <row r="2799" spans="2:23" s="97" customFormat="1">
      <c r="B2799" s="96"/>
      <c r="H2799" s="96"/>
      <c r="J2799" s="1"/>
      <c r="K2799" s="1"/>
      <c r="L2799" s="1"/>
      <c r="O2799" s="475"/>
      <c r="P2799" s="475"/>
      <c r="Q2799" s="475"/>
      <c r="R2799" s="475"/>
      <c r="S2799" s="475"/>
      <c r="T2799" s="475"/>
      <c r="U2799" s="475"/>
      <c r="V2799" s="475"/>
      <c r="W2799" s="475"/>
    </row>
    <row r="2800" spans="2:23" s="97" customFormat="1">
      <c r="B2800" s="96"/>
      <c r="H2800" s="96"/>
      <c r="J2800" s="1"/>
      <c r="K2800" s="1"/>
      <c r="L2800" s="1"/>
      <c r="O2800" s="475"/>
      <c r="P2800" s="475"/>
      <c r="Q2800" s="475"/>
      <c r="R2800" s="475"/>
      <c r="S2800" s="475"/>
      <c r="T2800" s="475"/>
      <c r="U2800" s="475"/>
      <c r="V2800" s="475"/>
      <c r="W2800" s="475"/>
    </row>
    <row r="2801" spans="2:23" s="97" customFormat="1">
      <c r="B2801" s="96"/>
      <c r="H2801" s="96"/>
      <c r="J2801" s="1"/>
      <c r="K2801" s="1"/>
      <c r="L2801" s="1"/>
      <c r="O2801" s="475"/>
      <c r="P2801" s="475"/>
      <c r="Q2801" s="475"/>
      <c r="R2801" s="475"/>
      <c r="S2801" s="475"/>
      <c r="T2801" s="475"/>
      <c r="U2801" s="475"/>
      <c r="V2801" s="475"/>
      <c r="W2801" s="475"/>
    </row>
    <row r="2802" spans="2:23" s="97" customFormat="1">
      <c r="B2802" s="96"/>
      <c r="H2802" s="96"/>
      <c r="J2802" s="1"/>
      <c r="K2802" s="1"/>
      <c r="L2802" s="1"/>
      <c r="O2802" s="475"/>
      <c r="P2802" s="475"/>
      <c r="Q2802" s="475"/>
      <c r="R2802" s="475"/>
      <c r="S2802" s="475"/>
      <c r="T2802" s="475"/>
      <c r="U2802" s="475"/>
      <c r="V2802" s="475"/>
      <c r="W2802" s="475"/>
    </row>
    <row r="2803" spans="2:23" s="97" customFormat="1">
      <c r="B2803" s="96"/>
      <c r="H2803" s="96"/>
      <c r="J2803" s="1"/>
      <c r="K2803" s="1"/>
      <c r="L2803" s="1"/>
      <c r="O2803" s="475"/>
      <c r="P2803" s="475"/>
      <c r="Q2803" s="475"/>
      <c r="R2803" s="475"/>
      <c r="S2803" s="475"/>
      <c r="T2803" s="475"/>
      <c r="U2803" s="475"/>
      <c r="V2803" s="475"/>
      <c r="W2803" s="475"/>
    </row>
    <row r="2804" spans="2:23" s="97" customFormat="1">
      <c r="B2804" s="96"/>
      <c r="H2804" s="96"/>
      <c r="J2804" s="1"/>
      <c r="K2804" s="1"/>
      <c r="L2804" s="1"/>
      <c r="O2804" s="475"/>
      <c r="P2804" s="475"/>
      <c r="Q2804" s="475"/>
      <c r="R2804" s="475"/>
      <c r="S2804" s="475"/>
      <c r="T2804" s="475"/>
      <c r="U2804" s="475"/>
      <c r="V2804" s="475"/>
      <c r="W2804" s="475"/>
    </row>
    <row r="2805" spans="2:23" s="97" customFormat="1">
      <c r="B2805" s="96"/>
      <c r="H2805" s="96"/>
      <c r="J2805" s="1"/>
      <c r="K2805" s="1"/>
      <c r="L2805" s="1"/>
      <c r="O2805" s="475"/>
      <c r="P2805" s="475"/>
      <c r="Q2805" s="475"/>
      <c r="R2805" s="475"/>
      <c r="S2805" s="475"/>
      <c r="T2805" s="475"/>
      <c r="U2805" s="475"/>
      <c r="V2805" s="475"/>
      <c r="W2805" s="475"/>
    </row>
    <row r="2806" spans="2:23" s="97" customFormat="1">
      <c r="B2806" s="96"/>
      <c r="H2806" s="96"/>
      <c r="J2806" s="1"/>
      <c r="K2806" s="1"/>
      <c r="L2806" s="1"/>
      <c r="O2806" s="475"/>
      <c r="P2806" s="475"/>
      <c r="Q2806" s="475"/>
      <c r="R2806" s="475"/>
      <c r="S2806" s="475"/>
      <c r="T2806" s="475"/>
      <c r="U2806" s="475"/>
      <c r="V2806" s="475"/>
      <c r="W2806" s="475"/>
    </row>
    <row r="2807" spans="2:23" s="97" customFormat="1">
      <c r="B2807" s="96"/>
      <c r="H2807" s="96"/>
      <c r="J2807" s="1"/>
      <c r="K2807" s="1"/>
      <c r="L2807" s="1"/>
      <c r="O2807" s="475"/>
      <c r="P2807" s="475"/>
      <c r="Q2807" s="475"/>
      <c r="R2807" s="475"/>
      <c r="S2807" s="475"/>
      <c r="T2807" s="475"/>
      <c r="U2807" s="475"/>
      <c r="V2807" s="475"/>
      <c r="W2807" s="475"/>
    </row>
    <row r="2808" spans="2:23" s="97" customFormat="1">
      <c r="B2808" s="96"/>
      <c r="H2808" s="96"/>
      <c r="J2808" s="1"/>
      <c r="K2808" s="1"/>
      <c r="L2808" s="1"/>
      <c r="O2808" s="475"/>
      <c r="P2808" s="475"/>
      <c r="Q2808" s="475"/>
      <c r="R2808" s="475"/>
      <c r="S2808" s="475"/>
      <c r="T2808" s="475"/>
      <c r="U2808" s="475"/>
      <c r="V2808" s="475"/>
      <c r="W2808" s="475"/>
    </row>
    <row r="2809" spans="2:23" s="97" customFormat="1">
      <c r="B2809" s="96"/>
      <c r="H2809" s="96"/>
      <c r="J2809" s="1"/>
      <c r="K2809" s="1"/>
      <c r="L2809" s="1"/>
      <c r="O2809" s="475"/>
      <c r="P2809" s="475"/>
      <c r="Q2809" s="475"/>
      <c r="R2809" s="475"/>
      <c r="S2809" s="475"/>
      <c r="T2809" s="475"/>
      <c r="U2809" s="475"/>
      <c r="V2809" s="475"/>
      <c r="W2809" s="475"/>
    </row>
    <row r="2810" spans="2:23" s="97" customFormat="1">
      <c r="B2810" s="96"/>
      <c r="H2810" s="96"/>
      <c r="J2810" s="1"/>
      <c r="K2810" s="1"/>
      <c r="L2810" s="1"/>
      <c r="O2810" s="475"/>
      <c r="P2810" s="475"/>
      <c r="Q2810" s="475"/>
      <c r="R2810" s="475"/>
      <c r="S2810" s="475"/>
      <c r="T2810" s="475"/>
      <c r="U2810" s="475"/>
      <c r="V2810" s="475"/>
      <c r="W2810" s="475"/>
    </row>
    <row r="2811" spans="2:23" s="97" customFormat="1">
      <c r="B2811" s="96"/>
      <c r="H2811" s="96"/>
      <c r="J2811" s="1"/>
      <c r="K2811" s="1"/>
      <c r="L2811" s="1"/>
      <c r="O2811" s="475"/>
      <c r="P2811" s="475"/>
      <c r="Q2811" s="475"/>
      <c r="R2811" s="475"/>
      <c r="S2811" s="475"/>
      <c r="T2811" s="475"/>
      <c r="U2811" s="475"/>
      <c r="V2811" s="475"/>
      <c r="W2811" s="475"/>
    </row>
    <row r="2812" spans="2:23" s="97" customFormat="1">
      <c r="B2812" s="96"/>
      <c r="H2812" s="96"/>
      <c r="J2812" s="1"/>
      <c r="K2812" s="1"/>
      <c r="L2812" s="1"/>
      <c r="O2812" s="475"/>
      <c r="P2812" s="475"/>
      <c r="Q2812" s="475"/>
      <c r="R2812" s="475"/>
      <c r="S2812" s="475"/>
      <c r="T2812" s="475"/>
      <c r="U2812" s="475"/>
      <c r="V2812" s="475"/>
      <c r="W2812" s="475"/>
    </row>
    <row r="2813" spans="2:23" s="97" customFormat="1">
      <c r="B2813" s="96"/>
      <c r="H2813" s="96"/>
      <c r="J2813" s="1"/>
      <c r="K2813" s="1"/>
      <c r="L2813" s="1"/>
      <c r="O2813" s="475"/>
      <c r="P2813" s="475"/>
      <c r="Q2813" s="475"/>
      <c r="R2813" s="475"/>
      <c r="S2813" s="475"/>
      <c r="T2813" s="475"/>
      <c r="U2813" s="475"/>
      <c r="V2813" s="475"/>
      <c r="W2813" s="475"/>
    </row>
    <row r="2814" spans="2:23" s="97" customFormat="1">
      <c r="B2814" s="96"/>
      <c r="H2814" s="96"/>
      <c r="J2814" s="1"/>
      <c r="K2814" s="1"/>
      <c r="L2814" s="1"/>
      <c r="O2814" s="475"/>
      <c r="P2814" s="475"/>
      <c r="Q2814" s="475"/>
      <c r="R2814" s="475"/>
      <c r="S2814" s="475"/>
      <c r="T2814" s="475"/>
      <c r="U2814" s="475"/>
      <c r="V2814" s="475"/>
      <c r="W2814" s="475"/>
    </row>
    <row r="2815" spans="2:23" s="97" customFormat="1">
      <c r="B2815" s="96"/>
      <c r="H2815" s="96"/>
      <c r="J2815" s="1"/>
      <c r="K2815" s="1"/>
      <c r="L2815" s="1"/>
      <c r="O2815" s="475"/>
      <c r="P2815" s="475"/>
      <c r="Q2815" s="475"/>
      <c r="R2815" s="475"/>
      <c r="S2815" s="475"/>
      <c r="T2815" s="475"/>
      <c r="U2815" s="475"/>
      <c r="V2815" s="475"/>
      <c r="W2815" s="475"/>
    </row>
    <row r="2816" spans="2:23" s="97" customFormat="1">
      <c r="B2816" s="96"/>
      <c r="H2816" s="96"/>
      <c r="J2816" s="1"/>
      <c r="K2816" s="1"/>
      <c r="L2816" s="1"/>
      <c r="O2816" s="475"/>
      <c r="P2816" s="475"/>
      <c r="Q2816" s="475"/>
      <c r="R2816" s="475"/>
      <c r="S2816" s="475"/>
      <c r="T2816" s="475"/>
      <c r="U2816" s="475"/>
      <c r="V2816" s="475"/>
      <c r="W2816" s="475"/>
    </row>
    <row r="2817" spans="2:23" s="97" customFormat="1">
      <c r="B2817" s="96"/>
      <c r="H2817" s="96"/>
      <c r="J2817" s="1"/>
      <c r="K2817" s="1"/>
      <c r="L2817" s="1"/>
      <c r="O2817" s="475"/>
      <c r="P2817" s="475"/>
      <c r="Q2817" s="475"/>
      <c r="R2817" s="475"/>
      <c r="S2817" s="475"/>
      <c r="T2817" s="475"/>
      <c r="U2817" s="475"/>
      <c r="V2817" s="475"/>
      <c r="W2817" s="475"/>
    </row>
    <row r="2818" spans="2:23" s="97" customFormat="1">
      <c r="B2818" s="96"/>
      <c r="H2818" s="96"/>
      <c r="J2818" s="1"/>
      <c r="K2818" s="1"/>
      <c r="L2818" s="1"/>
      <c r="O2818" s="475"/>
      <c r="P2818" s="475"/>
      <c r="Q2818" s="475"/>
      <c r="R2818" s="475"/>
      <c r="S2818" s="475"/>
      <c r="T2818" s="475"/>
      <c r="U2818" s="475"/>
      <c r="V2818" s="475"/>
      <c r="W2818" s="475"/>
    </row>
    <row r="2819" spans="2:23" s="97" customFormat="1">
      <c r="B2819" s="96"/>
      <c r="H2819" s="96"/>
      <c r="J2819" s="1"/>
      <c r="K2819" s="1"/>
      <c r="L2819" s="1"/>
      <c r="O2819" s="475"/>
      <c r="P2819" s="475"/>
      <c r="Q2819" s="475"/>
      <c r="R2819" s="475"/>
      <c r="S2819" s="475"/>
      <c r="T2819" s="475"/>
      <c r="U2819" s="475"/>
      <c r="V2819" s="475"/>
      <c r="W2819" s="475"/>
    </row>
    <row r="2820" spans="2:23" s="97" customFormat="1">
      <c r="B2820" s="96"/>
      <c r="H2820" s="96"/>
      <c r="J2820" s="1"/>
      <c r="K2820" s="1"/>
      <c r="L2820" s="1"/>
      <c r="O2820" s="475"/>
      <c r="P2820" s="475"/>
      <c r="Q2820" s="475"/>
      <c r="R2820" s="475"/>
      <c r="S2820" s="475"/>
      <c r="T2820" s="475"/>
      <c r="U2820" s="475"/>
      <c r="V2820" s="475"/>
      <c r="W2820" s="475"/>
    </row>
    <row r="2821" spans="2:23" s="97" customFormat="1">
      <c r="B2821" s="96"/>
      <c r="H2821" s="96"/>
      <c r="J2821" s="1"/>
      <c r="K2821" s="1"/>
      <c r="L2821" s="1"/>
      <c r="O2821" s="475"/>
      <c r="P2821" s="475"/>
      <c r="Q2821" s="475"/>
      <c r="R2821" s="475"/>
      <c r="S2821" s="475"/>
      <c r="T2821" s="475"/>
      <c r="U2821" s="475"/>
      <c r="V2821" s="475"/>
      <c r="W2821" s="475"/>
    </row>
    <row r="2822" spans="2:23" s="97" customFormat="1">
      <c r="B2822" s="96"/>
      <c r="H2822" s="96"/>
      <c r="J2822" s="1"/>
      <c r="K2822" s="1"/>
      <c r="L2822" s="1"/>
      <c r="O2822" s="475"/>
      <c r="P2822" s="475"/>
      <c r="Q2822" s="475"/>
      <c r="R2822" s="475"/>
      <c r="S2822" s="475"/>
      <c r="T2822" s="475"/>
      <c r="U2822" s="475"/>
      <c r="V2822" s="475"/>
      <c r="W2822" s="475"/>
    </row>
    <row r="2823" spans="2:23" s="97" customFormat="1">
      <c r="B2823" s="96"/>
      <c r="H2823" s="96"/>
      <c r="J2823" s="1"/>
      <c r="K2823" s="1"/>
      <c r="L2823" s="1"/>
      <c r="O2823" s="475"/>
      <c r="P2823" s="475"/>
      <c r="Q2823" s="475"/>
      <c r="R2823" s="475"/>
      <c r="S2823" s="475"/>
      <c r="T2823" s="475"/>
      <c r="U2823" s="475"/>
      <c r="V2823" s="475"/>
      <c r="W2823" s="475"/>
    </row>
    <row r="2824" spans="2:23" s="97" customFormat="1">
      <c r="B2824" s="96"/>
      <c r="H2824" s="96"/>
      <c r="J2824" s="1"/>
      <c r="K2824" s="1"/>
      <c r="L2824" s="1"/>
      <c r="O2824" s="475"/>
      <c r="P2824" s="475"/>
      <c r="Q2824" s="475"/>
      <c r="R2824" s="475"/>
      <c r="S2824" s="475"/>
      <c r="T2824" s="475"/>
      <c r="U2824" s="475"/>
      <c r="V2824" s="475"/>
      <c r="W2824" s="475"/>
    </row>
    <row r="2825" spans="2:23" s="97" customFormat="1">
      <c r="B2825" s="96"/>
      <c r="H2825" s="96"/>
      <c r="J2825" s="1"/>
      <c r="K2825" s="1"/>
      <c r="L2825" s="1"/>
      <c r="O2825" s="475"/>
      <c r="P2825" s="475"/>
      <c r="Q2825" s="475"/>
      <c r="R2825" s="475"/>
      <c r="S2825" s="475"/>
      <c r="T2825" s="475"/>
      <c r="U2825" s="475"/>
      <c r="V2825" s="475"/>
      <c r="W2825" s="475"/>
    </row>
    <row r="2826" spans="2:23" s="97" customFormat="1">
      <c r="B2826" s="96"/>
      <c r="H2826" s="96"/>
      <c r="J2826" s="1"/>
      <c r="K2826" s="1"/>
      <c r="L2826" s="1"/>
      <c r="O2826" s="475"/>
      <c r="P2826" s="475"/>
      <c r="Q2826" s="475"/>
      <c r="R2826" s="475"/>
      <c r="S2826" s="475"/>
      <c r="T2826" s="475"/>
      <c r="U2826" s="475"/>
      <c r="V2826" s="475"/>
      <c r="W2826" s="475"/>
    </row>
    <row r="2827" spans="2:23" s="97" customFormat="1">
      <c r="B2827" s="96"/>
      <c r="H2827" s="96"/>
      <c r="J2827" s="1"/>
      <c r="K2827" s="1"/>
      <c r="L2827" s="1"/>
      <c r="O2827" s="475"/>
      <c r="P2827" s="475"/>
      <c r="Q2827" s="475"/>
      <c r="R2827" s="475"/>
      <c r="S2827" s="475"/>
      <c r="T2827" s="475"/>
      <c r="U2827" s="475"/>
      <c r="V2827" s="475"/>
      <c r="W2827" s="475"/>
    </row>
    <row r="2828" spans="2:23" s="97" customFormat="1">
      <c r="B2828" s="96"/>
      <c r="H2828" s="96"/>
      <c r="J2828" s="1"/>
      <c r="K2828" s="1"/>
      <c r="L2828" s="1"/>
      <c r="O2828" s="475"/>
      <c r="P2828" s="475"/>
      <c r="Q2828" s="475"/>
      <c r="R2828" s="475"/>
      <c r="S2828" s="475"/>
      <c r="T2828" s="475"/>
      <c r="U2828" s="475"/>
      <c r="V2828" s="475"/>
      <c r="W2828" s="475"/>
    </row>
    <row r="2829" spans="2:23" s="97" customFormat="1">
      <c r="B2829" s="96"/>
      <c r="H2829" s="96"/>
      <c r="J2829" s="1"/>
      <c r="K2829" s="1"/>
      <c r="L2829" s="1"/>
      <c r="O2829" s="475"/>
      <c r="P2829" s="475"/>
      <c r="Q2829" s="475"/>
      <c r="R2829" s="475"/>
      <c r="S2829" s="475"/>
      <c r="T2829" s="475"/>
      <c r="U2829" s="475"/>
      <c r="V2829" s="475"/>
      <c r="W2829" s="475"/>
    </row>
    <row r="2830" spans="2:23" s="97" customFormat="1">
      <c r="B2830" s="96"/>
      <c r="H2830" s="96"/>
      <c r="J2830" s="1"/>
      <c r="K2830" s="1"/>
      <c r="L2830" s="1"/>
      <c r="O2830" s="475"/>
      <c r="P2830" s="475"/>
      <c r="Q2830" s="475"/>
      <c r="R2830" s="475"/>
      <c r="S2830" s="475"/>
      <c r="T2830" s="475"/>
      <c r="U2830" s="475"/>
      <c r="V2830" s="475"/>
      <c r="W2830" s="475"/>
    </row>
    <row r="2831" spans="2:23" s="97" customFormat="1">
      <c r="B2831" s="96"/>
      <c r="H2831" s="96"/>
      <c r="J2831" s="1"/>
      <c r="K2831" s="1"/>
      <c r="L2831" s="1"/>
      <c r="O2831" s="475"/>
      <c r="P2831" s="475"/>
      <c r="Q2831" s="475"/>
      <c r="R2831" s="475"/>
      <c r="S2831" s="475"/>
      <c r="T2831" s="475"/>
      <c r="U2831" s="475"/>
      <c r="V2831" s="475"/>
      <c r="W2831" s="475"/>
    </row>
    <row r="2832" spans="2:23" s="97" customFormat="1">
      <c r="B2832" s="96"/>
      <c r="H2832" s="96"/>
      <c r="J2832" s="1"/>
      <c r="K2832" s="1"/>
      <c r="L2832" s="1"/>
      <c r="O2832" s="475"/>
      <c r="P2832" s="475"/>
      <c r="Q2832" s="475"/>
      <c r="R2832" s="475"/>
      <c r="S2832" s="475"/>
      <c r="T2832" s="475"/>
      <c r="U2832" s="475"/>
      <c r="V2832" s="475"/>
      <c r="W2832" s="475"/>
    </row>
    <row r="2833" spans="2:23" s="97" customFormat="1">
      <c r="B2833" s="96"/>
      <c r="H2833" s="96"/>
      <c r="J2833" s="1"/>
      <c r="K2833" s="1"/>
      <c r="L2833" s="1"/>
      <c r="O2833" s="475"/>
      <c r="P2833" s="475"/>
      <c r="Q2833" s="475"/>
      <c r="R2833" s="475"/>
      <c r="S2833" s="475"/>
      <c r="T2833" s="475"/>
      <c r="U2833" s="475"/>
      <c r="V2833" s="475"/>
      <c r="W2833" s="475"/>
    </row>
    <row r="2834" spans="2:23" s="97" customFormat="1">
      <c r="B2834" s="96"/>
      <c r="H2834" s="96"/>
      <c r="J2834" s="1"/>
      <c r="K2834" s="1"/>
      <c r="L2834" s="1"/>
      <c r="O2834" s="475"/>
      <c r="P2834" s="475"/>
      <c r="Q2834" s="475"/>
      <c r="R2834" s="475"/>
      <c r="S2834" s="475"/>
      <c r="T2834" s="475"/>
      <c r="U2834" s="475"/>
      <c r="V2834" s="475"/>
      <c r="W2834" s="475"/>
    </row>
    <row r="2835" spans="2:23" s="97" customFormat="1">
      <c r="B2835" s="96"/>
      <c r="H2835" s="96"/>
      <c r="J2835" s="1"/>
      <c r="K2835" s="1"/>
      <c r="L2835" s="1"/>
      <c r="O2835" s="475"/>
      <c r="P2835" s="475"/>
      <c r="Q2835" s="475"/>
      <c r="R2835" s="475"/>
      <c r="S2835" s="475"/>
      <c r="T2835" s="475"/>
      <c r="U2835" s="475"/>
      <c r="V2835" s="475"/>
      <c r="W2835" s="475"/>
    </row>
    <row r="2836" spans="2:23" s="97" customFormat="1">
      <c r="B2836" s="96"/>
      <c r="H2836" s="96"/>
      <c r="J2836" s="1"/>
      <c r="K2836" s="1"/>
      <c r="L2836" s="1"/>
      <c r="O2836" s="475"/>
      <c r="P2836" s="475"/>
      <c r="Q2836" s="475"/>
      <c r="R2836" s="475"/>
      <c r="S2836" s="475"/>
      <c r="T2836" s="475"/>
      <c r="U2836" s="475"/>
      <c r="V2836" s="475"/>
      <c r="W2836" s="475"/>
    </row>
    <row r="2837" spans="2:23" s="97" customFormat="1">
      <c r="B2837" s="96"/>
      <c r="H2837" s="96"/>
      <c r="J2837" s="1"/>
      <c r="K2837" s="1"/>
      <c r="L2837" s="1"/>
      <c r="O2837" s="475"/>
      <c r="P2837" s="475"/>
      <c r="Q2837" s="475"/>
      <c r="R2837" s="475"/>
      <c r="S2837" s="475"/>
      <c r="T2837" s="475"/>
      <c r="U2837" s="475"/>
      <c r="V2837" s="475"/>
      <c r="W2837" s="475"/>
    </row>
    <row r="2838" spans="2:23" s="97" customFormat="1">
      <c r="B2838" s="96"/>
      <c r="H2838" s="96"/>
      <c r="J2838" s="1"/>
      <c r="K2838" s="1"/>
      <c r="L2838" s="1"/>
      <c r="O2838" s="475"/>
      <c r="P2838" s="475"/>
      <c r="Q2838" s="475"/>
      <c r="R2838" s="475"/>
      <c r="S2838" s="475"/>
      <c r="T2838" s="475"/>
      <c r="U2838" s="475"/>
      <c r="V2838" s="475"/>
      <c r="W2838" s="475"/>
    </row>
    <row r="2839" spans="2:23" s="97" customFormat="1">
      <c r="B2839" s="96"/>
      <c r="H2839" s="96"/>
      <c r="J2839" s="1"/>
      <c r="K2839" s="1"/>
      <c r="L2839" s="1"/>
      <c r="O2839" s="475"/>
      <c r="P2839" s="475"/>
      <c r="Q2839" s="475"/>
      <c r="R2839" s="475"/>
      <c r="S2839" s="475"/>
      <c r="T2839" s="475"/>
      <c r="U2839" s="475"/>
      <c r="V2839" s="475"/>
      <c r="W2839" s="475"/>
    </row>
    <row r="2840" spans="2:23" s="97" customFormat="1">
      <c r="B2840" s="96"/>
      <c r="H2840" s="96"/>
      <c r="J2840" s="1"/>
      <c r="K2840" s="1"/>
      <c r="L2840" s="1"/>
      <c r="O2840" s="475"/>
      <c r="P2840" s="475"/>
      <c r="Q2840" s="475"/>
      <c r="R2840" s="475"/>
      <c r="S2840" s="475"/>
      <c r="T2840" s="475"/>
      <c r="U2840" s="475"/>
      <c r="V2840" s="475"/>
      <c r="W2840" s="475"/>
    </row>
    <row r="2841" spans="2:23" s="97" customFormat="1">
      <c r="B2841" s="96"/>
      <c r="H2841" s="96"/>
      <c r="J2841" s="1"/>
      <c r="K2841" s="1"/>
      <c r="L2841" s="1"/>
      <c r="O2841" s="475"/>
      <c r="P2841" s="475"/>
      <c r="Q2841" s="475"/>
      <c r="R2841" s="475"/>
      <c r="S2841" s="475"/>
      <c r="T2841" s="475"/>
      <c r="U2841" s="475"/>
      <c r="V2841" s="475"/>
      <c r="W2841" s="475"/>
    </row>
    <row r="2842" spans="2:23" s="97" customFormat="1">
      <c r="B2842" s="96"/>
      <c r="H2842" s="96"/>
      <c r="J2842" s="1"/>
      <c r="K2842" s="1"/>
      <c r="L2842" s="1"/>
      <c r="O2842" s="475"/>
      <c r="P2842" s="475"/>
      <c r="Q2842" s="475"/>
      <c r="R2842" s="475"/>
      <c r="S2842" s="475"/>
      <c r="T2842" s="475"/>
      <c r="U2842" s="475"/>
      <c r="V2842" s="475"/>
      <c r="W2842" s="475"/>
    </row>
    <row r="2843" spans="2:23" s="97" customFormat="1">
      <c r="B2843" s="96"/>
      <c r="H2843" s="96"/>
      <c r="J2843" s="1"/>
      <c r="K2843" s="1"/>
      <c r="L2843" s="1"/>
      <c r="O2843" s="475"/>
      <c r="P2843" s="475"/>
      <c r="Q2843" s="475"/>
      <c r="R2843" s="475"/>
      <c r="S2843" s="475"/>
      <c r="T2843" s="475"/>
      <c r="U2843" s="475"/>
      <c r="V2843" s="475"/>
      <c r="W2843" s="475"/>
    </row>
    <row r="2844" spans="2:23" s="97" customFormat="1">
      <c r="B2844" s="96"/>
      <c r="H2844" s="96"/>
      <c r="J2844" s="1"/>
      <c r="K2844" s="1"/>
      <c r="L2844" s="1"/>
      <c r="O2844" s="475"/>
      <c r="P2844" s="475"/>
      <c r="Q2844" s="475"/>
      <c r="R2844" s="475"/>
      <c r="S2844" s="475"/>
      <c r="T2844" s="475"/>
      <c r="U2844" s="475"/>
      <c r="V2844" s="475"/>
      <c r="W2844" s="475"/>
    </row>
    <row r="2845" spans="2:23" s="97" customFormat="1">
      <c r="B2845" s="96"/>
      <c r="H2845" s="96"/>
      <c r="J2845" s="1"/>
      <c r="K2845" s="1"/>
      <c r="L2845" s="1"/>
      <c r="O2845" s="475"/>
      <c r="P2845" s="475"/>
      <c r="Q2845" s="475"/>
      <c r="R2845" s="475"/>
      <c r="S2845" s="475"/>
      <c r="T2845" s="475"/>
      <c r="U2845" s="475"/>
      <c r="V2845" s="475"/>
      <c r="W2845" s="475"/>
    </row>
    <row r="2846" spans="2:23" s="97" customFormat="1">
      <c r="B2846" s="96"/>
      <c r="H2846" s="96"/>
      <c r="J2846" s="1"/>
      <c r="K2846" s="1"/>
      <c r="L2846" s="1"/>
      <c r="O2846" s="475"/>
      <c r="P2846" s="475"/>
      <c r="Q2846" s="475"/>
      <c r="R2846" s="475"/>
      <c r="S2846" s="475"/>
      <c r="T2846" s="475"/>
      <c r="U2846" s="475"/>
      <c r="V2846" s="475"/>
      <c r="W2846" s="475"/>
    </row>
    <row r="2847" spans="2:23" s="97" customFormat="1">
      <c r="B2847" s="96"/>
      <c r="H2847" s="96"/>
      <c r="J2847" s="1"/>
      <c r="K2847" s="1"/>
      <c r="L2847" s="1"/>
      <c r="O2847" s="475"/>
      <c r="P2847" s="475"/>
      <c r="Q2847" s="475"/>
      <c r="R2847" s="475"/>
      <c r="S2847" s="475"/>
      <c r="T2847" s="475"/>
      <c r="U2847" s="475"/>
      <c r="V2847" s="475"/>
      <c r="W2847" s="475"/>
    </row>
    <row r="2848" spans="2:23" s="97" customFormat="1">
      <c r="B2848" s="96"/>
      <c r="H2848" s="96"/>
      <c r="J2848" s="1"/>
      <c r="K2848" s="1"/>
      <c r="L2848" s="1"/>
      <c r="O2848" s="475"/>
      <c r="P2848" s="475"/>
      <c r="Q2848" s="475"/>
      <c r="R2848" s="475"/>
      <c r="S2848" s="475"/>
      <c r="T2848" s="475"/>
      <c r="U2848" s="475"/>
      <c r="V2848" s="475"/>
      <c r="W2848" s="475"/>
    </row>
    <row r="2849" spans="2:23" s="97" customFormat="1">
      <c r="B2849" s="96"/>
      <c r="H2849" s="96"/>
      <c r="J2849" s="1"/>
      <c r="K2849" s="1"/>
      <c r="L2849" s="1"/>
      <c r="O2849" s="475"/>
      <c r="P2849" s="475"/>
      <c r="Q2849" s="475"/>
      <c r="R2849" s="475"/>
      <c r="S2849" s="475"/>
      <c r="T2849" s="475"/>
      <c r="U2849" s="475"/>
      <c r="V2849" s="475"/>
      <c r="W2849" s="475"/>
    </row>
    <row r="2850" spans="2:23" s="97" customFormat="1">
      <c r="B2850" s="96"/>
      <c r="H2850" s="96"/>
      <c r="J2850" s="1"/>
      <c r="K2850" s="1"/>
      <c r="L2850" s="1"/>
      <c r="O2850" s="475"/>
      <c r="P2850" s="475"/>
      <c r="Q2850" s="475"/>
      <c r="R2850" s="475"/>
      <c r="S2850" s="475"/>
      <c r="T2850" s="475"/>
      <c r="U2850" s="475"/>
      <c r="V2850" s="475"/>
      <c r="W2850" s="475"/>
    </row>
    <row r="2851" spans="2:23" s="97" customFormat="1">
      <c r="B2851" s="96"/>
      <c r="H2851" s="96"/>
      <c r="J2851" s="1"/>
      <c r="K2851" s="1"/>
      <c r="L2851" s="1"/>
      <c r="O2851" s="475"/>
      <c r="P2851" s="475"/>
      <c r="Q2851" s="475"/>
      <c r="R2851" s="475"/>
      <c r="S2851" s="475"/>
      <c r="T2851" s="475"/>
      <c r="U2851" s="475"/>
      <c r="V2851" s="475"/>
      <c r="W2851" s="475"/>
    </row>
    <row r="2852" spans="2:23" s="97" customFormat="1">
      <c r="B2852" s="96"/>
      <c r="H2852" s="96"/>
      <c r="J2852" s="1"/>
      <c r="K2852" s="1"/>
      <c r="L2852" s="1"/>
      <c r="O2852" s="475"/>
      <c r="P2852" s="475"/>
      <c r="Q2852" s="475"/>
      <c r="R2852" s="475"/>
      <c r="S2852" s="475"/>
      <c r="T2852" s="475"/>
      <c r="U2852" s="475"/>
      <c r="V2852" s="475"/>
      <c r="W2852" s="475"/>
    </row>
    <row r="2853" spans="2:23" s="97" customFormat="1">
      <c r="B2853" s="96"/>
      <c r="H2853" s="96"/>
      <c r="J2853" s="1"/>
      <c r="K2853" s="1"/>
      <c r="L2853" s="1"/>
      <c r="O2853" s="475"/>
      <c r="P2853" s="475"/>
      <c r="Q2853" s="475"/>
      <c r="R2853" s="475"/>
      <c r="S2853" s="475"/>
      <c r="T2853" s="475"/>
      <c r="U2853" s="475"/>
      <c r="V2853" s="475"/>
      <c r="W2853" s="475"/>
    </row>
    <row r="2854" spans="2:23" s="97" customFormat="1">
      <c r="B2854" s="96"/>
      <c r="H2854" s="96"/>
      <c r="J2854" s="1"/>
      <c r="K2854" s="1"/>
      <c r="L2854" s="1"/>
      <c r="O2854" s="475"/>
      <c r="P2854" s="475"/>
      <c r="Q2854" s="475"/>
      <c r="R2854" s="475"/>
      <c r="S2854" s="475"/>
      <c r="T2854" s="475"/>
      <c r="U2854" s="475"/>
      <c r="V2854" s="475"/>
      <c r="W2854" s="475"/>
    </row>
    <row r="2855" spans="2:23" s="97" customFormat="1">
      <c r="B2855" s="96"/>
      <c r="H2855" s="96"/>
      <c r="J2855" s="1"/>
      <c r="K2855" s="1"/>
      <c r="L2855" s="1"/>
      <c r="O2855" s="475"/>
      <c r="P2855" s="475"/>
      <c r="Q2855" s="475"/>
      <c r="R2855" s="475"/>
      <c r="S2855" s="475"/>
      <c r="T2855" s="475"/>
      <c r="U2855" s="475"/>
      <c r="V2855" s="475"/>
      <c r="W2855" s="475"/>
    </row>
    <row r="2856" spans="2:23" s="97" customFormat="1">
      <c r="B2856" s="96"/>
      <c r="H2856" s="96"/>
      <c r="J2856" s="1"/>
      <c r="K2856" s="1"/>
      <c r="L2856" s="1"/>
      <c r="O2856" s="475"/>
      <c r="P2856" s="475"/>
      <c r="Q2856" s="475"/>
      <c r="R2856" s="475"/>
      <c r="S2856" s="475"/>
      <c r="T2856" s="475"/>
      <c r="U2856" s="475"/>
      <c r="V2856" s="475"/>
      <c r="W2856" s="475"/>
    </row>
    <row r="2857" spans="2:23" s="97" customFormat="1">
      <c r="B2857" s="96"/>
      <c r="H2857" s="96"/>
      <c r="J2857" s="1"/>
      <c r="K2857" s="1"/>
      <c r="L2857" s="1"/>
      <c r="O2857" s="475"/>
      <c r="P2857" s="475"/>
      <c r="Q2857" s="475"/>
      <c r="R2857" s="475"/>
      <c r="S2857" s="475"/>
      <c r="T2857" s="475"/>
      <c r="U2857" s="475"/>
      <c r="V2857" s="475"/>
      <c r="W2857" s="475"/>
    </row>
    <row r="2858" spans="2:23" s="97" customFormat="1">
      <c r="B2858" s="96"/>
      <c r="H2858" s="96"/>
      <c r="J2858" s="1"/>
      <c r="K2858" s="1"/>
      <c r="L2858" s="1"/>
      <c r="O2858" s="475"/>
      <c r="P2858" s="475"/>
      <c r="Q2858" s="475"/>
      <c r="R2858" s="475"/>
      <c r="S2858" s="475"/>
      <c r="T2858" s="475"/>
      <c r="U2858" s="475"/>
      <c r="V2858" s="475"/>
      <c r="W2858" s="475"/>
    </row>
    <row r="2859" spans="2:23" s="97" customFormat="1">
      <c r="B2859" s="96"/>
      <c r="H2859" s="96"/>
      <c r="J2859" s="1"/>
      <c r="K2859" s="1"/>
      <c r="L2859" s="1"/>
      <c r="O2859" s="475"/>
      <c r="P2859" s="475"/>
      <c r="Q2859" s="475"/>
      <c r="R2859" s="475"/>
      <c r="S2859" s="475"/>
      <c r="T2859" s="475"/>
      <c r="U2859" s="475"/>
      <c r="V2859" s="475"/>
      <c r="W2859" s="475"/>
    </row>
    <row r="2860" spans="2:23" s="97" customFormat="1">
      <c r="B2860" s="96"/>
      <c r="H2860" s="96"/>
      <c r="J2860" s="1"/>
      <c r="K2860" s="1"/>
      <c r="L2860" s="1"/>
      <c r="O2860" s="475"/>
      <c r="P2860" s="475"/>
      <c r="Q2860" s="475"/>
      <c r="R2860" s="475"/>
      <c r="S2860" s="475"/>
      <c r="T2860" s="475"/>
      <c r="U2860" s="475"/>
      <c r="V2860" s="475"/>
      <c r="W2860" s="475"/>
    </row>
    <row r="2861" spans="2:23" s="97" customFormat="1">
      <c r="B2861" s="96"/>
      <c r="H2861" s="96"/>
      <c r="J2861" s="1"/>
      <c r="K2861" s="1"/>
      <c r="L2861" s="1"/>
      <c r="O2861" s="475"/>
      <c r="P2861" s="475"/>
      <c r="Q2861" s="475"/>
      <c r="R2861" s="475"/>
      <c r="S2861" s="475"/>
      <c r="T2861" s="475"/>
      <c r="U2861" s="475"/>
      <c r="V2861" s="475"/>
      <c r="W2861" s="475"/>
    </row>
    <row r="2862" spans="2:23" s="97" customFormat="1">
      <c r="B2862" s="96"/>
      <c r="H2862" s="96"/>
      <c r="J2862" s="1"/>
      <c r="K2862" s="1"/>
      <c r="L2862" s="1"/>
      <c r="O2862" s="475"/>
      <c r="P2862" s="475"/>
      <c r="Q2862" s="475"/>
      <c r="R2862" s="475"/>
      <c r="S2862" s="475"/>
      <c r="T2862" s="475"/>
      <c r="U2862" s="475"/>
      <c r="V2862" s="475"/>
      <c r="W2862" s="475"/>
    </row>
    <row r="2863" spans="2:23" s="97" customFormat="1">
      <c r="B2863" s="96"/>
      <c r="H2863" s="96"/>
      <c r="J2863" s="1"/>
      <c r="K2863" s="1"/>
      <c r="L2863" s="1"/>
      <c r="O2863" s="475"/>
      <c r="P2863" s="475"/>
      <c r="Q2863" s="475"/>
      <c r="R2863" s="475"/>
      <c r="S2863" s="475"/>
      <c r="T2863" s="475"/>
      <c r="U2863" s="475"/>
      <c r="V2863" s="475"/>
      <c r="W2863" s="475"/>
    </row>
    <row r="2864" spans="2:23" s="97" customFormat="1">
      <c r="B2864" s="96"/>
      <c r="H2864" s="96"/>
      <c r="J2864" s="1"/>
      <c r="K2864" s="1"/>
      <c r="L2864" s="1"/>
      <c r="O2864" s="475"/>
      <c r="P2864" s="475"/>
      <c r="Q2864" s="475"/>
      <c r="R2864" s="475"/>
      <c r="S2864" s="475"/>
      <c r="T2864" s="475"/>
      <c r="U2864" s="475"/>
      <c r="V2864" s="475"/>
      <c r="W2864" s="475"/>
    </row>
    <row r="2865" spans="2:23" s="97" customFormat="1">
      <c r="B2865" s="96"/>
      <c r="H2865" s="96"/>
      <c r="J2865" s="1"/>
      <c r="K2865" s="1"/>
      <c r="L2865" s="1"/>
      <c r="O2865" s="475"/>
      <c r="P2865" s="475"/>
      <c r="Q2865" s="475"/>
      <c r="R2865" s="475"/>
      <c r="S2865" s="475"/>
      <c r="T2865" s="475"/>
      <c r="U2865" s="475"/>
      <c r="V2865" s="475"/>
      <c r="W2865" s="475"/>
    </row>
    <row r="2866" spans="2:23" s="97" customFormat="1">
      <c r="B2866" s="96"/>
      <c r="H2866" s="96"/>
      <c r="J2866" s="1"/>
      <c r="K2866" s="1"/>
      <c r="L2866" s="1"/>
      <c r="O2866" s="475"/>
      <c r="P2866" s="475"/>
      <c r="Q2866" s="475"/>
      <c r="R2866" s="475"/>
      <c r="S2866" s="475"/>
      <c r="T2866" s="475"/>
      <c r="U2866" s="475"/>
      <c r="V2866" s="475"/>
      <c r="W2866" s="475"/>
    </row>
    <row r="2867" spans="2:23" s="97" customFormat="1">
      <c r="B2867" s="96"/>
      <c r="H2867" s="96"/>
      <c r="J2867" s="1"/>
      <c r="K2867" s="1"/>
      <c r="L2867" s="1"/>
      <c r="O2867" s="475"/>
      <c r="P2867" s="475"/>
      <c r="Q2867" s="475"/>
      <c r="R2867" s="475"/>
      <c r="S2867" s="475"/>
      <c r="T2867" s="475"/>
      <c r="U2867" s="475"/>
      <c r="V2867" s="475"/>
      <c r="W2867" s="475"/>
    </row>
    <row r="2868" spans="2:23" s="97" customFormat="1">
      <c r="B2868" s="96"/>
      <c r="H2868" s="96"/>
      <c r="J2868" s="1"/>
      <c r="K2868" s="1"/>
      <c r="L2868" s="1"/>
      <c r="O2868" s="475"/>
      <c r="P2868" s="475"/>
      <c r="Q2868" s="475"/>
      <c r="R2868" s="475"/>
      <c r="S2868" s="475"/>
      <c r="T2868" s="475"/>
      <c r="U2868" s="475"/>
      <c r="V2868" s="475"/>
      <c r="W2868" s="475"/>
    </row>
    <row r="2869" spans="2:23" s="97" customFormat="1">
      <c r="B2869" s="96"/>
      <c r="H2869" s="96"/>
      <c r="J2869" s="1"/>
      <c r="K2869" s="1"/>
      <c r="L2869" s="1"/>
      <c r="O2869" s="475"/>
      <c r="P2869" s="475"/>
      <c r="Q2869" s="475"/>
      <c r="R2869" s="475"/>
      <c r="S2869" s="475"/>
      <c r="T2869" s="475"/>
      <c r="U2869" s="475"/>
      <c r="V2869" s="475"/>
      <c r="W2869" s="475"/>
    </row>
    <row r="2870" spans="2:23" s="97" customFormat="1">
      <c r="B2870" s="96"/>
      <c r="H2870" s="96"/>
      <c r="J2870" s="1"/>
      <c r="K2870" s="1"/>
      <c r="L2870" s="1"/>
      <c r="O2870" s="475"/>
      <c r="P2870" s="475"/>
      <c r="Q2870" s="475"/>
      <c r="R2870" s="475"/>
      <c r="S2870" s="475"/>
      <c r="T2870" s="475"/>
      <c r="U2870" s="475"/>
      <c r="V2870" s="475"/>
      <c r="W2870" s="475"/>
    </row>
    <row r="2871" spans="2:23" s="97" customFormat="1">
      <c r="B2871" s="96"/>
      <c r="H2871" s="96"/>
      <c r="J2871" s="1"/>
      <c r="K2871" s="1"/>
      <c r="L2871" s="1"/>
      <c r="O2871" s="475"/>
      <c r="P2871" s="475"/>
      <c r="Q2871" s="475"/>
      <c r="R2871" s="475"/>
      <c r="S2871" s="475"/>
      <c r="T2871" s="475"/>
      <c r="U2871" s="475"/>
      <c r="V2871" s="475"/>
      <c r="W2871" s="475"/>
    </row>
    <row r="2872" spans="2:23" s="97" customFormat="1">
      <c r="B2872" s="96"/>
      <c r="H2872" s="96"/>
      <c r="J2872" s="1"/>
      <c r="K2872" s="1"/>
      <c r="L2872" s="1"/>
      <c r="O2872" s="475"/>
      <c r="P2872" s="475"/>
      <c r="Q2872" s="475"/>
      <c r="R2872" s="475"/>
      <c r="S2872" s="475"/>
      <c r="T2872" s="475"/>
      <c r="U2872" s="475"/>
      <c r="V2872" s="475"/>
      <c r="W2872" s="475"/>
    </row>
    <row r="2873" spans="2:23" s="97" customFormat="1">
      <c r="B2873" s="96"/>
      <c r="H2873" s="96"/>
      <c r="J2873" s="1"/>
      <c r="K2873" s="1"/>
      <c r="L2873" s="1"/>
      <c r="O2873" s="475"/>
      <c r="P2873" s="475"/>
      <c r="Q2873" s="475"/>
      <c r="R2873" s="475"/>
      <c r="S2873" s="475"/>
      <c r="T2873" s="475"/>
      <c r="U2873" s="475"/>
      <c r="V2873" s="475"/>
      <c r="W2873" s="475"/>
    </row>
    <row r="2874" spans="2:23" s="97" customFormat="1">
      <c r="B2874" s="96"/>
      <c r="H2874" s="96"/>
      <c r="J2874" s="1"/>
      <c r="K2874" s="1"/>
      <c r="L2874" s="1"/>
      <c r="O2874" s="475"/>
      <c r="P2874" s="475"/>
      <c r="Q2874" s="475"/>
      <c r="R2874" s="475"/>
      <c r="S2874" s="475"/>
      <c r="T2874" s="475"/>
      <c r="U2874" s="475"/>
      <c r="V2874" s="475"/>
      <c r="W2874" s="475"/>
    </row>
    <row r="2875" spans="2:23" s="97" customFormat="1">
      <c r="B2875" s="96"/>
      <c r="H2875" s="96"/>
      <c r="J2875" s="1"/>
      <c r="K2875" s="1"/>
      <c r="L2875" s="1"/>
      <c r="O2875" s="475"/>
      <c r="P2875" s="475"/>
      <c r="Q2875" s="475"/>
      <c r="R2875" s="475"/>
      <c r="S2875" s="475"/>
      <c r="T2875" s="475"/>
      <c r="U2875" s="475"/>
      <c r="V2875" s="475"/>
      <c r="W2875" s="475"/>
    </row>
    <row r="2876" spans="2:23" s="97" customFormat="1">
      <c r="B2876" s="96"/>
      <c r="H2876" s="96"/>
      <c r="J2876" s="1"/>
      <c r="K2876" s="1"/>
      <c r="L2876" s="1"/>
      <c r="O2876" s="475"/>
      <c r="P2876" s="475"/>
      <c r="Q2876" s="475"/>
      <c r="R2876" s="475"/>
      <c r="S2876" s="475"/>
      <c r="T2876" s="475"/>
      <c r="U2876" s="475"/>
      <c r="V2876" s="475"/>
      <c r="W2876" s="475"/>
    </row>
    <row r="2877" spans="2:23" s="97" customFormat="1">
      <c r="B2877" s="96"/>
      <c r="H2877" s="96"/>
      <c r="J2877" s="1"/>
      <c r="K2877" s="1"/>
      <c r="L2877" s="1"/>
      <c r="O2877" s="475"/>
      <c r="P2877" s="475"/>
      <c r="Q2877" s="475"/>
      <c r="R2877" s="475"/>
      <c r="S2877" s="475"/>
      <c r="T2877" s="475"/>
      <c r="U2877" s="475"/>
      <c r="V2877" s="475"/>
      <c r="W2877" s="475"/>
    </row>
    <row r="2878" spans="2:23" s="97" customFormat="1">
      <c r="B2878" s="96"/>
      <c r="H2878" s="96"/>
      <c r="J2878" s="1"/>
      <c r="K2878" s="1"/>
      <c r="L2878" s="1"/>
      <c r="O2878" s="475"/>
      <c r="P2878" s="475"/>
      <c r="Q2878" s="475"/>
      <c r="R2878" s="475"/>
      <c r="S2878" s="475"/>
      <c r="T2878" s="475"/>
      <c r="U2878" s="475"/>
      <c r="V2878" s="475"/>
      <c r="W2878" s="475"/>
    </row>
    <row r="2879" spans="2:23" s="97" customFormat="1">
      <c r="B2879" s="96"/>
      <c r="H2879" s="96"/>
      <c r="J2879" s="1"/>
      <c r="K2879" s="1"/>
      <c r="L2879" s="1"/>
      <c r="O2879" s="475"/>
      <c r="P2879" s="475"/>
      <c r="Q2879" s="475"/>
      <c r="R2879" s="475"/>
      <c r="S2879" s="475"/>
      <c r="T2879" s="475"/>
      <c r="U2879" s="475"/>
      <c r="V2879" s="475"/>
      <c r="W2879" s="475"/>
    </row>
    <row r="2880" spans="2:23" s="97" customFormat="1">
      <c r="B2880" s="96"/>
      <c r="H2880" s="96"/>
      <c r="J2880" s="1"/>
      <c r="K2880" s="1"/>
      <c r="L2880" s="1"/>
      <c r="O2880" s="475"/>
      <c r="P2880" s="475"/>
      <c r="Q2880" s="475"/>
      <c r="R2880" s="475"/>
      <c r="S2880" s="475"/>
      <c r="T2880" s="475"/>
      <c r="U2880" s="475"/>
      <c r="V2880" s="475"/>
      <c r="W2880" s="475"/>
    </row>
    <row r="2881" spans="2:23" s="97" customFormat="1">
      <c r="B2881" s="96"/>
      <c r="H2881" s="96"/>
      <c r="J2881" s="1"/>
      <c r="K2881" s="1"/>
      <c r="L2881" s="1"/>
      <c r="O2881" s="475"/>
      <c r="P2881" s="475"/>
      <c r="Q2881" s="475"/>
      <c r="R2881" s="475"/>
      <c r="S2881" s="475"/>
      <c r="T2881" s="475"/>
      <c r="U2881" s="475"/>
      <c r="V2881" s="475"/>
      <c r="W2881" s="475"/>
    </row>
    <row r="2882" spans="2:23" s="97" customFormat="1">
      <c r="B2882" s="96"/>
      <c r="H2882" s="96"/>
      <c r="J2882" s="1"/>
      <c r="K2882" s="1"/>
      <c r="L2882" s="1"/>
      <c r="O2882" s="475"/>
      <c r="P2882" s="475"/>
      <c r="Q2882" s="475"/>
      <c r="R2882" s="475"/>
      <c r="S2882" s="475"/>
      <c r="T2882" s="475"/>
      <c r="U2882" s="475"/>
      <c r="V2882" s="475"/>
      <c r="W2882" s="475"/>
    </row>
    <row r="2883" spans="2:23" s="97" customFormat="1">
      <c r="B2883" s="96"/>
      <c r="H2883" s="96"/>
      <c r="J2883" s="1"/>
      <c r="K2883" s="1"/>
      <c r="L2883" s="1"/>
      <c r="O2883" s="475"/>
      <c r="P2883" s="475"/>
      <c r="Q2883" s="475"/>
      <c r="R2883" s="475"/>
      <c r="S2883" s="475"/>
      <c r="T2883" s="475"/>
      <c r="U2883" s="475"/>
      <c r="V2883" s="475"/>
      <c r="W2883" s="475"/>
    </row>
    <row r="2884" spans="2:23" s="97" customFormat="1">
      <c r="B2884" s="96"/>
      <c r="H2884" s="96"/>
      <c r="J2884" s="1"/>
      <c r="K2884" s="1"/>
      <c r="L2884" s="1"/>
      <c r="O2884" s="475"/>
      <c r="P2884" s="475"/>
      <c r="Q2884" s="475"/>
      <c r="R2884" s="475"/>
      <c r="S2884" s="475"/>
      <c r="T2884" s="475"/>
      <c r="U2884" s="475"/>
      <c r="V2884" s="475"/>
      <c r="W2884" s="475"/>
    </row>
    <row r="2885" spans="2:23" s="97" customFormat="1">
      <c r="B2885" s="96"/>
      <c r="H2885" s="96"/>
      <c r="J2885" s="1"/>
      <c r="K2885" s="1"/>
      <c r="L2885" s="1"/>
      <c r="O2885" s="475"/>
      <c r="P2885" s="475"/>
      <c r="Q2885" s="475"/>
      <c r="R2885" s="475"/>
      <c r="S2885" s="475"/>
      <c r="T2885" s="475"/>
      <c r="U2885" s="475"/>
      <c r="V2885" s="475"/>
      <c r="W2885" s="475"/>
    </row>
    <row r="2886" spans="2:23" s="97" customFormat="1">
      <c r="B2886" s="96"/>
      <c r="H2886" s="96"/>
      <c r="J2886" s="1"/>
      <c r="K2886" s="1"/>
      <c r="L2886" s="1"/>
      <c r="O2886" s="475"/>
      <c r="P2886" s="475"/>
      <c r="Q2886" s="475"/>
      <c r="R2886" s="475"/>
      <c r="S2886" s="475"/>
      <c r="T2886" s="475"/>
      <c r="U2886" s="475"/>
      <c r="V2886" s="475"/>
      <c r="W2886" s="475"/>
    </row>
    <row r="2887" spans="2:23" s="97" customFormat="1">
      <c r="B2887" s="96"/>
      <c r="H2887" s="96"/>
      <c r="J2887" s="1"/>
      <c r="K2887" s="1"/>
      <c r="L2887" s="1"/>
      <c r="O2887" s="475"/>
      <c r="P2887" s="475"/>
      <c r="Q2887" s="475"/>
      <c r="R2887" s="475"/>
      <c r="S2887" s="475"/>
      <c r="T2887" s="475"/>
      <c r="U2887" s="475"/>
      <c r="V2887" s="475"/>
      <c r="W2887" s="475"/>
    </row>
    <row r="2888" spans="2:23" s="97" customFormat="1">
      <c r="B2888" s="96"/>
      <c r="H2888" s="96"/>
      <c r="J2888" s="1"/>
      <c r="K2888" s="1"/>
      <c r="L2888" s="1"/>
      <c r="O2888" s="475"/>
      <c r="P2888" s="475"/>
      <c r="Q2888" s="475"/>
      <c r="R2888" s="475"/>
      <c r="S2888" s="475"/>
      <c r="T2888" s="475"/>
      <c r="U2888" s="475"/>
      <c r="V2888" s="475"/>
      <c r="W2888" s="475"/>
    </row>
    <row r="2889" spans="2:23" s="97" customFormat="1">
      <c r="B2889" s="96"/>
      <c r="H2889" s="96"/>
      <c r="J2889" s="1"/>
      <c r="K2889" s="1"/>
      <c r="L2889" s="1"/>
      <c r="O2889" s="475"/>
      <c r="P2889" s="475"/>
      <c r="Q2889" s="475"/>
      <c r="R2889" s="475"/>
      <c r="S2889" s="475"/>
      <c r="T2889" s="475"/>
      <c r="U2889" s="475"/>
      <c r="V2889" s="475"/>
      <c r="W2889" s="475"/>
    </row>
    <row r="2890" spans="2:23" s="97" customFormat="1">
      <c r="B2890" s="96"/>
      <c r="H2890" s="96"/>
      <c r="J2890" s="1"/>
      <c r="K2890" s="1"/>
      <c r="L2890" s="1"/>
      <c r="O2890" s="475"/>
      <c r="P2890" s="475"/>
      <c r="Q2890" s="475"/>
      <c r="R2890" s="475"/>
      <c r="S2890" s="475"/>
      <c r="T2890" s="475"/>
      <c r="U2890" s="475"/>
      <c r="V2890" s="475"/>
      <c r="W2890" s="475"/>
    </row>
    <row r="2891" spans="2:23" s="97" customFormat="1">
      <c r="B2891" s="96"/>
      <c r="H2891" s="96"/>
      <c r="J2891" s="1"/>
      <c r="K2891" s="1"/>
      <c r="L2891" s="1"/>
      <c r="O2891" s="475"/>
      <c r="P2891" s="475"/>
      <c r="Q2891" s="475"/>
      <c r="R2891" s="475"/>
      <c r="S2891" s="475"/>
      <c r="T2891" s="475"/>
      <c r="U2891" s="475"/>
      <c r="V2891" s="475"/>
      <c r="W2891" s="475"/>
    </row>
    <row r="2892" spans="2:23" s="97" customFormat="1">
      <c r="B2892" s="96"/>
      <c r="H2892" s="96"/>
      <c r="J2892" s="1"/>
      <c r="K2892" s="1"/>
      <c r="L2892" s="1"/>
      <c r="O2892" s="475"/>
      <c r="P2892" s="475"/>
      <c r="Q2892" s="475"/>
      <c r="R2892" s="475"/>
      <c r="S2892" s="475"/>
      <c r="T2892" s="475"/>
      <c r="U2892" s="475"/>
      <c r="V2892" s="475"/>
      <c r="W2892" s="475"/>
    </row>
    <row r="2893" spans="2:23" s="97" customFormat="1">
      <c r="B2893" s="96"/>
      <c r="H2893" s="96"/>
      <c r="J2893" s="1"/>
      <c r="K2893" s="1"/>
      <c r="L2893" s="1"/>
      <c r="O2893" s="475"/>
      <c r="P2893" s="475"/>
      <c r="Q2893" s="475"/>
      <c r="R2893" s="475"/>
      <c r="S2893" s="475"/>
      <c r="T2893" s="475"/>
      <c r="U2893" s="475"/>
      <c r="V2893" s="475"/>
      <c r="W2893" s="475"/>
    </row>
    <row r="2894" spans="2:23" s="97" customFormat="1">
      <c r="B2894" s="96"/>
      <c r="H2894" s="96"/>
      <c r="J2894" s="1"/>
      <c r="K2894" s="1"/>
      <c r="L2894" s="1"/>
      <c r="O2894" s="475"/>
      <c r="P2894" s="475"/>
      <c r="Q2894" s="475"/>
      <c r="R2894" s="475"/>
      <c r="S2894" s="475"/>
      <c r="T2894" s="475"/>
      <c r="U2894" s="475"/>
      <c r="V2894" s="475"/>
      <c r="W2894" s="475"/>
    </row>
    <row r="2895" spans="2:23" s="97" customFormat="1">
      <c r="B2895" s="96"/>
      <c r="H2895" s="96"/>
      <c r="J2895" s="1"/>
      <c r="K2895" s="1"/>
      <c r="L2895" s="1"/>
      <c r="O2895" s="475"/>
      <c r="P2895" s="475"/>
      <c r="Q2895" s="475"/>
      <c r="R2895" s="475"/>
      <c r="S2895" s="475"/>
      <c r="T2895" s="475"/>
      <c r="U2895" s="475"/>
      <c r="V2895" s="475"/>
      <c r="W2895" s="475"/>
    </row>
    <row r="2896" spans="2:23" s="97" customFormat="1">
      <c r="B2896" s="96"/>
      <c r="H2896" s="96"/>
      <c r="J2896" s="1"/>
      <c r="K2896" s="1"/>
      <c r="L2896" s="1"/>
      <c r="O2896" s="475"/>
      <c r="P2896" s="475"/>
      <c r="Q2896" s="475"/>
      <c r="R2896" s="475"/>
      <c r="S2896" s="475"/>
      <c r="T2896" s="475"/>
      <c r="U2896" s="475"/>
      <c r="V2896" s="475"/>
      <c r="W2896" s="475"/>
    </row>
    <row r="2897" spans="2:23" s="97" customFormat="1">
      <c r="B2897" s="96"/>
      <c r="H2897" s="96"/>
      <c r="J2897" s="1"/>
      <c r="K2897" s="1"/>
      <c r="L2897" s="1"/>
      <c r="O2897" s="475"/>
      <c r="P2897" s="475"/>
      <c r="Q2897" s="475"/>
      <c r="R2897" s="475"/>
      <c r="S2897" s="475"/>
      <c r="T2897" s="475"/>
      <c r="U2897" s="475"/>
      <c r="V2897" s="475"/>
      <c r="W2897" s="475"/>
    </row>
    <row r="2898" spans="2:23" s="97" customFormat="1">
      <c r="B2898" s="96"/>
      <c r="H2898" s="96"/>
      <c r="J2898" s="1"/>
      <c r="K2898" s="1"/>
      <c r="L2898" s="1"/>
      <c r="O2898" s="475"/>
      <c r="P2898" s="475"/>
      <c r="Q2898" s="475"/>
      <c r="R2898" s="475"/>
      <c r="S2898" s="475"/>
      <c r="T2898" s="475"/>
      <c r="U2898" s="475"/>
      <c r="V2898" s="475"/>
      <c r="W2898" s="475"/>
    </row>
    <row r="2899" spans="2:23" s="97" customFormat="1">
      <c r="B2899" s="96"/>
      <c r="H2899" s="96"/>
      <c r="J2899" s="1"/>
      <c r="K2899" s="1"/>
      <c r="L2899" s="1"/>
      <c r="O2899" s="475"/>
      <c r="P2899" s="475"/>
      <c r="Q2899" s="475"/>
      <c r="R2899" s="475"/>
      <c r="S2899" s="475"/>
      <c r="T2899" s="475"/>
      <c r="U2899" s="475"/>
      <c r="V2899" s="475"/>
      <c r="W2899" s="475"/>
    </row>
    <row r="2900" spans="2:23" s="97" customFormat="1">
      <c r="B2900" s="96"/>
      <c r="H2900" s="96"/>
      <c r="J2900" s="1"/>
      <c r="K2900" s="1"/>
      <c r="L2900" s="1"/>
      <c r="O2900" s="475"/>
      <c r="P2900" s="475"/>
      <c r="Q2900" s="475"/>
      <c r="R2900" s="475"/>
      <c r="S2900" s="475"/>
      <c r="T2900" s="475"/>
      <c r="U2900" s="475"/>
      <c r="V2900" s="475"/>
      <c r="W2900" s="475"/>
    </row>
    <row r="2901" spans="2:23" s="97" customFormat="1">
      <c r="B2901" s="96"/>
      <c r="H2901" s="96"/>
      <c r="J2901" s="1"/>
      <c r="K2901" s="1"/>
      <c r="L2901" s="1"/>
      <c r="O2901" s="475"/>
      <c r="P2901" s="475"/>
      <c r="Q2901" s="475"/>
      <c r="R2901" s="475"/>
      <c r="S2901" s="475"/>
      <c r="T2901" s="475"/>
      <c r="U2901" s="475"/>
      <c r="V2901" s="475"/>
      <c r="W2901" s="475"/>
    </row>
    <row r="2902" spans="2:23" s="97" customFormat="1">
      <c r="B2902" s="96"/>
      <c r="H2902" s="96"/>
      <c r="J2902" s="1"/>
      <c r="K2902" s="1"/>
      <c r="L2902" s="1"/>
      <c r="O2902" s="475"/>
      <c r="P2902" s="475"/>
      <c r="Q2902" s="475"/>
      <c r="R2902" s="475"/>
      <c r="S2902" s="475"/>
      <c r="T2902" s="475"/>
      <c r="U2902" s="475"/>
      <c r="V2902" s="475"/>
      <c r="W2902" s="475"/>
    </row>
    <row r="2903" spans="2:23" s="97" customFormat="1">
      <c r="B2903" s="96"/>
      <c r="H2903" s="96"/>
      <c r="J2903" s="1"/>
      <c r="K2903" s="1"/>
      <c r="L2903" s="1"/>
      <c r="O2903" s="475"/>
      <c r="P2903" s="475"/>
      <c r="Q2903" s="475"/>
      <c r="R2903" s="475"/>
      <c r="S2903" s="475"/>
      <c r="T2903" s="475"/>
      <c r="U2903" s="475"/>
      <c r="V2903" s="475"/>
      <c r="W2903" s="475"/>
    </row>
    <row r="2904" spans="2:23" s="97" customFormat="1">
      <c r="B2904" s="96"/>
      <c r="H2904" s="96"/>
      <c r="J2904" s="1"/>
      <c r="K2904" s="1"/>
      <c r="L2904" s="1"/>
      <c r="O2904" s="475"/>
      <c r="P2904" s="475"/>
      <c r="Q2904" s="475"/>
      <c r="R2904" s="475"/>
      <c r="S2904" s="475"/>
      <c r="T2904" s="475"/>
      <c r="U2904" s="475"/>
      <c r="V2904" s="475"/>
      <c r="W2904" s="475"/>
    </row>
    <row r="2905" spans="2:23" s="97" customFormat="1">
      <c r="B2905" s="96"/>
      <c r="H2905" s="96"/>
      <c r="J2905" s="1"/>
      <c r="K2905" s="1"/>
      <c r="L2905" s="1"/>
      <c r="O2905" s="475"/>
      <c r="P2905" s="475"/>
      <c r="Q2905" s="475"/>
      <c r="R2905" s="475"/>
      <c r="S2905" s="475"/>
      <c r="T2905" s="475"/>
      <c r="U2905" s="475"/>
      <c r="V2905" s="475"/>
      <c r="W2905" s="475"/>
    </row>
    <row r="2906" spans="2:23" s="97" customFormat="1">
      <c r="B2906" s="96"/>
      <c r="H2906" s="96"/>
      <c r="J2906" s="1"/>
      <c r="K2906" s="1"/>
      <c r="L2906" s="1"/>
      <c r="O2906" s="475"/>
      <c r="P2906" s="475"/>
      <c r="Q2906" s="475"/>
      <c r="R2906" s="475"/>
      <c r="S2906" s="475"/>
      <c r="T2906" s="475"/>
      <c r="U2906" s="475"/>
      <c r="V2906" s="475"/>
      <c r="W2906" s="475"/>
    </row>
    <row r="2907" spans="2:23" s="97" customFormat="1">
      <c r="B2907" s="96"/>
      <c r="H2907" s="96"/>
      <c r="J2907" s="1"/>
      <c r="K2907" s="1"/>
      <c r="L2907" s="1"/>
      <c r="O2907" s="475"/>
      <c r="P2907" s="475"/>
      <c r="Q2907" s="475"/>
      <c r="R2907" s="475"/>
      <c r="S2907" s="475"/>
      <c r="T2907" s="475"/>
      <c r="U2907" s="475"/>
      <c r="V2907" s="475"/>
      <c r="W2907" s="475"/>
    </row>
    <row r="2908" spans="2:23" s="97" customFormat="1">
      <c r="B2908" s="96"/>
      <c r="H2908" s="96"/>
      <c r="J2908" s="1"/>
      <c r="K2908" s="1"/>
      <c r="L2908" s="1"/>
      <c r="O2908" s="475"/>
      <c r="P2908" s="475"/>
      <c r="Q2908" s="475"/>
      <c r="R2908" s="475"/>
      <c r="S2908" s="475"/>
      <c r="T2908" s="475"/>
      <c r="U2908" s="475"/>
      <c r="V2908" s="475"/>
      <c r="W2908" s="475"/>
    </row>
    <row r="2909" spans="2:23" s="97" customFormat="1">
      <c r="B2909" s="96"/>
      <c r="H2909" s="96"/>
      <c r="J2909" s="1"/>
      <c r="K2909" s="1"/>
      <c r="L2909" s="1"/>
      <c r="O2909" s="475"/>
      <c r="P2909" s="475"/>
      <c r="Q2909" s="475"/>
      <c r="R2909" s="475"/>
      <c r="S2909" s="475"/>
      <c r="T2909" s="475"/>
      <c r="U2909" s="475"/>
      <c r="V2909" s="475"/>
      <c r="W2909" s="475"/>
    </row>
    <row r="2910" spans="2:23" s="97" customFormat="1">
      <c r="B2910" s="96"/>
      <c r="H2910" s="96"/>
      <c r="J2910" s="1"/>
      <c r="K2910" s="1"/>
      <c r="L2910" s="1"/>
      <c r="O2910" s="475"/>
      <c r="P2910" s="475"/>
      <c r="Q2910" s="475"/>
      <c r="R2910" s="475"/>
      <c r="S2910" s="475"/>
      <c r="T2910" s="475"/>
      <c r="U2910" s="475"/>
      <c r="V2910" s="475"/>
      <c r="W2910" s="475"/>
    </row>
    <row r="2911" spans="2:23" s="97" customFormat="1">
      <c r="B2911" s="96"/>
      <c r="H2911" s="96"/>
      <c r="J2911" s="1"/>
      <c r="K2911" s="1"/>
      <c r="L2911" s="1"/>
      <c r="O2911" s="475"/>
      <c r="P2911" s="475"/>
      <c r="Q2911" s="475"/>
      <c r="R2911" s="475"/>
      <c r="S2911" s="475"/>
      <c r="T2911" s="475"/>
      <c r="U2911" s="475"/>
      <c r="V2911" s="475"/>
      <c r="W2911" s="475"/>
    </row>
    <row r="2912" spans="2:23" s="97" customFormat="1">
      <c r="B2912" s="96"/>
      <c r="H2912" s="96"/>
      <c r="J2912" s="1"/>
      <c r="K2912" s="1"/>
      <c r="L2912" s="1"/>
      <c r="O2912" s="475"/>
      <c r="P2912" s="475"/>
      <c r="Q2912" s="475"/>
      <c r="R2912" s="475"/>
      <c r="S2912" s="475"/>
      <c r="T2912" s="475"/>
      <c r="U2912" s="475"/>
      <c r="V2912" s="475"/>
      <c r="W2912" s="475"/>
    </row>
    <row r="2913" spans="2:23" s="97" customFormat="1">
      <c r="B2913" s="96"/>
      <c r="H2913" s="96"/>
      <c r="J2913" s="1"/>
      <c r="K2913" s="1"/>
      <c r="L2913" s="1"/>
      <c r="O2913" s="475"/>
      <c r="P2913" s="475"/>
      <c r="Q2913" s="475"/>
      <c r="R2913" s="475"/>
      <c r="S2913" s="475"/>
      <c r="T2913" s="475"/>
      <c r="U2913" s="475"/>
      <c r="V2913" s="475"/>
      <c r="W2913" s="475"/>
    </row>
    <row r="2914" spans="2:23" s="97" customFormat="1">
      <c r="B2914" s="96"/>
      <c r="H2914" s="96"/>
      <c r="J2914" s="1"/>
      <c r="K2914" s="1"/>
      <c r="L2914" s="1"/>
      <c r="O2914" s="475"/>
      <c r="P2914" s="475"/>
      <c r="Q2914" s="475"/>
      <c r="R2914" s="475"/>
      <c r="S2914" s="475"/>
      <c r="T2914" s="475"/>
      <c r="U2914" s="475"/>
      <c r="V2914" s="475"/>
      <c r="W2914" s="475"/>
    </row>
    <row r="2915" spans="2:23" s="97" customFormat="1">
      <c r="B2915" s="96"/>
      <c r="H2915" s="96"/>
      <c r="J2915" s="1"/>
      <c r="K2915" s="1"/>
      <c r="L2915" s="1"/>
      <c r="O2915" s="475"/>
      <c r="P2915" s="475"/>
      <c r="Q2915" s="475"/>
      <c r="R2915" s="475"/>
      <c r="S2915" s="475"/>
      <c r="T2915" s="475"/>
      <c r="U2915" s="475"/>
      <c r="V2915" s="475"/>
      <c r="W2915" s="475"/>
    </row>
    <row r="2916" spans="2:23" s="97" customFormat="1">
      <c r="B2916" s="96"/>
      <c r="H2916" s="96"/>
      <c r="J2916" s="1"/>
      <c r="K2916" s="1"/>
      <c r="L2916" s="1"/>
      <c r="O2916" s="475"/>
      <c r="P2916" s="475"/>
      <c r="Q2916" s="475"/>
      <c r="R2916" s="475"/>
      <c r="S2916" s="475"/>
      <c r="T2916" s="475"/>
      <c r="U2916" s="475"/>
      <c r="V2916" s="475"/>
      <c r="W2916" s="475"/>
    </row>
    <row r="2917" spans="2:23" s="97" customFormat="1">
      <c r="B2917" s="96"/>
      <c r="H2917" s="96"/>
      <c r="J2917" s="1"/>
      <c r="K2917" s="1"/>
      <c r="L2917" s="1"/>
      <c r="O2917" s="475"/>
      <c r="P2917" s="475"/>
      <c r="Q2917" s="475"/>
      <c r="R2917" s="475"/>
      <c r="S2917" s="475"/>
      <c r="T2917" s="475"/>
      <c r="U2917" s="475"/>
      <c r="V2917" s="475"/>
      <c r="W2917" s="475"/>
    </row>
    <row r="2918" spans="2:23" s="97" customFormat="1">
      <c r="B2918" s="96"/>
      <c r="H2918" s="96"/>
      <c r="J2918" s="1"/>
      <c r="K2918" s="1"/>
      <c r="L2918" s="1"/>
      <c r="O2918" s="475"/>
      <c r="P2918" s="475"/>
      <c r="Q2918" s="475"/>
      <c r="R2918" s="475"/>
      <c r="S2918" s="475"/>
      <c r="T2918" s="475"/>
      <c r="U2918" s="475"/>
      <c r="V2918" s="475"/>
      <c r="W2918" s="475"/>
    </row>
    <row r="2919" spans="2:23" s="97" customFormat="1">
      <c r="B2919" s="96"/>
      <c r="H2919" s="96"/>
      <c r="J2919" s="1"/>
      <c r="K2919" s="1"/>
      <c r="L2919" s="1"/>
      <c r="O2919" s="475"/>
      <c r="P2919" s="475"/>
      <c r="Q2919" s="475"/>
      <c r="R2919" s="475"/>
      <c r="S2919" s="475"/>
      <c r="T2919" s="475"/>
      <c r="U2919" s="475"/>
      <c r="V2919" s="475"/>
      <c r="W2919" s="475"/>
    </row>
    <row r="2920" spans="2:23" s="97" customFormat="1">
      <c r="B2920" s="96"/>
      <c r="H2920" s="96"/>
      <c r="J2920" s="1"/>
      <c r="K2920" s="1"/>
      <c r="L2920" s="1"/>
      <c r="O2920" s="475"/>
      <c r="P2920" s="475"/>
      <c r="Q2920" s="475"/>
      <c r="R2920" s="475"/>
      <c r="S2920" s="475"/>
      <c r="T2920" s="475"/>
      <c r="U2920" s="475"/>
      <c r="V2920" s="475"/>
      <c r="W2920" s="475"/>
    </row>
    <row r="2921" spans="2:23" s="97" customFormat="1">
      <c r="B2921" s="96"/>
      <c r="H2921" s="96"/>
      <c r="J2921" s="1"/>
      <c r="K2921" s="1"/>
      <c r="L2921" s="1"/>
      <c r="O2921" s="475"/>
      <c r="P2921" s="475"/>
      <c r="Q2921" s="475"/>
      <c r="R2921" s="475"/>
      <c r="S2921" s="475"/>
      <c r="T2921" s="475"/>
      <c r="U2921" s="475"/>
      <c r="V2921" s="475"/>
      <c r="W2921" s="475"/>
    </row>
    <row r="2922" spans="2:23" s="97" customFormat="1">
      <c r="B2922" s="96"/>
      <c r="H2922" s="96"/>
      <c r="J2922" s="1"/>
      <c r="K2922" s="1"/>
      <c r="L2922" s="1"/>
      <c r="O2922" s="475"/>
      <c r="P2922" s="475"/>
      <c r="Q2922" s="475"/>
      <c r="R2922" s="475"/>
      <c r="S2922" s="475"/>
      <c r="T2922" s="475"/>
      <c r="U2922" s="475"/>
      <c r="V2922" s="475"/>
      <c r="W2922" s="475"/>
    </row>
    <row r="2923" spans="2:23" s="97" customFormat="1">
      <c r="B2923" s="96"/>
      <c r="H2923" s="96"/>
      <c r="J2923" s="1"/>
      <c r="K2923" s="1"/>
      <c r="L2923" s="1"/>
      <c r="O2923" s="475"/>
      <c r="P2923" s="475"/>
      <c r="Q2923" s="475"/>
      <c r="R2923" s="475"/>
      <c r="S2923" s="475"/>
      <c r="T2923" s="475"/>
      <c r="U2923" s="475"/>
      <c r="V2923" s="475"/>
      <c r="W2923" s="475"/>
    </row>
    <row r="2924" spans="2:23" s="97" customFormat="1">
      <c r="B2924" s="96"/>
      <c r="H2924" s="96"/>
      <c r="J2924" s="1"/>
      <c r="K2924" s="1"/>
      <c r="L2924" s="1"/>
      <c r="O2924" s="475"/>
      <c r="P2924" s="475"/>
      <c r="Q2924" s="475"/>
      <c r="R2924" s="475"/>
      <c r="S2924" s="475"/>
      <c r="T2924" s="475"/>
      <c r="U2924" s="475"/>
      <c r="V2924" s="475"/>
      <c r="W2924" s="475"/>
    </row>
    <row r="2925" spans="2:23" s="97" customFormat="1">
      <c r="B2925" s="96"/>
      <c r="H2925" s="96"/>
      <c r="J2925" s="1"/>
      <c r="K2925" s="1"/>
      <c r="L2925" s="1"/>
      <c r="O2925" s="475"/>
      <c r="P2925" s="475"/>
      <c r="Q2925" s="475"/>
      <c r="R2925" s="475"/>
      <c r="S2925" s="475"/>
      <c r="T2925" s="475"/>
      <c r="U2925" s="475"/>
      <c r="V2925" s="475"/>
      <c r="W2925" s="475"/>
    </row>
    <row r="2926" spans="2:23" s="97" customFormat="1">
      <c r="B2926" s="96"/>
      <c r="H2926" s="96"/>
      <c r="J2926" s="1"/>
      <c r="K2926" s="1"/>
      <c r="L2926" s="1"/>
      <c r="O2926" s="475"/>
      <c r="P2926" s="475"/>
      <c r="Q2926" s="475"/>
      <c r="R2926" s="475"/>
      <c r="S2926" s="475"/>
      <c r="T2926" s="475"/>
      <c r="U2926" s="475"/>
      <c r="V2926" s="475"/>
      <c r="W2926" s="475"/>
    </row>
    <row r="2927" spans="2:23" s="97" customFormat="1">
      <c r="B2927" s="96"/>
      <c r="H2927" s="96"/>
      <c r="J2927" s="1"/>
      <c r="K2927" s="1"/>
      <c r="L2927" s="1"/>
      <c r="O2927" s="475"/>
      <c r="P2927" s="475"/>
      <c r="Q2927" s="475"/>
      <c r="R2927" s="475"/>
      <c r="S2927" s="475"/>
      <c r="T2927" s="475"/>
      <c r="U2927" s="475"/>
      <c r="V2927" s="475"/>
      <c r="W2927" s="475"/>
    </row>
    <row r="2928" spans="2:23" s="97" customFormat="1">
      <c r="B2928" s="96"/>
      <c r="H2928" s="96"/>
      <c r="J2928" s="1"/>
      <c r="K2928" s="1"/>
      <c r="L2928" s="1"/>
      <c r="O2928" s="475"/>
      <c r="P2928" s="475"/>
      <c r="Q2928" s="475"/>
      <c r="R2928" s="475"/>
      <c r="S2928" s="475"/>
      <c r="T2928" s="475"/>
      <c r="U2928" s="475"/>
      <c r="V2928" s="475"/>
      <c r="W2928" s="475"/>
    </row>
    <row r="2929" spans="2:23" s="97" customFormat="1">
      <c r="B2929" s="96"/>
      <c r="H2929" s="96"/>
      <c r="J2929" s="1"/>
      <c r="K2929" s="1"/>
      <c r="L2929" s="1"/>
      <c r="O2929" s="475"/>
      <c r="P2929" s="475"/>
      <c r="Q2929" s="475"/>
      <c r="R2929" s="475"/>
      <c r="S2929" s="475"/>
      <c r="T2929" s="475"/>
      <c r="U2929" s="475"/>
      <c r="V2929" s="475"/>
      <c r="W2929" s="475"/>
    </row>
    <row r="2930" spans="2:23" s="97" customFormat="1">
      <c r="B2930" s="96"/>
      <c r="H2930" s="96"/>
      <c r="J2930" s="1"/>
      <c r="K2930" s="1"/>
      <c r="L2930" s="1"/>
      <c r="O2930" s="475"/>
      <c r="P2930" s="475"/>
      <c r="Q2930" s="475"/>
      <c r="R2930" s="475"/>
      <c r="S2930" s="475"/>
      <c r="T2930" s="475"/>
      <c r="U2930" s="475"/>
      <c r="V2930" s="475"/>
      <c r="W2930" s="475"/>
    </row>
    <row r="2931" spans="2:23" s="97" customFormat="1">
      <c r="B2931" s="96"/>
      <c r="H2931" s="96"/>
      <c r="J2931" s="1"/>
      <c r="K2931" s="1"/>
      <c r="L2931" s="1"/>
      <c r="O2931" s="475"/>
      <c r="P2931" s="475"/>
      <c r="Q2931" s="475"/>
      <c r="R2931" s="475"/>
      <c r="S2931" s="475"/>
      <c r="T2931" s="475"/>
      <c r="U2931" s="475"/>
      <c r="V2931" s="475"/>
      <c r="W2931" s="475"/>
    </row>
    <row r="2932" spans="2:23" s="97" customFormat="1">
      <c r="B2932" s="96"/>
      <c r="H2932" s="96"/>
      <c r="J2932" s="1"/>
      <c r="K2932" s="1"/>
      <c r="L2932" s="1"/>
      <c r="O2932" s="475"/>
      <c r="P2932" s="475"/>
      <c r="Q2932" s="475"/>
      <c r="R2932" s="475"/>
      <c r="S2932" s="475"/>
      <c r="T2932" s="475"/>
      <c r="U2932" s="475"/>
      <c r="V2932" s="475"/>
      <c r="W2932" s="475"/>
    </row>
    <row r="2933" spans="2:23" s="97" customFormat="1">
      <c r="B2933" s="96"/>
      <c r="H2933" s="96"/>
      <c r="J2933" s="1"/>
      <c r="K2933" s="1"/>
      <c r="L2933" s="1"/>
      <c r="O2933" s="475"/>
      <c r="P2933" s="475"/>
      <c r="Q2933" s="475"/>
      <c r="R2933" s="475"/>
      <c r="S2933" s="475"/>
      <c r="T2933" s="475"/>
      <c r="U2933" s="475"/>
      <c r="V2933" s="475"/>
      <c r="W2933" s="475"/>
    </row>
    <row r="2934" spans="2:23" s="97" customFormat="1">
      <c r="B2934" s="96"/>
      <c r="H2934" s="96"/>
      <c r="J2934" s="1"/>
      <c r="K2934" s="1"/>
      <c r="L2934" s="1"/>
      <c r="O2934" s="475"/>
      <c r="P2934" s="475"/>
      <c r="Q2934" s="475"/>
      <c r="R2934" s="475"/>
      <c r="S2934" s="475"/>
      <c r="T2934" s="475"/>
      <c r="U2934" s="475"/>
      <c r="V2934" s="475"/>
      <c r="W2934" s="475"/>
    </row>
    <row r="2935" spans="2:23" s="97" customFormat="1">
      <c r="B2935" s="96"/>
      <c r="H2935" s="96"/>
      <c r="J2935" s="1"/>
      <c r="K2935" s="1"/>
      <c r="L2935" s="1"/>
      <c r="O2935" s="475"/>
      <c r="P2935" s="475"/>
      <c r="Q2935" s="475"/>
      <c r="R2935" s="475"/>
      <c r="S2935" s="475"/>
      <c r="T2935" s="475"/>
      <c r="U2935" s="475"/>
      <c r="V2935" s="475"/>
      <c r="W2935" s="475"/>
    </row>
    <row r="2936" spans="2:23" s="97" customFormat="1">
      <c r="B2936" s="96"/>
      <c r="H2936" s="96"/>
      <c r="J2936" s="1"/>
      <c r="K2936" s="1"/>
      <c r="L2936" s="1"/>
      <c r="O2936" s="475"/>
      <c r="P2936" s="475"/>
      <c r="Q2936" s="475"/>
      <c r="R2936" s="475"/>
      <c r="S2936" s="475"/>
      <c r="T2936" s="475"/>
      <c r="U2936" s="475"/>
      <c r="V2936" s="475"/>
      <c r="W2936" s="475"/>
    </row>
    <row r="2937" spans="2:23" s="97" customFormat="1">
      <c r="B2937" s="96"/>
      <c r="H2937" s="96"/>
      <c r="J2937" s="1"/>
      <c r="K2937" s="1"/>
      <c r="L2937" s="1"/>
      <c r="O2937" s="475"/>
      <c r="P2937" s="475"/>
      <c r="Q2937" s="475"/>
      <c r="R2937" s="475"/>
      <c r="S2937" s="475"/>
      <c r="T2937" s="475"/>
      <c r="U2937" s="475"/>
      <c r="V2937" s="475"/>
      <c r="W2937" s="475"/>
    </row>
    <row r="2938" spans="2:23" s="97" customFormat="1">
      <c r="B2938" s="96"/>
      <c r="H2938" s="96"/>
      <c r="J2938" s="1"/>
      <c r="K2938" s="1"/>
      <c r="L2938" s="1"/>
      <c r="O2938" s="475"/>
      <c r="P2938" s="475"/>
      <c r="Q2938" s="475"/>
      <c r="R2938" s="475"/>
      <c r="S2938" s="475"/>
      <c r="T2938" s="475"/>
      <c r="U2938" s="475"/>
      <c r="V2938" s="475"/>
      <c r="W2938" s="475"/>
    </row>
    <row r="2939" spans="2:23" s="97" customFormat="1">
      <c r="B2939" s="96"/>
      <c r="H2939" s="96"/>
      <c r="J2939" s="1"/>
      <c r="K2939" s="1"/>
      <c r="L2939" s="1"/>
      <c r="O2939" s="475"/>
      <c r="P2939" s="475"/>
      <c r="Q2939" s="475"/>
      <c r="R2939" s="475"/>
      <c r="S2939" s="475"/>
      <c r="T2939" s="475"/>
      <c r="U2939" s="475"/>
      <c r="V2939" s="475"/>
      <c r="W2939" s="475"/>
    </row>
    <row r="2940" spans="2:23" s="97" customFormat="1">
      <c r="B2940" s="96"/>
      <c r="H2940" s="96"/>
      <c r="J2940" s="1"/>
      <c r="K2940" s="1"/>
      <c r="L2940" s="1"/>
      <c r="O2940" s="475"/>
      <c r="P2940" s="475"/>
      <c r="Q2940" s="475"/>
      <c r="R2940" s="475"/>
      <c r="S2940" s="475"/>
      <c r="T2940" s="475"/>
      <c r="U2940" s="475"/>
      <c r="V2940" s="475"/>
      <c r="W2940" s="475"/>
    </row>
    <row r="2941" spans="2:23" s="97" customFormat="1">
      <c r="B2941" s="96"/>
      <c r="H2941" s="96"/>
      <c r="J2941" s="1"/>
      <c r="K2941" s="1"/>
      <c r="L2941" s="1"/>
      <c r="O2941" s="475"/>
      <c r="P2941" s="475"/>
      <c r="Q2941" s="475"/>
      <c r="R2941" s="475"/>
      <c r="S2941" s="475"/>
      <c r="T2941" s="475"/>
      <c r="U2941" s="475"/>
      <c r="V2941" s="475"/>
      <c r="W2941" s="475"/>
    </row>
    <row r="2942" spans="2:23" s="97" customFormat="1">
      <c r="B2942" s="96"/>
      <c r="H2942" s="96"/>
      <c r="J2942" s="1"/>
      <c r="K2942" s="1"/>
      <c r="L2942" s="1"/>
      <c r="O2942" s="475"/>
      <c r="P2942" s="475"/>
      <c r="Q2942" s="475"/>
      <c r="R2942" s="475"/>
      <c r="S2942" s="475"/>
      <c r="T2942" s="475"/>
      <c r="U2942" s="475"/>
      <c r="V2942" s="475"/>
      <c r="W2942" s="475"/>
    </row>
    <row r="2943" spans="2:23" s="97" customFormat="1">
      <c r="B2943" s="96"/>
      <c r="H2943" s="96"/>
      <c r="J2943" s="1"/>
      <c r="K2943" s="1"/>
      <c r="L2943" s="1"/>
      <c r="O2943" s="475"/>
      <c r="P2943" s="475"/>
      <c r="Q2943" s="475"/>
      <c r="R2943" s="475"/>
      <c r="S2943" s="475"/>
      <c r="T2943" s="475"/>
      <c r="U2943" s="475"/>
      <c r="V2943" s="475"/>
      <c r="W2943" s="475"/>
    </row>
    <row r="2944" spans="2:23" s="97" customFormat="1">
      <c r="B2944" s="96"/>
      <c r="H2944" s="96"/>
      <c r="J2944" s="1"/>
      <c r="K2944" s="1"/>
      <c r="L2944" s="1"/>
      <c r="O2944" s="475"/>
      <c r="P2944" s="475"/>
      <c r="Q2944" s="475"/>
      <c r="R2944" s="475"/>
      <c r="S2944" s="475"/>
      <c r="T2944" s="475"/>
      <c r="U2944" s="475"/>
      <c r="V2944" s="475"/>
      <c r="W2944" s="475"/>
    </row>
    <row r="2945" spans="2:23" s="97" customFormat="1">
      <c r="B2945" s="96"/>
      <c r="H2945" s="96"/>
      <c r="J2945" s="1"/>
      <c r="K2945" s="1"/>
      <c r="L2945" s="1"/>
      <c r="O2945" s="475"/>
      <c r="P2945" s="475"/>
      <c r="Q2945" s="475"/>
      <c r="R2945" s="475"/>
      <c r="S2945" s="475"/>
      <c r="T2945" s="475"/>
      <c r="U2945" s="475"/>
      <c r="V2945" s="475"/>
      <c r="W2945" s="475"/>
    </row>
    <row r="2946" spans="2:23" s="97" customFormat="1">
      <c r="B2946" s="96"/>
      <c r="H2946" s="96"/>
      <c r="J2946" s="1"/>
      <c r="K2946" s="1"/>
      <c r="L2946" s="1"/>
      <c r="O2946" s="475"/>
      <c r="P2946" s="475"/>
      <c r="Q2946" s="475"/>
      <c r="R2946" s="475"/>
      <c r="S2946" s="475"/>
      <c r="T2946" s="475"/>
      <c r="U2946" s="475"/>
      <c r="V2946" s="475"/>
      <c r="W2946" s="475"/>
    </row>
    <row r="2947" spans="2:23" s="97" customFormat="1">
      <c r="B2947" s="96"/>
      <c r="H2947" s="96"/>
      <c r="J2947" s="1"/>
      <c r="K2947" s="1"/>
      <c r="L2947" s="1"/>
      <c r="O2947" s="475"/>
      <c r="P2947" s="475"/>
      <c r="Q2947" s="475"/>
      <c r="R2947" s="475"/>
      <c r="S2947" s="475"/>
      <c r="T2947" s="475"/>
      <c r="U2947" s="475"/>
      <c r="V2947" s="475"/>
      <c r="W2947" s="475"/>
    </row>
    <row r="2948" spans="2:23" s="97" customFormat="1">
      <c r="B2948" s="96"/>
      <c r="H2948" s="96"/>
      <c r="J2948" s="1"/>
      <c r="K2948" s="1"/>
      <c r="L2948" s="1"/>
      <c r="O2948" s="475"/>
      <c r="P2948" s="475"/>
      <c r="Q2948" s="475"/>
      <c r="R2948" s="475"/>
      <c r="S2948" s="475"/>
      <c r="T2948" s="475"/>
      <c r="U2948" s="475"/>
      <c r="V2948" s="475"/>
      <c r="W2948" s="475"/>
    </row>
    <row r="2949" spans="2:23" s="97" customFormat="1">
      <c r="B2949" s="96"/>
      <c r="H2949" s="96"/>
      <c r="J2949" s="1"/>
      <c r="K2949" s="1"/>
      <c r="L2949" s="1"/>
      <c r="O2949" s="475"/>
      <c r="P2949" s="475"/>
      <c r="Q2949" s="475"/>
      <c r="R2949" s="475"/>
      <c r="S2949" s="475"/>
      <c r="T2949" s="475"/>
      <c r="U2949" s="475"/>
      <c r="V2949" s="475"/>
      <c r="W2949" s="475"/>
    </row>
    <row r="2950" spans="2:23" s="97" customFormat="1">
      <c r="B2950" s="96"/>
      <c r="H2950" s="96"/>
      <c r="J2950" s="1"/>
      <c r="K2950" s="1"/>
      <c r="L2950" s="1"/>
      <c r="O2950" s="475"/>
      <c r="P2950" s="475"/>
      <c r="Q2950" s="475"/>
      <c r="R2950" s="475"/>
      <c r="S2950" s="475"/>
      <c r="T2950" s="475"/>
      <c r="U2950" s="475"/>
      <c r="V2950" s="475"/>
      <c r="W2950" s="475"/>
    </row>
    <row r="2951" spans="2:23" s="97" customFormat="1">
      <c r="B2951" s="96"/>
      <c r="H2951" s="96"/>
      <c r="J2951" s="1"/>
      <c r="K2951" s="1"/>
      <c r="L2951" s="1"/>
      <c r="O2951" s="475"/>
      <c r="P2951" s="475"/>
      <c r="Q2951" s="475"/>
      <c r="R2951" s="475"/>
      <c r="S2951" s="475"/>
      <c r="T2951" s="475"/>
      <c r="U2951" s="475"/>
      <c r="V2951" s="475"/>
      <c r="W2951" s="475"/>
    </row>
    <row r="2952" spans="2:23" s="97" customFormat="1">
      <c r="B2952" s="96"/>
      <c r="H2952" s="96"/>
      <c r="J2952" s="1"/>
      <c r="K2952" s="1"/>
      <c r="L2952" s="1"/>
      <c r="O2952" s="475"/>
      <c r="P2952" s="475"/>
      <c r="Q2952" s="475"/>
      <c r="R2952" s="475"/>
      <c r="S2952" s="475"/>
      <c r="T2952" s="475"/>
      <c r="U2952" s="475"/>
      <c r="V2952" s="475"/>
      <c r="W2952" s="475"/>
    </row>
    <row r="2953" spans="2:23" s="97" customFormat="1">
      <c r="B2953" s="96"/>
      <c r="H2953" s="96"/>
      <c r="J2953" s="1"/>
      <c r="K2953" s="1"/>
      <c r="L2953" s="1"/>
      <c r="O2953" s="475"/>
      <c r="P2953" s="475"/>
      <c r="Q2953" s="475"/>
      <c r="R2953" s="475"/>
      <c r="S2953" s="475"/>
      <c r="T2953" s="475"/>
      <c r="U2953" s="475"/>
      <c r="V2953" s="475"/>
      <c r="W2953" s="475"/>
    </row>
    <row r="2954" spans="2:23" s="97" customFormat="1">
      <c r="B2954" s="96"/>
      <c r="H2954" s="96"/>
      <c r="J2954" s="1"/>
      <c r="K2954" s="1"/>
      <c r="L2954" s="1"/>
      <c r="O2954" s="475"/>
      <c r="P2954" s="475"/>
      <c r="Q2954" s="475"/>
      <c r="R2954" s="475"/>
      <c r="S2954" s="475"/>
      <c r="T2954" s="475"/>
      <c r="U2954" s="475"/>
      <c r="V2954" s="475"/>
      <c r="W2954" s="475"/>
    </row>
    <row r="2955" spans="2:23" s="97" customFormat="1">
      <c r="B2955" s="96"/>
      <c r="H2955" s="96"/>
      <c r="J2955" s="1"/>
      <c r="K2955" s="1"/>
      <c r="L2955" s="1"/>
      <c r="O2955" s="475"/>
      <c r="P2955" s="475"/>
      <c r="Q2955" s="475"/>
      <c r="R2955" s="475"/>
      <c r="S2955" s="475"/>
      <c r="T2955" s="475"/>
      <c r="U2955" s="475"/>
      <c r="V2955" s="475"/>
      <c r="W2955" s="475"/>
    </row>
    <row r="2956" spans="2:23" s="97" customFormat="1">
      <c r="B2956" s="96"/>
      <c r="H2956" s="96"/>
      <c r="J2956" s="1"/>
      <c r="K2956" s="1"/>
      <c r="L2956" s="1"/>
      <c r="O2956" s="475"/>
      <c r="P2956" s="475"/>
      <c r="Q2956" s="475"/>
      <c r="R2956" s="475"/>
      <c r="S2956" s="475"/>
      <c r="T2956" s="475"/>
      <c r="U2956" s="475"/>
      <c r="V2956" s="475"/>
      <c r="W2956" s="475"/>
    </row>
    <row r="2957" spans="2:23" s="97" customFormat="1">
      <c r="B2957" s="96"/>
      <c r="H2957" s="96"/>
      <c r="J2957" s="1"/>
      <c r="K2957" s="1"/>
      <c r="L2957" s="1"/>
      <c r="O2957" s="475"/>
      <c r="P2957" s="475"/>
      <c r="Q2957" s="475"/>
      <c r="R2957" s="475"/>
      <c r="S2957" s="475"/>
      <c r="T2957" s="475"/>
      <c r="U2957" s="475"/>
      <c r="V2957" s="475"/>
      <c r="W2957" s="475"/>
    </row>
    <row r="2958" spans="2:23" s="97" customFormat="1">
      <c r="B2958" s="96"/>
      <c r="H2958" s="96"/>
      <c r="J2958" s="1"/>
      <c r="K2958" s="1"/>
      <c r="L2958" s="1"/>
      <c r="O2958" s="475"/>
      <c r="P2958" s="475"/>
      <c r="Q2958" s="475"/>
      <c r="R2958" s="475"/>
      <c r="S2958" s="475"/>
      <c r="T2958" s="475"/>
      <c r="U2958" s="475"/>
      <c r="V2958" s="475"/>
      <c r="W2958" s="475"/>
    </row>
    <row r="2959" spans="2:23" s="97" customFormat="1">
      <c r="B2959" s="96"/>
      <c r="H2959" s="96"/>
      <c r="J2959" s="1"/>
      <c r="K2959" s="1"/>
      <c r="L2959" s="1"/>
      <c r="O2959" s="475"/>
      <c r="P2959" s="475"/>
      <c r="Q2959" s="475"/>
      <c r="R2959" s="475"/>
      <c r="S2959" s="475"/>
      <c r="T2959" s="475"/>
      <c r="U2959" s="475"/>
      <c r="V2959" s="475"/>
      <c r="W2959" s="475"/>
    </row>
    <row r="2960" spans="2:23" s="97" customFormat="1">
      <c r="B2960" s="96"/>
      <c r="H2960" s="96"/>
      <c r="J2960" s="1"/>
      <c r="K2960" s="1"/>
      <c r="L2960" s="1"/>
      <c r="O2960" s="475"/>
      <c r="P2960" s="475"/>
      <c r="Q2960" s="475"/>
      <c r="R2960" s="475"/>
      <c r="S2960" s="475"/>
      <c r="T2960" s="475"/>
      <c r="U2960" s="475"/>
      <c r="V2960" s="475"/>
      <c r="W2960" s="475"/>
    </row>
    <row r="2961" spans="2:23" s="97" customFormat="1">
      <c r="B2961" s="96"/>
      <c r="H2961" s="96"/>
      <c r="J2961" s="1"/>
      <c r="K2961" s="1"/>
      <c r="L2961" s="1"/>
      <c r="O2961" s="475"/>
      <c r="P2961" s="475"/>
      <c r="Q2961" s="475"/>
      <c r="R2961" s="475"/>
      <c r="S2961" s="475"/>
      <c r="T2961" s="475"/>
      <c r="U2961" s="475"/>
      <c r="V2961" s="475"/>
      <c r="W2961" s="475"/>
    </row>
    <row r="2962" spans="2:23" s="97" customFormat="1">
      <c r="B2962" s="96"/>
      <c r="H2962" s="96"/>
      <c r="J2962" s="1"/>
      <c r="K2962" s="1"/>
      <c r="L2962" s="1"/>
      <c r="O2962" s="475"/>
      <c r="P2962" s="475"/>
      <c r="Q2962" s="475"/>
      <c r="R2962" s="475"/>
      <c r="S2962" s="475"/>
      <c r="T2962" s="475"/>
      <c r="U2962" s="475"/>
      <c r="V2962" s="475"/>
      <c r="W2962" s="475"/>
    </row>
    <row r="2963" spans="2:23" s="97" customFormat="1">
      <c r="B2963" s="96"/>
      <c r="H2963" s="96"/>
      <c r="J2963" s="1"/>
      <c r="K2963" s="1"/>
      <c r="L2963" s="1"/>
      <c r="O2963" s="475"/>
      <c r="P2963" s="475"/>
      <c r="Q2963" s="475"/>
      <c r="R2963" s="475"/>
      <c r="S2963" s="475"/>
      <c r="T2963" s="475"/>
      <c r="U2963" s="475"/>
      <c r="V2963" s="475"/>
      <c r="W2963" s="475"/>
    </row>
    <row r="2964" spans="2:23" s="97" customFormat="1">
      <c r="B2964" s="96"/>
      <c r="H2964" s="96"/>
      <c r="J2964" s="1"/>
      <c r="K2964" s="1"/>
      <c r="L2964" s="1"/>
      <c r="O2964" s="475"/>
      <c r="P2964" s="475"/>
      <c r="Q2964" s="475"/>
      <c r="R2964" s="475"/>
      <c r="S2964" s="475"/>
      <c r="T2964" s="475"/>
      <c r="U2964" s="475"/>
      <c r="V2964" s="475"/>
      <c r="W2964" s="475"/>
    </row>
    <row r="2965" spans="2:23" s="97" customFormat="1">
      <c r="B2965" s="96"/>
      <c r="H2965" s="96"/>
      <c r="J2965" s="1"/>
      <c r="K2965" s="1"/>
      <c r="L2965" s="1"/>
      <c r="O2965" s="475"/>
      <c r="P2965" s="475"/>
      <c r="Q2965" s="475"/>
      <c r="R2965" s="475"/>
      <c r="S2965" s="475"/>
      <c r="T2965" s="475"/>
      <c r="U2965" s="475"/>
      <c r="V2965" s="475"/>
      <c r="W2965" s="475"/>
    </row>
    <row r="2966" spans="2:23" s="97" customFormat="1">
      <c r="B2966" s="96"/>
      <c r="H2966" s="96"/>
      <c r="J2966" s="1"/>
      <c r="K2966" s="1"/>
      <c r="L2966" s="1"/>
      <c r="O2966" s="475"/>
      <c r="P2966" s="475"/>
      <c r="Q2966" s="475"/>
      <c r="R2966" s="475"/>
      <c r="S2966" s="475"/>
      <c r="T2966" s="475"/>
      <c r="U2966" s="475"/>
      <c r="V2966" s="475"/>
      <c r="W2966" s="475"/>
    </row>
    <row r="2967" spans="2:23" s="97" customFormat="1">
      <c r="B2967" s="96"/>
      <c r="H2967" s="96"/>
      <c r="J2967" s="1"/>
      <c r="K2967" s="1"/>
      <c r="L2967" s="1"/>
      <c r="O2967" s="475"/>
      <c r="P2967" s="475"/>
      <c r="Q2967" s="475"/>
      <c r="R2967" s="475"/>
      <c r="S2967" s="475"/>
      <c r="T2967" s="475"/>
      <c r="U2967" s="475"/>
      <c r="V2967" s="475"/>
      <c r="W2967" s="475"/>
    </row>
    <row r="2968" spans="2:23" s="97" customFormat="1">
      <c r="B2968" s="96"/>
      <c r="H2968" s="96"/>
      <c r="J2968" s="1"/>
      <c r="K2968" s="1"/>
      <c r="L2968" s="1"/>
      <c r="O2968" s="475"/>
      <c r="P2968" s="475"/>
      <c r="Q2968" s="475"/>
      <c r="R2968" s="475"/>
      <c r="S2968" s="475"/>
      <c r="T2968" s="475"/>
      <c r="U2968" s="475"/>
      <c r="V2968" s="475"/>
      <c r="W2968" s="475"/>
    </row>
    <row r="2969" spans="2:23" s="97" customFormat="1">
      <c r="B2969" s="96"/>
      <c r="H2969" s="96"/>
      <c r="J2969" s="1"/>
      <c r="K2969" s="1"/>
      <c r="L2969" s="1"/>
      <c r="O2969" s="475"/>
      <c r="P2969" s="475"/>
      <c r="Q2969" s="475"/>
      <c r="R2969" s="475"/>
      <c r="S2969" s="475"/>
      <c r="T2969" s="475"/>
      <c r="U2969" s="475"/>
      <c r="V2969" s="475"/>
      <c r="W2969" s="475"/>
    </row>
    <row r="2970" spans="2:23" s="97" customFormat="1">
      <c r="B2970" s="96"/>
      <c r="H2970" s="96"/>
      <c r="J2970" s="1"/>
      <c r="K2970" s="1"/>
      <c r="L2970" s="1"/>
      <c r="O2970" s="475"/>
      <c r="P2970" s="475"/>
      <c r="Q2970" s="475"/>
      <c r="R2970" s="475"/>
      <c r="S2970" s="475"/>
      <c r="T2970" s="475"/>
      <c r="U2970" s="475"/>
      <c r="V2970" s="475"/>
      <c r="W2970" s="475"/>
    </row>
    <row r="2971" spans="2:23" s="97" customFormat="1">
      <c r="B2971" s="96"/>
      <c r="H2971" s="96"/>
      <c r="J2971" s="1"/>
      <c r="K2971" s="1"/>
      <c r="L2971" s="1"/>
      <c r="O2971" s="475"/>
      <c r="P2971" s="475"/>
      <c r="Q2971" s="475"/>
      <c r="R2971" s="475"/>
      <c r="S2971" s="475"/>
      <c r="T2971" s="475"/>
      <c r="U2971" s="475"/>
      <c r="V2971" s="475"/>
      <c r="W2971" s="475"/>
    </row>
    <row r="2972" spans="2:23" s="97" customFormat="1">
      <c r="B2972" s="96"/>
      <c r="H2972" s="96"/>
      <c r="J2972" s="1"/>
      <c r="K2972" s="1"/>
      <c r="L2972" s="1"/>
      <c r="O2972" s="475"/>
      <c r="P2972" s="475"/>
      <c r="Q2972" s="475"/>
      <c r="R2972" s="475"/>
      <c r="S2972" s="475"/>
      <c r="T2972" s="475"/>
      <c r="U2972" s="475"/>
      <c r="V2972" s="475"/>
      <c r="W2972" s="475"/>
    </row>
    <row r="2973" spans="2:23" s="97" customFormat="1">
      <c r="B2973" s="96"/>
      <c r="H2973" s="96"/>
      <c r="J2973" s="1"/>
      <c r="K2973" s="1"/>
      <c r="L2973" s="1"/>
      <c r="O2973" s="475"/>
      <c r="P2973" s="475"/>
      <c r="Q2973" s="475"/>
      <c r="R2973" s="475"/>
      <c r="S2973" s="475"/>
      <c r="T2973" s="475"/>
      <c r="U2973" s="475"/>
      <c r="V2973" s="475"/>
      <c r="W2973" s="475"/>
    </row>
    <row r="2974" spans="2:23" s="97" customFormat="1">
      <c r="B2974" s="96"/>
      <c r="H2974" s="96"/>
      <c r="J2974" s="1"/>
      <c r="K2974" s="1"/>
      <c r="L2974" s="1"/>
      <c r="O2974" s="475"/>
      <c r="P2974" s="475"/>
      <c r="Q2974" s="475"/>
      <c r="R2974" s="475"/>
      <c r="S2974" s="475"/>
      <c r="T2974" s="475"/>
      <c r="U2974" s="475"/>
      <c r="V2974" s="475"/>
      <c r="W2974" s="475"/>
    </row>
    <row r="2975" spans="2:23" s="97" customFormat="1">
      <c r="B2975" s="96"/>
      <c r="H2975" s="96"/>
      <c r="J2975" s="1"/>
      <c r="K2975" s="1"/>
      <c r="L2975" s="1"/>
      <c r="O2975" s="475"/>
      <c r="P2975" s="475"/>
      <c r="Q2975" s="475"/>
      <c r="R2975" s="475"/>
      <c r="S2975" s="475"/>
      <c r="T2975" s="475"/>
      <c r="U2975" s="475"/>
      <c r="V2975" s="475"/>
      <c r="W2975" s="475"/>
    </row>
    <row r="2976" spans="2:23" s="97" customFormat="1">
      <c r="B2976" s="96"/>
      <c r="H2976" s="96"/>
      <c r="J2976" s="1"/>
      <c r="K2976" s="1"/>
      <c r="L2976" s="1"/>
      <c r="O2976" s="475"/>
      <c r="P2976" s="475"/>
      <c r="Q2976" s="475"/>
      <c r="R2976" s="475"/>
      <c r="S2976" s="475"/>
      <c r="T2976" s="475"/>
      <c r="U2976" s="475"/>
      <c r="V2976" s="475"/>
      <c r="W2976" s="475"/>
    </row>
    <row r="2977" spans="2:23" s="97" customFormat="1">
      <c r="B2977" s="96"/>
      <c r="H2977" s="96"/>
      <c r="J2977" s="1"/>
      <c r="K2977" s="1"/>
      <c r="L2977" s="1"/>
      <c r="O2977" s="475"/>
      <c r="P2977" s="475"/>
      <c r="Q2977" s="475"/>
      <c r="R2977" s="475"/>
      <c r="S2977" s="475"/>
      <c r="T2977" s="475"/>
      <c r="U2977" s="475"/>
      <c r="V2977" s="475"/>
      <c r="W2977" s="475"/>
    </row>
    <row r="2978" spans="2:23" s="97" customFormat="1">
      <c r="B2978" s="96"/>
      <c r="H2978" s="96"/>
      <c r="J2978" s="1"/>
      <c r="K2978" s="1"/>
      <c r="L2978" s="1"/>
      <c r="O2978" s="475"/>
      <c r="P2978" s="475"/>
      <c r="Q2978" s="475"/>
      <c r="R2978" s="475"/>
      <c r="S2978" s="475"/>
      <c r="T2978" s="475"/>
      <c r="U2978" s="475"/>
      <c r="V2978" s="475"/>
      <c r="W2978" s="475"/>
    </row>
    <row r="2979" spans="2:23" s="97" customFormat="1">
      <c r="B2979" s="96"/>
      <c r="H2979" s="96"/>
      <c r="J2979" s="1"/>
      <c r="K2979" s="1"/>
      <c r="L2979" s="1"/>
      <c r="O2979" s="475"/>
      <c r="P2979" s="475"/>
      <c r="Q2979" s="475"/>
      <c r="R2979" s="475"/>
      <c r="S2979" s="475"/>
      <c r="T2979" s="475"/>
      <c r="U2979" s="475"/>
      <c r="V2979" s="475"/>
      <c r="W2979" s="475"/>
    </row>
    <row r="2980" spans="2:23" s="97" customFormat="1">
      <c r="B2980" s="96"/>
      <c r="H2980" s="96"/>
      <c r="J2980" s="1"/>
      <c r="K2980" s="1"/>
      <c r="L2980" s="1"/>
      <c r="O2980" s="475"/>
      <c r="P2980" s="475"/>
      <c r="Q2980" s="475"/>
      <c r="R2980" s="475"/>
      <c r="S2980" s="475"/>
      <c r="T2980" s="475"/>
      <c r="U2980" s="475"/>
      <c r="V2980" s="475"/>
      <c r="W2980" s="475"/>
    </row>
    <row r="2981" spans="2:23" s="97" customFormat="1">
      <c r="B2981" s="96"/>
      <c r="H2981" s="96"/>
      <c r="J2981" s="1"/>
      <c r="K2981" s="1"/>
      <c r="L2981" s="1"/>
      <c r="O2981" s="475"/>
      <c r="P2981" s="475"/>
      <c r="Q2981" s="475"/>
      <c r="R2981" s="475"/>
      <c r="S2981" s="475"/>
      <c r="T2981" s="475"/>
      <c r="U2981" s="475"/>
      <c r="V2981" s="475"/>
      <c r="W2981" s="475"/>
    </row>
    <row r="2982" spans="2:23" s="97" customFormat="1">
      <c r="B2982" s="96"/>
      <c r="H2982" s="96"/>
      <c r="J2982" s="1"/>
      <c r="K2982" s="1"/>
      <c r="L2982" s="1"/>
      <c r="O2982" s="475"/>
      <c r="P2982" s="475"/>
      <c r="Q2982" s="475"/>
      <c r="R2982" s="475"/>
      <c r="S2982" s="475"/>
      <c r="T2982" s="475"/>
      <c r="U2982" s="475"/>
      <c r="V2982" s="475"/>
      <c r="W2982" s="475"/>
    </row>
    <row r="2983" spans="2:23" s="97" customFormat="1">
      <c r="B2983" s="96"/>
      <c r="H2983" s="96"/>
      <c r="J2983" s="1"/>
      <c r="K2983" s="1"/>
      <c r="L2983" s="1"/>
      <c r="O2983" s="475"/>
      <c r="P2983" s="475"/>
      <c r="Q2983" s="475"/>
      <c r="R2983" s="475"/>
      <c r="S2983" s="475"/>
      <c r="T2983" s="475"/>
      <c r="U2983" s="475"/>
      <c r="V2983" s="475"/>
      <c r="W2983" s="475"/>
    </row>
    <row r="2984" spans="2:23" s="97" customFormat="1">
      <c r="B2984" s="96"/>
      <c r="H2984" s="96"/>
      <c r="J2984" s="1"/>
      <c r="K2984" s="1"/>
      <c r="L2984" s="1"/>
      <c r="O2984" s="475"/>
      <c r="P2984" s="475"/>
      <c r="Q2984" s="475"/>
      <c r="R2984" s="475"/>
      <c r="S2984" s="475"/>
      <c r="T2984" s="475"/>
      <c r="U2984" s="475"/>
      <c r="V2984" s="475"/>
      <c r="W2984" s="475"/>
    </row>
    <row r="2985" spans="2:23" s="97" customFormat="1">
      <c r="B2985" s="96"/>
      <c r="H2985" s="96"/>
      <c r="J2985" s="1"/>
      <c r="K2985" s="1"/>
      <c r="L2985" s="1"/>
      <c r="O2985" s="475"/>
      <c r="P2985" s="475"/>
      <c r="Q2985" s="475"/>
      <c r="R2985" s="475"/>
      <c r="S2985" s="475"/>
      <c r="T2985" s="475"/>
      <c r="U2985" s="475"/>
      <c r="V2985" s="475"/>
      <c r="W2985" s="475"/>
    </row>
    <row r="2986" spans="2:23" s="97" customFormat="1">
      <c r="B2986" s="96"/>
      <c r="H2986" s="96"/>
      <c r="J2986" s="1"/>
      <c r="K2986" s="1"/>
      <c r="L2986" s="1"/>
      <c r="O2986" s="475"/>
      <c r="P2986" s="475"/>
      <c r="Q2986" s="475"/>
      <c r="R2986" s="475"/>
      <c r="S2986" s="475"/>
      <c r="T2986" s="475"/>
      <c r="U2986" s="475"/>
      <c r="V2986" s="475"/>
      <c r="W2986" s="475"/>
    </row>
    <row r="2987" spans="2:23" s="97" customFormat="1">
      <c r="B2987" s="96"/>
      <c r="H2987" s="96"/>
      <c r="J2987" s="1"/>
      <c r="K2987" s="1"/>
      <c r="L2987" s="1"/>
      <c r="O2987" s="475"/>
      <c r="P2987" s="475"/>
      <c r="Q2987" s="475"/>
      <c r="R2987" s="475"/>
      <c r="S2987" s="475"/>
      <c r="T2987" s="475"/>
      <c r="U2987" s="475"/>
      <c r="V2987" s="475"/>
      <c r="W2987" s="475"/>
    </row>
    <row r="2988" spans="2:23" s="97" customFormat="1">
      <c r="B2988" s="96"/>
      <c r="H2988" s="96"/>
      <c r="J2988" s="1"/>
      <c r="K2988" s="1"/>
      <c r="L2988" s="1"/>
      <c r="O2988" s="475"/>
      <c r="P2988" s="475"/>
      <c r="Q2988" s="475"/>
      <c r="R2988" s="475"/>
      <c r="S2988" s="475"/>
      <c r="T2988" s="475"/>
      <c r="U2988" s="475"/>
      <c r="V2988" s="475"/>
      <c r="W2988" s="475"/>
    </row>
    <row r="2989" spans="2:23" s="97" customFormat="1">
      <c r="B2989" s="96"/>
      <c r="H2989" s="96"/>
      <c r="J2989" s="1"/>
      <c r="K2989" s="1"/>
      <c r="L2989" s="1"/>
      <c r="O2989" s="475"/>
      <c r="P2989" s="475"/>
      <c r="Q2989" s="475"/>
      <c r="R2989" s="475"/>
      <c r="S2989" s="475"/>
      <c r="T2989" s="475"/>
      <c r="U2989" s="475"/>
      <c r="V2989" s="475"/>
      <c r="W2989" s="475"/>
    </row>
    <row r="2990" spans="2:23" s="97" customFormat="1">
      <c r="B2990" s="96"/>
      <c r="H2990" s="96"/>
      <c r="J2990" s="1"/>
      <c r="K2990" s="1"/>
      <c r="L2990" s="1"/>
      <c r="O2990" s="475"/>
      <c r="P2990" s="475"/>
      <c r="Q2990" s="475"/>
      <c r="R2990" s="475"/>
      <c r="S2990" s="475"/>
      <c r="T2990" s="475"/>
      <c r="U2990" s="475"/>
      <c r="V2990" s="475"/>
      <c r="W2990" s="475"/>
    </row>
    <row r="2991" spans="2:23" s="97" customFormat="1">
      <c r="B2991" s="96"/>
      <c r="H2991" s="96"/>
      <c r="J2991" s="1"/>
      <c r="K2991" s="1"/>
      <c r="L2991" s="1"/>
      <c r="O2991" s="475"/>
      <c r="P2991" s="475"/>
      <c r="Q2991" s="475"/>
      <c r="R2991" s="475"/>
      <c r="S2991" s="475"/>
      <c r="T2991" s="475"/>
      <c r="U2991" s="475"/>
      <c r="V2991" s="475"/>
      <c r="W2991" s="475"/>
    </row>
    <row r="2992" spans="2:23" s="97" customFormat="1">
      <c r="B2992" s="96"/>
      <c r="H2992" s="96"/>
      <c r="J2992" s="1"/>
      <c r="K2992" s="1"/>
      <c r="L2992" s="1"/>
      <c r="O2992" s="475"/>
      <c r="P2992" s="475"/>
      <c r="Q2992" s="475"/>
      <c r="R2992" s="475"/>
      <c r="S2992" s="475"/>
      <c r="T2992" s="475"/>
      <c r="U2992" s="475"/>
      <c r="V2992" s="475"/>
      <c r="W2992" s="475"/>
    </row>
    <row r="2993" spans="2:23" s="97" customFormat="1">
      <c r="B2993" s="96"/>
      <c r="H2993" s="96"/>
      <c r="J2993" s="1"/>
      <c r="K2993" s="1"/>
      <c r="L2993" s="1"/>
      <c r="O2993" s="475"/>
      <c r="P2993" s="475"/>
      <c r="Q2993" s="475"/>
      <c r="R2993" s="475"/>
      <c r="S2993" s="475"/>
      <c r="T2993" s="475"/>
      <c r="U2993" s="475"/>
      <c r="V2993" s="475"/>
      <c r="W2993" s="475"/>
    </row>
    <row r="2994" spans="2:23" s="97" customFormat="1">
      <c r="B2994" s="96"/>
      <c r="H2994" s="96"/>
      <c r="J2994" s="1"/>
      <c r="K2994" s="1"/>
      <c r="L2994" s="1"/>
      <c r="O2994" s="475"/>
      <c r="P2994" s="475"/>
      <c r="Q2994" s="475"/>
      <c r="R2994" s="475"/>
      <c r="S2994" s="475"/>
      <c r="T2994" s="475"/>
      <c r="U2994" s="475"/>
      <c r="V2994" s="475"/>
      <c r="W2994" s="475"/>
    </row>
    <row r="2995" spans="2:23" s="97" customFormat="1">
      <c r="B2995" s="96"/>
      <c r="H2995" s="96"/>
      <c r="J2995" s="1"/>
      <c r="K2995" s="1"/>
      <c r="L2995" s="1"/>
      <c r="O2995" s="475"/>
      <c r="P2995" s="475"/>
      <c r="Q2995" s="475"/>
      <c r="R2995" s="475"/>
      <c r="S2995" s="475"/>
      <c r="T2995" s="475"/>
      <c r="U2995" s="475"/>
      <c r="V2995" s="475"/>
      <c r="W2995" s="475"/>
    </row>
    <row r="2996" spans="2:23" s="97" customFormat="1">
      <c r="B2996" s="96"/>
      <c r="H2996" s="96"/>
      <c r="J2996" s="1"/>
      <c r="K2996" s="1"/>
      <c r="L2996" s="1"/>
      <c r="O2996" s="475"/>
      <c r="P2996" s="475"/>
      <c r="Q2996" s="475"/>
      <c r="R2996" s="475"/>
      <c r="S2996" s="475"/>
      <c r="T2996" s="475"/>
      <c r="U2996" s="475"/>
      <c r="V2996" s="475"/>
      <c r="W2996" s="475"/>
    </row>
    <row r="2997" spans="2:23" s="97" customFormat="1">
      <c r="B2997" s="96"/>
      <c r="H2997" s="96"/>
      <c r="J2997" s="1"/>
      <c r="K2997" s="1"/>
      <c r="L2997" s="1"/>
      <c r="O2997" s="475"/>
      <c r="P2997" s="475"/>
      <c r="Q2997" s="475"/>
      <c r="R2997" s="475"/>
      <c r="S2997" s="475"/>
      <c r="T2997" s="475"/>
      <c r="U2997" s="475"/>
      <c r="V2997" s="475"/>
      <c r="W2997" s="475"/>
    </row>
    <row r="2998" spans="2:23" s="97" customFormat="1">
      <c r="B2998" s="96"/>
      <c r="H2998" s="96"/>
      <c r="J2998" s="1"/>
      <c r="K2998" s="1"/>
      <c r="L2998" s="1"/>
      <c r="O2998" s="475"/>
      <c r="P2998" s="475"/>
      <c r="Q2998" s="475"/>
      <c r="R2998" s="475"/>
      <c r="S2998" s="475"/>
      <c r="T2998" s="475"/>
      <c r="U2998" s="475"/>
      <c r="V2998" s="475"/>
      <c r="W2998" s="475"/>
    </row>
    <row r="2999" spans="2:23" s="97" customFormat="1">
      <c r="B2999" s="96"/>
      <c r="H2999" s="96"/>
      <c r="J2999" s="1"/>
      <c r="K2999" s="1"/>
      <c r="L2999" s="1"/>
      <c r="O2999" s="475"/>
      <c r="P2999" s="475"/>
      <c r="Q2999" s="475"/>
      <c r="R2999" s="475"/>
      <c r="S2999" s="475"/>
      <c r="T2999" s="475"/>
      <c r="U2999" s="475"/>
      <c r="V2999" s="475"/>
      <c r="W2999" s="475"/>
    </row>
    <row r="3000" spans="2:23" s="97" customFormat="1">
      <c r="B3000" s="96"/>
      <c r="H3000" s="96"/>
      <c r="J3000" s="1"/>
      <c r="K3000" s="1"/>
      <c r="L3000" s="1"/>
      <c r="O3000" s="475"/>
      <c r="P3000" s="475"/>
      <c r="Q3000" s="475"/>
      <c r="R3000" s="475"/>
      <c r="S3000" s="475"/>
      <c r="T3000" s="475"/>
      <c r="U3000" s="475"/>
      <c r="V3000" s="475"/>
      <c r="W3000" s="475"/>
    </row>
    <row r="3001" spans="2:23" s="97" customFormat="1">
      <c r="B3001" s="96"/>
      <c r="H3001" s="96"/>
      <c r="J3001" s="1"/>
      <c r="K3001" s="1"/>
      <c r="L3001" s="1"/>
      <c r="O3001" s="475"/>
      <c r="P3001" s="475"/>
      <c r="Q3001" s="475"/>
      <c r="R3001" s="475"/>
      <c r="S3001" s="475"/>
      <c r="T3001" s="475"/>
      <c r="U3001" s="475"/>
      <c r="V3001" s="475"/>
      <c r="W3001" s="475"/>
    </row>
    <row r="3002" spans="2:23" s="97" customFormat="1">
      <c r="B3002" s="96"/>
      <c r="H3002" s="96"/>
      <c r="J3002" s="1"/>
      <c r="K3002" s="1"/>
      <c r="L3002" s="1"/>
      <c r="O3002" s="475"/>
      <c r="P3002" s="475"/>
      <c r="Q3002" s="475"/>
      <c r="R3002" s="475"/>
      <c r="S3002" s="475"/>
      <c r="T3002" s="475"/>
      <c r="U3002" s="475"/>
      <c r="V3002" s="475"/>
      <c r="W3002" s="475"/>
    </row>
    <row r="3003" spans="2:23" s="97" customFormat="1">
      <c r="B3003" s="96"/>
      <c r="H3003" s="96"/>
      <c r="J3003" s="1"/>
      <c r="K3003" s="1"/>
      <c r="L3003" s="1"/>
      <c r="O3003" s="475"/>
      <c r="P3003" s="475"/>
      <c r="Q3003" s="475"/>
      <c r="R3003" s="475"/>
      <c r="S3003" s="475"/>
      <c r="T3003" s="475"/>
      <c r="U3003" s="475"/>
      <c r="V3003" s="475"/>
      <c r="W3003" s="475"/>
    </row>
    <row r="3004" spans="2:23" s="97" customFormat="1">
      <c r="B3004" s="96"/>
      <c r="H3004" s="96"/>
      <c r="J3004" s="1"/>
      <c r="K3004" s="1"/>
      <c r="L3004" s="1"/>
      <c r="O3004" s="475"/>
      <c r="P3004" s="475"/>
      <c r="Q3004" s="475"/>
      <c r="R3004" s="475"/>
      <c r="S3004" s="475"/>
      <c r="T3004" s="475"/>
      <c r="U3004" s="475"/>
      <c r="V3004" s="475"/>
      <c r="W3004" s="475"/>
    </row>
    <row r="3005" spans="2:23" s="97" customFormat="1">
      <c r="B3005" s="96"/>
      <c r="H3005" s="96"/>
      <c r="J3005" s="1"/>
      <c r="K3005" s="1"/>
      <c r="L3005" s="1"/>
      <c r="O3005" s="475"/>
      <c r="P3005" s="475"/>
      <c r="Q3005" s="475"/>
      <c r="R3005" s="475"/>
      <c r="S3005" s="475"/>
      <c r="T3005" s="475"/>
      <c r="U3005" s="475"/>
      <c r="V3005" s="475"/>
      <c r="W3005" s="475"/>
    </row>
    <row r="3006" spans="2:23" s="97" customFormat="1">
      <c r="B3006" s="96"/>
      <c r="H3006" s="96"/>
      <c r="J3006" s="1"/>
      <c r="K3006" s="1"/>
      <c r="L3006" s="1"/>
      <c r="O3006" s="475"/>
      <c r="P3006" s="475"/>
      <c r="Q3006" s="475"/>
      <c r="R3006" s="475"/>
      <c r="S3006" s="475"/>
      <c r="T3006" s="475"/>
      <c r="U3006" s="475"/>
      <c r="V3006" s="475"/>
      <c r="W3006" s="475"/>
    </row>
    <row r="3007" spans="2:23" s="97" customFormat="1">
      <c r="B3007" s="96"/>
      <c r="H3007" s="96"/>
      <c r="J3007" s="1"/>
      <c r="K3007" s="1"/>
      <c r="L3007" s="1"/>
      <c r="O3007" s="475"/>
      <c r="P3007" s="475"/>
      <c r="Q3007" s="475"/>
      <c r="R3007" s="475"/>
      <c r="S3007" s="475"/>
      <c r="T3007" s="475"/>
      <c r="U3007" s="475"/>
      <c r="V3007" s="475"/>
      <c r="W3007" s="475"/>
    </row>
    <row r="3008" spans="2:23" s="97" customFormat="1">
      <c r="B3008" s="96"/>
      <c r="H3008" s="96"/>
      <c r="J3008" s="1"/>
      <c r="K3008" s="1"/>
      <c r="L3008" s="1"/>
      <c r="O3008" s="475"/>
      <c r="P3008" s="475"/>
      <c r="Q3008" s="475"/>
      <c r="R3008" s="475"/>
      <c r="S3008" s="475"/>
      <c r="T3008" s="475"/>
      <c r="U3008" s="475"/>
      <c r="V3008" s="475"/>
      <c r="W3008" s="475"/>
    </row>
    <row r="3009" spans="2:23" s="97" customFormat="1">
      <c r="B3009" s="96"/>
      <c r="H3009" s="96"/>
      <c r="J3009" s="1"/>
      <c r="K3009" s="1"/>
      <c r="L3009" s="1"/>
      <c r="O3009" s="475"/>
      <c r="P3009" s="475"/>
      <c r="Q3009" s="475"/>
      <c r="R3009" s="475"/>
      <c r="S3009" s="475"/>
      <c r="T3009" s="475"/>
      <c r="U3009" s="475"/>
      <c r="V3009" s="475"/>
      <c r="W3009" s="475"/>
    </row>
    <row r="3010" spans="2:23" s="97" customFormat="1">
      <c r="B3010" s="96"/>
      <c r="H3010" s="96"/>
      <c r="J3010" s="1"/>
      <c r="K3010" s="1"/>
      <c r="L3010" s="1"/>
      <c r="O3010" s="475"/>
      <c r="P3010" s="475"/>
      <c r="Q3010" s="475"/>
      <c r="R3010" s="475"/>
      <c r="S3010" s="475"/>
      <c r="T3010" s="475"/>
      <c r="U3010" s="475"/>
      <c r="V3010" s="475"/>
      <c r="W3010" s="475"/>
    </row>
    <row r="3011" spans="2:23" s="97" customFormat="1">
      <c r="B3011" s="96"/>
      <c r="H3011" s="96"/>
      <c r="J3011" s="1"/>
      <c r="K3011" s="1"/>
      <c r="L3011" s="1"/>
      <c r="O3011" s="475"/>
      <c r="P3011" s="475"/>
      <c r="Q3011" s="475"/>
      <c r="R3011" s="475"/>
      <c r="S3011" s="475"/>
      <c r="T3011" s="475"/>
      <c r="U3011" s="475"/>
      <c r="V3011" s="475"/>
      <c r="W3011" s="475"/>
    </row>
    <row r="3012" spans="2:23" s="97" customFormat="1">
      <c r="B3012" s="96"/>
      <c r="H3012" s="96"/>
      <c r="J3012" s="1"/>
      <c r="K3012" s="1"/>
      <c r="L3012" s="1"/>
      <c r="O3012" s="475"/>
      <c r="P3012" s="475"/>
      <c r="Q3012" s="475"/>
      <c r="R3012" s="475"/>
      <c r="S3012" s="475"/>
      <c r="T3012" s="475"/>
      <c r="U3012" s="475"/>
      <c r="V3012" s="475"/>
      <c r="W3012" s="475"/>
    </row>
    <row r="3013" spans="2:23" s="97" customFormat="1">
      <c r="B3013" s="96"/>
      <c r="H3013" s="96"/>
      <c r="J3013" s="1"/>
      <c r="K3013" s="1"/>
      <c r="L3013" s="1"/>
      <c r="O3013" s="475"/>
      <c r="P3013" s="475"/>
      <c r="Q3013" s="475"/>
      <c r="R3013" s="475"/>
      <c r="S3013" s="475"/>
      <c r="T3013" s="475"/>
      <c r="U3013" s="475"/>
      <c r="V3013" s="475"/>
      <c r="W3013" s="475"/>
    </row>
    <row r="3014" spans="2:23" s="97" customFormat="1">
      <c r="B3014" s="96"/>
      <c r="H3014" s="96"/>
      <c r="J3014" s="1"/>
      <c r="K3014" s="1"/>
      <c r="L3014" s="1"/>
      <c r="O3014" s="475"/>
      <c r="P3014" s="475"/>
      <c r="Q3014" s="475"/>
      <c r="R3014" s="475"/>
      <c r="S3014" s="475"/>
      <c r="T3014" s="475"/>
      <c r="U3014" s="475"/>
      <c r="V3014" s="475"/>
      <c r="W3014" s="475"/>
    </row>
    <row r="3015" spans="2:23" s="97" customFormat="1">
      <c r="B3015" s="96"/>
      <c r="H3015" s="96"/>
      <c r="J3015" s="1"/>
      <c r="K3015" s="1"/>
      <c r="L3015" s="1"/>
      <c r="O3015" s="475"/>
      <c r="P3015" s="475"/>
      <c r="Q3015" s="475"/>
      <c r="R3015" s="475"/>
      <c r="S3015" s="475"/>
      <c r="T3015" s="475"/>
      <c r="U3015" s="475"/>
      <c r="V3015" s="475"/>
      <c r="W3015" s="475"/>
    </row>
    <row r="3016" spans="2:23" s="97" customFormat="1">
      <c r="B3016" s="96"/>
      <c r="H3016" s="96"/>
      <c r="J3016" s="1"/>
      <c r="K3016" s="1"/>
      <c r="L3016" s="1"/>
      <c r="O3016" s="475"/>
      <c r="P3016" s="475"/>
      <c r="Q3016" s="475"/>
      <c r="R3016" s="475"/>
      <c r="S3016" s="475"/>
      <c r="T3016" s="475"/>
      <c r="U3016" s="475"/>
      <c r="V3016" s="475"/>
      <c r="W3016" s="475"/>
    </row>
    <row r="3017" spans="2:23" s="97" customFormat="1">
      <c r="B3017" s="96"/>
      <c r="H3017" s="96"/>
      <c r="J3017" s="1"/>
      <c r="K3017" s="1"/>
      <c r="L3017" s="1"/>
      <c r="O3017" s="475"/>
      <c r="P3017" s="475"/>
      <c r="Q3017" s="475"/>
      <c r="R3017" s="475"/>
      <c r="S3017" s="475"/>
      <c r="T3017" s="475"/>
      <c r="U3017" s="475"/>
      <c r="V3017" s="475"/>
      <c r="W3017" s="475"/>
    </row>
    <row r="3018" spans="2:23" s="97" customFormat="1">
      <c r="B3018" s="96"/>
      <c r="H3018" s="96"/>
      <c r="J3018" s="1"/>
      <c r="K3018" s="1"/>
      <c r="L3018" s="1"/>
      <c r="O3018" s="475"/>
      <c r="P3018" s="475"/>
      <c r="Q3018" s="475"/>
      <c r="R3018" s="475"/>
      <c r="S3018" s="475"/>
      <c r="T3018" s="475"/>
      <c r="U3018" s="475"/>
      <c r="V3018" s="475"/>
      <c r="W3018" s="475"/>
    </row>
    <row r="3019" spans="2:23" s="97" customFormat="1">
      <c r="B3019" s="96"/>
      <c r="H3019" s="96"/>
      <c r="J3019" s="1"/>
      <c r="K3019" s="1"/>
      <c r="L3019" s="1"/>
      <c r="O3019" s="475"/>
      <c r="P3019" s="475"/>
      <c r="Q3019" s="475"/>
      <c r="R3019" s="475"/>
      <c r="S3019" s="475"/>
      <c r="T3019" s="475"/>
      <c r="U3019" s="475"/>
      <c r="V3019" s="475"/>
      <c r="W3019" s="475"/>
    </row>
    <row r="3020" spans="2:23" s="97" customFormat="1">
      <c r="B3020" s="96"/>
      <c r="H3020" s="96"/>
      <c r="J3020" s="1"/>
      <c r="K3020" s="1"/>
      <c r="L3020" s="1"/>
      <c r="O3020" s="475"/>
      <c r="P3020" s="475"/>
      <c r="Q3020" s="475"/>
      <c r="R3020" s="475"/>
      <c r="S3020" s="475"/>
      <c r="T3020" s="475"/>
      <c r="U3020" s="475"/>
      <c r="V3020" s="475"/>
      <c r="W3020" s="475"/>
    </row>
    <row r="3021" spans="2:23" s="97" customFormat="1">
      <c r="B3021" s="96"/>
      <c r="H3021" s="96"/>
      <c r="J3021" s="1"/>
      <c r="K3021" s="1"/>
      <c r="L3021" s="1"/>
      <c r="O3021" s="475"/>
      <c r="P3021" s="475"/>
      <c r="Q3021" s="475"/>
      <c r="R3021" s="475"/>
      <c r="S3021" s="475"/>
      <c r="T3021" s="475"/>
      <c r="U3021" s="475"/>
      <c r="V3021" s="475"/>
      <c r="W3021" s="475"/>
    </row>
    <row r="3022" spans="2:23" s="97" customFormat="1">
      <c r="B3022" s="96"/>
      <c r="H3022" s="96"/>
      <c r="J3022" s="1"/>
      <c r="K3022" s="1"/>
      <c r="L3022" s="1"/>
      <c r="O3022" s="475"/>
      <c r="P3022" s="475"/>
      <c r="Q3022" s="475"/>
      <c r="R3022" s="475"/>
      <c r="S3022" s="475"/>
      <c r="T3022" s="475"/>
      <c r="U3022" s="475"/>
      <c r="V3022" s="475"/>
      <c r="W3022" s="475"/>
    </row>
    <row r="3023" spans="2:23" s="97" customFormat="1">
      <c r="B3023" s="96"/>
      <c r="H3023" s="96"/>
      <c r="J3023" s="1"/>
      <c r="K3023" s="1"/>
      <c r="L3023" s="1"/>
      <c r="O3023" s="475"/>
      <c r="P3023" s="475"/>
      <c r="Q3023" s="475"/>
      <c r="R3023" s="475"/>
      <c r="S3023" s="475"/>
      <c r="T3023" s="475"/>
      <c r="U3023" s="475"/>
      <c r="V3023" s="475"/>
      <c r="W3023" s="475"/>
    </row>
    <row r="3024" spans="2:23" s="97" customFormat="1">
      <c r="B3024" s="96"/>
      <c r="H3024" s="96"/>
      <c r="J3024" s="1"/>
      <c r="K3024" s="1"/>
      <c r="L3024" s="1"/>
      <c r="O3024" s="475"/>
      <c r="P3024" s="475"/>
      <c r="Q3024" s="475"/>
      <c r="R3024" s="475"/>
      <c r="S3024" s="475"/>
      <c r="T3024" s="475"/>
      <c r="U3024" s="475"/>
      <c r="V3024" s="475"/>
      <c r="W3024" s="475"/>
    </row>
    <row r="3025" spans="2:23" s="97" customFormat="1">
      <c r="B3025" s="96"/>
      <c r="H3025" s="96"/>
      <c r="J3025" s="1"/>
      <c r="K3025" s="1"/>
      <c r="L3025" s="1"/>
      <c r="O3025" s="475"/>
      <c r="P3025" s="475"/>
      <c r="Q3025" s="475"/>
      <c r="R3025" s="475"/>
      <c r="S3025" s="475"/>
      <c r="T3025" s="475"/>
      <c r="U3025" s="475"/>
      <c r="V3025" s="475"/>
      <c r="W3025" s="475"/>
    </row>
    <row r="3026" spans="2:23" s="97" customFormat="1">
      <c r="B3026" s="96"/>
      <c r="H3026" s="96"/>
      <c r="J3026" s="1"/>
      <c r="K3026" s="1"/>
      <c r="L3026" s="1"/>
      <c r="O3026" s="475"/>
      <c r="P3026" s="475"/>
      <c r="Q3026" s="475"/>
      <c r="R3026" s="475"/>
      <c r="S3026" s="475"/>
      <c r="T3026" s="475"/>
      <c r="U3026" s="475"/>
      <c r="V3026" s="475"/>
      <c r="W3026" s="475"/>
    </row>
    <row r="3027" spans="2:23" s="97" customFormat="1">
      <c r="B3027" s="96"/>
      <c r="H3027" s="96"/>
      <c r="J3027" s="1"/>
      <c r="K3027" s="1"/>
      <c r="L3027" s="1"/>
      <c r="O3027" s="475"/>
      <c r="P3027" s="475"/>
      <c r="Q3027" s="475"/>
      <c r="R3027" s="475"/>
      <c r="S3027" s="475"/>
      <c r="T3027" s="475"/>
      <c r="U3027" s="475"/>
      <c r="V3027" s="475"/>
      <c r="W3027" s="475"/>
    </row>
    <row r="3028" spans="2:23" s="97" customFormat="1">
      <c r="B3028" s="96"/>
      <c r="H3028" s="96"/>
      <c r="J3028" s="1"/>
      <c r="K3028" s="1"/>
      <c r="L3028" s="1"/>
      <c r="O3028" s="475"/>
      <c r="P3028" s="475"/>
      <c r="Q3028" s="475"/>
      <c r="R3028" s="475"/>
      <c r="S3028" s="475"/>
      <c r="T3028" s="475"/>
      <c r="U3028" s="475"/>
      <c r="V3028" s="475"/>
      <c r="W3028" s="475"/>
    </row>
    <row r="3029" spans="2:23" s="97" customFormat="1">
      <c r="B3029" s="96"/>
      <c r="H3029" s="96"/>
      <c r="J3029" s="1"/>
      <c r="K3029" s="1"/>
      <c r="L3029" s="1"/>
      <c r="O3029" s="475"/>
      <c r="P3029" s="475"/>
      <c r="Q3029" s="475"/>
      <c r="R3029" s="475"/>
      <c r="S3029" s="475"/>
      <c r="T3029" s="475"/>
      <c r="U3029" s="475"/>
      <c r="V3029" s="475"/>
      <c r="W3029" s="475"/>
    </row>
    <row r="3030" spans="2:23" s="97" customFormat="1">
      <c r="B3030" s="96"/>
      <c r="H3030" s="96"/>
      <c r="J3030" s="1"/>
      <c r="K3030" s="1"/>
      <c r="L3030" s="1"/>
      <c r="O3030" s="475"/>
      <c r="P3030" s="475"/>
      <c r="Q3030" s="475"/>
      <c r="R3030" s="475"/>
      <c r="S3030" s="475"/>
      <c r="T3030" s="475"/>
      <c r="U3030" s="475"/>
      <c r="V3030" s="475"/>
      <c r="W3030" s="475"/>
    </row>
    <row r="3031" spans="2:23" s="97" customFormat="1">
      <c r="B3031" s="96"/>
      <c r="H3031" s="96"/>
      <c r="J3031" s="1"/>
      <c r="K3031" s="1"/>
      <c r="L3031" s="1"/>
      <c r="O3031" s="475"/>
      <c r="P3031" s="475"/>
      <c r="Q3031" s="475"/>
      <c r="R3031" s="475"/>
      <c r="S3031" s="475"/>
      <c r="T3031" s="475"/>
      <c r="U3031" s="475"/>
      <c r="V3031" s="475"/>
      <c r="W3031" s="475"/>
    </row>
    <row r="3032" spans="2:23" s="97" customFormat="1">
      <c r="B3032" s="96"/>
      <c r="H3032" s="96"/>
      <c r="J3032" s="1"/>
      <c r="K3032" s="1"/>
      <c r="L3032" s="1"/>
      <c r="O3032" s="475"/>
      <c r="P3032" s="475"/>
      <c r="Q3032" s="475"/>
      <c r="R3032" s="475"/>
      <c r="S3032" s="475"/>
      <c r="T3032" s="475"/>
      <c r="U3032" s="475"/>
      <c r="V3032" s="475"/>
      <c r="W3032" s="475"/>
    </row>
    <row r="3033" spans="2:23" s="97" customFormat="1">
      <c r="B3033" s="96"/>
      <c r="H3033" s="96"/>
      <c r="J3033" s="1"/>
      <c r="K3033" s="1"/>
      <c r="L3033" s="1"/>
      <c r="O3033" s="475"/>
      <c r="P3033" s="475"/>
      <c r="Q3033" s="475"/>
      <c r="R3033" s="475"/>
      <c r="S3033" s="475"/>
      <c r="T3033" s="475"/>
      <c r="U3033" s="475"/>
      <c r="V3033" s="475"/>
      <c r="W3033" s="475"/>
    </row>
    <row r="3034" spans="2:23" s="97" customFormat="1">
      <c r="B3034" s="96"/>
      <c r="H3034" s="96"/>
      <c r="J3034" s="1"/>
      <c r="K3034" s="1"/>
      <c r="L3034" s="1"/>
      <c r="O3034" s="475"/>
      <c r="P3034" s="475"/>
      <c r="Q3034" s="475"/>
      <c r="R3034" s="475"/>
      <c r="S3034" s="475"/>
      <c r="T3034" s="475"/>
      <c r="U3034" s="475"/>
      <c r="V3034" s="475"/>
      <c r="W3034" s="475"/>
    </row>
    <row r="3035" spans="2:23" s="97" customFormat="1">
      <c r="B3035" s="96"/>
      <c r="H3035" s="96"/>
      <c r="J3035" s="1"/>
      <c r="K3035" s="1"/>
      <c r="L3035" s="1"/>
      <c r="O3035" s="475"/>
      <c r="P3035" s="475"/>
      <c r="Q3035" s="475"/>
      <c r="R3035" s="475"/>
      <c r="S3035" s="475"/>
      <c r="T3035" s="475"/>
      <c r="U3035" s="475"/>
      <c r="V3035" s="475"/>
      <c r="W3035" s="475"/>
    </row>
    <row r="3036" spans="2:23" s="97" customFormat="1">
      <c r="B3036" s="96"/>
      <c r="H3036" s="96"/>
      <c r="J3036" s="1"/>
      <c r="K3036" s="1"/>
      <c r="L3036" s="1"/>
      <c r="O3036" s="475"/>
      <c r="P3036" s="475"/>
      <c r="Q3036" s="475"/>
      <c r="R3036" s="475"/>
      <c r="S3036" s="475"/>
      <c r="T3036" s="475"/>
      <c r="U3036" s="475"/>
      <c r="V3036" s="475"/>
      <c r="W3036" s="475"/>
    </row>
    <row r="3037" spans="2:23" s="97" customFormat="1">
      <c r="B3037" s="96"/>
      <c r="H3037" s="96"/>
      <c r="J3037" s="1"/>
      <c r="K3037" s="1"/>
      <c r="L3037" s="1"/>
      <c r="O3037" s="475"/>
      <c r="P3037" s="475"/>
      <c r="Q3037" s="475"/>
      <c r="R3037" s="475"/>
      <c r="S3037" s="475"/>
      <c r="T3037" s="475"/>
      <c r="U3037" s="475"/>
      <c r="V3037" s="475"/>
      <c r="W3037" s="475"/>
    </row>
    <row r="3038" spans="2:23" s="97" customFormat="1">
      <c r="B3038" s="96"/>
      <c r="H3038" s="96"/>
      <c r="J3038" s="1"/>
      <c r="K3038" s="1"/>
      <c r="L3038" s="1"/>
      <c r="O3038" s="475"/>
      <c r="P3038" s="475"/>
      <c r="Q3038" s="475"/>
      <c r="R3038" s="475"/>
      <c r="S3038" s="475"/>
      <c r="T3038" s="475"/>
      <c r="U3038" s="475"/>
      <c r="V3038" s="475"/>
      <c r="W3038" s="475"/>
    </row>
    <row r="3039" spans="2:23" s="97" customFormat="1">
      <c r="B3039" s="96"/>
      <c r="H3039" s="96"/>
      <c r="J3039" s="1"/>
      <c r="K3039" s="1"/>
      <c r="L3039" s="1"/>
      <c r="O3039" s="475"/>
      <c r="P3039" s="475"/>
      <c r="Q3039" s="475"/>
      <c r="R3039" s="475"/>
      <c r="S3039" s="475"/>
      <c r="T3039" s="475"/>
      <c r="U3039" s="475"/>
      <c r="V3039" s="475"/>
      <c r="W3039" s="475"/>
    </row>
    <row r="3040" spans="2:23" s="97" customFormat="1">
      <c r="B3040" s="96"/>
      <c r="H3040" s="96"/>
      <c r="J3040" s="1"/>
      <c r="K3040" s="1"/>
      <c r="L3040" s="1"/>
      <c r="O3040" s="475"/>
      <c r="P3040" s="475"/>
      <c r="Q3040" s="475"/>
      <c r="R3040" s="475"/>
      <c r="S3040" s="475"/>
      <c r="T3040" s="475"/>
      <c r="U3040" s="475"/>
      <c r="V3040" s="475"/>
      <c r="W3040" s="475"/>
    </row>
    <row r="3041" spans="2:23" s="97" customFormat="1">
      <c r="B3041" s="96"/>
      <c r="H3041" s="96"/>
      <c r="J3041" s="1"/>
      <c r="K3041" s="1"/>
      <c r="L3041" s="1"/>
      <c r="O3041" s="475"/>
      <c r="P3041" s="475"/>
      <c r="Q3041" s="475"/>
      <c r="R3041" s="475"/>
      <c r="S3041" s="475"/>
      <c r="T3041" s="475"/>
      <c r="U3041" s="475"/>
      <c r="V3041" s="475"/>
      <c r="W3041" s="475"/>
    </row>
    <row r="3042" spans="2:23" s="97" customFormat="1">
      <c r="B3042" s="96"/>
      <c r="H3042" s="96"/>
      <c r="J3042" s="1"/>
      <c r="K3042" s="1"/>
      <c r="L3042" s="1"/>
      <c r="O3042" s="475"/>
      <c r="P3042" s="475"/>
      <c r="Q3042" s="475"/>
      <c r="R3042" s="475"/>
      <c r="S3042" s="475"/>
      <c r="T3042" s="475"/>
      <c r="U3042" s="475"/>
      <c r="V3042" s="475"/>
      <c r="W3042" s="475"/>
    </row>
    <row r="3043" spans="2:23" s="97" customFormat="1">
      <c r="B3043" s="96"/>
      <c r="H3043" s="96"/>
      <c r="J3043" s="1"/>
      <c r="K3043" s="1"/>
      <c r="L3043" s="1"/>
      <c r="O3043" s="475"/>
      <c r="P3043" s="475"/>
      <c r="Q3043" s="475"/>
      <c r="R3043" s="475"/>
      <c r="S3043" s="475"/>
      <c r="T3043" s="475"/>
      <c r="U3043" s="475"/>
      <c r="V3043" s="475"/>
      <c r="W3043" s="475"/>
    </row>
    <row r="3044" spans="2:23" s="97" customFormat="1">
      <c r="B3044" s="96"/>
      <c r="H3044" s="96"/>
      <c r="J3044" s="1"/>
      <c r="K3044" s="1"/>
      <c r="L3044" s="1"/>
      <c r="O3044" s="475"/>
      <c r="P3044" s="475"/>
      <c r="Q3044" s="475"/>
      <c r="R3044" s="475"/>
      <c r="S3044" s="475"/>
      <c r="T3044" s="475"/>
      <c r="U3044" s="475"/>
      <c r="V3044" s="475"/>
      <c r="W3044" s="475"/>
    </row>
    <row r="3045" spans="2:23" s="97" customFormat="1">
      <c r="B3045" s="96"/>
      <c r="H3045" s="96"/>
      <c r="J3045" s="1"/>
      <c r="K3045" s="1"/>
      <c r="L3045" s="1"/>
      <c r="O3045" s="475"/>
      <c r="P3045" s="475"/>
      <c r="Q3045" s="475"/>
      <c r="R3045" s="475"/>
      <c r="S3045" s="475"/>
      <c r="T3045" s="475"/>
      <c r="U3045" s="475"/>
      <c r="V3045" s="475"/>
      <c r="W3045" s="475"/>
    </row>
    <row r="3046" spans="2:23" s="97" customFormat="1">
      <c r="B3046" s="96"/>
      <c r="H3046" s="96"/>
      <c r="J3046" s="1"/>
      <c r="K3046" s="1"/>
      <c r="L3046" s="1"/>
      <c r="O3046" s="475"/>
      <c r="P3046" s="475"/>
      <c r="Q3046" s="475"/>
      <c r="R3046" s="475"/>
      <c r="S3046" s="475"/>
      <c r="T3046" s="475"/>
      <c r="U3046" s="475"/>
      <c r="V3046" s="475"/>
      <c r="W3046" s="475"/>
    </row>
    <row r="3047" spans="2:23" s="97" customFormat="1">
      <c r="B3047" s="96"/>
      <c r="H3047" s="96"/>
      <c r="J3047" s="1"/>
      <c r="K3047" s="1"/>
      <c r="L3047" s="1"/>
      <c r="O3047" s="475"/>
      <c r="P3047" s="475"/>
      <c r="Q3047" s="475"/>
      <c r="R3047" s="475"/>
      <c r="S3047" s="475"/>
      <c r="T3047" s="475"/>
      <c r="U3047" s="475"/>
      <c r="V3047" s="475"/>
      <c r="W3047" s="475"/>
    </row>
    <row r="3048" spans="2:23" s="97" customFormat="1">
      <c r="B3048" s="96"/>
      <c r="H3048" s="96"/>
      <c r="J3048" s="1"/>
      <c r="K3048" s="1"/>
      <c r="L3048" s="1"/>
      <c r="O3048" s="475"/>
      <c r="P3048" s="475"/>
      <c r="Q3048" s="475"/>
      <c r="R3048" s="475"/>
      <c r="S3048" s="475"/>
      <c r="T3048" s="475"/>
      <c r="U3048" s="475"/>
      <c r="V3048" s="475"/>
      <c r="W3048" s="475"/>
    </row>
    <row r="3049" spans="2:23" s="97" customFormat="1">
      <c r="B3049" s="96"/>
      <c r="H3049" s="96"/>
      <c r="J3049" s="1"/>
      <c r="K3049" s="1"/>
      <c r="L3049" s="1"/>
      <c r="O3049" s="475"/>
      <c r="P3049" s="475"/>
      <c r="Q3049" s="475"/>
      <c r="R3049" s="475"/>
      <c r="S3049" s="475"/>
      <c r="T3049" s="475"/>
      <c r="U3049" s="475"/>
      <c r="V3049" s="475"/>
      <c r="W3049" s="475"/>
    </row>
    <row r="3050" spans="2:23" s="97" customFormat="1">
      <c r="B3050" s="96"/>
      <c r="H3050" s="96"/>
      <c r="J3050" s="1"/>
      <c r="K3050" s="1"/>
      <c r="L3050" s="1"/>
      <c r="O3050" s="475"/>
      <c r="P3050" s="475"/>
      <c r="Q3050" s="475"/>
      <c r="R3050" s="475"/>
      <c r="S3050" s="475"/>
      <c r="T3050" s="475"/>
      <c r="U3050" s="475"/>
      <c r="V3050" s="475"/>
      <c r="W3050" s="475"/>
    </row>
    <row r="3051" spans="2:23" s="97" customFormat="1">
      <c r="B3051" s="96"/>
      <c r="H3051" s="96"/>
      <c r="J3051" s="1"/>
      <c r="K3051" s="1"/>
      <c r="L3051" s="1"/>
      <c r="O3051" s="475"/>
      <c r="P3051" s="475"/>
      <c r="Q3051" s="475"/>
      <c r="R3051" s="475"/>
      <c r="S3051" s="475"/>
      <c r="T3051" s="475"/>
      <c r="U3051" s="475"/>
      <c r="V3051" s="475"/>
      <c r="W3051" s="475"/>
    </row>
    <row r="3052" spans="2:23" s="97" customFormat="1">
      <c r="B3052" s="96"/>
      <c r="H3052" s="96"/>
      <c r="J3052" s="1"/>
      <c r="K3052" s="1"/>
      <c r="L3052" s="1"/>
      <c r="O3052" s="475"/>
      <c r="P3052" s="475"/>
      <c r="Q3052" s="475"/>
      <c r="R3052" s="475"/>
      <c r="S3052" s="475"/>
      <c r="T3052" s="475"/>
      <c r="U3052" s="475"/>
      <c r="V3052" s="475"/>
      <c r="W3052" s="475"/>
    </row>
    <row r="3053" spans="2:23" s="97" customFormat="1">
      <c r="B3053" s="96"/>
      <c r="H3053" s="96"/>
      <c r="J3053" s="1"/>
      <c r="K3053" s="1"/>
      <c r="L3053" s="1"/>
      <c r="O3053" s="475"/>
      <c r="P3053" s="475"/>
      <c r="Q3053" s="475"/>
      <c r="R3053" s="475"/>
      <c r="S3053" s="475"/>
      <c r="T3053" s="475"/>
      <c r="U3053" s="475"/>
      <c r="V3053" s="475"/>
      <c r="W3053" s="475"/>
    </row>
    <row r="3054" spans="2:23" s="97" customFormat="1">
      <c r="B3054" s="96"/>
      <c r="H3054" s="96"/>
      <c r="J3054" s="1"/>
      <c r="K3054" s="1"/>
      <c r="L3054" s="1"/>
      <c r="O3054" s="475"/>
      <c r="P3054" s="475"/>
      <c r="Q3054" s="475"/>
      <c r="R3054" s="475"/>
      <c r="S3054" s="475"/>
      <c r="T3054" s="475"/>
      <c r="U3054" s="475"/>
      <c r="V3054" s="475"/>
      <c r="W3054" s="475"/>
    </row>
    <row r="3055" spans="2:23" s="97" customFormat="1">
      <c r="B3055" s="96"/>
      <c r="H3055" s="96"/>
      <c r="J3055" s="1"/>
      <c r="K3055" s="1"/>
      <c r="L3055" s="1"/>
      <c r="O3055" s="475"/>
      <c r="P3055" s="475"/>
      <c r="Q3055" s="475"/>
      <c r="R3055" s="475"/>
      <c r="S3055" s="475"/>
      <c r="T3055" s="475"/>
      <c r="U3055" s="475"/>
      <c r="V3055" s="475"/>
      <c r="W3055" s="475"/>
    </row>
    <row r="3056" spans="2:23" s="97" customFormat="1">
      <c r="B3056" s="96"/>
      <c r="H3056" s="96"/>
      <c r="J3056" s="1"/>
      <c r="K3056" s="1"/>
      <c r="L3056" s="1"/>
      <c r="O3056" s="475"/>
      <c r="P3056" s="475"/>
      <c r="Q3056" s="475"/>
      <c r="R3056" s="475"/>
      <c r="S3056" s="475"/>
      <c r="T3056" s="475"/>
      <c r="U3056" s="475"/>
      <c r="V3056" s="475"/>
      <c r="W3056" s="475"/>
    </row>
    <row r="3057" spans="2:23" s="97" customFormat="1">
      <c r="B3057" s="96"/>
      <c r="H3057" s="96"/>
      <c r="J3057" s="1"/>
      <c r="K3057" s="1"/>
      <c r="L3057" s="1"/>
      <c r="O3057" s="475"/>
      <c r="P3057" s="475"/>
      <c r="Q3057" s="475"/>
      <c r="R3057" s="475"/>
      <c r="S3057" s="475"/>
      <c r="T3057" s="475"/>
      <c r="U3057" s="475"/>
      <c r="V3057" s="475"/>
      <c r="W3057" s="475"/>
    </row>
    <row r="3058" spans="2:23" s="97" customFormat="1">
      <c r="B3058" s="96"/>
      <c r="H3058" s="96"/>
      <c r="J3058" s="1"/>
      <c r="K3058" s="1"/>
      <c r="L3058" s="1"/>
      <c r="O3058" s="475"/>
      <c r="P3058" s="475"/>
      <c r="Q3058" s="475"/>
      <c r="R3058" s="475"/>
      <c r="S3058" s="475"/>
      <c r="T3058" s="475"/>
      <c r="U3058" s="475"/>
      <c r="V3058" s="475"/>
      <c r="W3058" s="475"/>
    </row>
    <row r="3059" spans="2:23" s="97" customFormat="1">
      <c r="B3059" s="96"/>
      <c r="H3059" s="96"/>
      <c r="J3059" s="1"/>
      <c r="K3059" s="1"/>
      <c r="L3059" s="1"/>
      <c r="O3059" s="475"/>
      <c r="P3059" s="475"/>
      <c r="Q3059" s="475"/>
      <c r="R3059" s="475"/>
      <c r="S3059" s="475"/>
      <c r="T3059" s="475"/>
      <c r="U3059" s="475"/>
      <c r="V3059" s="475"/>
      <c r="W3059" s="475"/>
    </row>
    <row r="3060" spans="2:23" s="97" customFormat="1">
      <c r="B3060" s="96"/>
      <c r="H3060" s="96"/>
      <c r="J3060" s="1"/>
      <c r="K3060" s="1"/>
      <c r="L3060" s="1"/>
      <c r="O3060" s="475"/>
      <c r="P3060" s="475"/>
      <c r="Q3060" s="475"/>
      <c r="R3060" s="475"/>
      <c r="S3060" s="475"/>
      <c r="T3060" s="475"/>
      <c r="U3060" s="475"/>
      <c r="V3060" s="475"/>
      <c r="W3060" s="475"/>
    </row>
    <row r="3061" spans="2:23" s="97" customFormat="1">
      <c r="B3061" s="96"/>
      <c r="H3061" s="96"/>
      <c r="J3061" s="1"/>
      <c r="K3061" s="1"/>
      <c r="L3061" s="1"/>
      <c r="O3061" s="475"/>
      <c r="P3061" s="475"/>
      <c r="Q3061" s="475"/>
      <c r="R3061" s="475"/>
      <c r="S3061" s="475"/>
      <c r="T3061" s="475"/>
      <c r="U3061" s="475"/>
      <c r="V3061" s="475"/>
      <c r="W3061" s="475"/>
    </row>
    <row r="3062" spans="2:23" s="97" customFormat="1">
      <c r="B3062" s="96"/>
      <c r="H3062" s="96"/>
      <c r="J3062" s="1"/>
      <c r="K3062" s="1"/>
      <c r="L3062" s="1"/>
      <c r="O3062" s="475"/>
      <c r="P3062" s="475"/>
      <c r="Q3062" s="475"/>
      <c r="R3062" s="475"/>
      <c r="S3062" s="475"/>
      <c r="T3062" s="475"/>
      <c r="U3062" s="475"/>
      <c r="V3062" s="475"/>
      <c r="W3062" s="475"/>
    </row>
    <row r="3063" spans="2:23" s="97" customFormat="1">
      <c r="B3063" s="96"/>
      <c r="H3063" s="96"/>
      <c r="J3063" s="1"/>
      <c r="K3063" s="1"/>
      <c r="L3063" s="1"/>
      <c r="O3063" s="475"/>
      <c r="P3063" s="475"/>
      <c r="Q3063" s="475"/>
      <c r="R3063" s="475"/>
      <c r="S3063" s="475"/>
      <c r="T3063" s="475"/>
      <c r="U3063" s="475"/>
      <c r="V3063" s="475"/>
      <c r="W3063" s="475"/>
    </row>
    <row r="3064" spans="2:23" s="97" customFormat="1">
      <c r="B3064" s="96"/>
      <c r="H3064" s="96"/>
      <c r="J3064" s="1"/>
      <c r="K3064" s="1"/>
      <c r="L3064" s="1"/>
      <c r="O3064" s="475"/>
      <c r="P3064" s="475"/>
      <c r="Q3064" s="475"/>
      <c r="R3064" s="475"/>
      <c r="S3064" s="475"/>
      <c r="T3064" s="475"/>
      <c r="U3064" s="475"/>
      <c r="V3064" s="475"/>
      <c r="W3064" s="475"/>
    </row>
    <row r="3065" spans="2:23" s="97" customFormat="1">
      <c r="B3065" s="96"/>
      <c r="H3065" s="96"/>
      <c r="J3065" s="1"/>
      <c r="K3065" s="1"/>
      <c r="L3065" s="1"/>
      <c r="O3065" s="475"/>
      <c r="P3065" s="475"/>
      <c r="Q3065" s="475"/>
      <c r="R3065" s="475"/>
      <c r="S3065" s="475"/>
      <c r="T3065" s="475"/>
      <c r="U3065" s="475"/>
      <c r="V3065" s="475"/>
      <c r="W3065" s="475"/>
    </row>
    <row r="3066" spans="2:23" s="97" customFormat="1">
      <c r="B3066" s="96"/>
      <c r="H3066" s="96"/>
      <c r="J3066" s="1"/>
      <c r="K3066" s="1"/>
      <c r="L3066" s="1"/>
      <c r="O3066" s="475"/>
      <c r="P3066" s="475"/>
      <c r="Q3066" s="475"/>
      <c r="R3066" s="475"/>
      <c r="S3066" s="475"/>
      <c r="T3066" s="475"/>
      <c r="U3066" s="475"/>
      <c r="V3066" s="475"/>
      <c r="W3066" s="475"/>
    </row>
    <row r="3067" spans="2:23" s="97" customFormat="1">
      <c r="B3067" s="96"/>
      <c r="H3067" s="96"/>
      <c r="J3067" s="1"/>
      <c r="K3067" s="1"/>
      <c r="L3067" s="1"/>
      <c r="O3067" s="475"/>
      <c r="P3067" s="475"/>
      <c r="Q3067" s="475"/>
      <c r="R3067" s="475"/>
      <c r="S3067" s="475"/>
      <c r="T3067" s="475"/>
      <c r="U3067" s="475"/>
      <c r="V3067" s="475"/>
      <c r="W3067" s="475"/>
    </row>
    <row r="3068" spans="2:23" s="97" customFormat="1">
      <c r="B3068" s="96"/>
      <c r="H3068" s="96"/>
      <c r="J3068" s="1"/>
      <c r="K3068" s="1"/>
      <c r="L3068" s="1"/>
      <c r="O3068" s="475"/>
      <c r="P3068" s="475"/>
      <c r="Q3068" s="475"/>
      <c r="R3068" s="475"/>
      <c r="S3068" s="475"/>
      <c r="T3068" s="475"/>
      <c r="U3068" s="475"/>
      <c r="V3068" s="475"/>
      <c r="W3068" s="475"/>
    </row>
    <row r="3069" spans="2:23" s="97" customFormat="1">
      <c r="B3069" s="96"/>
      <c r="H3069" s="96"/>
      <c r="J3069" s="1"/>
      <c r="K3069" s="1"/>
      <c r="L3069" s="1"/>
      <c r="O3069" s="475"/>
      <c r="P3069" s="475"/>
      <c r="Q3069" s="475"/>
      <c r="R3069" s="475"/>
      <c r="S3069" s="475"/>
      <c r="T3069" s="475"/>
      <c r="U3069" s="475"/>
      <c r="V3069" s="475"/>
      <c r="W3069" s="475"/>
    </row>
    <row r="3070" spans="2:23" s="97" customFormat="1">
      <c r="B3070" s="96"/>
      <c r="H3070" s="96"/>
      <c r="J3070" s="1"/>
      <c r="K3070" s="1"/>
      <c r="L3070" s="1"/>
      <c r="O3070" s="475"/>
      <c r="P3070" s="475"/>
      <c r="Q3070" s="475"/>
      <c r="R3070" s="475"/>
      <c r="S3070" s="475"/>
      <c r="T3070" s="475"/>
      <c r="U3070" s="475"/>
      <c r="V3070" s="475"/>
      <c r="W3070" s="475"/>
    </row>
    <row r="3071" spans="2:23" s="97" customFormat="1">
      <c r="B3071" s="96"/>
      <c r="H3071" s="96"/>
      <c r="J3071" s="1"/>
      <c r="K3071" s="1"/>
      <c r="L3071" s="1"/>
      <c r="O3071" s="475"/>
      <c r="P3071" s="475"/>
      <c r="Q3071" s="475"/>
      <c r="R3071" s="475"/>
      <c r="S3071" s="475"/>
      <c r="T3071" s="475"/>
      <c r="U3071" s="475"/>
      <c r="V3071" s="475"/>
      <c r="W3071" s="475"/>
    </row>
    <row r="3072" spans="2:23" s="97" customFormat="1">
      <c r="B3072" s="96"/>
      <c r="H3072" s="96"/>
      <c r="J3072" s="1"/>
      <c r="K3072" s="1"/>
      <c r="L3072" s="1"/>
      <c r="O3072" s="475"/>
      <c r="P3072" s="475"/>
      <c r="Q3072" s="475"/>
      <c r="R3072" s="475"/>
      <c r="S3072" s="475"/>
      <c r="T3072" s="475"/>
      <c r="U3072" s="475"/>
      <c r="V3072" s="475"/>
      <c r="W3072" s="475"/>
    </row>
    <row r="3073" spans="2:23" s="97" customFormat="1">
      <c r="B3073" s="96"/>
      <c r="H3073" s="96"/>
      <c r="J3073" s="1"/>
      <c r="K3073" s="1"/>
      <c r="L3073" s="1"/>
      <c r="O3073" s="475"/>
      <c r="P3073" s="475"/>
      <c r="Q3073" s="475"/>
      <c r="R3073" s="475"/>
      <c r="S3073" s="475"/>
      <c r="T3073" s="475"/>
      <c r="U3073" s="475"/>
      <c r="V3073" s="475"/>
      <c r="W3073" s="475"/>
    </row>
    <row r="3074" spans="2:23" s="97" customFormat="1">
      <c r="B3074" s="96"/>
      <c r="H3074" s="96"/>
      <c r="J3074" s="1"/>
      <c r="K3074" s="1"/>
      <c r="L3074" s="1"/>
      <c r="O3074" s="475"/>
      <c r="P3074" s="475"/>
      <c r="Q3074" s="475"/>
      <c r="R3074" s="475"/>
      <c r="S3074" s="475"/>
      <c r="T3074" s="475"/>
      <c r="U3074" s="475"/>
      <c r="V3074" s="475"/>
      <c r="W3074" s="475"/>
    </row>
    <row r="3075" spans="2:23" s="97" customFormat="1">
      <c r="B3075" s="96"/>
      <c r="H3075" s="96"/>
      <c r="J3075" s="1"/>
      <c r="K3075" s="1"/>
      <c r="L3075" s="1"/>
      <c r="O3075" s="475"/>
      <c r="P3075" s="475"/>
      <c r="Q3075" s="475"/>
      <c r="R3075" s="475"/>
      <c r="S3075" s="475"/>
      <c r="T3075" s="475"/>
      <c r="U3075" s="475"/>
      <c r="V3075" s="475"/>
      <c r="W3075" s="475"/>
    </row>
    <row r="3076" spans="2:23" s="97" customFormat="1">
      <c r="B3076" s="96"/>
      <c r="H3076" s="96"/>
      <c r="J3076" s="1"/>
      <c r="K3076" s="1"/>
      <c r="L3076" s="1"/>
      <c r="O3076" s="475"/>
      <c r="P3076" s="475"/>
      <c r="Q3076" s="475"/>
      <c r="R3076" s="475"/>
      <c r="S3076" s="475"/>
      <c r="T3076" s="475"/>
      <c r="U3076" s="475"/>
      <c r="V3076" s="475"/>
      <c r="W3076" s="475"/>
    </row>
    <row r="3077" spans="2:23" s="97" customFormat="1">
      <c r="B3077" s="96"/>
      <c r="H3077" s="96"/>
      <c r="J3077" s="1"/>
      <c r="K3077" s="1"/>
      <c r="L3077" s="1"/>
      <c r="O3077" s="475"/>
      <c r="P3077" s="475"/>
      <c r="Q3077" s="475"/>
      <c r="R3077" s="475"/>
      <c r="S3077" s="475"/>
      <c r="T3077" s="475"/>
      <c r="U3077" s="475"/>
      <c r="V3077" s="475"/>
      <c r="W3077" s="475"/>
    </row>
    <row r="3078" spans="2:23" s="97" customFormat="1">
      <c r="B3078" s="96"/>
      <c r="H3078" s="96"/>
      <c r="J3078" s="1"/>
      <c r="K3078" s="1"/>
      <c r="L3078" s="1"/>
      <c r="O3078" s="475"/>
      <c r="P3078" s="475"/>
      <c r="Q3078" s="475"/>
      <c r="R3078" s="475"/>
      <c r="S3078" s="475"/>
      <c r="T3078" s="475"/>
      <c r="U3078" s="475"/>
      <c r="V3078" s="475"/>
      <c r="W3078" s="475"/>
    </row>
    <row r="3079" spans="2:23" s="97" customFormat="1">
      <c r="B3079" s="96"/>
      <c r="H3079" s="96"/>
      <c r="J3079" s="1"/>
      <c r="K3079" s="1"/>
      <c r="L3079" s="1"/>
      <c r="O3079" s="475"/>
      <c r="P3079" s="475"/>
      <c r="Q3079" s="475"/>
      <c r="R3079" s="475"/>
      <c r="S3079" s="475"/>
      <c r="T3079" s="475"/>
      <c r="U3079" s="475"/>
      <c r="V3079" s="475"/>
      <c r="W3079" s="475"/>
    </row>
    <row r="3080" spans="2:23" s="97" customFormat="1">
      <c r="B3080" s="96"/>
      <c r="H3080" s="96"/>
      <c r="J3080" s="1"/>
      <c r="K3080" s="1"/>
      <c r="L3080" s="1"/>
      <c r="O3080" s="475"/>
      <c r="P3080" s="475"/>
      <c r="Q3080" s="475"/>
      <c r="R3080" s="475"/>
      <c r="S3080" s="475"/>
      <c r="T3080" s="475"/>
      <c r="U3080" s="475"/>
      <c r="V3080" s="475"/>
      <c r="W3080" s="475"/>
    </row>
    <row r="3081" spans="2:23" s="97" customFormat="1">
      <c r="B3081" s="96"/>
      <c r="H3081" s="96"/>
      <c r="J3081" s="1"/>
      <c r="K3081" s="1"/>
      <c r="L3081" s="1"/>
      <c r="O3081" s="475"/>
      <c r="P3081" s="475"/>
      <c r="Q3081" s="475"/>
      <c r="R3081" s="475"/>
      <c r="S3081" s="475"/>
      <c r="T3081" s="475"/>
      <c r="U3081" s="475"/>
      <c r="V3081" s="475"/>
      <c r="W3081" s="475"/>
    </row>
    <row r="3082" spans="2:23" s="97" customFormat="1">
      <c r="B3082" s="96"/>
      <c r="H3082" s="96"/>
      <c r="J3082" s="1"/>
      <c r="K3082" s="1"/>
      <c r="L3082" s="1"/>
      <c r="O3082" s="475"/>
      <c r="P3082" s="475"/>
      <c r="Q3082" s="475"/>
      <c r="R3082" s="475"/>
      <c r="S3082" s="475"/>
      <c r="T3082" s="475"/>
      <c r="U3082" s="475"/>
      <c r="V3082" s="475"/>
      <c r="W3082" s="475"/>
    </row>
    <row r="3083" spans="2:23" s="97" customFormat="1">
      <c r="B3083" s="96"/>
      <c r="H3083" s="96"/>
      <c r="J3083" s="1"/>
      <c r="K3083" s="1"/>
      <c r="L3083" s="1"/>
      <c r="O3083" s="475"/>
      <c r="P3083" s="475"/>
      <c r="Q3083" s="475"/>
      <c r="R3083" s="475"/>
      <c r="S3083" s="475"/>
      <c r="T3083" s="475"/>
      <c r="U3083" s="475"/>
      <c r="V3083" s="475"/>
      <c r="W3083" s="475"/>
    </row>
    <row r="3084" spans="2:23" s="97" customFormat="1">
      <c r="B3084" s="96"/>
      <c r="H3084" s="96"/>
      <c r="J3084" s="1"/>
      <c r="K3084" s="1"/>
      <c r="L3084" s="1"/>
      <c r="O3084" s="475"/>
      <c r="P3084" s="475"/>
      <c r="Q3084" s="475"/>
      <c r="R3084" s="475"/>
      <c r="S3084" s="475"/>
      <c r="T3084" s="475"/>
      <c r="U3084" s="475"/>
      <c r="V3084" s="475"/>
      <c r="W3084" s="475"/>
    </row>
    <row r="3085" spans="2:23" s="97" customFormat="1">
      <c r="B3085" s="96"/>
      <c r="H3085" s="96"/>
      <c r="J3085" s="1"/>
      <c r="K3085" s="1"/>
      <c r="L3085" s="1"/>
      <c r="O3085" s="475"/>
      <c r="P3085" s="475"/>
      <c r="Q3085" s="475"/>
      <c r="R3085" s="475"/>
      <c r="S3085" s="475"/>
      <c r="T3085" s="475"/>
      <c r="U3085" s="475"/>
      <c r="V3085" s="475"/>
      <c r="W3085" s="475"/>
    </row>
    <row r="3086" spans="2:23" s="97" customFormat="1">
      <c r="B3086" s="96"/>
      <c r="H3086" s="96"/>
      <c r="J3086" s="1"/>
      <c r="K3086" s="1"/>
      <c r="L3086" s="1"/>
      <c r="O3086" s="475"/>
      <c r="P3086" s="475"/>
      <c r="Q3086" s="475"/>
      <c r="R3086" s="475"/>
      <c r="S3086" s="475"/>
      <c r="T3086" s="475"/>
      <c r="U3086" s="475"/>
      <c r="V3086" s="475"/>
      <c r="W3086" s="475"/>
    </row>
    <row r="3087" spans="2:23" s="97" customFormat="1">
      <c r="B3087" s="96"/>
      <c r="H3087" s="96"/>
      <c r="J3087" s="1"/>
      <c r="K3087" s="1"/>
      <c r="L3087" s="1"/>
      <c r="O3087" s="475"/>
      <c r="P3087" s="475"/>
      <c r="Q3087" s="475"/>
      <c r="R3087" s="475"/>
      <c r="S3087" s="475"/>
      <c r="T3087" s="475"/>
      <c r="U3087" s="475"/>
      <c r="V3087" s="475"/>
      <c r="W3087" s="475"/>
    </row>
    <row r="3088" spans="2:23" s="97" customFormat="1">
      <c r="B3088" s="96"/>
      <c r="H3088" s="96"/>
      <c r="J3088" s="1"/>
      <c r="K3088" s="1"/>
      <c r="L3088" s="1"/>
      <c r="O3088" s="475"/>
      <c r="P3088" s="475"/>
      <c r="Q3088" s="475"/>
      <c r="R3088" s="475"/>
      <c r="S3088" s="475"/>
      <c r="T3088" s="475"/>
      <c r="U3088" s="475"/>
      <c r="V3088" s="475"/>
      <c r="W3088" s="475"/>
    </row>
    <row r="3089" spans="2:23" s="97" customFormat="1">
      <c r="B3089" s="96"/>
      <c r="H3089" s="96"/>
      <c r="J3089" s="1"/>
      <c r="K3089" s="1"/>
      <c r="L3089" s="1"/>
      <c r="O3089" s="475"/>
      <c r="P3089" s="475"/>
      <c r="Q3089" s="475"/>
      <c r="R3089" s="475"/>
      <c r="S3089" s="475"/>
      <c r="T3089" s="475"/>
      <c r="U3089" s="475"/>
      <c r="V3089" s="475"/>
      <c r="W3089" s="475"/>
    </row>
    <row r="3090" spans="2:23" s="97" customFormat="1">
      <c r="B3090" s="96"/>
      <c r="H3090" s="96"/>
      <c r="J3090" s="1"/>
      <c r="K3090" s="1"/>
      <c r="L3090" s="1"/>
      <c r="O3090" s="475"/>
      <c r="P3090" s="475"/>
      <c r="Q3090" s="475"/>
      <c r="R3090" s="475"/>
      <c r="S3090" s="475"/>
      <c r="T3090" s="475"/>
      <c r="U3090" s="475"/>
      <c r="V3090" s="475"/>
      <c r="W3090" s="475"/>
    </row>
    <row r="3091" spans="2:23" s="97" customFormat="1">
      <c r="B3091" s="96"/>
      <c r="H3091" s="96"/>
      <c r="J3091" s="1"/>
      <c r="K3091" s="1"/>
      <c r="L3091" s="1"/>
      <c r="O3091" s="475"/>
      <c r="P3091" s="475"/>
      <c r="Q3091" s="475"/>
      <c r="R3091" s="475"/>
      <c r="S3091" s="475"/>
      <c r="T3091" s="475"/>
      <c r="U3091" s="475"/>
      <c r="V3091" s="475"/>
      <c r="W3091" s="475"/>
    </row>
    <row r="3092" spans="2:23" s="97" customFormat="1">
      <c r="B3092" s="96"/>
      <c r="H3092" s="96"/>
      <c r="J3092" s="1"/>
      <c r="K3092" s="1"/>
      <c r="L3092" s="1"/>
      <c r="O3092" s="475"/>
      <c r="P3092" s="475"/>
      <c r="Q3092" s="475"/>
      <c r="R3092" s="475"/>
      <c r="S3092" s="475"/>
      <c r="T3092" s="475"/>
      <c r="U3092" s="475"/>
      <c r="V3092" s="475"/>
      <c r="W3092" s="475"/>
    </row>
    <row r="3093" spans="2:23" s="97" customFormat="1">
      <c r="B3093" s="96"/>
      <c r="H3093" s="96"/>
      <c r="J3093" s="1"/>
      <c r="K3093" s="1"/>
      <c r="L3093" s="1"/>
      <c r="O3093" s="475"/>
      <c r="P3093" s="475"/>
      <c r="Q3093" s="475"/>
      <c r="R3093" s="475"/>
      <c r="S3093" s="475"/>
      <c r="T3093" s="475"/>
      <c r="U3093" s="475"/>
      <c r="V3093" s="475"/>
      <c r="W3093" s="475"/>
    </row>
    <row r="3094" spans="2:23" s="97" customFormat="1">
      <c r="B3094" s="96"/>
      <c r="H3094" s="96"/>
      <c r="J3094" s="1"/>
      <c r="K3094" s="1"/>
      <c r="L3094" s="1"/>
      <c r="O3094" s="475"/>
      <c r="P3094" s="475"/>
      <c r="Q3094" s="475"/>
      <c r="R3094" s="475"/>
      <c r="S3094" s="475"/>
      <c r="T3094" s="475"/>
      <c r="U3094" s="475"/>
      <c r="V3094" s="475"/>
      <c r="W3094" s="475"/>
    </row>
    <row r="3095" spans="2:23" s="97" customFormat="1">
      <c r="B3095" s="96"/>
      <c r="H3095" s="96"/>
      <c r="J3095" s="1"/>
      <c r="K3095" s="1"/>
      <c r="L3095" s="1"/>
      <c r="O3095" s="475"/>
      <c r="P3095" s="475"/>
      <c r="Q3095" s="475"/>
      <c r="R3095" s="475"/>
      <c r="S3095" s="475"/>
      <c r="T3095" s="475"/>
      <c r="U3095" s="475"/>
      <c r="V3095" s="475"/>
      <c r="W3095" s="475"/>
    </row>
    <row r="3096" spans="2:23" s="97" customFormat="1">
      <c r="B3096" s="96"/>
      <c r="H3096" s="96"/>
      <c r="J3096" s="1"/>
      <c r="K3096" s="1"/>
      <c r="L3096" s="1"/>
      <c r="O3096" s="475"/>
      <c r="P3096" s="475"/>
      <c r="Q3096" s="475"/>
      <c r="R3096" s="475"/>
      <c r="S3096" s="475"/>
      <c r="T3096" s="475"/>
      <c r="U3096" s="475"/>
      <c r="V3096" s="475"/>
      <c r="W3096" s="475"/>
    </row>
    <row r="3097" spans="2:23" s="97" customFormat="1">
      <c r="B3097" s="96"/>
      <c r="H3097" s="96"/>
      <c r="J3097" s="1"/>
      <c r="K3097" s="1"/>
      <c r="L3097" s="1"/>
      <c r="O3097" s="475"/>
      <c r="P3097" s="475"/>
      <c r="Q3097" s="475"/>
      <c r="R3097" s="475"/>
      <c r="S3097" s="475"/>
      <c r="T3097" s="475"/>
      <c r="U3097" s="475"/>
      <c r="V3097" s="475"/>
      <c r="W3097" s="475"/>
    </row>
    <row r="3098" spans="2:23" s="97" customFormat="1">
      <c r="B3098" s="96"/>
      <c r="H3098" s="96"/>
      <c r="J3098" s="1"/>
      <c r="K3098" s="1"/>
      <c r="L3098" s="1"/>
      <c r="O3098" s="475"/>
      <c r="P3098" s="475"/>
      <c r="Q3098" s="475"/>
      <c r="R3098" s="475"/>
      <c r="S3098" s="475"/>
      <c r="T3098" s="475"/>
      <c r="U3098" s="475"/>
      <c r="V3098" s="475"/>
      <c r="W3098" s="475"/>
    </row>
    <row r="3099" spans="2:23" s="97" customFormat="1">
      <c r="B3099" s="96"/>
      <c r="H3099" s="96"/>
      <c r="J3099" s="1"/>
      <c r="K3099" s="1"/>
      <c r="L3099" s="1"/>
      <c r="O3099" s="475"/>
      <c r="P3099" s="475"/>
      <c r="Q3099" s="475"/>
      <c r="R3099" s="475"/>
      <c r="S3099" s="475"/>
      <c r="T3099" s="475"/>
      <c r="U3099" s="475"/>
      <c r="V3099" s="475"/>
      <c r="W3099" s="475"/>
    </row>
    <row r="3100" spans="2:23" s="97" customFormat="1">
      <c r="B3100" s="96"/>
      <c r="H3100" s="96"/>
      <c r="J3100" s="1"/>
      <c r="K3100" s="1"/>
      <c r="L3100" s="1"/>
      <c r="O3100" s="475"/>
      <c r="P3100" s="475"/>
      <c r="Q3100" s="475"/>
      <c r="R3100" s="475"/>
      <c r="S3100" s="475"/>
      <c r="T3100" s="475"/>
      <c r="U3100" s="475"/>
      <c r="V3100" s="475"/>
      <c r="W3100" s="475"/>
    </row>
    <row r="3101" spans="2:23" s="97" customFormat="1">
      <c r="B3101" s="96"/>
      <c r="H3101" s="96"/>
      <c r="J3101" s="1"/>
      <c r="K3101" s="1"/>
      <c r="L3101" s="1"/>
      <c r="O3101" s="475"/>
      <c r="P3101" s="475"/>
      <c r="Q3101" s="475"/>
      <c r="R3101" s="475"/>
      <c r="S3101" s="475"/>
      <c r="T3101" s="475"/>
      <c r="U3101" s="475"/>
      <c r="V3101" s="475"/>
      <c r="W3101" s="475"/>
    </row>
    <row r="3102" spans="2:23" s="97" customFormat="1">
      <c r="B3102" s="96"/>
      <c r="H3102" s="96"/>
      <c r="J3102" s="1"/>
      <c r="K3102" s="1"/>
      <c r="L3102" s="1"/>
      <c r="O3102" s="475"/>
      <c r="P3102" s="475"/>
      <c r="Q3102" s="475"/>
      <c r="R3102" s="475"/>
      <c r="S3102" s="475"/>
      <c r="T3102" s="475"/>
      <c r="U3102" s="475"/>
      <c r="V3102" s="475"/>
      <c r="W3102" s="475"/>
    </row>
    <row r="3103" spans="2:23" s="97" customFormat="1">
      <c r="B3103" s="96"/>
      <c r="H3103" s="96"/>
      <c r="J3103" s="1"/>
      <c r="K3103" s="1"/>
      <c r="L3103" s="1"/>
      <c r="O3103" s="475"/>
      <c r="P3103" s="475"/>
      <c r="Q3103" s="475"/>
      <c r="R3103" s="475"/>
      <c r="S3103" s="475"/>
      <c r="T3103" s="475"/>
      <c r="U3103" s="475"/>
      <c r="V3103" s="475"/>
      <c r="W3103" s="475"/>
    </row>
    <row r="3104" spans="2:23" s="97" customFormat="1">
      <c r="B3104" s="96"/>
      <c r="H3104" s="96"/>
      <c r="J3104" s="1"/>
      <c r="K3104" s="1"/>
      <c r="L3104" s="1"/>
      <c r="O3104" s="475"/>
      <c r="P3104" s="475"/>
      <c r="Q3104" s="475"/>
      <c r="R3104" s="475"/>
      <c r="S3104" s="475"/>
      <c r="T3104" s="475"/>
      <c r="U3104" s="475"/>
      <c r="V3104" s="475"/>
      <c r="W3104" s="475"/>
    </row>
    <row r="3105" spans="2:23" s="97" customFormat="1">
      <c r="B3105" s="96"/>
      <c r="H3105" s="96"/>
      <c r="J3105" s="1"/>
      <c r="K3105" s="1"/>
      <c r="L3105" s="1"/>
      <c r="O3105" s="475"/>
      <c r="P3105" s="475"/>
      <c r="Q3105" s="475"/>
      <c r="R3105" s="475"/>
      <c r="S3105" s="475"/>
      <c r="T3105" s="475"/>
      <c r="U3105" s="475"/>
      <c r="V3105" s="475"/>
      <c r="W3105" s="475"/>
    </row>
    <row r="3106" spans="2:23" s="97" customFormat="1">
      <c r="B3106" s="96"/>
      <c r="H3106" s="96"/>
      <c r="J3106" s="1"/>
      <c r="K3106" s="1"/>
      <c r="L3106" s="1"/>
      <c r="O3106" s="475"/>
      <c r="P3106" s="475"/>
      <c r="Q3106" s="475"/>
      <c r="R3106" s="475"/>
      <c r="S3106" s="475"/>
      <c r="T3106" s="475"/>
      <c r="U3106" s="475"/>
      <c r="V3106" s="475"/>
      <c r="W3106" s="475"/>
    </row>
    <row r="3107" spans="2:23" s="97" customFormat="1">
      <c r="B3107" s="96"/>
      <c r="H3107" s="96"/>
      <c r="J3107" s="1"/>
      <c r="K3107" s="1"/>
      <c r="L3107" s="1"/>
      <c r="O3107" s="475"/>
      <c r="P3107" s="475"/>
      <c r="Q3107" s="475"/>
      <c r="R3107" s="475"/>
      <c r="S3107" s="475"/>
      <c r="T3107" s="475"/>
      <c r="U3107" s="475"/>
      <c r="V3107" s="475"/>
      <c r="W3107" s="475"/>
    </row>
    <row r="3108" spans="2:23" s="97" customFormat="1">
      <c r="B3108" s="96"/>
      <c r="H3108" s="96"/>
      <c r="J3108" s="1"/>
      <c r="K3108" s="1"/>
      <c r="L3108" s="1"/>
      <c r="O3108" s="475"/>
      <c r="P3108" s="475"/>
      <c r="Q3108" s="475"/>
      <c r="R3108" s="475"/>
      <c r="S3108" s="475"/>
      <c r="T3108" s="475"/>
      <c r="U3108" s="475"/>
      <c r="V3108" s="475"/>
      <c r="W3108" s="475"/>
    </row>
    <row r="3109" spans="2:23" s="97" customFormat="1">
      <c r="B3109" s="96"/>
      <c r="H3109" s="96"/>
      <c r="J3109" s="1"/>
      <c r="K3109" s="1"/>
      <c r="L3109" s="1"/>
      <c r="O3109" s="475"/>
      <c r="P3109" s="475"/>
      <c r="Q3109" s="475"/>
      <c r="R3109" s="475"/>
      <c r="S3109" s="475"/>
      <c r="T3109" s="475"/>
      <c r="U3109" s="475"/>
      <c r="V3109" s="475"/>
      <c r="W3109" s="475"/>
    </row>
    <row r="3110" spans="2:23" s="97" customFormat="1">
      <c r="B3110" s="96"/>
      <c r="H3110" s="96"/>
      <c r="J3110" s="1"/>
      <c r="K3110" s="1"/>
      <c r="L3110" s="1"/>
      <c r="O3110" s="475"/>
      <c r="P3110" s="475"/>
      <c r="Q3110" s="475"/>
      <c r="R3110" s="475"/>
      <c r="S3110" s="475"/>
      <c r="T3110" s="475"/>
      <c r="U3110" s="475"/>
      <c r="V3110" s="475"/>
      <c r="W3110" s="475"/>
    </row>
    <row r="3111" spans="2:23" s="97" customFormat="1">
      <c r="B3111" s="96"/>
      <c r="H3111" s="96"/>
      <c r="J3111" s="1"/>
      <c r="K3111" s="1"/>
      <c r="L3111" s="1"/>
      <c r="O3111" s="475"/>
      <c r="P3111" s="475"/>
      <c r="Q3111" s="475"/>
      <c r="R3111" s="475"/>
      <c r="S3111" s="475"/>
      <c r="T3111" s="475"/>
      <c r="U3111" s="475"/>
      <c r="V3111" s="475"/>
      <c r="W3111" s="475"/>
    </row>
    <row r="3112" spans="2:23" s="97" customFormat="1">
      <c r="B3112" s="96"/>
      <c r="H3112" s="96"/>
      <c r="J3112" s="1"/>
      <c r="K3112" s="1"/>
      <c r="L3112" s="1"/>
      <c r="O3112" s="475"/>
      <c r="P3112" s="475"/>
      <c r="Q3112" s="475"/>
      <c r="R3112" s="475"/>
      <c r="S3112" s="475"/>
      <c r="T3112" s="475"/>
      <c r="U3112" s="475"/>
      <c r="V3112" s="475"/>
      <c r="W3112" s="475"/>
    </row>
    <row r="3113" spans="2:23" s="97" customFormat="1">
      <c r="B3113" s="96"/>
      <c r="H3113" s="96"/>
      <c r="J3113" s="1"/>
      <c r="K3113" s="1"/>
      <c r="L3113" s="1"/>
      <c r="O3113" s="475"/>
      <c r="P3113" s="475"/>
      <c r="Q3113" s="475"/>
      <c r="R3113" s="475"/>
      <c r="S3113" s="475"/>
      <c r="T3113" s="475"/>
      <c r="U3113" s="475"/>
      <c r="V3113" s="475"/>
      <c r="W3113" s="475"/>
    </row>
    <row r="3114" spans="2:23" s="97" customFormat="1">
      <c r="B3114" s="96"/>
      <c r="H3114" s="96"/>
      <c r="J3114" s="1"/>
      <c r="K3114" s="1"/>
      <c r="L3114" s="1"/>
      <c r="O3114" s="475"/>
      <c r="P3114" s="475"/>
      <c r="Q3114" s="475"/>
      <c r="R3114" s="475"/>
      <c r="S3114" s="475"/>
      <c r="T3114" s="475"/>
      <c r="U3114" s="475"/>
      <c r="V3114" s="475"/>
      <c r="W3114" s="475"/>
    </row>
    <row r="3115" spans="2:23" s="97" customFormat="1">
      <c r="B3115" s="96"/>
      <c r="H3115" s="96"/>
      <c r="J3115" s="1"/>
      <c r="K3115" s="1"/>
      <c r="L3115" s="1"/>
      <c r="O3115" s="475"/>
      <c r="P3115" s="475"/>
      <c r="Q3115" s="475"/>
      <c r="R3115" s="475"/>
      <c r="S3115" s="475"/>
      <c r="T3115" s="475"/>
      <c r="U3115" s="475"/>
      <c r="V3115" s="475"/>
      <c r="W3115" s="475"/>
    </row>
    <row r="3116" spans="2:23" s="97" customFormat="1">
      <c r="B3116" s="96"/>
      <c r="H3116" s="96"/>
      <c r="J3116" s="1"/>
      <c r="K3116" s="1"/>
      <c r="L3116" s="1"/>
      <c r="O3116" s="475"/>
      <c r="P3116" s="475"/>
      <c r="Q3116" s="475"/>
      <c r="R3116" s="475"/>
      <c r="S3116" s="475"/>
      <c r="T3116" s="475"/>
      <c r="U3116" s="475"/>
      <c r="V3116" s="475"/>
      <c r="W3116" s="475"/>
    </row>
    <row r="3117" spans="2:23" s="97" customFormat="1">
      <c r="B3117" s="96"/>
      <c r="H3117" s="96"/>
      <c r="J3117" s="1"/>
      <c r="K3117" s="1"/>
      <c r="L3117" s="1"/>
      <c r="O3117" s="475"/>
      <c r="P3117" s="475"/>
      <c r="Q3117" s="475"/>
      <c r="R3117" s="475"/>
      <c r="S3117" s="475"/>
      <c r="T3117" s="475"/>
      <c r="U3117" s="475"/>
      <c r="V3117" s="475"/>
      <c r="W3117" s="475"/>
    </row>
    <row r="3118" spans="2:23" s="97" customFormat="1">
      <c r="B3118" s="96"/>
      <c r="H3118" s="96"/>
      <c r="J3118" s="1"/>
      <c r="K3118" s="1"/>
      <c r="L3118" s="1"/>
      <c r="O3118" s="475"/>
      <c r="P3118" s="475"/>
      <c r="Q3118" s="475"/>
      <c r="R3118" s="475"/>
      <c r="S3118" s="475"/>
      <c r="T3118" s="475"/>
      <c r="U3118" s="475"/>
      <c r="V3118" s="475"/>
      <c r="W3118" s="475"/>
    </row>
    <row r="3119" spans="2:23" s="97" customFormat="1">
      <c r="B3119" s="96"/>
      <c r="H3119" s="96"/>
      <c r="J3119" s="1"/>
      <c r="K3119" s="1"/>
      <c r="L3119" s="1"/>
      <c r="O3119" s="475"/>
      <c r="P3119" s="475"/>
      <c r="Q3119" s="475"/>
      <c r="R3119" s="475"/>
      <c r="S3119" s="475"/>
      <c r="T3119" s="475"/>
      <c r="U3119" s="475"/>
      <c r="V3119" s="475"/>
      <c r="W3119" s="475"/>
    </row>
    <row r="3120" spans="2:23" s="97" customFormat="1">
      <c r="B3120" s="96"/>
      <c r="H3120" s="96"/>
      <c r="J3120" s="1"/>
      <c r="K3120" s="1"/>
      <c r="L3120" s="1"/>
      <c r="O3120" s="475"/>
      <c r="P3120" s="475"/>
      <c r="Q3120" s="475"/>
      <c r="R3120" s="475"/>
      <c r="S3120" s="475"/>
      <c r="T3120" s="475"/>
      <c r="U3120" s="475"/>
      <c r="V3120" s="475"/>
      <c r="W3120" s="475"/>
    </row>
    <row r="3121" spans="2:23" s="97" customFormat="1">
      <c r="B3121" s="96"/>
      <c r="H3121" s="96"/>
      <c r="J3121" s="1"/>
      <c r="K3121" s="1"/>
      <c r="L3121" s="1"/>
      <c r="O3121" s="475"/>
      <c r="P3121" s="475"/>
      <c r="Q3121" s="475"/>
      <c r="R3121" s="475"/>
      <c r="S3121" s="475"/>
      <c r="T3121" s="475"/>
      <c r="U3121" s="475"/>
      <c r="V3121" s="475"/>
      <c r="W3121" s="475"/>
    </row>
    <row r="3122" spans="2:23" s="97" customFormat="1">
      <c r="B3122" s="96"/>
      <c r="H3122" s="96"/>
      <c r="J3122" s="1"/>
      <c r="K3122" s="1"/>
      <c r="L3122" s="1"/>
      <c r="O3122" s="475"/>
      <c r="P3122" s="475"/>
      <c r="Q3122" s="475"/>
      <c r="R3122" s="475"/>
      <c r="S3122" s="475"/>
      <c r="T3122" s="475"/>
      <c r="U3122" s="475"/>
      <c r="V3122" s="475"/>
      <c r="W3122" s="475"/>
    </row>
    <row r="3123" spans="2:23" s="97" customFormat="1">
      <c r="B3123" s="96"/>
      <c r="H3123" s="96"/>
      <c r="J3123" s="1"/>
      <c r="K3123" s="1"/>
      <c r="L3123" s="1"/>
      <c r="O3123" s="475"/>
      <c r="P3123" s="475"/>
      <c r="Q3123" s="475"/>
      <c r="R3123" s="475"/>
      <c r="S3123" s="475"/>
      <c r="T3123" s="475"/>
      <c r="U3123" s="475"/>
      <c r="V3123" s="475"/>
      <c r="W3123" s="475"/>
    </row>
    <row r="3124" spans="2:23" s="97" customFormat="1">
      <c r="B3124" s="96"/>
      <c r="H3124" s="96"/>
      <c r="J3124" s="1"/>
      <c r="K3124" s="1"/>
      <c r="L3124" s="1"/>
      <c r="O3124" s="475"/>
      <c r="P3124" s="475"/>
      <c r="Q3124" s="475"/>
      <c r="R3124" s="475"/>
      <c r="S3124" s="475"/>
      <c r="T3124" s="475"/>
      <c r="U3124" s="475"/>
      <c r="V3124" s="475"/>
      <c r="W3124" s="475"/>
    </row>
    <row r="3125" spans="2:23" s="97" customFormat="1">
      <c r="B3125" s="96"/>
      <c r="H3125" s="96"/>
      <c r="J3125" s="1"/>
      <c r="K3125" s="1"/>
      <c r="L3125" s="1"/>
      <c r="O3125" s="475"/>
      <c r="P3125" s="475"/>
      <c r="Q3125" s="475"/>
      <c r="R3125" s="475"/>
      <c r="S3125" s="475"/>
      <c r="T3125" s="475"/>
      <c r="U3125" s="475"/>
      <c r="V3125" s="475"/>
      <c r="W3125" s="475"/>
    </row>
    <row r="3126" spans="2:23" s="97" customFormat="1">
      <c r="B3126" s="96"/>
      <c r="H3126" s="96"/>
      <c r="J3126" s="1"/>
      <c r="K3126" s="1"/>
      <c r="L3126" s="1"/>
      <c r="O3126" s="475"/>
      <c r="P3126" s="475"/>
      <c r="Q3126" s="475"/>
      <c r="R3126" s="475"/>
      <c r="S3126" s="475"/>
      <c r="T3126" s="475"/>
      <c r="U3126" s="475"/>
      <c r="V3126" s="475"/>
      <c r="W3126" s="475"/>
    </row>
    <row r="3127" spans="2:23" s="97" customFormat="1">
      <c r="B3127" s="96"/>
      <c r="H3127" s="96"/>
      <c r="J3127" s="1"/>
      <c r="K3127" s="1"/>
      <c r="L3127" s="1"/>
      <c r="O3127" s="475"/>
      <c r="P3127" s="475"/>
      <c r="Q3127" s="475"/>
      <c r="R3127" s="475"/>
      <c r="S3127" s="475"/>
      <c r="T3127" s="475"/>
      <c r="U3127" s="475"/>
      <c r="V3127" s="475"/>
      <c r="W3127" s="475"/>
    </row>
    <row r="3128" spans="2:23" s="97" customFormat="1">
      <c r="B3128" s="96"/>
      <c r="H3128" s="96"/>
      <c r="J3128" s="1"/>
      <c r="K3128" s="1"/>
      <c r="L3128" s="1"/>
      <c r="O3128" s="475"/>
      <c r="P3128" s="475"/>
      <c r="Q3128" s="475"/>
      <c r="R3128" s="475"/>
      <c r="S3128" s="475"/>
      <c r="T3128" s="475"/>
      <c r="U3128" s="475"/>
      <c r="V3128" s="475"/>
      <c r="W3128" s="475"/>
    </row>
    <row r="3129" spans="2:23" s="97" customFormat="1">
      <c r="B3129" s="96"/>
      <c r="H3129" s="96"/>
      <c r="J3129" s="1"/>
      <c r="K3129" s="1"/>
      <c r="L3129" s="1"/>
      <c r="O3129" s="475"/>
      <c r="P3129" s="475"/>
      <c r="Q3129" s="475"/>
      <c r="R3129" s="475"/>
      <c r="S3129" s="475"/>
      <c r="T3129" s="475"/>
      <c r="U3129" s="475"/>
      <c r="V3129" s="475"/>
      <c r="W3129" s="475"/>
    </row>
    <row r="3130" spans="2:23" s="97" customFormat="1">
      <c r="B3130" s="96"/>
      <c r="H3130" s="96"/>
      <c r="J3130" s="1"/>
      <c r="K3130" s="1"/>
      <c r="L3130" s="1"/>
      <c r="O3130" s="475"/>
      <c r="P3130" s="475"/>
      <c r="Q3130" s="475"/>
      <c r="R3130" s="475"/>
      <c r="S3130" s="475"/>
      <c r="T3130" s="475"/>
      <c r="U3130" s="475"/>
      <c r="V3130" s="475"/>
      <c r="W3130" s="475"/>
    </row>
    <row r="3131" spans="2:23" s="97" customFormat="1">
      <c r="B3131" s="96"/>
      <c r="H3131" s="96"/>
      <c r="J3131" s="1"/>
      <c r="K3131" s="1"/>
      <c r="L3131" s="1"/>
      <c r="O3131" s="475"/>
      <c r="P3131" s="475"/>
      <c r="Q3131" s="475"/>
      <c r="R3131" s="475"/>
      <c r="S3131" s="475"/>
      <c r="T3131" s="475"/>
      <c r="U3131" s="475"/>
      <c r="V3131" s="475"/>
      <c r="W3131" s="475"/>
    </row>
    <row r="3132" spans="2:23" s="97" customFormat="1">
      <c r="B3132" s="96"/>
      <c r="H3132" s="96"/>
      <c r="J3132" s="1"/>
      <c r="K3132" s="1"/>
      <c r="L3132" s="1"/>
      <c r="O3132" s="475"/>
      <c r="P3132" s="475"/>
      <c r="Q3132" s="475"/>
      <c r="R3132" s="475"/>
      <c r="S3132" s="475"/>
      <c r="T3132" s="475"/>
      <c r="U3132" s="475"/>
      <c r="V3132" s="475"/>
      <c r="W3132" s="475"/>
    </row>
    <row r="3133" spans="2:23" s="97" customFormat="1">
      <c r="B3133" s="96"/>
      <c r="H3133" s="96"/>
      <c r="J3133" s="1"/>
      <c r="K3133" s="1"/>
      <c r="L3133" s="1"/>
      <c r="O3133" s="475"/>
      <c r="P3133" s="475"/>
      <c r="Q3133" s="475"/>
      <c r="R3133" s="475"/>
      <c r="S3133" s="475"/>
      <c r="T3133" s="475"/>
      <c r="U3133" s="475"/>
      <c r="V3133" s="475"/>
      <c r="W3133" s="475"/>
    </row>
    <row r="3134" spans="2:23" s="97" customFormat="1">
      <c r="B3134" s="96"/>
      <c r="H3134" s="96"/>
      <c r="J3134" s="1"/>
      <c r="K3134" s="1"/>
      <c r="L3134" s="1"/>
      <c r="O3134" s="475"/>
      <c r="P3134" s="475"/>
      <c r="Q3134" s="475"/>
      <c r="R3134" s="475"/>
      <c r="S3134" s="475"/>
      <c r="T3134" s="475"/>
      <c r="U3134" s="475"/>
      <c r="V3134" s="475"/>
      <c r="W3134" s="475"/>
    </row>
    <row r="3135" spans="2:23" s="97" customFormat="1">
      <c r="B3135" s="96"/>
      <c r="H3135" s="96"/>
      <c r="J3135" s="1"/>
      <c r="K3135" s="1"/>
      <c r="L3135" s="1"/>
      <c r="O3135" s="475"/>
      <c r="P3135" s="475"/>
      <c r="Q3135" s="475"/>
      <c r="R3135" s="475"/>
      <c r="S3135" s="475"/>
      <c r="T3135" s="475"/>
      <c r="U3135" s="475"/>
      <c r="V3135" s="475"/>
      <c r="W3135" s="475"/>
    </row>
    <row r="3136" spans="2:23" s="97" customFormat="1">
      <c r="B3136" s="96"/>
      <c r="H3136" s="96"/>
      <c r="J3136" s="1"/>
      <c r="K3136" s="1"/>
      <c r="L3136" s="1"/>
      <c r="O3136" s="475"/>
      <c r="P3136" s="475"/>
      <c r="Q3136" s="475"/>
      <c r="R3136" s="475"/>
      <c r="S3136" s="475"/>
      <c r="T3136" s="475"/>
      <c r="U3136" s="475"/>
      <c r="V3136" s="475"/>
      <c r="W3136" s="475"/>
    </row>
    <row r="3137" spans="2:23" s="97" customFormat="1">
      <c r="B3137" s="96"/>
      <c r="H3137" s="96"/>
      <c r="J3137" s="1"/>
      <c r="K3137" s="1"/>
      <c r="L3137" s="1"/>
      <c r="O3137" s="475"/>
      <c r="P3137" s="475"/>
      <c r="Q3137" s="475"/>
      <c r="R3137" s="475"/>
      <c r="S3137" s="475"/>
      <c r="T3137" s="475"/>
      <c r="U3137" s="475"/>
      <c r="V3137" s="475"/>
      <c r="W3137" s="475"/>
    </row>
    <row r="3138" spans="2:23" s="97" customFormat="1">
      <c r="B3138" s="96"/>
      <c r="H3138" s="96"/>
      <c r="J3138" s="1"/>
      <c r="K3138" s="1"/>
      <c r="L3138" s="1"/>
      <c r="O3138" s="475"/>
      <c r="P3138" s="475"/>
      <c r="Q3138" s="475"/>
      <c r="R3138" s="475"/>
      <c r="S3138" s="475"/>
      <c r="T3138" s="475"/>
      <c r="U3138" s="475"/>
      <c r="V3138" s="475"/>
      <c r="W3138" s="475"/>
    </row>
    <row r="3139" spans="2:23" s="97" customFormat="1">
      <c r="B3139" s="96"/>
      <c r="H3139" s="96"/>
      <c r="J3139" s="1"/>
      <c r="K3139" s="1"/>
      <c r="L3139" s="1"/>
      <c r="O3139" s="475"/>
      <c r="P3139" s="475"/>
      <c r="Q3139" s="475"/>
      <c r="R3139" s="475"/>
      <c r="S3139" s="475"/>
      <c r="T3139" s="475"/>
      <c r="U3139" s="475"/>
      <c r="V3139" s="475"/>
      <c r="W3139" s="475"/>
    </row>
    <row r="3140" spans="2:23" s="97" customFormat="1">
      <c r="B3140" s="96"/>
      <c r="H3140" s="96"/>
      <c r="J3140" s="1"/>
      <c r="K3140" s="1"/>
      <c r="L3140" s="1"/>
      <c r="O3140" s="475"/>
      <c r="P3140" s="475"/>
      <c r="Q3140" s="475"/>
      <c r="R3140" s="475"/>
      <c r="S3140" s="475"/>
      <c r="T3140" s="475"/>
      <c r="U3140" s="475"/>
      <c r="V3140" s="475"/>
      <c r="W3140" s="475"/>
    </row>
    <row r="3141" spans="2:23" s="97" customFormat="1">
      <c r="B3141" s="96"/>
      <c r="H3141" s="96"/>
      <c r="J3141" s="1"/>
      <c r="K3141" s="1"/>
      <c r="L3141" s="1"/>
      <c r="O3141" s="475"/>
      <c r="P3141" s="475"/>
      <c r="Q3141" s="475"/>
      <c r="R3141" s="475"/>
      <c r="S3141" s="475"/>
      <c r="T3141" s="475"/>
      <c r="U3141" s="475"/>
      <c r="V3141" s="475"/>
      <c r="W3141" s="475"/>
    </row>
    <row r="3142" spans="2:23" s="97" customFormat="1">
      <c r="B3142" s="96"/>
      <c r="H3142" s="96"/>
      <c r="J3142" s="1"/>
      <c r="K3142" s="1"/>
      <c r="L3142" s="1"/>
      <c r="O3142" s="475"/>
      <c r="P3142" s="475"/>
      <c r="Q3142" s="475"/>
      <c r="R3142" s="475"/>
      <c r="S3142" s="475"/>
      <c r="T3142" s="475"/>
      <c r="U3142" s="475"/>
      <c r="V3142" s="475"/>
      <c r="W3142" s="475"/>
    </row>
    <row r="3143" spans="2:23" s="97" customFormat="1">
      <c r="B3143" s="96"/>
      <c r="H3143" s="96"/>
      <c r="J3143" s="1"/>
      <c r="K3143" s="1"/>
      <c r="L3143" s="1"/>
      <c r="O3143" s="475"/>
      <c r="P3143" s="475"/>
      <c r="Q3143" s="475"/>
      <c r="R3143" s="475"/>
      <c r="S3143" s="475"/>
      <c r="T3143" s="475"/>
      <c r="U3143" s="475"/>
      <c r="V3143" s="475"/>
      <c r="W3143" s="475"/>
    </row>
    <row r="3144" spans="2:23" s="97" customFormat="1">
      <c r="B3144" s="96"/>
      <c r="H3144" s="96"/>
      <c r="J3144" s="1"/>
      <c r="K3144" s="1"/>
      <c r="L3144" s="1"/>
      <c r="O3144" s="475"/>
      <c r="P3144" s="475"/>
      <c r="Q3144" s="475"/>
      <c r="R3144" s="475"/>
      <c r="S3144" s="475"/>
      <c r="T3144" s="475"/>
      <c r="U3144" s="475"/>
      <c r="V3144" s="475"/>
      <c r="W3144" s="475"/>
    </row>
    <row r="3145" spans="2:23" s="97" customFormat="1">
      <c r="B3145" s="96"/>
      <c r="H3145" s="96"/>
      <c r="J3145" s="1"/>
      <c r="K3145" s="1"/>
      <c r="L3145" s="1"/>
      <c r="O3145" s="475"/>
      <c r="P3145" s="475"/>
      <c r="Q3145" s="475"/>
      <c r="R3145" s="475"/>
      <c r="S3145" s="475"/>
      <c r="T3145" s="475"/>
      <c r="U3145" s="475"/>
      <c r="V3145" s="475"/>
      <c r="W3145" s="475"/>
    </row>
    <row r="3146" spans="2:23" s="97" customFormat="1">
      <c r="B3146" s="96"/>
      <c r="H3146" s="96"/>
      <c r="J3146" s="1"/>
      <c r="K3146" s="1"/>
      <c r="L3146" s="1"/>
      <c r="O3146" s="475"/>
      <c r="P3146" s="475"/>
      <c r="Q3146" s="475"/>
      <c r="R3146" s="475"/>
      <c r="S3146" s="475"/>
      <c r="T3146" s="475"/>
      <c r="U3146" s="475"/>
      <c r="V3146" s="475"/>
      <c r="W3146" s="475"/>
    </row>
    <row r="3147" spans="2:23" s="97" customFormat="1">
      <c r="B3147" s="96"/>
      <c r="H3147" s="96"/>
      <c r="J3147" s="1"/>
      <c r="K3147" s="1"/>
      <c r="L3147" s="1"/>
      <c r="O3147" s="475"/>
      <c r="P3147" s="475"/>
      <c r="Q3147" s="475"/>
      <c r="R3147" s="475"/>
      <c r="S3147" s="475"/>
      <c r="T3147" s="475"/>
      <c r="U3147" s="475"/>
      <c r="V3147" s="475"/>
      <c r="W3147" s="475"/>
    </row>
    <row r="3148" spans="2:23" s="97" customFormat="1">
      <c r="B3148" s="96"/>
      <c r="H3148" s="96"/>
      <c r="J3148" s="1"/>
      <c r="K3148" s="1"/>
      <c r="L3148" s="1"/>
      <c r="O3148" s="475"/>
      <c r="P3148" s="475"/>
      <c r="Q3148" s="475"/>
      <c r="R3148" s="475"/>
      <c r="S3148" s="475"/>
      <c r="T3148" s="475"/>
      <c r="U3148" s="475"/>
      <c r="V3148" s="475"/>
      <c r="W3148" s="475"/>
    </row>
    <row r="3149" spans="2:23" s="97" customFormat="1">
      <c r="B3149" s="96"/>
      <c r="H3149" s="96"/>
      <c r="J3149" s="1"/>
      <c r="K3149" s="1"/>
      <c r="L3149" s="1"/>
      <c r="O3149" s="475"/>
      <c r="P3149" s="475"/>
      <c r="Q3149" s="475"/>
      <c r="R3149" s="475"/>
      <c r="S3149" s="475"/>
      <c r="T3149" s="475"/>
      <c r="U3149" s="475"/>
      <c r="V3149" s="475"/>
      <c r="W3149" s="475"/>
    </row>
    <row r="3150" spans="2:23" s="97" customFormat="1">
      <c r="B3150" s="96"/>
      <c r="H3150" s="96"/>
      <c r="J3150" s="1"/>
      <c r="K3150" s="1"/>
      <c r="L3150" s="1"/>
      <c r="O3150" s="475"/>
      <c r="P3150" s="475"/>
      <c r="Q3150" s="475"/>
      <c r="R3150" s="475"/>
      <c r="S3150" s="475"/>
      <c r="T3150" s="475"/>
      <c r="U3150" s="475"/>
      <c r="V3150" s="475"/>
      <c r="W3150" s="475"/>
    </row>
    <row r="3151" spans="2:23" s="97" customFormat="1">
      <c r="B3151" s="96"/>
      <c r="H3151" s="96"/>
      <c r="J3151" s="1"/>
      <c r="K3151" s="1"/>
      <c r="L3151" s="1"/>
      <c r="O3151" s="475"/>
      <c r="P3151" s="475"/>
      <c r="Q3151" s="475"/>
      <c r="R3151" s="475"/>
      <c r="S3151" s="475"/>
      <c r="T3151" s="475"/>
      <c r="U3151" s="475"/>
      <c r="V3151" s="475"/>
      <c r="W3151" s="475"/>
    </row>
    <row r="3152" spans="2:23" s="97" customFormat="1">
      <c r="B3152" s="96"/>
      <c r="H3152" s="96"/>
      <c r="J3152" s="1"/>
      <c r="K3152" s="1"/>
      <c r="L3152" s="1"/>
      <c r="O3152" s="475"/>
      <c r="P3152" s="475"/>
      <c r="Q3152" s="475"/>
      <c r="R3152" s="475"/>
      <c r="S3152" s="475"/>
      <c r="T3152" s="475"/>
      <c r="U3152" s="475"/>
      <c r="V3152" s="475"/>
      <c r="W3152" s="475"/>
    </row>
    <row r="3153" spans="2:23" s="97" customFormat="1">
      <c r="B3153" s="96"/>
      <c r="H3153" s="96"/>
      <c r="J3153" s="1"/>
      <c r="K3153" s="1"/>
      <c r="L3153" s="1"/>
      <c r="O3153" s="475"/>
      <c r="P3153" s="475"/>
      <c r="Q3153" s="475"/>
      <c r="R3153" s="475"/>
      <c r="S3153" s="475"/>
      <c r="T3153" s="475"/>
      <c r="U3153" s="475"/>
      <c r="V3153" s="475"/>
      <c r="W3153" s="475"/>
    </row>
    <row r="3154" spans="2:23" s="97" customFormat="1">
      <c r="B3154" s="96"/>
      <c r="H3154" s="96"/>
      <c r="J3154" s="1"/>
      <c r="K3154" s="1"/>
      <c r="L3154" s="1"/>
      <c r="O3154" s="475"/>
      <c r="P3154" s="475"/>
      <c r="Q3154" s="475"/>
      <c r="R3154" s="475"/>
      <c r="S3154" s="475"/>
      <c r="T3154" s="475"/>
      <c r="U3154" s="475"/>
      <c r="V3154" s="475"/>
      <c r="W3154" s="475"/>
    </row>
    <row r="3155" spans="2:23" s="97" customFormat="1">
      <c r="B3155" s="96"/>
      <c r="H3155" s="96"/>
      <c r="J3155" s="1"/>
      <c r="K3155" s="1"/>
      <c r="L3155" s="1"/>
      <c r="O3155" s="475"/>
      <c r="P3155" s="475"/>
      <c r="Q3155" s="475"/>
      <c r="R3155" s="475"/>
      <c r="S3155" s="475"/>
      <c r="T3155" s="475"/>
      <c r="U3155" s="475"/>
      <c r="V3155" s="475"/>
      <c r="W3155" s="475"/>
    </row>
    <row r="3156" spans="2:23" s="97" customFormat="1">
      <c r="B3156" s="96"/>
      <c r="H3156" s="96"/>
      <c r="J3156" s="1"/>
      <c r="K3156" s="1"/>
      <c r="L3156" s="1"/>
      <c r="O3156" s="475"/>
      <c r="P3156" s="475"/>
      <c r="Q3156" s="475"/>
      <c r="R3156" s="475"/>
      <c r="S3156" s="475"/>
      <c r="T3156" s="475"/>
      <c r="U3156" s="475"/>
      <c r="V3156" s="475"/>
      <c r="W3156" s="475"/>
    </row>
    <row r="3157" spans="2:23" s="97" customFormat="1">
      <c r="B3157" s="96"/>
      <c r="H3157" s="96"/>
      <c r="J3157" s="1"/>
      <c r="K3157" s="1"/>
      <c r="L3157" s="1"/>
      <c r="O3157" s="475"/>
      <c r="P3157" s="475"/>
      <c r="Q3157" s="475"/>
      <c r="R3157" s="475"/>
      <c r="S3157" s="475"/>
      <c r="T3157" s="475"/>
      <c r="U3157" s="475"/>
      <c r="V3157" s="475"/>
      <c r="W3157" s="475"/>
    </row>
    <row r="3158" spans="2:23" s="97" customFormat="1">
      <c r="B3158" s="96"/>
      <c r="H3158" s="96"/>
      <c r="J3158" s="1"/>
      <c r="K3158" s="1"/>
      <c r="L3158" s="1"/>
      <c r="O3158" s="475"/>
      <c r="P3158" s="475"/>
      <c r="Q3158" s="475"/>
      <c r="R3158" s="475"/>
      <c r="S3158" s="475"/>
      <c r="T3158" s="475"/>
      <c r="U3158" s="475"/>
      <c r="V3158" s="475"/>
      <c r="W3158" s="475"/>
    </row>
    <row r="3159" spans="2:23" s="97" customFormat="1">
      <c r="B3159" s="96"/>
      <c r="H3159" s="96"/>
      <c r="J3159" s="1"/>
      <c r="K3159" s="1"/>
      <c r="L3159" s="1"/>
      <c r="O3159" s="475"/>
      <c r="P3159" s="475"/>
      <c r="Q3159" s="475"/>
      <c r="R3159" s="475"/>
      <c r="S3159" s="475"/>
      <c r="T3159" s="475"/>
      <c r="U3159" s="475"/>
      <c r="V3159" s="475"/>
      <c r="W3159" s="475"/>
    </row>
    <row r="3160" spans="2:23" s="97" customFormat="1">
      <c r="B3160" s="96"/>
      <c r="H3160" s="96"/>
      <c r="J3160" s="1"/>
      <c r="K3160" s="1"/>
      <c r="L3160" s="1"/>
      <c r="O3160" s="475"/>
      <c r="P3160" s="475"/>
      <c r="Q3160" s="475"/>
      <c r="R3160" s="475"/>
      <c r="S3160" s="475"/>
      <c r="T3160" s="475"/>
      <c r="U3160" s="475"/>
      <c r="V3160" s="475"/>
      <c r="W3160" s="475"/>
    </row>
    <row r="3161" spans="2:23" s="97" customFormat="1">
      <c r="B3161" s="96"/>
      <c r="H3161" s="96"/>
      <c r="J3161" s="1"/>
      <c r="K3161" s="1"/>
      <c r="L3161" s="1"/>
      <c r="O3161" s="475"/>
      <c r="P3161" s="475"/>
      <c r="Q3161" s="475"/>
      <c r="R3161" s="475"/>
      <c r="S3161" s="475"/>
      <c r="T3161" s="475"/>
      <c r="U3161" s="475"/>
      <c r="V3161" s="475"/>
      <c r="W3161" s="475"/>
    </row>
    <row r="3162" spans="2:23" s="97" customFormat="1">
      <c r="B3162" s="96"/>
      <c r="H3162" s="96"/>
      <c r="J3162" s="1"/>
      <c r="K3162" s="1"/>
      <c r="L3162" s="1"/>
      <c r="O3162" s="475"/>
      <c r="P3162" s="475"/>
      <c r="Q3162" s="475"/>
      <c r="R3162" s="475"/>
      <c r="S3162" s="475"/>
      <c r="T3162" s="475"/>
      <c r="U3162" s="475"/>
      <c r="V3162" s="475"/>
      <c r="W3162" s="475"/>
    </row>
    <row r="3163" spans="2:23" s="97" customFormat="1">
      <c r="B3163" s="96"/>
      <c r="H3163" s="96"/>
      <c r="J3163" s="1"/>
      <c r="K3163" s="1"/>
      <c r="L3163" s="1"/>
      <c r="O3163" s="475"/>
      <c r="P3163" s="475"/>
      <c r="Q3163" s="475"/>
      <c r="R3163" s="475"/>
      <c r="S3163" s="475"/>
      <c r="T3163" s="475"/>
      <c r="U3163" s="475"/>
      <c r="V3163" s="475"/>
      <c r="W3163" s="475"/>
    </row>
    <row r="3164" spans="2:23" s="97" customFormat="1">
      <c r="B3164" s="96"/>
      <c r="H3164" s="96"/>
      <c r="J3164" s="1"/>
      <c r="K3164" s="1"/>
      <c r="L3164" s="1"/>
      <c r="O3164" s="475"/>
      <c r="P3164" s="475"/>
      <c r="Q3164" s="475"/>
      <c r="R3164" s="475"/>
      <c r="S3164" s="475"/>
      <c r="T3164" s="475"/>
      <c r="U3164" s="475"/>
      <c r="V3164" s="475"/>
      <c r="W3164" s="475"/>
    </row>
    <row r="3165" spans="2:23" s="97" customFormat="1">
      <c r="B3165" s="96"/>
      <c r="H3165" s="96"/>
      <c r="J3165" s="1"/>
      <c r="K3165" s="1"/>
      <c r="L3165" s="1"/>
      <c r="O3165" s="475"/>
      <c r="P3165" s="475"/>
      <c r="Q3165" s="475"/>
      <c r="R3165" s="475"/>
      <c r="S3165" s="475"/>
      <c r="T3165" s="475"/>
      <c r="U3165" s="475"/>
      <c r="V3165" s="475"/>
      <c r="W3165" s="475"/>
    </row>
    <row r="3166" spans="2:23" s="97" customFormat="1">
      <c r="B3166" s="96"/>
      <c r="H3166" s="96"/>
      <c r="J3166" s="1"/>
      <c r="K3166" s="1"/>
      <c r="L3166" s="1"/>
      <c r="O3166" s="475"/>
      <c r="P3166" s="475"/>
      <c r="Q3166" s="475"/>
      <c r="R3166" s="475"/>
      <c r="S3166" s="475"/>
      <c r="T3166" s="475"/>
      <c r="U3166" s="475"/>
      <c r="V3166" s="475"/>
      <c r="W3166" s="475"/>
    </row>
    <row r="3167" spans="2:23" s="97" customFormat="1">
      <c r="B3167" s="96"/>
      <c r="H3167" s="96"/>
      <c r="J3167" s="1"/>
      <c r="K3167" s="1"/>
      <c r="L3167" s="1"/>
      <c r="O3167" s="475"/>
      <c r="P3167" s="475"/>
      <c r="Q3167" s="475"/>
      <c r="R3167" s="475"/>
      <c r="S3167" s="475"/>
      <c r="T3167" s="475"/>
      <c r="U3167" s="475"/>
      <c r="V3167" s="475"/>
      <c r="W3167" s="475"/>
    </row>
    <row r="3168" spans="2:23" s="97" customFormat="1">
      <c r="B3168" s="96"/>
      <c r="H3168" s="96"/>
      <c r="J3168" s="1"/>
      <c r="K3168" s="1"/>
      <c r="L3168" s="1"/>
      <c r="O3168" s="475"/>
      <c r="P3168" s="475"/>
      <c r="Q3168" s="475"/>
      <c r="R3168" s="475"/>
      <c r="S3168" s="475"/>
      <c r="T3168" s="475"/>
      <c r="U3168" s="475"/>
      <c r="V3168" s="475"/>
      <c r="W3168" s="475"/>
    </row>
    <row r="3169" spans="2:23" s="97" customFormat="1">
      <c r="B3169" s="96"/>
      <c r="H3169" s="96"/>
      <c r="J3169" s="1"/>
      <c r="K3169" s="1"/>
      <c r="L3169" s="1"/>
      <c r="O3169" s="475"/>
      <c r="P3169" s="475"/>
      <c r="Q3169" s="475"/>
      <c r="R3169" s="475"/>
      <c r="S3169" s="475"/>
      <c r="T3169" s="475"/>
      <c r="U3169" s="475"/>
      <c r="V3169" s="475"/>
      <c r="W3169" s="475"/>
    </row>
    <row r="3170" spans="2:23" s="97" customFormat="1">
      <c r="B3170" s="96"/>
      <c r="H3170" s="96"/>
      <c r="J3170" s="1"/>
      <c r="K3170" s="1"/>
      <c r="L3170" s="1"/>
      <c r="O3170" s="475"/>
      <c r="P3170" s="475"/>
      <c r="Q3170" s="475"/>
      <c r="R3170" s="475"/>
      <c r="S3170" s="475"/>
      <c r="T3170" s="475"/>
      <c r="U3170" s="475"/>
      <c r="V3170" s="475"/>
      <c r="W3170" s="475"/>
    </row>
    <row r="3171" spans="2:23" s="97" customFormat="1">
      <c r="B3171" s="96"/>
      <c r="H3171" s="96"/>
      <c r="J3171" s="1"/>
      <c r="K3171" s="1"/>
      <c r="L3171" s="1"/>
      <c r="O3171" s="475"/>
      <c r="P3171" s="475"/>
      <c r="Q3171" s="475"/>
      <c r="R3171" s="475"/>
      <c r="S3171" s="475"/>
      <c r="T3171" s="475"/>
      <c r="U3171" s="475"/>
      <c r="V3171" s="475"/>
      <c r="W3171" s="475"/>
    </row>
    <row r="3172" spans="2:23" s="97" customFormat="1">
      <c r="B3172" s="96"/>
      <c r="H3172" s="96"/>
      <c r="J3172" s="1"/>
      <c r="K3172" s="1"/>
      <c r="L3172" s="1"/>
      <c r="O3172" s="475"/>
      <c r="P3172" s="475"/>
      <c r="Q3172" s="475"/>
      <c r="R3172" s="475"/>
      <c r="S3172" s="475"/>
      <c r="T3172" s="475"/>
      <c r="U3172" s="475"/>
      <c r="V3172" s="475"/>
      <c r="W3172" s="475"/>
    </row>
    <row r="3173" spans="2:23" s="97" customFormat="1">
      <c r="B3173" s="96"/>
      <c r="H3173" s="96"/>
      <c r="J3173" s="1"/>
      <c r="K3173" s="1"/>
      <c r="L3173" s="1"/>
      <c r="O3173" s="475"/>
      <c r="P3173" s="475"/>
      <c r="Q3173" s="475"/>
      <c r="R3173" s="475"/>
      <c r="S3173" s="475"/>
      <c r="T3173" s="475"/>
      <c r="U3173" s="475"/>
      <c r="V3173" s="475"/>
      <c r="W3173" s="475"/>
    </row>
    <row r="3174" spans="2:23" s="97" customFormat="1">
      <c r="B3174" s="96"/>
      <c r="H3174" s="96"/>
      <c r="J3174" s="1"/>
      <c r="K3174" s="1"/>
      <c r="L3174" s="1"/>
      <c r="O3174" s="475"/>
      <c r="P3174" s="475"/>
      <c r="Q3174" s="475"/>
      <c r="R3174" s="475"/>
      <c r="S3174" s="475"/>
      <c r="T3174" s="475"/>
      <c r="U3174" s="475"/>
      <c r="V3174" s="475"/>
      <c r="W3174" s="475"/>
    </row>
    <row r="3175" spans="2:23" s="97" customFormat="1">
      <c r="B3175" s="96"/>
      <c r="H3175" s="96"/>
      <c r="J3175" s="1"/>
      <c r="K3175" s="1"/>
      <c r="L3175" s="1"/>
      <c r="O3175" s="475"/>
      <c r="P3175" s="475"/>
      <c r="Q3175" s="475"/>
      <c r="R3175" s="475"/>
      <c r="S3175" s="475"/>
      <c r="T3175" s="475"/>
      <c r="U3175" s="475"/>
      <c r="V3175" s="475"/>
      <c r="W3175" s="475"/>
    </row>
    <row r="3176" spans="2:23" s="97" customFormat="1">
      <c r="B3176" s="96"/>
      <c r="H3176" s="96"/>
      <c r="J3176" s="1"/>
      <c r="K3176" s="1"/>
      <c r="L3176" s="1"/>
      <c r="O3176" s="475"/>
      <c r="P3176" s="475"/>
      <c r="Q3176" s="475"/>
      <c r="R3176" s="475"/>
      <c r="S3176" s="475"/>
      <c r="T3176" s="475"/>
      <c r="U3176" s="475"/>
      <c r="V3176" s="475"/>
      <c r="W3176" s="475"/>
    </row>
    <row r="3177" spans="2:23" s="97" customFormat="1">
      <c r="B3177" s="96"/>
      <c r="H3177" s="96"/>
      <c r="J3177" s="1"/>
      <c r="K3177" s="1"/>
      <c r="L3177" s="1"/>
      <c r="O3177" s="475"/>
      <c r="P3177" s="475"/>
      <c r="Q3177" s="475"/>
      <c r="R3177" s="475"/>
      <c r="S3177" s="475"/>
      <c r="T3177" s="475"/>
      <c r="U3177" s="475"/>
      <c r="V3177" s="475"/>
      <c r="W3177" s="475"/>
    </row>
    <row r="3178" spans="2:23" s="97" customFormat="1">
      <c r="B3178" s="96"/>
      <c r="H3178" s="96"/>
      <c r="J3178" s="1"/>
      <c r="K3178" s="1"/>
      <c r="L3178" s="1"/>
      <c r="O3178" s="475"/>
      <c r="P3178" s="475"/>
      <c r="Q3178" s="475"/>
      <c r="R3178" s="475"/>
      <c r="S3178" s="475"/>
      <c r="T3178" s="475"/>
      <c r="U3178" s="475"/>
      <c r="V3178" s="475"/>
      <c r="W3178" s="475"/>
    </row>
    <row r="3179" spans="2:23" s="97" customFormat="1">
      <c r="B3179" s="96"/>
      <c r="H3179" s="96"/>
      <c r="J3179" s="1"/>
      <c r="K3179" s="1"/>
      <c r="L3179" s="1"/>
      <c r="O3179" s="475"/>
      <c r="P3179" s="475"/>
      <c r="Q3179" s="475"/>
      <c r="R3179" s="475"/>
      <c r="S3179" s="475"/>
      <c r="T3179" s="475"/>
      <c r="U3179" s="475"/>
      <c r="V3179" s="475"/>
      <c r="W3179" s="475"/>
    </row>
    <row r="3180" spans="2:23" s="97" customFormat="1">
      <c r="B3180" s="96"/>
      <c r="H3180" s="96"/>
      <c r="J3180" s="1"/>
      <c r="K3180" s="1"/>
      <c r="L3180" s="1"/>
      <c r="O3180" s="475"/>
      <c r="P3180" s="475"/>
      <c r="Q3180" s="475"/>
      <c r="R3180" s="475"/>
      <c r="S3180" s="475"/>
      <c r="T3180" s="475"/>
      <c r="U3180" s="475"/>
      <c r="V3180" s="475"/>
      <c r="W3180" s="475"/>
    </row>
    <row r="3181" spans="2:23" s="97" customFormat="1">
      <c r="B3181" s="96"/>
      <c r="H3181" s="96"/>
      <c r="J3181" s="1"/>
      <c r="K3181" s="1"/>
      <c r="L3181" s="1"/>
      <c r="O3181" s="475"/>
      <c r="P3181" s="475"/>
      <c r="Q3181" s="475"/>
      <c r="R3181" s="475"/>
      <c r="S3181" s="475"/>
      <c r="T3181" s="475"/>
      <c r="U3181" s="475"/>
      <c r="V3181" s="475"/>
      <c r="W3181" s="475"/>
    </row>
    <row r="3182" spans="2:23" s="97" customFormat="1">
      <c r="B3182" s="96"/>
      <c r="H3182" s="96"/>
      <c r="J3182" s="1"/>
      <c r="K3182" s="1"/>
      <c r="L3182" s="1"/>
      <c r="O3182" s="475"/>
      <c r="P3182" s="475"/>
      <c r="Q3182" s="475"/>
      <c r="R3182" s="475"/>
      <c r="S3182" s="475"/>
      <c r="T3182" s="475"/>
      <c r="U3182" s="475"/>
      <c r="V3182" s="475"/>
      <c r="W3182" s="475"/>
    </row>
    <row r="3183" spans="2:23" s="97" customFormat="1">
      <c r="B3183" s="96"/>
      <c r="H3183" s="96"/>
      <c r="J3183" s="1"/>
      <c r="K3183" s="1"/>
      <c r="L3183" s="1"/>
      <c r="O3183" s="475"/>
      <c r="P3183" s="475"/>
      <c r="Q3183" s="475"/>
      <c r="R3183" s="475"/>
      <c r="S3183" s="475"/>
      <c r="T3183" s="475"/>
      <c r="U3183" s="475"/>
      <c r="V3183" s="475"/>
      <c r="W3183" s="475"/>
    </row>
    <row r="3184" spans="2:23" s="97" customFormat="1">
      <c r="B3184" s="96"/>
      <c r="H3184" s="96"/>
      <c r="J3184" s="1"/>
      <c r="K3184" s="1"/>
      <c r="L3184" s="1"/>
      <c r="O3184" s="475"/>
      <c r="P3184" s="475"/>
      <c r="Q3184" s="475"/>
      <c r="R3184" s="475"/>
      <c r="S3184" s="475"/>
      <c r="T3184" s="475"/>
      <c r="U3184" s="475"/>
      <c r="V3184" s="475"/>
      <c r="W3184" s="475"/>
    </row>
    <row r="3185" spans="2:23" s="97" customFormat="1">
      <c r="B3185" s="96"/>
      <c r="H3185" s="96"/>
      <c r="J3185" s="1"/>
      <c r="K3185" s="1"/>
      <c r="L3185" s="1"/>
      <c r="O3185" s="475"/>
      <c r="P3185" s="475"/>
      <c r="Q3185" s="475"/>
      <c r="R3185" s="475"/>
      <c r="S3185" s="475"/>
      <c r="T3185" s="475"/>
      <c r="U3185" s="475"/>
      <c r="V3185" s="475"/>
      <c r="W3185" s="475"/>
    </row>
    <row r="3186" spans="2:23" s="97" customFormat="1">
      <c r="B3186" s="96"/>
      <c r="H3186" s="96"/>
      <c r="J3186" s="1"/>
      <c r="K3186" s="1"/>
      <c r="L3186" s="1"/>
      <c r="O3186" s="475"/>
      <c r="P3186" s="475"/>
      <c r="Q3186" s="475"/>
      <c r="R3186" s="475"/>
      <c r="S3186" s="475"/>
      <c r="T3186" s="475"/>
      <c r="U3186" s="475"/>
      <c r="V3186" s="475"/>
      <c r="W3186" s="475"/>
    </row>
    <row r="3187" spans="2:23" s="97" customFormat="1">
      <c r="B3187" s="96"/>
      <c r="H3187" s="96"/>
      <c r="J3187" s="1"/>
      <c r="K3187" s="1"/>
      <c r="L3187" s="1"/>
      <c r="O3187" s="475"/>
      <c r="P3187" s="475"/>
      <c r="Q3187" s="475"/>
      <c r="R3187" s="475"/>
      <c r="S3187" s="475"/>
      <c r="T3187" s="475"/>
      <c r="U3187" s="475"/>
      <c r="V3187" s="475"/>
      <c r="W3187" s="475"/>
    </row>
    <row r="3188" spans="2:23" s="97" customFormat="1">
      <c r="B3188" s="96"/>
      <c r="H3188" s="96"/>
      <c r="J3188" s="1"/>
      <c r="K3188" s="1"/>
      <c r="L3188" s="1"/>
      <c r="O3188" s="475"/>
      <c r="P3188" s="475"/>
      <c r="Q3188" s="475"/>
      <c r="R3188" s="475"/>
      <c r="S3188" s="475"/>
      <c r="T3188" s="475"/>
      <c r="U3188" s="475"/>
      <c r="V3188" s="475"/>
      <c r="W3188" s="475"/>
    </row>
    <row r="3189" spans="2:23" s="97" customFormat="1">
      <c r="B3189" s="96"/>
      <c r="H3189" s="96"/>
      <c r="J3189" s="1"/>
      <c r="K3189" s="1"/>
      <c r="L3189" s="1"/>
      <c r="O3189" s="475"/>
      <c r="P3189" s="475"/>
      <c r="Q3189" s="475"/>
      <c r="R3189" s="475"/>
      <c r="S3189" s="475"/>
      <c r="T3189" s="475"/>
      <c r="U3189" s="475"/>
      <c r="V3189" s="475"/>
      <c r="W3189" s="475"/>
    </row>
    <row r="3190" spans="2:23" s="97" customFormat="1">
      <c r="B3190" s="96"/>
      <c r="H3190" s="96"/>
      <c r="J3190" s="1"/>
      <c r="K3190" s="1"/>
      <c r="L3190" s="1"/>
      <c r="O3190" s="475"/>
      <c r="P3190" s="475"/>
      <c r="Q3190" s="475"/>
      <c r="R3190" s="475"/>
      <c r="S3190" s="475"/>
      <c r="T3190" s="475"/>
      <c r="U3190" s="475"/>
      <c r="V3190" s="475"/>
      <c r="W3190" s="475"/>
    </row>
    <row r="3191" spans="2:23" s="97" customFormat="1">
      <c r="B3191" s="96"/>
      <c r="H3191" s="96"/>
      <c r="J3191" s="1"/>
      <c r="K3191" s="1"/>
      <c r="L3191" s="1"/>
      <c r="O3191" s="475"/>
      <c r="P3191" s="475"/>
      <c r="Q3191" s="475"/>
      <c r="R3191" s="475"/>
      <c r="S3191" s="475"/>
      <c r="T3191" s="475"/>
      <c r="U3191" s="475"/>
      <c r="V3191" s="475"/>
      <c r="W3191" s="475"/>
    </row>
    <row r="3192" spans="2:23" s="97" customFormat="1">
      <c r="B3192" s="96"/>
      <c r="H3192" s="96"/>
      <c r="J3192" s="1"/>
      <c r="K3192" s="1"/>
      <c r="L3192" s="1"/>
      <c r="O3192" s="475"/>
      <c r="P3192" s="475"/>
      <c r="Q3192" s="475"/>
      <c r="R3192" s="475"/>
      <c r="S3192" s="475"/>
      <c r="T3192" s="475"/>
      <c r="U3192" s="475"/>
      <c r="V3192" s="475"/>
      <c r="W3192" s="475"/>
    </row>
    <row r="3193" spans="2:23" s="97" customFormat="1">
      <c r="B3193" s="96"/>
      <c r="H3193" s="96"/>
      <c r="J3193" s="1"/>
      <c r="K3193" s="1"/>
      <c r="L3193" s="1"/>
      <c r="O3193" s="475"/>
      <c r="P3193" s="475"/>
      <c r="Q3193" s="475"/>
      <c r="R3193" s="475"/>
      <c r="S3193" s="475"/>
      <c r="T3193" s="475"/>
      <c r="U3193" s="475"/>
      <c r="V3193" s="475"/>
      <c r="W3193" s="475"/>
    </row>
    <row r="3194" spans="2:23" s="97" customFormat="1">
      <c r="B3194" s="96"/>
      <c r="H3194" s="96"/>
      <c r="J3194" s="1"/>
      <c r="K3194" s="1"/>
      <c r="L3194" s="1"/>
      <c r="O3194" s="475"/>
      <c r="P3194" s="475"/>
      <c r="Q3194" s="475"/>
      <c r="R3194" s="475"/>
      <c r="S3194" s="475"/>
      <c r="T3194" s="475"/>
      <c r="U3194" s="475"/>
      <c r="V3194" s="475"/>
      <c r="W3194" s="475"/>
    </row>
    <row r="3195" spans="2:23" s="97" customFormat="1">
      <c r="B3195" s="96"/>
      <c r="H3195" s="96"/>
      <c r="J3195" s="1"/>
      <c r="K3195" s="1"/>
      <c r="L3195" s="1"/>
      <c r="O3195" s="475"/>
      <c r="P3195" s="475"/>
      <c r="Q3195" s="475"/>
      <c r="R3195" s="475"/>
      <c r="S3195" s="475"/>
      <c r="T3195" s="475"/>
      <c r="U3195" s="475"/>
      <c r="V3195" s="475"/>
      <c r="W3195" s="475"/>
    </row>
    <row r="3196" spans="2:23" s="97" customFormat="1">
      <c r="B3196" s="96"/>
      <c r="H3196" s="96"/>
      <c r="J3196" s="1"/>
      <c r="K3196" s="1"/>
      <c r="L3196" s="1"/>
      <c r="O3196" s="475"/>
      <c r="P3196" s="475"/>
      <c r="Q3196" s="475"/>
      <c r="R3196" s="475"/>
      <c r="S3196" s="475"/>
      <c r="T3196" s="475"/>
      <c r="U3196" s="475"/>
      <c r="V3196" s="475"/>
      <c r="W3196" s="475"/>
    </row>
    <row r="3197" spans="2:23" s="97" customFormat="1">
      <c r="B3197" s="96"/>
      <c r="H3197" s="96"/>
      <c r="J3197" s="1"/>
      <c r="K3197" s="1"/>
      <c r="L3197" s="1"/>
      <c r="O3197" s="475"/>
      <c r="P3197" s="475"/>
      <c r="Q3197" s="475"/>
      <c r="R3197" s="475"/>
      <c r="S3197" s="475"/>
      <c r="T3197" s="475"/>
      <c r="U3197" s="475"/>
      <c r="V3197" s="475"/>
      <c r="W3197" s="475"/>
    </row>
    <row r="3198" spans="2:23" s="97" customFormat="1">
      <c r="B3198" s="96"/>
      <c r="H3198" s="96"/>
      <c r="J3198" s="1"/>
      <c r="K3198" s="1"/>
      <c r="L3198" s="1"/>
      <c r="O3198" s="475"/>
      <c r="P3198" s="475"/>
      <c r="Q3198" s="475"/>
      <c r="R3198" s="475"/>
      <c r="S3198" s="475"/>
      <c r="T3198" s="475"/>
      <c r="U3198" s="475"/>
      <c r="V3198" s="475"/>
      <c r="W3198" s="475"/>
    </row>
    <row r="3199" spans="2:23" s="97" customFormat="1">
      <c r="B3199" s="96"/>
      <c r="H3199" s="96"/>
      <c r="J3199" s="1"/>
      <c r="K3199" s="1"/>
      <c r="L3199" s="1"/>
      <c r="O3199" s="475"/>
      <c r="P3199" s="475"/>
      <c r="Q3199" s="475"/>
      <c r="R3199" s="475"/>
      <c r="S3199" s="475"/>
      <c r="T3199" s="475"/>
      <c r="U3199" s="475"/>
      <c r="V3199" s="475"/>
      <c r="W3199" s="475"/>
    </row>
    <row r="3200" spans="2:23" s="97" customFormat="1">
      <c r="B3200" s="96"/>
      <c r="H3200" s="96"/>
      <c r="J3200" s="1"/>
      <c r="K3200" s="1"/>
      <c r="L3200" s="1"/>
      <c r="O3200" s="475"/>
      <c r="P3200" s="475"/>
      <c r="Q3200" s="475"/>
      <c r="R3200" s="475"/>
      <c r="S3200" s="475"/>
      <c r="T3200" s="475"/>
      <c r="U3200" s="475"/>
      <c r="V3200" s="475"/>
      <c r="W3200" s="475"/>
    </row>
    <row r="3201" spans="2:23" s="97" customFormat="1">
      <c r="B3201" s="96"/>
      <c r="H3201" s="96"/>
      <c r="J3201" s="1"/>
      <c r="K3201" s="1"/>
      <c r="L3201" s="1"/>
      <c r="O3201" s="475"/>
      <c r="P3201" s="475"/>
      <c r="Q3201" s="475"/>
      <c r="R3201" s="475"/>
      <c r="S3201" s="475"/>
      <c r="T3201" s="475"/>
      <c r="U3201" s="475"/>
      <c r="V3201" s="475"/>
      <c r="W3201" s="475"/>
    </row>
    <row r="3202" spans="2:23" s="97" customFormat="1">
      <c r="B3202" s="96"/>
      <c r="H3202" s="96"/>
      <c r="J3202" s="1"/>
      <c r="K3202" s="1"/>
      <c r="L3202" s="1"/>
      <c r="O3202" s="475"/>
      <c r="P3202" s="475"/>
      <c r="Q3202" s="475"/>
      <c r="R3202" s="475"/>
      <c r="S3202" s="475"/>
      <c r="T3202" s="475"/>
      <c r="U3202" s="475"/>
      <c r="V3202" s="475"/>
      <c r="W3202" s="475"/>
    </row>
    <row r="3203" spans="2:23" s="97" customFormat="1">
      <c r="B3203" s="96"/>
      <c r="H3203" s="96"/>
      <c r="J3203" s="1"/>
      <c r="K3203" s="1"/>
      <c r="L3203" s="1"/>
      <c r="O3203" s="475"/>
      <c r="P3203" s="475"/>
      <c r="Q3203" s="475"/>
      <c r="R3203" s="475"/>
      <c r="S3203" s="475"/>
      <c r="T3203" s="475"/>
      <c r="U3203" s="475"/>
      <c r="V3203" s="475"/>
      <c r="W3203" s="475"/>
    </row>
    <row r="3204" spans="2:23" s="97" customFormat="1">
      <c r="B3204" s="96"/>
      <c r="H3204" s="96"/>
      <c r="J3204" s="1"/>
      <c r="K3204" s="1"/>
      <c r="L3204" s="1"/>
      <c r="O3204" s="475"/>
      <c r="P3204" s="475"/>
      <c r="Q3204" s="475"/>
      <c r="R3204" s="475"/>
      <c r="S3204" s="475"/>
      <c r="T3204" s="475"/>
      <c r="U3204" s="475"/>
      <c r="V3204" s="475"/>
      <c r="W3204" s="475"/>
    </row>
    <row r="3205" spans="2:23" s="97" customFormat="1">
      <c r="B3205" s="96"/>
      <c r="H3205" s="96"/>
      <c r="J3205" s="1"/>
      <c r="K3205" s="1"/>
      <c r="L3205" s="1"/>
      <c r="O3205" s="475"/>
      <c r="P3205" s="475"/>
      <c r="Q3205" s="475"/>
      <c r="R3205" s="475"/>
      <c r="S3205" s="475"/>
      <c r="T3205" s="475"/>
      <c r="U3205" s="475"/>
      <c r="V3205" s="475"/>
      <c r="W3205" s="475"/>
    </row>
    <row r="3206" spans="2:23" s="97" customFormat="1">
      <c r="B3206" s="96"/>
      <c r="H3206" s="96"/>
      <c r="J3206" s="1"/>
      <c r="K3206" s="1"/>
      <c r="L3206" s="1"/>
      <c r="O3206" s="475"/>
      <c r="P3206" s="475"/>
      <c r="Q3206" s="475"/>
      <c r="R3206" s="475"/>
      <c r="S3206" s="475"/>
      <c r="T3206" s="475"/>
      <c r="U3206" s="475"/>
      <c r="V3206" s="475"/>
      <c r="W3206" s="475"/>
    </row>
    <row r="3207" spans="2:23" s="97" customFormat="1">
      <c r="B3207" s="96"/>
      <c r="H3207" s="96"/>
      <c r="J3207" s="1"/>
      <c r="K3207" s="1"/>
      <c r="L3207" s="1"/>
      <c r="O3207" s="475"/>
      <c r="P3207" s="475"/>
      <c r="Q3207" s="475"/>
      <c r="R3207" s="475"/>
      <c r="S3207" s="475"/>
      <c r="T3207" s="475"/>
      <c r="U3207" s="475"/>
      <c r="V3207" s="475"/>
      <c r="W3207" s="475"/>
    </row>
    <row r="3208" spans="2:23" s="97" customFormat="1">
      <c r="B3208" s="96"/>
      <c r="H3208" s="96"/>
      <c r="J3208" s="1"/>
      <c r="K3208" s="1"/>
      <c r="L3208" s="1"/>
      <c r="O3208" s="475"/>
      <c r="P3208" s="475"/>
      <c r="Q3208" s="475"/>
      <c r="R3208" s="475"/>
      <c r="S3208" s="475"/>
      <c r="T3208" s="475"/>
      <c r="U3208" s="475"/>
      <c r="V3208" s="475"/>
      <c r="W3208" s="475"/>
    </row>
    <row r="3209" spans="2:23" s="97" customFormat="1">
      <c r="B3209" s="96"/>
      <c r="H3209" s="96"/>
      <c r="J3209" s="1"/>
      <c r="K3209" s="1"/>
      <c r="L3209" s="1"/>
      <c r="O3209" s="475"/>
      <c r="P3209" s="475"/>
      <c r="Q3209" s="475"/>
      <c r="R3209" s="475"/>
      <c r="S3209" s="475"/>
      <c r="T3209" s="475"/>
      <c r="U3209" s="475"/>
      <c r="V3209" s="475"/>
      <c r="W3209" s="475"/>
    </row>
    <row r="3210" spans="2:23" s="97" customFormat="1">
      <c r="B3210" s="96"/>
      <c r="H3210" s="96"/>
      <c r="J3210" s="1"/>
      <c r="K3210" s="1"/>
      <c r="L3210" s="1"/>
      <c r="O3210" s="475"/>
      <c r="P3210" s="475"/>
      <c r="Q3210" s="475"/>
      <c r="R3210" s="475"/>
      <c r="S3210" s="475"/>
      <c r="T3210" s="475"/>
      <c r="U3210" s="475"/>
      <c r="V3210" s="475"/>
      <c r="W3210" s="475"/>
    </row>
    <row r="3211" spans="2:23" s="97" customFormat="1">
      <c r="B3211" s="96"/>
      <c r="H3211" s="96"/>
      <c r="J3211" s="1"/>
      <c r="K3211" s="1"/>
      <c r="L3211" s="1"/>
      <c r="O3211" s="475"/>
      <c r="P3211" s="475"/>
      <c r="Q3211" s="475"/>
      <c r="R3211" s="475"/>
      <c r="S3211" s="475"/>
      <c r="T3211" s="475"/>
      <c r="U3211" s="475"/>
      <c r="V3211" s="475"/>
      <c r="W3211" s="475"/>
    </row>
    <row r="3212" spans="2:23" s="97" customFormat="1">
      <c r="B3212" s="96"/>
      <c r="H3212" s="96"/>
      <c r="J3212" s="1"/>
      <c r="K3212" s="1"/>
      <c r="L3212" s="1"/>
      <c r="O3212" s="475"/>
      <c r="P3212" s="475"/>
      <c r="Q3212" s="475"/>
      <c r="R3212" s="475"/>
      <c r="S3212" s="475"/>
      <c r="T3212" s="475"/>
      <c r="U3212" s="475"/>
      <c r="V3212" s="475"/>
      <c r="W3212" s="475"/>
    </row>
    <row r="3213" spans="2:23" s="97" customFormat="1">
      <c r="B3213" s="96"/>
      <c r="H3213" s="96"/>
      <c r="J3213" s="1"/>
      <c r="K3213" s="1"/>
      <c r="L3213" s="1"/>
      <c r="O3213" s="475"/>
      <c r="P3213" s="475"/>
      <c r="Q3213" s="475"/>
      <c r="R3213" s="475"/>
      <c r="S3213" s="475"/>
      <c r="T3213" s="475"/>
      <c r="U3213" s="475"/>
      <c r="V3213" s="475"/>
      <c r="W3213" s="475"/>
    </row>
    <row r="3214" spans="2:23" s="97" customFormat="1">
      <c r="B3214" s="96"/>
      <c r="H3214" s="96"/>
      <c r="J3214" s="1"/>
      <c r="K3214" s="1"/>
      <c r="L3214" s="1"/>
      <c r="O3214" s="475"/>
      <c r="P3214" s="475"/>
      <c r="Q3214" s="475"/>
      <c r="R3214" s="475"/>
      <c r="S3214" s="475"/>
      <c r="T3214" s="475"/>
      <c r="U3214" s="475"/>
      <c r="V3214" s="475"/>
      <c r="W3214" s="475"/>
    </row>
    <row r="3215" spans="2:23" s="97" customFormat="1">
      <c r="B3215" s="96"/>
      <c r="H3215" s="96"/>
      <c r="J3215" s="1"/>
      <c r="K3215" s="1"/>
      <c r="L3215" s="1"/>
      <c r="O3215" s="475"/>
      <c r="P3215" s="475"/>
      <c r="Q3215" s="475"/>
      <c r="R3215" s="475"/>
      <c r="S3215" s="475"/>
      <c r="T3215" s="475"/>
      <c r="U3215" s="475"/>
      <c r="V3215" s="475"/>
      <c r="W3215" s="475"/>
    </row>
    <row r="3216" spans="2:23" s="97" customFormat="1">
      <c r="B3216" s="96"/>
      <c r="H3216" s="96"/>
      <c r="J3216" s="1"/>
      <c r="K3216" s="1"/>
      <c r="L3216" s="1"/>
      <c r="O3216" s="475"/>
      <c r="P3216" s="475"/>
      <c r="Q3216" s="475"/>
      <c r="R3216" s="475"/>
      <c r="S3216" s="475"/>
      <c r="T3216" s="475"/>
      <c r="U3216" s="475"/>
      <c r="V3216" s="475"/>
      <c r="W3216" s="475"/>
    </row>
    <row r="3217" spans="2:23" s="97" customFormat="1">
      <c r="B3217" s="96"/>
      <c r="H3217" s="96"/>
      <c r="J3217" s="1"/>
      <c r="K3217" s="1"/>
      <c r="L3217" s="1"/>
      <c r="O3217" s="475"/>
      <c r="P3217" s="475"/>
      <c r="Q3217" s="475"/>
      <c r="R3217" s="475"/>
      <c r="S3217" s="475"/>
      <c r="T3217" s="475"/>
      <c r="U3217" s="475"/>
      <c r="V3217" s="475"/>
      <c r="W3217" s="475"/>
    </row>
    <row r="3218" spans="2:23" s="97" customFormat="1">
      <c r="B3218" s="96"/>
      <c r="H3218" s="96"/>
      <c r="J3218" s="1"/>
      <c r="K3218" s="1"/>
      <c r="L3218" s="1"/>
      <c r="O3218" s="475"/>
      <c r="P3218" s="475"/>
      <c r="Q3218" s="475"/>
      <c r="R3218" s="475"/>
      <c r="S3218" s="475"/>
      <c r="T3218" s="475"/>
      <c r="U3218" s="475"/>
      <c r="V3218" s="475"/>
      <c r="W3218" s="475"/>
    </row>
    <row r="3219" spans="2:23" s="97" customFormat="1">
      <c r="B3219" s="96"/>
      <c r="H3219" s="96"/>
      <c r="J3219" s="1"/>
      <c r="K3219" s="1"/>
      <c r="L3219" s="1"/>
      <c r="O3219" s="475"/>
      <c r="P3219" s="475"/>
      <c r="Q3219" s="475"/>
      <c r="R3219" s="475"/>
      <c r="S3219" s="475"/>
      <c r="T3219" s="475"/>
      <c r="U3219" s="475"/>
      <c r="V3219" s="475"/>
      <c r="W3219" s="475"/>
    </row>
    <row r="3220" spans="2:23" s="97" customFormat="1">
      <c r="B3220" s="96"/>
      <c r="H3220" s="96"/>
      <c r="J3220" s="1"/>
      <c r="K3220" s="1"/>
      <c r="L3220" s="1"/>
      <c r="O3220" s="475"/>
      <c r="P3220" s="475"/>
      <c r="Q3220" s="475"/>
      <c r="R3220" s="475"/>
      <c r="S3220" s="475"/>
      <c r="T3220" s="475"/>
      <c r="U3220" s="475"/>
      <c r="V3220" s="475"/>
      <c r="W3220" s="475"/>
    </row>
    <row r="3221" spans="2:23" s="97" customFormat="1">
      <c r="B3221" s="96"/>
      <c r="H3221" s="96"/>
      <c r="J3221" s="1"/>
      <c r="K3221" s="1"/>
      <c r="L3221" s="1"/>
      <c r="O3221" s="475"/>
      <c r="P3221" s="475"/>
      <c r="Q3221" s="475"/>
      <c r="R3221" s="475"/>
      <c r="S3221" s="475"/>
      <c r="T3221" s="475"/>
      <c r="U3221" s="475"/>
      <c r="V3221" s="475"/>
      <c r="W3221" s="475"/>
    </row>
    <row r="3222" spans="2:23" s="97" customFormat="1">
      <c r="B3222" s="96"/>
      <c r="H3222" s="96"/>
      <c r="J3222" s="1"/>
      <c r="K3222" s="1"/>
      <c r="L3222" s="1"/>
      <c r="O3222" s="475"/>
      <c r="P3222" s="475"/>
      <c r="Q3222" s="475"/>
      <c r="R3222" s="475"/>
      <c r="S3222" s="475"/>
      <c r="T3222" s="475"/>
      <c r="U3222" s="475"/>
      <c r="V3222" s="475"/>
      <c r="W3222" s="475"/>
    </row>
    <row r="3223" spans="2:23" s="97" customFormat="1">
      <c r="B3223" s="96"/>
      <c r="H3223" s="96"/>
      <c r="J3223" s="1"/>
      <c r="K3223" s="1"/>
      <c r="L3223" s="1"/>
      <c r="O3223" s="475"/>
      <c r="P3223" s="475"/>
      <c r="Q3223" s="475"/>
      <c r="R3223" s="475"/>
      <c r="S3223" s="475"/>
      <c r="T3223" s="475"/>
      <c r="U3223" s="475"/>
      <c r="V3223" s="475"/>
      <c r="W3223" s="475"/>
    </row>
    <row r="3224" spans="2:23" s="97" customFormat="1">
      <c r="B3224" s="96"/>
      <c r="H3224" s="96"/>
      <c r="J3224" s="1"/>
      <c r="K3224" s="1"/>
      <c r="L3224" s="1"/>
      <c r="O3224" s="475"/>
      <c r="P3224" s="475"/>
      <c r="Q3224" s="475"/>
      <c r="R3224" s="475"/>
      <c r="S3224" s="475"/>
      <c r="T3224" s="475"/>
      <c r="U3224" s="475"/>
      <c r="V3224" s="475"/>
      <c r="W3224" s="475"/>
    </row>
    <row r="3225" spans="2:23" s="97" customFormat="1">
      <c r="B3225" s="96"/>
      <c r="H3225" s="96"/>
      <c r="J3225" s="1"/>
      <c r="K3225" s="1"/>
      <c r="L3225" s="1"/>
      <c r="O3225" s="475"/>
      <c r="P3225" s="475"/>
      <c r="Q3225" s="475"/>
      <c r="R3225" s="475"/>
      <c r="S3225" s="475"/>
      <c r="T3225" s="475"/>
      <c r="U3225" s="475"/>
      <c r="V3225" s="475"/>
      <c r="W3225" s="475"/>
    </row>
    <row r="3226" spans="2:23" s="97" customFormat="1">
      <c r="B3226" s="96"/>
      <c r="H3226" s="96"/>
      <c r="J3226" s="1"/>
      <c r="K3226" s="1"/>
      <c r="L3226" s="1"/>
      <c r="O3226" s="475"/>
      <c r="P3226" s="475"/>
      <c r="Q3226" s="475"/>
      <c r="R3226" s="475"/>
      <c r="S3226" s="475"/>
      <c r="T3226" s="475"/>
      <c r="U3226" s="475"/>
      <c r="V3226" s="475"/>
      <c r="W3226" s="475"/>
    </row>
    <row r="3227" spans="2:23" s="97" customFormat="1">
      <c r="B3227" s="96"/>
      <c r="H3227" s="96"/>
      <c r="J3227" s="1"/>
      <c r="K3227" s="1"/>
      <c r="L3227" s="1"/>
      <c r="O3227" s="475"/>
      <c r="P3227" s="475"/>
      <c r="Q3227" s="475"/>
      <c r="R3227" s="475"/>
      <c r="S3227" s="475"/>
      <c r="T3227" s="475"/>
      <c r="U3227" s="475"/>
      <c r="V3227" s="475"/>
      <c r="W3227" s="475"/>
    </row>
    <row r="3228" spans="2:23" s="97" customFormat="1">
      <c r="B3228" s="96"/>
      <c r="H3228" s="96"/>
      <c r="J3228" s="1"/>
      <c r="K3228" s="1"/>
      <c r="L3228" s="1"/>
      <c r="O3228" s="475"/>
      <c r="P3228" s="475"/>
      <c r="Q3228" s="475"/>
      <c r="R3228" s="475"/>
      <c r="S3228" s="475"/>
      <c r="T3228" s="475"/>
      <c r="U3228" s="475"/>
      <c r="V3228" s="475"/>
      <c r="W3228" s="475"/>
    </row>
    <row r="3229" spans="2:23" s="97" customFormat="1">
      <c r="B3229" s="96"/>
      <c r="H3229" s="96"/>
      <c r="J3229" s="1"/>
      <c r="K3229" s="1"/>
      <c r="L3229" s="1"/>
      <c r="O3229" s="475"/>
      <c r="P3229" s="475"/>
      <c r="Q3229" s="475"/>
      <c r="R3229" s="475"/>
      <c r="S3229" s="475"/>
      <c r="T3229" s="475"/>
      <c r="U3229" s="475"/>
      <c r="V3229" s="475"/>
      <c r="W3229" s="475"/>
    </row>
    <row r="3230" spans="2:23" s="97" customFormat="1">
      <c r="B3230" s="96"/>
      <c r="H3230" s="96"/>
      <c r="J3230" s="1"/>
      <c r="K3230" s="1"/>
      <c r="L3230" s="1"/>
      <c r="O3230" s="475"/>
      <c r="P3230" s="475"/>
      <c r="Q3230" s="475"/>
      <c r="R3230" s="475"/>
      <c r="S3230" s="475"/>
      <c r="T3230" s="475"/>
      <c r="U3230" s="475"/>
      <c r="V3230" s="475"/>
      <c r="W3230" s="475"/>
    </row>
    <row r="3231" spans="2:23" s="97" customFormat="1">
      <c r="B3231" s="96"/>
      <c r="H3231" s="96"/>
      <c r="J3231" s="1"/>
      <c r="K3231" s="1"/>
      <c r="L3231" s="1"/>
      <c r="O3231" s="475"/>
      <c r="P3231" s="475"/>
      <c r="Q3231" s="475"/>
      <c r="R3231" s="475"/>
      <c r="S3231" s="475"/>
      <c r="T3231" s="475"/>
      <c r="U3231" s="475"/>
      <c r="V3231" s="475"/>
      <c r="W3231" s="475"/>
    </row>
    <row r="3232" spans="2:23" s="97" customFormat="1">
      <c r="B3232" s="96"/>
      <c r="H3232" s="96"/>
      <c r="J3232" s="1"/>
      <c r="K3232" s="1"/>
      <c r="L3232" s="1"/>
      <c r="O3232" s="475"/>
      <c r="P3232" s="475"/>
      <c r="Q3232" s="475"/>
      <c r="R3232" s="475"/>
      <c r="S3232" s="475"/>
      <c r="T3232" s="475"/>
      <c r="U3232" s="475"/>
      <c r="V3232" s="475"/>
      <c r="W3232" s="475"/>
    </row>
    <row r="3233" spans="2:23" s="97" customFormat="1">
      <c r="B3233" s="96"/>
      <c r="H3233" s="96"/>
      <c r="J3233" s="1"/>
      <c r="K3233" s="1"/>
      <c r="L3233" s="1"/>
      <c r="O3233" s="475"/>
      <c r="P3233" s="475"/>
      <c r="Q3233" s="475"/>
      <c r="R3233" s="475"/>
      <c r="S3233" s="475"/>
      <c r="T3233" s="475"/>
      <c r="U3233" s="475"/>
      <c r="V3233" s="475"/>
      <c r="W3233" s="475"/>
    </row>
    <row r="3234" spans="2:23" s="97" customFormat="1">
      <c r="B3234" s="96"/>
      <c r="H3234" s="96"/>
      <c r="J3234" s="1"/>
      <c r="K3234" s="1"/>
      <c r="L3234" s="1"/>
      <c r="O3234" s="475"/>
      <c r="P3234" s="475"/>
      <c r="Q3234" s="475"/>
      <c r="R3234" s="475"/>
      <c r="S3234" s="475"/>
      <c r="T3234" s="475"/>
      <c r="U3234" s="475"/>
      <c r="V3234" s="475"/>
      <c r="W3234" s="475"/>
    </row>
    <row r="3235" spans="2:23" s="97" customFormat="1">
      <c r="B3235" s="96"/>
      <c r="H3235" s="96"/>
      <c r="J3235" s="1"/>
      <c r="K3235" s="1"/>
      <c r="L3235" s="1"/>
      <c r="O3235" s="475"/>
      <c r="P3235" s="475"/>
      <c r="Q3235" s="475"/>
      <c r="R3235" s="475"/>
      <c r="S3235" s="475"/>
      <c r="T3235" s="475"/>
      <c r="U3235" s="475"/>
      <c r="V3235" s="475"/>
      <c r="W3235" s="475"/>
    </row>
    <row r="3236" spans="2:23" s="97" customFormat="1">
      <c r="B3236" s="96"/>
      <c r="H3236" s="96"/>
      <c r="J3236" s="1"/>
      <c r="K3236" s="1"/>
      <c r="L3236" s="1"/>
      <c r="O3236" s="475"/>
      <c r="P3236" s="475"/>
      <c r="Q3236" s="475"/>
      <c r="R3236" s="475"/>
      <c r="S3236" s="475"/>
      <c r="T3236" s="475"/>
      <c r="U3236" s="475"/>
      <c r="V3236" s="475"/>
      <c r="W3236" s="475"/>
    </row>
    <row r="3237" spans="2:23" s="97" customFormat="1">
      <c r="B3237" s="96"/>
      <c r="H3237" s="96"/>
      <c r="J3237" s="1"/>
      <c r="K3237" s="1"/>
      <c r="L3237" s="1"/>
      <c r="O3237" s="475"/>
      <c r="P3237" s="475"/>
      <c r="Q3237" s="475"/>
      <c r="R3237" s="475"/>
      <c r="S3237" s="475"/>
      <c r="T3237" s="475"/>
      <c r="U3237" s="475"/>
      <c r="V3237" s="475"/>
      <c r="W3237" s="475"/>
    </row>
    <row r="3238" spans="2:23" s="97" customFormat="1">
      <c r="B3238" s="96"/>
      <c r="H3238" s="96"/>
      <c r="J3238" s="1"/>
      <c r="K3238" s="1"/>
      <c r="L3238" s="1"/>
      <c r="O3238" s="475"/>
      <c r="P3238" s="475"/>
      <c r="Q3238" s="475"/>
      <c r="R3238" s="475"/>
      <c r="S3238" s="475"/>
      <c r="T3238" s="475"/>
      <c r="U3238" s="475"/>
      <c r="V3238" s="475"/>
      <c r="W3238" s="475"/>
    </row>
    <row r="3239" spans="2:23" s="97" customFormat="1">
      <c r="B3239" s="96"/>
      <c r="H3239" s="96"/>
      <c r="J3239" s="1"/>
      <c r="K3239" s="1"/>
      <c r="L3239" s="1"/>
      <c r="O3239" s="475"/>
      <c r="P3239" s="475"/>
      <c r="Q3239" s="475"/>
      <c r="R3239" s="475"/>
      <c r="S3239" s="475"/>
      <c r="T3239" s="475"/>
      <c r="U3239" s="475"/>
      <c r="V3239" s="475"/>
      <c r="W3239" s="475"/>
    </row>
    <row r="3240" spans="2:23" s="97" customFormat="1">
      <c r="B3240" s="96"/>
      <c r="H3240" s="96"/>
      <c r="J3240" s="1"/>
      <c r="K3240" s="1"/>
      <c r="L3240" s="1"/>
      <c r="O3240" s="475"/>
      <c r="P3240" s="475"/>
      <c r="Q3240" s="475"/>
      <c r="R3240" s="475"/>
      <c r="S3240" s="475"/>
      <c r="T3240" s="475"/>
      <c r="U3240" s="475"/>
      <c r="V3240" s="475"/>
      <c r="W3240" s="475"/>
    </row>
    <row r="3241" spans="2:23" s="97" customFormat="1">
      <c r="B3241" s="96"/>
      <c r="H3241" s="96"/>
      <c r="J3241" s="1"/>
      <c r="K3241" s="1"/>
      <c r="L3241" s="1"/>
      <c r="O3241" s="475"/>
      <c r="P3241" s="475"/>
      <c r="Q3241" s="475"/>
      <c r="R3241" s="475"/>
      <c r="S3241" s="475"/>
      <c r="T3241" s="475"/>
      <c r="U3241" s="475"/>
      <c r="V3241" s="475"/>
      <c r="W3241" s="475"/>
    </row>
    <row r="3242" spans="2:23" s="97" customFormat="1">
      <c r="B3242" s="96"/>
      <c r="H3242" s="96"/>
      <c r="J3242" s="1"/>
      <c r="K3242" s="1"/>
      <c r="L3242" s="1"/>
      <c r="O3242" s="475"/>
      <c r="P3242" s="475"/>
      <c r="Q3242" s="475"/>
      <c r="R3242" s="475"/>
      <c r="S3242" s="475"/>
      <c r="T3242" s="475"/>
      <c r="U3242" s="475"/>
      <c r="V3242" s="475"/>
      <c r="W3242" s="475"/>
    </row>
    <row r="3243" spans="2:23" s="97" customFormat="1">
      <c r="B3243" s="96"/>
      <c r="H3243" s="96"/>
      <c r="J3243" s="1"/>
      <c r="K3243" s="1"/>
      <c r="L3243" s="1"/>
      <c r="O3243" s="475"/>
      <c r="P3243" s="475"/>
      <c r="Q3243" s="475"/>
      <c r="R3243" s="475"/>
      <c r="S3243" s="475"/>
      <c r="T3243" s="475"/>
      <c r="U3243" s="475"/>
      <c r="V3243" s="475"/>
      <c r="W3243" s="475"/>
    </row>
    <row r="3244" spans="2:23" s="97" customFormat="1">
      <c r="B3244" s="96"/>
      <c r="H3244" s="96"/>
      <c r="J3244" s="1"/>
      <c r="K3244" s="1"/>
      <c r="L3244" s="1"/>
      <c r="O3244" s="475"/>
      <c r="P3244" s="475"/>
      <c r="Q3244" s="475"/>
      <c r="R3244" s="475"/>
      <c r="S3244" s="475"/>
      <c r="T3244" s="475"/>
      <c r="U3244" s="475"/>
      <c r="V3244" s="475"/>
      <c r="W3244" s="475"/>
    </row>
    <row r="3245" spans="2:23" s="97" customFormat="1">
      <c r="B3245" s="96"/>
      <c r="H3245" s="96"/>
      <c r="J3245" s="1"/>
      <c r="K3245" s="1"/>
      <c r="L3245" s="1"/>
      <c r="O3245" s="475"/>
      <c r="P3245" s="475"/>
      <c r="Q3245" s="475"/>
      <c r="R3245" s="475"/>
      <c r="S3245" s="475"/>
      <c r="T3245" s="475"/>
      <c r="U3245" s="475"/>
      <c r="V3245" s="475"/>
      <c r="W3245" s="475"/>
    </row>
    <row r="3246" spans="2:23" s="97" customFormat="1">
      <c r="B3246" s="96"/>
      <c r="H3246" s="96"/>
      <c r="J3246" s="1"/>
      <c r="K3246" s="1"/>
      <c r="L3246" s="1"/>
      <c r="O3246" s="475"/>
      <c r="P3246" s="475"/>
      <c r="Q3246" s="475"/>
      <c r="R3246" s="475"/>
      <c r="S3246" s="475"/>
      <c r="T3246" s="475"/>
      <c r="U3246" s="475"/>
      <c r="V3246" s="475"/>
      <c r="W3246" s="475"/>
    </row>
    <row r="3247" spans="2:23" s="97" customFormat="1">
      <c r="B3247" s="96"/>
      <c r="H3247" s="96"/>
      <c r="J3247" s="1"/>
      <c r="K3247" s="1"/>
      <c r="L3247" s="1"/>
      <c r="O3247" s="475"/>
      <c r="P3247" s="475"/>
      <c r="Q3247" s="475"/>
      <c r="R3247" s="475"/>
      <c r="S3247" s="475"/>
      <c r="T3247" s="475"/>
      <c r="U3247" s="475"/>
      <c r="V3247" s="475"/>
      <c r="W3247" s="475"/>
    </row>
    <row r="3248" spans="2:23" s="97" customFormat="1">
      <c r="B3248" s="96"/>
      <c r="H3248" s="96"/>
      <c r="J3248" s="1"/>
      <c r="K3248" s="1"/>
      <c r="L3248" s="1"/>
      <c r="O3248" s="475"/>
      <c r="P3248" s="475"/>
      <c r="Q3248" s="475"/>
      <c r="R3248" s="475"/>
      <c r="S3248" s="475"/>
      <c r="T3248" s="475"/>
      <c r="U3248" s="475"/>
      <c r="V3248" s="475"/>
      <c r="W3248" s="475"/>
    </row>
    <row r="3249" spans="2:23" s="97" customFormat="1">
      <c r="B3249" s="96"/>
      <c r="H3249" s="96"/>
      <c r="J3249" s="1"/>
      <c r="K3249" s="1"/>
      <c r="L3249" s="1"/>
      <c r="O3249" s="475"/>
      <c r="P3249" s="475"/>
      <c r="Q3249" s="475"/>
      <c r="R3249" s="475"/>
      <c r="S3249" s="475"/>
      <c r="T3249" s="475"/>
      <c r="U3249" s="475"/>
      <c r="V3249" s="475"/>
      <c r="W3249" s="475"/>
    </row>
    <row r="3250" spans="2:23" s="97" customFormat="1">
      <c r="B3250" s="96"/>
      <c r="H3250" s="96"/>
      <c r="J3250" s="1"/>
      <c r="K3250" s="1"/>
      <c r="L3250" s="1"/>
      <c r="O3250" s="475"/>
      <c r="P3250" s="475"/>
      <c r="Q3250" s="475"/>
      <c r="R3250" s="475"/>
      <c r="S3250" s="475"/>
      <c r="T3250" s="475"/>
      <c r="U3250" s="475"/>
      <c r="V3250" s="475"/>
      <c r="W3250" s="475"/>
    </row>
    <row r="3251" spans="2:23" s="97" customFormat="1">
      <c r="B3251" s="96"/>
      <c r="H3251" s="96"/>
      <c r="J3251" s="1"/>
      <c r="K3251" s="1"/>
      <c r="L3251" s="1"/>
      <c r="O3251" s="475"/>
      <c r="P3251" s="475"/>
      <c r="Q3251" s="475"/>
      <c r="R3251" s="475"/>
      <c r="S3251" s="475"/>
      <c r="T3251" s="475"/>
      <c r="U3251" s="475"/>
      <c r="V3251" s="475"/>
      <c r="W3251" s="475"/>
    </row>
    <row r="3252" spans="2:23" s="97" customFormat="1">
      <c r="B3252" s="96"/>
      <c r="H3252" s="96"/>
      <c r="J3252" s="1"/>
      <c r="K3252" s="1"/>
      <c r="L3252" s="1"/>
      <c r="O3252" s="475"/>
      <c r="P3252" s="475"/>
      <c r="Q3252" s="475"/>
      <c r="R3252" s="475"/>
      <c r="S3252" s="475"/>
      <c r="T3252" s="475"/>
      <c r="U3252" s="475"/>
      <c r="V3252" s="475"/>
      <c r="W3252" s="475"/>
    </row>
    <row r="3253" spans="2:23" s="97" customFormat="1">
      <c r="B3253" s="96"/>
      <c r="H3253" s="96"/>
      <c r="J3253" s="1"/>
      <c r="K3253" s="1"/>
      <c r="L3253" s="1"/>
      <c r="O3253" s="475"/>
      <c r="P3253" s="475"/>
      <c r="Q3253" s="475"/>
      <c r="R3253" s="475"/>
      <c r="S3253" s="475"/>
      <c r="T3253" s="475"/>
      <c r="U3253" s="475"/>
      <c r="V3253" s="475"/>
      <c r="W3253" s="475"/>
    </row>
    <row r="3254" spans="2:23" s="97" customFormat="1">
      <c r="B3254" s="96"/>
      <c r="H3254" s="96"/>
      <c r="J3254" s="1"/>
      <c r="K3254" s="1"/>
      <c r="L3254" s="1"/>
      <c r="O3254" s="475"/>
      <c r="P3254" s="475"/>
      <c r="Q3254" s="475"/>
      <c r="R3254" s="475"/>
      <c r="S3254" s="475"/>
      <c r="T3254" s="475"/>
      <c r="U3254" s="475"/>
      <c r="V3254" s="475"/>
      <c r="W3254" s="475"/>
    </row>
    <row r="3255" spans="2:23" s="97" customFormat="1">
      <c r="B3255" s="96"/>
      <c r="H3255" s="96"/>
      <c r="J3255" s="1"/>
      <c r="K3255" s="1"/>
      <c r="L3255" s="1"/>
      <c r="O3255" s="475"/>
      <c r="P3255" s="475"/>
      <c r="Q3255" s="475"/>
      <c r="R3255" s="475"/>
      <c r="S3255" s="475"/>
      <c r="T3255" s="475"/>
      <c r="U3255" s="475"/>
      <c r="V3255" s="475"/>
      <c r="W3255" s="475"/>
    </row>
    <row r="3256" spans="2:23" s="97" customFormat="1">
      <c r="B3256" s="96"/>
      <c r="H3256" s="96"/>
      <c r="J3256" s="1"/>
      <c r="K3256" s="1"/>
      <c r="L3256" s="1"/>
      <c r="O3256" s="475"/>
      <c r="P3256" s="475"/>
      <c r="Q3256" s="475"/>
      <c r="R3256" s="475"/>
      <c r="S3256" s="475"/>
      <c r="T3256" s="475"/>
      <c r="U3256" s="475"/>
      <c r="V3256" s="475"/>
      <c r="W3256" s="475"/>
    </row>
    <row r="3257" spans="2:23" s="97" customFormat="1">
      <c r="B3257" s="96"/>
      <c r="H3257" s="96"/>
      <c r="J3257" s="1"/>
      <c r="K3257" s="1"/>
      <c r="L3257" s="1"/>
      <c r="O3257" s="475"/>
      <c r="P3257" s="475"/>
      <c r="Q3257" s="475"/>
      <c r="R3257" s="475"/>
      <c r="S3257" s="475"/>
      <c r="T3257" s="475"/>
      <c r="U3257" s="475"/>
      <c r="V3257" s="475"/>
      <c r="W3257" s="475"/>
    </row>
    <row r="3258" spans="2:23" s="97" customFormat="1">
      <c r="B3258" s="96"/>
      <c r="H3258" s="96"/>
      <c r="J3258" s="1"/>
      <c r="K3258" s="1"/>
      <c r="L3258" s="1"/>
      <c r="O3258" s="475"/>
      <c r="P3258" s="475"/>
      <c r="Q3258" s="475"/>
      <c r="R3258" s="475"/>
      <c r="S3258" s="475"/>
      <c r="T3258" s="475"/>
      <c r="U3258" s="475"/>
      <c r="V3258" s="475"/>
      <c r="W3258" s="475"/>
    </row>
    <row r="3259" spans="2:23" s="97" customFormat="1">
      <c r="B3259" s="96"/>
      <c r="H3259" s="96"/>
      <c r="J3259" s="1"/>
      <c r="K3259" s="1"/>
      <c r="L3259" s="1"/>
      <c r="O3259" s="475"/>
      <c r="P3259" s="475"/>
      <c r="Q3259" s="475"/>
      <c r="R3259" s="475"/>
      <c r="S3259" s="475"/>
      <c r="T3259" s="475"/>
      <c r="U3259" s="475"/>
      <c r="V3259" s="475"/>
      <c r="W3259" s="475"/>
    </row>
    <row r="3260" spans="2:23" s="97" customFormat="1">
      <c r="B3260" s="96"/>
      <c r="H3260" s="96"/>
      <c r="J3260" s="1"/>
      <c r="K3260" s="1"/>
      <c r="L3260" s="1"/>
      <c r="O3260" s="475"/>
      <c r="P3260" s="475"/>
      <c r="Q3260" s="475"/>
      <c r="R3260" s="475"/>
      <c r="S3260" s="475"/>
      <c r="T3260" s="475"/>
      <c r="U3260" s="475"/>
      <c r="V3260" s="475"/>
      <c r="W3260" s="475"/>
    </row>
    <row r="3261" spans="2:23" s="97" customFormat="1">
      <c r="B3261" s="96"/>
      <c r="H3261" s="96"/>
      <c r="J3261" s="1"/>
      <c r="K3261" s="1"/>
      <c r="L3261" s="1"/>
      <c r="O3261" s="475"/>
      <c r="P3261" s="475"/>
      <c r="Q3261" s="475"/>
      <c r="R3261" s="475"/>
      <c r="S3261" s="475"/>
      <c r="T3261" s="475"/>
      <c r="U3261" s="475"/>
      <c r="V3261" s="475"/>
      <c r="W3261" s="475"/>
    </row>
    <row r="3262" spans="2:23" s="97" customFormat="1">
      <c r="B3262" s="96"/>
      <c r="H3262" s="96"/>
      <c r="J3262" s="1"/>
      <c r="K3262" s="1"/>
      <c r="L3262" s="1"/>
      <c r="O3262" s="475"/>
      <c r="P3262" s="475"/>
      <c r="Q3262" s="475"/>
      <c r="R3262" s="475"/>
      <c r="S3262" s="475"/>
      <c r="T3262" s="475"/>
      <c r="U3262" s="475"/>
      <c r="V3262" s="475"/>
      <c r="W3262" s="475"/>
    </row>
    <row r="3263" spans="2:23" s="97" customFormat="1">
      <c r="B3263" s="96"/>
      <c r="H3263" s="96"/>
      <c r="J3263" s="1"/>
      <c r="K3263" s="1"/>
      <c r="L3263" s="1"/>
      <c r="O3263" s="475"/>
      <c r="P3263" s="475"/>
      <c r="Q3263" s="475"/>
      <c r="R3263" s="475"/>
      <c r="S3263" s="475"/>
      <c r="T3263" s="475"/>
      <c r="U3263" s="475"/>
      <c r="V3263" s="475"/>
      <c r="W3263" s="475"/>
    </row>
    <row r="3264" spans="2:23" s="97" customFormat="1">
      <c r="B3264" s="96"/>
      <c r="H3264" s="96"/>
      <c r="J3264" s="1"/>
      <c r="K3264" s="1"/>
      <c r="L3264" s="1"/>
      <c r="O3264" s="475"/>
      <c r="P3264" s="475"/>
      <c r="Q3264" s="475"/>
      <c r="R3264" s="475"/>
      <c r="S3264" s="475"/>
      <c r="T3264" s="475"/>
      <c r="U3264" s="475"/>
      <c r="V3264" s="475"/>
      <c r="W3264" s="475"/>
    </row>
    <row r="3265" spans="2:23" s="97" customFormat="1">
      <c r="B3265" s="96"/>
      <c r="H3265" s="96"/>
      <c r="J3265" s="1"/>
      <c r="K3265" s="1"/>
      <c r="L3265" s="1"/>
      <c r="O3265" s="475"/>
      <c r="P3265" s="475"/>
      <c r="Q3265" s="475"/>
      <c r="R3265" s="475"/>
      <c r="S3265" s="475"/>
      <c r="T3265" s="475"/>
      <c r="U3265" s="475"/>
      <c r="V3265" s="475"/>
      <c r="W3265" s="475"/>
    </row>
    <row r="3266" spans="2:23" s="97" customFormat="1">
      <c r="B3266" s="96"/>
      <c r="H3266" s="96"/>
      <c r="J3266" s="1"/>
      <c r="K3266" s="1"/>
      <c r="L3266" s="1"/>
      <c r="O3266" s="475"/>
      <c r="P3266" s="475"/>
      <c r="Q3266" s="475"/>
      <c r="R3266" s="475"/>
      <c r="S3266" s="475"/>
      <c r="T3266" s="475"/>
      <c r="U3266" s="475"/>
      <c r="V3266" s="475"/>
      <c r="W3266" s="475"/>
    </row>
    <row r="3267" spans="2:23" s="97" customFormat="1">
      <c r="B3267" s="96"/>
      <c r="H3267" s="96"/>
      <c r="J3267" s="1"/>
      <c r="K3267" s="1"/>
      <c r="L3267" s="1"/>
      <c r="O3267" s="475"/>
      <c r="P3267" s="475"/>
      <c r="Q3267" s="475"/>
      <c r="R3267" s="475"/>
      <c r="S3267" s="475"/>
      <c r="T3267" s="475"/>
      <c r="U3267" s="475"/>
      <c r="V3267" s="475"/>
      <c r="W3267" s="475"/>
    </row>
    <row r="3268" spans="2:23" s="97" customFormat="1">
      <c r="B3268" s="96"/>
      <c r="H3268" s="96"/>
      <c r="J3268" s="1"/>
      <c r="K3268" s="1"/>
      <c r="L3268" s="1"/>
      <c r="O3268" s="475"/>
      <c r="P3268" s="475"/>
      <c r="Q3268" s="475"/>
      <c r="R3268" s="475"/>
      <c r="S3268" s="475"/>
      <c r="T3268" s="475"/>
      <c r="U3268" s="475"/>
      <c r="V3268" s="475"/>
      <c r="W3268" s="475"/>
    </row>
    <row r="3269" spans="2:23" s="97" customFormat="1">
      <c r="B3269" s="96"/>
      <c r="H3269" s="96"/>
      <c r="J3269" s="1"/>
      <c r="K3269" s="1"/>
      <c r="L3269" s="1"/>
      <c r="O3269" s="475"/>
      <c r="P3269" s="475"/>
      <c r="Q3269" s="475"/>
      <c r="R3269" s="475"/>
      <c r="S3269" s="475"/>
      <c r="T3269" s="475"/>
      <c r="U3269" s="475"/>
      <c r="V3269" s="475"/>
      <c r="W3269" s="475"/>
    </row>
    <row r="3270" spans="2:23" s="97" customFormat="1">
      <c r="B3270" s="96"/>
      <c r="H3270" s="96"/>
      <c r="J3270" s="1"/>
      <c r="K3270" s="1"/>
      <c r="L3270" s="1"/>
      <c r="O3270" s="475"/>
      <c r="P3270" s="475"/>
      <c r="Q3270" s="475"/>
      <c r="R3270" s="475"/>
      <c r="S3270" s="475"/>
      <c r="T3270" s="475"/>
      <c r="U3270" s="475"/>
      <c r="V3270" s="475"/>
      <c r="W3270" s="475"/>
    </row>
    <row r="3271" spans="2:23" s="97" customFormat="1">
      <c r="B3271" s="96"/>
      <c r="H3271" s="96"/>
      <c r="J3271" s="1"/>
      <c r="K3271" s="1"/>
      <c r="L3271" s="1"/>
      <c r="O3271" s="475"/>
      <c r="P3271" s="475"/>
      <c r="Q3271" s="475"/>
      <c r="R3271" s="475"/>
      <c r="S3271" s="475"/>
      <c r="T3271" s="475"/>
      <c r="U3271" s="475"/>
      <c r="V3271" s="475"/>
      <c r="W3271" s="475"/>
    </row>
    <row r="3272" spans="2:23" s="97" customFormat="1">
      <c r="B3272" s="96"/>
      <c r="H3272" s="96"/>
      <c r="J3272" s="1"/>
      <c r="K3272" s="1"/>
      <c r="L3272" s="1"/>
      <c r="O3272" s="475"/>
      <c r="P3272" s="475"/>
      <c r="Q3272" s="475"/>
      <c r="R3272" s="475"/>
      <c r="S3272" s="475"/>
      <c r="T3272" s="475"/>
      <c r="U3272" s="475"/>
      <c r="V3272" s="475"/>
      <c r="W3272" s="475"/>
    </row>
    <row r="3273" spans="2:23" s="97" customFormat="1">
      <c r="B3273" s="96"/>
      <c r="H3273" s="96"/>
      <c r="J3273" s="1"/>
      <c r="K3273" s="1"/>
      <c r="L3273" s="1"/>
      <c r="O3273" s="475"/>
      <c r="P3273" s="475"/>
      <c r="Q3273" s="475"/>
      <c r="R3273" s="475"/>
      <c r="S3273" s="475"/>
      <c r="T3273" s="475"/>
      <c r="U3273" s="475"/>
      <c r="V3273" s="475"/>
      <c r="W3273" s="475"/>
    </row>
    <row r="3274" spans="2:23" s="97" customFormat="1">
      <c r="B3274" s="96"/>
      <c r="H3274" s="96"/>
      <c r="J3274" s="1"/>
      <c r="K3274" s="1"/>
      <c r="L3274" s="1"/>
      <c r="O3274" s="475"/>
      <c r="P3274" s="475"/>
      <c r="Q3274" s="475"/>
      <c r="R3274" s="475"/>
      <c r="S3274" s="475"/>
      <c r="T3274" s="475"/>
      <c r="U3274" s="475"/>
      <c r="V3274" s="475"/>
      <c r="W3274" s="475"/>
    </row>
    <row r="3275" spans="2:23" s="97" customFormat="1">
      <c r="B3275" s="96"/>
      <c r="H3275" s="96"/>
      <c r="J3275" s="1"/>
      <c r="K3275" s="1"/>
      <c r="L3275" s="1"/>
      <c r="O3275" s="475"/>
      <c r="P3275" s="475"/>
      <c r="Q3275" s="475"/>
      <c r="R3275" s="475"/>
      <c r="S3275" s="475"/>
      <c r="T3275" s="475"/>
      <c r="U3275" s="475"/>
      <c r="V3275" s="475"/>
      <c r="W3275" s="475"/>
    </row>
    <row r="3276" spans="2:23" s="97" customFormat="1">
      <c r="B3276" s="96"/>
      <c r="H3276" s="96"/>
      <c r="J3276" s="1"/>
      <c r="K3276" s="1"/>
      <c r="L3276" s="1"/>
      <c r="O3276" s="475"/>
      <c r="P3276" s="475"/>
      <c r="Q3276" s="475"/>
      <c r="R3276" s="475"/>
      <c r="S3276" s="475"/>
      <c r="T3276" s="475"/>
      <c r="U3276" s="475"/>
      <c r="V3276" s="475"/>
      <c r="W3276" s="475"/>
    </row>
    <row r="3277" spans="2:23" s="97" customFormat="1">
      <c r="B3277" s="96"/>
      <c r="H3277" s="96"/>
      <c r="J3277" s="1"/>
      <c r="K3277" s="1"/>
      <c r="L3277" s="1"/>
      <c r="O3277" s="475"/>
      <c r="P3277" s="475"/>
      <c r="Q3277" s="475"/>
      <c r="R3277" s="475"/>
      <c r="S3277" s="475"/>
      <c r="T3277" s="475"/>
      <c r="U3277" s="475"/>
      <c r="V3277" s="475"/>
      <c r="W3277" s="475"/>
    </row>
    <row r="3278" spans="2:23" s="97" customFormat="1">
      <c r="B3278" s="96"/>
      <c r="H3278" s="96"/>
      <c r="J3278" s="1"/>
      <c r="K3278" s="1"/>
      <c r="L3278" s="1"/>
      <c r="O3278" s="475"/>
      <c r="P3278" s="475"/>
      <c r="Q3278" s="475"/>
      <c r="R3278" s="475"/>
      <c r="S3278" s="475"/>
      <c r="T3278" s="475"/>
      <c r="U3278" s="475"/>
      <c r="V3278" s="475"/>
      <c r="W3278" s="475"/>
    </row>
    <row r="3279" spans="2:23" s="97" customFormat="1">
      <c r="B3279" s="96"/>
      <c r="H3279" s="96"/>
      <c r="J3279" s="1"/>
      <c r="K3279" s="1"/>
      <c r="L3279" s="1"/>
      <c r="O3279" s="475"/>
      <c r="P3279" s="475"/>
      <c r="Q3279" s="475"/>
      <c r="R3279" s="475"/>
      <c r="S3279" s="475"/>
      <c r="T3279" s="475"/>
      <c r="U3279" s="475"/>
      <c r="V3279" s="475"/>
      <c r="W3279" s="475"/>
    </row>
    <row r="3280" spans="2:23" s="97" customFormat="1">
      <c r="B3280" s="96"/>
      <c r="H3280" s="96"/>
      <c r="J3280" s="1"/>
      <c r="K3280" s="1"/>
      <c r="L3280" s="1"/>
      <c r="O3280" s="475"/>
      <c r="P3280" s="475"/>
      <c r="Q3280" s="475"/>
      <c r="R3280" s="475"/>
      <c r="S3280" s="475"/>
      <c r="T3280" s="475"/>
      <c r="U3280" s="475"/>
      <c r="V3280" s="475"/>
      <c r="W3280" s="475"/>
    </row>
    <row r="3281" spans="2:23" s="97" customFormat="1">
      <c r="B3281" s="96"/>
      <c r="H3281" s="96"/>
      <c r="J3281" s="1"/>
      <c r="K3281" s="1"/>
      <c r="L3281" s="1"/>
      <c r="O3281" s="475"/>
      <c r="P3281" s="475"/>
      <c r="Q3281" s="475"/>
      <c r="R3281" s="475"/>
      <c r="S3281" s="475"/>
      <c r="T3281" s="475"/>
      <c r="U3281" s="475"/>
      <c r="V3281" s="475"/>
      <c r="W3281" s="475"/>
    </row>
    <row r="3282" spans="2:23" s="97" customFormat="1">
      <c r="B3282" s="96"/>
      <c r="H3282" s="96"/>
      <c r="J3282" s="1"/>
      <c r="K3282" s="1"/>
      <c r="L3282" s="1"/>
      <c r="O3282" s="475"/>
      <c r="P3282" s="475"/>
      <c r="Q3282" s="475"/>
      <c r="R3282" s="475"/>
      <c r="S3282" s="475"/>
      <c r="T3282" s="475"/>
      <c r="U3282" s="475"/>
      <c r="V3282" s="475"/>
      <c r="W3282" s="475"/>
    </row>
    <row r="3283" spans="2:23" s="97" customFormat="1">
      <c r="B3283" s="96"/>
      <c r="H3283" s="96"/>
      <c r="J3283" s="1"/>
      <c r="K3283" s="1"/>
      <c r="L3283" s="1"/>
      <c r="O3283" s="475"/>
      <c r="P3283" s="475"/>
      <c r="Q3283" s="475"/>
      <c r="R3283" s="475"/>
      <c r="S3283" s="475"/>
      <c r="T3283" s="475"/>
      <c r="U3283" s="475"/>
      <c r="V3283" s="475"/>
      <c r="W3283" s="475"/>
    </row>
    <row r="3284" spans="2:23" s="97" customFormat="1">
      <c r="B3284" s="96"/>
      <c r="H3284" s="96"/>
      <c r="J3284" s="1"/>
      <c r="K3284" s="1"/>
      <c r="L3284" s="1"/>
      <c r="O3284" s="475"/>
      <c r="P3284" s="475"/>
      <c r="Q3284" s="475"/>
      <c r="R3284" s="475"/>
      <c r="S3284" s="475"/>
      <c r="T3284" s="475"/>
      <c r="U3284" s="475"/>
      <c r="V3284" s="475"/>
      <c r="W3284" s="475"/>
    </row>
    <row r="3285" spans="2:23" s="97" customFormat="1">
      <c r="B3285" s="96"/>
      <c r="H3285" s="96"/>
      <c r="J3285" s="1"/>
      <c r="K3285" s="1"/>
      <c r="L3285" s="1"/>
      <c r="O3285" s="475"/>
      <c r="P3285" s="475"/>
      <c r="Q3285" s="475"/>
      <c r="R3285" s="475"/>
      <c r="S3285" s="475"/>
      <c r="T3285" s="475"/>
      <c r="U3285" s="475"/>
      <c r="V3285" s="475"/>
      <c r="W3285" s="475"/>
    </row>
    <row r="3286" spans="2:23" s="97" customFormat="1">
      <c r="B3286" s="96"/>
      <c r="H3286" s="96"/>
      <c r="J3286" s="1"/>
      <c r="K3286" s="1"/>
      <c r="L3286" s="1"/>
      <c r="O3286" s="475"/>
      <c r="P3286" s="475"/>
      <c r="Q3286" s="475"/>
      <c r="R3286" s="475"/>
      <c r="S3286" s="475"/>
      <c r="T3286" s="475"/>
      <c r="U3286" s="475"/>
      <c r="V3286" s="475"/>
      <c r="W3286" s="475"/>
    </row>
    <row r="3287" spans="2:23" s="97" customFormat="1">
      <c r="B3287" s="96"/>
      <c r="H3287" s="96"/>
      <c r="J3287" s="1"/>
      <c r="K3287" s="1"/>
      <c r="L3287" s="1"/>
      <c r="O3287" s="475"/>
      <c r="P3287" s="475"/>
      <c r="Q3287" s="475"/>
      <c r="R3287" s="475"/>
      <c r="S3287" s="475"/>
      <c r="T3287" s="475"/>
      <c r="U3287" s="475"/>
      <c r="V3287" s="475"/>
      <c r="W3287" s="475"/>
    </row>
    <row r="3288" spans="2:23" s="97" customFormat="1">
      <c r="B3288" s="96"/>
      <c r="H3288" s="96"/>
      <c r="J3288" s="1"/>
      <c r="K3288" s="1"/>
      <c r="L3288" s="1"/>
      <c r="O3288" s="475"/>
      <c r="P3288" s="475"/>
      <c r="Q3288" s="475"/>
      <c r="R3288" s="475"/>
      <c r="S3288" s="475"/>
      <c r="T3288" s="475"/>
      <c r="U3288" s="475"/>
      <c r="V3288" s="475"/>
      <c r="W3288" s="475"/>
    </row>
    <row r="3289" spans="2:23" s="97" customFormat="1">
      <c r="B3289" s="96"/>
      <c r="H3289" s="96"/>
      <c r="J3289" s="1"/>
      <c r="K3289" s="1"/>
      <c r="L3289" s="1"/>
      <c r="O3289" s="475"/>
      <c r="P3289" s="475"/>
      <c r="Q3289" s="475"/>
      <c r="R3289" s="475"/>
      <c r="S3289" s="475"/>
      <c r="T3289" s="475"/>
      <c r="U3289" s="475"/>
      <c r="V3289" s="475"/>
      <c r="W3289" s="475"/>
    </row>
    <row r="3290" spans="2:23" s="97" customFormat="1">
      <c r="B3290" s="96"/>
      <c r="H3290" s="96"/>
      <c r="J3290" s="1"/>
      <c r="K3290" s="1"/>
      <c r="L3290" s="1"/>
      <c r="O3290" s="475"/>
      <c r="P3290" s="475"/>
      <c r="Q3290" s="475"/>
      <c r="R3290" s="475"/>
      <c r="S3290" s="475"/>
      <c r="T3290" s="475"/>
      <c r="U3290" s="475"/>
      <c r="V3290" s="475"/>
      <c r="W3290" s="475"/>
    </row>
    <row r="3291" spans="2:23" s="97" customFormat="1">
      <c r="B3291" s="96"/>
      <c r="H3291" s="96"/>
      <c r="J3291" s="1"/>
      <c r="K3291" s="1"/>
      <c r="L3291" s="1"/>
      <c r="O3291" s="475"/>
      <c r="P3291" s="475"/>
      <c r="Q3291" s="475"/>
      <c r="R3291" s="475"/>
      <c r="S3291" s="475"/>
      <c r="T3291" s="475"/>
      <c r="U3291" s="475"/>
      <c r="V3291" s="475"/>
      <c r="W3291" s="475"/>
    </row>
    <row r="3292" spans="2:23" s="97" customFormat="1">
      <c r="B3292" s="96"/>
      <c r="H3292" s="96"/>
      <c r="J3292" s="1"/>
      <c r="K3292" s="1"/>
      <c r="L3292" s="1"/>
      <c r="O3292" s="475"/>
      <c r="P3292" s="475"/>
      <c r="Q3292" s="475"/>
      <c r="R3292" s="475"/>
      <c r="S3292" s="475"/>
      <c r="T3292" s="475"/>
      <c r="U3292" s="475"/>
      <c r="V3292" s="475"/>
      <c r="W3292" s="475"/>
    </row>
    <row r="3293" spans="2:23" s="97" customFormat="1">
      <c r="B3293" s="96"/>
      <c r="H3293" s="96"/>
      <c r="J3293" s="1"/>
      <c r="K3293" s="1"/>
      <c r="L3293" s="1"/>
      <c r="O3293" s="475"/>
      <c r="P3293" s="475"/>
      <c r="Q3293" s="475"/>
      <c r="R3293" s="475"/>
      <c r="S3293" s="475"/>
      <c r="T3293" s="475"/>
      <c r="U3293" s="475"/>
      <c r="V3293" s="475"/>
      <c r="W3293" s="475"/>
    </row>
    <row r="3294" spans="2:23" s="97" customFormat="1">
      <c r="B3294" s="96"/>
      <c r="H3294" s="96"/>
      <c r="J3294" s="1"/>
      <c r="K3294" s="1"/>
      <c r="L3294" s="1"/>
      <c r="O3294" s="475"/>
      <c r="P3294" s="475"/>
      <c r="Q3294" s="475"/>
      <c r="R3294" s="475"/>
      <c r="S3294" s="475"/>
      <c r="T3294" s="475"/>
      <c r="U3294" s="475"/>
      <c r="V3294" s="475"/>
      <c r="W3294" s="475"/>
    </row>
    <row r="3295" spans="2:23" s="97" customFormat="1">
      <c r="B3295" s="96"/>
      <c r="H3295" s="96"/>
      <c r="J3295" s="1"/>
      <c r="K3295" s="1"/>
      <c r="L3295" s="1"/>
      <c r="O3295" s="475"/>
      <c r="P3295" s="475"/>
      <c r="Q3295" s="475"/>
      <c r="R3295" s="475"/>
      <c r="S3295" s="475"/>
      <c r="T3295" s="475"/>
      <c r="U3295" s="475"/>
      <c r="V3295" s="475"/>
      <c r="W3295" s="475"/>
    </row>
    <row r="3296" spans="2:23" s="97" customFormat="1">
      <c r="B3296" s="96"/>
      <c r="H3296" s="96"/>
      <c r="J3296" s="1"/>
      <c r="K3296" s="1"/>
      <c r="L3296" s="1"/>
      <c r="O3296" s="475"/>
      <c r="P3296" s="475"/>
      <c r="Q3296" s="475"/>
      <c r="R3296" s="475"/>
      <c r="S3296" s="475"/>
      <c r="T3296" s="475"/>
      <c r="U3296" s="475"/>
      <c r="V3296" s="475"/>
      <c r="W3296" s="475"/>
    </row>
    <row r="3297" spans="2:23" s="97" customFormat="1">
      <c r="B3297" s="96"/>
      <c r="H3297" s="96"/>
      <c r="J3297" s="1"/>
      <c r="K3297" s="1"/>
      <c r="L3297" s="1"/>
      <c r="O3297" s="475"/>
      <c r="P3297" s="475"/>
      <c r="Q3297" s="475"/>
      <c r="R3297" s="475"/>
      <c r="S3297" s="475"/>
      <c r="T3297" s="475"/>
      <c r="U3297" s="475"/>
      <c r="V3297" s="475"/>
      <c r="W3297" s="475"/>
    </row>
    <row r="3298" spans="2:23" s="97" customFormat="1">
      <c r="B3298" s="96"/>
      <c r="H3298" s="96"/>
      <c r="J3298" s="1"/>
      <c r="K3298" s="1"/>
      <c r="L3298" s="1"/>
      <c r="O3298" s="475"/>
      <c r="P3298" s="475"/>
      <c r="Q3298" s="475"/>
      <c r="R3298" s="475"/>
      <c r="S3298" s="475"/>
      <c r="T3298" s="475"/>
      <c r="U3298" s="475"/>
      <c r="V3298" s="475"/>
      <c r="W3298" s="475"/>
    </row>
    <row r="3299" spans="2:23" s="97" customFormat="1">
      <c r="B3299" s="96"/>
      <c r="H3299" s="96"/>
      <c r="J3299" s="1"/>
      <c r="K3299" s="1"/>
      <c r="L3299" s="1"/>
      <c r="O3299" s="475"/>
      <c r="P3299" s="475"/>
      <c r="Q3299" s="475"/>
      <c r="R3299" s="475"/>
      <c r="S3299" s="475"/>
      <c r="T3299" s="475"/>
      <c r="U3299" s="475"/>
      <c r="V3299" s="475"/>
      <c r="W3299" s="475"/>
    </row>
    <row r="3300" spans="2:23" s="97" customFormat="1">
      <c r="B3300" s="96"/>
      <c r="H3300" s="96"/>
      <c r="J3300" s="1"/>
      <c r="K3300" s="1"/>
      <c r="L3300" s="1"/>
      <c r="O3300" s="475"/>
      <c r="P3300" s="475"/>
      <c r="Q3300" s="475"/>
      <c r="R3300" s="475"/>
      <c r="S3300" s="475"/>
      <c r="T3300" s="475"/>
      <c r="U3300" s="475"/>
      <c r="V3300" s="475"/>
      <c r="W3300" s="475"/>
    </row>
    <row r="3301" spans="2:23" s="97" customFormat="1">
      <c r="B3301" s="96"/>
      <c r="H3301" s="96"/>
      <c r="J3301" s="1"/>
      <c r="K3301" s="1"/>
      <c r="L3301" s="1"/>
      <c r="O3301" s="475"/>
      <c r="P3301" s="475"/>
      <c r="Q3301" s="475"/>
      <c r="R3301" s="475"/>
      <c r="S3301" s="475"/>
      <c r="T3301" s="475"/>
      <c r="U3301" s="475"/>
      <c r="V3301" s="475"/>
      <c r="W3301" s="475"/>
    </row>
    <row r="3302" spans="2:23" s="97" customFormat="1">
      <c r="B3302" s="96"/>
      <c r="H3302" s="96"/>
      <c r="J3302" s="1"/>
      <c r="K3302" s="1"/>
      <c r="L3302" s="1"/>
      <c r="O3302" s="475"/>
      <c r="P3302" s="475"/>
      <c r="Q3302" s="475"/>
      <c r="R3302" s="475"/>
      <c r="S3302" s="475"/>
      <c r="T3302" s="475"/>
      <c r="U3302" s="475"/>
      <c r="V3302" s="475"/>
      <c r="W3302" s="475"/>
    </row>
    <row r="3303" spans="2:23" s="97" customFormat="1">
      <c r="B3303" s="96"/>
      <c r="H3303" s="96"/>
      <c r="J3303" s="1"/>
      <c r="K3303" s="1"/>
      <c r="L3303" s="1"/>
      <c r="O3303" s="475"/>
      <c r="P3303" s="475"/>
      <c r="Q3303" s="475"/>
      <c r="R3303" s="475"/>
      <c r="S3303" s="475"/>
      <c r="T3303" s="475"/>
      <c r="U3303" s="475"/>
      <c r="V3303" s="475"/>
      <c r="W3303" s="475"/>
    </row>
    <row r="3304" spans="2:23" s="97" customFormat="1">
      <c r="B3304" s="96"/>
      <c r="H3304" s="96"/>
      <c r="J3304" s="1"/>
      <c r="K3304" s="1"/>
      <c r="L3304" s="1"/>
      <c r="O3304" s="475"/>
      <c r="P3304" s="475"/>
      <c r="Q3304" s="475"/>
      <c r="R3304" s="475"/>
      <c r="S3304" s="475"/>
      <c r="T3304" s="475"/>
      <c r="U3304" s="475"/>
      <c r="V3304" s="475"/>
      <c r="W3304" s="475"/>
    </row>
    <row r="3305" spans="2:23" s="97" customFormat="1">
      <c r="B3305" s="96"/>
      <c r="H3305" s="96"/>
      <c r="J3305" s="1"/>
      <c r="K3305" s="1"/>
      <c r="L3305" s="1"/>
      <c r="O3305" s="475"/>
      <c r="P3305" s="475"/>
      <c r="Q3305" s="475"/>
      <c r="R3305" s="475"/>
      <c r="S3305" s="475"/>
      <c r="T3305" s="475"/>
      <c r="U3305" s="475"/>
      <c r="V3305" s="475"/>
      <c r="W3305" s="475"/>
    </row>
    <row r="3306" spans="2:23" s="97" customFormat="1">
      <c r="B3306" s="96"/>
      <c r="H3306" s="96"/>
      <c r="J3306" s="1"/>
      <c r="K3306" s="1"/>
      <c r="L3306" s="1"/>
      <c r="O3306" s="475"/>
      <c r="P3306" s="475"/>
      <c r="Q3306" s="475"/>
      <c r="R3306" s="475"/>
      <c r="S3306" s="475"/>
      <c r="T3306" s="475"/>
      <c r="U3306" s="475"/>
      <c r="V3306" s="475"/>
      <c r="W3306" s="475"/>
    </row>
    <row r="3307" spans="2:23" s="97" customFormat="1">
      <c r="B3307" s="96"/>
      <c r="H3307" s="96"/>
      <c r="J3307" s="1"/>
      <c r="K3307" s="1"/>
      <c r="L3307" s="1"/>
      <c r="O3307" s="475"/>
      <c r="P3307" s="475"/>
      <c r="Q3307" s="475"/>
      <c r="R3307" s="475"/>
      <c r="S3307" s="475"/>
      <c r="T3307" s="475"/>
      <c r="U3307" s="475"/>
      <c r="V3307" s="475"/>
      <c r="W3307" s="475"/>
    </row>
    <row r="3308" spans="2:23" s="97" customFormat="1">
      <c r="B3308" s="96"/>
      <c r="H3308" s="96"/>
      <c r="J3308" s="1"/>
      <c r="K3308" s="1"/>
      <c r="L3308" s="1"/>
      <c r="O3308" s="475"/>
      <c r="P3308" s="475"/>
      <c r="Q3308" s="475"/>
      <c r="R3308" s="475"/>
      <c r="S3308" s="475"/>
      <c r="T3308" s="475"/>
      <c r="U3308" s="475"/>
      <c r="V3308" s="475"/>
      <c r="W3308" s="475"/>
    </row>
    <row r="3309" spans="2:23" s="97" customFormat="1">
      <c r="B3309" s="96"/>
      <c r="H3309" s="96"/>
      <c r="J3309" s="1"/>
      <c r="K3309" s="1"/>
      <c r="L3309" s="1"/>
      <c r="O3309" s="475"/>
      <c r="P3309" s="475"/>
      <c r="Q3309" s="475"/>
      <c r="R3309" s="475"/>
      <c r="S3309" s="475"/>
      <c r="T3309" s="475"/>
      <c r="U3309" s="475"/>
      <c r="V3309" s="475"/>
      <c r="W3309" s="475"/>
    </row>
    <row r="3310" spans="2:23" s="97" customFormat="1">
      <c r="B3310" s="96"/>
      <c r="H3310" s="96"/>
      <c r="J3310" s="1"/>
      <c r="K3310" s="1"/>
      <c r="L3310" s="1"/>
      <c r="O3310" s="475"/>
      <c r="P3310" s="475"/>
      <c r="Q3310" s="475"/>
      <c r="R3310" s="475"/>
      <c r="S3310" s="475"/>
      <c r="T3310" s="475"/>
      <c r="U3310" s="475"/>
      <c r="V3310" s="475"/>
      <c r="W3310" s="475"/>
    </row>
    <row r="3311" spans="2:23" s="97" customFormat="1">
      <c r="B3311" s="96"/>
      <c r="H3311" s="96"/>
      <c r="J3311" s="1"/>
      <c r="K3311" s="1"/>
      <c r="L3311" s="1"/>
      <c r="O3311" s="475"/>
      <c r="P3311" s="475"/>
      <c r="Q3311" s="475"/>
      <c r="R3311" s="475"/>
      <c r="S3311" s="475"/>
      <c r="T3311" s="475"/>
      <c r="U3311" s="475"/>
      <c r="V3311" s="475"/>
      <c r="W3311" s="475"/>
    </row>
    <row r="3312" spans="2:23" s="97" customFormat="1">
      <c r="B3312" s="96"/>
      <c r="H3312" s="96"/>
      <c r="J3312" s="1"/>
      <c r="K3312" s="1"/>
      <c r="L3312" s="1"/>
      <c r="O3312" s="475"/>
      <c r="P3312" s="475"/>
      <c r="Q3312" s="475"/>
      <c r="R3312" s="475"/>
      <c r="S3312" s="475"/>
      <c r="T3312" s="475"/>
      <c r="U3312" s="475"/>
      <c r="V3312" s="475"/>
      <c r="W3312" s="475"/>
    </row>
    <row r="3313" spans="2:23" s="97" customFormat="1">
      <c r="B3313" s="96"/>
      <c r="H3313" s="96"/>
      <c r="J3313" s="1"/>
      <c r="K3313" s="1"/>
      <c r="L3313" s="1"/>
      <c r="O3313" s="475"/>
      <c r="P3313" s="475"/>
      <c r="Q3313" s="475"/>
      <c r="R3313" s="475"/>
      <c r="S3313" s="475"/>
      <c r="T3313" s="475"/>
      <c r="U3313" s="475"/>
      <c r="V3313" s="475"/>
      <c r="W3313" s="475"/>
    </row>
    <row r="3314" spans="2:23" s="97" customFormat="1">
      <c r="B3314" s="96"/>
      <c r="H3314" s="96"/>
      <c r="J3314" s="1"/>
      <c r="K3314" s="1"/>
      <c r="L3314" s="1"/>
      <c r="O3314" s="475"/>
      <c r="P3314" s="475"/>
      <c r="Q3314" s="475"/>
      <c r="R3314" s="475"/>
      <c r="S3314" s="475"/>
      <c r="T3314" s="475"/>
      <c r="U3314" s="475"/>
      <c r="V3314" s="475"/>
      <c r="W3314" s="475"/>
    </row>
    <row r="3315" spans="2:23" s="97" customFormat="1">
      <c r="B3315" s="96"/>
      <c r="H3315" s="96"/>
      <c r="J3315" s="1"/>
      <c r="K3315" s="1"/>
      <c r="L3315" s="1"/>
      <c r="O3315" s="475"/>
      <c r="P3315" s="475"/>
      <c r="Q3315" s="475"/>
      <c r="R3315" s="475"/>
      <c r="S3315" s="475"/>
      <c r="T3315" s="475"/>
      <c r="U3315" s="475"/>
      <c r="V3315" s="475"/>
      <c r="W3315" s="475"/>
    </row>
    <row r="3316" spans="2:23" s="97" customFormat="1">
      <c r="B3316" s="96"/>
      <c r="H3316" s="96"/>
      <c r="J3316" s="1"/>
      <c r="K3316" s="1"/>
      <c r="L3316" s="1"/>
      <c r="O3316" s="475"/>
      <c r="P3316" s="475"/>
      <c r="Q3316" s="475"/>
      <c r="R3316" s="475"/>
      <c r="S3316" s="475"/>
      <c r="T3316" s="475"/>
      <c r="U3316" s="475"/>
      <c r="V3316" s="475"/>
      <c r="W3316" s="475"/>
    </row>
    <row r="3317" spans="2:23" s="97" customFormat="1">
      <c r="B3317" s="96"/>
      <c r="H3317" s="96"/>
      <c r="J3317" s="1"/>
      <c r="K3317" s="1"/>
      <c r="L3317" s="1"/>
      <c r="O3317" s="475"/>
      <c r="P3317" s="475"/>
      <c r="Q3317" s="475"/>
      <c r="R3317" s="475"/>
      <c r="S3317" s="475"/>
      <c r="T3317" s="475"/>
      <c r="U3317" s="475"/>
      <c r="V3317" s="475"/>
      <c r="W3317" s="475"/>
    </row>
    <row r="3318" spans="2:23" s="97" customFormat="1">
      <c r="B3318" s="96"/>
      <c r="H3318" s="96"/>
      <c r="J3318" s="1"/>
      <c r="K3318" s="1"/>
      <c r="L3318" s="1"/>
      <c r="O3318" s="475"/>
      <c r="P3318" s="475"/>
      <c r="Q3318" s="475"/>
      <c r="R3318" s="475"/>
      <c r="S3318" s="475"/>
      <c r="T3318" s="475"/>
      <c r="U3318" s="475"/>
      <c r="V3318" s="475"/>
      <c r="W3318" s="475"/>
    </row>
    <row r="3319" spans="2:23" s="97" customFormat="1">
      <c r="B3319" s="96"/>
      <c r="H3319" s="96"/>
      <c r="J3319" s="1"/>
      <c r="K3319" s="1"/>
      <c r="L3319" s="1"/>
      <c r="O3319" s="475"/>
      <c r="P3319" s="475"/>
      <c r="Q3319" s="475"/>
      <c r="R3319" s="475"/>
      <c r="S3319" s="475"/>
      <c r="T3319" s="475"/>
      <c r="U3319" s="475"/>
      <c r="V3319" s="475"/>
      <c r="W3319" s="475"/>
    </row>
    <row r="3320" spans="2:23" s="97" customFormat="1">
      <c r="B3320" s="96"/>
      <c r="H3320" s="96"/>
      <c r="J3320" s="1"/>
      <c r="K3320" s="1"/>
      <c r="L3320" s="1"/>
      <c r="O3320" s="475"/>
      <c r="P3320" s="475"/>
      <c r="Q3320" s="475"/>
      <c r="R3320" s="475"/>
      <c r="S3320" s="475"/>
      <c r="T3320" s="475"/>
      <c r="U3320" s="475"/>
      <c r="V3320" s="475"/>
      <c r="W3320" s="475"/>
    </row>
    <row r="3321" spans="2:23" s="97" customFormat="1">
      <c r="B3321" s="96"/>
      <c r="H3321" s="96"/>
      <c r="J3321" s="1"/>
      <c r="K3321" s="1"/>
      <c r="L3321" s="1"/>
      <c r="O3321" s="475"/>
      <c r="P3321" s="475"/>
      <c r="Q3321" s="475"/>
      <c r="R3321" s="475"/>
      <c r="S3321" s="475"/>
      <c r="T3321" s="475"/>
      <c r="U3321" s="475"/>
      <c r="V3321" s="475"/>
      <c r="W3321" s="475"/>
    </row>
    <row r="3322" spans="2:23" s="97" customFormat="1">
      <c r="B3322" s="96"/>
      <c r="H3322" s="96"/>
      <c r="J3322" s="1"/>
      <c r="K3322" s="1"/>
      <c r="L3322" s="1"/>
      <c r="O3322" s="475"/>
      <c r="P3322" s="475"/>
      <c r="Q3322" s="475"/>
      <c r="R3322" s="475"/>
      <c r="S3322" s="475"/>
      <c r="T3322" s="475"/>
      <c r="U3322" s="475"/>
      <c r="V3322" s="475"/>
      <c r="W3322" s="475"/>
    </row>
    <row r="3323" spans="2:23" s="97" customFormat="1">
      <c r="B3323" s="96"/>
      <c r="H3323" s="96"/>
      <c r="J3323" s="1"/>
      <c r="K3323" s="1"/>
      <c r="L3323" s="1"/>
      <c r="O3323" s="475"/>
      <c r="P3323" s="475"/>
      <c r="Q3323" s="475"/>
      <c r="R3323" s="475"/>
      <c r="S3323" s="475"/>
      <c r="T3323" s="475"/>
      <c r="U3323" s="475"/>
      <c r="V3323" s="475"/>
      <c r="W3323" s="475"/>
    </row>
    <row r="3324" spans="2:23" s="97" customFormat="1">
      <c r="B3324" s="96"/>
      <c r="H3324" s="96"/>
      <c r="J3324" s="1"/>
      <c r="K3324" s="1"/>
      <c r="L3324" s="1"/>
      <c r="O3324" s="475"/>
      <c r="P3324" s="475"/>
      <c r="Q3324" s="475"/>
      <c r="R3324" s="475"/>
      <c r="S3324" s="475"/>
      <c r="T3324" s="475"/>
      <c r="U3324" s="475"/>
      <c r="V3324" s="475"/>
      <c r="W3324" s="475"/>
    </row>
    <row r="3325" spans="2:23" s="97" customFormat="1">
      <c r="B3325" s="96"/>
      <c r="H3325" s="96"/>
      <c r="J3325" s="1"/>
      <c r="K3325" s="1"/>
      <c r="L3325" s="1"/>
      <c r="O3325" s="475"/>
      <c r="P3325" s="475"/>
      <c r="Q3325" s="475"/>
      <c r="R3325" s="475"/>
      <c r="S3325" s="475"/>
      <c r="T3325" s="475"/>
      <c r="U3325" s="475"/>
      <c r="V3325" s="475"/>
      <c r="W3325" s="475"/>
    </row>
    <row r="3326" spans="2:23" s="97" customFormat="1">
      <c r="B3326" s="96"/>
      <c r="H3326" s="96"/>
      <c r="J3326" s="1"/>
      <c r="K3326" s="1"/>
      <c r="L3326" s="1"/>
      <c r="O3326" s="475"/>
      <c r="P3326" s="475"/>
      <c r="Q3326" s="475"/>
      <c r="R3326" s="475"/>
      <c r="S3326" s="475"/>
      <c r="T3326" s="475"/>
      <c r="U3326" s="475"/>
      <c r="V3326" s="475"/>
      <c r="W3326" s="475"/>
    </row>
    <row r="3327" spans="2:23" s="97" customFormat="1">
      <c r="B3327" s="96"/>
      <c r="H3327" s="96"/>
      <c r="J3327" s="1"/>
      <c r="K3327" s="1"/>
      <c r="L3327" s="1"/>
      <c r="O3327" s="475"/>
      <c r="P3327" s="475"/>
      <c r="Q3327" s="475"/>
      <c r="R3327" s="475"/>
      <c r="S3327" s="475"/>
      <c r="T3327" s="475"/>
      <c r="U3327" s="475"/>
      <c r="V3327" s="475"/>
      <c r="W3327" s="475"/>
    </row>
    <row r="3328" spans="2:23" s="97" customFormat="1">
      <c r="B3328" s="96"/>
      <c r="H3328" s="96"/>
      <c r="J3328" s="1"/>
      <c r="K3328" s="1"/>
      <c r="L3328" s="1"/>
      <c r="O3328" s="475"/>
      <c r="P3328" s="475"/>
      <c r="Q3328" s="475"/>
      <c r="R3328" s="475"/>
      <c r="S3328" s="475"/>
      <c r="T3328" s="475"/>
      <c r="U3328" s="475"/>
      <c r="V3328" s="475"/>
      <c r="W3328" s="475"/>
    </row>
    <row r="3329" spans="2:23" s="97" customFormat="1">
      <c r="B3329" s="96"/>
      <c r="H3329" s="96"/>
      <c r="J3329" s="1"/>
      <c r="K3329" s="1"/>
      <c r="L3329" s="1"/>
      <c r="O3329" s="475"/>
      <c r="P3329" s="475"/>
      <c r="Q3329" s="475"/>
      <c r="R3329" s="475"/>
      <c r="S3329" s="475"/>
      <c r="T3329" s="475"/>
      <c r="U3329" s="475"/>
      <c r="V3329" s="475"/>
      <c r="W3329" s="475"/>
    </row>
    <row r="3330" spans="2:23" s="97" customFormat="1">
      <c r="B3330" s="96"/>
      <c r="H3330" s="96"/>
      <c r="J3330" s="1"/>
      <c r="K3330" s="1"/>
      <c r="L3330" s="1"/>
      <c r="O3330" s="475"/>
      <c r="P3330" s="475"/>
      <c r="Q3330" s="475"/>
      <c r="R3330" s="475"/>
      <c r="S3330" s="475"/>
      <c r="T3330" s="475"/>
      <c r="U3330" s="475"/>
      <c r="V3330" s="475"/>
      <c r="W3330" s="475"/>
    </row>
    <row r="3331" spans="2:23" s="97" customFormat="1">
      <c r="B3331" s="96"/>
      <c r="H3331" s="96"/>
      <c r="J3331" s="1"/>
      <c r="K3331" s="1"/>
      <c r="L3331" s="1"/>
      <c r="O3331" s="475"/>
      <c r="P3331" s="475"/>
      <c r="Q3331" s="475"/>
      <c r="R3331" s="475"/>
      <c r="S3331" s="475"/>
      <c r="T3331" s="475"/>
      <c r="U3331" s="475"/>
      <c r="V3331" s="475"/>
      <c r="W3331" s="475"/>
    </row>
    <row r="3332" spans="2:23" s="97" customFormat="1">
      <c r="B3332" s="96"/>
      <c r="H3332" s="96"/>
      <c r="J3332" s="1"/>
      <c r="K3332" s="1"/>
      <c r="L3332" s="1"/>
      <c r="O3332" s="475"/>
      <c r="P3332" s="475"/>
      <c r="Q3332" s="475"/>
      <c r="R3332" s="475"/>
      <c r="S3332" s="475"/>
      <c r="T3332" s="475"/>
      <c r="U3332" s="475"/>
      <c r="V3332" s="475"/>
      <c r="W3332" s="475"/>
    </row>
    <row r="3333" spans="2:23" s="97" customFormat="1">
      <c r="B3333" s="96"/>
      <c r="H3333" s="96"/>
      <c r="J3333" s="1"/>
      <c r="K3333" s="1"/>
      <c r="L3333" s="1"/>
      <c r="O3333" s="475"/>
      <c r="P3333" s="475"/>
      <c r="Q3333" s="475"/>
      <c r="R3333" s="475"/>
      <c r="S3333" s="475"/>
      <c r="T3333" s="475"/>
      <c r="U3333" s="475"/>
      <c r="V3333" s="475"/>
      <c r="W3333" s="475"/>
    </row>
    <row r="3334" spans="2:23" s="97" customFormat="1">
      <c r="B3334" s="96"/>
      <c r="H3334" s="96"/>
      <c r="J3334" s="1"/>
      <c r="K3334" s="1"/>
      <c r="L3334" s="1"/>
      <c r="O3334" s="475"/>
      <c r="P3334" s="475"/>
      <c r="Q3334" s="475"/>
      <c r="R3334" s="475"/>
      <c r="S3334" s="475"/>
      <c r="T3334" s="475"/>
      <c r="U3334" s="475"/>
      <c r="V3334" s="475"/>
      <c r="W3334" s="475"/>
    </row>
    <row r="3335" spans="2:23" s="97" customFormat="1">
      <c r="B3335" s="96"/>
      <c r="H3335" s="96"/>
      <c r="J3335" s="1"/>
      <c r="K3335" s="1"/>
      <c r="L3335" s="1"/>
      <c r="O3335" s="475"/>
      <c r="P3335" s="475"/>
      <c r="Q3335" s="475"/>
      <c r="R3335" s="475"/>
      <c r="S3335" s="475"/>
      <c r="T3335" s="475"/>
      <c r="U3335" s="475"/>
      <c r="V3335" s="475"/>
      <c r="W3335" s="475"/>
    </row>
    <row r="3336" spans="2:23" s="97" customFormat="1">
      <c r="B3336" s="96"/>
      <c r="H3336" s="96"/>
      <c r="J3336" s="1"/>
      <c r="K3336" s="1"/>
      <c r="L3336" s="1"/>
      <c r="O3336" s="475"/>
      <c r="P3336" s="475"/>
      <c r="Q3336" s="475"/>
      <c r="R3336" s="475"/>
      <c r="S3336" s="475"/>
      <c r="T3336" s="475"/>
      <c r="U3336" s="475"/>
      <c r="V3336" s="475"/>
      <c r="W3336" s="475"/>
    </row>
    <row r="3337" spans="2:23" s="97" customFormat="1">
      <c r="B3337" s="96"/>
      <c r="H3337" s="96"/>
      <c r="J3337" s="1"/>
      <c r="K3337" s="1"/>
      <c r="L3337" s="1"/>
      <c r="O3337" s="475"/>
      <c r="P3337" s="475"/>
      <c r="Q3337" s="475"/>
      <c r="R3337" s="475"/>
      <c r="S3337" s="475"/>
      <c r="T3337" s="475"/>
      <c r="U3337" s="475"/>
      <c r="V3337" s="475"/>
      <c r="W3337" s="475"/>
    </row>
    <row r="3338" spans="2:23" s="97" customFormat="1">
      <c r="B3338" s="96"/>
      <c r="H3338" s="96"/>
      <c r="J3338" s="1"/>
      <c r="K3338" s="1"/>
      <c r="L3338" s="1"/>
      <c r="O3338" s="475"/>
      <c r="P3338" s="475"/>
      <c r="Q3338" s="475"/>
      <c r="R3338" s="475"/>
      <c r="S3338" s="475"/>
      <c r="T3338" s="475"/>
      <c r="U3338" s="475"/>
      <c r="V3338" s="475"/>
      <c r="W3338" s="475"/>
    </row>
    <row r="3339" spans="2:23" s="97" customFormat="1">
      <c r="B3339" s="96"/>
      <c r="H3339" s="96"/>
      <c r="J3339" s="1"/>
      <c r="K3339" s="1"/>
      <c r="L3339" s="1"/>
      <c r="O3339" s="475"/>
      <c r="P3339" s="475"/>
      <c r="Q3339" s="475"/>
      <c r="R3339" s="475"/>
      <c r="S3339" s="475"/>
      <c r="T3339" s="475"/>
      <c r="U3339" s="475"/>
      <c r="V3339" s="475"/>
      <c r="W3339" s="475"/>
    </row>
    <row r="3340" spans="2:23" s="97" customFormat="1">
      <c r="B3340" s="96"/>
      <c r="H3340" s="96"/>
      <c r="J3340" s="1"/>
      <c r="K3340" s="1"/>
      <c r="L3340" s="1"/>
      <c r="O3340" s="475"/>
      <c r="P3340" s="475"/>
      <c r="Q3340" s="475"/>
      <c r="R3340" s="475"/>
      <c r="S3340" s="475"/>
      <c r="T3340" s="475"/>
      <c r="U3340" s="475"/>
      <c r="V3340" s="475"/>
      <c r="W3340" s="475"/>
    </row>
    <row r="3341" spans="2:23" s="97" customFormat="1">
      <c r="B3341" s="96"/>
      <c r="H3341" s="96"/>
      <c r="J3341" s="1"/>
      <c r="K3341" s="1"/>
      <c r="L3341" s="1"/>
      <c r="O3341" s="475"/>
      <c r="P3341" s="475"/>
      <c r="Q3341" s="475"/>
      <c r="R3341" s="475"/>
      <c r="S3341" s="475"/>
      <c r="T3341" s="475"/>
      <c r="U3341" s="475"/>
      <c r="V3341" s="475"/>
      <c r="W3341" s="475"/>
    </row>
    <row r="3342" spans="2:23" s="97" customFormat="1">
      <c r="B3342" s="96"/>
      <c r="H3342" s="96"/>
      <c r="J3342" s="1"/>
      <c r="K3342" s="1"/>
      <c r="L3342" s="1"/>
      <c r="O3342" s="475"/>
      <c r="P3342" s="475"/>
      <c r="Q3342" s="475"/>
      <c r="R3342" s="475"/>
      <c r="S3342" s="475"/>
      <c r="T3342" s="475"/>
      <c r="U3342" s="475"/>
      <c r="V3342" s="475"/>
      <c r="W3342" s="475"/>
    </row>
    <row r="3343" spans="2:23" s="97" customFormat="1">
      <c r="B3343" s="96"/>
      <c r="H3343" s="96"/>
      <c r="J3343" s="1"/>
      <c r="K3343" s="1"/>
      <c r="L3343" s="1"/>
      <c r="O3343" s="475"/>
      <c r="P3343" s="475"/>
      <c r="Q3343" s="475"/>
      <c r="R3343" s="475"/>
      <c r="S3343" s="475"/>
      <c r="T3343" s="475"/>
      <c r="U3343" s="475"/>
      <c r="V3343" s="475"/>
      <c r="W3343" s="475"/>
    </row>
    <row r="3344" spans="2:23" s="97" customFormat="1">
      <c r="B3344" s="96"/>
      <c r="H3344" s="96"/>
      <c r="J3344" s="1"/>
      <c r="K3344" s="1"/>
      <c r="L3344" s="1"/>
      <c r="O3344" s="475"/>
      <c r="P3344" s="475"/>
      <c r="Q3344" s="475"/>
      <c r="R3344" s="475"/>
      <c r="S3344" s="475"/>
      <c r="T3344" s="475"/>
      <c r="U3344" s="475"/>
      <c r="V3344" s="475"/>
      <c r="W3344" s="475"/>
    </row>
    <row r="3345" spans="2:23" s="97" customFormat="1">
      <c r="B3345" s="96"/>
      <c r="H3345" s="96"/>
      <c r="J3345" s="1"/>
      <c r="K3345" s="1"/>
      <c r="L3345" s="1"/>
      <c r="O3345" s="475"/>
      <c r="P3345" s="475"/>
      <c r="Q3345" s="475"/>
      <c r="R3345" s="475"/>
      <c r="S3345" s="475"/>
      <c r="T3345" s="475"/>
      <c r="U3345" s="475"/>
      <c r="V3345" s="475"/>
      <c r="W3345" s="475"/>
    </row>
    <row r="3346" spans="2:23" s="97" customFormat="1">
      <c r="B3346" s="96"/>
      <c r="H3346" s="96"/>
      <c r="J3346" s="1"/>
      <c r="K3346" s="1"/>
      <c r="L3346" s="1"/>
      <c r="O3346" s="475"/>
      <c r="P3346" s="475"/>
      <c r="Q3346" s="475"/>
      <c r="R3346" s="475"/>
      <c r="S3346" s="475"/>
      <c r="T3346" s="475"/>
      <c r="U3346" s="475"/>
      <c r="V3346" s="475"/>
      <c r="W3346" s="475"/>
    </row>
    <row r="3347" spans="2:23" s="97" customFormat="1">
      <c r="B3347" s="96"/>
      <c r="H3347" s="96"/>
      <c r="J3347" s="1"/>
      <c r="K3347" s="1"/>
      <c r="L3347" s="1"/>
      <c r="O3347" s="475"/>
      <c r="P3347" s="475"/>
      <c r="Q3347" s="475"/>
      <c r="R3347" s="475"/>
      <c r="S3347" s="475"/>
      <c r="T3347" s="475"/>
      <c r="U3347" s="475"/>
      <c r="V3347" s="475"/>
      <c r="W3347" s="475"/>
    </row>
    <row r="3348" spans="2:23" s="97" customFormat="1">
      <c r="B3348" s="96"/>
      <c r="H3348" s="96"/>
      <c r="J3348" s="1"/>
      <c r="K3348" s="1"/>
      <c r="L3348" s="1"/>
      <c r="O3348" s="475"/>
      <c r="P3348" s="475"/>
      <c r="Q3348" s="475"/>
      <c r="R3348" s="475"/>
      <c r="S3348" s="475"/>
      <c r="T3348" s="475"/>
      <c r="U3348" s="475"/>
      <c r="V3348" s="475"/>
      <c r="W3348" s="475"/>
    </row>
    <row r="3349" spans="2:23" s="97" customFormat="1">
      <c r="B3349" s="96"/>
      <c r="H3349" s="96"/>
      <c r="J3349" s="1"/>
      <c r="K3349" s="1"/>
      <c r="L3349" s="1"/>
      <c r="O3349" s="475"/>
      <c r="P3349" s="475"/>
      <c r="Q3349" s="475"/>
      <c r="R3349" s="475"/>
      <c r="S3349" s="475"/>
      <c r="T3349" s="475"/>
      <c r="U3349" s="475"/>
      <c r="V3349" s="475"/>
      <c r="W3349" s="475"/>
    </row>
    <row r="3350" spans="2:23" s="97" customFormat="1">
      <c r="B3350" s="96"/>
      <c r="H3350" s="96"/>
      <c r="J3350" s="1"/>
      <c r="K3350" s="1"/>
      <c r="L3350" s="1"/>
      <c r="O3350" s="475"/>
      <c r="P3350" s="475"/>
      <c r="Q3350" s="475"/>
      <c r="R3350" s="475"/>
      <c r="S3350" s="475"/>
      <c r="T3350" s="475"/>
      <c r="U3350" s="475"/>
      <c r="V3350" s="475"/>
      <c r="W3350" s="475"/>
    </row>
    <row r="3351" spans="2:23" s="97" customFormat="1">
      <c r="B3351" s="96"/>
      <c r="H3351" s="96"/>
      <c r="J3351" s="1"/>
      <c r="K3351" s="1"/>
      <c r="L3351" s="1"/>
      <c r="O3351" s="475"/>
      <c r="P3351" s="475"/>
      <c r="Q3351" s="475"/>
      <c r="R3351" s="475"/>
      <c r="S3351" s="475"/>
      <c r="T3351" s="475"/>
      <c r="U3351" s="475"/>
      <c r="V3351" s="475"/>
      <c r="W3351" s="475"/>
    </row>
    <row r="3352" spans="2:23" s="97" customFormat="1">
      <c r="B3352" s="96"/>
      <c r="H3352" s="96"/>
      <c r="J3352" s="1"/>
      <c r="K3352" s="1"/>
      <c r="L3352" s="1"/>
      <c r="O3352" s="475"/>
      <c r="P3352" s="475"/>
      <c r="Q3352" s="475"/>
      <c r="R3352" s="475"/>
      <c r="S3352" s="475"/>
      <c r="T3352" s="475"/>
      <c r="U3352" s="475"/>
      <c r="V3352" s="475"/>
      <c r="W3352" s="475"/>
    </row>
    <row r="3353" spans="2:23" s="97" customFormat="1">
      <c r="B3353" s="96"/>
      <c r="H3353" s="96"/>
      <c r="J3353" s="1"/>
      <c r="K3353" s="1"/>
      <c r="L3353" s="1"/>
      <c r="O3353" s="475"/>
      <c r="P3353" s="475"/>
      <c r="Q3353" s="475"/>
      <c r="R3353" s="475"/>
      <c r="S3353" s="475"/>
      <c r="T3353" s="475"/>
      <c r="U3353" s="475"/>
      <c r="V3353" s="475"/>
      <c r="W3353" s="475"/>
    </row>
    <row r="3354" spans="2:23" s="97" customFormat="1">
      <c r="B3354" s="96"/>
      <c r="H3354" s="96"/>
      <c r="J3354" s="1"/>
      <c r="K3354" s="1"/>
      <c r="L3354" s="1"/>
      <c r="O3354" s="475"/>
      <c r="P3354" s="475"/>
      <c r="Q3354" s="475"/>
      <c r="R3354" s="475"/>
      <c r="S3354" s="475"/>
      <c r="T3354" s="475"/>
      <c r="U3354" s="475"/>
      <c r="V3354" s="475"/>
      <c r="W3354" s="475"/>
    </row>
    <row r="3355" spans="2:23" s="97" customFormat="1">
      <c r="B3355" s="96"/>
      <c r="H3355" s="96"/>
      <c r="J3355" s="1"/>
      <c r="K3355" s="1"/>
      <c r="L3355" s="1"/>
      <c r="O3355" s="475"/>
      <c r="P3355" s="475"/>
      <c r="Q3355" s="475"/>
      <c r="R3355" s="475"/>
      <c r="S3355" s="475"/>
      <c r="T3355" s="475"/>
      <c r="U3355" s="475"/>
      <c r="V3355" s="475"/>
      <c r="W3355" s="475"/>
    </row>
    <row r="3356" spans="2:23" s="97" customFormat="1">
      <c r="B3356" s="96"/>
      <c r="H3356" s="96"/>
      <c r="J3356" s="1"/>
      <c r="K3356" s="1"/>
      <c r="L3356" s="1"/>
      <c r="O3356" s="475"/>
      <c r="P3356" s="475"/>
      <c r="Q3356" s="475"/>
      <c r="R3356" s="475"/>
      <c r="S3356" s="475"/>
      <c r="T3356" s="475"/>
      <c r="U3356" s="475"/>
      <c r="V3356" s="475"/>
      <c r="W3356" s="475"/>
    </row>
    <row r="3357" spans="2:23" s="97" customFormat="1">
      <c r="B3357" s="96"/>
      <c r="H3357" s="96"/>
      <c r="J3357" s="1"/>
      <c r="K3357" s="1"/>
      <c r="L3357" s="1"/>
      <c r="O3357" s="475"/>
      <c r="P3357" s="475"/>
      <c r="Q3357" s="475"/>
      <c r="R3357" s="475"/>
      <c r="S3357" s="475"/>
      <c r="T3357" s="475"/>
      <c r="U3357" s="475"/>
      <c r="V3357" s="475"/>
      <c r="W3357" s="475"/>
    </row>
    <row r="3358" spans="2:23" s="97" customFormat="1">
      <c r="B3358" s="96"/>
      <c r="H3358" s="96"/>
      <c r="J3358" s="1"/>
      <c r="K3358" s="1"/>
      <c r="L3358" s="1"/>
      <c r="O3358" s="475"/>
      <c r="P3358" s="475"/>
      <c r="Q3358" s="475"/>
      <c r="R3358" s="475"/>
      <c r="S3358" s="475"/>
      <c r="T3358" s="475"/>
      <c r="U3358" s="475"/>
      <c r="V3358" s="475"/>
      <c r="W3358" s="475"/>
    </row>
    <row r="3359" spans="2:23" s="97" customFormat="1">
      <c r="B3359" s="96"/>
      <c r="H3359" s="96"/>
      <c r="J3359" s="1"/>
      <c r="K3359" s="1"/>
      <c r="L3359" s="1"/>
      <c r="O3359" s="475"/>
      <c r="P3359" s="475"/>
      <c r="Q3359" s="475"/>
      <c r="R3359" s="475"/>
      <c r="S3359" s="475"/>
      <c r="T3359" s="475"/>
      <c r="U3359" s="475"/>
      <c r="V3359" s="475"/>
      <c r="W3359" s="475"/>
    </row>
    <row r="3360" spans="2:23" s="97" customFormat="1">
      <c r="B3360" s="96"/>
      <c r="H3360" s="96"/>
      <c r="J3360" s="1"/>
      <c r="K3360" s="1"/>
      <c r="L3360" s="1"/>
      <c r="O3360" s="475"/>
      <c r="P3360" s="475"/>
      <c r="Q3360" s="475"/>
      <c r="R3360" s="475"/>
      <c r="S3360" s="475"/>
      <c r="T3360" s="475"/>
      <c r="U3360" s="475"/>
      <c r="V3360" s="475"/>
      <c r="W3360" s="475"/>
    </row>
    <row r="3361" spans="2:23" s="97" customFormat="1">
      <c r="B3361" s="96"/>
      <c r="H3361" s="96"/>
      <c r="J3361" s="1"/>
      <c r="K3361" s="1"/>
      <c r="L3361" s="1"/>
      <c r="O3361" s="475"/>
      <c r="P3361" s="475"/>
      <c r="Q3361" s="475"/>
      <c r="R3361" s="475"/>
      <c r="S3361" s="475"/>
      <c r="T3361" s="475"/>
      <c r="U3361" s="475"/>
      <c r="V3361" s="475"/>
      <c r="W3361" s="475"/>
    </row>
    <row r="3362" spans="2:23" s="97" customFormat="1">
      <c r="B3362" s="96"/>
      <c r="H3362" s="96"/>
      <c r="J3362" s="1"/>
      <c r="K3362" s="1"/>
      <c r="L3362" s="1"/>
      <c r="O3362" s="475"/>
      <c r="P3362" s="475"/>
      <c r="Q3362" s="475"/>
      <c r="R3362" s="475"/>
      <c r="S3362" s="475"/>
      <c r="T3362" s="475"/>
      <c r="U3362" s="475"/>
      <c r="V3362" s="475"/>
      <c r="W3362" s="475"/>
    </row>
    <row r="3363" spans="2:23" s="97" customFormat="1">
      <c r="B3363" s="96"/>
      <c r="H3363" s="96"/>
      <c r="J3363" s="1"/>
      <c r="K3363" s="1"/>
      <c r="L3363" s="1"/>
      <c r="O3363" s="475"/>
      <c r="P3363" s="475"/>
      <c r="Q3363" s="475"/>
      <c r="R3363" s="475"/>
      <c r="S3363" s="475"/>
      <c r="T3363" s="475"/>
      <c r="U3363" s="475"/>
      <c r="V3363" s="475"/>
      <c r="W3363" s="475"/>
    </row>
    <row r="3364" spans="2:23" s="97" customFormat="1">
      <c r="B3364" s="96"/>
      <c r="H3364" s="96"/>
      <c r="J3364" s="1"/>
      <c r="K3364" s="1"/>
      <c r="L3364" s="1"/>
      <c r="O3364" s="475"/>
      <c r="P3364" s="475"/>
      <c r="Q3364" s="475"/>
      <c r="R3364" s="475"/>
      <c r="S3364" s="475"/>
      <c r="T3364" s="475"/>
      <c r="U3364" s="475"/>
      <c r="V3364" s="475"/>
      <c r="W3364" s="475"/>
    </row>
    <row r="3365" spans="2:23" s="97" customFormat="1">
      <c r="B3365" s="96"/>
      <c r="H3365" s="96"/>
      <c r="J3365" s="1"/>
      <c r="K3365" s="1"/>
      <c r="L3365" s="1"/>
      <c r="O3365" s="475"/>
      <c r="P3365" s="475"/>
      <c r="Q3365" s="475"/>
      <c r="R3365" s="475"/>
      <c r="S3365" s="475"/>
      <c r="T3365" s="475"/>
      <c r="U3365" s="475"/>
      <c r="V3365" s="475"/>
      <c r="W3365" s="475"/>
    </row>
    <row r="3366" spans="2:23" s="97" customFormat="1">
      <c r="B3366" s="96"/>
      <c r="H3366" s="96"/>
      <c r="J3366" s="1"/>
      <c r="K3366" s="1"/>
      <c r="L3366" s="1"/>
      <c r="O3366" s="475"/>
      <c r="P3366" s="475"/>
      <c r="Q3366" s="475"/>
      <c r="R3366" s="475"/>
      <c r="S3366" s="475"/>
      <c r="T3366" s="475"/>
      <c r="U3366" s="475"/>
      <c r="V3366" s="475"/>
      <c r="W3366" s="475"/>
    </row>
    <row r="3367" spans="2:23" s="97" customFormat="1">
      <c r="B3367" s="96"/>
      <c r="H3367" s="96"/>
      <c r="J3367" s="1"/>
      <c r="K3367" s="1"/>
      <c r="L3367" s="1"/>
      <c r="O3367" s="475"/>
      <c r="P3367" s="475"/>
      <c r="Q3367" s="475"/>
      <c r="R3367" s="475"/>
      <c r="S3367" s="475"/>
      <c r="T3367" s="475"/>
      <c r="U3367" s="475"/>
      <c r="V3367" s="475"/>
      <c r="W3367" s="475"/>
    </row>
    <row r="3368" spans="2:23" s="97" customFormat="1">
      <c r="B3368" s="96"/>
      <c r="H3368" s="96"/>
      <c r="J3368" s="1"/>
      <c r="K3368" s="1"/>
      <c r="L3368" s="1"/>
      <c r="O3368" s="475"/>
      <c r="P3368" s="475"/>
      <c r="Q3368" s="475"/>
      <c r="R3368" s="475"/>
      <c r="S3368" s="475"/>
      <c r="T3368" s="475"/>
      <c r="U3368" s="475"/>
      <c r="V3368" s="475"/>
      <c r="W3368" s="475"/>
    </row>
    <row r="3369" spans="2:23" s="97" customFormat="1">
      <c r="B3369" s="96"/>
      <c r="H3369" s="96"/>
      <c r="J3369" s="1"/>
      <c r="K3369" s="1"/>
      <c r="L3369" s="1"/>
      <c r="O3369" s="475"/>
      <c r="P3369" s="475"/>
      <c r="Q3369" s="475"/>
      <c r="R3369" s="475"/>
      <c r="S3369" s="475"/>
      <c r="T3369" s="475"/>
      <c r="U3369" s="475"/>
      <c r="V3369" s="475"/>
      <c r="W3369" s="475"/>
    </row>
    <row r="3370" spans="2:23" s="97" customFormat="1">
      <c r="B3370" s="96"/>
      <c r="H3370" s="96"/>
      <c r="J3370" s="1"/>
      <c r="K3370" s="1"/>
      <c r="L3370" s="1"/>
      <c r="O3370" s="475"/>
      <c r="P3370" s="475"/>
      <c r="Q3370" s="475"/>
      <c r="R3370" s="475"/>
      <c r="S3370" s="475"/>
      <c r="T3370" s="475"/>
      <c r="U3370" s="475"/>
      <c r="V3370" s="475"/>
      <c r="W3370" s="475"/>
    </row>
    <row r="3371" spans="2:23" s="97" customFormat="1">
      <c r="B3371" s="96"/>
      <c r="H3371" s="96"/>
      <c r="J3371" s="1"/>
      <c r="K3371" s="1"/>
      <c r="L3371" s="1"/>
      <c r="O3371" s="475"/>
      <c r="P3371" s="475"/>
      <c r="Q3371" s="475"/>
      <c r="R3371" s="475"/>
      <c r="S3371" s="475"/>
      <c r="T3371" s="475"/>
      <c r="U3371" s="475"/>
      <c r="V3371" s="475"/>
      <c r="W3371" s="475"/>
    </row>
    <row r="3372" spans="2:23" s="97" customFormat="1">
      <c r="B3372" s="96"/>
      <c r="H3372" s="96"/>
      <c r="J3372" s="1"/>
      <c r="K3372" s="1"/>
      <c r="L3372" s="1"/>
      <c r="O3372" s="475"/>
      <c r="P3372" s="475"/>
      <c r="Q3372" s="475"/>
      <c r="R3372" s="475"/>
      <c r="S3372" s="475"/>
      <c r="T3372" s="475"/>
      <c r="U3372" s="475"/>
      <c r="V3372" s="475"/>
      <c r="W3372" s="475"/>
    </row>
    <row r="3373" spans="2:23" s="97" customFormat="1">
      <c r="B3373" s="96"/>
      <c r="H3373" s="96"/>
      <c r="J3373" s="1"/>
      <c r="K3373" s="1"/>
      <c r="L3373" s="1"/>
      <c r="O3373" s="475"/>
      <c r="P3373" s="475"/>
      <c r="Q3373" s="475"/>
      <c r="R3373" s="475"/>
      <c r="S3373" s="475"/>
      <c r="T3373" s="475"/>
      <c r="U3373" s="475"/>
      <c r="V3373" s="475"/>
      <c r="W3373" s="475"/>
    </row>
    <row r="3374" spans="2:23" s="97" customFormat="1">
      <c r="B3374" s="96"/>
      <c r="H3374" s="96"/>
      <c r="J3374" s="1"/>
      <c r="K3374" s="1"/>
      <c r="L3374" s="1"/>
      <c r="O3374" s="475"/>
      <c r="P3374" s="475"/>
      <c r="Q3374" s="475"/>
      <c r="R3374" s="475"/>
      <c r="S3374" s="475"/>
      <c r="T3374" s="475"/>
      <c r="U3374" s="475"/>
      <c r="V3374" s="475"/>
      <c r="W3374" s="475"/>
    </row>
    <row r="3375" spans="2:23" s="97" customFormat="1">
      <c r="B3375" s="96"/>
      <c r="H3375" s="96"/>
      <c r="J3375" s="1"/>
      <c r="K3375" s="1"/>
      <c r="L3375" s="1"/>
      <c r="O3375" s="475"/>
      <c r="P3375" s="475"/>
      <c r="Q3375" s="475"/>
      <c r="R3375" s="475"/>
      <c r="S3375" s="475"/>
      <c r="T3375" s="475"/>
      <c r="U3375" s="475"/>
      <c r="V3375" s="475"/>
      <c r="W3375" s="475"/>
    </row>
    <row r="3376" spans="2:23" s="97" customFormat="1">
      <c r="B3376" s="96"/>
      <c r="H3376" s="96"/>
      <c r="J3376" s="1"/>
      <c r="K3376" s="1"/>
      <c r="L3376" s="1"/>
      <c r="O3376" s="475"/>
      <c r="P3376" s="475"/>
      <c r="Q3376" s="475"/>
      <c r="R3376" s="475"/>
      <c r="S3376" s="475"/>
      <c r="T3376" s="475"/>
      <c r="U3376" s="475"/>
      <c r="V3376" s="475"/>
      <c r="W3376" s="475"/>
    </row>
    <row r="3377" spans="2:23" s="97" customFormat="1">
      <c r="B3377" s="96"/>
      <c r="H3377" s="96"/>
      <c r="J3377" s="1"/>
      <c r="K3377" s="1"/>
      <c r="L3377" s="1"/>
      <c r="O3377" s="475"/>
      <c r="P3377" s="475"/>
      <c r="Q3377" s="475"/>
      <c r="R3377" s="475"/>
      <c r="S3377" s="475"/>
      <c r="T3377" s="475"/>
      <c r="U3377" s="475"/>
      <c r="V3377" s="475"/>
      <c r="W3377" s="475"/>
    </row>
    <row r="3378" spans="2:23" s="97" customFormat="1">
      <c r="B3378" s="96"/>
      <c r="H3378" s="96"/>
      <c r="J3378" s="1"/>
      <c r="K3378" s="1"/>
      <c r="L3378" s="1"/>
      <c r="O3378" s="475"/>
      <c r="P3378" s="475"/>
      <c r="Q3378" s="475"/>
      <c r="R3378" s="475"/>
      <c r="S3378" s="475"/>
      <c r="T3378" s="475"/>
      <c r="U3378" s="475"/>
      <c r="V3378" s="475"/>
      <c r="W3378" s="475"/>
    </row>
    <row r="3379" spans="2:23" s="97" customFormat="1">
      <c r="B3379" s="96"/>
      <c r="H3379" s="96"/>
      <c r="J3379" s="1"/>
      <c r="K3379" s="1"/>
      <c r="L3379" s="1"/>
      <c r="O3379" s="475"/>
      <c r="P3379" s="475"/>
      <c r="Q3379" s="475"/>
      <c r="R3379" s="475"/>
      <c r="S3379" s="475"/>
      <c r="T3379" s="475"/>
      <c r="U3379" s="475"/>
      <c r="V3379" s="475"/>
      <c r="W3379" s="475"/>
    </row>
    <row r="3380" spans="2:23" s="97" customFormat="1">
      <c r="B3380" s="96"/>
      <c r="H3380" s="96"/>
      <c r="J3380" s="1"/>
      <c r="K3380" s="1"/>
      <c r="L3380" s="1"/>
      <c r="O3380" s="475"/>
      <c r="P3380" s="475"/>
      <c r="Q3380" s="475"/>
      <c r="R3380" s="475"/>
      <c r="S3380" s="475"/>
      <c r="T3380" s="475"/>
      <c r="U3380" s="475"/>
      <c r="V3380" s="475"/>
      <c r="W3380" s="475"/>
    </row>
    <row r="3381" spans="2:23" s="97" customFormat="1">
      <c r="B3381" s="96"/>
      <c r="H3381" s="96"/>
      <c r="J3381" s="1"/>
      <c r="K3381" s="1"/>
      <c r="L3381" s="1"/>
      <c r="O3381" s="475"/>
      <c r="P3381" s="475"/>
      <c r="Q3381" s="475"/>
      <c r="R3381" s="475"/>
      <c r="S3381" s="475"/>
      <c r="T3381" s="475"/>
      <c r="U3381" s="475"/>
      <c r="V3381" s="475"/>
      <c r="W3381" s="475"/>
    </row>
    <row r="3382" spans="2:23" s="97" customFormat="1">
      <c r="B3382" s="96"/>
      <c r="H3382" s="96"/>
      <c r="J3382" s="1"/>
      <c r="K3382" s="1"/>
      <c r="L3382" s="1"/>
      <c r="O3382" s="475"/>
      <c r="P3382" s="475"/>
      <c r="Q3382" s="475"/>
      <c r="R3382" s="475"/>
      <c r="S3382" s="475"/>
      <c r="T3382" s="475"/>
      <c r="U3382" s="475"/>
      <c r="V3382" s="475"/>
      <c r="W3382" s="475"/>
    </row>
    <row r="3383" spans="2:23" s="97" customFormat="1">
      <c r="B3383" s="96"/>
      <c r="H3383" s="96"/>
      <c r="J3383" s="1"/>
      <c r="K3383" s="1"/>
      <c r="L3383" s="1"/>
      <c r="O3383" s="475"/>
      <c r="P3383" s="475"/>
      <c r="Q3383" s="475"/>
      <c r="R3383" s="475"/>
      <c r="S3383" s="475"/>
      <c r="T3383" s="475"/>
      <c r="U3383" s="475"/>
      <c r="V3383" s="475"/>
      <c r="W3383" s="475"/>
    </row>
    <row r="3384" spans="2:23" s="97" customFormat="1">
      <c r="B3384" s="96"/>
      <c r="H3384" s="96"/>
      <c r="J3384" s="1"/>
      <c r="K3384" s="1"/>
      <c r="L3384" s="1"/>
      <c r="O3384" s="475"/>
      <c r="P3384" s="475"/>
      <c r="Q3384" s="475"/>
      <c r="R3384" s="475"/>
      <c r="S3384" s="475"/>
      <c r="T3384" s="475"/>
      <c r="U3384" s="475"/>
      <c r="V3384" s="475"/>
      <c r="W3384" s="475"/>
    </row>
    <row r="3385" spans="2:23" s="97" customFormat="1">
      <c r="B3385" s="96"/>
      <c r="H3385" s="96"/>
      <c r="J3385" s="1"/>
      <c r="K3385" s="1"/>
      <c r="L3385" s="1"/>
      <c r="O3385" s="475"/>
      <c r="P3385" s="475"/>
      <c r="Q3385" s="475"/>
      <c r="R3385" s="475"/>
      <c r="S3385" s="475"/>
      <c r="T3385" s="475"/>
      <c r="U3385" s="475"/>
      <c r="V3385" s="475"/>
      <c r="W3385" s="475"/>
    </row>
    <row r="3386" spans="2:23" s="97" customFormat="1">
      <c r="B3386" s="96"/>
      <c r="H3386" s="96"/>
      <c r="J3386" s="1"/>
      <c r="K3386" s="1"/>
      <c r="L3386" s="1"/>
      <c r="O3386" s="475"/>
      <c r="P3386" s="475"/>
      <c r="Q3386" s="475"/>
      <c r="R3386" s="475"/>
      <c r="S3386" s="475"/>
      <c r="T3386" s="475"/>
      <c r="U3386" s="475"/>
      <c r="V3386" s="475"/>
      <c r="W3386" s="475"/>
    </row>
    <row r="3387" spans="2:23" s="97" customFormat="1">
      <c r="B3387" s="96"/>
      <c r="H3387" s="96"/>
      <c r="J3387" s="1"/>
      <c r="K3387" s="1"/>
      <c r="L3387" s="1"/>
      <c r="O3387" s="475"/>
      <c r="P3387" s="475"/>
      <c r="Q3387" s="475"/>
      <c r="R3387" s="475"/>
      <c r="S3387" s="475"/>
      <c r="T3387" s="475"/>
      <c r="U3387" s="475"/>
      <c r="V3387" s="475"/>
      <c r="W3387" s="475"/>
    </row>
    <row r="3388" spans="2:23" s="97" customFormat="1">
      <c r="B3388" s="96"/>
      <c r="H3388" s="96"/>
      <c r="J3388" s="1"/>
      <c r="K3388" s="1"/>
      <c r="L3388" s="1"/>
      <c r="O3388" s="475"/>
      <c r="P3388" s="475"/>
      <c r="Q3388" s="475"/>
      <c r="R3388" s="475"/>
      <c r="S3388" s="475"/>
      <c r="T3388" s="475"/>
      <c r="U3388" s="475"/>
      <c r="V3388" s="475"/>
      <c r="W3388" s="475"/>
    </row>
    <row r="3389" spans="2:23" s="97" customFormat="1">
      <c r="B3389" s="96"/>
      <c r="H3389" s="96"/>
      <c r="J3389" s="1"/>
      <c r="K3389" s="1"/>
      <c r="L3389" s="1"/>
      <c r="O3389" s="475"/>
      <c r="P3389" s="475"/>
      <c r="Q3389" s="475"/>
      <c r="R3389" s="475"/>
      <c r="S3389" s="475"/>
      <c r="T3389" s="475"/>
      <c r="U3389" s="475"/>
      <c r="V3389" s="475"/>
      <c r="W3389" s="475"/>
    </row>
    <row r="3390" spans="2:23" s="97" customFormat="1">
      <c r="B3390" s="96"/>
      <c r="H3390" s="96"/>
      <c r="J3390" s="1"/>
      <c r="K3390" s="1"/>
      <c r="L3390" s="1"/>
      <c r="O3390" s="475"/>
      <c r="P3390" s="475"/>
      <c r="Q3390" s="475"/>
      <c r="R3390" s="475"/>
      <c r="S3390" s="475"/>
      <c r="T3390" s="475"/>
      <c r="U3390" s="475"/>
      <c r="V3390" s="475"/>
      <c r="W3390" s="475"/>
    </row>
    <row r="3391" spans="2:23" s="97" customFormat="1">
      <c r="B3391" s="96"/>
      <c r="H3391" s="96"/>
      <c r="J3391" s="1"/>
      <c r="K3391" s="1"/>
      <c r="L3391" s="1"/>
      <c r="O3391" s="475"/>
      <c r="P3391" s="475"/>
      <c r="Q3391" s="475"/>
      <c r="R3391" s="475"/>
      <c r="S3391" s="475"/>
      <c r="T3391" s="475"/>
      <c r="U3391" s="475"/>
      <c r="V3391" s="475"/>
      <c r="W3391" s="475"/>
    </row>
    <row r="3392" spans="2:23" s="97" customFormat="1">
      <c r="B3392" s="96"/>
      <c r="H3392" s="96"/>
      <c r="J3392" s="1"/>
      <c r="K3392" s="1"/>
      <c r="L3392" s="1"/>
      <c r="O3392" s="475"/>
      <c r="P3392" s="475"/>
      <c r="Q3392" s="475"/>
      <c r="R3392" s="475"/>
      <c r="S3392" s="475"/>
      <c r="T3392" s="475"/>
      <c r="U3392" s="475"/>
      <c r="V3392" s="475"/>
      <c r="W3392" s="475"/>
    </row>
    <row r="3393" spans="2:23" s="97" customFormat="1">
      <c r="B3393" s="96"/>
      <c r="H3393" s="96"/>
      <c r="J3393" s="1"/>
      <c r="K3393" s="1"/>
      <c r="L3393" s="1"/>
      <c r="O3393" s="475"/>
      <c r="P3393" s="475"/>
      <c r="Q3393" s="475"/>
      <c r="R3393" s="475"/>
      <c r="S3393" s="475"/>
      <c r="T3393" s="475"/>
      <c r="U3393" s="475"/>
      <c r="V3393" s="475"/>
      <c r="W3393" s="475"/>
    </row>
    <row r="3394" spans="2:23" s="97" customFormat="1">
      <c r="B3394" s="96"/>
      <c r="H3394" s="96"/>
      <c r="J3394" s="1"/>
      <c r="K3394" s="1"/>
      <c r="L3394" s="1"/>
      <c r="O3394" s="475"/>
      <c r="P3394" s="475"/>
      <c r="Q3394" s="475"/>
      <c r="R3394" s="475"/>
      <c r="S3394" s="475"/>
      <c r="T3394" s="475"/>
      <c r="U3394" s="475"/>
      <c r="V3394" s="475"/>
      <c r="W3394" s="475"/>
    </row>
    <row r="3395" spans="2:23" s="97" customFormat="1">
      <c r="B3395" s="96"/>
      <c r="H3395" s="96"/>
      <c r="J3395" s="1"/>
      <c r="K3395" s="1"/>
      <c r="L3395" s="1"/>
      <c r="O3395" s="475"/>
      <c r="P3395" s="475"/>
      <c r="Q3395" s="475"/>
      <c r="R3395" s="475"/>
      <c r="S3395" s="475"/>
      <c r="T3395" s="475"/>
      <c r="U3395" s="475"/>
      <c r="V3395" s="475"/>
      <c r="W3395" s="475"/>
    </row>
    <row r="3396" spans="2:23" s="97" customFormat="1">
      <c r="B3396" s="96"/>
      <c r="H3396" s="96"/>
      <c r="J3396" s="1"/>
      <c r="K3396" s="1"/>
      <c r="L3396" s="1"/>
      <c r="O3396" s="475"/>
      <c r="P3396" s="475"/>
      <c r="Q3396" s="475"/>
      <c r="R3396" s="475"/>
      <c r="S3396" s="475"/>
      <c r="T3396" s="475"/>
      <c r="U3396" s="475"/>
      <c r="V3396" s="475"/>
      <c r="W3396" s="475"/>
    </row>
    <row r="3397" spans="2:23" s="97" customFormat="1">
      <c r="B3397" s="96"/>
      <c r="H3397" s="96"/>
      <c r="J3397" s="1"/>
      <c r="K3397" s="1"/>
      <c r="L3397" s="1"/>
      <c r="O3397" s="475"/>
      <c r="P3397" s="475"/>
      <c r="Q3397" s="475"/>
      <c r="R3397" s="475"/>
      <c r="S3397" s="475"/>
      <c r="T3397" s="475"/>
      <c r="U3397" s="475"/>
      <c r="V3397" s="475"/>
      <c r="W3397" s="475"/>
    </row>
    <row r="3398" spans="2:23" s="97" customFormat="1">
      <c r="B3398" s="96"/>
      <c r="H3398" s="96"/>
      <c r="J3398" s="1"/>
      <c r="K3398" s="1"/>
      <c r="L3398" s="1"/>
      <c r="O3398" s="475"/>
      <c r="P3398" s="475"/>
      <c r="Q3398" s="475"/>
      <c r="R3398" s="475"/>
      <c r="S3398" s="475"/>
      <c r="T3398" s="475"/>
      <c r="U3398" s="475"/>
      <c r="V3398" s="475"/>
      <c r="W3398" s="475"/>
    </row>
    <row r="3399" spans="2:23" s="97" customFormat="1">
      <c r="B3399" s="96"/>
      <c r="H3399" s="96"/>
      <c r="J3399" s="1"/>
      <c r="K3399" s="1"/>
      <c r="L3399" s="1"/>
      <c r="O3399" s="475"/>
      <c r="P3399" s="475"/>
      <c r="Q3399" s="475"/>
      <c r="R3399" s="475"/>
      <c r="S3399" s="475"/>
      <c r="T3399" s="475"/>
      <c r="U3399" s="475"/>
      <c r="V3399" s="475"/>
      <c r="W3399" s="475"/>
    </row>
    <row r="3400" spans="2:23" s="97" customFormat="1">
      <c r="B3400" s="96"/>
      <c r="H3400" s="96"/>
      <c r="J3400" s="1"/>
      <c r="K3400" s="1"/>
      <c r="L3400" s="1"/>
      <c r="O3400" s="475"/>
      <c r="P3400" s="475"/>
      <c r="Q3400" s="475"/>
      <c r="R3400" s="475"/>
      <c r="S3400" s="475"/>
      <c r="T3400" s="475"/>
      <c r="U3400" s="475"/>
      <c r="V3400" s="475"/>
      <c r="W3400" s="475"/>
    </row>
    <row r="3401" spans="2:23" s="97" customFormat="1">
      <c r="B3401" s="96"/>
      <c r="H3401" s="96"/>
      <c r="J3401" s="1"/>
      <c r="K3401" s="1"/>
      <c r="L3401" s="1"/>
      <c r="O3401" s="475"/>
      <c r="P3401" s="475"/>
      <c r="Q3401" s="475"/>
      <c r="R3401" s="475"/>
      <c r="S3401" s="475"/>
      <c r="T3401" s="475"/>
      <c r="U3401" s="475"/>
      <c r="V3401" s="475"/>
      <c r="W3401" s="475"/>
    </row>
    <row r="3402" spans="2:23" s="97" customFormat="1">
      <c r="B3402" s="96"/>
      <c r="H3402" s="96"/>
      <c r="J3402" s="1"/>
      <c r="K3402" s="1"/>
      <c r="L3402" s="1"/>
      <c r="O3402" s="475"/>
      <c r="P3402" s="475"/>
      <c r="Q3402" s="475"/>
      <c r="R3402" s="475"/>
      <c r="S3402" s="475"/>
      <c r="T3402" s="475"/>
      <c r="U3402" s="475"/>
      <c r="V3402" s="475"/>
      <c r="W3402" s="475"/>
    </row>
    <row r="3403" spans="2:23" s="97" customFormat="1">
      <c r="B3403" s="96"/>
      <c r="H3403" s="96"/>
      <c r="J3403" s="1"/>
      <c r="K3403" s="1"/>
      <c r="L3403" s="1"/>
      <c r="O3403" s="475"/>
      <c r="P3403" s="475"/>
      <c r="Q3403" s="475"/>
      <c r="R3403" s="475"/>
      <c r="S3403" s="475"/>
      <c r="T3403" s="475"/>
      <c r="U3403" s="475"/>
      <c r="V3403" s="475"/>
      <c r="W3403" s="475"/>
    </row>
    <row r="3404" spans="2:23" s="97" customFormat="1">
      <c r="B3404" s="96"/>
      <c r="H3404" s="96"/>
      <c r="J3404" s="1"/>
      <c r="K3404" s="1"/>
      <c r="L3404" s="1"/>
      <c r="O3404" s="475"/>
      <c r="P3404" s="475"/>
      <c r="Q3404" s="475"/>
      <c r="R3404" s="475"/>
      <c r="S3404" s="475"/>
      <c r="T3404" s="475"/>
      <c r="U3404" s="475"/>
      <c r="V3404" s="475"/>
      <c r="W3404" s="475"/>
    </row>
    <row r="3405" spans="2:23" s="97" customFormat="1">
      <c r="B3405" s="96"/>
      <c r="H3405" s="96"/>
      <c r="J3405" s="1"/>
      <c r="K3405" s="1"/>
      <c r="L3405" s="1"/>
      <c r="O3405" s="475"/>
      <c r="P3405" s="475"/>
      <c r="Q3405" s="475"/>
      <c r="R3405" s="475"/>
      <c r="S3405" s="475"/>
      <c r="T3405" s="475"/>
      <c r="U3405" s="475"/>
      <c r="V3405" s="475"/>
      <c r="W3405" s="475"/>
    </row>
    <row r="3406" spans="2:23" s="97" customFormat="1">
      <c r="B3406" s="96"/>
      <c r="H3406" s="96"/>
      <c r="J3406" s="1"/>
      <c r="K3406" s="1"/>
      <c r="L3406" s="1"/>
      <c r="O3406" s="475"/>
      <c r="P3406" s="475"/>
      <c r="Q3406" s="475"/>
      <c r="R3406" s="475"/>
      <c r="S3406" s="475"/>
      <c r="T3406" s="475"/>
      <c r="U3406" s="475"/>
      <c r="V3406" s="475"/>
      <c r="W3406" s="475"/>
    </row>
    <row r="3407" spans="2:23" s="97" customFormat="1">
      <c r="B3407" s="96"/>
      <c r="H3407" s="96"/>
      <c r="J3407" s="1"/>
      <c r="K3407" s="1"/>
      <c r="L3407" s="1"/>
      <c r="O3407" s="475"/>
      <c r="P3407" s="475"/>
      <c r="Q3407" s="475"/>
      <c r="R3407" s="475"/>
      <c r="S3407" s="475"/>
      <c r="T3407" s="475"/>
      <c r="U3407" s="475"/>
      <c r="V3407" s="475"/>
      <c r="W3407" s="475"/>
    </row>
    <row r="3408" spans="2:23" s="97" customFormat="1">
      <c r="B3408" s="96"/>
      <c r="H3408" s="96"/>
      <c r="J3408" s="1"/>
      <c r="K3408" s="1"/>
      <c r="L3408" s="1"/>
      <c r="O3408" s="475"/>
      <c r="P3408" s="475"/>
      <c r="Q3408" s="475"/>
      <c r="R3408" s="475"/>
      <c r="S3408" s="475"/>
      <c r="T3408" s="475"/>
      <c r="U3408" s="475"/>
      <c r="V3408" s="475"/>
      <c r="W3408" s="475"/>
    </row>
    <row r="3409" spans="2:23" s="97" customFormat="1">
      <c r="B3409" s="96"/>
      <c r="H3409" s="96"/>
      <c r="J3409" s="1"/>
      <c r="K3409" s="1"/>
      <c r="L3409" s="1"/>
      <c r="O3409" s="475"/>
      <c r="P3409" s="475"/>
      <c r="Q3409" s="475"/>
      <c r="R3409" s="475"/>
      <c r="S3409" s="475"/>
      <c r="T3409" s="475"/>
      <c r="U3409" s="475"/>
      <c r="V3409" s="475"/>
      <c r="W3409" s="475"/>
    </row>
    <row r="3410" spans="2:23" s="97" customFormat="1">
      <c r="B3410" s="96"/>
      <c r="H3410" s="96"/>
      <c r="J3410" s="1"/>
      <c r="K3410" s="1"/>
      <c r="L3410" s="1"/>
      <c r="O3410" s="475"/>
      <c r="P3410" s="475"/>
      <c r="Q3410" s="475"/>
      <c r="R3410" s="475"/>
      <c r="S3410" s="475"/>
      <c r="T3410" s="475"/>
      <c r="U3410" s="475"/>
      <c r="V3410" s="475"/>
      <c r="W3410" s="475"/>
    </row>
    <row r="3411" spans="2:23" s="97" customFormat="1">
      <c r="B3411" s="96"/>
      <c r="H3411" s="96"/>
      <c r="J3411" s="1"/>
      <c r="K3411" s="1"/>
      <c r="L3411" s="1"/>
      <c r="O3411" s="475"/>
      <c r="P3411" s="475"/>
      <c r="Q3411" s="475"/>
      <c r="R3411" s="475"/>
      <c r="S3411" s="475"/>
      <c r="T3411" s="475"/>
      <c r="U3411" s="475"/>
      <c r="V3411" s="475"/>
      <c r="W3411" s="475"/>
    </row>
    <row r="3412" spans="2:23" s="97" customFormat="1">
      <c r="B3412" s="96"/>
      <c r="H3412" s="96"/>
      <c r="J3412" s="1"/>
      <c r="K3412" s="1"/>
      <c r="L3412" s="1"/>
      <c r="O3412" s="475"/>
      <c r="P3412" s="475"/>
      <c r="Q3412" s="475"/>
      <c r="R3412" s="475"/>
      <c r="S3412" s="475"/>
      <c r="T3412" s="475"/>
      <c r="U3412" s="475"/>
      <c r="V3412" s="475"/>
      <c r="W3412" s="475"/>
    </row>
    <row r="3413" spans="2:23" s="97" customFormat="1">
      <c r="B3413" s="96"/>
      <c r="H3413" s="96"/>
      <c r="J3413" s="1"/>
      <c r="K3413" s="1"/>
      <c r="L3413" s="1"/>
      <c r="O3413" s="475"/>
      <c r="P3413" s="475"/>
      <c r="Q3413" s="475"/>
      <c r="R3413" s="475"/>
      <c r="S3413" s="475"/>
      <c r="T3413" s="475"/>
      <c r="U3413" s="475"/>
      <c r="V3413" s="475"/>
      <c r="W3413" s="475"/>
    </row>
    <row r="3414" spans="2:23" s="97" customFormat="1">
      <c r="B3414" s="96"/>
      <c r="H3414" s="96"/>
      <c r="J3414" s="1"/>
      <c r="K3414" s="1"/>
      <c r="L3414" s="1"/>
      <c r="O3414" s="475"/>
      <c r="P3414" s="475"/>
      <c r="Q3414" s="475"/>
      <c r="R3414" s="475"/>
      <c r="S3414" s="475"/>
      <c r="T3414" s="475"/>
      <c r="U3414" s="475"/>
      <c r="V3414" s="475"/>
      <c r="W3414" s="475"/>
    </row>
    <row r="3415" spans="2:23" s="97" customFormat="1">
      <c r="B3415" s="96"/>
      <c r="H3415" s="96"/>
      <c r="J3415" s="1"/>
      <c r="K3415" s="1"/>
      <c r="L3415" s="1"/>
      <c r="O3415" s="475"/>
      <c r="P3415" s="475"/>
      <c r="Q3415" s="475"/>
      <c r="R3415" s="475"/>
      <c r="S3415" s="475"/>
      <c r="T3415" s="475"/>
      <c r="U3415" s="475"/>
      <c r="V3415" s="475"/>
      <c r="W3415" s="475"/>
    </row>
    <row r="3416" spans="2:23" s="97" customFormat="1">
      <c r="B3416" s="96"/>
      <c r="H3416" s="96"/>
      <c r="J3416" s="1"/>
      <c r="K3416" s="1"/>
      <c r="L3416" s="1"/>
      <c r="O3416" s="475"/>
      <c r="P3416" s="475"/>
      <c r="Q3416" s="475"/>
      <c r="R3416" s="475"/>
      <c r="S3416" s="475"/>
      <c r="T3416" s="475"/>
      <c r="U3416" s="475"/>
      <c r="V3416" s="475"/>
      <c r="W3416" s="475"/>
    </row>
    <row r="3417" spans="2:23" s="97" customFormat="1">
      <c r="B3417" s="96"/>
      <c r="H3417" s="96"/>
      <c r="J3417" s="1"/>
      <c r="K3417" s="1"/>
      <c r="L3417" s="1"/>
      <c r="O3417" s="475"/>
      <c r="P3417" s="475"/>
      <c r="Q3417" s="475"/>
      <c r="R3417" s="475"/>
      <c r="S3417" s="475"/>
      <c r="T3417" s="475"/>
      <c r="U3417" s="475"/>
      <c r="V3417" s="475"/>
      <c r="W3417" s="475"/>
    </row>
    <row r="3418" spans="2:23" s="97" customFormat="1">
      <c r="B3418" s="96"/>
      <c r="H3418" s="96"/>
      <c r="J3418" s="1"/>
      <c r="K3418" s="1"/>
      <c r="L3418" s="1"/>
      <c r="O3418" s="475"/>
      <c r="P3418" s="475"/>
      <c r="Q3418" s="475"/>
      <c r="R3418" s="475"/>
      <c r="S3418" s="475"/>
      <c r="T3418" s="475"/>
      <c r="U3418" s="475"/>
      <c r="V3418" s="475"/>
      <c r="W3418" s="475"/>
    </row>
    <row r="3419" spans="2:23" s="97" customFormat="1">
      <c r="B3419" s="96"/>
      <c r="H3419" s="96"/>
      <c r="J3419" s="1"/>
      <c r="K3419" s="1"/>
      <c r="L3419" s="1"/>
      <c r="O3419" s="475"/>
      <c r="P3419" s="475"/>
      <c r="Q3419" s="475"/>
      <c r="R3419" s="475"/>
      <c r="S3419" s="475"/>
      <c r="T3419" s="475"/>
      <c r="U3419" s="475"/>
      <c r="V3419" s="475"/>
      <c r="W3419" s="475"/>
    </row>
    <row r="3420" spans="2:23" s="97" customFormat="1">
      <c r="B3420" s="96"/>
      <c r="H3420" s="96"/>
      <c r="J3420" s="1"/>
      <c r="K3420" s="1"/>
      <c r="L3420" s="1"/>
      <c r="O3420" s="475"/>
      <c r="P3420" s="475"/>
      <c r="Q3420" s="475"/>
      <c r="R3420" s="475"/>
      <c r="S3420" s="475"/>
      <c r="T3420" s="475"/>
      <c r="U3420" s="475"/>
      <c r="V3420" s="475"/>
      <c r="W3420" s="475"/>
    </row>
    <row r="3421" spans="2:23" s="97" customFormat="1">
      <c r="B3421" s="96"/>
      <c r="H3421" s="96"/>
      <c r="J3421" s="1"/>
      <c r="K3421" s="1"/>
      <c r="L3421" s="1"/>
      <c r="O3421" s="475"/>
      <c r="P3421" s="475"/>
      <c r="Q3421" s="475"/>
      <c r="R3421" s="475"/>
      <c r="S3421" s="475"/>
      <c r="T3421" s="475"/>
      <c r="U3421" s="475"/>
      <c r="V3421" s="475"/>
      <c r="W3421" s="475"/>
    </row>
    <row r="3422" spans="2:23" s="97" customFormat="1">
      <c r="B3422" s="96"/>
      <c r="H3422" s="96"/>
      <c r="J3422" s="1"/>
      <c r="K3422" s="1"/>
      <c r="L3422" s="1"/>
      <c r="O3422" s="475"/>
      <c r="P3422" s="475"/>
      <c r="Q3422" s="475"/>
      <c r="R3422" s="475"/>
      <c r="S3422" s="475"/>
      <c r="T3422" s="475"/>
      <c r="U3422" s="475"/>
      <c r="V3422" s="475"/>
      <c r="W3422" s="475"/>
    </row>
    <row r="3423" spans="2:23" s="97" customFormat="1">
      <c r="B3423" s="96"/>
      <c r="H3423" s="96"/>
      <c r="J3423" s="1"/>
      <c r="K3423" s="1"/>
      <c r="L3423" s="1"/>
      <c r="O3423" s="475"/>
      <c r="P3423" s="475"/>
      <c r="Q3423" s="475"/>
      <c r="R3423" s="475"/>
      <c r="S3423" s="475"/>
      <c r="T3423" s="475"/>
      <c r="U3423" s="475"/>
      <c r="V3423" s="475"/>
      <c r="W3423" s="475"/>
    </row>
    <row r="3424" spans="2:23" s="97" customFormat="1">
      <c r="B3424" s="96"/>
      <c r="H3424" s="96"/>
      <c r="J3424" s="1"/>
      <c r="K3424" s="1"/>
      <c r="L3424" s="1"/>
      <c r="O3424" s="475"/>
      <c r="P3424" s="475"/>
      <c r="Q3424" s="475"/>
      <c r="R3424" s="475"/>
      <c r="S3424" s="475"/>
      <c r="T3424" s="475"/>
      <c r="U3424" s="475"/>
      <c r="V3424" s="475"/>
      <c r="W3424" s="475"/>
    </row>
    <row r="3425" spans="2:23" s="97" customFormat="1">
      <c r="B3425" s="96"/>
      <c r="H3425" s="96"/>
      <c r="J3425" s="1"/>
      <c r="K3425" s="1"/>
      <c r="L3425" s="1"/>
      <c r="O3425" s="475"/>
      <c r="P3425" s="475"/>
      <c r="Q3425" s="475"/>
      <c r="R3425" s="475"/>
      <c r="S3425" s="475"/>
      <c r="T3425" s="475"/>
      <c r="U3425" s="475"/>
      <c r="V3425" s="475"/>
      <c r="W3425" s="475"/>
    </row>
    <row r="3426" spans="2:23" s="97" customFormat="1">
      <c r="B3426" s="96"/>
      <c r="H3426" s="96"/>
      <c r="J3426" s="1"/>
      <c r="K3426" s="1"/>
      <c r="L3426" s="1"/>
      <c r="O3426" s="475"/>
      <c r="P3426" s="475"/>
      <c r="Q3426" s="475"/>
      <c r="R3426" s="475"/>
      <c r="S3426" s="475"/>
      <c r="T3426" s="475"/>
      <c r="U3426" s="475"/>
      <c r="V3426" s="475"/>
      <c r="W3426" s="475"/>
    </row>
    <row r="3427" spans="2:23" s="97" customFormat="1">
      <c r="B3427" s="96"/>
      <c r="H3427" s="96"/>
      <c r="J3427" s="1"/>
      <c r="K3427" s="1"/>
      <c r="L3427" s="1"/>
      <c r="O3427" s="475"/>
      <c r="P3427" s="475"/>
      <c r="Q3427" s="475"/>
      <c r="R3427" s="475"/>
      <c r="S3427" s="475"/>
      <c r="T3427" s="475"/>
      <c r="U3427" s="475"/>
      <c r="V3427" s="475"/>
      <c r="W3427" s="475"/>
    </row>
    <row r="3428" spans="2:23" s="97" customFormat="1">
      <c r="B3428" s="96"/>
      <c r="H3428" s="96"/>
      <c r="J3428" s="1"/>
      <c r="K3428" s="1"/>
      <c r="L3428" s="1"/>
      <c r="O3428" s="475"/>
      <c r="P3428" s="475"/>
      <c r="Q3428" s="475"/>
      <c r="R3428" s="475"/>
      <c r="S3428" s="475"/>
      <c r="T3428" s="475"/>
      <c r="U3428" s="475"/>
      <c r="V3428" s="475"/>
      <c r="W3428" s="475"/>
    </row>
    <row r="3429" spans="2:23" s="97" customFormat="1">
      <c r="B3429" s="96"/>
      <c r="H3429" s="96"/>
      <c r="J3429" s="1"/>
      <c r="K3429" s="1"/>
      <c r="L3429" s="1"/>
      <c r="O3429" s="475"/>
      <c r="P3429" s="475"/>
      <c r="Q3429" s="475"/>
      <c r="R3429" s="475"/>
      <c r="S3429" s="475"/>
      <c r="T3429" s="475"/>
      <c r="U3429" s="475"/>
      <c r="V3429" s="475"/>
      <c r="W3429" s="475"/>
    </row>
    <row r="3430" spans="2:23" s="97" customFormat="1">
      <c r="B3430" s="96"/>
      <c r="H3430" s="96"/>
      <c r="J3430" s="1"/>
      <c r="K3430" s="1"/>
      <c r="L3430" s="1"/>
      <c r="O3430" s="475"/>
      <c r="P3430" s="475"/>
      <c r="Q3430" s="475"/>
      <c r="R3430" s="475"/>
      <c r="S3430" s="475"/>
      <c r="T3430" s="475"/>
      <c r="U3430" s="475"/>
      <c r="V3430" s="475"/>
      <c r="W3430" s="475"/>
    </row>
    <row r="3431" spans="2:23" s="97" customFormat="1">
      <c r="B3431" s="96"/>
      <c r="H3431" s="96"/>
      <c r="J3431" s="1"/>
      <c r="K3431" s="1"/>
      <c r="L3431" s="1"/>
      <c r="O3431" s="475"/>
      <c r="P3431" s="475"/>
      <c r="Q3431" s="475"/>
      <c r="R3431" s="475"/>
      <c r="S3431" s="475"/>
      <c r="T3431" s="475"/>
      <c r="U3431" s="475"/>
      <c r="V3431" s="475"/>
      <c r="W3431" s="475"/>
    </row>
    <row r="3432" spans="2:23" s="97" customFormat="1">
      <c r="B3432" s="96"/>
      <c r="H3432" s="96"/>
      <c r="J3432" s="1"/>
      <c r="K3432" s="1"/>
      <c r="L3432" s="1"/>
      <c r="O3432" s="475"/>
      <c r="P3432" s="475"/>
      <c r="Q3432" s="475"/>
      <c r="R3432" s="475"/>
      <c r="S3432" s="475"/>
      <c r="T3432" s="475"/>
      <c r="U3432" s="475"/>
      <c r="V3432" s="475"/>
      <c r="W3432" s="475"/>
    </row>
    <row r="3433" spans="2:23" s="97" customFormat="1">
      <c r="B3433" s="96"/>
      <c r="H3433" s="96"/>
      <c r="J3433" s="1"/>
      <c r="K3433" s="1"/>
      <c r="L3433" s="1"/>
      <c r="O3433" s="475"/>
      <c r="P3433" s="475"/>
      <c r="Q3433" s="475"/>
      <c r="R3433" s="475"/>
      <c r="S3433" s="475"/>
      <c r="T3433" s="475"/>
      <c r="U3433" s="475"/>
      <c r="V3433" s="475"/>
      <c r="W3433" s="475"/>
    </row>
    <row r="3434" spans="2:23" s="97" customFormat="1">
      <c r="B3434" s="96"/>
      <c r="H3434" s="96"/>
      <c r="J3434" s="1"/>
      <c r="K3434" s="1"/>
      <c r="L3434" s="1"/>
      <c r="O3434" s="475"/>
      <c r="P3434" s="475"/>
      <c r="Q3434" s="475"/>
      <c r="R3434" s="475"/>
      <c r="S3434" s="475"/>
      <c r="T3434" s="475"/>
      <c r="U3434" s="475"/>
      <c r="V3434" s="475"/>
      <c r="W3434" s="475"/>
    </row>
    <row r="3435" spans="2:23" s="97" customFormat="1">
      <c r="B3435" s="96"/>
      <c r="H3435" s="96"/>
      <c r="J3435" s="1"/>
      <c r="K3435" s="1"/>
      <c r="L3435" s="1"/>
      <c r="O3435" s="475"/>
      <c r="P3435" s="475"/>
      <c r="Q3435" s="475"/>
      <c r="R3435" s="475"/>
      <c r="S3435" s="475"/>
      <c r="T3435" s="475"/>
      <c r="U3435" s="475"/>
      <c r="V3435" s="475"/>
      <c r="W3435" s="475"/>
    </row>
    <row r="3436" spans="2:23" s="97" customFormat="1">
      <c r="B3436" s="96"/>
      <c r="H3436" s="96"/>
      <c r="J3436" s="1"/>
      <c r="K3436" s="1"/>
      <c r="L3436" s="1"/>
      <c r="O3436" s="475"/>
      <c r="P3436" s="475"/>
      <c r="Q3436" s="475"/>
      <c r="R3436" s="475"/>
      <c r="S3436" s="475"/>
      <c r="T3436" s="475"/>
      <c r="U3436" s="475"/>
      <c r="V3436" s="475"/>
      <c r="W3436" s="475"/>
    </row>
    <row r="3437" spans="2:23" s="97" customFormat="1">
      <c r="B3437" s="96"/>
      <c r="H3437" s="96"/>
      <c r="J3437" s="1"/>
      <c r="K3437" s="1"/>
      <c r="L3437" s="1"/>
      <c r="O3437" s="475"/>
      <c r="P3437" s="475"/>
      <c r="Q3437" s="475"/>
      <c r="R3437" s="475"/>
      <c r="S3437" s="475"/>
      <c r="T3437" s="475"/>
      <c r="U3437" s="475"/>
      <c r="V3437" s="475"/>
      <c r="W3437" s="475"/>
    </row>
    <row r="3438" spans="2:23" s="97" customFormat="1">
      <c r="B3438" s="96"/>
      <c r="H3438" s="96"/>
      <c r="J3438" s="1"/>
      <c r="K3438" s="1"/>
      <c r="L3438" s="1"/>
      <c r="O3438" s="475"/>
      <c r="P3438" s="475"/>
      <c r="Q3438" s="475"/>
      <c r="R3438" s="475"/>
      <c r="S3438" s="475"/>
      <c r="T3438" s="475"/>
      <c r="U3438" s="475"/>
      <c r="V3438" s="475"/>
      <c r="W3438" s="475"/>
    </row>
    <row r="3439" spans="2:23" s="97" customFormat="1">
      <c r="B3439" s="96"/>
      <c r="H3439" s="96"/>
      <c r="J3439" s="1"/>
      <c r="K3439" s="1"/>
      <c r="L3439" s="1"/>
      <c r="O3439" s="475"/>
      <c r="P3439" s="475"/>
      <c r="Q3439" s="475"/>
      <c r="R3439" s="475"/>
      <c r="S3439" s="475"/>
      <c r="T3439" s="475"/>
      <c r="U3439" s="475"/>
      <c r="V3439" s="475"/>
      <c r="W3439" s="475"/>
    </row>
    <row r="3440" spans="2:23" s="97" customFormat="1">
      <c r="B3440" s="96"/>
      <c r="H3440" s="96"/>
      <c r="J3440" s="1"/>
      <c r="K3440" s="1"/>
      <c r="L3440" s="1"/>
      <c r="O3440" s="475"/>
      <c r="P3440" s="475"/>
      <c r="Q3440" s="475"/>
      <c r="R3440" s="475"/>
      <c r="S3440" s="475"/>
      <c r="T3440" s="475"/>
      <c r="U3440" s="475"/>
      <c r="V3440" s="475"/>
      <c r="W3440" s="475"/>
    </row>
    <row r="3441" spans="2:23" s="97" customFormat="1">
      <c r="B3441" s="96"/>
      <c r="H3441" s="96"/>
      <c r="J3441" s="1"/>
      <c r="K3441" s="1"/>
      <c r="L3441" s="1"/>
      <c r="O3441" s="475"/>
      <c r="P3441" s="475"/>
      <c r="Q3441" s="475"/>
      <c r="R3441" s="475"/>
      <c r="S3441" s="475"/>
      <c r="T3441" s="475"/>
      <c r="U3441" s="475"/>
      <c r="V3441" s="475"/>
      <c r="W3441" s="475"/>
    </row>
    <row r="3442" spans="2:23" s="97" customFormat="1">
      <c r="B3442" s="96"/>
      <c r="H3442" s="96"/>
      <c r="J3442" s="1"/>
      <c r="K3442" s="1"/>
      <c r="L3442" s="1"/>
      <c r="O3442" s="475"/>
      <c r="P3442" s="475"/>
      <c r="Q3442" s="475"/>
      <c r="R3442" s="475"/>
      <c r="S3442" s="475"/>
      <c r="T3442" s="475"/>
      <c r="U3442" s="475"/>
      <c r="V3442" s="475"/>
      <c r="W3442" s="475"/>
    </row>
    <row r="3443" spans="2:23" s="97" customFormat="1">
      <c r="B3443" s="96"/>
      <c r="H3443" s="96"/>
      <c r="J3443" s="1"/>
      <c r="K3443" s="1"/>
      <c r="L3443" s="1"/>
      <c r="O3443" s="475"/>
      <c r="P3443" s="475"/>
      <c r="Q3443" s="475"/>
      <c r="R3443" s="475"/>
      <c r="S3443" s="475"/>
      <c r="T3443" s="475"/>
      <c r="U3443" s="475"/>
      <c r="V3443" s="475"/>
      <c r="W3443" s="475"/>
    </row>
    <row r="3444" spans="2:23" s="97" customFormat="1">
      <c r="B3444" s="96"/>
      <c r="H3444" s="96"/>
      <c r="J3444" s="1"/>
      <c r="K3444" s="1"/>
      <c r="L3444" s="1"/>
      <c r="O3444" s="475"/>
      <c r="P3444" s="475"/>
      <c r="Q3444" s="475"/>
      <c r="R3444" s="475"/>
      <c r="S3444" s="475"/>
      <c r="T3444" s="475"/>
      <c r="U3444" s="475"/>
      <c r="V3444" s="475"/>
      <c r="W3444" s="475"/>
    </row>
    <row r="3445" spans="2:23" s="97" customFormat="1">
      <c r="B3445" s="96"/>
      <c r="H3445" s="96"/>
      <c r="J3445" s="1"/>
      <c r="K3445" s="1"/>
      <c r="L3445" s="1"/>
      <c r="O3445" s="475"/>
      <c r="P3445" s="475"/>
      <c r="Q3445" s="475"/>
      <c r="R3445" s="475"/>
      <c r="S3445" s="475"/>
      <c r="T3445" s="475"/>
      <c r="U3445" s="475"/>
      <c r="V3445" s="475"/>
      <c r="W3445" s="475"/>
    </row>
    <row r="3446" spans="2:23" s="97" customFormat="1">
      <c r="B3446" s="96"/>
      <c r="H3446" s="96"/>
      <c r="J3446" s="1"/>
      <c r="K3446" s="1"/>
      <c r="L3446" s="1"/>
      <c r="O3446" s="475"/>
      <c r="P3446" s="475"/>
      <c r="Q3446" s="475"/>
      <c r="R3446" s="475"/>
      <c r="S3446" s="475"/>
      <c r="T3446" s="475"/>
      <c r="U3446" s="475"/>
      <c r="V3446" s="475"/>
      <c r="W3446" s="475"/>
    </row>
    <row r="3447" spans="2:23" s="97" customFormat="1">
      <c r="B3447" s="96"/>
      <c r="H3447" s="96"/>
      <c r="J3447" s="1"/>
      <c r="K3447" s="1"/>
      <c r="L3447" s="1"/>
      <c r="O3447" s="475"/>
      <c r="P3447" s="475"/>
      <c r="Q3447" s="475"/>
      <c r="R3447" s="475"/>
      <c r="S3447" s="475"/>
      <c r="T3447" s="475"/>
      <c r="U3447" s="475"/>
      <c r="V3447" s="475"/>
      <c r="W3447" s="475"/>
    </row>
    <row r="3448" spans="2:23" s="97" customFormat="1">
      <c r="B3448" s="96"/>
      <c r="H3448" s="96"/>
      <c r="J3448" s="1"/>
      <c r="K3448" s="1"/>
      <c r="L3448" s="1"/>
      <c r="O3448" s="475"/>
      <c r="P3448" s="475"/>
      <c r="Q3448" s="475"/>
      <c r="R3448" s="475"/>
      <c r="S3448" s="475"/>
      <c r="T3448" s="475"/>
      <c r="U3448" s="475"/>
      <c r="V3448" s="475"/>
      <c r="W3448" s="475"/>
    </row>
    <row r="3449" spans="2:23" s="97" customFormat="1">
      <c r="B3449" s="96"/>
      <c r="H3449" s="96"/>
      <c r="J3449" s="1"/>
      <c r="K3449" s="1"/>
      <c r="L3449" s="1"/>
      <c r="O3449" s="475"/>
      <c r="P3449" s="475"/>
      <c r="Q3449" s="475"/>
      <c r="R3449" s="475"/>
      <c r="S3449" s="475"/>
      <c r="T3449" s="475"/>
      <c r="U3449" s="475"/>
      <c r="V3449" s="475"/>
      <c r="W3449" s="475"/>
    </row>
    <row r="3450" spans="2:23" s="97" customFormat="1">
      <c r="B3450" s="96"/>
      <c r="H3450" s="96"/>
      <c r="J3450" s="1"/>
      <c r="K3450" s="1"/>
      <c r="L3450" s="1"/>
      <c r="O3450" s="475"/>
      <c r="P3450" s="475"/>
      <c r="Q3450" s="475"/>
      <c r="R3450" s="475"/>
      <c r="S3450" s="475"/>
      <c r="T3450" s="475"/>
      <c r="U3450" s="475"/>
      <c r="V3450" s="475"/>
      <c r="W3450" s="475"/>
    </row>
    <row r="3451" spans="2:23" s="97" customFormat="1">
      <c r="B3451" s="96"/>
      <c r="H3451" s="96"/>
      <c r="J3451" s="1"/>
      <c r="K3451" s="1"/>
      <c r="L3451" s="1"/>
      <c r="O3451" s="475"/>
      <c r="P3451" s="475"/>
      <c r="Q3451" s="475"/>
      <c r="R3451" s="475"/>
      <c r="S3451" s="475"/>
      <c r="T3451" s="475"/>
      <c r="U3451" s="475"/>
      <c r="V3451" s="475"/>
      <c r="W3451" s="475"/>
    </row>
    <row r="3452" spans="2:23" s="97" customFormat="1">
      <c r="B3452" s="96"/>
      <c r="H3452" s="96"/>
      <c r="J3452" s="1"/>
      <c r="K3452" s="1"/>
      <c r="L3452" s="1"/>
      <c r="O3452" s="475"/>
      <c r="P3452" s="475"/>
      <c r="Q3452" s="475"/>
      <c r="R3452" s="475"/>
      <c r="S3452" s="475"/>
      <c r="T3452" s="475"/>
      <c r="U3452" s="475"/>
      <c r="V3452" s="475"/>
      <c r="W3452" s="475"/>
    </row>
    <row r="3453" spans="2:23" s="97" customFormat="1">
      <c r="B3453" s="96"/>
      <c r="H3453" s="96"/>
      <c r="J3453" s="1"/>
      <c r="K3453" s="1"/>
      <c r="L3453" s="1"/>
      <c r="O3453" s="475"/>
      <c r="P3453" s="475"/>
      <c r="Q3453" s="475"/>
      <c r="R3453" s="475"/>
      <c r="S3453" s="475"/>
      <c r="T3453" s="475"/>
      <c r="U3453" s="475"/>
      <c r="V3453" s="475"/>
      <c r="W3453" s="475"/>
    </row>
    <row r="3454" spans="2:23" s="97" customFormat="1">
      <c r="B3454" s="96"/>
      <c r="H3454" s="96"/>
      <c r="J3454" s="1"/>
      <c r="K3454" s="1"/>
      <c r="L3454" s="1"/>
      <c r="O3454" s="475"/>
      <c r="P3454" s="475"/>
      <c r="Q3454" s="475"/>
      <c r="R3454" s="475"/>
      <c r="S3454" s="475"/>
      <c r="T3454" s="475"/>
      <c r="U3454" s="475"/>
      <c r="V3454" s="475"/>
      <c r="W3454" s="475"/>
    </row>
    <row r="3455" spans="2:23" s="97" customFormat="1">
      <c r="B3455" s="96"/>
      <c r="H3455" s="96"/>
      <c r="J3455" s="1"/>
      <c r="K3455" s="1"/>
      <c r="L3455" s="1"/>
      <c r="O3455" s="475"/>
      <c r="P3455" s="475"/>
      <c r="Q3455" s="475"/>
      <c r="R3455" s="475"/>
      <c r="S3455" s="475"/>
      <c r="T3455" s="475"/>
      <c r="U3455" s="475"/>
      <c r="V3455" s="475"/>
      <c r="W3455" s="475"/>
    </row>
    <row r="3456" spans="2:23" s="97" customFormat="1">
      <c r="B3456" s="96"/>
      <c r="H3456" s="96"/>
      <c r="J3456" s="1"/>
      <c r="K3456" s="1"/>
      <c r="L3456" s="1"/>
      <c r="O3456" s="475"/>
      <c r="P3456" s="475"/>
      <c r="Q3456" s="475"/>
      <c r="R3456" s="475"/>
      <c r="S3456" s="475"/>
      <c r="T3456" s="475"/>
      <c r="U3456" s="475"/>
      <c r="V3456" s="475"/>
      <c r="W3456" s="475"/>
    </row>
    <row r="3457" spans="2:23" s="97" customFormat="1">
      <c r="B3457" s="96"/>
      <c r="H3457" s="96"/>
      <c r="J3457" s="1"/>
      <c r="K3457" s="1"/>
      <c r="L3457" s="1"/>
      <c r="O3457" s="475"/>
      <c r="P3457" s="475"/>
      <c r="Q3457" s="475"/>
      <c r="R3457" s="475"/>
      <c r="S3457" s="475"/>
      <c r="T3457" s="475"/>
      <c r="U3457" s="475"/>
      <c r="V3457" s="475"/>
      <c r="W3457" s="475"/>
    </row>
    <row r="3458" spans="2:23" s="97" customFormat="1">
      <c r="B3458" s="96"/>
      <c r="H3458" s="96"/>
      <c r="J3458" s="1"/>
      <c r="K3458" s="1"/>
      <c r="L3458" s="1"/>
      <c r="O3458" s="475"/>
      <c r="P3458" s="475"/>
      <c r="Q3458" s="475"/>
      <c r="R3458" s="475"/>
      <c r="S3458" s="475"/>
      <c r="T3458" s="475"/>
      <c r="U3458" s="475"/>
      <c r="V3458" s="475"/>
      <c r="W3458" s="475"/>
    </row>
    <row r="3459" spans="2:23" s="97" customFormat="1">
      <c r="B3459" s="96"/>
      <c r="H3459" s="96"/>
      <c r="J3459" s="1"/>
      <c r="K3459" s="1"/>
      <c r="L3459" s="1"/>
      <c r="O3459" s="475"/>
      <c r="P3459" s="475"/>
      <c r="Q3459" s="475"/>
      <c r="R3459" s="475"/>
      <c r="S3459" s="475"/>
      <c r="T3459" s="475"/>
      <c r="U3459" s="475"/>
      <c r="V3459" s="475"/>
      <c r="W3459" s="475"/>
    </row>
    <row r="3460" spans="2:23" s="97" customFormat="1">
      <c r="B3460" s="96"/>
      <c r="H3460" s="96"/>
      <c r="J3460" s="1"/>
      <c r="K3460" s="1"/>
      <c r="L3460" s="1"/>
      <c r="O3460" s="475"/>
      <c r="P3460" s="475"/>
      <c r="Q3460" s="475"/>
      <c r="R3460" s="475"/>
      <c r="S3460" s="475"/>
      <c r="T3460" s="475"/>
      <c r="U3460" s="475"/>
      <c r="V3460" s="475"/>
      <c r="W3460" s="475"/>
    </row>
    <row r="3461" spans="2:23" s="97" customFormat="1">
      <c r="B3461" s="96"/>
      <c r="H3461" s="96"/>
      <c r="J3461" s="1"/>
      <c r="K3461" s="1"/>
      <c r="L3461" s="1"/>
      <c r="O3461" s="475"/>
      <c r="P3461" s="475"/>
      <c r="Q3461" s="475"/>
      <c r="R3461" s="475"/>
      <c r="S3461" s="475"/>
      <c r="T3461" s="475"/>
      <c r="U3461" s="475"/>
      <c r="V3461" s="475"/>
      <c r="W3461" s="475"/>
    </row>
    <row r="3462" spans="2:23" s="97" customFormat="1">
      <c r="B3462" s="96"/>
      <c r="H3462" s="96"/>
      <c r="J3462" s="1"/>
      <c r="K3462" s="1"/>
      <c r="L3462" s="1"/>
      <c r="O3462" s="475"/>
      <c r="P3462" s="475"/>
      <c r="Q3462" s="475"/>
      <c r="R3462" s="475"/>
      <c r="S3462" s="475"/>
      <c r="T3462" s="475"/>
      <c r="U3462" s="475"/>
      <c r="V3462" s="475"/>
      <c r="W3462" s="475"/>
    </row>
    <row r="3463" spans="2:23" s="97" customFormat="1">
      <c r="B3463" s="96"/>
      <c r="H3463" s="96"/>
      <c r="J3463" s="1"/>
      <c r="K3463" s="1"/>
      <c r="L3463" s="1"/>
      <c r="O3463" s="475"/>
      <c r="P3463" s="475"/>
      <c r="Q3463" s="475"/>
      <c r="R3463" s="475"/>
      <c r="S3463" s="475"/>
      <c r="T3463" s="475"/>
      <c r="U3463" s="475"/>
      <c r="V3463" s="475"/>
      <c r="W3463" s="475"/>
    </row>
    <row r="3464" spans="2:23" s="97" customFormat="1">
      <c r="B3464" s="96"/>
      <c r="H3464" s="96"/>
      <c r="J3464" s="1"/>
      <c r="K3464" s="1"/>
      <c r="L3464" s="1"/>
      <c r="O3464" s="475"/>
      <c r="P3464" s="475"/>
      <c r="Q3464" s="475"/>
      <c r="R3464" s="475"/>
      <c r="S3464" s="475"/>
      <c r="T3464" s="475"/>
      <c r="U3464" s="475"/>
      <c r="V3464" s="475"/>
      <c r="W3464" s="475"/>
    </row>
    <row r="3465" spans="2:23" s="97" customFormat="1">
      <c r="B3465" s="96"/>
      <c r="H3465" s="96"/>
      <c r="J3465" s="1"/>
      <c r="K3465" s="1"/>
      <c r="L3465" s="1"/>
      <c r="O3465" s="475"/>
      <c r="P3465" s="475"/>
      <c r="Q3465" s="475"/>
      <c r="R3465" s="475"/>
      <c r="S3465" s="475"/>
      <c r="T3465" s="475"/>
      <c r="U3465" s="475"/>
      <c r="V3465" s="475"/>
      <c r="W3465" s="475"/>
    </row>
    <row r="3466" spans="2:23" s="97" customFormat="1">
      <c r="B3466" s="96"/>
      <c r="H3466" s="96"/>
      <c r="J3466" s="1"/>
      <c r="K3466" s="1"/>
      <c r="L3466" s="1"/>
      <c r="O3466" s="475"/>
      <c r="P3466" s="475"/>
      <c r="Q3466" s="475"/>
      <c r="R3466" s="475"/>
      <c r="S3466" s="475"/>
      <c r="T3466" s="475"/>
      <c r="U3466" s="475"/>
      <c r="V3466" s="475"/>
      <c r="W3466" s="475"/>
    </row>
    <row r="3467" spans="2:23" s="97" customFormat="1">
      <c r="B3467" s="96"/>
      <c r="H3467" s="96"/>
      <c r="J3467" s="1"/>
      <c r="K3467" s="1"/>
      <c r="L3467" s="1"/>
      <c r="O3467" s="475"/>
      <c r="P3467" s="475"/>
      <c r="Q3467" s="475"/>
      <c r="R3467" s="475"/>
      <c r="S3467" s="475"/>
      <c r="T3467" s="475"/>
      <c r="U3467" s="475"/>
      <c r="V3467" s="475"/>
      <c r="W3467" s="475"/>
    </row>
    <row r="3468" spans="2:23" s="97" customFormat="1">
      <c r="B3468" s="96"/>
      <c r="H3468" s="96"/>
      <c r="J3468" s="1"/>
      <c r="K3468" s="1"/>
      <c r="L3468" s="1"/>
      <c r="O3468" s="475"/>
      <c r="P3468" s="475"/>
      <c r="Q3468" s="475"/>
      <c r="R3468" s="475"/>
      <c r="S3468" s="475"/>
      <c r="T3468" s="475"/>
      <c r="U3468" s="475"/>
      <c r="V3468" s="475"/>
      <c r="W3468" s="475"/>
    </row>
    <row r="3469" spans="2:23" s="97" customFormat="1">
      <c r="B3469" s="96"/>
      <c r="H3469" s="96"/>
      <c r="J3469" s="1"/>
      <c r="K3469" s="1"/>
      <c r="L3469" s="1"/>
      <c r="O3469" s="475"/>
      <c r="P3469" s="475"/>
      <c r="Q3469" s="475"/>
      <c r="R3469" s="475"/>
      <c r="S3469" s="475"/>
      <c r="T3469" s="475"/>
      <c r="U3469" s="475"/>
      <c r="V3469" s="475"/>
      <c r="W3469" s="475"/>
    </row>
    <row r="3470" spans="2:23" s="97" customFormat="1">
      <c r="B3470" s="96"/>
      <c r="H3470" s="96"/>
      <c r="J3470" s="1"/>
      <c r="K3470" s="1"/>
      <c r="L3470" s="1"/>
      <c r="O3470" s="475"/>
      <c r="P3470" s="475"/>
      <c r="Q3470" s="475"/>
      <c r="R3470" s="475"/>
      <c r="S3470" s="475"/>
      <c r="T3470" s="475"/>
      <c r="U3470" s="475"/>
      <c r="V3470" s="475"/>
      <c r="W3470" s="475"/>
    </row>
    <row r="3471" spans="2:23" s="97" customFormat="1">
      <c r="B3471" s="96"/>
      <c r="H3471" s="96"/>
      <c r="J3471" s="1"/>
      <c r="K3471" s="1"/>
      <c r="L3471" s="1"/>
      <c r="O3471" s="475"/>
      <c r="P3471" s="475"/>
      <c r="Q3471" s="475"/>
      <c r="R3471" s="475"/>
      <c r="S3471" s="475"/>
      <c r="T3471" s="475"/>
      <c r="U3471" s="475"/>
      <c r="V3471" s="475"/>
      <c r="W3471" s="475"/>
    </row>
    <row r="3472" spans="2:23" s="97" customFormat="1">
      <c r="B3472" s="96"/>
      <c r="H3472" s="96"/>
      <c r="J3472" s="1"/>
      <c r="K3472" s="1"/>
      <c r="L3472" s="1"/>
      <c r="O3472" s="475"/>
      <c r="P3472" s="475"/>
      <c r="Q3472" s="475"/>
      <c r="R3472" s="475"/>
      <c r="S3472" s="475"/>
      <c r="T3472" s="475"/>
      <c r="U3472" s="475"/>
      <c r="V3472" s="475"/>
      <c r="W3472" s="475"/>
    </row>
    <row r="3473" spans="2:23" s="97" customFormat="1">
      <c r="B3473" s="96"/>
      <c r="H3473" s="96"/>
      <c r="J3473" s="1"/>
      <c r="K3473" s="1"/>
      <c r="L3473" s="1"/>
      <c r="O3473" s="475"/>
      <c r="P3473" s="475"/>
      <c r="Q3473" s="475"/>
      <c r="R3473" s="475"/>
      <c r="S3473" s="475"/>
      <c r="T3473" s="475"/>
      <c r="U3473" s="475"/>
      <c r="V3473" s="475"/>
      <c r="W3473" s="475"/>
    </row>
    <row r="3474" spans="2:23" s="97" customFormat="1">
      <c r="B3474" s="96"/>
      <c r="H3474" s="96"/>
      <c r="J3474" s="1"/>
      <c r="K3474" s="1"/>
      <c r="L3474" s="1"/>
      <c r="O3474" s="475"/>
      <c r="P3474" s="475"/>
      <c r="Q3474" s="475"/>
      <c r="R3474" s="475"/>
      <c r="S3474" s="475"/>
      <c r="T3474" s="475"/>
      <c r="U3474" s="475"/>
      <c r="V3474" s="475"/>
      <c r="W3474" s="475"/>
    </row>
    <row r="3475" spans="2:23" s="97" customFormat="1">
      <c r="B3475" s="96"/>
      <c r="H3475" s="96"/>
      <c r="J3475" s="1"/>
      <c r="K3475" s="1"/>
      <c r="L3475" s="1"/>
      <c r="O3475" s="475"/>
      <c r="P3475" s="475"/>
      <c r="Q3475" s="475"/>
      <c r="R3475" s="475"/>
      <c r="S3475" s="475"/>
      <c r="T3475" s="475"/>
      <c r="U3475" s="475"/>
      <c r="V3475" s="475"/>
      <c r="W3475" s="475"/>
    </row>
    <row r="3476" spans="2:23" s="97" customFormat="1">
      <c r="B3476" s="96"/>
      <c r="H3476" s="96"/>
      <c r="J3476" s="1"/>
      <c r="K3476" s="1"/>
      <c r="L3476" s="1"/>
      <c r="O3476" s="475"/>
      <c r="P3476" s="475"/>
      <c r="Q3476" s="475"/>
      <c r="R3476" s="475"/>
      <c r="S3476" s="475"/>
      <c r="T3476" s="475"/>
      <c r="U3476" s="475"/>
      <c r="V3476" s="475"/>
      <c r="W3476" s="475"/>
    </row>
    <row r="3477" spans="2:23" s="97" customFormat="1">
      <c r="B3477" s="96"/>
      <c r="H3477" s="96"/>
      <c r="J3477" s="1"/>
      <c r="K3477" s="1"/>
      <c r="L3477" s="1"/>
      <c r="O3477" s="475"/>
      <c r="P3477" s="475"/>
      <c r="Q3477" s="475"/>
      <c r="R3477" s="475"/>
      <c r="S3477" s="475"/>
      <c r="T3477" s="475"/>
      <c r="U3477" s="475"/>
      <c r="V3477" s="475"/>
      <c r="W3477" s="475"/>
    </row>
    <row r="3478" spans="2:23" s="97" customFormat="1">
      <c r="B3478" s="96"/>
      <c r="H3478" s="96"/>
      <c r="J3478" s="1"/>
      <c r="K3478" s="1"/>
      <c r="L3478" s="1"/>
      <c r="O3478" s="475"/>
      <c r="P3478" s="475"/>
      <c r="Q3478" s="475"/>
      <c r="R3478" s="475"/>
      <c r="S3478" s="475"/>
      <c r="T3478" s="475"/>
      <c r="U3478" s="475"/>
      <c r="V3478" s="475"/>
      <c r="W3478" s="475"/>
    </row>
    <row r="3479" spans="2:23" s="97" customFormat="1">
      <c r="B3479" s="96"/>
      <c r="H3479" s="96"/>
      <c r="J3479" s="1"/>
      <c r="K3479" s="1"/>
      <c r="L3479" s="1"/>
      <c r="O3479" s="475"/>
      <c r="P3479" s="475"/>
      <c r="Q3479" s="475"/>
      <c r="R3479" s="475"/>
      <c r="S3479" s="475"/>
      <c r="T3479" s="475"/>
      <c r="U3479" s="475"/>
      <c r="V3479" s="475"/>
      <c r="W3479" s="475"/>
    </row>
    <row r="3480" spans="2:23" s="97" customFormat="1">
      <c r="B3480" s="96"/>
      <c r="H3480" s="96"/>
      <c r="J3480" s="1"/>
      <c r="K3480" s="1"/>
      <c r="L3480" s="1"/>
      <c r="O3480" s="475"/>
      <c r="P3480" s="475"/>
      <c r="Q3480" s="475"/>
      <c r="R3480" s="475"/>
      <c r="S3480" s="475"/>
      <c r="T3480" s="475"/>
      <c r="U3480" s="475"/>
      <c r="V3480" s="475"/>
      <c r="W3480" s="475"/>
    </row>
    <row r="3481" spans="2:23" s="97" customFormat="1">
      <c r="B3481" s="96"/>
      <c r="H3481" s="96"/>
      <c r="J3481" s="1"/>
      <c r="K3481" s="1"/>
      <c r="L3481" s="1"/>
      <c r="O3481" s="475"/>
      <c r="P3481" s="475"/>
      <c r="Q3481" s="475"/>
      <c r="R3481" s="475"/>
      <c r="S3481" s="475"/>
      <c r="T3481" s="475"/>
      <c r="U3481" s="475"/>
      <c r="V3481" s="475"/>
      <c r="W3481" s="475"/>
    </row>
    <row r="3482" spans="2:23" s="97" customFormat="1">
      <c r="B3482" s="96"/>
      <c r="H3482" s="96"/>
      <c r="J3482" s="1"/>
      <c r="K3482" s="1"/>
      <c r="L3482" s="1"/>
      <c r="O3482" s="475"/>
      <c r="P3482" s="475"/>
      <c r="Q3482" s="475"/>
      <c r="R3482" s="475"/>
      <c r="S3482" s="475"/>
      <c r="T3482" s="475"/>
      <c r="U3482" s="475"/>
      <c r="V3482" s="475"/>
      <c r="W3482" s="475"/>
    </row>
    <row r="3483" spans="2:23" s="97" customFormat="1">
      <c r="B3483" s="96"/>
      <c r="H3483" s="96"/>
      <c r="J3483" s="1"/>
      <c r="K3483" s="1"/>
      <c r="L3483" s="1"/>
      <c r="O3483" s="475"/>
      <c r="P3483" s="475"/>
      <c r="Q3483" s="475"/>
      <c r="R3483" s="475"/>
      <c r="S3483" s="475"/>
      <c r="T3483" s="475"/>
      <c r="U3483" s="475"/>
      <c r="V3483" s="475"/>
      <c r="W3483" s="475"/>
    </row>
    <row r="3484" spans="2:23" s="97" customFormat="1">
      <c r="B3484" s="96"/>
      <c r="H3484" s="96"/>
      <c r="J3484" s="1"/>
      <c r="K3484" s="1"/>
      <c r="L3484" s="1"/>
      <c r="O3484" s="475"/>
      <c r="P3484" s="475"/>
      <c r="Q3484" s="475"/>
      <c r="R3484" s="475"/>
      <c r="S3484" s="475"/>
      <c r="T3484" s="475"/>
      <c r="U3484" s="475"/>
      <c r="V3484" s="475"/>
      <c r="W3484" s="475"/>
    </row>
    <row r="3485" spans="2:23" s="97" customFormat="1">
      <c r="B3485" s="96"/>
      <c r="H3485" s="96"/>
      <c r="J3485" s="1"/>
      <c r="K3485" s="1"/>
      <c r="L3485" s="1"/>
      <c r="O3485" s="475"/>
      <c r="P3485" s="475"/>
      <c r="Q3485" s="475"/>
      <c r="R3485" s="475"/>
      <c r="S3485" s="475"/>
      <c r="T3485" s="475"/>
      <c r="U3485" s="475"/>
      <c r="V3485" s="475"/>
      <c r="W3485" s="475"/>
    </row>
    <row r="3486" spans="2:23" s="97" customFormat="1">
      <c r="B3486" s="96"/>
      <c r="H3486" s="96"/>
      <c r="J3486" s="1"/>
      <c r="K3486" s="1"/>
      <c r="L3486" s="1"/>
      <c r="O3486" s="475"/>
      <c r="P3486" s="475"/>
      <c r="Q3486" s="475"/>
      <c r="R3486" s="475"/>
      <c r="S3486" s="475"/>
      <c r="T3486" s="475"/>
      <c r="U3486" s="475"/>
      <c r="V3486" s="475"/>
      <c r="W3486" s="475"/>
    </row>
    <row r="3487" spans="2:23" s="97" customFormat="1">
      <c r="B3487" s="96"/>
      <c r="H3487" s="96"/>
      <c r="J3487" s="1"/>
      <c r="K3487" s="1"/>
      <c r="L3487" s="1"/>
      <c r="O3487" s="475"/>
      <c r="P3487" s="475"/>
      <c r="Q3487" s="475"/>
      <c r="R3487" s="475"/>
      <c r="S3487" s="475"/>
      <c r="T3487" s="475"/>
      <c r="U3487" s="475"/>
      <c r="V3487" s="475"/>
      <c r="W3487" s="475"/>
    </row>
    <row r="3488" spans="2:23" s="97" customFormat="1">
      <c r="B3488" s="96"/>
      <c r="H3488" s="96"/>
      <c r="J3488" s="1"/>
      <c r="K3488" s="1"/>
      <c r="L3488" s="1"/>
      <c r="O3488" s="475"/>
      <c r="P3488" s="475"/>
      <c r="Q3488" s="475"/>
      <c r="R3488" s="475"/>
      <c r="S3488" s="475"/>
      <c r="T3488" s="475"/>
      <c r="U3488" s="475"/>
      <c r="V3488" s="475"/>
      <c r="W3488" s="475"/>
    </row>
    <row r="3489" spans="2:23" s="97" customFormat="1">
      <c r="B3489" s="96"/>
      <c r="H3489" s="96"/>
      <c r="J3489" s="1"/>
      <c r="K3489" s="1"/>
      <c r="L3489" s="1"/>
      <c r="O3489" s="475"/>
      <c r="P3489" s="475"/>
      <c r="Q3489" s="475"/>
      <c r="R3489" s="475"/>
      <c r="S3489" s="475"/>
      <c r="T3489" s="475"/>
      <c r="U3489" s="475"/>
      <c r="V3489" s="475"/>
      <c r="W3489" s="475"/>
    </row>
    <row r="3490" spans="2:23" s="97" customFormat="1">
      <c r="B3490" s="96"/>
      <c r="H3490" s="96"/>
      <c r="J3490" s="1"/>
      <c r="K3490" s="1"/>
      <c r="L3490" s="1"/>
      <c r="O3490" s="475"/>
      <c r="P3490" s="475"/>
      <c r="Q3490" s="475"/>
      <c r="R3490" s="475"/>
      <c r="S3490" s="475"/>
      <c r="T3490" s="475"/>
      <c r="U3490" s="475"/>
      <c r="V3490" s="475"/>
      <c r="W3490" s="475"/>
    </row>
    <row r="3491" spans="2:23" s="97" customFormat="1">
      <c r="B3491" s="96"/>
      <c r="H3491" s="96"/>
      <c r="J3491" s="1"/>
      <c r="K3491" s="1"/>
      <c r="L3491" s="1"/>
      <c r="O3491" s="475"/>
      <c r="P3491" s="475"/>
      <c r="Q3491" s="475"/>
      <c r="R3491" s="475"/>
      <c r="S3491" s="475"/>
      <c r="T3491" s="475"/>
      <c r="U3491" s="475"/>
      <c r="V3491" s="475"/>
      <c r="W3491" s="475"/>
    </row>
    <row r="3492" spans="2:23" s="97" customFormat="1">
      <c r="B3492" s="96"/>
      <c r="H3492" s="96"/>
      <c r="J3492" s="1"/>
      <c r="K3492" s="1"/>
      <c r="L3492" s="1"/>
      <c r="O3492" s="475"/>
      <c r="P3492" s="475"/>
      <c r="Q3492" s="475"/>
      <c r="R3492" s="475"/>
      <c r="S3492" s="475"/>
      <c r="T3492" s="475"/>
      <c r="U3492" s="475"/>
      <c r="V3492" s="475"/>
      <c r="W3492" s="475"/>
    </row>
    <row r="3493" spans="2:23" s="97" customFormat="1">
      <c r="B3493" s="96"/>
      <c r="H3493" s="96"/>
      <c r="J3493" s="1"/>
      <c r="K3493" s="1"/>
      <c r="L3493" s="1"/>
      <c r="O3493" s="475"/>
      <c r="P3493" s="475"/>
      <c r="Q3493" s="475"/>
      <c r="R3493" s="475"/>
      <c r="S3493" s="475"/>
      <c r="T3493" s="475"/>
      <c r="U3493" s="475"/>
      <c r="V3493" s="475"/>
      <c r="W3493" s="475"/>
    </row>
    <row r="3494" spans="2:23" s="97" customFormat="1">
      <c r="B3494" s="96"/>
      <c r="H3494" s="96"/>
      <c r="J3494" s="1"/>
      <c r="K3494" s="1"/>
      <c r="L3494" s="1"/>
      <c r="O3494" s="475"/>
      <c r="P3494" s="475"/>
      <c r="Q3494" s="475"/>
      <c r="R3494" s="475"/>
      <c r="S3494" s="475"/>
      <c r="T3494" s="475"/>
      <c r="U3494" s="475"/>
      <c r="V3494" s="475"/>
      <c r="W3494" s="475"/>
    </row>
    <row r="3495" spans="2:23" s="97" customFormat="1">
      <c r="B3495" s="96"/>
      <c r="H3495" s="96"/>
      <c r="J3495" s="1"/>
      <c r="K3495" s="1"/>
      <c r="L3495" s="1"/>
      <c r="O3495" s="475"/>
      <c r="P3495" s="475"/>
      <c r="Q3495" s="475"/>
      <c r="R3495" s="475"/>
      <c r="S3495" s="475"/>
      <c r="T3495" s="475"/>
      <c r="U3495" s="475"/>
      <c r="V3495" s="475"/>
      <c r="W3495" s="475"/>
    </row>
    <row r="3496" spans="2:23" s="97" customFormat="1">
      <c r="B3496" s="96"/>
      <c r="H3496" s="96"/>
      <c r="J3496" s="1"/>
      <c r="K3496" s="1"/>
      <c r="L3496" s="1"/>
      <c r="O3496" s="475"/>
      <c r="P3496" s="475"/>
      <c r="Q3496" s="475"/>
      <c r="R3496" s="475"/>
      <c r="S3496" s="475"/>
      <c r="T3496" s="475"/>
      <c r="U3496" s="475"/>
      <c r="V3496" s="475"/>
      <c r="W3496" s="475"/>
    </row>
    <row r="3497" spans="2:23" s="97" customFormat="1">
      <c r="B3497" s="96"/>
      <c r="H3497" s="96"/>
      <c r="J3497" s="1"/>
      <c r="K3497" s="1"/>
      <c r="L3497" s="1"/>
      <c r="O3497" s="475"/>
      <c r="P3497" s="475"/>
      <c r="Q3497" s="475"/>
      <c r="R3497" s="475"/>
      <c r="S3497" s="475"/>
      <c r="T3497" s="475"/>
      <c r="U3497" s="475"/>
      <c r="V3497" s="475"/>
      <c r="W3497" s="475"/>
    </row>
    <row r="3498" spans="2:23" s="97" customFormat="1">
      <c r="B3498" s="96"/>
      <c r="H3498" s="96"/>
      <c r="J3498" s="1"/>
      <c r="K3498" s="1"/>
      <c r="L3498" s="1"/>
      <c r="O3498" s="475"/>
      <c r="P3498" s="475"/>
      <c r="Q3498" s="475"/>
      <c r="R3498" s="475"/>
      <c r="S3498" s="475"/>
      <c r="T3498" s="475"/>
      <c r="U3498" s="475"/>
      <c r="V3498" s="475"/>
      <c r="W3498" s="475"/>
    </row>
    <row r="3499" spans="2:23" s="97" customFormat="1">
      <c r="B3499" s="96"/>
      <c r="H3499" s="96"/>
      <c r="J3499" s="1"/>
      <c r="K3499" s="1"/>
      <c r="L3499" s="1"/>
      <c r="O3499" s="475"/>
      <c r="P3499" s="475"/>
      <c r="Q3499" s="475"/>
      <c r="R3499" s="475"/>
      <c r="S3499" s="475"/>
      <c r="T3499" s="475"/>
      <c r="U3499" s="475"/>
      <c r="V3499" s="475"/>
      <c r="W3499" s="475"/>
    </row>
    <row r="3500" spans="2:23" s="97" customFormat="1">
      <c r="B3500" s="96"/>
      <c r="H3500" s="96"/>
      <c r="J3500" s="1"/>
      <c r="K3500" s="1"/>
      <c r="L3500" s="1"/>
      <c r="O3500" s="475"/>
      <c r="P3500" s="475"/>
      <c r="Q3500" s="475"/>
      <c r="R3500" s="475"/>
      <c r="S3500" s="475"/>
      <c r="T3500" s="475"/>
      <c r="U3500" s="475"/>
      <c r="V3500" s="475"/>
      <c r="W3500" s="475"/>
    </row>
    <row r="3501" spans="2:23" s="97" customFormat="1">
      <c r="B3501" s="96"/>
      <c r="H3501" s="96"/>
      <c r="J3501" s="1"/>
      <c r="K3501" s="1"/>
      <c r="L3501" s="1"/>
      <c r="O3501" s="475"/>
      <c r="P3501" s="475"/>
      <c r="Q3501" s="475"/>
      <c r="R3501" s="475"/>
      <c r="S3501" s="475"/>
      <c r="T3501" s="475"/>
      <c r="U3501" s="475"/>
      <c r="V3501" s="475"/>
      <c r="W3501" s="475"/>
    </row>
    <row r="3502" spans="2:23" s="97" customFormat="1">
      <c r="B3502" s="96"/>
      <c r="H3502" s="96"/>
      <c r="J3502" s="1"/>
      <c r="K3502" s="1"/>
      <c r="L3502" s="1"/>
      <c r="O3502" s="475"/>
      <c r="P3502" s="475"/>
      <c r="Q3502" s="475"/>
      <c r="R3502" s="475"/>
      <c r="S3502" s="475"/>
      <c r="T3502" s="475"/>
      <c r="U3502" s="475"/>
      <c r="V3502" s="475"/>
      <c r="W3502" s="475"/>
    </row>
    <row r="3503" spans="2:23" s="97" customFormat="1">
      <c r="B3503" s="96"/>
      <c r="H3503" s="96"/>
      <c r="J3503" s="1"/>
      <c r="K3503" s="1"/>
      <c r="L3503" s="1"/>
      <c r="O3503" s="475"/>
      <c r="P3503" s="475"/>
      <c r="Q3503" s="475"/>
      <c r="R3503" s="475"/>
      <c r="S3503" s="475"/>
      <c r="T3503" s="475"/>
      <c r="U3503" s="475"/>
      <c r="V3503" s="475"/>
      <c r="W3503" s="475"/>
    </row>
    <row r="3504" spans="2:23" s="97" customFormat="1">
      <c r="B3504" s="96"/>
      <c r="H3504" s="96"/>
      <c r="J3504" s="1"/>
      <c r="K3504" s="1"/>
      <c r="L3504" s="1"/>
      <c r="O3504" s="475"/>
      <c r="P3504" s="475"/>
      <c r="Q3504" s="475"/>
      <c r="R3504" s="475"/>
      <c r="S3504" s="475"/>
      <c r="T3504" s="475"/>
      <c r="U3504" s="475"/>
      <c r="V3504" s="475"/>
      <c r="W3504" s="475"/>
    </row>
    <row r="3505" spans="2:23" s="97" customFormat="1">
      <c r="B3505" s="96"/>
      <c r="H3505" s="96"/>
      <c r="J3505" s="1"/>
      <c r="K3505" s="1"/>
      <c r="L3505" s="1"/>
      <c r="O3505" s="475"/>
      <c r="P3505" s="475"/>
      <c r="Q3505" s="475"/>
      <c r="R3505" s="475"/>
      <c r="S3505" s="475"/>
      <c r="T3505" s="475"/>
      <c r="U3505" s="475"/>
      <c r="V3505" s="475"/>
      <c r="W3505" s="475"/>
    </row>
    <row r="3506" spans="2:23" s="97" customFormat="1">
      <c r="B3506" s="96"/>
      <c r="H3506" s="96"/>
      <c r="J3506" s="1"/>
      <c r="K3506" s="1"/>
      <c r="L3506" s="1"/>
      <c r="O3506" s="475"/>
      <c r="P3506" s="475"/>
      <c r="Q3506" s="475"/>
      <c r="R3506" s="475"/>
      <c r="S3506" s="475"/>
      <c r="T3506" s="475"/>
      <c r="U3506" s="475"/>
      <c r="V3506" s="475"/>
      <c r="W3506" s="475"/>
    </row>
    <row r="3507" spans="2:23" s="97" customFormat="1">
      <c r="B3507" s="96"/>
      <c r="H3507" s="96"/>
      <c r="J3507" s="1"/>
      <c r="K3507" s="1"/>
      <c r="L3507" s="1"/>
      <c r="O3507" s="475"/>
      <c r="P3507" s="475"/>
      <c r="Q3507" s="475"/>
      <c r="R3507" s="475"/>
      <c r="S3507" s="475"/>
      <c r="T3507" s="475"/>
      <c r="U3507" s="475"/>
      <c r="V3507" s="475"/>
      <c r="W3507" s="475"/>
    </row>
    <row r="3508" spans="2:23" s="97" customFormat="1">
      <c r="B3508" s="96"/>
      <c r="H3508" s="96"/>
      <c r="J3508" s="1"/>
      <c r="K3508" s="1"/>
      <c r="L3508" s="1"/>
      <c r="O3508" s="475"/>
      <c r="P3508" s="475"/>
      <c r="Q3508" s="475"/>
      <c r="R3508" s="475"/>
      <c r="S3508" s="475"/>
      <c r="T3508" s="475"/>
      <c r="U3508" s="475"/>
      <c r="V3508" s="475"/>
      <c r="W3508" s="475"/>
    </row>
    <row r="3509" spans="2:23" s="97" customFormat="1">
      <c r="B3509" s="96"/>
      <c r="H3509" s="96"/>
      <c r="J3509" s="1"/>
      <c r="K3509" s="1"/>
      <c r="L3509" s="1"/>
      <c r="O3509" s="475"/>
      <c r="P3509" s="475"/>
      <c r="Q3509" s="475"/>
      <c r="R3509" s="475"/>
      <c r="S3509" s="475"/>
      <c r="T3509" s="475"/>
      <c r="U3509" s="475"/>
      <c r="V3509" s="475"/>
      <c r="W3509" s="475"/>
    </row>
    <row r="3510" spans="2:23" s="97" customFormat="1">
      <c r="B3510" s="96"/>
      <c r="H3510" s="96"/>
      <c r="J3510" s="1"/>
      <c r="K3510" s="1"/>
      <c r="L3510" s="1"/>
      <c r="O3510" s="475"/>
      <c r="P3510" s="475"/>
      <c r="Q3510" s="475"/>
      <c r="R3510" s="475"/>
      <c r="S3510" s="475"/>
      <c r="T3510" s="475"/>
      <c r="U3510" s="475"/>
      <c r="V3510" s="475"/>
      <c r="W3510" s="475"/>
    </row>
    <row r="3511" spans="2:23" s="97" customFormat="1">
      <c r="B3511" s="96"/>
      <c r="H3511" s="96"/>
      <c r="J3511" s="1"/>
      <c r="K3511" s="1"/>
      <c r="L3511" s="1"/>
      <c r="O3511" s="475"/>
      <c r="P3511" s="475"/>
      <c r="Q3511" s="475"/>
      <c r="R3511" s="475"/>
      <c r="S3511" s="475"/>
      <c r="T3511" s="475"/>
      <c r="U3511" s="475"/>
      <c r="V3511" s="475"/>
      <c r="W3511" s="475"/>
    </row>
    <row r="3512" spans="2:23" s="97" customFormat="1">
      <c r="B3512" s="96"/>
      <c r="H3512" s="96"/>
      <c r="J3512" s="1"/>
      <c r="K3512" s="1"/>
      <c r="L3512" s="1"/>
      <c r="O3512" s="475"/>
      <c r="P3512" s="475"/>
      <c r="Q3512" s="475"/>
      <c r="R3512" s="475"/>
      <c r="S3512" s="475"/>
      <c r="T3512" s="475"/>
      <c r="U3512" s="475"/>
      <c r="V3512" s="475"/>
      <c r="W3512" s="475"/>
    </row>
    <row r="3513" spans="2:23" s="97" customFormat="1">
      <c r="B3513" s="96"/>
      <c r="H3513" s="96"/>
      <c r="J3513" s="1"/>
      <c r="K3513" s="1"/>
      <c r="L3513" s="1"/>
      <c r="O3513" s="475"/>
      <c r="P3513" s="475"/>
      <c r="Q3513" s="475"/>
      <c r="R3513" s="475"/>
      <c r="S3513" s="475"/>
      <c r="T3513" s="475"/>
      <c r="U3513" s="475"/>
      <c r="V3513" s="475"/>
      <c r="W3513" s="475"/>
    </row>
    <row r="3514" spans="2:23" s="97" customFormat="1">
      <c r="B3514" s="96"/>
      <c r="H3514" s="96"/>
      <c r="J3514" s="1"/>
      <c r="K3514" s="1"/>
      <c r="L3514" s="1"/>
      <c r="O3514" s="475"/>
      <c r="P3514" s="475"/>
      <c r="Q3514" s="475"/>
      <c r="R3514" s="475"/>
      <c r="S3514" s="475"/>
      <c r="T3514" s="475"/>
      <c r="U3514" s="475"/>
      <c r="V3514" s="475"/>
      <c r="W3514" s="475"/>
    </row>
    <row r="3515" spans="2:23" s="97" customFormat="1">
      <c r="B3515" s="96"/>
      <c r="H3515" s="96"/>
      <c r="J3515" s="1"/>
      <c r="K3515" s="1"/>
      <c r="L3515" s="1"/>
      <c r="O3515" s="475"/>
      <c r="P3515" s="475"/>
      <c r="Q3515" s="475"/>
      <c r="R3515" s="475"/>
      <c r="S3515" s="475"/>
      <c r="T3515" s="475"/>
      <c r="U3515" s="475"/>
      <c r="V3515" s="475"/>
      <c r="W3515" s="475"/>
    </row>
    <row r="3516" spans="2:23" s="97" customFormat="1">
      <c r="B3516" s="96"/>
      <c r="H3516" s="96"/>
      <c r="J3516" s="1"/>
      <c r="K3516" s="1"/>
      <c r="L3516" s="1"/>
      <c r="O3516" s="475"/>
      <c r="P3516" s="475"/>
      <c r="Q3516" s="475"/>
      <c r="R3516" s="475"/>
      <c r="S3516" s="475"/>
      <c r="T3516" s="475"/>
      <c r="U3516" s="475"/>
      <c r="V3516" s="475"/>
      <c r="W3516" s="475"/>
    </row>
    <row r="3517" spans="2:23" s="97" customFormat="1">
      <c r="B3517" s="96"/>
      <c r="H3517" s="96"/>
      <c r="J3517" s="1"/>
      <c r="K3517" s="1"/>
      <c r="L3517" s="1"/>
      <c r="O3517" s="475"/>
      <c r="P3517" s="475"/>
      <c r="Q3517" s="475"/>
      <c r="R3517" s="475"/>
      <c r="S3517" s="475"/>
      <c r="T3517" s="475"/>
      <c r="U3517" s="475"/>
      <c r="V3517" s="475"/>
      <c r="W3517" s="475"/>
    </row>
    <row r="3518" spans="2:23" s="97" customFormat="1">
      <c r="B3518" s="96"/>
      <c r="H3518" s="96"/>
      <c r="J3518" s="1"/>
      <c r="K3518" s="1"/>
      <c r="L3518" s="1"/>
      <c r="O3518" s="475"/>
      <c r="P3518" s="475"/>
      <c r="Q3518" s="475"/>
      <c r="R3518" s="475"/>
      <c r="S3518" s="475"/>
      <c r="T3518" s="475"/>
      <c r="U3518" s="475"/>
      <c r="V3518" s="475"/>
      <c r="W3518" s="475"/>
    </row>
    <row r="3519" spans="2:23" s="97" customFormat="1">
      <c r="B3519" s="96"/>
      <c r="H3519" s="96"/>
      <c r="J3519" s="1"/>
      <c r="K3519" s="1"/>
      <c r="L3519" s="1"/>
      <c r="O3519" s="475"/>
      <c r="P3519" s="475"/>
      <c r="Q3519" s="475"/>
      <c r="R3519" s="475"/>
      <c r="S3519" s="475"/>
      <c r="T3519" s="475"/>
      <c r="U3519" s="475"/>
      <c r="V3519" s="475"/>
      <c r="W3519" s="475"/>
    </row>
    <row r="3520" spans="2:23" s="97" customFormat="1">
      <c r="B3520" s="96"/>
      <c r="H3520" s="96"/>
      <c r="J3520" s="1"/>
      <c r="K3520" s="1"/>
      <c r="L3520" s="1"/>
      <c r="O3520" s="475"/>
      <c r="P3520" s="475"/>
      <c r="Q3520" s="475"/>
      <c r="R3520" s="475"/>
      <c r="S3520" s="475"/>
      <c r="T3520" s="475"/>
      <c r="U3520" s="475"/>
      <c r="V3520" s="475"/>
      <c r="W3520" s="475"/>
    </row>
    <row r="3521" spans="2:23" s="97" customFormat="1">
      <c r="B3521" s="96"/>
      <c r="H3521" s="96"/>
      <c r="J3521" s="1"/>
      <c r="K3521" s="1"/>
      <c r="L3521" s="1"/>
      <c r="O3521" s="475"/>
      <c r="P3521" s="475"/>
      <c r="Q3521" s="475"/>
      <c r="R3521" s="475"/>
      <c r="S3521" s="475"/>
      <c r="T3521" s="475"/>
      <c r="U3521" s="475"/>
      <c r="V3521" s="475"/>
      <c r="W3521" s="475"/>
    </row>
    <row r="3522" spans="2:23" s="97" customFormat="1">
      <c r="B3522" s="96"/>
      <c r="H3522" s="96"/>
      <c r="J3522" s="1"/>
      <c r="K3522" s="1"/>
      <c r="L3522" s="1"/>
      <c r="O3522" s="475"/>
      <c r="P3522" s="475"/>
      <c r="Q3522" s="475"/>
      <c r="R3522" s="475"/>
      <c r="S3522" s="475"/>
      <c r="T3522" s="475"/>
      <c r="U3522" s="475"/>
      <c r="V3522" s="475"/>
      <c r="W3522" s="475"/>
    </row>
    <row r="3523" spans="2:23" s="97" customFormat="1">
      <c r="B3523" s="96"/>
      <c r="H3523" s="96"/>
      <c r="J3523" s="1"/>
      <c r="K3523" s="1"/>
      <c r="L3523" s="1"/>
      <c r="O3523" s="475"/>
      <c r="P3523" s="475"/>
      <c r="Q3523" s="475"/>
      <c r="R3523" s="475"/>
      <c r="S3523" s="475"/>
      <c r="T3523" s="475"/>
      <c r="U3523" s="475"/>
      <c r="V3523" s="475"/>
      <c r="W3523" s="475"/>
    </row>
    <row r="3524" spans="2:23" s="97" customFormat="1">
      <c r="B3524" s="96"/>
      <c r="H3524" s="96"/>
      <c r="J3524" s="1"/>
      <c r="K3524" s="1"/>
      <c r="L3524" s="1"/>
      <c r="O3524" s="475"/>
      <c r="P3524" s="475"/>
      <c r="Q3524" s="475"/>
      <c r="R3524" s="475"/>
      <c r="S3524" s="475"/>
      <c r="T3524" s="475"/>
      <c r="U3524" s="475"/>
      <c r="V3524" s="475"/>
      <c r="W3524" s="475"/>
    </row>
    <row r="3525" spans="2:23" s="97" customFormat="1">
      <c r="B3525" s="96"/>
      <c r="H3525" s="96"/>
      <c r="J3525" s="1"/>
      <c r="K3525" s="1"/>
      <c r="L3525" s="1"/>
      <c r="O3525" s="475"/>
      <c r="P3525" s="475"/>
      <c r="Q3525" s="475"/>
      <c r="R3525" s="475"/>
      <c r="S3525" s="475"/>
      <c r="T3525" s="475"/>
      <c r="U3525" s="475"/>
      <c r="V3525" s="475"/>
      <c r="W3525" s="475"/>
    </row>
    <row r="3526" spans="2:23" s="97" customFormat="1">
      <c r="B3526" s="96"/>
      <c r="H3526" s="96"/>
      <c r="J3526" s="1"/>
      <c r="K3526" s="1"/>
      <c r="L3526" s="1"/>
      <c r="O3526" s="475"/>
      <c r="P3526" s="475"/>
      <c r="Q3526" s="475"/>
      <c r="R3526" s="475"/>
      <c r="S3526" s="475"/>
      <c r="T3526" s="475"/>
      <c r="U3526" s="475"/>
      <c r="V3526" s="475"/>
      <c r="W3526" s="475"/>
    </row>
    <row r="3527" spans="2:23" s="97" customFormat="1">
      <c r="B3527" s="96"/>
      <c r="H3527" s="96"/>
      <c r="J3527" s="1"/>
      <c r="K3527" s="1"/>
      <c r="L3527" s="1"/>
      <c r="O3527" s="475"/>
      <c r="P3527" s="475"/>
      <c r="Q3527" s="475"/>
      <c r="R3527" s="475"/>
      <c r="S3527" s="475"/>
      <c r="T3527" s="475"/>
      <c r="U3527" s="475"/>
      <c r="V3527" s="475"/>
      <c r="W3527" s="475"/>
    </row>
    <row r="3528" spans="2:23" s="97" customFormat="1">
      <c r="B3528" s="96"/>
      <c r="H3528" s="96"/>
      <c r="J3528" s="1"/>
      <c r="K3528" s="1"/>
      <c r="L3528" s="1"/>
      <c r="O3528" s="475"/>
      <c r="P3528" s="475"/>
      <c r="Q3528" s="475"/>
      <c r="R3528" s="475"/>
      <c r="S3528" s="475"/>
      <c r="T3528" s="475"/>
      <c r="U3528" s="475"/>
      <c r="V3528" s="475"/>
      <c r="W3528" s="475"/>
    </row>
    <row r="3529" spans="2:23" s="97" customFormat="1">
      <c r="B3529" s="96"/>
      <c r="H3529" s="96"/>
      <c r="J3529" s="1"/>
      <c r="K3529" s="1"/>
      <c r="L3529" s="1"/>
      <c r="O3529" s="475"/>
      <c r="P3529" s="475"/>
      <c r="Q3529" s="475"/>
      <c r="R3529" s="475"/>
      <c r="S3529" s="475"/>
      <c r="T3529" s="475"/>
      <c r="U3529" s="475"/>
      <c r="V3529" s="475"/>
      <c r="W3529" s="475"/>
    </row>
    <row r="3530" spans="2:23" s="97" customFormat="1">
      <c r="B3530" s="96"/>
      <c r="H3530" s="96"/>
      <c r="J3530" s="1"/>
      <c r="K3530" s="1"/>
      <c r="L3530" s="1"/>
      <c r="O3530" s="475"/>
      <c r="P3530" s="475"/>
      <c r="Q3530" s="475"/>
      <c r="R3530" s="475"/>
      <c r="S3530" s="475"/>
      <c r="T3530" s="475"/>
      <c r="U3530" s="475"/>
      <c r="V3530" s="475"/>
      <c r="W3530" s="475"/>
    </row>
    <row r="3531" spans="2:23" s="97" customFormat="1">
      <c r="B3531" s="96"/>
      <c r="H3531" s="96"/>
      <c r="J3531" s="1"/>
      <c r="K3531" s="1"/>
      <c r="L3531" s="1"/>
      <c r="O3531" s="475"/>
      <c r="P3531" s="475"/>
      <c r="Q3531" s="475"/>
      <c r="R3531" s="475"/>
      <c r="S3531" s="475"/>
      <c r="T3531" s="475"/>
      <c r="U3531" s="475"/>
      <c r="V3531" s="475"/>
      <c r="W3531" s="475"/>
    </row>
    <row r="3532" spans="2:23" s="97" customFormat="1">
      <c r="B3532" s="96"/>
      <c r="H3532" s="96"/>
      <c r="J3532" s="1"/>
      <c r="K3532" s="1"/>
      <c r="L3532" s="1"/>
      <c r="O3532" s="475"/>
      <c r="P3532" s="475"/>
      <c r="Q3532" s="475"/>
      <c r="R3532" s="475"/>
      <c r="S3532" s="475"/>
      <c r="T3532" s="475"/>
      <c r="U3532" s="475"/>
      <c r="V3532" s="475"/>
      <c r="W3532" s="475"/>
    </row>
    <row r="3533" spans="2:23" s="97" customFormat="1">
      <c r="B3533" s="96"/>
      <c r="H3533" s="96"/>
      <c r="J3533" s="1"/>
      <c r="K3533" s="1"/>
      <c r="L3533" s="1"/>
      <c r="O3533" s="475"/>
      <c r="P3533" s="475"/>
      <c r="Q3533" s="475"/>
      <c r="R3533" s="475"/>
      <c r="S3533" s="475"/>
      <c r="T3533" s="475"/>
      <c r="U3533" s="475"/>
      <c r="V3533" s="475"/>
      <c r="W3533" s="475"/>
    </row>
    <row r="3534" spans="2:23" s="97" customFormat="1">
      <c r="B3534" s="96"/>
      <c r="H3534" s="96"/>
      <c r="J3534" s="1"/>
      <c r="K3534" s="1"/>
      <c r="L3534" s="1"/>
      <c r="O3534" s="475"/>
      <c r="P3534" s="475"/>
      <c r="Q3534" s="475"/>
      <c r="R3534" s="475"/>
      <c r="S3534" s="475"/>
      <c r="T3534" s="475"/>
      <c r="U3534" s="475"/>
      <c r="V3534" s="475"/>
      <c r="W3534" s="475"/>
    </row>
    <row r="3535" spans="2:23" s="97" customFormat="1">
      <c r="B3535" s="96"/>
      <c r="H3535" s="96"/>
      <c r="J3535" s="1"/>
      <c r="K3535" s="1"/>
      <c r="L3535" s="1"/>
      <c r="O3535" s="475"/>
      <c r="P3535" s="475"/>
      <c r="Q3535" s="475"/>
      <c r="R3535" s="475"/>
      <c r="S3535" s="475"/>
      <c r="T3535" s="475"/>
      <c r="U3535" s="475"/>
      <c r="V3535" s="475"/>
      <c r="W3535" s="475"/>
    </row>
    <row r="3536" spans="2:23" s="97" customFormat="1">
      <c r="B3536" s="96"/>
      <c r="H3536" s="96"/>
      <c r="J3536" s="1"/>
      <c r="K3536" s="1"/>
      <c r="L3536" s="1"/>
      <c r="O3536" s="475"/>
      <c r="P3536" s="475"/>
      <c r="Q3536" s="475"/>
      <c r="R3536" s="475"/>
      <c r="S3536" s="475"/>
      <c r="T3536" s="475"/>
      <c r="U3536" s="475"/>
      <c r="V3536" s="475"/>
      <c r="W3536" s="475"/>
    </row>
    <row r="3537" spans="2:23" s="97" customFormat="1">
      <c r="B3537" s="96"/>
      <c r="H3537" s="96"/>
      <c r="J3537" s="1"/>
      <c r="K3537" s="1"/>
      <c r="L3537" s="1"/>
      <c r="O3537" s="475"/>
      <c r="P3537" s="475"/>
      <c r="Q3537" s="475"/>
      <c r="R3537" s="475"/>
      <c r="S3537" s="475"/>
      <c r="T3537" s="475"/>
      <c r="U3537" s="475"/>
      <c r="V3537" s="475"/>
      <c r="W3537" s="475"/>
    </row>
    <row r="3538" spans="2:23" s="97" customFormat="1">
      <c r="B3538" s="96"/>
      <c r="H3538" s="96"/>
      <c r="J3538" s="1"/>
      <c r="K3538" s="1"/>
      <c r="L3538" s="1"/>
      <c r="O3538" s="475"/>
      <c r="P3538" s="475"/>
      <c r="Q3538" s="475"/>
      <c r="R3538" s="475"/>
      <c r="S3538" s="475"/>
      <c r="T3538" s="475"/>
      <c r="U3538" s="475"/>
      <c r="V3538" s="475"/>
      <c r="W3538" s="475"/>
    </row>
    <row r="3539" spans="2:23" s="97" customFormat="1">
      <c r="B3539" s="96"/>
      <c r="H3539" s="96"/>
      <c r="J3539" s="1"/>
      <c r="K3539" s="1"/>
      <c r="L3539" s="1"/>
      <c r="O3539" s="475"/>
      <c r="P3539" s="475"/>
      <c r="Q3539" s="475"/>
      <c r="R3539" s="475"/>
      <c r="S3539" s="475"/>
      <c r="T3539" s="475"/>
      <c r="U3539" s="475"/>
      <c r="V3539" s="475"/>
      <c r="W3539" s="475"/>
    </row>
    <row r="3540" spans="2:23" s="97" customFormat="1">
      <c r="B3540" s="96"/>
      <c r="H3540" s="96"/>
      <c r="J3540" s="1"/>
      <c r="K3540" s="1"/>
      <c r="L3540" s="1"/>
      <c r="O3540" s="475"/>
      <c r="P3540" s="475"/>
      <c r="Q3540" s="475"/>
      <c r="R3540" s="475"/>
      <c r="S3540" s="475"/>
      <c r="T3540" s="475"/>
      <c r="U3540" s="475"/>
      <c r="V3540" s="475"/>
      <c r="W3540" s="475"/>
    </row>
    <row r="3541" spans="2:23" s="97" customFormat="1">
      <c r="B3541" s="96"/>
      <c r="H3541" s="96"/>
      <c r="J3541" s="1"/>
      <c r="K3541" s="1"/>
      <c r="L3541" s="1"/>
      <c r="O3541" s="475"/>
      <c r="P3541" s="475"/>
      <c r="Q3541" s="475"/>
      <c r="R3541" s="475"/>
      <c r="S3541" s="475"/>
      <c r="T3541" s="475"/>
      <c r="U3541" s="475"/>
      <c r="V3541" s="475"/>
      <c r="W3541" s="475"/>
    </row>
    <row r="3542" spans="2:23" s="97" customFormat="1">
      <c r="B3542" s="96"/>
      <c r="H3542" s="96"/>
      <c r="J3542" s="1"/>
      <c r="K3542" s="1"/>
      <c r="L3542" s="1"/>
      <c r="O3542" s="475"/>
      <c r="P3542" s="475"/>
      <c r="Q3542" s="475"/>
      <c r="R3542" s="475"/>
      <c r="S3542" s="475"/>
      <c r="T3542" s="475"/>
      <c r="U3542" s="475"/>
      <c r="V3542" s="475"/>
      <c r="W3542" s="475"/>
    </row>
    <row r="3543" spans="2:23" s="97" customFormat="1">
      <c r="B3543" s="96"/>
      <c r="H3543" s="96"/>
      <c r="J3543" s="1"/>
      <c r="K3543" s="1"/>
      <c r="L3543" s="1"/>
      <c r="O3543" s="475"/>
      <c r="P3543" s="475"/>
      <c r="Q3543" s="475"/>
      <c r="R3543" s="475"/>
      <c r="S3543" s="475"/>
      <c r="T3543" s="475"/>
      <c r="U3543" s="475"/>
      <c r="V3543" s="475"/>
      <c r="W3543" s="475"/>
    </row>
    <row r="3544" spans="2:23" s="97" customFormat="1">
      <c r="B3544" s="96"/>
      <c r="H3544" s="96"/>
      <c r="J3544" s="1"/>
      <c r="K3544" s="1"/>
      <c r="L3544" s="1"/>
      <c r="O3544" s="475"/>
      <c r="P3544" s="475"/>
      <c r="Q3544" s="475"/>
      <c r="R3544" s="475"/>
      <c r="S3544" s="475"/>
      <c r="T3544" s="475"/>
      <c r="U3544" s="475"/>
      <c r="V3544" s="475"/>
      <c r="W3544" s="475"/>
    </row>
    <row r="3545" spans="2:23" s="97" customFormat="1">
      <c r="B3545" s="96"/>
      <c r="H3545" s="96"/>
      <c r="J3545" s="1"/>
      <c r="K3545" s="1"/>
      <c r="L3545" s="1"/>
      <c r="O3545" s="475"/>
      <c r="P3545" s="475"/>
      <c r="Q3545" s="475"/>
      <c r="R3545" s="475"/>
      <c r="S3545" s="475"/>
      <c r="T3545" s="475"/>
      <c r="U3545" s="475"/>
      <c r="V3545" s="475"/>
      <c r="W3545" s="475"/>
    </row>
    <row r="3546" spans="2:23" s="97" customFormat="1">
      <c r="B3546" s="96"/>
      <c r="H3546" s="96"/>
      <c r="J3546" s="1"/>
      <c r="K3546" s="1"/>
      <c r="L3546" s="1"/>
      <c r="O3546" s="475"/>
      <c r="P3546" s="475"/>
      <c r="Q3546" s="475"/>
      <c r="R3546" s="475"/>
      <c r="S3546" s="475"/>
      <c r="T3546" s="475"/>
      <c r="U3546" s="475"/>
      <c r="V3546" s="475"/>
      <c r="W3546" s="475"/>
    </row>
    <row r="3547" spans="2:23" s="97" customFormat="1">
      <c r="B3547" s="96"/>
      <c r="H3547" s="96"/>
      <c r="J3547" s="1"/>
      <c r="K3547" s="1"/>
      <c r="L3547" s="1"/>
      <c r="O3547" s="475"/>
      <c r="P3547" s="475"/>
      <c r="Q3547" s="475"/>
      <c r="R3547" s="475"/>
      <c r="S3547" s="475"/>
      <c r="T3547" s="475"/>
      <c r="U3547" s="475"/>
      <c r="V3547" s="475"/>
      <c r="W3547" s="475"/>
    </row>
    <row r="3548" spans="2:23" s="97" customFormat="1">
      <c r="B3548" s="96"/>
      <c r="H3548" s="96"/>
      <c r="J3548" s="1"/>
      <c r="K3548" s="1"/>
      <c r="L3548" s="1"/>
      <c r="O3548" s="475"/>
      <c r="P3548" s="475"/>
      <c r="Q3548" s="475"/>
      <c r="R3548" s="475"/>
      <c r="S3548" s="475"/>
      <c r="T3548" s="475"/>
      <c r="U3548" s="475"/>
      <c r="V3548" s="475"/>
      <c r="W3548" s="475"/>
    </row>
    <row r="3549" spans="2:23" s="97" customFormat="1">
      <c r="B3549" s="96"/>
      <c r="H3549" s="96"/>
      <c r="J3549" s="1"/>
      <c r="K3549" s="1"/>
      <c r="L3549" s="1"/>
      <c r="O3549" s="475"/>
      <c r="P3549" s="475"/>
      <c r="Q3549" s="475"/>
      <c r="R3549" s="475"/>
      <c r="S3549" s="475"/>
      <c r="T3549" s="475"/>
      <c r="U3549" s="475"/>
      <c r="V3549" s="475"/>
      <c r="W3549" s="475"/>
    </row>
    <row r="3550" spans="2:23" s="97" customFormat="1">
      <c r="B3550" s="96"/>
      <c r="H3550" s="96"/>
      <c r="J3550" s="1"/>
      <c r="K3550" s="1"/>
      <c r="L3550" s="1"/>
      <c r="O3550" s="475"/>
      <c r="P3550" s="475"/>
      <c r="Q3550" s="475"/>
      <c r="R3550" s="475"/>
      <c r="S3550" s="475"/>
      <c r="T3550" s="475"/>
      <c r="U3550" s="475"/>
      <c r="V3550" s="475"/>
      <c r="W3550" s="475"/>
    </row>
    <row r="3551" spans="2:23" s="97" customFormat="1">
      <c r="B3551" s="96"/>
      <c r="H3551" s="96"/>
      <c r="J3551" s="1"/>
      <c r="K3551" s="1"/>
      <c r="L3551" s="1"/>
      <c r="O3551" s="475"/>
      <c r="P3551" s="475"/>
      <c r="Q3551" s="475"/>
      <c r="R3551" s="475"/>
      <c r="S3551" s="475"/>
      <c r="T3551" s="475"/>
      <c r="U3551" s="475"/>
      <c r="V3551" s="475"/>
      <c r="W3551" s="475"/>
    </row>
    <row r="3552" spans="2:23" s="97" customFormat="1">
      <c r="B3552" s="96"/>
      <c r="H3552" s="96"/>
      <c r="J3552" s="1"/>
      <c r="K3552" s="1"/>
      <c r="L3552" s="1"/>
      <c r="O3552" s="475"/>
      <c r="P3552" s="475"/>
      <c r="Q3552" s="475"/>
      <c r="R3552" s="475"/>
      <c r="S3552" s="475"/>
      <c r="T3552" s="475"/>
      <c r="U3552" s="475"/>
      <c r="V3552" s="475"/>
      <c r="W3552" s="475"/>
    </row>
    <row r="3553" spans="2:23" s="97" customFormat="1">
      <c r="B3553" s="96"/>
      <c r="H3553" s="96"/>
      <c r="J3553" s="1"/>
      <c r="K3553" s="1"/>
      <c r="L3553" s="1"/>
      <c r="O3553" s="475"/>
      <c r="P3553" s="475"/>
      <c r="Q3553" s="475"/>
      <c r="R3553" s="475"/>
      <c r="S3553" s="475"/>
      <c r="T3553" s="475"/>
      <c r="U3553" s="475"/>
      <c r="V3553" s="475"/>
      <c r="W3553" s="475"/>
    </row>
    <row r="3554" spans="2:23" s="97" customFormat="1">
      <c r="B3554" s="96"/>
      <c r="H3554" s="96"/>
      <c r="J3554" s="1"/>
      <c r="K3554" s="1"/>
      <c r="L3554" s="1"/>
      <c r="O3554" s="475"/>
      <c r="P3554" s="475"/>
      <c r="Q3554" s="475"/>
      <c r="R3554" s="475"/>
      <c r="S3554" s="475"/>
      <c r="T3554" s="475"/>
      <c r="U3554" s="475"/>
      <c r="V3554" s="475"/>
      <c r="W3554" s="475"/>
    </row>
    <row r="3555" spans="2:23" s="97" customFormat="1">
      <c r="B3555" s="96"/>
      <c r="H3555" s="96"/>
      <c r="J3555" s="1"/>
      <c r="K3555" s="1"/>
      <c r="L3555" s="1"/>
      <c r="O3555" s="475"/>
      <c r="P3555" s="475"/>
      <c r="Q3555" s="475"/>
      <c r="R3555" s="475"/>
      <c r="S3555" s="475"/>
      <c r="T3555" s="475"/>
      <c r="U3555" s="475"/>
      <c r="V3555" s="475"/>
      <c r="W3555" s="475"/>
    </row>
    <row r="3556" spans="2:23" s="97" customFormat="1">
      <c r="B3556" s="96"/>
      <c r="H3556" s="96"/>
      <c r="J3556" s="1"/>
      <c r="K3556" s="1"/>
      <c r="L3556" s="1"/>
      <c r="O3556" s="475"/>
      <c r="P3556" s="475"/>
      <c r="Q3556" s="475"/>
      <c r="R3556" s="475"/>
      <c r="S3556" s="475"/>
      <c r="T3556" s="475"/>
      <c r="U3556" s="475"/>
      <c r="V3556" s="475"/>
      <c r="W3556" s="475"/>
    </row>
    <row r="3557" spans="2:23" s="97" customFormat="1">
      <c r="B3557" s="96"/>
      <c r="H3557" s="96"/>
      <c r="J3557" s="1"/>
      <c r="K3557" s="1"/>
      <c r="L3557" s="1"/>
      <c r="O3557" s="475"/>
      <c r="P3557" s="475"/>
      <c r="Q3557" s="475"/>
      <c r="R3557" s="475"/>
      <c r="S3557" s="475"/>
      <c r="T3557" s="475"/>
      <c r="U3557" s="475"/>
      <c r="V3557" s="475"/>
      <c r="W3557" s="475"/>
    </row>
    <row r="3558" spans="2:23" s="97" customFormat="1">
      <c r="B3558" s="96"/>
      <c r="H3558" s="96"/>
      <c r="J3558" s="1"/>
      <c r="K3558" s="1"/>
      <c r="L3558" s="1"/>
      <c r="O3558" s="475"/>
      <c r="P3558" s="475"/>
      <c r="Q3558" s="475"/>
      <c r="R3558" s="475"/>
      <c r="S3558" s="475"/>
      <c r="T3558" s="475"/>
      <c r="U3558" s="475"/>
      <c r="V3558" s="475"/>
      <c r="W3558" s="475"/>
    </row>
    <row r="3559" spans="2:23" s="97" customFormat="1">
      <c r="B3559" s="96"/>
      <c r="H3559" s="96"/>
      <c r="J3559" s="1"/>
      <c r="K3559" s="1"/>
      <c r="L3559" s="1"/>
      <c r="O3559" s="475"/>
      <c r="P3559" s="475"/>
      <c r="Q3559" s="475"/>
      <c r="R3559" s="475"/>
      <c r="S3559" s="475"/>
      <c r="T3559" s="475"/>
      <c r="U3559" s="475"/>
      <c r="V3559" s="475"/>
      <c r="W3559" s="475"/>
    </row>
    <row r="3560" spans="2:23" s="97" customFormat="1">
      <c r="B3560" s="96"/>
      <c r="H3560" s="96"/>
      <c r="J3560" s="1"/>
      <c r="K3560" s="1"/>
      <c r="L3560" s="1"/>
      <c r="O3560" s="475"/>
      <c r="P3560" s="475"/>
      <c r="Q3560" s="475"/>
      <c r="R3560" s="475"/>
      <c r="S3560" s="475"/>
      <c r="T3560" s="475"/>
      <c r="U3560" s="475"/>
      <c r="V3560" s="475"/>
      <c r="W3560" s="475"/>
    </row>
    <row r="3561" spans="2:23" s="97" customFormat="1">
      <c r="B3561" s="96"/>
      <c r="H3561" s="96"/>
      <c r="J3561" s="1"/>
      <c r="K3561" s="1"/>
      <c r="L3561" s="1"/>
      <c r="O3561" s="475"/>
      <c r="P3561" s="475"/>
      <c r="Q3561" s="475"/>
      <c r="R3561" s="475"/>
      <c r="S3561" s="475"/>
      <c r="T3561" s="475"/>
      <c r="U3561" s="475"/>
      <c r="V3561" s="475"/>
      <c r="W3561" s="475"/>
    </row>
    <row r="3562" spans="2:23" s="97" customFormat="1">
      <c r="B3562" s="96"/>
      <c r="H3562" s="96"/>
      <c r="J3562" s="1"/>
      <c r="K3562" s="1"/>
      <c r="L3562" s="1"/>
      <c r="O3562" s="475"/>
      <c r="P3562" s="475"/>
      <c r="Q3562" s="475"/>
      <c r="R3562" s="475"/>
      <c r="S3562" s="475"/>
      <c r="T3562" s="475"/>
      <c r="U3562" s="475"/>
      <c r="V3562" s="475"/>
      <c r="W3562" s="475"/>
    </row>
    <row r="3563" spans="2:23" s="97" customFormat="1">
      <c r="B3563" s="96"/>
      <c r="H3563" s="96"/>
      <c r="J3563" s="1"/>
      <c r="K3563" s="1"/>
      <c r="L3563" s="1"/>
      <c r="O3563" s="475"/>
      <c r="P3563" s="475"/>
      <c r="Q3563" s="475"/>
      <c r="R3563" s="475"/>
      <c r="S3563" s="475"/>
      <c r="T3563" s="475"/>
      <c r="U3563" s="475"/>
      <c r="V3563" s="475"/>
      <c r="W3563" s="475"/>
    </row>
    <row r="3564" spans="2:23" s="97" customFormat="1">
      <c r="B3564" s="96"/>
      <c r="H3564" s="96"/>
      <c r="J3564" s="1"/>
      <c r="K3564" s="1"/>
      <c r="L3564" s="1"/>
      <c r="O3564" s="475"/>
      <c r="P3564" s="475"/>
      <c r="Q3564" s="475"/>
      <c r="R3564" s="475"/>
      <c r="S3564" s="475"/>
      <c r="T3564" s="475"/>
      <c r="U3564" s="475"/>
      <c r="V3564" s="475"/>
      <c r="W3564" s="475"/>
    </row>
    <row r="3565" spans="2:23" s="97" customFormat="1">
      <c r="B3565" s="96"/>
      <c r="H3565" s="96"/>
      <c r="J3565" s="1"/>
      <c r="K3565" s="1"/>
      <c r="L3565" s="1"/>
      <c r="O3565" s="475"/>
      <c r="P3565" s="475"/>
      <c r="Q3565" s="475"/>
      <c r="R3565" s="475"/>
      <c r="S3565" s="475"/>
      <c r="T3565" s="475"/>
      <c r="U3565" s="475"/>
      <c r="V3565" s="475"/>
      <c r="W3565" s="475"/>
    </row>
    <row r="3566" spans="2:23" s="97" customFormat="1">
      <c r="B3566" s="96"/>
      <c r="H3566" s="96"/>
      <c r="J3566" s="1"/>
      <c r="K3566" s="1"/>
      <c r="L3566" s="1"/>
      <c r="O3566" s="475"/>
      <c r="P3566" s="475"/>
      <c r="Q3566" s="475"/>
      <c r="R3566" s="475"/>
      <c r="S3566" s="475"/>
      <c r="T3566" s="475"/>
      <c r="U3566" s="475"/>
      <c r="V3566" s="475"/>
      <c r="W3566" s="475"/>
    </row>
    <row r="3567" spans="2:23" s="97" customFormat="1">
      <c r="B3567" s="96"/>
      <c r="H3567" s="96"/>
      <c r="J3567" s="1"/>
      <c r="K3567" s="1"/>
      <c r="L3567" s="1"/>
      <c r="O3567" s="475"/>
      <c r="P3567" s="475"/>
      <c r="Q3567" s="475"/>
      <c r="R3567" s="475"/>
      <c r="S3567" s="475"/>
      <c r="T3567" s="475"/>
      <c r="U3567" s="475"/>
      <c r="V3567" s="475"/>
      <c r="W3567" s="475"/>
    </row>
    <row r="3568" spans="2:23" s="97" customFormat="1">
      <c r="B3568" s="96"/>
      <c r="H3568" s="96"/>
      <c r="J3568" s="1"/>
      <c r="K3568" s="1"/>
      <c r="L3568" s="1"/>
      <c r="O3568" s="475"/>
      <c r="P3568" s="475"/>
      <c r="Q3568" s="475"/>
      <c r="R3568" s="475"/>
      <c r="S3568" s="475"/>
      <c r="T3568" s="475"/>
      <c r="U3568" s="475"/>
      <c r="V3568" s="475"/>
      <c r="W3568" s="475"/>
    </row>
    <row r="3569" spans="2:23" s="97" customFormat="1">
      <c r="B3569" s="96"/>
      <c r="H3569" s="96"/>
      <c r="J3569" s="1"/>
      <c r="K3569" s="1"/>
      <c r="L3569" s="1"/>
      <c r="O3569" s="475"/>
      <c r="P3569" s="475"/>
      <c r="Q3569" s="475"/>
      <c r="R3569" s="475"/>
      <c r="S3569" s="475"/>
      <c r="T3569" s="475"/>
      <c r="U3569" s="475"/>
      <c r="V3569" s="475"/>
      <c r="W3569" s="475"/>
    </row>
    <row r="3570" spans="2:23" s="97" customFormat="1">
      <c r="B3570" s="96"/>
      <c r="H3570" s="96"/>
      <c r="J3570" s="1"/>
      <c r="K3570" s="1"/>
      <c r="L3570" s="1"/>
      <c r="O3570" s="475"/>
      <c r="P3570" s="475"/>
      <c r="Q3570" s="475"/>
      <c r="R3570" s="475"/>
      <c r="S3570" s="475"/>
      <c r="T3570" s="475"/>
      <c r="U3570" s="475"/>
      <c r="V3570" s="475"/>
      <c r="W3570" s="475"/>
    </row>
    <row r="3571" spans="2:23" s="97" customFormat="1">
      <c r="B3571" s="96"/>
      <c r="H3571" s="96"/>
      <c r="J3571" s="1"/>
      <c r="K3571" s="1"/>
      <c r="L3571" s="1"/>
      <c r="O3571" s="475"/>
      <c r="P3571" s="475"/>
      <c r="Q3571" s="475"/>
      <c r="R3571" s="475"/>
      <c r="S3571" s="475"/>
      <c r="T3571" s="475"/>
      <c r="U3571" s="475"/>
      <c r="V3571" s="475"/>
      <c r="W3571" s="475"/>
    </row>
    <row r="3572" spans="2:23" s="97" customFormat="1">
      <c r="B3572" s="96"/>
      <c r="H3572" s="96"/>
      <c r="J3572" s="1"/>
      <c r="K3572" s="1"/>
      <c r="L3572" s="1"/>
      <c r="O3572" s="475"/>
      <c r="P3572" s="475"/>
      <c r="Q3572" s="475"/>
      <c r="R3572" s="475"/>
      <c r="S3572" s="475"/>
      <c r="T3572" s="475"/>
      <c r="U3572" s="475"/>
      <c r="V3572" s="475"/>
      <c r="W3572" s="475"/>
    </row>
    <row r="3573" spans="2:23" s="97" customFormat="1">
      <c r="B3573" s="96"/>
      <c r="H3573" s="96"/>
      <c r="J3573" s="1"/>
      <c r="K3573" s="1"/>
      <c r="L3573" s="1"/>
      <c r="O3573" s="475"/>
      <c r="P3573" s="475"/>
      <c r="Q3573" s="475"/>
      <c r="R3573" s="475"/>
      <c r="S3573" s="475"/>
      <c r="T3573" s="475"/>
      <c r="U3573" s="475"/>
      <c r="V3573" s="475"/>
      <c r="W3573" s="475"/>
    </row>
    <row r="3574" spans="2:23" s="97" customFormat="1">
      <c r="B3574" s="96"/>
      <c r="H3574" s="96"/>
      <c r="J3574" s="1"/>
      <c r="K3574" s="1"/>
      <c r="L3574" s="1"/>
      <c r="O3574" s="475"/>
      <c r="P3574" s="475"/>
      <c r="Q3574" s="475"/>
      <c r="R3574" s="475"/>
      <c r="S3574" s="475"/>
      <c r="T3574" s="475"/>
      <c r="U3574" s="475"/>
      <c r="V3574" s="475"/>
      <c r="W3574" s="475"/>
    </row>
    <row r="3575" spans="2:23" s="97" customFormat="1">
      <c r="B3575" s="96"/>
      <c r="H3575" s="96"/>
      <c r="J3575" s="1"/>
      <c r="K3575" s="1"/>
      <c r="L3575" s="1"/>
      <c r="O3575" s="475"/>
      <c r="P3575" s="475"/>
      <c r="Q3575" s="475"/>
      <c r="R3575" s="475"/>
      <c r="S3575" s="475"/>
      <c r="T3575" s="475"/>
      <c r="U3575" s="475"/>
      <c r="V3575" s="475"/>
      <c r="W3575" s="475"/>
    </row>
    <row r="3576" spans="2:23" s="97" customFormat="1">
      <c r="B3576" s="96"/>
      <c r="H3576" s="96"/>
      <c r="J3576" s="1"/>
      <c r="K3576" s="1"/>
      <c r="L3576" s="1"/>
      <c r="O3576" s="475"/>
      <c r="P3576" s="475"/>
      <c r="Q3576" s="475"/>
      <c r="R3576" s="475"/>
      <c r="S3576" s="475"/>
      <c r="T3576" s="475"/>
      <c r="U3576" s="475"/>
      <c r="V3576" s="475"/>
      <c r="W3576" s="475"/>
    </row>
    <row r="3577" spans="2:23" s="97" customFormat="1">
      <c r="B3577" s="96"/>
      <c r="H3577" s="96"/>
      <c r="J3577" s="1"/>
      <c r="K3577" s="1"/>
      <c r="L3577" s="1"/>
      <c r="O3577" s="475"/>
      <c r="P3577" s="475"/>
      <c r="Q3577" s="475"/>
      <c r="R3577" s="475"/>
      <c r="S3577" s="475"/>
      <c r="T3577" s="475"/>
      <c r="U3577" s="475"/>
      <c r="V3577" s="475"/>
      <c r="W3577" s="475"/>
    </row>
    <row r="3578" spans="2:23" s="97" customFormat="1">
      <c r="B3578" s="96"/>
      <c r="H3578" s="96"/>
      <c r="J3578" s="1"/>
      <c r="K3578" s="1"/>
      <c r="L3578" s="1"/>
      <c r="O3578" s="475"/>
      <c r="P3578" s="475"/>
      <c r="Q3578" s="475"/>
      <c r="R3578" s="475"/>
      <c r="S3578" s="475"/>
      <c r="T3578" s="475"/>
      <c r="U3578" s="475"/>
      <c r="V3578" s="475"/>
      <c r="W3578" s="475"/>
    </row>
    <row r="3579" spans="2:23" s="97" customFormat="1">
      <c r="B3579" s="96"/>
      <c r="H3579" s="96"/>
      <c r="J3579" s="1"/>
      <c r="K3579" s="1"/>
      <c r="L3579" s="1"/>
      <c r="O3579" s="475"/>
      <c r="P3579" s="475"/>
      <c r="Q3579" s="475"/>
      <c r="R3579" s="475"/>
      <c r="S3579" s="475"/>
      <c r="T3579" s="475"/>
      <c r="U3579" s="475"/>
      <c r="V3579" s="475"/>
      <c r="W3579" s="475"/>
    </row>
    <row r="3580" spans="2:23" s="97" customFormat="1">
      <c r="B3580" s="96"/>
      <c r="H3580" s="96"/>
      <c r="J3580" s="1"/>
      <c r="K3580" s="1"/>
      <c r="L3580" s="1"/>
      <c r="O3580" s="475"/>
      <c r="P3580" s="475"/>
      <c r="Q3580" s="475"/>
      <c r="R3580" s="475"/>
      <c r="S3580" s="475"/>
      <c r="T3580" s="475"/>
      <c r="U3580" s="475"/>
      <c r="V3580" s="475"/>
      <c r="W3580" s="475"/>
    </row>
    <row r="3581" spans="2:23" s="97" customFormat="1">
      <c r="B3581" s="96"/>
      <c r="H3581" s="96"/>
      <c r="J3581" s="1"/>
      <c r="K3581" s="1"/>
      <c r="L3581" s="1"/>
      <c r="O3581" s="475"/>
      <c r="P3581" s="475"/>
      <c r="Q3581" s="475"/>
      <c r="R3581" s="475"/>
      <c r="S3581" s="475"/>
      <c r="T3581" s="475"/>
      <c r="U3581" s="475"/>
      <c r="V3581" s="475"/>
      <c r="W3581" s="475"/>
    </row>
    <row r="3582" spans="2:23" s="97" customFormat="1">
      <c r="B3582" s="96"/>
      <c r="H3582" s="96"/>
      <c r="J3582" s="1"/>
      <c r="K3582" s="1"/>
      <c r="L3582" s="1"/>
      <c r="O3582" s="475"/>
      <c r="P3582" s="475"/>
      <c r="Q3582" s="475"/>
      <c r="R3582" s="475"/>
      <c r="S3582" s="475"/>
      <c r="T3582" s="475"/>
      <c r="U3582" s="475"/>
      <c r="V3582" s="475"/>
      <c r="W3582" s="475"/>
    </row>
    <row r="3583" spans="2:23" s="97" customFormat="1">
      <c r="B3583" s="96"/>
      <c r="H3583" s="96"/>
      <c r="J3583" s="1"/>
      <c r="K3583" s="1"/>
      <c r="L3583" s="1"/>
      <c r="O3583" s="475"/>
      <c r="P3583" s="475"/>
      <c r="Q3583" s="475"/>
      <c r="R3583" s="475"/>
      <c r="S3583" s="475"/>
      <c r="T3583" s="475"/>
      <c r="U3583" s="475"/>
      <c r="V3583" s="475"/>
      <c r="W3583" s="475"/>
    </row>
    <row r="3584" spans="2:23" s="97" customFormat="1">
      <c r="B3584" s="96"/>
      <c r="H3584" s="96"/>
      <c r="J3584" s="1"/>
      <c r="K3584" s="1"/>
      <c r="L3584" s="1"/>
      <c r="O3584" s="475"/>
      <c r="P3584" s="475"/>
      <c r="Q3584" s="475"/>
      <c r="R3584" s="475"/>
      <c r="S3584" s="475"/>
      <c r="T3584" s="475"/>
      <c r="U3584" s="475"/>
      <c r="V3584" s="475"/>
      <c r="W3584" s="475"/>
    </row>
    <row r="3585" spans="2:23" s="97" customFormat="1">
      <c r="B3585" s="96"/>
      <c r="H3585" s="96"/>
      <c r="J3585" s="1"/>
      <c r="K3585" s="1"/>
      <c r="L3585" s="1"/>
      <c r="O3585" s="475"/>
      <c r="P3585" s="475"/>
      <c r="Q3585" s="475"/>
      <c r="R3585" s="475"/>
      <c r="S3585" s="475"/>
      <c r="T3585" s="475"/>
      <c r="U3585" s="475"/>
      <c r="V3585" s="475"/>
      <c r="W3585" s="475"/>
    </row>
    <row r="3586" spans="2:23" s="97" customFormat="1">
      <c r="B3586" s="96"/>
      <c r="H3586" s="96"/>
      <c r="J3586" s="1"/>
      <c r="K3586" s="1"/>
      <c r="L3586" s="1"/>
      <c r="O3586" s="475"/>
      <c r="P3586" s="475"/>
      <c r="Q3586" s="475"/>
      <c r="R3586" s="475"/>
      <c r="S3586" s="475"/>
      <c r="T3586" s="475"/>
      <c r="U3586" s="475"/>
      <c r="V3586" s="475"/>
      <c r="W3586" s="475"/>
    </row>
    <row r="3587" spans="2:23" s="97" customFormat="1">
      <c r="B3587" s="96"/>
      <c r="H3587" s="96"/>
      <c r="J3587" s="1"/>
      <c r="K3587" s="1"/>
      <c r="L3587" s="1"/>
      <c r="O3587" s="475"/>
      <c r="P3587" s="475"/>
      <c r="Q3587" s="475"/>
      <c r="R3587" s="475"/>
      <c r="S3587" s="475"/>
      <c r="T3587" s="475"/>
      <c r="U3587" s="475"/>
      <c r="V3587" s="475"/>
      <c r="W3587" s="475"/>
    </row>
    <row r="3588" spans="2:23" s="97" customFormat="1">
      <c r="B3588" s="96"/>
      <c r="H3588" s="96"/>
      <c r="J3588" s="1"/>
      <c r="K3588" s="1"/>
      <c r="L3588" s="1"/>
      <c r="O3588" s="475"/>
      <c r="P3588" s="475"/>
      <c r="Q3588" s="475"/>
      <c r="R3588" s="475"/>
      <c r="S3588" s="475"/>
      <c r="T3588" s="475"/>
      <c r="U3588" s="475"/>
      <c r="V3588" s="475"/>
      <c r="W3588" s="475"/>
    </row>
    <row r="3589" spans="2:23" s="97" customFormat="1">
      <c r="B3589" s="96"/>
      <c r="H3589" s="96"/>
      <c r="J3589" s="1"/>
      <c r="K3589" s="1"/>
      <c r="L3589" s="1"/>
      <c r="O3589" s="475"/>
      <c r="P3589" s="475"/>
      <c r="Q3589" s="475"/>
      <c r="R3589" s="475"/>
      <c r="S3589" s="475"/>
      <c r="T3589" s="475"/>
      <c r="U3589" s="475"/>
      <c r="V3589" s="475"/>
      <c r="W3589" s="475"/>
    </row>
    <row r="3590" spans="2:23" s="97" customFormat="1">
      <c r="B3590" s="96"/>
      <c r="H3590" s="96"/>
      <c r="J3590" s="1"/>
      <c r="K3590" s="1"/>
      <c r="L3590" s="1"/>
      <c r="O3590" s="475"/>
      <c r="P3590" s="475"/>
      <c r="Q3590" s="475"/>
      <c r="R3590" s="475"/>
      <c r="S3590" s="475"/>
      <c r="T3590" s="475"/>
      <c r="U3590" s="475"/>
      <c r="V3590" s="475"/>
      <c r="W3590" s="475"/>
    </row>
    <row r="3591" spans="2:23" s="97" customFormat="1">
      <c r="B3591" s="96"/>
      <c r="H3591" s="96"/>
      <c r="J3591" s="1"/>
      <c r="K3591" s="1"/>
      <c r="L3591" s="1"/>
      <c r="O3591" s="475"/>
      <c r="P3591" s="475"/>
      <c r="Q3591" s="475"/>
      <c r="R3591" s="475"/>
      <c r="S3591" s="475"/>
      <c r="T3591" s="475"/>
      <c r="U3591" s="475"/>
      <c r="V3591" s="475"/>
      <c r="W3591" s="475"/>
    </row>
    <row r="3592" spans="2:23" s="97" customFormat="1">
      <c r="B3592" s="96"/>
      <c r="H3592" s="96"/>
      <c r="J3592" s="1"/>
      <c r="K3592" s="1"/>
      <c r="L3592" s="1"/>
      <c r="O3592" s="475"/>
      <c r="P3592" s="475"/>
      <c r="Q3592" s="475"/>
      <c r="R3592" s="475"/>
      <c r="S3592" s="475"/>
      <c r="T3592" s="475"/>
      <c r="U3592" s="475"/>
      <c r="V3592" s="475"/>
      <c r="W3592" s="475"/>
    </row>
    <row r="3593" spans="2:23" s="97" customFormat="1">
      <c r="B3593" s="96"/>
      <c r="H3593" s="96"/>
      <c r="J3593" s="1"/>
      <c r="K3593" s="1"/>
      <c r="L3593" s="1"/>
      <c r="O3593" s="475"/>
      <c r="P3593" s="475"/>
      <c r="Q3593" s="475"/>
      <c r="R3593" s="475"/>
      <c r="S3593" s="475"/>
      <c r="T3593" s="475"/>
      <c r="U3593" s="475"/>
      <c r="V3593" s="475"/>
      <c r="W3593" s="475"/>
    </row>
    <row r="3594" spans="2:23" s="97" customFormat="1">
      <c r="B3594" s="96"/>
      <c r="H3594" s="96"/>
      <c r="J3594" s="1"/>
      <c r="K3594" s="1"/>
      <c r="L3594" s="1"/>
      <c r="O3594" s="475"/>
      <c r="P3594" s="475"/>
      <c r="Q3594" s="475"/>
      <c r="R3594" s="475"/>
      <c r="S3594" s="475"/>
      <c r="T3594" s="475"/>
      <c r="U3594" s="475"/>
      <c r="V3594" s="475"/>
      <c r="W3594" s="475"/>
    </row>
    <row r="3595" spans="2:23" s="97" customFormat="1">
      <c r="B3595" s="96"/>
      <c r="H3595" s="96"/>
      <c r="J3595" s="1"/>
      <c r="K3595" s="1"/>
      <c r="L3595" s="1"/>
      <c r="O3595" s="475"/>
      <c r="P3595" s="475"/>
      <c r="Q3595" s="475"/>
      <c r="R3595" s="475"/>
      <c r="S3595" s="475"/>
      <c r="T3595" s="475"/>
      <c r="U3595" s="475"/>
      <c r="V3595" s="475"/>
      <c r="W3595" s="475"/>
    </row>
    <row r="3596" spans="2:23" s="97" customFormat="1">
      <c r="B3596" s="96"/>
      <c r="H3596" s="96"/>
      <c r="J3596" s="1"/>
      <c r="K3596" s="1"/>
      <c r="L3596" s="1"/>
      <c r="O3596" s="475"/>
      <c r="P3596" s="475"/>
      <c r="Q3596" s="475"/>
      <c r="R3596" s="475"/>
      <c r="S3596" s="475"/>
      <c r="T3596" s="475"/>
      <c r="U3596" s="475"/>
      <c r="V3596" s="475"/>
      <c r="W3596" s="475"/>
    </row>
    <row r="3597" spans="2:23" s="97" customFormat="1">
      <c r="B3597" s="96"/>
      <c r="H3597" s="96"/>
      <c r="J3597" s="1"/>
      <c r="K3597" s="1"/>
      <c r="L3597" s="1"/>
      <c r="O3597" s="475"/>
      <c r="P3597" s="475"/>
      <c r="Q3597" s="475"/>
      <c r="R3597" s="475"/>
      <c r="S3597" s="475"/>
      <c r="T3597" s="475"/>
      <c r="U3597" s="475"/>
      <c r="V3597" s="475"/>
      <c r="W3597" s="475"/>
    </row>
    <row r="3598" spans="2:23" s="97" customFormat="1">
      <c r="B3598" s="96"/>
      <c r="H3598" s="96"/>
      <c r="J3598" s="1"/>
      <c r="K3598" s="1"/>
      <c r="L3598" s="1"/>
      <c r="O3598" s="475"/>
      <c r="P3598" s="475"/>
      <c r="Q3598" s="475"/>
      <c r="R3598" s="475"/>
      <c r="S3598" s="475"/>
      <c r="T3598" s="475"/>
      <c r="U3598" s="475"/>
      <c r="V3598" s="475"/>
      <c r="W3598" s="475"/>
    </row>
    <row r="3599" spans="2:23" s="97" customFormat="1">
      <c r="B3599" s="96"/>
      <c r="H3599" s="96"/>
      <c r="J3599" s="1"/>
      <c r="K3599" s="1"/>
      <c r="L3599" s="1"/>
      <c r="O3599" s="475"/>
      <c r="P3599" s="475"/>
      <c r="Q3599" s="475"/>
      <c r="R3599" s="475"/>
      <c r="S3599" s="475"/>
      <c r="T3599" s="475"/>
      <c r="U3599" s="475"/>
      <c r="V3599" s="475"/>
      <c r="W3599" s="475"/>
    </row>
    <row r="3600" spans="2:23" s="97" customFormat="1">
      <c r="B3600" s="96"/>
      <c r="H3600" s="96"/>
      <c r="J3600" s="1"/>
      <c r="K3600" s="1"/>
      <c r="L3600" s="1"/>
      <c r="O3600" s="475"/>
      <c r="P3600" s="475"/>
      <c r="Q3600" s="475"/>
      <c r="R3600" s="475"/>
      <c r="S3600" s="475"/>
      <c r="T3600" s="475"/>
      <c r="U3600" s="475"/>
      <c r="V3600" s="475"/>
      <c r="W3600" s="475"/>
    </row>
    <row r="3601" spans="2:23" s="97" customFormat="1">
      <c r="B3601" s="96"/>
      <c r="H3601" s="96"/>
      <c r="J3601" s="1"/>
      <c r="K3601" s="1"/>
      <c r="L3601" s="1"/>
      <c r="O3601" s="475"/>
      <c r="P3601" s="475"/>
      <c r="Q3601" s="475"/>
      <c r="R3601" s="475"/>
      <c r="S3601" s="475"/>
      <c r="T3601" s="475"/>
      <c r="U3601" s="475"/>
      <c r="V3601" s="475"/>
      <c r="W3601" s="475"/>
    </row>
    <row r="3602" spans="2:23" s="97" customFormat="1">
      <c r="B3602" s="96"/>
      <c r="H3602" s="96"/>
      <c r="J3602" s="1"/>
      <c r="K3602" s="1"/>
      <c r="L3602" s="1"/>
      <c r="O3602" s="475"/>
      <c r="P3602" s="475"/>
      <c r="Q3602" s="475"/>
      <c r="R3602" s="475"/>
      <c r="S3602" s="475"/>
      <c r="T3602" s="475"/>
      <c r="U3602" s="475"/>
      <c r="V3602" s="475"/>
      <c r="W3602" s="475"/>
    </row>
    <row r="3603" spans="2:23" s="97" customFormat="1">
      <c r="B3603" s="96"/>
      <c r="H3603" s="96"/>
      <c r="J3603" s="1"/>
      <c r="K3603" s="1"/>
      <c r="L3603" s="1"/>
      <c r="O3603" s="475"/>
      <c r="P3603" s="475"/>
      <c r="Q3603" s="475"/>
      <c r="R3603" s="475"/>
      <c r="S3603" s="475"/>
      <c r="T3603" s="475"/>
      <c r="U3603" s="475"/>
      <c r="V3603" s="475"/>
      <c r="W3603" s="475"/>
    </row>
    <row r="3604" spans="2:23" s="97" customFormat="1">
      <c r="B3604" s="96"/>
      <c r="H3604" s="96"/>
      <c r="J3604" s="1"/>
      <c r="K3604" s="1"/>
      <c r="L3604" s="1"/>
      <c r="O3604" s="475"/>
      <c r="P3604" s="475"/>
      <c r="Q3604" s="475"/>
      <c r="R3604" s="475"/>
      <c r="S3604" s="475"/>
      <c r="T3604" s="475"/>
      <c r="U3604" s="475"/>
      <c r="V3604" s="475"/>
      <c r="W3604" s="475"/>
    </row>
    <row r="3605" spans="2:23" s="97" customFormat="1">
      <c r="B3605" s="96"/>
      <c r="H3605" s="96"/>
      <c r="J3605" s="1"/>
      <c r="K3605" s="1"/>
      <c r="L3605" s="1"/>
      <c r="O3605" s="475"/>
      <c r="P3605" s="475"/>
      <c r="Q3605" s="475"/>
      <c r="R3605" s="475"/>
      <c r="S3605" s="475"/>
      <c r="T3605" s="475"/>
      <c r="U3605" s="475"/>
      <c r="V3605" s="475"/>
      <c r="W3605" s="475"/>
    </row>
    <row r="3606" spans="2:23" s="97" customFormat="1">
      <c r="B3606" s="96"/>
      <c r="H3606" s="96"/>
      <c r="J3606" s="1"/>
      <c r="K3606" s="1"/>
      <c r="L3606" s="1"/>
      <c r="O3606" s="475"/>
      <c r="P3606" s="475"/>
      <c r="Q3606" s="475"/>
      <c r="R3606" s="475"/>
      <c r="S3606" s="475"/>
      <c r="T3606" s="475"/>
      <c r="U3606" s="475"/>
      <c r="V3606" s="475"/>
      <c r="W3606" s="475"/>
    </row>
    <row r="3607" spans="2:23" s="97" customFormat="1">
      <c r="B3607" s="96"/>
      <c r="H3607" s="96"/>
      <c r="J3607" s="1"/>
      <c r="K3607" s="1"/>
      <c r="L3607" s="1"/>
      <c r="O3607" s="475"/>
      <c r="P3607" s="475"/>
      <c r="Q3607" s="475"/>
      <c r="R3607" s="475"/>
      <c r="S3607" s="475"/>
      <c r="T3607" s="475"/>
      <c r="U3607" s="475"/>
      <c r="V3607" s="475"/>
      <c r="W3607" s="475"/>
    </row>
    <row r="3608" spans="2:23" s="97" customFormat="1">
      <c r="B3608" s="96"/>
      <c r="H3608" s="96"/>
      <c r="J3608" s="1"/>
      <c r="K3608" s="1"/>
      <c r="L3608" s="1"/>
      <c r="O3608" s="475"/>
      <c r="P3608" s="475"/>
      <c r="Q3608" s="475"/>
      <c r="R3608" s="475"/>
      <c r="S3608" s="475"/>
      <c r="T3608" s="475"/>
      <c r="U3608" s="475"/>
      <c r="V3608" s="475"/>
      <c r="W3608" s="475"/>
    </row>
    <row r="3609" spans="2:23" s="97" customFormat="1">
      <c r="B3609" s="96"/>
      <c r="H3609" s="96"/>
      <c r="J3609" s="1"/>
      <c r="K3609" s="1"/>
      <c r="L3609" s="1"/>
      <c r="O3609" s="475"/>
      <c r="P3609" s="475"/>
      <c r="Q3609" s="475"/>
      <c r="R3609" s="475"/>
      <c r="S3609" s="475"/>
      <c r="T3609" s="475"/>
      <c r="U3609" s="475"/>
      <c r="V3609" s="475"/>
      <c r="W3609" s="475"/>
    </row>
    <row r="3610" spans="2:23" s="97" customFormat="1">
      <c r="B3610" s="96"/>
      <c r="H3610" s="96"/>
      <c r="J3610" s="1"/>
      <c r="K3610" s="1"/>
      <c r="L3610" s="1"/>
      <c r="O3610" s="475"/>
      <c r="P3610" s="475"/>
      <c r="Q3610" s="475"/>
      <c r="R3610" s="475"/>
      <c r="S3610" s="475"/>
      <c r="T3610" s="475"/>
      <c r="U3610" s="475"/>
      <c r="V3610" s="475"/>
      <c r="W3610" s="475"/>
    </row>
    <row r="3611" spans="2:23" s="97" customFormat="1">
      <c r="B3611" s="96"/>
      <c r="H3611" s="96"/>
      <c r="J3611" s="1"/>
      <c r="K3611" s="1"/>
      <c r="L3611" s="1"/>
      <c r="O3611" s="475"/>
      <c r="P3611" s="475"/>
      <c r="Q3611" s="475"/>
      <c r="R3611" s="475"/>
      <c r="S3611" s="475"/>
      <c r="T3611" s="475"/>
      <c r="U3611" s="475"/>
      <c r="V3611" s="475"/>
      <c r="W3611" s="475"/>
    </row>
    <row r="3612" spans="2:23" s="97" customFormat="1">
      <c r="B3612" s="96"/>
      <c r="H3612" s="96"/>
      <c r="J3612" s="1"/>
      <c r="K3612" s="1"/>
      <c r="L3612" s="1"/>
      <c r="O3612" s="475"/>
      <c r="P3612" s="475"/>
      <c r="Q3612" s="475"/>
      <c r="R3612" s="475"/>
      <c r="S3612" s="475"/>
      <c r="T3612" s="475"/>
      <c r="U3612" s="475"/>
      <c r="V3612" s="475"/>
      <c r="W3612" s="475"/>
    </row>
    <row r="3613" spans="2:23" s="97" customFormat="1">
      <c r="B3613" s="96"/>
      <c r="H3613" s="96"/>
      <c r="J3613" s="1"/>
      <c r="K3613" s="1"/>
      <c r="L3613" s="1"/>
      <c r="O3613" s="475"/>
      <c r="P3613" s="475"/>
      <c r="Q3613" s="475"/>
      <c r="R3613" s="475"/>
      <c r="S3613" s="475"/>
      <c r="T3613" s="475"/>
      <c r="U3613" s="475"/>
      <c r="V3613" s="475"/>
      <c r="W3613" s="475"/>
    </row>
    <row r="3614" spans="2:23" s="97" customFormat="1">
      <c r="B3614" s="96"/>
      <c r="H3614" s="96"/>
      <c r="J3614" s="1"/>
      <c r="K3614" s="1"/>
      <c r="L3614" s="1"/>
      <c r="O3614" s="475"/>
      <c r="P3614" s="475"/>
      <c r="Q3614" s="475"/>
      <c r="R3614" s="475"/>
      <c r="S3614" s="475"/>
      <c r="T3614" s="475"/>
      <c r="U3614" s="475"/>
      <c r="V3614" s="475"/>
      <c r="W3614" s="475"/>
    </row>
    <row r="3615" spans="2:23" s="97" customFormat="1">
      <c r="B3615" s="96"/>
      <c r="H3615" s="96"/>
      <c r="J3615" s="1"/>
      <c r="K3615" s="1"/>
      <c r="L3615" s="1"/>
      <c r="O3615" s="475"/>
      <c r="P3615" s="475"/>
      <c r="Q3615" s="475"/>
      <c r="R3615" s="475"/>
      <c r="S3615" s="475"/>
      <c r="T3615" s="475"/>
      <c r="U3615" s="475"/>
      <c r="V3615" s="475"/>
      <c r="W3615" s="475"/>
    </row>
    <row r="3616" spans="2:23" s="97" customFormat="1">
      <c r="B3616" s="96"/>
      <c r="H3616" s="96"/>
      <c r="J3616" s="1"/>
      <c r="K3616" s="1"/>
      <c r="L3616" s="1"/>
      <c r="O3616" s="475"/>
      <c r="P3616" s="475"/>
      <c r="Q3616" s="475"/>
      <c r="R3616" s="475"/>
      <c r="S3616" s="475"/>
      <c r="T3616" s="475"/>
      <c r="U3616" s="475"/>
      <c r="V3616" s="475"/>
      <c r="W3616" s="475"/>
    </row>
    <row r="3617" spans="2:23" s="97" customFormat="1">
      <c r="B3617" s="96"/>
      <c r="H3617" s="96"/>
      <c r="J3617" s="1"/>
      <c r="K3617" s="1"/>
      <c r="L3617" s="1"/>
      <c r="O3617" s="475"/>
      <c r="P3617" s="475"/>
      <c r="Q3617" s="475"/>
      <c r="R3617" s="475"/>
      <c r="S3617" s="475"/>
      <c r="T3617" s="475"/>
      <c r="U3617" s="475"/>
      <c r="V3617" s="475"/>
      <c r="W3617" s="475"/>
    </row>
    <row r="3618" spans="2:23" s="97" customFormat="1">
      <c r="B3618" s="96"/>
      <c r="H3618" s="96"/>
      <c r="J3618" s="1"/>
      <c r="K3618" s="1"/>
      <c r="L3618" s="1"/>
      <c r="O3618" s="475"/>
      <c r="P3618" s="475"/>
      <c r="Q3618" s="475"/>
      <c r="R3618" s="475"/>
      <c r="S3618" s="475"/>
      <c r="T3618" s="475"/>
      <c r="U3618" s="475"/>
      <c r="V3618" s="475"/>
      <c r="W3618" s="475"/>
    </row>
    <row r="3619" spans="2:23" s="97" customFormat="1">
      <c r="B3619" s="96"/>
      <c r="H3619" s="96"/>
      <c r="J3619" s="1"/>
      <c r="K3619" s="1"/>
      <c r="L3619" s="1"/>
      <c r="O3619" s="475"/>
      <c r="P3619" s="475"/>
      <c r="Q3619" s="475"/>
      <c r="R3619" s="475"/>
      <c r="S3619" s="475"/>
      <c r="T3619" s="475"/>
      <c r="U3619" s="475"/>
      <c r="V3619" s="475"/>
      <c r="W3619" s="475"/>
    </row>
    <row r="3620" spans="2:23" s="97" customFormat="1">
      <c r="B3620" s="96"/>
      <c r="H3620" s="96"/>
      <c r="J3620" s="1"/>
      <c r="K3620" s="1"/>
      <c r="L3620" s="1"/>
      <c r="O3620" s="475"/>
      <c r="P3620" s="475"/>
      <c r="Q3620" s="475"/>
      <c r="R3620" s="475"/>
      <c r="S3620" s="475"/>
      <c r="T3620" s="475"/>
      <c r="U3620" s="475"/>
      <c r="V3620" s="475"/>
      <c r="W3620" s="475"/>
    </row>
    <row r="3621" spans="2:23" s="97" customFormat="1">
      <c r="B3621" s="96"/>
      <c r="H3621" s="96"/>
      <c r="J3621" s="1"/>
      <c r="K3621" s="1"/>
      <c r="L3621" s="1"/>
      <c r="O3621" s="475"/>
      <c r="P3621" s="475"/>
      <c r="Q3621" s="475"/>
      <c r="R3621" s="475"/>
      <c r="S3621" s="475"/>
      <c r="T3621" s="475"/>
      <c r="U3621" s="475"/>
      <c r="V3621" s="475"/>
      <c r="W3621" s="475"/>
    </row>
    <row r="3622" spans="2:23" s="97" customFormat="1">
      <c r="B3622" s="96"/>
      <c r="H3622" s="96"/>
      <c r="J3622" s="1"/>
      <c r="K3622" s="1"/>
      <c r="L3622" s="1"/>
      <c r="O3622" s="475"/>
      <c r="P3622" s="475"/>
      <c r="Q3622" s="475"/>
      <c r="R3622" s="475"/>
      <c r="S3622" s="475"/>
      <c r="T3622" s="475"/>
      <c r="U3622" s="475"/>
      <c r="V3622" s="475"/>
      <c r="W3622" s="475"/>
    </row>
    <row r="3623" spans="2:23" s="97" customFormat="1">
      <c r="B3623" s="96"/>
      <c r="H3623" s="96"/>
      <c r="J3623" s="1"/>
      <c r="K3623" s="1"/>
      <c r="L3623" s="1"/>
      <c r="O3623" s="475"/>
      <c r="P3623" s="475"/>
      <c r="Q3623" s="475"/>
      <c r="R3623" s="475"/>
      <c r="S3623" s="475"/>
      <c r="T3623" s="475"/>
      <c r="U3623" s="475"/>
      <c r="V3623" s="475"/>
      <c r="W3623" s="475"/>
    </row>
    <row r="3624" spans="2:23" s="97" customFormat="1">
      <c r="B3624" s="96"/>
      <c r="H3624" s="96"/>
      <c r="J3624" s="1"/>
      <c r="K3624" s="1"/>
      <c r="L3624" s="1"/>
      <c r="O3624" s="475"/>
      <c r="P3624" s="475"/>
      <c r="Q3624" s="475"/>
      <c r="R3624" s="475"/>
      <c r="S3624" s="475"/>
      <c r="T3624" s="475"/>
      <c r="U3624" s="475"/>
      <c r="V3624" s="475"/>
      <c r="W3624" s="475"/>
    </row>
    <row r="3625" spans="2:23" s="97" customFormat="1">
      <c r="B3625" s="96"/>
      <c r="H3625" s="96"/>
      <c r="J3625" s="1"/>
      <c r="K3625" s="1"/>
      <c r="L3625" s="1"/>
      <c r="O3625" s="475"/>
      <c r="P3625" s="475"/>
      <c r="Q3625" s="475"/>
      <c r="R3625" s="475"/>
      <c r="S3625" s="475"/>
      <c r="T3625" s="475"/>
      <c r="U3625" s="475"/>
      <c r="V3625" s="475"/>
      <c r="W3625" s="475"/>
    </row>
    <row r="3626" spans="2:23" s="97" customFormat="1">
      <c r="B3626" s="96"/>
      <c r="H3626" s="96"/>
      <c r="J3626" s="1"/>
      <c r="K3626" s="1"/>
      <c r="L3626" s="1"/>
      <c r="O3626" s="475"/>
      <c r="P3626" s="475"/>
      <c r="Q3626" s="475"/>
      <c r="R3626" s="475"/>
      <c r="S3626" s="475"/>
      <c r="T3626" s="475"/>
      <c r="U3626" s="475"/>
      <c r="V3626" s="475"/>
      <c r="W3626" s="475"/>
    </row>
    <row r="3627" spans="2:23" s="97" customFormat="1">
      <c r="B3627" s="96"/>
      <c r="H3627" s="96"/>
      <c r="J3627" s="1"/>
      <c r="K3627" s="1"/>
      <c r="L3627" s="1"/>
      <c r="O3627" s="475"/>
      <c r="P3627" s="475"/>
      <c r="Q3627" s="475"/>
      <c r="R3627" s="475"/>
      <c r="S3627" s="475"/>
      <c r="T3627" s="475"/>
      <c r="U3627" s="475"/>
      <c r="V3627" s="475"/>
      <c r="W3627" s="475"/>
    </row>
    <row r="3628" spans="2:23" s="97" customFormat="1">
      <c r="B3628" s="96"/>
      <c r="H3628" s="96"/>
      <c r="J3628" s="1"/>
      <c r="K3628" s="1"/>
      <c r="L3628" s="1"/>
      <c r="O3628" s="475"/>
      <c r="P3628" s="475"/>
      <c r="Q3628" s="475"/>
      <c r="R3628" s="475"/>
      <c r="S3628" s="475"/>
      <c r="T3628" s="475"/>
      <c r="U3628" s="475"/>
      <c r="V3628" s="475"/>
      <c r="W3628" s="475"/>
    </row>
    <row r="3629" spans="2:23" s="97" customFormat="1">
      <c r="B3629" s="96"/>
      <c r="H3629" s="96"/>
      <c r="J3629" s="1"/>
      <c r="K3629" s="1"/>
      <c r="L3629" s="1"/>
      <c r="O3629" s="475"/>
      <c r="P3629" s="475"/>
      <c r="Q3629" s="475"/>
      <c r="R3629" s="475"/>
      <c r="S3629" s="475"/>
      <c r="T3629" s="475"/>
      <c r="U3629" s="475"/>
      <c r="V3629" s="475"/>
      <c r="W3629" s="475"/>
    </row>
    <row r="3630" spans="2:23" s="97" customFormat="1">
      <c r="B3630" s="96"/>
      <c r="H3630" s="96"/>
      <c r="J3630" s="1"/>
      <c r="K3630" s="1"/>
      <c r="L3630" s="1"/>
      <c r="O3630" s="475"/>
      <c r="P3630" s="475"/>
      <c r="Q3630" s="475"/>
      <c r="R3630" s="475"/>
      <c r="S3630" s="475"/>
      <c r="T3630" s="475"/>
      <c r="U3630" s="475"/>
      <c r="V3630" s="475"/>
      <c r="W3630" s="475"/>
    </row>
    <row r="3631" spans="2:23" s="97" customFormat="1">
      <c r="B3631" s="96"/>
      <c r="H3631" s="96"/>
      <c r="J3631" s="1"/>
      <c r="K3631" s="1"/>
      <c r="L3631" s="1"/>
      <c r="O3631" s="475"/>
      <c r="P3631" s="475"/>
      <c r="Q3631" s="475"/>
      <c r="R3631" s="475"/>
      <c r="S3631" s="475"/>
      <c r="T3631" s="475"/>
      <c r="U3631" s="475"/>
      <c r="V3631" s="475"/>
      <c r="W3631" s="475"/>
    </row>
    <row r="3632" spans="2:23" s="97" customFormat="1">
      <c r="B3632" s="96"/>
      <c r="H3632" s="96"/>
      <c r="J3632" s="1"/>
      <c r="K3632" s="1"/>
      <c r="L3632" s="1"/>
      <c r="O3632" s="475"/>
      <c r="P3632" s="475"/>
      <c r="Q3632" s="475"/>
      <c r="R3632" s="475"/>
      <c r="S3632" s="475"/>
      <c r="T3632" s="475"/>
      <c r="U3632" s="475"/>
      <c r="V3632" s="475"/>
      <c r="W3632" s="475"/>
    </row>
    <row r="3633" spans="2:23" s="97" customFormat="1">
      <c r="B3633" s="96"/>
      <c r="H3633" s="96"/>
      <c r="J3633" s="1"/>
      <c r="K3633" s="1"/>
      <c r="L3633" s="1"/>
      <c r="O3633" s="475"/>
      <c r="P3633" s="475"/>
      <c r="Q3633" s="475"/>
      <c r="R3633" s="475"/>
      <c r="S3633" s="475"/>
      <c r="T3633" s="475"/>
      <c r="U3633" s="475"/>
      <c r="V3633" s="475"/>
      <c r="W3633" s="475"/>
    </row>
    <row r="3634" spans="2:23" s="97" customFormat="1">
      <c r="B3634" s="96"/>
      <c r="H3634" s="96"/>
      <c r="J3634" s="1"/>
      <c r="K3634" s="1"/>
      <c r="L3634" s="1"/>
      <c r="O3634" s="475"/>
      <c r="P3634" s="475"/>
      <c r="Q3634" s="475"/>
      <c r="R3634" s="475"/>
      <c r="S3634" s="475"/>
      <c r="T3634" s="475"/>
      <c r="U3634" s="475"/>
      <c r="V3634" s="475"/>
      <c r="W3634" s="475"/>
    </row>
    <row r="3635" spans="2:23" s="97" customFormat="1">
      <c r="B3635" s="96"/>
      <c r="H3635" s="96"/>
      <c r="J3635" s="1"/>
      <c r="K3635" s="1"/>
      <c r="L3635" s="1"/>
      <c r="O3635" s="475"/>
      <c r="P3635" s="475"/>
      <c r="Q3635" s="475"/>
      <c r="R3635" s="475"/>
      <c r="S3635" s="475"/>
      <c r="T3635" s="475"/>
      <c r="U3635" s="475"/>
      <c r="V3635" s="475"/>
      <c r="W3635" s="475"/>
    </row>
    <row r="3636" spans="2:23" s="97" customFormat="1">
      <c r="B3636" s="96"/>
      <c r="H3636" s="96"/>
      <c r="J3636" s="1"/>
      <c r="K3636" s="1"/>
      <c r="L3636" s="1"/>
      <c r="O3636" s="475"/>
      <c r="P3636" s="475"/>
      <c r="Q3636" s="475"/>
      <c r="R3636" s="475"/>
      <c r="S3636" s="475"/>
      <c r="T3636" s="475"/>
      <c r="U3636" s="475"/>
      <c r="V3636" s="475"/>
      <c r="W3636" s="475"/>
    </row>
    <row r="3637" spans="2:23" s="97" customFormat="1">
      <c r="B3637" s="96"/>
      <c r="H3637" s="96"/>
      <c r="J3637" s="1"/>
      <c r="K3637" s="1"/>
      <c r="L3637" s="1"/>
      <c r="O3637" s="475"/>
      <c r="P3637" s="475"/>
      <c r="Q3637" s="475"/>
      <c r="R3637" s="475"/>
      <c r="S3637" s="475"/>
      <c r="T3637" s="475"/>
      <c r="U3637" s="475"/>
      <c r="V3637" s="475"/>
      <c r="W3637" s="475"/>
    </row>
    <row r="3638" spans="2:23" s="97" customFormat="1">
      <c r="B3638" s="96"/>
      <c r="H3638" s="96"/>
      <c r="J3638" s="1"/>
      <c r="K3638" s="1"/>
      <c r="L3638" s="1"/>
      <c r="O3638" s="475"/>
      <c r="P3638" s="475"/>
      <c r="Q3638" s="475"/>
      <c r="R3638" s="475"/>
      <c r="S3638" s="475"/>
      <c r="T3638" s="475"/>
      <c r="U3638" s="475"/>
      <c r="V3638" s="475"/>
      <c r="W3638" s="475"/>
    </row>
    <row r="3639" spans="2:23" s="97" customFormat="1">
      <c r="B3639" s="96"/>
      <c r="H3639" s="96"/>
      <c r="J3639" s="1"/>
      <c r="K3639" s="1"/>
      <c r="L3639" s="1"/>
      <c r="O3639" s="475"/>
      <c r="P3639" s="475"/>
      <c r="Q3639" s="475"/>
      <c r="R3639" s="475"/>
      <c r="S3639" s="475"/>
      <c r="T3639" s="475"/>
      <c r="U3639" s="475"/>
      <c r="V3639" s="475"/>
      <c r="W3639" s="475"/>
    </row>
    <row r="3640" spans="2:23" s="97" customFormat="1">
      <c r="B3640" s="96"/>
      <c r="H3640" s="96"/>
      <c r="J3640" s="1"/>
      <c r="K3640" s="1"/>
      <c r="L3640" s="1"/>
      <c r="O3640" s="475"/>
      <c r="P3640" s="475"/>
      <c r="Q3640" s="475"/>
      <c r="R3640" s="475"/>
      <c r="S3640" s="475"/>
      <c r="T3640" s="475"/>
      <c r="U3640" s="475"/>
      <c r="V3640" s="475"/>
      <c r="W3640" s="475"/>
    </row>
    <row r="3641" spans="2:23" s="97" customFormat="1">
      <c r="B3641" s="96"/>
      <c r="H3641" s="96"/>
      <c r="J3641" s="1"/>
      <c r="K3641" s="1"/>
      <c r="L3641" s="1"/>
      <c r="O3641" s="475"/>
      <c r="P3641" s="475"/>
      <c r="Q3641" s="475"/>
      <c r="R3641" s="475"/>
      <c r="S3641" s="475"/>
      <c r="T3641" s="475"/>
      <c r="U3641" s="475"/>
      <c r="V3641" s="475"/>
      <c r="W3641" s="475"/>
    </row>
    <row r="3642" spans="2:23" s="97" customFormat="1">
      <c r="B3642" s="96"/>
      <c r="H3642" s="96"/>
      <c r="J3642" s="1"/>
      <c r="K3642" s="1"/>
      <c r="L3642" s="1"/>
      <c r="O3642" s="475"/>
      <c r="P3642" s="475"/>
      <c r="Q3642" s="475"/>
      <c r="R3642" s="475"/>
      <c r="S3642" s="475"/>
      <c r="T3642" s="475"/>
      <c r="U3642" s="475"/>
      <c r="V3642" s="475"/>
      <c r="W3642" s="475"/>
    </row>
    <row r="3643" spans="2:23" s="97" customFormat="1">
      <c r="B3643" s="96"/>
      <c r="H3643" s="96"/>
      <c r="J3643" s="1"/>
      <c r="K3643" s="1"/>
      <c r="L3643" s="1"/>
      <c r="O3643" s="475"/>
      <c r="P3643" s="475"/>
      <c r="Q3643" s="475"/>
      <c r="R3643" s="475"/>
      <c r="S3643" s="475"/>
      <c r="T3643" s="475"/>
      <c r="U3643" s="475"/>
      <c r="V3643" s="475"/>
      <c r="W3643" s="475"/>
    </row>
    <row r="3644" spans="2:23" s="97" customFormat="1">
      <c r="B3644" s="96"/>
      <c r="H3644" s="96"/>
      <c r="J3644" s="1"/>
      <c r="K3644" s="1"/>
      <c r="L3644" s="1"/>
      <c r="O3644" s="475"/>
      <c r="P3644" s="475"/>
      <c r="Q3644" s="475"/>
      <c r="R3644" s="475"/>
      <c r="S3644" s="475"/>
      <c r="T3644" s="475"/>
      <c r="U3644" s="475"/>
      <c r="V3644" s="475"/>
      <c r="W3644" s="475"/>
    </row>
    <row r="3645" spans="2:23" s="97" customFormat="1">
      <c r="B3645" s="96"/>
      <c r="H3645" s="96"/>
      <c r="J3645" s="1"/>
      <c r="K3645" s="1"/>
      <c r="L3645" s="1"/>
      <c r="O3645" s="475"/>
      <c r="P3645" s="475"/>
      <c r="Q3645" s="475"/>
      <c r="R3645" s="475"/>
      <c r="S3645" s="475"/>
      <c r="T3645" s="475"/>
      <c r="U3645" s="475"/>
      <c r="V3645" s="475"/>
      <c r="W3645" s="475"/>
    </row>
    <row r="3646" spans="2:23" s="97" customFormat="1">
      <c r="B3646" s="96"/>
      <c r="H3646" s="96"/>
      <c r="J3646" s="1"/>
      <c r="K3646" s="1"/>
      <c r="L3646" s="1"/>
      <c r="O3646" s="475"/>
      <c r="P3646" s="475"/>
      <c r="Q3646" s="475"/>
      <c r="R3646" s="475"/>
      <c r="S3646" s="475"/>
      <c r="T3646" s="475"/>
      <c r="U3646" s="475"/>
      <c r="V3646" s="475"/>
      <c r="W3646" s="475"/>
    </row>
    <row r="3647" spans="2:23" s="97" customFormat="1">
      <c r="B3647" s="96"/>
      <c r="H3647" s="96"/>
      <c r="J3647" s="1"/>
      <c r="K3647" s="1"/>
      <c r="L3647" s="1"/>
      <c r="O3647" s="475"/>
      <c r="P3647" s="475"/>
      <c r="Q3647" s="475"/>
      <c r="R3647" s="475"/>
      <c r="S3647" s="475"/>
      <c r="T3647" s="475"/>
      <c r="U3647" s="475"/>
      <c r="V3647" s="475"/>
      <c r="W3647" s="475"/>
    </row>
    <row r="3648" spans="2:23" s="97" customFormat="1">
      <c r="B3648" s="96"/>
      <c r="H3648" s="96"/>
      <c r="J3648" s="1"/>
      <c r="K3648" s="1"/>
      <c r="L3648" s="1"/>
      <c r="O3648" s="475"/>
      <c r="P3648" s="475"/>
      <c r="Q3648" s="475"/>
      <c r="R3648" s="475"/>
      <c r="S3648" s="475"/>
      <c r="T3648" s="475"/>
      <c r="U3648" s="475"/>
      <c r="V3648" s="475"/>
      <c r="W3648" s="475"/>
    </row>
    <row r="3649" spans="2:23" s="97" customFormat="1">
      <c r="B3649" s="96"/>
      <c r="H3649" s="96"/>
      <c r="J3649" s="1"/>
      <c r="K3649" s="1"/>
      <c r="L3649" s="1"/>
      <c r="O3649" s="475"/>
      <c r="P3649" s="475"/>
      <c r="Q3649" s="475"/>
      <c r="R3649" s="475"/>
      <c r="S3649" s="475"/>
      <c r="T3649" s="475"/>
      <c r="U3649" s="475"/>
      <c r="V3649" s="475"/>
      <c r="W3649" s="475"/>
    </row>
    <row r="3650" spans="2:23" s="97" customFormat="1">
      <c r="B3650" s="96"/>
      <c r="H3650" s="96"/>
      <c r="J3650" s="1"/>
      <c r="K3650" s="1"/>
      <c r="L3650" s="1"/>
      <c r="O3650" s="475"/>
      <c r="P3650" s="475"/>
      <c r="Q3650" s="475"/>
      <c r="R3650" s="475"/>
      <c r="S3650" s="475"/>
      <c r="T3650" s="475"/>
      <c r="U3650" s="475"/>
      <c r="V3650" s="475"/>
      <c r="W3650" s="475"/>
    </row>
    <row r="3651" spans="2:23" s="97" customFormat="1">
      <c r="B3651" s="96"/>
      <c r="H3651" s="96"/>
      <c r="J3651" s="1"/>
      <c r="K3651" s="1"/>
      <c r="L3651" s="1"/>
      <c r="O3651" s="475"/>
      <c r="P3651" s="475"/>
      <c r="Q3651" s="475"/>
      <c r="R3651" s="475"/>
      <c r="S3651" s="475"/>
      <c r="T3651" s="475"/>
      <c r="U3651" s="475"/>
      <c r="V3651" s="475"/>
      <c r="W3651" s="475"/>
    </row>
    <row r="3652" spans="2:23" s="97" customFormat="1">
      <c r="B3652" s="96"/>
      <c r="H3652" s="96"/>
      <c r="J3652" s="1"/>
      <c r="K3652" s="1"/>
      <c r="L3652" s="1"/>
      <c r="O3652" s="475"/>
      <c r="P3652" s="475"/>
      <c r="Q3652" s="475"/>
      <c r="R3652" s="475"/>
      <c r="S3652" s="475"/>
      <c r="T3652" s="475"/>
      <c r="U3652" s="475"/>
      <c r="V3652" s="475"/>
      <c r="W3652" s="475"/>
    </row>
    <row r="3653" spans="2:23" s="97" customFormat="1">
      <c r="B3653" s="96"/>
      <c r="H3653" s="96"/>
      <c r="J3653" s="1"/>
      <c r="K3653" s="1"/>
      <c r="L3653" s="1"/>
      <c r="O3653" s="475"/>
      <c r="P3653" s="475"/>
      <c r="Q3653" s="475"/>
      <c r="R3653" s="475"/>
      <c r="S3653" s="475"/>
      <c r="T3653" s="475"/>
      <c r="U3653" s="475"/>
      <c r="V3653" s="475"/>
      <c r="W3653" s="475"/>
    </row>
    <row r="3654" spans="2:23" s="97" customFormat="1">
      <c r="B3654" s="96"/>
      <c r="H3654" s="96"/>
      <c r="J3654" s="1"/>
      <c r="K3654" s="1"/>
      <c r="L3654" s="1"/>
      <c r="O3654" s="475"/>
      <c r="P3654" s="475"/>
      <c r="Q3654" s="475"/>
      <c r="R3654" s="475"/>
      <c r="S3654" s="475"/>
      <c r="T3654" s="475"/>
      <c r="U3654" s="475"/>
      <c r="V3654" s="475"/>
      <c r="W3654" s="475"/>
    </row>
    <row r="3655" spans="2:23" s="97" customFormat="1">
      <c r="B3655" s="96"/>
      <c r="H3655" s="96"/>
      <c r="J3655" s="1"/>
      <c r="K3655" s="1"/>
      <c r="L3655" s="1"/>
      <c r="O3655" s="475"/>
      <c r="P3655" s="475"/>
      <c r="Q3655" s="475"/>
      <c r="R3655" s="475"/>
      <c r="S3655" s="475"/>
      <c r="T3655" s="475"/>
      <c r="U3655" s="475"/>
      <c r="V3655" s="475"/>
      <c r="W3655" s="475"/>
    </row>
    <row r="3656" spans="2:23" s="97" customFormat="1">
      <c r="B3656" s="96"/>
      <c r="H3656" s="96"/>
      <c r="J3656" s="1"/>
      <c r="K3656" s="1"/>
      <c r="L3656" s="1"/>
      <c r="O3656" s="475"/>
      <c r="P3656" s="475"/>
      <c r="Q3656" s="475"/>
      <c r="R3656" s="475"/>
      <c r="S3656" s="475"/>
      <c r="T3656" s="475"/>
      <c r="U3656" s="475"/>
      <c r="V3656" s="475"/>
      <c r="W3656" s="475"/>
    </row>
    <row r="3657" spans="2:23" s="97" customFormat="1">
      <c r="B3657" s="96"/>
      <c r="H3657" s="96"/>
      <c r="J3657" s="1"/>
      <c r="K3657" s="1"/>
      <c r="L3657" s="1"/>
      <c r="O3657" s="475"/>
      <c r="P3657" s="475"/>
      <c r="Q3657" s="475"/>
      <c r="R3657" s="475"/>
      <c r="S3657" s="475"/>
      <c r="T3657" s="475"/>
      <c r="U3657" s="475"/>
      <c r="V3657" s="475"/>
      <c r="W3657" s="475"/>
    </row>
    <row r="3658" spans="2:23" s="97" customFormat="1">
      <c r="B3658" s="96"/>
      <c r="H3658" s="96"/>
      <c r="J3658" s="1"/>
      <c r="K3658" s="1"/>
      <c r="L3658" s="1"/>
      <c r="O3658" s="475"/>
      <c r="P3658" s="475"/>
      <c r="Q3658" s="475"/>
      <c r="R3658" s="475"/>
      <c r="S3658" s="475"/>
      <c r="T3658" s="475"/>
      <c r="U3658" s="475"/>
      <c r="V3658" s="475"/>
      <c r="W3658" s="475"/>
    </row>
    <row r="3659" spans="2:23" s="97" customFormat="1">
      <c r="B3659" s="96"/>
      <c r="H3659" s="96"/>
      <c r="J3659" s="1"/>
      <c r="K3659" s="1"/>
      <c r="L3659" s="1"/>
      <c r="O3659" s="475"/>
      <c r="P3659" s="475"/>
      <c r="Q3659" s="475"/>
      <c r="R3659" s="475"/>
      <c r="S3659" s="475"/>
      <c r="T3659" s="475"/>
      <c r="U3659" s="475"/>
      <c r="V3659" s="475"/>
      <c r="W3659" s="475"/>
    </row>
    <row r="3660" spans="2:23" s="97" customFormat="1">
      <c r="B3660" s="96"/>
      <c r="H3660" s="96"/>
      <c r="J3660" s="1"/>
      <c r="K3660" s="1"/>
      <c r="L3660" s="1"/>
      <c r="O3660" s="475"/>
      <c r="P3660" s="475"/>
      <c r="Q3660" s="475"/>
      <c r="R3660" s="475"/>
      <c r="S3660" s="475"/>
      <c r="T3660" s="475"/>
      <c r="U3660" s="475"/>
      <c r="V3660" s="475"/>
      <c r="W3660" s="475"/>
    </row>
    <row r="3661" spans="2:23" s="97" customFormat="1">
      <c r="B3661" s="96"/>
      <c r="H3661" s="96"/>
      <c r="J3661" s="1"/>
      <c r="K3661" s="1"/>
      <c r="L3661" s="1"/>
      <c r="O3661" s="475"/>
      <c r="P3661" s="475"/>
      <c r="Q3661" s="475"/>
      <c r="R3661" s="475"/>
      <c r="S3661" s="475"/>
      <c r="T3661" s="475"/>
      <c r="U3661" s="475"/>
      <c r="V3661" s="475"/>
      <c r="W3661" s="475"/>
    </row>
    <row r="3662" spans="2:23" s="97" customFormat="1">
      <c r="B3662" s="96"/>
      <c r="H3662" s="96"/>
      <c r="J3662" s="1"/>
      <c r="K3662" s="1"/>
      <c r="L3662" s="1"/>
      <c r="O3662" s="475"/>
      <c r="P3662" s="475"/>
      <c r="Q3662" s="475"/>
      <c r="R3662" s="475"/>
      <c r="S3662" s="475"/>
      <c r="T3662" s="475"/>
      <c r="U3662" s="475"/>
      <c r="V3662" s="475"/>
      <c r="W3662" s="475"/>
    </row>
    <row r="3663" spans="2:23" s="97" customFormat="1">
      <c r="B3663" s="96"/>
      <c r="H3663" s="96"/>
      <c r="J3663" s="1"/>
      <c r="K3663" s="1"/>
      <c r="L3663" s="1"/>
      <c r="O3663" s="475"/>
      <c r="P3663" s="475"/>
      <c r="Q3663" s="475"/>
      <c r="R3663" s="475"/>
      <c r="S3663" s="475"/>
      <c r="T3663" s="475"/>
      <c r="U3663" s="475"/>
      <c r="V3663" s="475"/>
      <c r="W3663" s="475"/>
    </row>
    <row r="3664" spans="2:23" s="97" customFormat="1">
      <c r="B3664" s="96"/>
      <c r="H3664" s="96"/>
      <c r="J3664" s="1"/>
      <c r="K3664" s="1"/>
      <c r="L3664" s="1"/>
      <c r="O3664" s="475"/>
      <c r="P3664" s="475"/>
      <c r="Q3664" s="475"/>
      <c r="R3664" s="475"/>
      <c r="S3664" s="475"/>
      <c r="T3664" s="475"/>
      <c r="U3664" s="475"/>
      <c r="V3664" s="475"/>
      <c r="W3664" s="475"/>
    </row>
    <row r="3665" spans="2:23" s="97" customFormat="1">
      <c r="B3665" s="96"/>
      <c r="H3665" s="96"/>
      <c r="J3665" s="1"/>
      <c r="K3665" s="1"/>
      <c r="L3665" s="1"/>
      <c r="O3665" s="475"/>
      <c r="P3665" s="475"/>
      <c r="Q3665" s="475"/>
      <c r="R3665" s="475"/>
      <c r="S3665" s="475"/>
      <c r="T3665" s="475"/>
      <c r="U3665" s="475"/>
      <c r="V3665" s="475"/>
      <c r="W3665" s="475"/>
    </row>
    <row r="3666" spans="2:23" s="97" customFormat="1">
      <c r="B3666" s="96"/>
      <c r="H3666" s="96"/>
      <c r="J3666" s="1"/>
      <c r="K3666" s="1"/>
      <c r="L3666" s="1"/>
      <c r="O3666" s="475"/>
      <c r="P3666" s="475"/>
      <c r="Q3666" s="475"/>
      <c r="R3666" s="475"/>
      <c r="S3666" s="475"/>
      <c r="T3666" s="475"/>
      <c r="U3666" s="475"/>
      <c r="V3666" s="475"/>
      <c r="W3666" s="475"/>
    </row>
    <row r="3667" spans="2:23" s="97" customFormat="1">
      <c r="B3667" s="96"/>
      <c r="H3667" s="96"/>
      <c r="J3667" s="1"/>
      <c r="K3667" s="1"/>
      <c r="L3667" s="1"/>
      <c r="O3667" s="475"/>
      <c r="P3667" s="475"/>
      <c r="Q3667" s="475"/>
      <c r="R3667" s="475"/>
      <c r="S3667" s="475"/>
      <c r="T3667" s="475"/>
      <c r="U3667" s="475"/>
      <c r="V3667" s="475"/>
      <c r="W3667" s="475"/>
    </row>
    <row r="3668" spans="2:23" s="97" customFormat="1">
      <c r="B3668" s="96"/>
      <c r="H3668" s="96"/>
      <c r="J3668" s="1"/>
      <c r="K3668" s="1"/>
      <c r="L3668" s="1"/>
      <c r="O3668" s="475"/>
      <c r="P3668" s="475"/>
      <c r="Q3668" s="475"/>
      <c r="R3668" s="475"/>
      <c r="S3668" s="475"/>
      <c r="T3668" s="475"/>
      <c r="U3668" s="475"/>
      <c r="V3668" s="475"/>
      <c r="W3668" s="475"/>
    </row>
    <row r="3669" spans="2:23" s="97" customFormat="1">
      <c r="B3669" s="96"/>
      <c r="H3669" s="96"/>
      <c r="J3669" s="1"/>
      <c r="K3669" s="1"/>
      <c r="L3669" s="1"/>
      <c r="O3669" s="475"/>
      <c r="P3669" s="475"/>
      <c r="Q3669" s="475"/>
      <c r="R3669" s="475"/>
      <c r="S3669" s="475"/>
      <c r="T3669" s="475"/>
      <c r="U3669" s="475"/>
      <c r="V3669" s="475"/>
      <c r="W3669" s="475"/>
    </row>
    <row r="3670" spans="2:23" s="97" customFormat="1">
      <c r="B3670" s="96"/>
      <c r="H3670" s="96"/>
      <c r="J3670" s="1"/>
      <c r="K3670" s="1"/>
      <c r="L3670" s="1"/>
      <c r="O3670" s="475"/>
      <c r="P3670" s="475"/>
      <c r="Q3670" s="475"/>
      <c r="R3670" s="475"/>
      <c r="S3670" s="475"/>
      <c r="T3670" s="475"/>
      <c r="U3670" s="475"/>
      <c r="V3670" s="475"/>
      <c r="W3670" s="475"/>
    </row>
    <row r="3671" spans="2:23" s="97" customFormat="1">
      <c r="B3671" s="96"/>
      <c r="H3671" s="96"/>
      <c r="J3671" s="1"/>
      <c r="K3671" s="1"/>
      <c r="L3671" s="1"/>
      <c r="O3671" s="475"/>
      <c r="P3671" s="475"/>
      <c r="Q3671" s="475"/>
      <c r="R3671" s="475"/>
      <c r="S3671" s="475"/>
      <c r="T3671" s="475"/>
      <c r="U3671" s="475"/>
      <c r="V3671" s="475"/>
      <c r="W3671" s="475"/>
    </row>
    <row r="3672" spans="2:23" s="97" customFormat="1">
      <c r="B3672" s="96"/>
      <c r="H3672" s="96"/>
      <c r="J3672" s="1"/>
      <c r="K3672" s="1"/>
      <c r="L3672" s="1"/>
      <c r="O3672" s="475"/>
      <c r="P3672" s="475"/>
      <c r="Q3672" s="475"/>
      <c r="R3672" s="475"/>
      <c r="S3672" s="475"/>
      <c r="T3672" s="475"/>
      <c r="U3672" s="475"/>
      <c r="V3672" s="475"/>
      <c r="W3672" s="475"/>
    </row>
    <row r="3673" spans="2:23" s="97" customFormat="1">
      <c r="B3673" s="96"/>
      <c r="H3673" s="96"/>
      <c r="J3673" s="1"/>
      <c r="K3673" s="1"/>
      <c r="L3673" s="1"/>
      <c r="O3673" s="475"/>
      <c r="P3673" s="475"/>
      <c r="Q3673" s="475"/>
      <c r="R3673" s="475"/>
      <c r="S3673" s="475"/>
      <c r="T3673" s="475"/>
      <c r="U3673" s="475"/>
      <c r="V3673" s="475"/>
      <c r="W3673" s="475"/>
    </row>
    <row r="3674" spans="2:23" s="97" customFormat="1">
      <c r="B3674" s="96"/>
      <c r="H3674" s="96"/>
      <c r="J3674" s="1"/>
      <c r="K3674" s="1"/>
      <c r="L3674" s="1"/>
      <c r="O3674" s="475"/>
      <c r="P3674" s="475"/>
      <c r="Q3674" s="475"/>
      <c r="R3674" s="475"/>
      <c r="S3674" s="475"/>
      <c r="T3674" s="475"/>
      <c r="U3674" s="475"/>
      <c r="V3674" s="475"/>
      <c r="W3674" s="475"/>
    </row>
    <row r="3675" spans="2:23" s="97" customFormat="1">
      <c r="B3675" s="96"/>
      <c r="H3675" s="96"/>
      <c r="J3675" s="1"/>
      <c r="K3675" s="1"/>
      <c r="L3675" s="1"/>
      <c r="O3675" s="475"/>
      <c r="P3675" s="475"/>
      <c r="Q3675" s="475"/>
      <c r="R3675" s="475"/>
      <c r="S3675" s="475"/>
      <c r="T3675" s="475"/>
      <c r="U3675" s="475"/>
      <c r="V3675" s="475"/>
      <c r="W3675" s="475"/>
    </row>
    <row r="3676" spans="2:23" s="97" customFormat="1">
      <c r="B3676" s="96"/>
      <c r="H3676" s="96"/>
      <c r="J3676" s="1"/>
      <c r="K3676" s="1"/>
      <c r="L3676" s="1"/>
      <c r="O3676" s="475"/>
      <c r="P3676" s="475"/>
      <c r="Q3676" s="475"/>
      <c r="R3676" s="475"/>
      <c r="S3676" s="475"/>
      <c r="T3676" s="475"/>
      <c r="U3676" s="475"/>
      <c r="V3676" s="475"/>
      <c r="W3676" s="475"/>
    </row>
    <row r="3677" spans="2:23" s="97" customFormat="1">
      <c r="B3677" s="96"/>
      <c r="H3677" s="96"/>
      <c r="J3677" s="1"/>
      <c r="K3677" s="1"/>
      <c r="L3677" s="1"/>
      <c r="O3677" s="475"/>
      <c r="P3677" s="475"/>
      <c r="Q3677" s="475"/>
      <c r="R3677" s="475"/>
      <c r="S3677" s="475"/>
      <c r="T3677" s="475"/>
      <c r="U3677" s="475"/>
      <c r="V3677" s="475"/>
      <c r="W3677" s="475"/>
    </row>
    <row r="3678" spans="2:23" s="97" customFormat="1">
      <c r="B3678" s="96"/>
      <c r="H3678" s="96"/>
      <c r="J3678" s="1"/>
      <c r="K3678" s="1"/>
      <c r="L3678" s="1"/>
      <c r="O3678" s="475"/>
      <c r="P3678" s="475"/>
      <c r="Q3678" s="475"/>
      <c r="R3678" s="475"/>
      <c r="S3678" s="475"/>
      <c r="T3678" s="475"/>
      <c r="U3678" s="475"/>
      <c r="V3678" s="475"/>
      <c r="W3678" s="475"/>
    </row>
    <row r="3679" spans="2:23" s="97" customFormat="1">
      <c r="B3679" s="96"/>
      <c r="H3679" s="96"/>
      <c r="J3679" s="1"/>
      <c r="K3679" s="1"/>
      <c r="L3679" s="1"/>
      <c r="O3679" s="475"/>
      <c r="P3679" s="475"/>
      <c r="Q3679" s="475"/>
      <c r="R3679" s="475"/>
      <c r="S3679" s="475"/>
      <c r="T3679" s="475"/>
      <c r="U3679" s="475"/>
      <c r="V3679" s="475"/>
      <c r="W3679" s="475"/>
    </row>
    <row r="3680" spans="2:23" s="97" customFormat="1">
      <c r="B3680" s="96"/>
      <c r="H3680" s="96"/>
      <c r="J3680" s="1"/>
      <c r="K3680" s="1"/>
      <c r="L3680" s="1"/>
      <c r="O3680" s="475"/>
      <c r="P3680" s="475"/>
      <c r="Q3680" s="475"/>
      <c r="R3680" s="475"/>
      <c r="S3680" s="475"/>
      <c r="T3680" s="475"/>
      <c r="U3680" s="475"/>
      <c r="V3680" s="475"/>
      <c r="W3680" s="475"/>
    </row>
    <row r="3681" spans="2:23" s="97" customFormat="1">
      <c r="B3681" s="96"/>
      <c r="H3681" s="96"/>
      <c r="J3681" s="1"/>
      <c r="K3681" s="1"/>
      <c r="L3681" s="1"/>
      <c r="O3681" s="475"/>
      <c r="P3681" s="475"/>
      <c r="Q3681" s="475"/>
      <c r="R3681" s="475"/>
      <c r="S3681" s="475"/>
      <c r="T3681" s="475"/>
      <c r="U3681" s="475"/>
      <c r="V3681" s="475"/>
      <c r="W3681" s="475"/>
    </row>
    <row r="3682" spans="2:23" s="97" customFormat="1">
      <c r="B3682" s="96"/>
      <c r="H3682" s="96"/>
      <c r="J3682" s="1"/>
      <c r="K3682" s="1"/>
      <c r="L3682" s="1"/>
      <c r="O3682" s="475"/>
      <c r="P3682" s="475"/>
      <c r="Q3682" s="475"/>
      <c r="R3682" s="475"/>
      <c r="S3682" s="475"/>
      <c r="T3682" s="475"/>
      <c r="U3682" s="475"/>
      <c r="V3682" s="475"/>
      <c r="W3682" s="475"/>
    </row>
    <row r="3683" spans="2:23" s="97" customFormat="1">
      <c r="B3683" s="96"/>
      <c r="H3683" s="96"/>
      <c r="J3683" s="1"/>
      <c r="K3683" s="1"/>
      <c r="L3683" s="1"/>
      <c r="O3683" s="475"/>
      <c r="P3683" s="475"/>
      <c r="Q3683" s="475"/>
      <c r="R3683" s="475"/>
      <c r="S3683" s="475"/>
      <c r="T3683" s="475"/>
      <c r="U3683" s="475"/>
      <c r="V3683" s="475"/>
      <c r="W3683" s="475"/>
    </row>
    <row r="3684" spans="2:23" s="97" customFormat="1">
      <c r="B3684" s="96"/>
      <c r="H3684" s="96"/>
      <c r="J3684" s="1"/>
      <c r="K3684" s="1"/>
      <c r="L3684" s="1"/>
      <c r="O3684" s="475"/>
      <c r="P3684" s="475"/>
      <c r="Q3684" s="475"/>
      <c r="R3684" s="475"/>
      <c r="S3684" s="475"/>
      <c r="T3684" s="475"/>
      <c r="U3684" s="475"/>
      <c r="V3684" s="475"/>
      <c r="W3684" s="475"/>
    </row>
    <row r="3685" spans="2:23" s="97" customFormat="1">
      <c r="B3685" s="96"/>
      <c r="H3685" s="96"/>
      <c r="J3685" s="1"/>
      <c r="K3685" s="1"/>
      <c r="L3685" s="1"/>
      <c r="O3685" s="475"/>
      <c r="P3685" s="475"/>
      <c r="Q3685" s="475"/>
      <c r="R3685" s="475"/>
      <c r="S3685" s="475"/>
      <c r="T3685" s="475"/>
      <c r="U3685" s="475"/>
      <c r="V3685" s="475"/>
      <c r="W3685" s="475"/>
    </row>
    <row r="3686" spans="2:23" s="97" customFormat="1">
      <c r="B3686" s="96"/>
      <c r="H3686" s="96"/>
      <c r="J3686" s="1"/>
      <c r="K3686" s="1"/>
      <c r="L3686" s="1"/>
      <c r="O3686" s="475"/>
      <c r="P3686" s="475"/>
      <c r="Q3686" s="475"/>
      <c r="R3686" s="475"/>
      <c r="S3686" s="475"/>
      <c r="T3686" s="475"/>
      <c r="U3686" s="475"/>
      <c r="V3686" s="475"/>
      <c r="W3686" s="475"/>
    </row>
    <row r="3687" spans="2:23" s="97" customFormat="1">
      <c r="B3687" s="96"/>
      <c r="H3687" s="96"/>
      <c r="J3687" s="1"/>
      <c r="K3687" s="1"/>
      <c r="L3687" s="1"/>
      <c r="O3687" s="475"/>
      <c r="P3687" s="475"/>
      <c r="Q3687" s="475"/>
      <c r="R3687" s="475"/>
      <c r="S3687" s="475"/>
      <c r="T3687" s="475"/>
      <c r="U3687" s="475"/>
      <c r="V3687" s="475"/>
      <c r="W3687" s="475"/>
    </row>
    <row r="3688" spans="2:23" s="97" customFormat="1">
      <c r="B3688" s="96"/>
      <c r="H3688" s="96"/>
      <c r="J3688" s="1"/>
      <c r="K3688" s="1"/>
      <c r="L3688" s="1"/>
      <c r="O3688" s="475"/>
      <c r="P3688" s="475"/>
      <c r="Q3688" s="475"/>
      <c r="R3688" s="475"/>
      <c r="S3688" s="475"/>
      <c r="T3688" s="475"/>
      <c r="U3688" s="475"/>
      <c r="V3688" s="475"/>
      <c r="W3688" s="475"/>
    </row>
    <row r="3689" spans="2:23" s="97" customFormat="1">
      <c r="B3689" s="96"/>
      <c r="H3689" s="96"/>
      <c r="J3689" s="1"/>
      <c r="K3689" s="1"/>
      <c r="L3689" s="1"/>
      <c r="O3689" s="475"/>
      <c r="P3689" s="475"/>
      <c r="Q3689" s="475"/>
      <c r="R3689" s="475"/>
      <c r="S3689" s="475"/>
      <c r="T3689" s="475"/>
      <c r="U3689" s="475"/>
      <c r="V3689" s="475"/>
      <c r="W3689" s="475"/>
    </row>
    <row r="3690" spans="2:23" s="97" customFormat="1">
      <c r="B3690" s="96"/>
      <c r="H3690" s="96"/>
      <c r="J3690" s="1"/>
      <c r="K3690" s="1"/>
      <c r="L3690" s="1"/>
      <c r="O3690" s="475"/>
      <c r="P3690" s="475"/>
      <c r="Q3690" s="475"/>
      <c r="R3690" s="475"/>
      <c r="S3690" s="475"/>
      <c r="T3690" s="475"/>
      <c r="U3690" s="475"/>
      <c r="V3690" s="475"/>
      <c r="W3690" s="475"/>
    </row>
    <row r="3691" spans="2:23" s="97" customFormat="1">
      <c r="B3691" s="96"/>
      <c r="H3691" s="96"/>
      <c r="J3691" s="1"/>
      <c r="K3691" s="1"/>
      <c r="L3691" s="1"/>
      <c r="O3691" s="475"/>
      <c r="P3691" s="475"/>
      <c r="Q3691" s="475"/>
      <c r="R3691" s="475"/>
      <c r="S3691" s="475"/>
      <c r="T3691" s="475"/>
      <c r="U3691" s="475"/>
      <c r="V3691" s="475"/>
      <c r="W3691" s="475"/>
    </row>
    <row r="3692" spans="2:23" s="97" customFormat="1">
      <c r="B3692" s="96"/>
      <c r="H3692" s="96"/>
      <c r="J3692" s="1"/>
      <c r="K3692" s="1"/>
      <c r="L3692" s="1"/>
      <c r="O3692" s="475"/>
      <c r="P3692" s="475"/>
      <c r="Q3692" s="475"/>
      <c r="R3692" s="475"/>
      <c r="S3692" s="475"/>
      <c r="T3692" s="475"/>
      <c r="U3692" s="475"/>
      <c r="V3692" s="475"/>
      <c r="W3692" s="475"/>
    </row>
    <row r="3693" spans="2:23" s="97" customFormat="1">
      <c r="B3693" s="96"/>
      <c r="H3693" s="96"/>
      <c r="J3693" s="1"/>
      <c r="K3693" s="1"/>
      <c r="L3693" s="1"/>
      <c r="O3693" s="475"/>
      <c r="P3693" s="475"/>
      <c r="Q3693" s="475"/>
      <c r="R3693" s="475"/>
      <c r="S3693" s="475"/>
      <c r="T3693" s="475"/>
      <c r="U3693" s="475"/>
      <c r="V3693" s="475"/>
      <c r="W3693" s="475"/>
    </row>
    <row r="3694" spans="2:23" s="97" customFormat="1">
      <c r="B3694" s="96"/>
      <c r="H3694" s="96"/>
      <c r="J3694" s="1"/>
      <c r="K3694" s="1"/>
      <c r="L3694" s="1"/>
      <c r="O3694" s="475"/>
      <c r="P3694" s="475"/>
      <c r="Q3694" s="475"/>
      <c r="R3694" s="475"/>
      <c r="S3694" s="475"/>
      <c r="T3694" s="475"/>
      <c r="U3694" s="475"/>
      <c r="V3694" s="475"/>
      <c r="W3694" s="475"/>
    </row>
    <row r="3695" spans="2:23" s="97" customFormat="1">
      <c r="B3695" s="96"/>
      <c r="H3695" s="96"/>
      <c r="J3695" s="1"/>
      <c r="K3695" s="1"/>
      <c r="L3695" s="1"/>
      <c r="O3695" s="475"/>
      <c r="P3695" s="475"/>
      <c r="Q3695" s="475"/>
      <c r="R3695" s="475"/>
      <c r="S3695" s="475"/>
      <c r="T3695" s="475"/>
      <c r="U3695" s="475"/>
      <c r="V3695" s="475"/>
      <c r="W3695" s="475"/>
    </row>
    <row r="3696" spans="2:23" s="97" customFormat="1">
      <c r="B3696" s="96"/>
      <c r="H3696" s="96"/>
      <c r="J3696" s="1"/>
      <c r="K3696" s="1"/>
      <c r="L3696" s="1"/>
      <c r="O3696" s="475"/>
      <c r="P3696" s="475"/>
      <c r="Q3696" s="475"/>
      <c r="R3696" s="475"/>
      <c r="S3696" s="475"/>
      <c r="T3696" s="475"/>
      <c r="U3696" s="475"/>
      <c r="V3696" s="475"/>
      <c r="W3696" s="475"/>
    </row>
    <row r="3697" spans="2:23" s="97" customFormat="1">
      <c r="B3697" s="96"/>
      <c r="H3697" s="96"/>
      <c r="J3697" s="1"/>
      <c r="K3697" s="1"/>
      <c r="L3697" s="1"/>
      <c r="O3697" s="475"/>
      <c r="P3697" s="475"/>
      <c r="Q3697" s="475"/>
      <c r="R3697" s="475"/>
      <c r="S3697" s="475"/>
      <c r="T3697" s="475"/>
      <c r="U3697" s="475"/>
      <c r="V3697" s="475"/>
      <c r="W3697" s="475"/>
    </row>
    <row r="3698" spans="2:23" s="97" customFormat="1">
      <c r="B3698" s="96"/>
      <c r="H3698" s="96"/>
      <c r="J3698" s="1"/>
      <c r="K3698" s="1"/>
      <c r="L3698" s="1"/>
      <c r="O3698" s="475"/>
      <c r="P3698" s="475"/>
      <c r="Q3698" s="475"/>
      <c r="R3698" s="475"/>
      <c r="S3698" s="475"/>
      <c r="T3698" s="475"/>
      <c r="U3698" s="475"/>
      <c r="V3698" s="475"/>
      <c r="W3698" s="475"/>
    </row>
    <row r="3699" spans="2:23" s="97" customFormat="1">
      <c r="B3699" s="96"/>
      <c r="H3699" s="96"/>
      <c r="J3699" s="1"/>
      <c r="K3699" s="1"/>
      <c r="L3699" s="1"/>
      <c r="O3699" s="475"/>
      <c r="P3699" s="475"/>
      <c r="Q3699" s="475"/>
      <c r="R3699" s="475"/>
      <c r="S3699" s="475"/>
      <c r="T3699" s="475"/>
      <c r="U3699" s="475"/>
      <c r="V3699" s="475"/>
      <c r="W3699" s="475"/>
    </row>
    <row r="3700" spans="2:23" s="97" customFormat="1">
      <c r="B3700" s="96"/>
      <c r="H3700" s="96"/>
      <c r="J3700" s="1"/>
      <c r="K3700" s="1"/>
      <c r="L3700" s="1"/>
      <c r="O3700" s="475"/>
      <c r="P3700" s="475"/>
      <c r="Q3700" s="475"/>
      <c r="R3700" s="475"/>
      <c r="S3700" s="475"/>
      <c r="T3700" s="475"/>
      <c r="U3700" s="475"/>
      <c r="V3700" s="475"/>
      <c r="W3700" s="475"/>
    </row>
    <row r="3701" spans="2:23" s="97" customFormat="1">
      <c r="B3701" s="96"/>
      <c r="H3701" s="96"/>
      <c r="J3701" s="1"/>
      <c r="K3701" s="1"/>
      <c r="L3701" s="1"/>
      <c r="O3701" s="475"/>
      <c r="P3701" s="475"/>
      <c r="Q3701" s="475"/>
      <c r="R3701" s="475"/>
      <c r="S3701" s="475"/>
      <c r="T3701" s="475"/>
      <c r="U3701" s="475"/>
      <c r="V3701" s="475"/>
      <c r="W3701" s="475"/>
    </row>
    <row r="3702" spans="2:23" s="97" customFormat="1">
      <c r="B3702" s="96"/>
      <c r="H3702" s="96"/>
      <c r="J3702" s="1"/>
      <c r="K3702" s="1"/>
      <c r="L3702" s="1"/>
      <c r="O3702" s="475"/>
      <c r="P3702" s="475"/>
      <c r="Q3702" s="475"/>
      <c r="R3702" s="475"/>
      <c r="S3702" s="475"/>
      <c r="T3702" s="475"/>
      <c r="U3702" s="475"/>
      <c r="V3702" s="475"/>
      <c r="W3702" s="475"/>
    </row>
    <row r="3703" spans="2:23" s="97" customFormat="1">
      <c r="B3703" s="96"/>
      <c r="H3703" s="96"/>
      <c r="J3703" s="1"/>
      <c r="K3703" s="1"/>
      <c r="L3703" s="1"/>
      <c r="O3703" s="475"/>
      <c r="P3703" s="475"/>
      <c r="Q3703" s="475"/>
      <c r="R3703" s="475"/>
      <c r="S3703" s="475"/>
      <c r="T3703" s="475"/>
      <c r="U3703" s="475"/>
      <c r="V3703" s="475"/>
      <c r="W3703" s="475"/>
    </row>
    <row r="3704" spans="2:23" s="97" customFormat="1">
      <c r="B3704" s="96"/>
      <c r="H3704" s="96"/>
      <c r="J3704" s="1"/>
      <c r="K3704" s="1"/>
      <c r="L3704" s="1"/>
      <c r="O3704" s="475"/>
      <c r="P3704" s="475"/>
      <c r="Q3704" s="475"/>
      <c r="R3704" s="475"/>
      <c r="S3704" s="475"/>
      <c r="T3704" s="475"/>
      <c r="U3704" s="475"/>
      <c r="V3704" s="475"/>
      <c r="W3704" s="475"/>
    </row>
    <row r="3705" spans="2:23" s="97" customFormat="1">
      <c r="B3705" s="96"/>
      <c r="H3705" s="96"/>
      <c r="J3705" s="1"/>
      <c r="K3705" s="1"/>
      <c r="L3705" s="1"/>
      <c r="O3705" s="475"/>
      <c r="P3705" s="475"/>
      <c r="Q3705" s="475"/>
      <c r="R3705" s="475"/>
      <c r="S3705" s="475"/>
      <c r="T3705" s="475"/>
      <c r="U3705" s="475"/>
      <c r="V3705" s="475"/>
      <c r="W3705" s="475"/>
    </row>
    <row r="3706" spans="2:23" s="97" customFormat="1">
      <c r="B3706" s="96"/>
      <c r="H3706" s="96"/>
      <c r="J3706" s="1"/>
      <c r="K3706" s="1"/>
      <c r="L3706" s="1"/>
      <c r="O3706" s="475"/>
      <c r="P3706" s="475"/>
      <c r="Q3706" s="475"/>
      <c r="R3706" s="475"/>
      <c r="S3706" s="475"/>
      <c r="T3706" s="475"/>
      <c r="U3706" s="475"/>
      <c r="V3706" s="475"/>
      <c r="W3706" s="475"/>
    </row>
    <row r="3707" spans="2:23" s="97" customFormat="1">
      <c r="B3707" s="96"/>
      <c r="H3707" s="96"/>
      <c r="J3707" s="1"/>
      <c r="K3707" s="1"/>
      <c r="L3707" s="1"/>
      <c r="O3707" s="475"/>
      <c r="P3707" s="475"/>
      <c r="Q3707" s="475"/>
      <c r="R3707" s="475"/>
      <c r="S3707" s="475"/>
      <c r="T3707" s="475"/>
      <c r="U3707" s="475"/>
      <c r="V3707" s="475"/>
      <c r="W3707" s="475"/>
    </row>
    <row r="3708" spans="2:23" s="97" customFormat="1">
      <c r="B3708" s="96"/>
      <c r="H3708" s="96"/>
      <c r="J3708" s="1"/>
      <c r="K3708" s="1"/>
      <c r="L3708" s="1"/>
      <c r="O3708" s="475"/>
      <c r="P3708" s="475"/>
      <c r="Q3708" s="475"/>
      <c r="R3708" s="475"/>
      <c r="S3708" s="475"/>
      <c r="T3708" s="475"/>
      <c r="U3708" s="475"/>
      <c r="V3708" s="475"/>
      <c r="W3708" s="475"/>
    </row>
    <row r="3709" spans="2:23" s="97" customFormat="1">
      <c r="B3709" s="96"/>
      <c r="H3709" s="96"/>
      <c r="J3709" s="1"/>
      <c r="K3709" s="1"/>
      <c r="L3709" s="1"/>
      <c r="O3709" s="475"/>
      <c r="P3709" s="475"/>
      <c r="Q3709" s="475"/>
      <c r="R3709" s="475"/>
      <c r="S3709" s="475"/>
      <c r="T3709" s="475"/>
      <c r="U3709" s="475"/>
      <c r="V3709" s="475"/>
      <c r="W3709" s="475"/>
    </row>
    <row r="3710" spans="2:23" s="97" customFormat="1">
      <c r="B3710" s="96"/>
      <c r="H3710" s="96"/>
      <c r="J3710" s="1"/>
      <c r="K3710" s="1"/>
      <c r="L3710" s="1"/>
      <c r="O3710" s="475"/>
      <c r="P3710" s="475"/>
      <c r="Q3710" s="475"/>
      <c r="R3710" s="475"/>
      <c r="S3710" s="475"/>
      <c r="T3710" s="475"/>
      <c r="U3710" s="475"/>
      <c r="V3710" s="475"/>
      <c r="W3710" s="475"/>
    </row>
    <row r="3711" spans="2:23" s="97" customFormat="1">
      <c r="B3711" s="96"/>
      <c r="H3711" s="96"/>
      <c r="J3711" s="1"/>
      <c r="K3711" s="1"/>
      <c r="L3711" s="1"/>
      <c r="O3711" s="475"/>
      <c r="P3711" s="475"/>
      <c r="Q3711" s="475"/>
      <c r="R3711" s="475"/>
      <c r="S3711" s="475"/>
      <c r="T3711" s="475"/>
      <c r="U3711" s="475"/>
      <c r="V3711" s="475"/>
      <c r="W3711" s="475"/>
    </row>
    <row r="3712" spans="2:23" s="97" customFormat="1">
      <c r="B3712" s="96"/>
      <c r="H3712" s="96"/>
      <c r="J3712" s="1"/>
      <c r="K3712" s="1"/>
      <c r="L3712" s="1"/>
      <c r="O3712" s="475"/>
      <c r="P3712" s="475"/>
      <c r="Q3712" s="475"/>
      <c r="R3712" s="475"/>
      <c r="S3712" s="475"/>
      <c r="T3712" s="475"/>
      <c r="U3712" s="475"/>
      <c r="V3712" s="475"/>
      <c r="W3712" s="475"/>
    </row>
    <row r="3713" spans="2:23" s="97" customFormat="1">
      <c r="B3713" s="96"/>
      <c r="H3713" s="96"/>
      <c r="J3713" s="1"/>
      <c r="K3713" s="1"/>
      <c r="L3713" s="1"/>
      <c r="O3713" s="475"/>
      <c r="P3713" s="475"/>
      <c r="Q3713" s="475"/>
      <c r="R3713" s="475"/>
      <c r="S3713" s="475"/>
      <c r="T3713" s="475"/>
      <c r="U3713" s="475"/>
      <c r="V3713" s="475"/>
      <c r="W3713" s="475"/>
    </row>
    <row r="3714" spans="2:23" s="97" customFormat="1">
      <c r="B3714" s="96"/>
      <c r="H3714" s="96"/>
      <c r="J3714" s="1"/>
      <c r="K3714" s="1"/>
      <c r="L3714" s="1"/>
      <c r="O3714" s="475"/>
      <c r="P3714" s="475"/>
      <c r="Q3714" s="475"/>
      <c r="R3714" s="475"/>
      <c r="S3714" s="475"/>
      <c r="T3714" s="475"/>
      <c r="U3714" s="475"/>
      <c r="V3714" s="475"/>
      <c r="W3714" s="475"/>
    </row>
    <row r="3715" spans="2:23" s="97" customFormat="1">
      <c r="B3715" s="96"/>
      <c r="H3715" s="96"/>
      <c r="J3715" s="1"/>
      <c r="K3715" s="1"/>
      <c r="L3715" s="1"/>
      <c r="O3715" s="475"/>
      <c r="P3715" s="475"/>
      <c r="Q3715" s="475"/>
      <c r="R3715" s="475"/>
      <c r="S3715" s="475"/>
      <c r="T3715" s="475"/>
      <c r="U3715" s="475"/>
      <c r="V3715" s="475"/>
      <c r="W3715" s="475"/>
    </row>
    <row r="3716" spans="2:23" s="97" customFormat="1">
      <c r="B3716" s="96"/>
      <c r="H3716" s="96"/>
      <c r="J3716" s="1"/>
      <c r="K3716" s="1"/>
      <c r="L3716" s="1"/>
      <c r="O3716" s="475"/>
      <c r="P3716" s="475"/>
      <c r="Q3716" s="475"/>
      <c r="R3716" s="475"/>
      <c r="S3716" s="475"/>
      <c r="T3716" s="475"/>
      <c r="U3716" s="475"/>
      <c r="V3716" s="475"/>
      <c r="W3716" s="475"/>
    </row>
    <row r="3717" spans="2:23" s="97" customFormat="1">
      <c r="B3717" s="96"/>
      <c r="H3717" s="96"/>
      <c r="J3717" s="1"/>
      <c r="K3717" s="1"/>
      <c r="L3717" s="1"/>
      <c r="O3717" s="475"/>
      <c r="P3717" s="475"/>
      <c r="Q3717" s="475"/>
      <c r="R3717" s="475"/>
      <c r="S3717" s="475"/>
      <c r="T3717" s="475"/>
      <c r="U3717" s="475"/>
      <c r="V3717" s="475"/>
      <c r="W3717" s="475"/>
    </row>
    <row r="3718" spans="2:23" s="97" customFormat="1">
      <c r="B3718" s="96"/>
      <c r="H3718" s="96"/>
      <c r="J3718" s="1"/>
      <c r="K3718" s="1"/>
      <c r="L3718" s="1"/>
      <c r="O3718" s="475"/>
      <c r="P3718" s="475"/>
      <c r="Q3718" s="475"/>
      <c r="R3718" s="475"/>
      <c r="S3718" s="475"/>
      <c r="T3718" s="475"/>
      <c r="U3718" s="475"/>
      <c r="V3718" s="475"/>
      <c r="W3718" s="475"/>
    </row>
    <row r="3719" spans="2:23" s="97" customFormat="1">
      <c r="B3719" s="96"/>
      <c r="H3719" s="96"/>
      <c r="J3719" s="1"/>
      <c r="K3719" s="1"/>
      <c r="L3719" s="1"/>
      <c r="O3719" s="475"/>
      <c r="P3719" s="475"/>
      <c r="Q3719" s="475"/>
      <c r="R3719" s="475"/>
      <c r="S3719" s="475"/>
      <c r="T3719" s="475"/>
      <c r="U3719" s="475"/>
      <c r="V3719" s="475"/>
      <c r="W3719" s="475"/>
    </row>
    <row r="3720" spans="2:23" s="97" customFormat="1">
      <c r="B3720" s="96"/>
      <c r="H3720" s="96"/>
      <c r="J3720" s="1"/>
      <c r="K3720" s="1"/>
      <c r="L3720" s="1"/>
      <c r="O3720" s="475"/>
      <c r="P3720" s="475"/>
      <c r="Q3720" s="475"/>
      <c r="R3720" s="475"/>
      <c r="S3720" s="475"/>
      <c r="T3720" s="475"/>
      <c r="U3720" s="475"/>
      <c r="V3720" s="475"/>
      <c r="W3720" s="475"/>
    </row>
    <row r="3721" spans="2:23" s="97" customFormat="1">
      <c r="B3721" s="96"/>
      <c r="H3721" s="96"/>
      <c r="J3721" s="1"/>
      <c r="K3721" s="1"/>
      <c r="L3721" s="1"/>
      <c r="O3721" s="475"/>
      <c r="P3721" s="475"/>
      <c r="Q3721" s="475"/>
      <c r="R3721" s="475"/>
      <c r="S3721" s="475"/>
      <c r="T3721" s="475"/>
      <c r="U3721" s="475"/>
      <c r="V3721" s="475"/>
      <c r="W3721" s="475"/>
    </row>
    <row r="3722" spans="2:23" s="97" customFormat="1">
      <c r="B3722" s="96"/>
      <c r="H3722" s="96"/>
      <c r="J3722" s="1"/>
      <c r="K3722" s="1"/>
      <c r="L3722" s="1"/>
      <c r="O3722" s="475"/>
      <c r="P3722" s="475"/>
      <c r="Q3722" s="475"/>
      <c r="R3722" s="475"/>
      <c r="S3722" s="475"/>
      <c r="T3722" s="475"/>
      <c r="U3722" s="475"/>
      <c r="V3722" s="475"/>
      <c r="W3722" s="475"/>
    </row>
    <row r="3723" spans="2:23" s="97" customFormat="1">
      <c r="B3723" s="96"/>
      <c r="H3723" s="96"/>
      <c r="J3723" s="1"/>
      <c r="K3723" s="1"/>
      <c r="L3723" s="1"/>
      <c r="O3723" s="475"/>
      <c r="P3723" s="475"/>
      <c r="Q3723" s="475"/>
      <c r="R3723" s="475"/>
      <c r="S3723" s="475"/>
      <c r="T3723" s="475"/>
      <c r="U3723" s="475"/>
      <c r="V3723" s="475"/>
      <c r="W3723" s="475"/>
    </row>
    <row r="3724" spans="2:23" s="97" customFormat="1">
      <c r="B3724" s="96"/>
      <c r="H3724" s="96"/>
      <c r="J3724" s="1"/>
      <c r="K3724" s="1"/>
      <c r="L3724" s="1"/>
      <c r="O3724" s="475"/>
      <c r="P3724" s="475"/>
      <c r="Q3724" s="475"/>
      <c r="R3724" s="475"/>
      <c r="S3724" s="475"/>
      <c r="T3724" s="475"/>
      <c r="U3724" s="475"/>
      <c r="V3724" s="475"/>
      <c r="W3724" s="475"/>
    </row>
    <row r="3725" spans="2:23" s="97" customFormat="1">
      <c r="B3725" s="96"/>
      <c r="H3725" s="96"/>
      <c r="J3725" s="1"/>
      <c r="K3725" s="1"/>
      <c r="L3725" s="1"/>
      <c r="O3725" s="475"/>
      <c r="P3725" s="475"/>
      <c r="Q3725" s="475"/>
      <c r="R3725" s="475"/>
      <c r="S3725" s="475"/>
      <c r="T3725" s="475"/>
      <c r="U3725" s="475"/>
      <c r="V3725" s="475"/>
      <c r="W3725" s="475"/>
    </row>
    <row r="3726" spans="2:23" s="97" customFormat="1">
      <c r="B3726" s="96"/>
      <c r="H3726" s="96"/>
      <c r="J3726" s="1"/>
      <c r="K3726" s="1"/>
      <c r="L3726" s="1"/>
      <c r="O3726" s="475"/>
      <c r="P3726" s="475"/>
      <c r="Q3726" s="475"/>
      <c r="R3726" s="475"/>
      <c r="S3726" s="475"/>
      <c r="T3726" s="475"/>
      <c r="U3726" s="475"/>
      <c r="V3726" s="475"/>
      <c r="W3726" s="475"/>
    </row>
    <row r="3727" spans="2:23" s="97" customFormat="1">
      <c r="B3727" s="96"/>
      <c r="H3727" s="96"/>
      <c r="J3727" s="1"/>
      <c r="K3727" s="1"/>
      <c r="L3727" s="1"/>
      <c r="O3727" s="475"/>
      <c r="P3727" s="475"/>
      <c r="Q3727" s="475"/>
      <c r="R3727" s="475"/>
      <c r="S3727" s="475"/>
      <c r="T3727" s="475"/>
      <c r="U3727" s="475"/>
      <c r="V3727" s="475"/>
      <c r="W3727" s="475"/>
    </row>
    <row r="3728" spans="2:23" s="97" customFormat="1">
      <c r="B3728" s="96"/>
      <c r="H3728" s="96"/>
      <c r="J3728" s="1"/>
      <c r="K3728" s="1"/>
      <c r="L3728" s="1"/>
      <c r="O3728" s="475"/>
      <c r="P3728" s="475"/>
      <c r="Q3728" s="475"/>
      <c r="R3728" s="475"/>
      <c r="S3728" s="475"/>
      <c r="T3728" s="475"/>
      <c r="U3728" s="475"/>
      <c r="V3728" s="475"/>
      <c r="W3728" s="475"/>
    </row>
    <row r="3729" spans="2:23" s="97" customFormat="1">
      <c r="B3729" s="96"/>
      <c r="H3729" s="96"/>
      <c r="J3729" s="1"/>
      <c r="K3729" s="1"/>
      <c r="L3729" s="1"/>
      <c r="O3729" s="475"/>
      <c r="P3729" s="475"/>
      <c r="Q3729" s="475"/>
      <c r="R3729" s="475"/>
      <c r="S3729" s="475"/>
      <c r="T3729" s="475"/>
      <c r="U3729" s="475"/>
      <c r="V3729" s="475"/>
      <c r="W3729" s="475"/>
    </row>
    <row r="3730" spans="2:23" s="97" customFormat="1">
      <c r="B3730" s="96"/>
      <c r="H3730" s="96"/>
      <c r="J3730" s="1"/>
      <c r="K3730" s="1"/>
      <c r="L3730" s="1"/>
      <c r="O3730" s="475"/>
      <c r="P3730" s="475"/>
      <c r="Q3730" s="475"/>
      <c r="R3730" s="475"/>
      <c r="S3730" s="475"/>
      <c r="T3730" s="475"/>
      <c r="U3730" s="475"/>
      <c r="V3730" s="475"/>
      <c r="W3730" s="475"/>
    </row>
    <row r="3731" spans="2:23" s="97" customFormat="1">
      <c r="B3731" s="96"/>
      <c r="H3731" s="96"/>
      <c r="J3731" s="1"/>
      <c r="K3731" s="1"/>
      <c r="L3731" s="1"/>
      <c r="O3731" s="475"/>
      <c r="P3731" s="475"/>
      <c r="Q3731" s="475"/>
      <c r="R3731" s="475"/>
      <c r="S3731" s="475"/>
      <c r="T3731" s="475"/>
      <c r="U3731" s="475"/>
      <c r="V3731" s="475"/>
      <c r="W3731" s="475"/>
    </row>
    <row r="3732" spans="2:23" s="97" customFormat="1">
      <c r="B3732" s="96"/>
      <c r="H3732" s="96"/>
      <c r="J3732" s="1"/>
      <c r="K3732" s="1"/>
      <c r="L3732" s="1"/>
      <c r="O3732" s="475"/>
      <c r="P3732" s="475"/>
      <c r="Q3732" s="475"/>
      <c r="R3732" s="475"/>
      <c r="S3732" s="475"/>
      <c r="T3732" s="475"/>
      <c r="U3732" s="475"/>
      <c r="V3732" s="475"/>
      <c r="W3732" s="475"/>
    </row>
    <row r="3733" spans="2:23" s="97" customFormat="1">
      <c r="B3733" s="96"/>
      <c r="H3733" s="96"/>
      <c r="J3733" s="1"/>
      <c r="K3733" s="1"/>
      <c r="L3733" s="1"/>
      <c r="O3733" s="475"/>
      <c r="P3733" s="475"/>
      <c r="Q3733" s="475"/>
      <c r="R3733" s="475"/>
      <c r="S3733" s="475"/>
      <c r="T3733" s="475"/>
      <c r="U3733" s="475"/>
      <c r="V3733" s="475"/>
      <c r="W3733" s="475"/>
    </row>
    <row r="3734" spans="2:23" s="97" customFormat="1">
      <c r="B3734" s="96"/>
      <c r="H3734" s="96"/>
      <c r="J3734" s="1"/>
      <c r="K3734" s="1"/>
      <c r="L3734" s="1"/>
      <c r="O3734" s="475"/>
      <c r="P3734" s="475"/>
      <c r="Q3734" s="475"/>
      <c r="R3734" s="475"/>
      <c r="S3734" s="475"/>
      <c r="T3734" s="475"/>
      <c r="U3734" s="475"/>
      <c r="V3734" s="475"/>
      <c r="W3734" s="475"/>
    </row>
    <row r="3735" spans="2:23" s="97" customFormat="1">
      <c r="B3735" s="96"/>
      <c r="H3735" s="96"/>
      <c r="J3735" s="1"/>
      <c r="K3735" s="1"/>
      <c r="L3735" s="1"/>
      <c r="O3735" s="475"/>
      <c r="P3735" s="475"/>
      <c r="Q3735" s="475"/>
      <c r="R3735" s="475"/>
      <c r="S3735" s="475"/>
      <c r="T3735" s="475"/>
      <c r="U3735" s="475"/>
      <c r="V3735" s="475"/>
      <c r="W3735" s="475"/>
    </row>
    <row r="3736" spans="2:23" s="97" customFormat="1">
      <c r="B3736" s="96"/>
      <c r="H3736" s="96"/>
      <c r="J3736" s="1"/>
      <c r="K3736" s="1"/>
      <c r="L3736" s="1"/>
      <c r="O3736" s="475"/>
      <c r="P3736" s="475"/>
      <c r="Q3736" s="475"/>
      <c r="R3736" s="475"/>
      <c r="S3736" s="475"/>
      <c r="T3736" s="475"/>
      <c r="U3736" s="475"/>
      <c r="V3736" s="475"/>
      <c r="W3736" s="475"/>
    </row>
    <row r="3737" spans="2:23" s="97" customFormat="1">
      <c r="B3737" s="96"/>
      <c r="H3737" s="96"/>
      <c r="J3737" s="1"/>
      <c r="K3737" s="1"/>
      <c r="L3737" s="1"/>
      <c r="O3737" s="475"/>
      <c r="P3737" s="475"/>
      <c r="Q3737" s="475"/>
      <c r="R3737" s="475"/>
      <c r="S3737" s="475"/>
      <c r="T3737" s="475"/>
      <c r="U3737" s="475"/>
      <c r="V3737" s="475"/>
      <c r="W3737" s="475"/>
    </row>
    <row r="3738" spans="2:23" s="97" customFormat="1">
      <c r="B3738" s="96"/>
      <c r="H3738" s="96"/>
      <c r="J3738" s="1"/>
      <c r="K3738" s="1"/>
      <c r="L3738" s="1"/>
      <c r="O3738" s="475"/>
      <c r="P3738" s="475"/>
      <c r="Q3738" s="475"/>
      <c r="R3738" s="475"/>
      <c r="S3738" s="475"/>
      <c r="T3738" s="475"/>
      <c r="U3738" s="475"/>
      <c r="V3738" s="475"/>
      <c r="W3738" s="475"/>
    </row>
    <row r="3739" spans="2:23" s="97" customFormat="1">
      <c r="B3739" s="96"/>
      <c r="H3739" s="96"/>
      <c r="J3739" s="1"/>
      <c r="K3739" s="1"/>
      <c r="L3739" s="1"/>
      <c r="O3739" s="475"/>
      <c r="P3739" s="475"/>
      <c r="Q3739" s="475"/>
      <c r="R3739" s="475"/>
      <c r="S3739" s="475"/>
      <c r="T3739" s="475"/>
      <c r="U3739" s="475"/>
      <c r="V3739" s="475"/>
      <c r="W3739" s="475"/>
    </row>
    <row r="3740" spans="2:23" s="97" customFormat="1">
      <c r="B3740" s="96"/>
      <c r="H3740" s="96"/>
      <c r="J3740" s="1"/>
      <c r="K3740" s="1"/>
      <c r="L3740" s="1"/>
      <c r="O3740" s="475"/>
      <c r="P3740" s="475"/>
      <c r="Q3740" s="475"/>
      <c r="R3740" s="475"/>
      <c r="S3740" s="475"/>
      <c r="T3740" s="475"/>
      <c r="U3740" s="475"/>
      <c r="V3740" s="475"/>
      <c r="W3740" s="475"/>
    </row>
    <row r="3741" spans="2:23" s="97" customFormat="1">
      <c r="B3741" s="96"/>
      <c r="H3741" s="96"/>
      <c r="J3741" s="1"/>
      <c r="K3741" s="1"/>
      <c r="L3741" s="1"/>
      <c r="O3741" s="475"/>
      <c r="P3741" s="475"/>
      <c r="Q3741" s="475"/>
      <c r="R3741" s="475"/>
      <c r="S3741" s="475"/>
      <c r="T3741" s="475"/>
      <c r="U3741" s="475"/>
      <c r="V3741" s="475"/>
      <c r="W3741" s="475"/>
    </row>
    <row r="3742" spans="2:23" s="97" customFormat="1">
      <c r="B3742" s="96"/>
      <c r="H3742" s="96"/>
      <c r="J3742" s="1"/>
      <c r="K3742" s="1"/>
      <c r="L3742" s="1"/>
      <c r="O3742" s="475"/>
      <c r="P3742" s="475"/>
      <c r="Q3742" s="475"/>
      <c r="R3742" s="475"/>
      <c r="S3742" s="475"/>
      <c r="T3742" s="475"/>
      <c r="U3742" s="475"/>
      <c r="V3742" s="475"/>
      <c r="W3742" s="475"/>
    </row>
    <row r="3743" spans="2:23" s="97" customFormat="1">
      <c r="B3743" s="96"/>
      <c r="H3743" s="96"/>
      <c r="J3743" s="1"/>
      <c r="K3743" s="1"/>
      <c r="L3743" s="1"/>
      <c r="O3743" s="475"/>
      <c r="P3743" s="475"/>
      <c r="Q3743" s="475"/>
      <c r="R3743" s="475"/>
      <c r="S3743" s="475"/>
      <c r="T3743" s="475"/>
      <c r="U3743" s="475"/>
      <c r="V3743" s="475"/>
      <c r="W3743" s="475"/>
    </row>
    <row r="3744" spans="2:23" s="97" customFormat="1">
      <c r="B3744" s="96"/>
      <c r="H3744" s="96"/>
      <c r="J3744" s="1"/>
      <c r="K3744" s="1"/>
      <c r="L3744" s="1"/>
      <c r="O3744" s="475"/>
      <c r="P3744" s="475"/>
      <c r="Q3744" s="475"/>
      <c r="R3744" s="475"/>
      <c r="S3744" s="475"/>
      <c r="T3744" s="475"/>
      <c r="U3744" s="475"/>
      <c r="V3744" s="475"/>
      <c r="W3744" s="475"/>
    </row>
    <row r="3745" spans="2:23" s="97" customFormat="1">
      <c r="B3745" s="96"/>
      <c r="H3745" s="96"/>
      <c r="J3745" s="1"/>
      <c r="K3745" s="1"/>
      <c r="L3745" s="1"/>
      <c r="O3745" s="475"/>
      <c r="P3745" s="475"/>
      <c r="Q3745" s="475"/>
      <c r="R3745" s="475"/>
      <c r="S3745" s="475"/>
      <c r="T3745" s="475"/>
      <c r="U3745" s="475"/>
      <c r="V3745" s="475"/>
      <c r="W3745" s="475"/>
    </row>
    <row r="3746" spans="2:23" s="97" customFormat="1">
      <c r="B3746" s="96"/>
      <c r="H3746" s="96"/>
      <c r="J3746" s="1"/>
      <c r="K3746" s="1"/>
      <c r="L3746" s="1"/>
      <c r="O3746" s="475"/>
      <c r="P3746" s="475"/>
      <c r="Q3746" s="475"/>
      <c r="R3746" s="475"/>
      <c r="S3746" s="475"/>
      <c r="T3746" s="475"/>
      <c r="U3746" s="475"/>
      <c r="V3746" s="475"/>
      <c r="W3746" s="475"/>
    </row>
    <row r="3747" spans="2:23" s="97" customFormat="1">
      <c r="B3747" s="96"/>
      <c r="H3747" s="96"/>
      <c r="J3747" s="1"/>
      <c r="K3747" s="1"/>
      <c r="L3747" s="1"/>
      <c r="O3747" s="475"/>
      <c r="P3747" s="475"/>
      <c r="Q3747" s="475"/>
      <c r="R3747" s="475"/>
      <c r="S3747" s="475"/>
      <c r="T3747" s="475"/>
      <c r="U3747" s="475"/>
      <c r="V3747" s="475"/>
      <c r="W3747" s="475"/>
    </row>
    <row r="3748" spans="2:23" s="97" customFormat="1">
      <c r="B3748" s="96"/>
      <c r="H3748" s="96"/>
      <c r="J3748" s="1"/>
      <c r="K3748" s="1"/>
      <c r="L3748" s="1"/>
      <c r="O3748" s="475"/>
      <c r="P3748" s="475"/>
      <c r="Q3748" s="475"/>
      <c r="R3748" s="475"/>
      <c r="S3748" s="475"/>
      <c r="T3748" s="475"/>
      <c r="U3748" s="475"/>
      <c r="V3748" s="475"/>
      <c r="W3748" s="475"/>
    </row>
    <row r="3749" spans="2:23" s="97" customFormat="1">
      <c r="B3749" s="96"/>
      <c r="H3749" s="96"/>
      <c r="J3749" s="1"/>
      <c r="K3749" s="1"/>
      <c r="L3749" s="1"/>
      <c r="O3749" s="475"/>
      <c r="P3749" s="475"/>
      <c r="Q3749" s="475"/>
      <c r="R3749" s="475"/>
      <c r="S3749" s="475"/>
      <c r="T3749" s="475"/>
      <c r="U3749" s="475"/>
      <c r="V3749" s="475"/>
      <c r="W3749" s="475"/>
    </row>
    <row r="3750" spans="2:23" s="97" customFormat="1">
      <c r="B3750" s="96"/>
      <c r="H3750" s="96"/>
      <c r="J3750" s="1"/>
      <c r="K3750" s="1"/>
      <c r="L3750" s="1"/>
      <c r="O3750" s="475"/>
      <c r="P3750" s="475"/>
      <c r="Q3750" s="475"/>
      <c r="R3750" s="475"/>
      <c r="S3750" s="475"/>
      <c r="T3750" s="475"/>
      <c r="U3750" s="475"/>
      <c r="V3750" s="475"/>
      <c r="W3750" s="475"/>
    </row>
    <row r="3751" spans="2:23" s="97" customFormat="1">
      <c r="B3751" s="96"/>
      <c r="H3751" s="96"/>
      <c r="J3751" s="1"/>
      <c r="K3751" s="1"/>
      <c r="L3751" s="1"/>
      <c r="O3751" s="475"/>
      <c r="P3751" s="475"/>
      <c r="Q3751" s="475"/>
      <c r="R3751" s="475"/>
      <c r="S3751" s="475"/>
      <c r="T3751" s="475"/>
      <c r="U3751" s="475"/>
      <c r="V3751" s="475"/>
      <c r="W3751" s="475"/>
    </row>
    <row r="3752" spans="2:23" s="97" customFormat="1">
      <c r="B3752" s="96"/>
      <c r="H3752" s="96"/>
      <c r="J3752" s="1"/>
      <c r="K3752" s="1"/>
      <c r="L3752" s="1"/>
      <c r="O3752" s="475"/>
      <c r="P3752" s="475"/>
      <c r="Q3752" s="475"/>
      <c r="R3752" s="475"/>
      <c r="S3752" s="475"/>
      <c r="T3752" s="475"/>
      <c r="U3752" s="475"/>
      <c r="V3752" s="475"/>
      <c r="W3752" s="475"/>
    </row>
    <row r="3753" spans="2:23" s="97" customFormat="1">
      <c r="B3753" s="96"/>
      <c r="H3753" s="96"/>
      <c r="J3753" s="1"/>
      <c r="K3753" s="1"/>
      <c r="L3753" s="1"/>
      <c r="O3753" s="475"/>
      <c r="P3753" s="475"/>
      <c r="Q3753" s="475"/>
      <c r="R3753" s="475"/>
      <c r="S3753" s="475"/>
      <c r="T3753" s="475"/>
      <c r="U3753" s="475"/>
      <c r="V3753" s="475"/>
      <c r="W3753" s="475"/>
    </row>
    <row r="3754" spans="2:23" s="97" customFormat="1">
      <c r="B3754" s="96"/>
      <c r="H3754" s="96"/>
      <c r="J3754" s="1"/>
      <c r="K3754" s="1"/>
      <c r="L3754" s="1"/>
      <c r="O3754" s="475"/>
      <c r="P3754" s="475"/>
      <c r="Q3754" s="475"/>
      <c r="R3754" s="475"/>
      <c r="S3754" s="475"/>
      <c r="T3754" s="475"/>
      <c r="U3754" s="475"/>
      <c r="V3754" s="475"/>
      <c r="W3754" s="475"/>
    </row>
    <row r="3755" spans="2:23" s="97" customFormat="1">
      <c r="B3755" s="96"/>
      <c r="H3755" s="96"/>
      <c r="J3755" s="1"/>
      <c r="K3755" s="1"/>
      <c r="L3755" s="1"/>
      <c r="O3755" s="475"/>
      <c r="P3755" s="475"/>
      <c r="Q3755" s="475"/>
      <c r="R3755" s="475"/>
      <c r="S3755" s="475"/>
      <c r="T3755" s="475"/>
      <c r="U3755" s="475"/>
      <c r="V3755" s="475"/>
      <c r="W3755" s="475"/>
    </row>
    <row r="3756" spans="2:23" s="97" customFormat="1">
      <c r="B3756" s="96"/>
      <c r="H3756" s="96"/>
      <c r="J3756" s="1"/>
      <c r="K3756" s="1"/>
      <c r="L3756" s="1"/>
      <c r="O3756" s="475"/>
      <c r="P3756" s="475"/>
      <c r="Q3756" s="475"/>
      <c r="R3756" s="475"/>
      <c r="S3756" s="475"/>
      <c r="T3756" s="475"/>
      <c r="U3756" s="475"/>
      <c r="V3756" s="475"/>
      <c r="W3756" s="475"/>
    </row>
    <row r="3757" spans="2:23" s="97" customFormat="1">
      <c r="B3757" s="96"/>
      <c r="H3757" s="96"/>
      <c r="J3757" s="1"/>
      <c r="K3757" s="1"/>
      <c r="L3757" s="1"/>
      <c r="O3757" s="475"/>
      <c r="P3757" s="475"/>
      <c r="Q3757" s="475"/>
      <c r="R3757" s="475"/>
      <c r="S3757" s="475"/>
      <c r="T3757" s="475"/>
      <c r="U3757" s="475"/>
      <c r="V3757" s="475"/>
      <c r="W3757" s="475"/>
    </row>
    <row r="3758" spans="2:23" s="97" customFormat="1">
      <c r="B3758" s="96"/>
      <c r="H3758" s="96"/>
      <c r="J3758" s="1"/>
      <c r="K3758" s="1"/>
      <c r="L3758" s="1"/>
      <c r="O3758" s="475"/>
      <c r="P3758" s="475"/>
      <c r="Q3758" s="475"/>
      <c r="R3758" s="475"/>
      <c r="S3758" s="475"/>
      <c r="T3758" s="475"/>
      <c r="U3758" s="475"/>
      <c r="V3758" s="475"/>
      <c r="W3758" s="475"/>
    </row>
    <row r="3759" spans="2:23" s="97" customFormat="1">
      <c r="B3759" s="96"/>
      <c r="H3759" s="96"/>
      <c r="J3759" s="1"/>
      <c r="K3759" s="1"/>
      <c r="L3759" s="1"/>
      <c r="O3759" s="475"/>
      <c r="P3759" s="475"/>
      <c r="Q3759" s="475"/>
      <c r="R3759" s="475"/>
      <c r="S3759" s="475"/>
      <c r="T3759" s="475"/>
      <c r="U3759" s="475"/>
      <c r="V3759" s="475"/>
      <c r="W3759" s="475"/>
    </row>
    <row r="3760" spans="2:23" s="97" customFormat="1">
      <c r="B3760" s="96"/>
      <c r="H3760" s="96"/>
      <c r="J3760" s="1"/>
      <c r="K3760" s="1"/>
      <c r="L3760" s="1"/>
      <c r="O3760" s="475"/>
      <c r="P3760" s="475"/>
      <c r="Q3760" s="475"/>
      <c r="R3760" s="475"/>
      <c r="S3760" s="475"/>
      <c r="T3760" s="475"/>
      <c r="U3760" s="475"/>
      <c r="V3760" s="475"/>
      <c r="W3760" s="475"/>
    </row>
    <row r="3761" spans="2:23" s="97" customFormat="1">
      <c r="B3761" s="96"/>
      <c r="H3761" s="96"/>
      <c r="J3761" s="1"/>
      <c r="K3761" s="1"/>
      <c r="L3761" s="1"/>
      <c r="O3761" s="475"/>
      <c r="P3761" s="475"/>
      <c r="Q3761" s="475"/>
      <c r="R3761" s="475"/>
      <c r="S3761" s="475"/>
      <c r="T3761" s="475"/>
      <c r="U3761" s="475"/>
      <c r="V3761" s="475"/>
      <c r="W3761" s="475"/>
    </row>
    <row r="3762" spans="2:23" s="97" customFormat="1">
      <c r="B3762" s="96"/>
      <c r="H3762" s="96"/>
      <c r="J3762" s="1"/>
      <c r="K3762" s="1"/>
      <c r="L3762" s="1"/>
      <c r="O3762" s="475"/>
      <c r="P3762" s="475"/>
      <c r="Q3762" s="475"/>
      <c r="R3762" s="475"/>
      <c r="S3762" s="475"/>
      <c r="T3762" s="475"/>
      <c r="U3762" s="475"/>
      <c r="V3762" s="475"/>
      <c r="W3762" s="475"/>
    </row>
    <row r="3763" spans="2:23" s="97" customFormat="1">
      <c r="B3763" s="96"/>
      <c r="H3763" s="96"/>
      <c r="J3763" s="1"/>
      <c r="K3763" s="1"/>
      <c r="L3763" s="1"/>
      <c r="O3763" s="475"/>
      <c r="P3763" s="475"/>
      <c r="Q3763" s="475"/>
      <c r="R3763" s="475"/>
      <c r="S3763" s="475"/>
      <c r="T3763" s="475"/>
      <c r="U3763" s="475"/>
      <c r="V3763" s="475"/>
      <c r="W3763" s="475"/>
    </row>
    <row r="3764" spans="2:23" s="97" customFormat="1">
      <c r="B3764" s="96"/>
      <c r="H3764" s="96"/>
      <c r="J3764" s="1"/>
      <c r="K3764" s="1"/>
      <c r="L3764" s="1"/>
      <c r="O3764" s="475"/>
      <c r="P3764" s="475"/>
      <c r="Q3764" s="475"/>
      <c r="R3764" s="475"/>
      <c r="S3764" s="475"/>
      <c r="T3764" s="475"/>
      <c r="U3764" s="475"/>
      <c r="V3764" s="475"/>
      <c r="W3764" s="475"/>
    </row>
    <row r="3765" spans="2:23" s="97" customFormat="1">
      <c r="B3765" s="96"/>
      <c r="H3765" s="96"/>
      <c r="J3765" s="1"/>
      <c r="K3765" s="1"/>
      <c r="L3765" s="1"/>
      <c r="O3765" s="475"/>
      <c r="P3765" s="475"/>
      <c r="Q3765" s="475"/>
      <c r="R3765" s="475"/>
      <c r="S3765" s="475"/>
      <c r="T3765" s="475"/>
      <c r="U3765" s="475"/>
      <c r="V3765" s="475"/>
      <c r="W3765" s="475"/>
    </row>
    <row r="3766" spans="2:23" s="97" customFormat="1">
      <c r="B3766" s="96"/>
      <c r="H3766" s="96"/>
      <c r="J3766" s="1"/>
      <c r="K3766" s="1"/>
      <c r="L3766" s="1"/>
      <c r="O3766" s="475"/>
      <c r="P3766" s="475"/>
      <c r="Q3766" s="475"/>
      <c r="R3766" s="475"/>
      <c r="S3766" s="475"/>
      <c r="T3766" s="475"/>
      <c r="U3766" s="475"/>
      <c r="V3766" s="475"/>
      <c r="W3766" s="475"/>
    </row>
    <row r="3767" spans="2:23" s="97" customFormat="1">
      <c r="B3767" s="96"/>
      <c r="H3767" s="96"/>
      <c r="J3767" s="1"/>
      <c r="K3767" s="1"/>
      <c r="L3767" s="1"/>
      <c r="O3767" s="475"/>
      <c r="P3767" s="475"/>
      <c r="Q3767" s="475"/>
      <c r="R3767" s="475"/>
      <c r="S3767" s="475"/>
      <c r="T3767" s="475"/>
      <c r="U3767" s="475"/>
      <c r="V3767" s="475"/>
      <c r="W3767" s="475"/>
    </row>
    <row r="3768" spans="2:23" s="97" customFormat="1">
      <c r="B3768" s="96"/>
      <c r="H3768" s="96"/>
      <c r="J3768" s="1"/>
      <c r="K3768" s="1"/>
      <c r="L3768" s="1"/>
      <c r="O3768" s="475"/>
      <c r="P3768" s="475"/>
      <c r="Q3768" s="475"/>
      <c r="R3768" s="475"/>
      <c r="S3768" s="475"/>
      <c r="T3768" s="475"/>
      <c r="U3768" s="475"/>
      <c r="V3768" s="475"/>
      <c r="W3768" s="475"/>
    </row>
    <row r="3769" spans="2:23" s="97" customFormat="1">
      <c r="B3769" s="96"/>
      <c r="H3769" s="96"/>
      <c r="J3769" s="1"/>
      <c r="K3769" s="1"/>
      <c r="L3769" s="1"/>
      <c r="O3769" s="475"/>
      <c r="P3769" s="475"/>
      <c r="Q3769" s="475"/>
      <c r="R3769" s="475"/>
      <c r="S3769" s="475"/>
      <c r="T3769" s="475"/>
      <c r="U3769" s="475"/>
      <c r="V3769" s="475"/>
      <c r="W3769" s="475"/>
    </row>
    <row r="3770" spans="2:23" s="97" customFormat="1">
      <c r="B3770" s="96"/>
      <c r="H3770" s="96"/>
      <c r="J3770" s="1"/>
      <c r="K3770" s="1"/>
      <c r="L3770" s="1"/>
      <c r="O3770" s="475"/>
      <c r="P3770" s="475"/>
      <c r="Q3770" s="475"/>
      <c r="R3770" s="475"/>
      <c r="S3770" s="475"/>
      <c r="T3770" s="475"/>
      <c r="U3770" s="475"/>
      <c r="V3770" s="475"/>
      <c r="W3770" s="475"/>
    </row>
    <row r="3771" spans="2:23" s="97" customFormat="1">
      <c r="B3771" s="96"/>
      <c r="H3771" s="96"/>
      <c r="J3771" s="1"/>
      <c r="K3771" s="1"/>
      <c r="L3771" s="1"/>
      <c r="O3771" s="475"/>
      <c r="P3771" s="475"/>
      <c r="Q3771" s="475"/>
      <c r="R3771" s="475"/>
      <c r="S3771" s="475"/>
      <c r="T3771" s="475"/>
      <c r="U3771" s="475"/>
      <c r="V3771" s="475"/>
      <c r="W3771" s="475"/>
    </row>
    <row r="3772" spans="2:23" s="97" customFormat="1">
      <c r="B3772" s="96"/>
      <c r="H3772" s="96"/>
      <c r="J3772" s="1"/>
      <c r="K3772" s="1"/>
      <c r="L3772" s="1"/>
      <c r="O3772" s="475"/>
      <c r="P3772" s="475"/>
      <c r="Q3772" s="475"/>
      <c r="R3772" s="475"/>
      <c r="S3772" s="475"/>
      <c r="T3772" s="475"/>
      <c r="U3772" s="475"/>
      <c r="V3772" s="475"/>
      <c r="W3772" s="475"/>
    </row>
    <row r="3773" spans="2:23" s="97" customFormat="1">
      <c r="B3773" s="96"/>
      <c r="H3773" s="96"/>
      <c r="J3773" s="1"/>
      <c r="K3773" s="1"/>
      <c r="L3773" s="1"/>
      <c r="O3773" s="475"/>
      <c r="P3773" s="475"/>
      <c r="Q3773" s="475"/>
      <c r="R3773" s="475"/>
      <c r="S3773" s="475"/>
      <c r="T3773" s="475"/>
      <c r="U3773" s="475"/>
      <c r="V3773" s="475"/>
      <c r="W3773" s="475"/>
    </row>
    <row r="3774" spans="2:23" s="97" customFormat="1">
      <c r="B3774" s="96"/>
      <c r="H3774" s="96"/>
      <c r="J3774" s="1"/>
      <c r="K3774" s="1"/>
      <c r="L3774" s="1"/>
      <c r="O3774" s="475"/>
      <c r="P3774" s="475"/>
      <c r="Q3774" s="475"/>
      <c r="R3774" s="475"/>
      <c r="S3774" s="475"/>
      <c r="T3774" s="475"/>
      <c r="U3774" s="475"/>
      <c r="V3774" s="475"/>
      <c r="W3774" s="475"/>
    </row>
    <row r="3775" spans="2:23" s="97" customFormat="1">
      <c r="B3775" s="96"/>
      <c r="H3775" s="96"/>
      <c r="J3775" s="1"/>
      <c r="K3775" s="1"/>
      <c r="L3775" s="1"/>
      <c r="O3775" s="475"/>
      <c r="P3775" s="475"/>
      <c r="Q3775" s="475"/>
      <c r="R3775" s="475"/>
      <c r="S3775" s="475"/>
      <c r="T3775" s="475"/>
      <c r="U3775" s="475"/>
      <c r="V3775" s="475"/>
      <c r="W3775" s="475"/>
    </row>
    <row r="3776" spans="2:23" s="97" customFormat="1">
      <c r="B3776" s="96"/>
      <c r="H3776" s="96"/>
      <c r="J3776" s="1"/>
      <c r="K3776" s="1"/>
      <c r="L3776" s="1"/>
      <c r="O3776" s="475"/>
      <c r="P3776" s="475"/>
      <c r="Q3776" s="475"/>
      <c r="R3776" s="475"/>
      <c r="S3776" s="475"/>
      <c r="T3776" s="475"/>
      <c r="U3776" s="475"/>
      <c r="V3776" s="475"/>
      <c r="W3776" s="475"/>
    </row>
    <row r="3777" spans="2:23" s="97" customFormat="1">
      <c r="B3777" s="96"/>
      <c r="H3777" s="96"/>
      <c r="J3777" s="1"/>
      <c r="K3777" s="1"/>
      <c r="L3777" s="1"/>
      <c r="O3777" s="475"/>
      <c r="P3777" s="475"/>
      <c r="Q3777" s="475"/>
      <c r="R3777" s="475"/>
      <c r="S3777" s="475"/>
      <c r="T3777" s="475"/>
      <c r="U3777" s="475"/>
      <c r="V3777" s="475"/>
      <c r="W3777" s="475"/>
    </row>
    <row r="3778" spans="2:23" s="97" customFormat="1">
      <c r="B3778" s="96"/>
      <c r="H3778" s="96"/>
      <c r="J3778" s="1"/>
      <c r="K3778" s="1"/>
      <c r="L3778" s="1"/>
      <c r="O3778" s="475"/>
      <c r="P3778" s="475"/>
      <c r="Q3778" s="475"/>
      <c r="R3778" s="475"/>
      <c r="S3778" s="475"/>
      <c r="T3778" s="475"/>
      <c r="U3778" s="475"/>
      <c r="V3778" s="475"/>
      <c r="W3778" s="475"/>
    </row>
    <row r="3779" spans="2:23" s="97" customFormat="1">
      <c r="B3779" s="96"/>
      <c r="H3779" s="96"/>
      <c r="J3779" s="1"/>
      <c r="K3779" s="1"/>
      <c r="L3779" s="1"/>
      <c r="O3779" s="475"/>
      <c r="P3779" s="475"/>
      <c r="Q3779" s="475"/>
      <c r="R3779" s="475"/>
      <c r="S3779" s="475"/>
      <c r="T3779" s="475"/>
      <c r="U3779" s="475"/>
      <c r="V3779" s="475"/>
      <c r="W3779" s="475"/>
    </row>
    <row r="3780" spans="2:23" s="97" customFormat="1">
      <c r="B3780" s="96"/>
      <c r="H3780" s="96"/>
      <c r="J3780" s="1"/>
      <c r="K3780" s="1"/>
      <c r="L3780" s="1"/>
      <c r="O3780" s="475"/>
      <c r="P3780" s="475"/>
      <c r="Q3780" s="475"/>
      <c r="R3780" s="475"/>
      <c r="S3780" s="475"/>
      <c r="T3780" s="475"/>
      <c r="U3780" s="475"/>
      <c r="V3780" s="475"/>
      <c r="W3780" s="475"/>
    </row>
    <row r="3781" spans="2:23" s="97" customFormat="1">
      <c r="B3781" s="96"/>
      <c r="H3781" s="96"/>
      <c r="J3781" s="1"/>
      <c r="K3781" s="1"/>
      <c r="L3781" s="1"/>
      <c r="O3781" s="475"/>
      <c r="P3781" s="475"/>
      <c r="Q3781" s="475"/>
      <c r="R3781" s="475"/>
      <c r="S3781" s="475"/>
      <c r="T3781" s="475"/>
      <c r="U3781" s="475"/>
      <c r="V3781" s="475"/>
      <c r="W3781" s="475"/>
    </row>
    <row r="3782" spans="2:23" s="97" customFormat="1">
      <c r="B3782" s="96"/>
      <c r="H3782" s="96"/>
      <c r="J3782" s="1"/>
      <c r="K3782" s="1"/>
      <c r="L3782" s="1"/>
      <c r="O3782" s="475"/>
      <c r="P3782" s="475"/>
      <c r="Q3782" s="475"/>
      <c r="R3782" s="475"/>
      <c r="S3782" s="475"/>
      <c r="T3782" s="475"/>
      <c r="U3782" s="475"/>
      <c r="V3782" s="475"/>
      <c r="W3782" s="475"/>
    </row>
    <row r="3783" spans="2:23" s="97" customFormat="1">
      <c r="B3783" s="96"/>
      <c r="H3783" s="96"/>
      <c r="J3783" s="1"/>
      <c r="K3783" s="1"/>
      <c r="L3783" s="1"/>
      <c r="O3783" s="475"/>
      <c r="P3783" s="475"/>
      <c r="Q3783" s="475"/>
      <c r="R3783" s="475"/>
      <c r="S3783" s="475"/>
      <c r="T3783" s="475"/>
      <c r="U3783" s="475"/>
      <c r="V3783" s="475"/>
      <c r="W3783" s="475"/>
    </row>
    <row r="3784" spans="2:23" s="97" customFormat="1">
      <c r="B3784" s="96"/>
      <c r="H3784" s="96"/>
      <c r="J3784" s="1"/>
      <c r="K3784" s="1"/>
      <c r="L3784" s="1"/>
      <c r="O3784" s="475"/>
      <c r="P3784" s="475"/>
      <c r="Q3784" s="475"/>
      <c r="R3784" s="475"/>
      <c r="S3784" s="475"/>
      <c r="T3784" s="475"/>
      <c r="U3784" s="475"/>
      <c r="V3784" s="475"/>
      <c r="W3784" s="475"/>
    </row>
    <row r="3785" spans="2:23" s="97" customFormat="1">
      <c r="B3785" s="96"/>
      <c r="H3785" s="96"/>
      <c r="J3785" s="1"/>
      <c r="K3785" s="1"/>
      <c r="L3785" s="1"/>
      <c r="O3785" s="475"/>
      <c r="P3785" s="475"/>
      <c r="Q3785" s="475"/>
      <c r="R3785" s="475"/>
      <c r="S3785" s="475"/>
      <c r="T3785" s="475"/>
      <c r="U3785" s="475"/>
      <c r="V3785" s="475"/>
      <c r="W3785" s="475"/>
    </row>
    <row r="3786" spans="2:23" s="97" customFormat="1">
      <c r="B3786" s="96"/>
      <c r="H3786" s="96"/>
      <c r="J3786" s="1"/>
      <c r="K3786" s="1"/>
      <c r="L3786" s="1"/>
      <c r="O3786" s="475"/>
      <c r="P3786" s="475"/>
      <c r="Q3786" s="475"/>
      <c r="R3786" s="475"/>
      <c r="S3786" s="475"/>
      <c r="T3786" s="475"/>
      <c r="U3786" s="475"/>
      <c r="V3786" s="475"/>
      <c r="W3786" s="475"/>
    </row>
    <row r="3787" spans="2:23" s="97" customFormat="1">
      <c r="B3787" s="96"/>
      <c r="H3787" s="96"/>
      <c r="J3787" s="1"/>
      <c r="K3787" s="1"/>
      <c r="L3787" s="1"/>
      <c r="O3787" s="475"/>
      <c r="P3787" s="475"/>
      <c r="Q3787" s="475"/>
      <c r="R3787" s="475"/>
      <c r="S3787" s="475"/>
      <c r="T3787" s="475"/>
      <c r="U3787" s="475"/>
      <c r="V3787" s="475"/>
      <c r="W3787" s="475"/>
    </row>
    <row r="3788" spans="2:23" s="97" customFormat="1">
      <c r="B3788" s="96"/>
      <c r="H3788" s="96"/>
      <c r="J3788" s="1"/>
      <c r="K3788" s="1"/>
      <c r="L3788" s="1"/>
      <c r="O3788" s="475"/>
      <c r="P3788" s="475"/>
      <c r="Q3788" s="475"/>
      <c r="R3788" s="475"/>
      <c r="S3788" s="475"/>
      <c r="T3788" s="475"/>
      <c r="U3788" s="475"/>
      <c r="V3788" s="475"/>
      <c r="W3788" s="475"/>
    </row>
    <row r="3789" spans="2:23" s="97" customFormat="1">
      <c r="B3789" s="96"/>
      <c r="H3789" s="96"/>
      <c r="J3789" s="1"/>
      <c r="K3789" s="1"/>
      <c r="L3789" s="1"/>
      <c r="O3789" s="475"/>
      <c r="P3789" s="475"/>
      <c r="Q3789" s="475"/>
      <c r="R3789" s="475"/>
      <c r="S3789" s="475"/>
      <c r="T3789" s="475"/>
      <c r="U3789" s="475"/>
      <c r="V3789" s="475"/>
      <c r="W3789" s="475"/>
    </row>
    <row r="3790" spans="2:23" s="97" customFormat="1">
      <c r="B3790" s="96"/>
      <c r="H3790" s="96"/>
      <c r="J3790" s="1"/>
      <c r="K3790" s="1"/>
      <c r="L3790" s="1"/>
      <c r="O3790" s="475"/>
      <c r="P3790" s="475"/>
      <c r="Q3790" s="475"/>
      <c r="R3790" s="475"/>
      <c r="S3790" s="475"/>
      <c r="T3790" s="475"/>
      <c r="U3790" s="475"/>
      <c r="V3790" s="475"/>
      <c r="W3790" s="475"/>
    </row>
    <row r="3791" spans="2:23" s="97" customFormat="1">
      <c r="B3791" s="96"/>
      <c r="H3791" s="96"/>
      <c r="J3791" s="1"/>
      <c r="K3791" s="1"/>
      <c r="L3791" s="1"/>
      <c r="O3791" s="475"/>
      <c r="P3791" s="475"/>
      <c r="Q3791" s="475"/>
      <c r="R3791" s="475"/>
      <c r="S3791" s="475"/>
      <c r="T3791" s="475"/>
      <c r="U3791" s="475"/>
      <c r="V3791" s="475"/>
      <c r="W3791" s="475"/>
    </row>
    <row r="3792" spans="2:23" s="97" customFormat="1">
      <c r="B3792" s="96"/>
      <c r="H3792" s="96"/>
      <c r="J3792" s="1"/>
      <c r="K3792" s="1"/>
      <c r="L3792" s="1"/>
      <c r="O3792" s="475"/>
      <c r="P3792" s="475"/>
      <c r="Q3792" s="475"/>
      <c r="R3792" s="475"/>
      <c r="S3792" s="475"/>
      <c r="T3792" s="475"/>
      <c r="U3792" s="475"/>
      <c r="V3792" s="475"/>
      <c r="W3792" s="475"/>
    </row>
    <row r="3793" spans="2:23" s="97" customFormat="1">
      <c r="B3793" s="96"/>
      <c r="H3793" s="96"/>
      <c r="J3793" s="1"/>
      <c r="K3793" s="1"/>
      <c r="L3793" s="1"/>
      <c r="O3793" s="475"/>
      <c r="P3793" s="475"/>
      <c r="Q3793" s="475"/>
      <c r="R3793" s="475"/>
      <c r="S3793" s="475"/>
      <c r="T3793" s="475"/>
      <c r="U3793" s="475"/>
      <c r="V3793" s="475"/>
      <c r="W3793" s="475"/>
    </row>
    <row r="3794" spans="2:23" s="97" customFormat="1">
      <c r="B3794" s="96"/>
      <c r="H3794" s="96"/>
      <c r="J3794" s="1"/>
      <c r="K3794" s="1"/>
      <c r="L3794" s="1"/>
      <c r="O3794" s="475"/>
      <c r="P3794" s="475"/>
      <c r="Q3794" s="475"/>
      <c r="R3794" s="475"/>
      <c r="S3794" s="475"/>
      <c r="T3794" s="475"/>
      <c r="U3794" s="475"/>
      <c r="V3794" s="475"/>
      <c r="W3794" s="475"/>
    </row>
    <row r="3795" spans="2:23" s="97" customFormat="1">
      <c r="B3795" s="96"/>
      <c r="H3795" s="96"/>
      <c r="J3795" s="1"/>
      <c r="K3795" s="1"/>
      <c r="L3795" s="1"/>
      <c r="O3795" s="475"/>
      <c r="P3795" s="475"/>
      <c r="Q3795" s="475"/>
      <c r="R3795" s="475"/>
      <c r="S3795" s="475"/>
      <c r="T3795" s="475"/>
      <c r="U3795" s="475"/>
      <c r="V3795" s="475"/>
      <c r="W3795" s="475"/>
    </row>
    <row r="3796" spans="2:23" s="97" customFormat="1">
      <c r="B3796" s="96"/>
      <c r="H3796" s="96"/>
      <c r="J3796" s="1"/>
      <c r="K3796" s="1"/>
      <c r="L3796" s="1"/>
      <c r="O3796" s="475"/>
      <c r="P3796" s="475"/>
      <c r="Q3796" s="475"/>
      <c r="R3796" s="475"/>
      <c r="S3796" s="475"/>
      <c r="T3796" s="475"/>
      <c r="U3796" s="475"/>
      <c r="V3796" s="475"/>
      <c r="W3796" s="475"/>
    </row>
    <row r="3797" spans="2:23" s="97" customFormat="1">
      <c r="B3797" s="96"/>
      <c r="H3797" s="96"/>
      <c r="J3797" s="1"/>
      <c r="K3797" s="1"/>
      <c r="L3797" s="1"/>
      <c r="O3797" s="475"/>
      <c r="P3797" s="475"/>
      <c r="Q3797" s="475"/>
      <c r="R3797" s="475"/>
      <c r="S3797" s="475"/>
      <c r="T3797" s="475"/>
      <c r="U3797" s="475"/>
      <c r="V3797" s="475"/>
      <c r="W3797" s="475"/>
    </row>
    <row r="3798" spans="2:23" s="97" customFormat="1">
      <c r="B3798" s="96"/>
      <c r="H3798" s="96"/>
      <c r="J3798" s="1"/>
      <c r="K3798" s="1"/>
      <c r="L3798" s="1"/>
      <c r="O3798" s="475"/>
      <c r="P3798" s="475"/>
      <c r="Q3798" s="475"/>
      <c r="R3798" s="475"/>
      <c r="S3798" s="475"/>
      <c r="T3798" s="475"/>
      <c r="U3798" s="475"/>
      <c r="V3798" s="475"/>
      <c r="W3798" s="475"/>
    </row>
    <row r="3799" spans="2:23" s="97" customFormat="1">
      <c r="B3799" s="96"/>
      <c r="H3799" s="96"/>
      <c r="J3799" s="1"/>
      <c r="K3799" s="1"/>
      <c r="L3799" s="1"/>
      <c r="O3799" s="475"/>
      <c r="P3799" s="475"/>
      <c r="Q3799" s="475"/>
      <c r="R3799" s="475"/>
      <c r="S3799" s="475"/>
      <c r="T3799" s="475"/>
      <c r="U3799" s="475"/>
      <c r="V3799" s="475"/>
      <c r="W3799" s="475"/>
    </row>
    <row r="3800" spans="2:23" s="97" customFormat="1">
      <c r="B3800" s="96"/>
      <c r="H3800" s="96"/>
      <c r="J3800" s="1"/>
      <c r="K3800" s="1"/>
      <c r="L3800" s="1"/>
      <c r="O3800" s="475"/>
      <c r="P3800" s="475"/>
      <c r="Q3800" s="475"/>
      <c r="R3800" s="475"/>
      <c r="S3800" s="475"/>
      <c r="T3800" s="475"/>
      <c r="U3800" s="475"/>
      <c r="V3800" s="475"/>
      <c r="W3800" s="475"/>
    </row>
    <row r="3801" spans="2:23" s="97" customFormat="1">
      <c r="B3801" s="96"/>
      <c r="H3801" s="96"/>
      <c r="J3801" s="1"/>
      <c r="K3801" s="1"/>
      <c r="L3801" s="1"/>
      <c r="O3801" s="475"/>
      <c r="P3801" s="475"/>
      <c r="Q3801" s="475"/>
      <c r="R3801" s="475"/>
      <c r="S3801" s="475"/>
      <c r="T3801" s="475"/>
      <c r="U3801" s="475"/>
      <c r="V3801" s="475"/>
      <c r="W3801" s="475"/>
    </row>
    <row r="3802" spans="2:23" s="97" customFormat="1">
      <c r="B3802" s="96"/>
      <c r="H3802" s="96"/>
      <c r="J3802" s="1"/>
      <c r="K3802" s="1"/>
      <c r="L3802" s="1"/>
      <c r="O3802" s="475"/>
      <c r="P3802" s="475"/>
      <c r="Q3802" s="475"/>
      <c r="R3802" s="475"/>
      <c r="S3802" s="475"/>
      <c r="T3802" s="475"/>
      <c r="U3802" s="475"/>
      <c r="V3802" s="475"/>
      <c r="W3802" s="475"/>
    </row>
    <row r="3803" spans="2:23" s="97" customFormat="1">
      <c r="B3803" s="96"/>
      <c r="H3803" s="96"/>
      <c r="J3803" s="1"/>
      <c r="K3803" s="1"/>
      <c r="L3803" s="1"/>
      <c r="O3803" s="475"/>
      <c r="P3803" s="475"/>
      <c r="Q3803" s="475"/>
      <c r="R3803" s="475"/>
      <c r="S3803" s="475"/>
      <c r="T3803" s="475"/>
      <c r="U3803" s="475"/>
      <c r="V3803" s="475"/>
      <c r="W3803" s="475"/>
    </row>
    <row r="3804" spans="2:23" s="97" customFormat="1">
      <c r="B3804" s="96"/>
      <c r="H3804" s="96"/>
      <c r="J3804" s="1"/>
      <c r="K3804" s="1"/>
      <c r="L3804" s="1"/>
      <c r="O3804" s="475"/>
      <c r="P3804" s="475"/>
      <c r="Q3804" s="475"/>
      <c r="R3804" s="475"/>
      <c r="S3804" s="475"/>
      <c r="T3804" s="475"/>
      <c r="U3804" s="475"/>
      <c r="V3804" s="475"/>
      <c r="W3804" s="475"/>
    </row>
    <row r="3805" spans="2:23" s="97" customFormat="1">
      <c r="B3805" s="96"/>
      <c r="H3805" s="96"/>
      <c r="J3805" s="1"/>
      <c r="K3805" s="1"/>
      <c r="L3805" s="1"/>
      <c r="O3805" s="475"/>
      <c r="P3805" s="475"/>
      <c r="Q3805" s="475"/>
      <c r="R3805" s="475"/>
      <c r="S3805" s="475"/>
      <c r="T3805" s="475"/>
      <c r="U3805" s="475"/>
      <c r="V3805" s="475"/>
      <c r="W3805" s="475"/>
    </row>
    <row r="3806" spans="2:23" s="97" customFormat="1">
      <c r="B3806" s="96"/>
      <c r="H3806" s="96"/>
      <c r="J3806" s="1"/>
      <c r="K3806" s="1"/>
      <c r="L3806" s="1"/>
      <c r="O3806" s="475"/>
      <c r="P3806" s="475"/>
      <c r="Q3806" s="475"/>
      <c r="R3806" s="475"/>
      <c r="S3806" s="475"/>
      <c r="T3806" s="475"/>
      <c r="U3806" s="475"/>
      <c r="V3806" s="475"/>
      <c r="W3806" s="475"/>
    </row>
    <row r="3807" spans="2:23" s="97" customFormat="1">
      <c r="B3807" s="96"/>
      <c r="H3807" s="96"/>
      <c r="J3807" s="1"/>
      <c r="K3807" s="1"/>
      <c r="L3807" s="1"/>
      <c r="O3807" s="475"/>
      <c r="P3807" s="475"/>
      <c r="Q3807" s="475"/>
      <c r="R3807" s="475"/>
      <c r="S3807" s="475"/>
      <c r="T3807" s="475"/>
      <c r="U3807" s="475"/>
      <c r="V3807" s="475"/>
      <c r="W3807" s="475"/>
    </row>
    <row r="3808" spans="2:23" s="97" customFormat="1">
      <c r="B3808" s="96"/>
      <c r="H3808" s="96"/>
      <c r="J3808" s="1"/>
      <c r="K3808" s="1"/>
      <c r="L3808" s="1"/>
      <c r="O3808" s="475"/>
      <c r="P3808" s="475"/>
      <c r="Q3808" s="475"/>
      <c r="R3808" s="475"/>
      <c r="S3808" s="475"/>
      <c r="T3808" s="475"/>
      <c r="U3808" s="475"/>
      <c r="V3808" s="475"/>
      <c r="W3808" s="475"/>
    </row>
    <row r="3809" spans="2:23" s="97" customFormat="1">
      <c r="B3809" s="96"/>
      <c r="H3809" s="96"/>
      <c r="J3809" s="1"/>
      <c r="K3809" s="1"/>
      <c r="L3809" s="1"/>
      <c r="O3809" s="475"/>
      <c r="P3809" s="475"/>
      <c r="Q3809" s="475"/>
      <c r="R3809" s="475"/>
      <c r="S3809" s="475"/>
      <c r="T3809" s="475"/>
      <c r="U3809" s="475"/>
      <c r="V3809" s="475"/>
      <c r="W3809" s="475"/>
    </row>
    <row r="3810" spans="2:23" s="97" customFormat="1">
      <c r="B3810" s="96"/>
      <c r="H3810" s="96"/>
      <c r="J3810" s="1"/>
      <c r="K3810" s="1"/>
      <c r="L3810" s="1"/>
      <c r="O3810" s="475"/>
      <c r="P3810" s="475"/>
      <c r="Q3810" s="475"/>
      <c r="R3810" s="475"/>
      <c r="S3810" s="475"/>
      <c r="T3810" s="475"/>
      <c r="U3810" s="475"/>
      <c r="V3810" s="475"/>
      <c r="W3810" s="475"/>
    </row>
    <row r="3811" spans="2:23" s="97" customFormat="1">
      <c r="B3811" s="96"/>
      <c r="H3811" s="96"/>
      <c r="J3811" s="1"/>
      <c r="K3811" s="1"/>
      <c r="L3811" s="1"/>
      <c r="O3811" s="475"/>
      <c r="P3811" s="475"/>
      <c r="Q3811" s="475"/>
      <c r="R3811" s="475"/>
      <c r="S3811" s="475"/>
      <c r="T3811" s="475"/>
      <c r="U3811" s="475"/>
      <c r="V3811" s="475"/>
      <c r="W3811" s="475"/>
    </row>
    <row r="3812" spans="2:23" s="97" customFormat="1">
      <c r="B3812" s="96"/>
      <c r="H3812" s="96"/>
      <c r="J3812" s="1"/>
      <c r="K3812" s="1"/>
      <c r="L3812" s="1"/>
      <c r="O3812" s="475"/>
      <c r="P3812" s="475"/>
      <c r="Q3812" s="475"/>
      <c r="R3812" s="475"/>
      <c r="S3812" s="475"/>
      <c r="T3812" s="475"/>
      <c r="U3812" s="475"/>
      <c r="V3812" s="475"/>
      <c r="W3812" s="475"/>
    </row>
    <row r="3813" spans="2:23" s="97" customFormat="1">
      <c r="B3813" s="96"/>
      <c r="H3813" s="96"/>
      <c r="J3813" s="1"/>
      <c r="K3813" s="1"/>
      <c r="L3813" s="1"/>
      <c r="O3813" s="475"/>
      <c r="P3813" s="475"/>
      <c r="Q3813" s="475"/>
      <c r="R3813" s="475"/>
      <c r="S3813" s="475"/>
      <c r="T3813" s="475"/>
      <c r="U3813" s="475"/>
      <c r="V3813" s="475"/>
      <c r="W3813" s="475"/>
    </row>
    <row r="3814" spans="2:23" s="97" customFormat="1">
      <c r="B3814" s="96"/>
      <c r="H3814" s="96"/>
      <c r="J3814" s="1"/>
      <c r="K3814" s="1"/>
      <c r="L3814" s="1"/>
      <c r="O3814" s="475"/>
      <c r="P3814" s="475"/>
      <c r="Q3814" s="475"/>
      <c r="R3814" s="475"/>
      <c r="S3814" s="475"/>
      <c r="T3814" s="475"/>
      <c r="U3814" s="475"/>
      <c r="V3814" s="475"/>
      <c r="W3814" s="475"/>
    </row>
    <row r="3815" spans="2:23" s="97" customFormat="1">
      <c r="B3815" s="96"/>
      <c r="H3815" s="96"/>
      <c r="J3815" s="1"/>
      <c r="K3815" s="1"/>
      <c r="L3815" s="1"/>
      <c r="O3815" s="475"/>
      <c r="P3815" s="475"/>
      <c r="Q3815" s="475"/>
      <c r="R3815" s="475"/>
      <c r="S3815" s="475"/>
      <c r="T3815" s="475"/>
      <c r="U3815" s="475"/>
      <c r="V3815" s="475"/>
      <c r="W3815" s="475"/>
    </row>
    <row r="3816" spans="2:23" s="97" customFormat="1">
      <c r="B3816" s="96"/>
      <c r="H3816" s="96"/>
      <c r="J3816" s="1"/>
      <c r="K3816" s="1"/>
      <c r="L3816" s="1"/>
      <c r="O3816" s="475"/>
      <c r="P3816" s="475"/>
      <c r="Q3816" s="475"/>
      <c r="R3816" s="475"/>
      <c r="S3816" s="475"/>
      <c r="T3816" s="475"/>
      <c r="U3816" s="475"/>
      <c r="V3816" s="475"/>
      <c r="W3816" s="475"/>
    </row>
    <row r="3817" spans="2:23" s="97" customFormat="1">
      <c r="B3817" s="96"/>
      <c r="H3817" s="96"/>
      <c r="J3817" s="1"/>
      <c r="K3817" s="1"/>
      <c r="L3817" s="1"/>
      <c r="O3817" s="475"/>
      <c r="P3817" s="475"/>
      <c r="Q3817" s="475"/>
      <c r="R3817" s="475"/>
      <c r="S3817" s="475"/>
      <c r="T3817" s="475"/>
      <c r="U3817" s="475"/>
      <c r="V3817" s="475"/>
      <c r="W3817" s="475"/>
    </row>
    <row r="3818" spans="2:23" s="97" customFormat="1">
      <c r="B3818" s="96"/>
      <c r="H3818" s="96"/>
      <c r="J3818" s="1"/>
      <c r="K3818" s="1"/>
      <c r="L3818" s="1"/>
      <c r="O3818" s="475"/>
      <c r="P3818" s="475"/>
      <c r="Q3818" s="475"/>
      <c r="R3818" s="475"/>
      <c r="S3818" s="475"/>
      <c r="T3818" s="475"/>
      <c r="U3818" s="475"/>
      <c r="V3818" s="475"/>
      <c r="W3818" s="475"/>
    </row>
    <row r="3819" spans="2:23" s="97" customFormat="1">
      <c r="B3819" s="96"/>
      <c r="H3819" s="96"/>
      <c r="J3819" s="1"/>
      <c r="K3819" s="1"/>
      <c r="L3819" s="1"/>
      <c r="O3819" s="475"/>
      <c r="P3819" s="475"/>
      <c r="Q3819" s="475"/>
      <c r="R3819" s="475"/>
      <c r="S3819" s="475"/>
      <c r="T3819" s="475"/>
      <c r="U3819" s="475"/>
      <c r="V3819" s="475"/>
      <c r="W3819" s="475"/>
    </row>
    <row r="3820" spans="2:23" s="97" customFormat="1">
      <c r="B3820" s="96"/>
      <c r="H3820" s="96"/>
      <c r="J3820" s="1"/>
      <c r="K3820" s="1"/>
      <c r="L3820" s="1"/>
      <c r="O3820" s="475"/>
      <c r="P3820" s="475"/>
      <c r="Q3820" s="475"/>
      <c r="R3820" s="475"/>
      <c r="S3820" s="475"/>
      <c r="T3820" s="475"/>
      <c r="U3820" s="475"/>
      <c r="V3820" s="475"/>
      <c r="W3820" s="475"/>
    </row>
    <row r="3821" spans="2:23" s="97" customFormat="1">
      <c r="B3821" s="96"/>
      <c r="H3821" s="96"/>
      <c r="J3821" s="1"/>
      <c r="K3821" s="1"/>
      <c r="L3821" s="1"/>
      <c r="O3821" s="475"/>
      <c r="P3821" s="475"/>
      <c r="Q3821" s="475"/>
      <c r="R3821" s="475"/>
      <c r="S3821" s="475"/>
      <c r="T3821" s="475"/>
      <c r="U3821" s="475"/>
      <c r="V3821" s="475"/>
      <c r="W3821" s="475"/>
    </row>
    <row r="3822" spans="2:23" s="97" customFormat="1">
      <c r="B3822" s="96"/>
      <c r="H3822" s="96"/>
      <c r="J3822" s="1"/>
      <c r="K3822" s="1"/>
      <c r="L3822" s="1"/>
      <c r="O3822" s="475"/>
      <c r="P3822" s="475"/>
      <c r="Q3822" s="475"/>
      <c r="R3822" s="475"/>
      <c r="S3822" s="475"/>
      <c r="T3822" s="475"/>
      <c r="U3822" s="475"/>
      <c r="V3822" s="475"/>
      <c r="W3822" s="475"/>
    </row>
    <row r="3823" spans="2:23" s="97" customFormat="1">
      <c r="B3823" s="96"/>
      <c r="H3823" s="96"/>
      <c r="J3823" s="1"/>
      <c r="K3823" s="1"/>
      <c r="L3823" s="1"/>
      <c r="O3823" s="475"/>
      <c r="P3823" s="475"/>
      <c r="Q3823" s="475"/>
      <c r="R3823" s="475"/>
      <c r="S3823" s="475"/>
      <c r="T3823" s="475"/>
      <c r="U3823" s="475"/>
      <c r="V3823" s="475"/>
      <c r="W3823" s="475"/>
    </row>
    <row r="3824" spans="2:23" s="97" customFormat="1">
      <c r="B3824" s="96"/>
      <c r="H3824" s="96"/>
      <c r="J3824" s="1"/>
      <c r="K3824" s="1"/>
      <c r="L3824" s="1"/>
      <c r="O3824" s="475"/>
      <c r="P3824" s="475"/>
      <c r="Q3824" s="475"/>
      <c r="R3824" s="475"/>
      <c r="S3824" s="475"/>
      <c r="T3824" s="475"/>
      <c r="U3824" s="475"/>
      <c r="V3824" s="475"/>
      <c r="W3824" s="475"/>
    </row>
    <row r="3825" spans="2:23" s="97" customFormat="1">
      <c r="B3825" s="96"/>
      <c r="H3825" s="96"/>
      <c r="J3825" s="1"/>
      <c r="K3825" s="1"/>
      <c r="L3825" s="1"/>
      <c r="O3825" s="475"/>
      <c r="P3825" s="475"/>
      <c r="Q3825" s="475"/>
      <c r="R3825" s="475"/>
      <c r="S3825" s="475"/>
      <c r="T3825" s="475"/>
      <c r="U3825" s="475"/>
      <c r="V3825" s="475"/>
      <c r="W3825" s="475"/>
    </row>
    <row r="3826" spans="2:23" s="97" customFormat="1">
      <c r="B3826" s="96"/>
      <c r="H3826" s="96"/>
      <c r="J3826" s="1"/>
      <c r="K3826" s="1"/>
      <c r="L3826" s="1"/>
      <c r="O3826" s="475"/>
      <c r="P3826" s="475"/>
      <c r="Q3826" s="475"/>
      <c r="R3826" s="475"/>
      <c r="S3826" s="475"/>
      <c r="T3826" s="475"/>
      <c r="U3826" s="475"/>
      <c r="V3826" s="475"/>
      <c r="W3826" s="475"/>
    </row>
    <row r="3827" spans="2:23" s="97" customFormat="1">
      <c r="B3827" s="96"/>
      <c r="H3827" s="96"/>
      <c r="J3827" s="1"/>
      <c r="K3827" s="1"/>
      <c r="L3827" s="1"/>
      <c r="O3827" s="475"/>
      <c r="P3827" s="475"/>
      <c r="Q3827" s="475"/>
      <c r="R3827" s="475"/>
      <c r="S3827" s="475"/>
      <c r="T3827" s="475"/>
      <c r="U3827" s="475"/>
      <c r="V3827" s="475"/>
      <c r="W3827" s="475"/>
    </row>
    <row r="3828" spans="2:23" s="97" customFormat="1">
      <c r="B3828" s="96"/>
      <c r="H3828" s="96"/>
      <c r="J3828" s="1"/>
      <c r="K3828" s="1"/>
      <c r="L3828" s="1"/>
      <c r="O3828" s="475"/>
      <c r="P3828" s="475"/>
      <c r="Q3828" s="475"/>
      <c r="R3828" s="475"/>
      <c r="S3828" s="475"/>
      <c r="T3828" s="475"/>
      <c r="U3828" s="475"/>
      <c r="V3828" s="475"/>
      <c r="W3828" s="475"/>
    </row>
    <row r="3829" spans="2:23" s="97" customFormat="1">
      <c r="B3829" s="96"/>
      <c r="H3829" s="96"/>
      <c r="J3829" s="1"/>
      <c r="K3829" s="1"/>
      <c r="L3829" s="1"/>
      <c r="O3829" s="475"/>
      <c r="P3829" s="475"/>
      <c r="Q3829" s="475"/>
      <c r="R3829" s="475"/>
      <c r="S3829" s="475"/>
      <c r="T3829" s="475"/>
      <c r="U3829" s="475"/>
      <c r="V3829" s="475"/>
      <c r="W3829" s="475"/>
    </row>
    <row r="3830" spans="2:23" s="97" customFormat="1">
      <c r="B3830" s="96"/>
      <c r="H3830" s="96"/>
      <c r="J3830" s="1"/>
      <c r="K3830" s="1"/>
      <c r="L3830" s="1"/>
      <c r="O3830" s="475"/>
      <c r="P3830" s="475"/>
      <c r="Q3830" s="475"/>
      <c r="R3830" s="475"/>
      <c r="S3830" s="475"/>
      <c r="T3830" s="475"/>
      <c r="U3830" s="475"/>
      <c r="V3830" s="475"/>
      <c r="W3830" s="475"/>
    </row>
    <row r="3831" spans="2:23" s="97" customFormat="1">
      <c r="B3831" s="96"/>
      <c r="H3831" s="96"/>
      <c r="J3831" s="1"/>
      <c r="K3831" s="1"/>
      <c r="L3831" s="1"/>
      <c r="O3831" s="475"/>
      <c r="P3831" s="475"/>
      <c r="Q3831" s="475"/>
      <c r="R3831" s="475"/>
      <c r="S3831" s="475"/>
      <c r="T3831" s="475"/>
      <c r="U3831" s="475"/>
      <c r="V3831" s="475"/>
      <c r="W3831" s="475"/>
    </row>
    <row r="3832" spans="2:23" s="97" customFormat="1">
      <c r="B3832" s="96"/>
      <c r="H3832" s="96"/>
      <c r="J3832" s="1"/>
      <c r="K3832" s="1"/>
      <c r="L3832" s="1"/>
      <c r="O3832" s="475"/>
      <c r="P3832" s="475"/>
      <c r="Q3832" s="475"/>
      <c r="R3832" s="475"/>
      <c r="S3832" s="475"/>
      <c r="T3832" s="475"/>
      <c r="U3832" s="475"/>
      <c r="V3832" s="475"/>
      <c r="W3832" s="475"/>
    </row>
    <row r="3833" spans="2:23" s="97" customFormat="1">
      <c r="B3833" s="96"/>
      <c r="H3833" s="96"/>
      <c r="J3833" s="1"/>
      <c r="K3833" s="1"/>
      <c r="L3833" s="1"/>
      <c r="O3833" s="475"/>
      <c r="P3833" s="475"/>
      <c r="Q3833" s="475"/>
      <c r="R3833" s="475"/>
      <c r="S3833" s="475"/>
      <c r="T3833" s="475"/>
      <c r="U3833" s="475"/>
      <c r="V3833" s="475"/>
      <c r="W3833" s="475"/>
    </row>
    <row r="3834" spans="2:23" s="97" customFormat="1">
      <c r="B3834" s="96"/>
      <c r="H3834" s="96"/>
      <c r="J3834" s="1"/>
      <c r="K3834" s="1"/>
      <c r="L3834" s="1"/>
      <c r="O3834" s="475"/>
      <c r="P3834" s="475"/>
      <c r="Q3834" s="475"/>
      <c r="R3834" s="475"/>
      <c r="S3834" s="475"/>
      <c r="T3834" s="475"/>
      <c r="U3834" s="475"/>
      <c r="V3834" s="475"/>
      <c r="W3834" s="475"/>
    </row>
    <row r="3835" spans="2:23" s="97" customFormat="1">
      <c r="B3835" s="96"/>
      <c r="H3835" s="96"/>
      <c r="J3835" s="1"/>
      <c r="K3835" s="1"/>
      <c r="L3835" s="1"/>
      <c r="O3835" s="475"/>
      <c r="P3835" s="475"/>
      <c r="Q3835" s="475"/>
      <c r="R3835" s="475"/>
      <c r="S3835" s="475"/>
      <c r="T3835" s="475"/>
      <c r="U3835" s="475"/>
      <c r="V3835" s="475"/>
      <c r="W3835" s="475"/>
    </row>
    <row r="3836" spans="2:23" s="97" customFormat="1">
      <c r="B3836" s="96"/>
      <c r="H3836" s="96"/>
      <c r="J3836" s="1"/>
      <c r="K3836" s="1"/>
      <c r="L3836" s="1"/>
      <c r="O3836" s="475"/>
      <c r="P3836" s="475"/>
      <c r="Q3836" s="475"/>
      <c r="R3836" s="475"/>
      <c r="S3836" s="475"/>
      <c r="T3836" s="475"/>
      <c r="U3836" s="475"/>
      <c r="V3836" s="475"/>
      <c r="W3836" s="475"/>
    </row>
    <row r="3837" spans="2:23" s="97" customFormat="1">
      <c r="B3837" s="96"/>
      <c r="H3837" s="96"/>
      <c r="J3837" s="1"/>
      <c r="K3837" s="1"/>
      <c r="L3837" s="1"/>
      <c r="O3837" s="475"/>
      <c r="P3837" s="475"/>
      <c r="Q3837" s="475"/>
      <c r="R3837" s="475"/>
      <c r="S3837" s="475"/>
      <c r="T3837" s="475"/>
      <c r="U3837" s="475"/>
      <c r="V3837" s="475"/>
      <c r="W3837" s="475"/>
    </row>
    <row r="3838" spans="2:23" s="97" customFormat="1">
      <c r="B3838" s="96"/>
      <c r="H3838" s="96"/>
      <c r="J3838" s="1"/>
      <c r="K3838" s="1"/>
      <c r="L3838" s="1"/>
      <c r="O3838" s="475"/>
      <c r="P3838" s="475"/>
      <c r="Q3838" s="475"/>
      <c r="R3838" s="475"/>
      <c r="S3838" s="475"/>
      <c r="T3838" s="475"/>
      <c r="U3838" s="475"/>
      <c r="V3838" s="475"/>
      <c r="W3838" s="475"/>
    </row>
    <row r="3839" spans="2:23" s="97" customFormat="1">
      <c r="B3839" s="96"/>
      <c r="H3839" s="96"/>
      <c r="J3839" s="1"/>
      <c r="K3839" s="1"/>
      <c r="L3839" s="1"/>
      <c r="O3839" s="475"/>
      <c r="P3839" s="475"/>
      <c r="Q3839" s="475"/>
      <c r="R3839" s="475"/>
      <c r="S3839" s="475"/>
      <c r="T3839" s="475"/>
      <c r="U3839" s="475"/>
      <c r="V3839" s="475"/>
      <c r="W3839" s="475"/>
    </row>
    <row r="3840" spans="2:23" s="97" customFormat="1">
      <c r="B3840" s="96"/>
      <c r="H3840" s="96"/>
      <c r="J3840" s="1"/>
      <c r="K3840" s="1"/>
      <c r="L3840" s="1"/>
      <c r="O3840" s="475"/>
      <c r="P3840" s="475"/>
      <c r="Q3840" s="475"/>
      <c r="R3840" s="475"/>
      <c r="S3840" s="475"/>
      <c r="T3840" s="475"/>
      <c r="U3840" s="475"/>
      <c r="V3840" s="475"/>
      <c r="W3840" s="475"/>
    </row>
    <row r="3841" spans="2:23" s="97" customFormat="1">
      <c r="B3841" s="96"/>
      <c r="H3841" s="96"/>
      <c r="J3841" s="1"/>
      <c r="K3841" s="1"/>
      <c r="L3841" s="1"/>
      <c r="O3841" s="475"/>
      <c r="P3841" s="475"/>
      <c r="Q3841" s="475"/>
      <c r="R3841" s="475"/>
      <c r="S3841" s="475"/>
      <c r="T3841" s="475"/>
      <c r="U3841" s="475"/>
      <c r="V3841" s="475"/>
      <c r="W3841" s="475"/>
    </row>
    <row r="3842" spans="2:23" s="97" customFormat="1">
      <c r="B3842" s="96"/>
      <c r="H3842" s="96"/>
      <c r="J3842" s="1"/>
      <c r="K3842" s="1"/>
      <c r="L3842" s="1"/>
      <c r="O3842" s="475"/>
      <c r="P3842" s="475"/>
      <c r="Q3842" s="475"/>
      <c r="R3842" s="475"/>
      <c r="S3842" s="475"/>
      <c r="T3842" s="475"/>
      <c r="U3842" s="475"/>
      <c r="V3842" s="475"/>
      <c r="W3842" s="475"/>
    </row>
    <row r="3843" spans="2:23" s="97" customFormat="1">
      <c r="B3843" s="96"/>
      <c r="H3843" s="96"/>
      <c r="J3843" s="1"/>
      <c r="K3843" s="1"/>
      <c r="L3843" s="1"/>
      <c r="O3843" s="475"/>
      <c r="P3843" s="475"/>
      <c r="Q3843" s="475"/>
      <c r="R3843" s="475"/>
      <c r="S3843" s="475"/>
      <c r="T3843" s="475"/>
      <c r="U3843" s="475"/>
      <c r="V3843" s="475"/>
      <c r="W3843" s="475"/>
    </row>
    <row r="3844" spans="2:23" s="97" customFormat="1">
      <c r="B3844" s="96"/>
      <c r="H3844" s="96"/>
      <c r="J3844" s="1"/>
      <c r="K3844" s="1"/>
      <c r="L3844" s="1"/>
      <c r="O3844" s="475"/>
      <c r="P3844" s="475"/>
      <c r="Q3844" s="475"/>
      <c r="R3844" s="475"/>
      <c r="S3844" s="475"/>
      <c r="T3844" s="475"/>
      <c r="U3844" s="475"/>
      <c r="V3844" s="475"/>
      <c r="W3844" s="475"/>
    </row>
    <row r="3845" spans="2:23" s="97" customFormat="1">
      <c r="B3845" s="96"/>
      <c r="H3845" s="96"/>
      <c r="J3845" s="1"/>
      <c r="K3845" s="1"/>
      <c r="L3845" s="1"/>
      <c r="O3845" s="475"/>
      <c r="P3845" s="475"/>
      <c r="Q3845" s="475"/>
      <c r="R3845" s="475"/>
      <c r="S3845" s="475"/>
      <c r="T3845" s="475"/>
      <c r="U3845" s="475"/>
      <c r="V3845" s="475"/>
      <c r="W3845" s="475"/>
    </row>
    <row r="3846" spans="2:23" s="97" customFormat="1">
      <c r="B3846" s="96"/>
      <c r="H3846" s="96"/>
      <c r="J3846" s="1"/>
      <c r="K3846" s="1"/>
      <c r="L3846" s="1"/>
      <c r="O3846" s="475"/>
      <c r="P3846" s="475"/>
      <c r="Q3846" s="475"/>
      <c r="R3846" s="475"/>
      <c r="S3846" s="475"/>
      <c r="T3846" s="475"/>
      <c r="U3846" s="475"/>
      <c r="V3846" s="475"/>
      <c r="W3846" s="475"/>
    </row>
    <row r="3847" spans="2:23" s="97" customFormat="1">
      <c r="B3847" s="96"/>
      <c r="H3847" s="96"/>
      <c r="J3847" s="1"/>
      <c r="K3847" s="1"/>
      <c r="L3847" s="1"/>
      <c r="O3847" s="475"/>
      <c r="P3847" s="475"/>
      <c r="Q3847" s="475"/>
      <c r="R3847" s="475"/>
      <c r="S3847" s="475"/>
      <c r="T3847" s="475"/>
      <c r="U3847" s="475"/>
      <c r="V3847" s="475"/>
      <c r="W3847" s="475"/>
    </row>
    <row r="3848" spans="2:23" s="97" customFormat="1">
      <c r="B3848" s="96"/>
      <c r="H3848" s="96"/>
      <c r="J3848" s="1"/>
      <c r="K3848" s="1"/>
      <c r="L3848" s="1"/>
      <c r="O3848" s="475"/>
      <c r="P3848" s="475"/>
      <c r="Q3848" s="475"/>
      <c r="R3848" s="475"/>
      <c r="S3848" s="475"/>
      <c r="T3848" s="475"/>
      <c r="U3848" s="475"/>
      <c r="V3848" s="475"/>
      <c r="W3848" s="475"/>
    </row>
    <row r="3849" spans="2:23" s="97" customFormat="1">
      <c r="B3849" s="96"/>
      <c r="H3849" s="96"/>
      <c r="J3849" s="1"/>
      <c r="K3849" s="1"/>
      <c r="L3849" s="1"/>
      <c r="O3849" s="475"/>
      <c r="P3849" s="475"/>
      <c r="Q3849" s="475"/>
      <c r="R3849" s="475"/>
      <c r="S3849" s="475"/>
      <c r="T3849" s="475"/>
      <c r="U3849" s="475"/>
      <c r="V3849" s="475"/>
      <c r="W3849" s="475"/>
    </row>
    <row r="3850" spans="2:23" s="97" customFormat="1">
      <c r="B3850" s="96"/>
      <c r="H3850" s="96"/>
      <c r="J3850" s="1"/>
      <c r="K3850" s="1"/>
      <c r="L3850" s="1"/>
      <c r="O3850" s="475"/>
      <c r="P3850" s="475"/>
      <c r="Q3850" s="475"/>
      <c r="R3850" s="475"/>
      <c r="S3850" s="475"/>
      <c r="T3850" s="475"/>
      <c r="U3850" s="475"/>
      <c r="V3850" s="475"/>
      <c r="W3850" s="475"/>
    </row>
    <row r="3851" spans="2:23" s="97" customFormat="1">
      <c r="B3851" s="96"/>
      <c r="H3851" s="96"/>
      <c r="J3851" s="1"/>
      <c r="K3851" s="1"/>
      <c r="L3851" s="1"/>
      <c r="O3851" s="475"/>
      <c r="P3851" s="475"/>
      <c r="Q3851" s="475"/>
      <c r="R3851" s="475"/>
      <c r="S3851" s="475"/>
      <c r="T3851" s="475"/>
      <c r="U3851" s="475"/>
      <c r="V3851" s="475"/>
      <c r="W3851" s="475"/>
    </row>
    <row r="3852" spans="2:23" s="97" customFormat="1">
      <c r="B3852" s="96"/>
      <c r="H3852" s="96"/>
      <c r="J3852" s="1"/>
      <c r="K3852" s="1"/>
      <c r="L3852" s="1"/>
      <c r="O3852" s="475"/>
      <c r="P3852" s="475"/>
      <c r="Q3852" s="475"/>
      <c r="R3852" s="475"/>
      <c r="S3852" s="475"/>
      <c r="T3852" s="475"/>
      <c r="U3852" s="475"/>
      <c r="V3852" s="475"/>
      <c r="W3852" s="475"/>
    </row>
    <row r="3853" spans="2:23" s="97" customFormat="1">
      <c r="B3853" s="96"/>
      <c r="H3853" s="96"/>
      <c r="J3853" s="1"/>
      <c r="K3853" s="1"/>
      <c r="L3853" s="1"/>
      <c r="O3853" s="475"/>
      <c r="P3853" s="475"/>
      <c r="Q3853" s="475"/>
      <c r="R3853" s="475"/>
      <c r="S3853" s="475"/>
      <c r="T3853" s="475"/>
      <c r="U3853" s="475"/>
      <c r="V3853" s="475"/>
      <c r="W3853" s="475"/>
    </row>
    <row r="3854" spans="2:23" s="97" customFormat="1">
      <c r="B3854" s="96"/>
      <c r="H3854" s="96"/>
      <c r="J3854" s="1"/>
      <c r="K3854" s="1"/>
      <c r="L3854" s="1"/>
      <c r="O3854" s="475"/>
      <c r="P3854" s="475"/>
      <c r="Q3854" s="475"/>
      <c r="R3854" s="475"/>
      <c r="S3854" s="475"/>
      <c r="T3854" s="475"/>
      <c r="U3854" s="475"/>
      <c r="V3854" s="475"/>
      <c r="W3854" s="475"/>
    </row>
    <row r="3855" spans="2:23" s="97" customFormat="1">
      <c r="B3855" s="96"/>
      <c r="H3855" s="96"/>
      <c r="J3855" s="1"/>
      <c r="K3855" s="1"/>
      <c r="L3855" s="1"/>
      <c r="O3855" s="475"/>
      <c r="P3855" s="475"/>
      <c r="Q3855" s="475"/>
      <c r="R3855" s="475"/>
      <c r="S3855" s="475"/>
      <c r="T3855" s="475"/>
      <c r="U3855" s="475"/>
      <c r="V3855" s="475"/>
      <c r="W3855" s="475"/>
    </row>
    <row r="3856" spans="2:23" s="97" customFormat="1">
      <c r="B3856" s="96"/>
      <c r="H3856" s="96"/>
      <c r="J3856" s="1"/>
      <c r="K3856" s="1"/>
      <c r="L3856" s="1"/>
      <c r="O3856" s="475"/>
      <c r="P3856" s="475"/>
      <c r="Q3856" s="475"/>
      <c r="R3856" s="475"/>
      <c r="S3856" s="475"/>
      <c r="T3856" s="475"/>
      <c r="U3856" s="475"/>
      <c r="V3856" s="475"/>
      <c r="W3856" s="475"/>
    </row>
    <row r="3857" spans="2:23" s="97" customFormat="1">
      <c r="B3857" s="96"/>
      <c r="H3857" s="96"/>
      <c r="J3857" s="1"/>
      <c r="K3857" s="1"/>
      <c r="L3857" s="1"/>
      <c r="O3857" s="475"/>
      <c r="P3857" s="475"/>
      <c r="Q3857" s="475"/>
      <c r="R3857" s="475"/>
      <c r="S3857" s="475"/>
      <c r="T3857" s="475"/>
      <c r="U3857" s="475"/>
      <c r="V3857" s="475"/>
      <c r="W3857" s="475"/>
    </row>
    <row r="3858" spans="2:23" s="97" customFormat="1">
      <c r="B3858" s="96"/>
      <c r="H3858" s="96"/>
      <c r="J3858" s="1"/>
      <c r="K3858" s="1"/>
      <c r="L3858" s="1"/>
      <c r="O3858" s="475"/>
      <c r="P3858" s="475"/>
      <c r="Q3858" s="475"/>
      <c r="R3858" s="475"/>
      <c r="S3858" s="475"/>
      <c r="T3858" s="475"/>
      <c r="U3858" s="475"/>
      <c r="V3858" s="475"/>
      <c r="W3858" s="475"/>
    </row>
    <row r="3859" spans="2:23" s="97" customFormat="1">
      <c r="B3859" s="96"/>
      <c r="H3859" s="96"/>
      <c r="J3859" s="1"/>
      <c r="K3859" s="1"/>
      <c r="L3859" s="1"/>
      <c r="O3859" s="475"/>
      <c r="P3859" s="475"/>
      <c r="Q3859" s="475"/>
      <c r="R3859" s="475"/>
      <c r="S3859" s="475"/>
      <c r="T3859" s="475"/>
      <c r="U3859" s="475"/>
      <c r="V3859" s="475"/>
      <c r="W3859" s="475"/>
    </row>
    <row r="3860" spans="2:23" s="97" customFormat="1">
      <c r="B3860" s="96"/>
      <c r="H3860" s="96"/>
      <c r="J3860" s="1"/>
      <c r="K3860" s="1"/>
      <c r="L3860" s="1"/>
      <c r="O3860" s="475"/>
      <c r="P3860" s="475"/>
      <c r="Q3860" s="475"/>
      <c r="R3860" s="475"/>
      <c r="S3860" s="475"/>
      <c r="T3860" s="475"/>
      <c r="U3860" s="475"/>
      <c r="V3860" s="475"/>
      <c r="W3860" s="475"/>
    </row>
    <row r="3861" spans="2:23" s="97" customFormat="1">
      <c r="B3861" s="96"/>
      <c r="H3861" s="96"/>
      <c r="J3861" s="1"/>
      <c r="K3861" s="1"/>
      <c r="L3861" s="1"/>
      <c r="O3861" s="475"/>
      <c r="P3861" s="475"/>
      <c r="Q3861" s="475"/>
      <c r="R3861" s="475"/>
      <c r="S3861" s="475"/>
      <c r="T3861" s="475"/>
      <c r="U3861" s="475"/>
      <c r="V3861" s="475"/>
      <c r="W3861" s="475"/>
    </row>
    <row r="3862" spans="2:23" s="97" customFormat="1">
      <c r="B3862" s="96"/>
      <c r="H3862" s="96"/>
      <c r="J3862" s="1"/>
      <c r="K3862" s="1"/>
      <c r="L3862" s="1"/>
      <c r="O3862" s="475"/>
      <c r="P3862" s="475"/>
      <c r="Q3862" s="475"/>
      <c r="R3862" s="475"/>
      <c r="S3862" s="475"/>
      <c r="T3862" s="475"/>
      <c r="U3862" s="475"/>
      <c r="V3862" s="475"/>
      <c r="W3862" s="475"/>
    </row>
    <row r="3863" spans="2:23" s="97" customFormat="1">
      <c r="B3863" s="96"/>
      <c r="H3863" s="96"/>
      <c r="J3863" s="1"/>
      <c r="K3863" s="1"/>
      <c r="L3863" s="1"/>
      <c r="O3863" s="475"/>
      <c r="P3863" s="475"/>
      <c r="Q3863" s="475"/>
      <c r="R3863" s="475"/>
      <c r="S3863" s="475"/>
      <c r="T3863" s="475"/>
      <c r="U3863" s="475"/>
      <c r="V3863" s="475"/>
      <c r="W3863" s="475"/>
    </row>
    <row r="3864" spans="2:23" s="97" customFormat="1">
      <c r="B3864" s="96"/>
      <c r="H3864" s="96"/>
      <c r="J3864" s="1"/>
      <c r="K3864" s="1"/>
      <c r="L3864" s="1"/>
      <c r="O3864" s="475"/>
      <c r="P3864" s="475"/>
      <c r="Q3864" s="475"/>
      <c r="R3864" s="475"/>
      <c r="S3864" s="475"/>
      <c r="T3864" s="475"/>
      <c r="U3864" s="475"/>
      <c r="V3864" s="475"/>
      <c r="W3864" s="475"/>
    </row>
    <row r="3865" spans="2:23" s="97" customFormat="1">
      <c r="B3865" s="96"/>
      <c r="H3865" s="96"/>
      <c r="J3865" s="1"/>
      <c r="K3865" s="1"/>
      <c r="L3865" s="1"/>
      <c r="O3865" s="475"/>
      <c r="P3865" s="475"/>
      <c r="Q3865" s="475"/>
      <c r="R3865" s="475"/>
      <c r="S3865" s="475"/>
      <c r="T3865" s="475"/>
      <c r="U3865" s="475"/>
      <c r="V3865" s="475"/>
      <c r="W3865" s="475"/>
    </row>
    <row r="3866" spans="2:23" s="97" customFormat="1">
      <c r="B3866" s="96"/>
      <c r="H3866" s="96"/>
      <c r="J3866" s="1"/>
      <c r="K3866" s="1"/>
      <c r="L3866" s="1"/>
      <c r="O3866" s="475"/>
      <c r="P3866" s="475"/>
      <c r="Q3866" s="475"/>
      <c r="R3866" s="475"/>
      <c r="S3866" s="475"/>
      <c r="T3866" s="475"/>
      <c r="U3866" s="475"/>
      <c r="V3866" s="475"/>
      <c r="W3866" s="475"/>
    </row>
    <row r="3867" spans="2:23" s="97" customFormat="1">
      <c r="B3867" s="96"/>
      <c r="H3867" s="96"/>
      <c r="J3867" s="1"/>
      <c r="K3867" s="1"/>
      <c r="L3867" s="1"/>
      <c r="O3867" s="475"/>
      <c r="P3867" s="475"/>
      <c r="Q3867" s="475"/>
      <c r="R3867" s="475"/>
      <c r="S3867" s="475"/>
      <c r="T3867" s="475"/>
      <c r="U3867" s="475"/>
      <c r="V3867" s="475"/>
      <c r="W3867" s="475"/>
    </row>
    <row r="3868" spans="2:23" s="97" customFormat="1">
      <c r="B3868" s="96"/>
      <c r="H3868" s="96"/>
      <c r="J3868" s="1"/>
      <c r="K3868" s="1"/>
      <c r="L3868" s="1"/>
      <c r="O3868" s="475"/>
      <c r="P3868" s="475"/>
      <c r="Q3868" s="475"/>
      <c r="R3868" s="475"/>
      <c r="S3868" s="475"/>
      <c r="T3868" s="475"/>
      <c r="U3868" s="475"/>
      <c r="V3868" s="475"/>
      <c r="W3868" s="475"/>
    </row>
    <row r="3869" spans="2:23" s="97" customFormat="1">
      <c r="B3869" s="96"/>
      <c r="H3869" s="96"/>
      <c r="J3869" s="1"/>
      <c r="K3869" s="1"/>
      <c r="L3869" s="1"/>
      <c r="O3869" s="475"/>
      <c r="P3869" s="475"/>
      <c r="Q3869" s="475"/>
      <c r="R3869" s="475"/>
      <c r="S3869" s="475"/>
      <c r="T3869" s="475"/>
      <c r="U3869" s="475"/>
      <c r="V3869" s="475"/>
      <c r="W3869" s="475"/>
    </row>
    <row r="3870" spans="2:23" s="97" customFormat="1">
      <c r="B3870" s="96"/>
      <c r="H3870" s="96"/>
      <c r="J3870" s="1"/>
      <c r="K3870" s="1"/>
      <c r="L3870" s="1"/>
      <c r="O3870" s="475"/>
      <c r="P3870" s="475"/>
      <c r="Q3870" s="475"/>
      <c r="R3870" s="475"/>
      <c r="S3870" s="475"/>
      <c r="T3870" s="475"/>
      <c r="U3870" s="475"/>
      <c r="V3870" s="475"/>
      <c r="W3870" s="475"/>
    </row>
    <row r="3871" spans="2:23" s="97" customFormat="1">
      <c r="B3871" s="96"/>
      <c r="H3871" s="96"/>
      <c r="J3871" s="1"/>
      <c r="K3871" s="1"/>
      <c r="L3871" s="1"/>
      <c r="O3871" s="475"/>
      <c r="P3871" s="475"/>
      <c r="Q3871" s="475"/>
      <c r="R3871" s="475"/>
      <c r="S3871" s="475"/>
      <c r="T3871" s="475"/>
      <c r="U3871" s="475"/>
      <c r="V3871" s="475"/>
      <c r="W3871" s="475"/>
    </row>
    <row r="3872" spans="2:23" s="97" customFormat="1">
      <c r="B3872" s="96"/>
      <c r="H3872" s="96"/>
      <c r="J3872" s="1"/>
      <c r="K3872" s="1"/>
      <c r="L3872" s="1"/>
      <c r="O3872" s="475"/>
      <c r="P3872" s="475"/>
      <c r="Q3872" s="475"/>
      <c r="R3872" s="475"/>
      <c r="S3872" s="475"/>
      <c r="T3872" s="475"/>
      <c r="U3872" s="475"/>
      <c r="V3872" s="475"/>
      <c r="W3872" s="475"/>
    </row>
    <row r="3873" spans="2:23" s="97" customFormat="1">
      <c r="B3873" s="96"/>
      <c r="H3873" s="96"/>
      <c r="J3873" s="1"/>
      <c r="K3873" s="1"/>
      <c r="L3873" s="1"/>
      <c r="O3873" s="475"/>
      <c r="P3873" s="475"/>
      <c r="Q3873" s="475"/>
      <c r="R3873" s="475"/>
      <c r="S3873" s="475"/>
      <c r="T3873" s="475"/>
      <c r="U3873" s="475"/>
      <c r="V3873" s="475"/>
      <c r="W3873" s="475"/>
    </row>
    <row r="3874" spans="2:23" s="97" customFormat="1">
      <c r="B3874" s="96"/>
      <c r="H3874" s="96"/>
      <c r="J3874" s="1"/>
      <c r="K3874" s="1"/>
      <c r="L3874" s="1"/>
      <c r="O3874" s="475"/>
      <c r="P3874" s="475"/>
      <c r="Q3874" s="475"/>
      <c r="R3874" s="475"/>
      <c r="S3874" s="475"/>
      <c r="T3874" s="475"/>
      <c r="U3874" s="475"/>
      <c r="V3874" s="475"/>
      <c r="W3874" s="475"/>
    </row>
    <row r="3875" spans="2:23" s="97" customFormat="1">
      <c r="B3875" s="96"/>
      <c r="H3875" s="96"/>
      <c r="J3875" s="1"/>
      <c r="K3875" s="1"/>
      <c r="L3875" s="1"/>
      <c r="O3875" s="475"/>
      <c r="P3875" s="475"/>
      <c r="Q3875" s="475"/>
      <c r="R3875" s="475"/>
      <c r="S3875" s="475"/>
      <c r="T3875" s="475"/>
      <c r="U3875" s="475"/>
      <c r="V3875" s="475"/>
      <c r="W3875" s="475"/>
    </row>
    <row r="3876" spans="2:23" s="97" customFormat="1">
      <c r="B3876" s="96"/>
      <c r="H3876" s="96"/>
      <c r="J3876" s="1"/>
      <c r="K3876" s="1"/>
      <c r="L3876" s="1"/>
      <c r="O3876" s="475"/>
      <c r="P3876" s="475"/>
      <c r="Q3876" s="475"/>
      <c r="R3876" s="475"/>
      <c r="S3876" s="475"/>
      <c r="T3876" s="475"/>
      <c r="U3876" s="475"/>
      <c r="V3876" s="475"/>
      <c r="W3876" s="475"/>
    </row>
    <row r="3877" spans="2:23" s="97" customFormat="1">
      <c r="B3877" s="96"/>
      <c r="H3877" s="96"/>
      <c r="J3877" s="1"/>
      <c r="K3877" s="1"/>
      <c r="L3877" s="1"/>
      <c r="O3877" s="475"/>
      <c r="P3877" s="475"/>
      <c r="Q3877" s="475"/>
      <c r="R3877" s="475"/>
      <c r="S3877" s="475"/>
      <c r="T3877" s="475"/>
      <c r="U3877" s="475"/>
      <c r="V3877" s="475"/>
      <c r="W3877" s="475"/>
    </row>
    <row r="3878" spans="2:23" s="97" customFormat="1">
      <c r="B3878" s="96"/>
      <c r="H3878" s="96"/>
      <c r="J3878" s="1"/>
      <c r="K3878" s="1"/>
      <c r="L3878" s="1"/>
      <c r="O3878" s="475"/>
      <c r="P3878" s="475"/>
      <c r="Q3878" s="475"/>
      <c r="R3878" s="475"/>
      <c r="S3878" s="475"/>
      <c r="T3878" s="475"/>
      <c r="U3878" s="475"/>
      <c r="V3878" s="475"/>
      <c r="W3878" s="475"/>
    </row>
    <row r="3879" spans="2:23" s="97" customFormat="1">
      <c r="B3879" s="96"/>
      <c r="H3879" s="96"/>
      <c r="J3879" s="1"/>
      <c r="K3879" s="1"/>
      <c r="L3879" s="1"/>
      <c r="O3879" s="475"/>
      <c r="P3879" s="475"/>
      <c r="Q3879" s="475"/>
      <c r="R3879" s="475"/>
      <c r="S3879" s="475"/>
      <c r="T3879" s="475"/>
      <c r="U3879" s="475"/>
      <c r="V3879" s="475"/>
      <c r="W3879" s="475"/>
    </row>
    <row r="3880" spans="2:23" s="97" customFormat="1">
      <c r="B3880" s="96"/>
      <c r="H3880" s="96"/>
      <c r="J3880" s="1"/>
      <c r="K3880" s="1"/>
      <c r="L3880" s="1"/>
      <c r="O3880" s="475"/>
      <c r="P3880" s="475"/>
      <c r="Q3880" s="475"/>
      <c r="R3880" s="475"/>
      <c r="S3880" s="475"/>
      <c r="T3880" s="475"/>
      <c r="U3880" s="475"/>
      <c r="V3880" s="475"/>
      <c r="W3880" s="475"/>
    </row>
    <row r="3881" spans="2:23" s="97" customFormat="1">
      <c r="B3881" s="96"/>
      <c r="H3881" s="96"/>
      <c r="J3881" s="1"/>
      <c r="K3881" s="1"/>
      <c r="L3881" s="1"/>
      <c r="O3881" s="475"/>
      <c r="P3881" s="475"/>
      <c r="Q3881" s="475"/>
      <c r="R3881" s="475"/>
      <c r="S3881" s="475"/>
      <c r="T3881" s="475"/>
      <c r="U3881" s="475"/>
      <c r="V3881" s="475"/>
      <c r="W3881" s="475"/>
    </row>
    <row r="3882" spans="2:23" s="97" customFormat="1">
      <c r="B3882" s="96"/>
      <c r="H3882" s="96"/>
      <c r="J3882" s="1"/>
      <c r="K3882" s="1"/>
      <c r="L3882" s="1"/>
      <c r="O3882" s="475"/>
      <c r="P3882" s="475"/>
      <c r="Q3882" s="475"/>
      <c r="R3882" s="475"/>
      <c r="S3882" s="475"/>
      <c r="T3882" s="475"/>
      <c r="U3882" s="475"/>
      <c r="V3882" s="475"/>
      <c r="W3882" s="475"/>
    </row>
    <row r="3883" spans="2:23" s="97" customFormat="1">
      <c r="B3883" s="96"/>
      <c r="H3883" s="96"/>
      <c r="J3883" s="1"/>
      <c r="K3883" s="1"/>
      <c r="L3883" s="1"/>
      <c r="O3883" s="475"/>
      <c r="P3883" s="475"/>
      <c r="Q3883" s="475"/>
      <c r="R3883" s="475"/>
      <c r="S3883" s="475"/>
      <c r="T3883" s="475"/>
      <c r="U3883" s="475"/>
      <c r="V3883" s="475"/>
      <c r="W3883" s="475"/>
    </row>
    <row r="3884" spans="2:23" s="97" customFormat="1">
      <c r="B3884" s="96"/>
      <c r="H3884" s="96"/>
      <c r="J3884" s="1"/>
      <c r="K3884" s="1"/>
      <c r="L3884" s="1"/>
      <c r="O3884" s="475"/>
      <c r="P3884" s="475"/>
      <c r="Q3884" s="475"/>
      <c r="R3884" s="475"/>
      <c r="S3884" s="475"/>
      <c r="T3884" s="475"/>
      <c r="U3884" s="475"/>
      <c r="V3884" s="475"/>
      <c r="W3884" s="475"/>
    </row>
    <row r="3885" spans="2:23" s="97" customFormat="1">
      <c r="B3885" s="96"/>
      <c r="H3885" s="96"/>
      <c r="J3885" s="1"/>
      <c r="K3885" s="1"/>
      <c r="L3885" s="1"/>
      <c r="O3885" s="475"/>
      <c r="P3885" s="475"/>
      <c r="Q3885" s="475"/>
      <c r="R3885" s="475"/>
      <c r="S3885" s="475"/>
      <c r="T3885" s="475"/>
      <c r="U3885" s="475"/>
      <c r="V3885" s="475"/>
      <c r="W3885" s="475"/>
    </row>
    <row r="3886" spans="2:23" s="97" customFormat="1">
      <c r="B3886" s="96"/>
      <c r="H3886" s="96"/>
      <c r="J3886" s="1"/>
      <c r="K3886" s="1"/>
      <c r="L3886" s="1"/>
      <c r="O3886" s="475"/>
      <c r="P3886" s="475"/>
      <c r="Q3886" s="475"/>
      <c r="R3886" s="475"/>
      <c r="S3886" s="475"/>
      <c r="T3886" s="475"/>
      <c r="U3886" s="475"/>
      <c r="V3886" s="475"/>
      <c r="W3886" s="475"/>
    </row>
    <row r="3887" spans="2:23" s="97" customFormat="1">
      <c r="B3887" s="96"/>
      <c r="H3887" s="96"/>
      <c r="J3887" s="1"/>
      <c r="K3887" s="1"/>
      <c r="L3887" s="1"/>
      <c r="O3887" s="475"/>
      <c r="P3887" s="475"/>
      <c r="Q3887" s="475"/>
      <c r="R3887" s="475"/>
      <c r="S3887" s="475"/>
      <c r="T3887" s="475"/>
      <c r="U3887" s="475"/>
      <c r="V3887" s="475"/>
      <c r="W3887" s="475"/>
    </row>
    <row r="3888" spans="2:23" s="97" customFormat="1">
      <c r="B3888" s="96"/>
      <c r="H3888" s="96"/>
      <c r="J3888" s="1"/>
      <c r="K3888" s="1"/>
      <c r="L3888" s="1"/>
      <c r="O3888" s="475"/>
      <c r="P3888" s="475"/>
      <c r="Q3888" s="475"/>
      <c r="R3888" s="475"/>
      <c r="S3888" s="475"/>
      <c r="T3888" s="475"/>
      <c r="U3888" s="475"/>
      <c r="V3888" s="475"/>
      <c r="W3888" s="475"/>
    </row>
    <row r="3889" spans="2:23" s="97" customFormat="1">
      <c r="B3889" s="96"/>
      <c r="H3889" s="96"/>
      <c r="J3889" s="1"/>
      <c r="K3889" s="1"/>
      <c r="L3889" s="1"/>
      <c r="O3889" s="475"/>
      <c r="P3889" s="475"/>
      <c r="Q3889" s="475"/>
      <c r="R3889" s="475"/>
      <c r="S3889" s="475"/>
      <c r="T3889" s="475"/>
      <c r="U3889" s="475"/>
      <c r="V3889" s="475"/>
      <c r="W3889" s="475"/>
    </row>
    <row r="3890" spans="2:23" s="97" customFormat="1">
      <c r="B3890" s="96"/>
      <c r="H3890" s="96"/>
      <c r="J3890" s="1"/>
      <c r="K3890" s="1"/>
      <c r="L3890" s="1"/>
      <c r="O3890" s="475"/>
      <c r="P3890" s="475"/>
      <c r="Q3890" s="475"/>
      <c r="R3890" s="475"/>
      <c r="S3890" s="475"/>
      <c r="T3890" s="475"/>
      <c r="U3890" s="475"/>
      <c r="V3890" s="475"/>
      <c r="W3890" s="475"/>
    </row>
    <row r="3891" spans="2:23" s="97" customFormat="1">
      <c r="B3891" s="96"/>
      <c r="H3891" s="96"/>
      <c r="J3891" s="1"/>
      <c r="K3891" s="1"/>
      <c r="L3891" s="1"/>
      <c r="O3891" s="475"/>
      <c r="P3891" s="475"/>
      <c r="Q3891" s="475"/>
      <c r="R3891" s="475"/>
      <c r="S3891" s="475"/>
      <c r="T3891" s="475"/>
      <c r="U3891" s="475"/>
      <c r="V3891" s="475"/>
      <c r="W3891" s="475"/>
    </row>
    <row r="3892" spans="2:23" s="97" customFormat="1">
      <c r="B3892" s="96"/>
      <c r="H3892" s="96"/>
      <c r="J3892" s="1"/>
      <c r="K3892" s="1"/>
      <c r="L3892" s="1"/>
      <c r="O3892" s="475"/>
      <c r="P3892" s="475"/>
      <c r="Q3892" s="475"/>
      <c r="R3892" s="475"/>
      <c r="S3892" s="475"/>
      <c r="T3892" s="475"/>
      <c r="U3892" s="475"/>
      <c r="V3892" s="475"/>
      <c r="W3892" s="475"/>
    </row>
    <row r="3893" spans="2:23" s="97" customFormat="1">
      <c r="B3893" s="96"/>
      <c r="H3893" s="96"/>
      <c r="J3893" s="1"/>
      <c r="K3893" s="1"/>
      <c r="L3893" s="1"/>
      <c r="O3893" s="475"/>
      <c r="P3893" s="475"/>
      <c r="Q3893" s="475"/>
      <c r="R3893" s="475"/>
      <c r="S3893" s="475"/>
      <c r="T3893" s="475"/>
      <c r="U3893" s="475"/>
      <c r="V3893" s="475"/>
      <c r="W3893" s="475"/>
    </row>
    <row r="3894" spans="2:23" s="97" customFormat="1">
      <c r="B3894" s="96"/>
      <c r="H3894" s="96"/>
      <c r="J3894" s="1"/>
      <c r="K3894" s="1"/>
      <c r="L3894" s="1"/>
      <c r="O3894" s="475"/>
      <c r="P3894" s="475"/>
      <c r="Q3894" s="475"/>
      <c r="R3894" s="475"/>
      <c r="S3894" s="475"/>
      <c r="T3894" s="475"/>
      <c r="U3894" s="475"/>
      <c r="V3894" s="475"/>
      <c r="W3894" s="475"/>
    </row>
    <row r="3895" spans="2:23" s="97" customFormat="1">
      <c r="B3895" s="96"/>
      <c r="H3895" s="96"/>
      <c r="J3895" s="1"/>
      <c r="K3895" s="1"/>
      <c r="L3895" s="1"/>
      <c r="O3895" s="475"/>
      <c r="P3895" s="475"/>
      <c r="Q3895" s="475"/>
      <c r="R3895" s="475"/>
      <c r="S3895" s="475"/>
      <c r="T3895" s="475"/>
      <c r="U3895" s="475"/>
      <c r="V3895" s="475"/>
      <c r="W3895" s="475"/>
    </row>
    <row r="3896" spans="2:23" s="97" customFormat="1">
      <c r="B3896" s="96"/>
      <c r="H3896" s="96"/>
      <c r="J3896" s="1"/>
      <c r="K3896" s="1"/>
      <c r="L3896" s="1"/>
      <c r="O3896" s="475"/>
      <c r="P3896" s="475"/>
      <c r="Q3896" s="475"/>
      <c r="R3896" s="475"/>
      <c r="S3896" s="475"/>
      <c r="T3896" s="475"/>
      <c r="U3896" s="475"/>
      <c r="V3896" s="475"/>
      <c r="W3896" s="475"/>
    </row>
    <row r="3897" spans="2:23" s="97" customFormat="1">
      <c r="B3897" s="96"/>
      <c r="H3897" s="96"/>
      <c r="J3897" s="1"/>
      <c r="K3897" s="1"/>
      <c r="L3897" s="1"/>
      <c r="O3897" s="475"/>
      <c r="P3897" s="475"/>
      <c r="Q3897" s="475"/>
      <c r="R3897" s="475"/>
      <c r="S3897" s="475"/>
      <c r="T3897" s="475"/>
      <c r="U3897" s="475"/>
      <c r="V3897" s="475"/>
      <c r="W3897" s="475"/>
    </row>
    <row r="3898" spans="2:23" s="97" customFormat="1">
      <c r="B3898" s="96"/>
      <c r="H3898" s="96"/>
      <c r="J3898" s="1"/>
      <c r="K3898" s="1"/>
      <c r="L3898" s="1"/>
      <c r="O3898" s="475"/>
      <c r="P3898" s="475"/>
      <c r="Q3898" s="475"/>
      <c r="R3898" s="475"/>
      <c r="S3898" s="475"/>
      <c r="T3898" s="475"/>
      <c r="U3898" s="475"/>
      <c r="V3898" s="475"/>
      <c r="W3898" s="475"/>
    </row>
    <row r="3899" spans="2:23" s="97" customFormat="1">
      <c r="B3899" s="96"/>
      <c r="H3899" s="96"/>
      <c r="J3899" s="1"/>
      <c r="K3899" s="1"/>
      <c r="L3899" s="1"/>
      <c r="O3899" s="475"/>
      <c r="P3899" s="475"/>
      <c r="Q3899" s="475"/>
      <c r="R3899" s="475"/>
      <c r="S3899" s="475"/>
      <c r="T3899" s="475"/>
      <c r="U3899" s="475"/>
      <c r="V3899" s="475"/>
      <c r="W3899" s="475"/>
    </row>
    <row r="3900" spans="2:23" s="97" customFormat="1">
      <c r="B3900" s="96"/>
      <c r="H3900" s="96"/>
      <c r="J3900" s="1"/>
      <c r="K3900" s="1"/>
      <c r="L3900" s="1"/>
      <c r="O3900" s="475"/>
      <c r="P3900" s="475"/>
      <c r="Q3900" s="475"/>
      <c r="R3900" s="475"/>
      <c r="S3900" s="475"/>
      <c r="T3900" s="475"/>
      <c r="U3900" s="475"/>
      <c r="V3900" s="475"/>
      <c r="W3900" s="475"/>
    </row>
    <row r="3901" spans="2:23" s="97" customFormat="1">
      <c r="B3901" s="96"/>
      <c r="H3901" s="96"/>
      <c r="J3901" s="1"/>
      <c r="K3901" s="1"/>
      <c r="L3901" s="1"/>
      <c r="O3901" s="475"/>
      <c r="P3901" s="475"/>
      <c r="Q3901" s="475"/>
      <c r="R3901" s="475"/>
      <c r="S3901" s="475"/>
      <c r="T3901" s="475"/>
      <c r="U3901" s="475"/>
      <c r="V3901" s="475"/>
      <c r="W3901" s="475"/>
    </row>
    <row r="3902" spans="2:23" s="97" customFormat="1">
      <c r="B3902" s="96"/>
      <c r="H3902" s="96"/>
      <c r="J3902" s="1"/>
      <c r="K3902" s="1"/>
      <c r="L3902" s="1"/>
      <c r="O3902" s="475"/>
      <c r="P3902" s="475"/>
      <c r="Q3902" s="475"/>
      <c r="R3902" s="475"/>
      <c r="S3902" s="475"/>
      <c r="T3902" s="475"/>
      <c r="U3902" s="475"/>
      <c r="V3902" s="475"/>
      <c r="W3902" s="475"/>
    </row>
    <row r="3903" spans="2:23" s="97" customFormat="1">
      <c r="B3903" s="96"/>
      <c r="H3903" s="96"/>
      <c r="J3903" s="1"/>
      <c r="K3903" s="1"/>
      <c r="L3903" s="1"/>
      <c r="O3903" s="475"/>
      <c r="P3903" s="475"/>
      <c r="Q3903" s="475"/>
      <c r="R3903" s="475"/>
      <c r="S3903" s="475"/>
      <c r="T3903" s="475"/>
      <c r="U3903" s="475"/>
      <c r="V3903" s="475"/>
      <c r="W3903" s="475"/>
    </row>
    <row r="3904" spans="2:23" s="97" customFormat="1">
      <c r="B3904" s="96"/>
      <c r="H3904" s="96"/>
      <c r="J3904" s="1"/>
      <c r="K3904" s="1"/>
      <c r="L3904" s="1"/>
      <c r="O3904" s="475"/>
      <c r="P3904" s="475"/>
      <c r="Q3904" s="475"/>
      <c r="R3904" s="475"/>
      <c r="S3904" s="475"/>
      <c r="T3904" s="475"/>
      <c r="U3904" s="475"/>
      <c r="V3904" s="475"/>
      <c r="W3904" s="475"/>
    </row>
    <row r="3905" spans="2:23" s="97" customFormat="1">
      <c r="B3905" s="96"/>
      <c r="H3905" s="96"/>
      <c r="J3905" s="1"/>
      <c r="K3905" s="1"/>
      <c r="L3905" s="1"/>
      <c r="O3905" s="475"/>
      <c r="P3905" s="475"/>
      <c r="Q3905" s="475"/>
      <c r="R3905" s="475"/>
      <c r="S3905" s="475"/>
      <c r="T3905" s="475"/>
      <c r="U3905" s="475"/>
      <c r="V3905" s="475"/>
      <c r="W3905" s="475"/>
    </row>
    <row r="3906" spans="2:23" s="97" customFormat="1">
      <c r="B3906" s="96"/>
      <c r="H3906" s="96"/>
      <c r="J3906" s="1"/>
      <c r="K3906" s="1"/>
      <c r="L3906" s="1"/>
      <c r="O3906" s="475"/>
      <c r="P3906" s="475"/>
      <c r="Q3906" s="475"/>
      <c r="R3906" s="475"/>
      <c r="S3906" s="475"/>
      <c r="T3906" s="475"/>
      <c r="U3906" s="475"/>
      <c r="V3906" s="475"/>
      <c r="W3906" s="475"/>
    </row>
    <row r="3907" spans="2:23" s="97" customFormat="1">
      <c r="B3907" s="96"/>
      <c r="H3907" s="96"/>
      <c r="J3907" s="1"/>
      <c r="K3907" s="1"/>
      <c r="L3907" s="1"/>
      <c r="O3907" s="475"/>
      <c r="P3907" s="475"/>
      <c r="Q3907" s="475"/>
      <c r="R3907" s="475"/>
      <c r="S3907" s="475"/>
      <c r="T3907" s="475"/>
      <c r="U3907" s="475"/>
      <c r="V3907" s="475"/>
      <c r="W3907" s="475"/>
    </row>
    <row r="3908" spans="2:23" s="97" customFormat="1">
      <c r="B3908" s="96"/>
      <c r="H3908" s="96"/>
      <c r="J3908" s="1"/>
      <c r="K3908" s="1"/>
      <c r="L3908" s="1"/>
      <c r="O3908" s="475"/>
      <c r="P3908" s="475"/>
      <c r="Q3908" s="475"/>
      <c r="R3908" s="475"/>
      <c r="S3908" s="475"/>
      <c r="T3908" s="475"/>
      <c r="U3908" s="475"/>
      <c r="V3908" s="475"/>
      <c r="W3908" s="475"/>
    </row>
    <row r="3909" spans="2:23" s="97" customFormat="1">
      <c r="B3909" s="96"/>
      <c r="H3909" s="96"/>
      <c r="J3909" s="1"/>
      <c r="K3909" s="1"/>
      <c r="L3909" s="1"/>
      <c r="O3909" s="475"/>
      <c r="P3909" s="475"/>
      <c r="Q3909" s="475"/>
      <c r="R3909" s="475"/>
      <c r="S3909" s="475"/>
      <c r="T3909" s="475"/>
      <c r="U3909" s="475"/>
      <c r="V3909" s="475"/>
      <c r="W3909" s="475"/>
    </row>
    <row r="3910" spans="2:23" s="97" customFormat="1">
      <c r="B3910" s="96"/>
      <c r="H3910" s="96"/>
      <c r="J3910" s="1"/>
      <c r="K3910" s="1"/>
      <c r="L3910" s="1"/>
      <c r="O3910" s="475"/>
      <c r="P3910" s="475"/>
      <c r="Q3910" s="475"/>
      <c r="R3910" s="475"/>
      <c r="S3910" s="475"/>
      <c r="T3910" s="475"/>
      <c r="U3910" s="475"/>
      <c r="V3910" s="475"/>
      <c r="W3910" s="475"/>
    </row>
    <row r="3911" spans="2:23" s="97" customFormat="1">
      <c r="B3911" s="96"/>
      <c r="H3911" s="96"/>
      <c r="J3911" s="1"/>
      <c r="K3911" s="1"/>
      <c r="L3911" s="1"/>
      <c r="O3911" s="475"/>
      <c r="P3911" s="475"/>
      <c r="Q3911" s="475"/>
      <c r="R3911" s="475"/>
      <c r="S3911" s="475"/>
      <c r="T3911" s="475"/>
      <c r="U3911" s="475"/>
      <c r="V3911" s="475"/>
      <c r="W3911" s="475"/>
    </row>
    <row r="3912" spans="2:23" s="97" customFormat="1">
      <c r="B3912" s="96"/>
      <c r="H3912" s="96"/>
      <c r="J3912" s="1"/>
      <c r="K3912" s="1"/>
      <c r="L3912" s="1"/>
      <c r="O3912" s="475"/>
      <c r="P3912" s="475"/>
      <c r="Q3912" s="475"/>
      <c r="R3912" s="475"/>
      <c r="S3912" s="475"/>
      <c r="T3912" s="475"/>
      <c r="U3912" s="475"/>
      <c r="V3912" s="475"/>
      <c r="W3912" s="475"/>
    </row>
    <row r="3913" spans="2:23" s="97" customFormat="1">
      <c r="B3913" s="96"/>
      <c r="H3913" s="96"/>
      <c r="J3913" s="1"/>
      <c r="K3913" s="1"/>
      <c r="L3913" s="1"/>
      <c r="O3913" s="475"/>
      <c r="P3913" s="475"/>
      <c r="Q3913" s="475"/>
      <c r="R3913" s="475"/>
      <c r="S3913" s="475"/>
      <c r="T3913" s="475"/>
      <c r="U3913" s="475"/>
      <c r="V3913" s="475"/>
      <c r="W3913" s="475"/>
    </row>
    <row r="3914" spans="2:23" s="97" customFormat="1">
      <c r="B3914" s="96"/>
      <c r="H3914" s="96"/>
      <c r="J3914" s="1"/>
      <c r="K3914" s="1"/>
      <c r="L3914" s="1"/>
      <c r="O3914" s="475"/>
      <c r="P3914" s="475"/>
      <c r="Q3914" s="475"/>
      <c r="R3914" s="475"/>
      <c r="S3914" s="475"/>
      <c r="T3914" s="475"/>
      <c r="U3914" s="475"/>
      <c r="V3914" s="475"/>
      <c r="W3914" s="475"/>
    </row>
    <row r="3915" spans="2:23" s="97" customFormat="1">
      <c r="B3915" s="96"/>
      <c r="H3915" s="96"/>
      <c r="J3915" s="1"/>
      <c r="K3915" s="1"/>
      <c r="L3915" s="1"/>
      <c r="O3915" s="475"/>
      <c r="P3915" s="475"/>
      <c r="Q3915" s="475"/>
      <c r="R3915" s="475"/>
      <c r="S3915" s="475"/>
      <c r="T3915" s="475"/>
      <c r="U3915" s="475"/>
      <c r="V3915" s="475"/>
      <c r="W3915" s="475"/>
    </row>
    <row r="3916" spans="2:23" s="97" customFormat="1">
      <c r="B3916" s="96"/>
      <c r="H3916" s="96"/>
      <c r="J3916" s="1"/>
      <c r="K3916" s="1"/>
      <c r="L3916" s="1"/>
      <c r="O3916" s="475"/>
      <c r="P3916" s="475"/>
      <c r="Q3916" s="475"/>
      <c r="R3916" s="475"/>
      <c r="S3916" s="475"/>
      <c r="T3916" s="475"/>
      <c r="U3916" s="475"/>
      <c r="V3916" s="475"/>
      <c r="W3916" s="475"/>
    </row>
    <row r="3917" spans="2:23" s="97" customFormat="1">
      <c r="B3917" s="96"/>
      <c r="H3917" s="96"/>
      <c r="J3917" s="1"/>
      <c r="K3917" s="1"/>
      <c r="L3917" s="1"/>
      <c r="O3917" s="475"/>
      <c r="P3917" s="475"/>
      <c r="Q3917" s="475"/>
      <c r="R3917" s="475"/>
      <c r="S3917" s="475"/>
      <c r="T3917" s="475"/>
      <c r="U3917" s="475"/>
      <c r="V3917" s="475"/>
      <c r="W3917" s="475"/>
    </row>
    <row r="3918" spans="2:23" s="97" customFormat="1">
      <c r="B3918" s="96"/>
      <c r="H3918" s="96"/>
      <c r="J3918" s="1"/>
      <c r="K3918" s="1"/>
      <c r="L3918" s="1"/>
      <c r="O3918" s="475"/>
      <c r="P3918" s="475"/>
      <c r="Q3918" s="475"/>
      <c r="R3918" s="475"/>
      <c r="S3918" s="475"/>
      <c r="T3918" s="475"/>
      <c r="U3918" s="475"/>
      <c r="V3918" s="475"/>
      <c r="W3918" s="475"/>
    </row>
    <row r="3919" spans="2:23" s="97" customFormat="1">
      <c r="B3919" s="96"/>
      <c r="H3919" s="96"/>
      <c r="J3919" s="1"/>
      <c r="K3919" s="1"/>
      <c r="L3919" s="1"/>
      <c r="O3919" s="475"/>
      <c r="P3919" s="475"/>
      <c r="Q3919" s="475"/>
      <c r="R3919" s="475"/>
      <c r="S3919" s="475"/>
      <c r="T3919" s="475"/>
      <c r="U3919" s="475"/>
      <c r="V3919" s="475"/>
      <c r="W3919" s="475"/>
    </row>
    <row r="3920" spans="2:23" s="97" customFormat="1">
      <c r="B3920" s="96"/>
      <c r="H3920" s="96"/>
      <c r="J3920" s="1"/>
      <c r="K3920" s="1"/>
      <c r="L3920" s="1"/>
      <c r="O3920" s="475"/>
      <c r="P3920" s="475"/>
      <c r="Q3920" s="475"/>
      <c r="R3920" s="475"/>
      <c r="S3920" s="475"/>
      <c r="T3920" s="475"/>
      <c r="U3920" s="475"/>
      <c r="V3920" s="475"/>
      <c r="W3920" s="475"/>
    </row>
    <row r="3921" spans="2:23" s="97" customFormat="1">
      <c r="B3921" s="96"/>
      <c r="H3921" s="96"/>
      <c r="J3921" s="1"/>
      <c r="K3921" s="1"/>
      <c r="L3921" s="1"/>
      <c r="O3921" s="475"/>
      <c r="P3921" s="475"/>
      <c r="Q3921" s="475"/>
      <c r="R3921" s="475"/>
      <c r="S3921" s="475"/>
      <c r="T3921" s="475"/>
      <c r="U3921" s="475"/>
      <c r="V3921" s="475"/>
      <c r="W3921" s="475"/>
    </row>
    <row r="3922" spans="2:23" s="97" customFormat="1">
      <c r="B3922" s="96"/>
      <c r="H3922" s="96"/>
      <c r="J3922" s="1"/>
      <c r="K3922" s="1"/>
      <c r="L3922" s="1"/>
      <c r="O3922" s="475"/>
      <c r="P3922" s="475"/>
      <c r="Q3922" s="475"/>
      <c r="R3922" s="475"/>
      <c r="S3922" s="475"/>
      <c r="T3922" s="475"/>
      <c r="U3922" s="475"/>
      <c r="V3922" s="475"/>
      <c r="W3922" s="475"/>
    </row>
    <row r="3923" spans="2:23" s="97" customFormat="1">
      <c r="B3923" s="96"/>
      <c r="H3923" s="96"/>
      <c r="J3923" s="1"/>
      <c r="K3923" s="1"/>
      <c r="L3923" s="1"/>
      <c r="O3923" s="475"/>
      <c r="P3923" s="475"/>
      <c r="Q3923" s="475"/>
      <c r="R3923" s="475"/>
      <c r="S3923" s="475"/>
      <c r="T3923" s="475"/>
      <c r="U3923" s="475"/>
      <c r="V3923" s="475"/>
      <c r="W3923" s="475"/>
    </row>
    <row r="3924" spans="2:23" s="97" customFormat="1">
      <c r="B3924" s="96"/>
      <c r="H3924" s="96"/>
      <c r="J3924" s="1"/>
      <c r="K3924" s="1"/>
      <c r="L3924" s="1"/>
      <c r="O3924" s="475"/>
      <c r="P3924" s="475"/>
      <c r="Q3924" s="475"/>
      <c r="R3924" s="475"/>
      <c r="S3924" s="475"/>
      <c r="T3924" s="475"/>
      <c r="U3924" s="475"/>
      <c r="V3924" s="475"/>
      <c r="W3924" s="475"/>
    </row>
    <row r="3925" spans="2:23" s="97" customFormat="1">
      <c r="B3925" s="96"/>
      <c r="H3925" s="96"/>
      <c r="J3925" s="1"/>
      <c r="K3925" s="1"/>
      <c r="L3925" s="1"/>
      <c r="O3925" s="475"/>
      <c r="P3925" s="475"/>
      <c r="Q3925" s="475"/>
      <c r="R3925" s="475"/>
      <c r="S3925" s="475"/>
      <c r="T3925" s="475"/>
      <c r="U3925" s="475"/>
      <c r="V3925" s="475"/>
      <c r="W3925" s="475"/>
    </row>
    <row r="3926" spans="2:23" s="97" customFormat="1">
      <c r="B3926" s="96"/>
      <c r="H3926" s="96"/>
      <c r="J3926" s="1"/>
      <c r="K3926" s="1"/>
      <c r="L3926" s="1"/>
      <c r="O3926" s="475"/>
      <c r="P3926" s="475"/>
      <c r="Q3926" s="475"/>
      <c r="R3926" s="475"/>
      <c r="S3926" s="475"/>
      <c r="T3926" s="475"/>
      <c r="U3926" s="475"/>
      <c r="V3926" s="475"/>
      <c r="W3926" s="475"/>
    </row>
    <row r="3927" spans="2:23" s="97" customFormat="1">
      <c r="B3927" s="96"/>
      <c r="H3927" s="96"/>
      <c r="J3927" s="1"/>
      <c r="K3927" s="1"/>
      <c r="L3927" s="1"/>
      <c r="O3927" s="475"/>
      <c r="P3927" s="475"/>
      <c r="Q3927" s="475"/>
      <c r="R3927" s="475"/>
      <c r="S3927" s="475"/>
      <c r="T3927" s="475"/>
      <c r="U3927" s="475"/>
      <c r="V3927" s="475"/>
      <c r="W3927" s="475"/>
    </row>
    <row r="3928" spans="2:23" s="97" customFormat="1">
      <c r="B3928" s="96"/>
      <c r="H3928" s="96"/>
      <c r="J3928" s="1"/>
      <c r="K3928" s="1"/>
      <c r="L3928" s="1"/>
      <c r="O3928" s="475"/>
      <c r="P3928" s="475"/>
      <c r="Q3928" s="475"/>
      <c r="R3928" s="475"/>
      <c r="S3928" s="475"/>
      <c r="T3928" s="475"/>
      <c r="U3928" s="475"/>
      <c r="V3928" s="475"/>
      <c r="W3928" s="475"/>
    </row>
    <row r="3929" spans="2:23" s="97" customFormat="1">
      <c r="B3929" s="96"/>
      <c r="H3929" s="96"/>
      <c r="J3929" s="1"/>
      <c r="K3929" s="1"/>
      <c r="L3929" s="1"/>
      <c r="O3929" s="475"/>
      <c r="P3929" s="475"/>
      <c r="Q3929" s="475"/>
      <c r="R3929" s="475"/>
      <c r="S3929" s="475"/>
      <c r="T3929" s="475"/>
      <c r="U3929" s="475"/>
      <c r="V3929" s="475"/>
      <c r="W3929" s="475"/>
    </row>
    <row r="3930" spans="2:23" s="97" customFormat="1">
      <c r="B3930" s="96"/>
      <c r="H3930" s="96"/>
      <c r="J3930" s="1"/>
      <c r="K3930" s="1"/>
      <c r="L3930" s="1"/>
      <c r="O3930" s="475"/>
      <c r="P3930" s="475"/>
      <c r="Q3930" s="475"/>
      <c r="R3930" s="475"/>
      <c r="S3930" s="475"/>
      <c r="T3930" s="475"/>
      <c r="U3930" s="475"/>
      <c r="V3930" s="475"/>
      <c r="W3930" s="475"/>
    </row>
    <row r="3931" spans="2:23" s="97" customFormat="1">
      <c r="B3931" s="96"/>
      <c r="H3931" s="96"/>
      <c r="J3931" s="1"/>
      <c r="K3931" s="1"/>
      <c r="L3931" s="1"/>
      <c r="O3931" s="475"/>
      <c r="P3931" s="475"/>
      <c r="Q3931" s="475"/>
      <c r="R3931" s="475"/>
      <c r="S3931" s="475"/>
      <c r="T3931" s="475"/>
      <c r="U3931" s="475"/>
      <c r="V3931" s="475"/>
      <c r="W3931" s="475"/>
    </row>
    <row r="3932" spans="2:23" s="97" customFormat="1">
      <c r="B3932" s="96"/>
      <c r="H3932" s="96"/>
      <c r="J3932" s="1"/>
      <c r="K3932" s="1"/>
      <c r="L3932" s="1"/>
      <c r="O3932" s="475"/>
      <c r="P3932" s="475"/>
      <c r="Q3932" s="475"/>
      <c r="R3932" s="475"/>
      <c r="S3932" s="475"/>
      <c r="T3932" s="475"/>
      <c r="U3932" s="475"/>
      <c r="V3932" s="475"/>
      <c r="W3932" s="475"/>
    </row>
    <row r="3933" spans="2:23" s="97" customFormat="1">
      <c r="B3933" s="96"/>
      <c r="H3933" s="96"/>
      <c r="J3933" s="1"/>
      <c r="K3933" s="1"/>
      <c r="L3933" s="1"/>
      <c r="O3933" s="475"/>
      <c r="P3933" s="475"/>
      <c r="Q3933" s="475"/>
      <c r="R3933" s="475"/>
      <c r="S3933" s="475"/>
      <c r="T3933" s="475"/>
      <c r="U3933" s="475"/>
      <c r="V3933" s="475"/>
      <c r="W3933" s="475"/>
    </row>
    <row r="3934" spans="2:23" s="97" customFormat="1">
      <c r="B3934" s="96"/>
      <c r="H3934" s="96"/>
      <c r="J3934" s="1"/>
      <c r="K3934" s="1"/>
      <c r="L3934" s="1"/>
      <c r="O3934" s="475"/>
      <c r="P3934" s="475"/>
      <c r="Q3934" s="475"/>
      <c r="R3934" s="475"/>
      <c r="S3934" s="475"/>
      <c r="T3934" s="475"/>
      <c r="U3934" s="475"/>
      <c r="V3934" s="475"/>
      <c r="W3934" s="475"/>
    </row>
    <row r="3935" spans="2:23" s="97" customFormat="1">
      <c r="B3935" s="96"/>
      <c r="H3935" s="96"/>
      <c r="J3935" s="1"/>
      <c r="K3935" s="1"/>
      <c r="L3935" s="1"/>
      <c r="O3935" s="475"/>
      <c r="P3935" s="475"/>
      <c r="Q3935" s="475"/>
      <c r="R3935" s="475"/>
      <c r="S3935" s="475"/>
      <c r="T3935" s="475"/>
      <c r="U3935" s="475"/>
      <c r="V3935" s="475"/>
      <c r="W3935" s="475"/>
    </row>
    <row r="3936" spans="2:23" s="97" customFormat="1">
      <c r="B3936" s="96"/>
      <c r="H3936" s="96"/>
      <c r="J3936" s="1"/>
      <c r="K3936" s="1"/>
      <c r="L3936" s="1"/>
      <c r="O3936" s="475"/>
      <c r="P3936" s="475"/>
      <c r="Q3936" s="475"/>
      <c r="R3936" s="475"/>
      <c r="S3936" s="475"/>
      <c r="T3936" s="475"/>
      <c r="U3936" s="475"/>
      <c r="V3936" s="475"/>
      <c r="W3936" s="475"/>
    </row>
    <row r="3937" spans="2:23" s="97" customFormat="1">
      <c r="B3937" s="96"/>
      <c r="H3937" s="96"/>
      <c r="J3937" s="1"/>
      <c r="K3937" s="1"/>
      <c r="L3937" s="1"/>
      <c r="O3937" s="475"/>
      <c r="P3937" s="475"/>
      <c r="Q3937" s="475"/>
      <c r="R3937" s="475"/>
      <c r="S3937" s="475"/>
      <c r="T3937" s="475"/>
      <c r="U3937" s="475"/>
      <c r="V3937" s="475"/>
      <c r="W3937" s="475"/>
    </row>
    <row r="3938" spans="2:23" s="97" customFormat="1">
      <c r="B3938" s="96"/>
      <c r="H3938" s="96"/>
      <c r="J3938" s="1"/>
      <c r="K3938" s="1"/>
      <c r="L3938" s="1"/>
      <c r="O3938" s="475"/>
      <c r="P3938" s="475"/>
      <c r="Q3938" s="475"/>
      <c r="R3938" s="475"/>
      <c r="S3938" s="475"/>
      <c r="T3938" s="475"/>
      <c r="U3938" s="475"/>
      <c r="V3938" s="475"/>
      <c r="W3938" s="475"/>
    </row>
    <row r="3939" spans="2:23" s="97" customFormat="1">
      <c r="B3939" s="96"/>
      <c r="H3939" s="96"/>
      <c r="J3939" s="1"/>
      <c r="K3939" s="1"/>
      <c r="L3939" s="1"/>
      <c r="O3939" s="475"/>
      <c r="P3939" s="475"/>
      <c r="Q3939" s="475"/>
      <c r="R3939" s="475"/>
      <c r="S3939" s="475"/>
      <c r="T3939" s="475"/>
      <c r="U3939" s="475"/>
      <c r="V3939" s="475"/>
      <c r="W3939" s="475"/>
    </row>
    <row r="3940" spans="2:23" s="97" customFormat="1">
      <c r="B3940" s="96"/>
      <c r="H3940" s="96"/>
      <c r="J3940" s="1"/>
      <c r="K3940" s="1"/>
      <c r="L3940" s="1"/>
      <c r="O3940" s="475"/>
      <c r="P3940" s="475"/>
      <c r="Q3940" s="475"/>
      <c r="R3940" s="475"/>
      <c r="S3940" s="475"/>
      <c r="T3940" s="475"/>
      <c r="U3940" s="475"/>
      <c r="V3940" s="475"/>
      <c r="W3940" s="475"/>
    </row>
    <row r="3941" spans="2:23" s="97" customFormat="1">
      <c r="B3941" s="96"/>
      <c r="H3941" s="96"/>
      <c r="J3941" s="1"/>
      <c r="K3941" s="1"/>
      <c r="L3941" s="1"/>
      <c r="O3941" s="475"/>
      <c r="P3941" s="475"/>
      <c r="Q3941" s="475"/>
      <c r="R3941" s="475"/>
      <c r="S3941" s="475"/>
      <c r="T3941" s="475"/>
      <c r="U3941" s="475"/>
      <c r="V3941" s="475"/>
      <c r="W3941" s="475"/>
    </row>
    <row r="3942" spans="2:23" s="97" customFormat="1">
      <c r="B3942" s="96"/>
      <c r="H3942" s="96"/>
      <c r="J3942" s="1"/>
      <c r="K3942" s="1"/>
      <c r="L3942" s="1"/>
      <c r="O3942" s="475"/>
      <c r="P3942" s="475"/>
      <c r="Q3942" s="475"/>
      <c r="R3942" s="475"/>
      <c r="S3942" s="475"/>
      <c r="T3942" s="475"/>
      <c r="U3942" s="475"/>
      <c r="V3942" s="475"/>
      <c r="W3942" s="475"/>
    </row>
    <row r="3943" spans="2:23" s="97" customFormat="1">
      <c r="B3943" s="96"/>
      <c r="H3943" s="96"/>
      <c r="J3943" s="1"/>
      <c r="K3943" s="1"/>
      <c r="L3943" s="1"/>
      <c r="O3943" s="475"/>
      <c r="P3943" s="475"/>
      <c r="Q3943" s="475"/>
      <c r="R3943" s="475"/>
      <c r="S3943" s="475"/>
      <c r="T3943" s="475"/>
      <c r="U3943" s="475"/>
      <c r="V3943" s="475"/>
      <c r="W3943" s="475"/>
    </row>
    <row r="3944" spans="2:23" s="97" customFormat="1">
      <c r="B3944" s="96"/>
      <c r="H3944" s="96"/>
      <c r="J3944" s="1"/>
      <c r="K3944" s="1"/>
      <c r="L3944" s="1"/>
      <c r="O3944" s="475"/>
      <c r="P3944" s="475"/>
      <c r="Q3944" s="475"/>
      <c r="R3944" s="475"/>
      <c r="S3944" s="475"/>
      <c r="T3944" s="475"/>
      <c r="U3944" s="475"/>
      <c r="V3944" s="475"/>
      <c r="W3944" s="475"/>
    </row>
    <row r="3945" spans="2:23" s="97" customFormat="1">
      <c r="B3945" s="96"/>
      <c r="H3945" s="96"/>
      <c r="J3945" s="1"/>
      <c r="K3945" s="1"/>
      <c r="L3945" s="1"/>
      <c r="O3945" s="475"/>
      <c r="P3945" s="475"/>
      <c r="Q3945" s="475"/>
      <c r="R3945" s="475"/>
      <c r="S3945" s="475"/>
      <c r="T3945" s="475"/>
      <c r="U3945" s="475"/>
      <c r="V3945" s="475"/>
      <c r="W3945" s="475"/>
    </row>
    <row r="3946" spans="2:23" s="97" customFormat="1">
      <c r="B3946" s="96"/>
      <c r="H3946" s="96"/>
      <c r="J3946" s="1"/>
      <c r="K3946" s="1"/>
      <c r="L3946" s="1"/>
      <c r="O3946" s="475"/>
      <c r="P3946" s="475"/>
      <c r="Q3946" s="475"/>
      <c r="R3946" s="475"/>
      <c r="S3946" s="475"/>
      <c r="T3946" s="475"/>
      <c r="U3946" s="475"/>
      <c r="V3946" s="475"/>
      <c r="W3946" s="475"/>
    </row>
    <row r="3947" spans="2:23" s="97" customFormat="1">
      <c r="B3947" s="96"/>
      <c r="H3947" s="96"/>
      <c r="J3947" s="1"/>
      <c r="K3947" s="1"/>
      <c r="L3947" s="1"/>
      <c r="O3947" s="475"/>
      <c r="P3947" s="475"/>
      <c r="Q3947" s="475"/>
      <c r="R3947" s="475"/>
      <c r="S3947" s="475"/>
      <c r="T3947" s="475"/>
      <c r="U3947" s="475"/>
      <c r="V3947" s="475"/>
      <c r="W3947" s="475"/>
    </row>
    <row r="3948" spans="2:23" s="97" customFormat="1">
      <c r="B3948" s="96"/>
      <c r="H3948" s="96"/>
      <c r="J3948" s="1"/>
      <c r="K3948" s="1"/>
      <c r="L3948" s="1"/>
      <c r="O3948" s="475"/>
      <c r="P3948" s="475"/>
      <c r="Q3948" s="475"/>
      <c r="R3948" s="475"/>
      <c r="S3948" s="475"/>
      <c r="T3948" s="475"/>
      <c r="U3948" s="475"/>
      <c r="V3948" s="475"/>
      <c r="W3948" s="475"/>
    </row>
    <row r="3949" spans="2:23" s="97" customFormat="1">
      <c r="B3949" s="96"/>
      <c r="H3949" s="96"/>
      <c r="J3949" s="1"/>
      <c r="K3949" s="1"/>
      <c r="L3949" s="1"/>
      <c r="O3949" s="475"/>
      <c r="P3949" s="475"/>
      <c r="Q3949" s="475"/>
      <c r="R3949" s="475"/>
      <c r="S3949" s="475"/>
      <c r="T3949" s="475"/>
      <c r="U3949" s="475"/>
      <c r="V3949" s="475"/>
      <c r="W3949" s="475"/>
    </row>
    <row r="3950" spans="2:23" s="97" customFormat="1">
      <c r="B3950" s="96"/>
      <c r="H3950" s="96"/>
      <c r="J3950" s="1"/>
      <c r="K3950" s="1"/>
      <c r="L3950" s="1"/>
      <c r="O3950" s="475"/>
      <c r="P3950" s="475"/>
      <c r="Q3950" s="475"/>
      <c r="R3950" s="475"/>
      <c r="S3950" s="475"/>
      <c r="T3950" s="475"/>
      <c r="U3950" s="475"/>
      <c r="V3950" s="475"/>
      <c r="W3950" s="475"/>
    </row>
    <row r="3951" spans="2:23" s="97" customFormat="1">
      <c r="B3951" s="96"/>
      <c r="H3951" s="96"/>
      <c r="J3951" s="1"/>
      <c r="K3951" s="1"/>
      <c r="L3951" s="1"/>
      <c r="O3951" s="475"/>
      <c r="P3951" s="475"/>
      <c r="Q3951" s="475"/>
      <c r="R3951" s="475"/>
      <c r="S3951" s="475"/>
      <c r="T3951" s="475"/>
      <c r="U3951" s="475"/>
      <c r="V3951" s="475"/>
      <c r="W3951" s="475"/>
    </row>
    <row r="3952" spans="2:23" s="97" customFormat="1">
      <c r="B3952" s="96"/>
      <c r="H3952" s="96"/>
      <c r="J3952" s="1"/>
      <c r="K3952" s="1"/>
      <c r="L3952" s="1"/>
      <c r="O3952" s="475"/>
      <c r="P3952" s="475"/>
      <c r="Q3952" s="475"/>
      <c r="R3952" s="475"/>
      <c r="S3952" s="475"/>
      <c r="T3952" s="475"/>
      <c r="U3952" s="475"/>
      <c r="V3952" s="475"/>
      <c r="W3952" s="475"/>
    </row>
    <row r="3953" spans="2:23" s="97" customFormat="1">
      <c r="B3953" s="96"/>
      <c r="H3953" s="96"/>
      <c r="J3953" s="1"/>
      <c r="K3953" s="1"/>
      <c r="L3953" s="1"/>
      <c r="O3953" s="475"/>
      <c r="P3953" s="475"/>
      <c r="Q3953" s="475"/>
      <c r="R3953" s="475"/>
      <c r="S3953" s="475"/>
      <c r="T3953" s="475"/>
      <c r="U3953" s="475"/>
      <c r="V3953" s="475"/>
      <c r="W3953" s="475"/>
    </row>
    <row r="3954" spans="2:23" s="97" customFormat="1">
      <c r="B3954" s="96"/>
      <c r="H3954" s="96"/>
      <c r="J3954" s="1"/>
      <c r="K3954" s="1"/>
      <c r="L3954" s="1"/>
      <c r="O3954" s="475"/>
      <c r="P3954" s="475"/>
      <c r="Q3954" s="475"/>
      <c r="R3954" s="475"/>
      <c r="S3954" s="475"/>
      <c r="T3954" s="475"/>
      <c r="U3954" s="475"/>
      <c r="V3954" s="475"/>
      <c r="W3954" s="475"/>
    </row>
    <row r="3955" spans="2:23" s="97" customFormat="1">
      <c r="B3955" s="96"/>
      <c r="H3955" s="96"/>
      <c r="J3955" s="1"/>
      <c r="K3955" s="1"/>
      <c r="L3955" s="1"/>
      <c r="O3955" s="475"/>
      <c r="P3955" s="475"/>
      <c r="Q3955" s="475"/>
      <c r="R3955" s="475"/>
      <c r="S3955" s="475"/>
      <c r="T3955" s="475"/>
      <c r="U3955" s="475"/>
      <c r="V3955" s="475"/>
      <c r="W3955" s="475"/>
    </row>
    <row r="3956" spans="2:23" s="97" customFormat="1">
      <c r="B3956" s="96"/>
      <c r="H3956" s="96"/>
      <c r="J3956" s="1"/>
      <c r="K3956" s="1"/>
      <c r="L3956" s="1"/>
      <c r="O3956" s="475"/>
      <c r="P3956" s="475"/>
      <c r="Q3956" s="475"/>
      <c r="R3956" s="475"/>
      <c r="S3956" s="475"/>
      <c r="T3956" s="475"/>
      <c r="U3956" s="475"/>
      <c r="V3956" s="475"/>
      <c r="W3956" s="475"/>
    </row>
    <row r="3957" spans="2:23" s="97" customFormat="1">
      <c r="B3957" s="96"/>
      <c r="H3957" s="96"/>
      <c r="J3957" s="1"/>
      <c r="K3957" s="1"/>
      <c r="L3957" s="1"/>
      <c r="O3957" s="475"/>
      <c r="P3957" s="475"/>
      <c r="Q3957" s="475"/>
      <c r="R3957" s="475"/>
      <c r="S3957" s="475"/>
      <c r="T3957" s="475"/>
      <c r="U3957" s="475"/>
      <c r="V3957" s="475"/>
      <c r="W3957" s="475"/>
    </row>
    <row r="3958" spans="2:23" s="97" customFormat="1">
      <c r="B3958" s="96"/>
      <c r="H3958" s="96"/>
      <c r="J3958" s="1"/>
      <c r="K3958" s="1"/>
      <c r="L3958" s="1"/>
      <c r="O3958" s="475"/>
      <c r="P3958" s="475"/>
      <c r="Q3958" s="475"/>
      <c r="R3958" s="475"/>
      <c r="S3958" s="475"/>
      <c r="T3958" s="475"/>
      <c r="U3958" s="475"/>
      <c r="V3958" s="475"/>
      <c r="W3958" s="475"/>
    </row>
    <row r="3959" spans="2:23" s="97" customFormat="1">
      <c r="B3959" s="96"/>
      <c r="H3959" s="96"/>
      <c r="J3959" s="1"/>
      <c r="K3959" s="1"/>
      <c r="L3959" s="1"/>
      <c r="O3959" s="475"/>
      <c r="P3959" s="475"/>
      <c r="Q3959" s="475"/>
      <c r="R3959" s="475"/>
      <c r="S3959" s="475"/>
      <c r="T3959" s="475"/>
      <c r="U3959" s="475"/>
      <c r="V3959" s="475"/>
      <c r="W3959" s="475"/>
    </row>
    <row r="3960" spans="2:23" s="97" customFormat="1">
      <c r="B3960" s="96"/>
      <c r="H3960" s="96"/>
      <c r="J3960" s="1"/>
      <c r="K3960" s="1"/>
      <c r="L3960" s="1"/>
      <c r="O3960" s="475"/>
      <c r="P3960" s="475"/>
      <c r="Q3960" s="475"/>
      <c r="R3960" s="475"/>
      <c r="S3960" s="475"/>
      <c r="T3960" s="475"/>
      <c r="U3960" s="475"/>
      <c r="V3960" s="475"/>
      <c r="W3960" s="475"/>
    </row>
    <row r="3961" spans="2:23" s="97" customFormat="1">
      <c r="B3961" s="96"/>
      <c r="H3961" s="96"/>
      <c r="J3961" s="1"/>
      <c r="K3961" s="1"/>
      <c r="L3961" s="1"/>
      <c r="O3961" s="475"/>
      <c r="P3961" s="475"/>
      <c r="Q3961" s="475"/>
      <c r="R3961" s="475"/>
      <c r="S3961" s="475"/>
      <c r="T3961" s="475"/>
      <c r="U3961" s="475"/>
      <c r="V3961" s="475"/>
      <c r="W3961" s="475"/>
    </row>
    <row r="3962" spans="2:23" s="97" customFormat="1">
      <c r="B3962" s="96"/>
      <c r="H3962" s="96"/>
      <c r="J3962" s="1"/>
      <c r="K3962" s="1"/>
      <c r="L3962" s="1"/>
      <c r="O3962" s="475"/>
      <c r="P3962" s="475"/>
      <c r="Q3962" s="475"/>
      <c r="R3962" s="475"/>
      <c r="S3962" s="475"/>
      <c r="T3962" s="475"/>
      <c r="U3962" s="475"/>
      <c r="V3962" s="475"/>
      <c r="W3962" s="475"/>
    </row>
    <row r="3963" spans="2:23" s="97" customFormat="1">
      <c r="B3963" s="96"/>
      <c r="H3963" s="96"/>
      <c r="J3963" s="1"/>
      <c r="K3963" s="1"/>
      <c r="L3963" s="1"/>
      <c r="O3963" s="475"/>
      <c r="P3963" s="475"/>
      <c r="Q3963" s="475"/>
      <c r="R3963" s="475"/>
      <c r="S3963" s="475"/>
      <c r="T3963" s="475"/>
      <c r="U3963" s="475"/>
      <c r="V3963" s="475"/>
      <c r="W3963" s="475"/>
    </row>
    <row r="3964" spans="2:23" s="97" customFormat="1">
      <c r="B3964" s="96"/>
      <c r="H3964" s="96"/>
      <c r="J3964" s="1"/>
      <c r="K3964" s="1"/>
      <c r="L3964" s="1"/>
      <c r="O3964" s="475"/>
      <c r="P3964" s="475"/>
      <c r="Q3964" s="475"/>
      <c r="R3964" s="475"/>
      <c r="S3964" s="475"/>
      <c r="T3964" s="475"/>
      <c r="U3964" s="475"/>
      <c r="V3964" s="475"/>
      <c r="W3964" s="475"/>
    </row>
    <row r="3965" spans="2:23" s="97" customFormat="1">
      <c r="B3965" s="96"/>
      <c r="H3965" s="96"/>
      <c r="J3965" s="1"/>
      <c r="K3965" s="1"/>
      <c r="L3965" s="1"/>
      <c r="O3965" s="475"/>
      <c r="P3965" s="475"/>
      <c r="Q3965" s="475"/>
      <c r="R3965" s="475"/>
      <c r="S3965" s="475"/>
      <c r="T3965" s="475"/>
      <c r="U3965" s="475"/>
      <c r="V3965" s="475"/>
      <c r="W3965" s="475"/>
    </row>
    <row r="3966" spans="2:23" s="97" customFormat="1">
      <c r="B3966" s="96"/>
      <c r="H3966" s="96"/>
      <c r="J3966" s="1"/>
      <c r="K3966" s="1"/>
      <c r="L3966" s="1"/>
      <c r="O3966" s="475"/>
      <c r="P3966" s="475"/>
      <c r="Q3966" s="475"/>
      <c r="R3966" s="475"/>
      <c r="S3966" s="475"/>
      <c r="T3966" s="475"/>
      <c r="U3966" s="475"/>
      <c r="V3966" s="475"/>
      <c r="W3966" s="475"/>
    </row>
    <row r="3967" spans="2:23" s="97" customFormat="1">
      <c r="B3967" s="96"/>
      <c r="H3967" s="96"/>
      <c r="J3967" s="1"/>
      <c r="K3967" s="1"/>
      <c r="L3967" s="1"/>
      <c r="O3967" s="475"/>
      <c r="P3967" s="475"/>
      <c r="Q3967" s="475"/>
      <c r="R3967" s="475"/>
      <c r="S3967" s="475"/>
      <c r="T3967" s="475"/>
      <c r="U3967" s="475"/>
      <c r="V3967" s="475"/>
      <c r="W3967" s="475"/>
    </row>
    <row r="3968" spans="2:23" s="97" customFormat="1">
      <c r="B3968" s="96"/>
      <c r="H3968" s="96"/>
      <c r="J3968" s="1"/>
      <c r="K3968" s="1"/>
      <c r="L3968" s="1"/>
      <c r="O3968" s="475"/>
      <c r="P3968" s="475"/>
      <c r="Q3968" s="475"/>
      <c r="R3968" s="475"/>
      <c r="S3968" s="475"/>
      <c r="T3968" s="475"/>
      <c r="U3968" s="475"/>
      <c r="V3968" s="475"/>
      <c r="W3968" s="475"/>
    </row>
    <row r="3969" spans="2:23" s="97" customFormat="1">
      <c r="B3969" s="96"/>
      <c r="H3969" s="96"/>
      <c r="J3969" s="1"/>
      <c r="K3969" s="1"/>
      <c r="L3969" s="1"/>
      <c r="O3969" s="475"/>
      <c r="P3969" s="475"/>
      <c r="Q3969" s="475"/>
      <c r="R3969" s="475"/>
      <c r="S3969" s="475"/>
      <c r="T3969" s="475"/>
      <c r="U3969" s="475"/>
      <c r="V3969" s="475"/>
      <c r="W3969" s="475"/>
    </row>
    <row r="3970" spans="2:23" s="97" customFormat="1">
      <c r="B3970" s="96"/>
      <c r="H3970" s="96"/>
      <c r="J3970" s="1"/>
      <c r="K3970" s="1"/>
      <c r="L3970" s="1"/>
      <c r="O3970" s="475"/>
      <c r="P3970" s="475"/>
      <c r="Q3970" s="475"/>
      <c r="R3970" s="475"/>
      <c r="S3970" s="475"/>
      <c r="T3970" s="475"/>
      <c r="U3970" s="475"/>
      <c r="V3970" s="475"/>
      <c r="W3970" s="475"/>
    </row>
    <row r="3971" spans="2:23" s="97" customFormat="1">
      <c r="B3971" s="96"/>
      <c r="H3971" s="96"/>
      <c r="J3971" s="1"/>
      <c r="K3971" s="1"/>
      <c r="L3971" s="1"/>
      <c r="O3971" s="475"/>
      <c r="P3971" s="475"/>
      <c r="Q3971" s="475"/>
      <c r="R3971" s="475"/>
      <c r="S3971" s="475"/>
      <c r="T3971" s="475"/>
      <c r="U3971" s="475"/>
      <c r="V3971" s="475"/>
      <c r="W3971" s="475"/>
    </row>
    <row r="3972" spans="2:23" s="97" customFormat="1">
      <c r="B3972" s="96"/>
      <c r="H3972" s="96"/>
      <c r="J3972" s="1"/>
      <c r="K3972" s="1"/>
      <c r="L3972" s="1"/>
      <c r="O3972" s="475"/>
      <c r="P3972" s="475"/>
      <c r="Q3972" s="475"/>
      <c r="R3972" s="475"/>
      <c r="S3972" s="475"/>
      <c r="T3972" s="475"/>
      <c r="U3972" s="475"/>
      <c r="V3972" s="475"/>
      <c r="W3972" s="475"/>
    </row>
    <row r="3973" spans="2:23" s="97" customFormat="1">
      <c r="B3973" s="96"/>
      <c r="H3973" s="96"/>
      <c r="J3973" s="1"/>
      <c r="K3973" s="1"/>
      <c r="L3973" s="1"/>
      <c r="O3973" s="475"/>
      <c r="P3973" s="475"/>
      <c r="Q3973" s="475"/>
      <c r="R3973" s="475"/>
      <c r="S3973" s="475"/>
      <c r="T3973" s="475"/>
      <c r="U3973" s="475"/>
      <c r="V3973" s="475"/>
      <c r="W3973" s="475"/>
    </row>
    <row r="3974" spans="2:23" s="97" customFormat="1">
      <c r="B3974" s="96"/>
      <c r="H3974" s="96"/>
      <c r="J3974" s="1"/>
      <c r="K3974" s="1"/>
      <c r="L3974" s="1"/>
      <c r="O3974" s="475"/>
      <c r="P3974" s="475"/>
      <c r="Q3974" s="475"/>
      <c r="R3974" s="475"/>
      <c r="S3974" s="475"/>
      <c r="T3974" s="475"/>
      <c r="U3974" s="475"/>
      <c r="V3974" s="475"/>
      <c r="W3974" s="475"/>
    </row>
    <row r="3975" spans="2:23" s="97" customFormat="1">
      <c r="B3975" s="96"/>
      <c r="H3975" s="96"/>
      <c r="J3975" s="1"/>
      <c r="K3975" s="1"/>
      <c r="L3975" s="1"/>
      <c r="O3975" s="475"/>
      <c r="P3975" s="475"/>
      <c r="Q3975" s="475"/>
      <c r="R3975" s="475"/>
      <c r="S3975" s="475"/>
      <c r="T3975" s="475"/>
      <c r="U3975" s="475"/>
      <c r="V3975" s="475"/>
      <c r="W3975" s="475"/>
    </row>
    <row r="3976" spans="2:23" s="97" customFormat="1">
      <c r="B3976" s="96"/>
      <c r="H3976" s="96"/>
      <c r="J3976" s="1"/>
      <c r="K3976" s="1"/>
      <c r="L3976" s="1"/>
      <c r="O3976" s="475"/>
      <c r="P3976" s="475"/>
      <c r="Q3976" s="475"/>
      <c r="R3976" s="475"/>
      <c r="S3976" s="475"/>
      <c r="T3976" s="475"/>
      <c r="U3976" s="475"/>
      <c r="V3976" s="475"/>
      <c r="W3976" s="475"/>
    </row>
    <row r="3977" spans="2:23" s="97" customFormat="1">
      <c r="B3977" s="96"/>
      <c r="H3977" s="96"/>
      <c r="J3977" s="1"/>
      <c r="K3977" s="1"/>
      <c r="L3977" s="1"/>
      <c r="O3977" s="475"/>
      <c r="P3977" s="475"/>
      <c r="Q3977" s="475"/>
      <c r="R3977" s="475"/>
      <c r="S3977" s="475"/>
      <c r="T3977" s="475"/>
      <c r="U3977" s="475"/>
      <c r="V3977" s="475"/>
      <c r="W3977" s="475"/>
    </row>
    <row r="3978" spans="2:23" s="97" customFormat="1">
      <c r="B3978" s="96"/>
      <c r="H3978" s="96"/>
      <c r="J3978" s="1"/>
      <c r="K3978" s="1"/>
      <c r="L3978" s="1"/>
      <c r="O3978" s="475"/>
      <c r="P3978" s="475"/>
      <c r="Q3978" s="475"/>
      <c r="R3978" s="475"/>
      <c r="S3978" s="475"/>
      <c r="T3978" s="475"/>
      <c r="U3978" s="475"/>
      <c r="V3978" s="475"/>
      <c r="W3978" s="475"/>
    </row>
    <row r="3979" spans="2:23" s="97" customFormat="1">
      <c r="B3979" s="96"/>
      <c r="H3979" s="96"/>
      <c r="J3979" s="1"/>
      <c r="K3979" s="1"/>
      <c r="L3979" s="1"/>
      <c r="O3979" s="475"/>
      <c r="P3979" s="475"/>
      <c r="Q3979" s="475"/>
      <c r="R3979" s="475"/>
      <c r="S3979" s="475"/>
      <c r="T3979" s="475"/>
      <c r="U3979" s="475"/>
      <c r="V3979" s="475"/>
      <c r="W3979" s="475"/>
    </row>
    <row r="3980" spans="2:23" s="97" customFormat="1">
      <c r="B3980" s="96"/>
      <c r="H3980" s="96"/>
      <c r="J3980" s="1"/>
      <c r="K3980" s="1"/>
      <c r="L3980" s="1"/>
      <c r="O3980" s="475"/>
      <c r="P3980" s="475"/>
      <c r="Q3980" s="475"/>
      <c r="R3980" s="475"/>
      <c r="S3980" s="475"/>
      <c r="T3980" s="475"/>
      <c r="U3980" s="475"/>
      <c r="V3980" s="475"/>
      <c r="W3980" s="475"/>
    </row>
    <row r="3981" spans="2:23" s="97" customFormat="1">
      <c r="B3981" s="96"/>
      <c r="H3981" s="96"/>
      <c r="J3981" s="1"/>
      <c r="K3981" s="1"/>
      <c r="L3981" s="1"/>
      <c r="O3981" s="475"/>
      <c r="P3981" s="475"/>
      <c r="Q3981" s="475"/>
      <c r="R3981" s="475"/>
      <c r="S3981" s="475"/>
      <c r="T3981" s="475"/>
      <c r="U3981" s="475"/>
      <c r="V3981" s="475"/>
      <c r="W3981" s="475"/>
    </row>
    <row r="3982" spans="2:23" s="97" customFormat="1">
      <c r="B3982" s="96"/>
      <c r="H3982" s="96"/>
      <c r="J3982" s="1"/>
      <c r="K3982" s="1"/>
      <c r="L3982" s="1"/>
      <c r="O3982" s="475"/>
      <c r="P3982" s="475"/>
      <c r="Q3982" s="475"/>
      <c r="R3982" s="475"/>
      <c r="S3982" s="475"/>
      <c r="T3982" s="475"/>
      <c r="U3982" s="475"/>
      <c r="V3982" s="475"/>
      <c r="W3982" s="475"/>
    </row>
    <row r="3983" spans="2:23" s="97" customFormat="1">
      <c r="B3983" s="96"/>
      <c r="H3983" s="96"/>
      <c r="J3983" s="1"/>
      <c r="K3983" s="1"/>
      <c r="L3983" s="1"/>
      <c r="O3983" s="475"/>
      <c r="P3983" s="475"/>
      <c r="Q3983" s="475"/>
      <c r="R3983" s="475"/>
      <c r="S3983" s="475"/>
      <c r="T3983" s="475"/>
      <c r="U3983" s="475"/>
      <c r="V3983" s="475"/>
      <c r="W3983" s="475"/>
    </row>
    <row r="3984" spans="2:23" s="97" customFormat="1">
      <c r="B3984" s="96"/>
      <c r="H3984" s="96"/>
      <c r="J3984" s="1"/>
      <c r="K3984" s="1"/>
      <c r="L3984" s="1"/>
      <c r="O3984" s="475"/>
      <c r="P3984" s="475"/>
      <c r="Q3984" s="475"/>
      <c r="R3984" s="475"/>
      <c r="S3984" s="475"/>
      <c r="T3984" s="475"/>
      <c r="U3984" s="475"/>
      <c r="V3984" s="475"/>
      <c r="W3984" s="475"/>
    </row>
    <row r="3985" spans="2:23" s="97" customFormat="1">
      <c r="B3985" s="96"/>
      <c r="H3985" s="96"/>
      <c r="J3985" s="1"/>
      <c r="K3985" s="1"/>
      <c r="L3985" s="1"/>
      <c r="O3985" s="475"/>
      <c r="P3985" s="475"/>
      <c r="Q3985" s="475"/>
      <c r="R3985" s="475"/>
      <c r="S3985" s="475"/>
      <c r="T3985" s="475"/>
      <c r="U3985" s="475"/>
      <c r="V3985" s="475"/>
      <c r="W3985" s="475"/>
    </row>
    <row r="3986" spans="2:23" s="97" customFormat="1">
      <c r="B3986" s="96"/>
      <c r="H3986" s="96"/>
      <c r="J3986" s="1"/>
      <c r="K3986" s="1"/>
      <c r="L3986" s="1"/>
      <c r="O3986" s="475"/>
      <c r="P3986" s="475"/>
      <c r="Q3986" s="475"/>
      <c r="R3986" s="475"/>
      <c r="S3986" s="475"/>
      <c r="T3986" s="475"/>
      <c r="U3986" s="475"/>
      <c r="V3986" s="475"/>
      <c r="W3986" s="475"/>
    </row>
    <row r="3987" spans="2:23" s="97" customFormat="1">
      <c r="B3987" s="96"/>
      <c r="H3987" s="96"/>
      <c r="J3987" s="1"/>
      <c r="K3987" s="1"/>
      <c r="L3987" s="1"/>
      <c r="O3987" s="475"/>
      <c r="P3987" s="475"/>
      <c r="Q3987" s="475"/>
      <c r="R3987" s="475"/>
      <c r="S3987" s="475"/>
      <c r="T3987" s="475"/>
      <c r="U3987" s="475"/>
      <c r="V3987" s="475"/>
      <c r="W3987" s="475"/>
    </row>
    <row r="3988" spans="2:23" s="97" customFormat="1">
      <c r="B3988" s="96"/>
      <c r="H3988" s="96"/>
      <c r="J3988" s="1"/>
      <c r="K3988" s="1"/>
      <c r="L3988" s="1"/>
      <c r="O3988" s="475"/>
      <c r="P3988" s="475"/>
      <c r="Q3988" s="475"/>
      <c r="R3988" s="475"/>
      <c r="S3988" s="475"/>
      <c r="T3988" s="475"/>
      <c r="U3988" s="475"/>
      <c r="V3988" s="475"/>
      <c r="W3988" s="475"/>
    </row>
    <row r="3989" spans="2:23" s="97" customFormat="1">
      <c r="B3989" s="96"/>
      <c r="H3989" s="96"/>
      <c r="J3989" s="1"/>
      <c r="K3989" s="1"/>
      <c r="L3989" s="1"/>
      <c r="O3989" s="475"/>
      <c r="P3989" s="475"/>
      <c r="Q3989" s="475"/>
      <c r="R3989" s="475"/>
      <c r="S3989" s="475"/>
      <c r="T3989" s="475"/>
      <c r="U3989" s="475"/>
      <c r="V3989" s="475"/>
      <c r="W3989" s="475"/>
    </row>
    <row r="3990" spans="2:23" s="97" customFormat="1">
      <c r="B3990" s="96"/>
      <c r="H3990" s="96"/>
      <c r="J3990" s="1"/>
      <c r="K3990" s="1"/>
      <c r="L3990" s="1"/>
      <c r="O3990" s="475"/>
      <c r="P3990" s="475"/>
      <c r="Q3990" s="475"/>
      <c r="R3990" s="475"/>
      <c r="S3990" s="475"/>
      <c r="T3990" s="475"/>
      <c r="U3990" s="475"/>
      <c r="V3990" s="475"/>
      <c r="W3990" s="475"/>
    </row>
    <row r="3991" spans="2:23" s="97" customFormat="1">
      <c r="B3991" s="96"/>
      <c r="H3991" s="96"/>
      <c r="J3991" s="1"/>
      <c r="K3991" s="1"/>
      <c r="L3991" s="1"/>
      <c r="O3991" s="475"/>
      <c r="P3991" s="475"/>
      <c r="Q3991" s="475"/>
      <c r="R3991" s="475"/>
      <c r="S3991" s="475"/>
      <c r="T3991" s="475"/>
      <c r="U3991" s="475"/>
      <c r="V3991" s="475"/>
      <c r="W3991" s="475"/>
    </row>
    <row r="3992" spans="2:23" s="97" customFormat="1">
      <c r="B3992" s="96"/>
      <c r="H3992" s="96"/>
      <c r="J3992" s="1"/>
      <c r="K3992" s="1"/>
      <c r="L3992" s="1"/>
      <c r="O3992" s="475"/>
      <c r="P3992" s="475"/>
      <c r="Q3992" s="475"/>
      <c r="R3992" s="475"/>
      <c r="S3992" s="475"/>
      <c r="T3992" s="475"/>
      <c r="U3992" s="475"/>
      <c r="V3992" s="475"/>
      <c r="W3992" s="475"/>
    </row>
    <row r="3993" spans="2:23" s="97" customFormat="1">
      <c r="B3993" s="96"/>
      <c r="H3993" s="96"/>
      <c r="J3993" s="1"/>
      <c r="K3993" s="1"/>
      <c r="L3993" s="1"/>
      <c r="O3993" s="475"/>
      <c r="P3993" s="475"/>
      <c r="Q3993" s="475"/>
      <c r="R3993" s="475"/>
      <c r="S3993" s="475"/>
      <c r="T3993" s="475"/>
      <c r="U3993" s="475"/>
      <c r="V3993" s="475"/>
      <c r="W3993" s="475"/>
    </row>
    <row r="3994" spans="2:23" s="97" customFormat="1">
      <c r="B3994" s="96"/>
      <c r="H3994" s="96"/>
      <c r="J3994" s="1"/>
      <c r="K3994" s="1"/>
      <c r="L3994" s="1"/>
      <c r="O3994" s="475"/>
      <c r="P3994" s="475"/>
      <c r="Q3994" s="475"/>
      <c r="R3994" s="475"/>
      <c r="S3994" s="475"/>
      <c r="T3994" s="475"/>
      <c r="U3994" s="475"/>
      <c r="V3994" s="475"/>
      <c r="W3994" s="475"/>
    </row>
    <row r="3995" spans="2:23" s="97" customFormat="1">
      <c r="B3995" s="96"/>
      <c r="H3995" s="96"/>
      <c r="J3995" s="1"/>
      <c r="K3995" s="1"/>
      <c r="L3995" s="1"/>
      <c r="O3995" s="475"/>
      <c r="P3995" s="475"/>
      <c r="Q3995" s="475"/>
      <c r="R3995" s="475"/>
      <c r="S3995" s="475"/>
      <c r="T3995" s="475"/>
      <c r="U3995" s="475"/>
      <c r="V3995" s="475"/>
      <c r="W3995" s="475"/>
    </row>
    <row r="3996" spans="2:23" s="97" customFormat="1">
      <c r="B3996" s="96"/>
      <c r="H3996" s="96"/>
      <c r="J3996" s="1"/>
      <c r="K3996" s="1"/>
      <c r="L3996" s="1"/>
      <c r="O3996" s="475"/>
      <c r="P3996" s="475"/>
      <c r="Q3996" s="475"/>
      <c r="R3996" s="475"/>
      <c r="S3996" s="475"/>
      <c r="T3996" s="475"/>
      <c r="U3996" s="475"/>
      <c r="V3996" s="475"/>
      <c r="W3996" s="475"/>
    </row>
    <row r="3997" spans="2:23" s="97" customFormat="1">
      <c r="B3997" s="96"/>
      <c r="H3997" s="96"/>
      <c r="J3997" s="1"/>
      <c r="K3997" s="1"/>
      <c r="L3997" s="1"/>
      <c r="O3997" s="475"/>
      <c r="P3997" s="475"/>
      <c r="Q3997" s="475"/>
      <c r="R3997" s="475"/>
      <c r="S3997" s="475"/>
      <c r="T3997" s="475"/>
      <c r="U3997" s="475"/>
      <c r="V3997" s="475"/>
      <c r="W3997" s="475"/>
    </row>
    <row r="3998" spans="2:23" s="97" customFormat="1">
      <c r="B3998" s="96"/>
      <c r="H3998" s="96"/>
      <c r="J3998" s="1"/>
      <c r="K3998" s="1"/>
      <c r="L3998" s="1"/>
      <c r="O3998" s="475"/>
      <c r="P3998" s="475"/>
      <c r="Q3998" s="475"/>
      <c r="R3998" s="475"/>
      <c r="S3998" s="475"/>
      <c r="T3998" s="475"/>
      <c r="U3998" s="475"/>
      <c r="V3998" s="475"/>
      <c r="W3998" s="475"/>
    </row>
    <row r="3999" spans="2:23" s="97" customFormat="1">
      <c r="B3999" s="96"/>
      <c r="H3999" s="96"/>
      <c r="J3999" s="1"/>
      <c r="K3999" s="1"/>
      <c r="L3999" s="1"/>
      <c r="O3999" s="475"/>
      <c r="P3999" s="475"/>
      <c r="Q3999" s="475"/>
      <c r="R3999" s="475"/>
      <c r="S3999" s="475"/>
      <c r="T3999" s="475"/>
      <c r="U3999" s="475"/>
      <c r="V3999" s="475"/>
      <c r="W3999" s="475"/>
    </row>
    <row r="4000" spans="2:23" s="97" customFormat="1">
      <c r="B4000" s="96"/>
      <c r="H4000" s="96"/>
      <c r="J4000" s="1"/>
      <c r="K4000" s="1"/>
      <c r="L4000" s="1"/>
      <c r="O4000" s="475"/>
      <c r="P4000" s="475"/>
      <c r="Q4000" s="475"/>
      <c r="R4000" s="475"/>
      <c r="S4000" s="475"/>
      <c r="T4000" s="475"/>
      <c r="U4000" s="475"/>
      <c r="V4000" s="475"/>
      <c r="W4000" s="475"/>
    </row>
    <row r="4001" spans="2:23" s="97" customFormat="1">
      <c r="B4001" s="96"/>
      <c r="H4001" s="96"/>
      <c r="J4001" s="1"/>
      <c r="K4001" s="1"/>
      <c r="L4001" s="1"/>
      <c r="O4001" s="475"/>
      <c r="P4001" s="475"/>
      <c r="Q4001" s="475"/>
      <c r="R4001" s="475"/>
      <c r="S4001" s="475"/>
      <c r="T4001" s="475"/>
      <c r="U4001" s="475"/>
      <c r="V4001" s="475"/>
      <c r="W4001" s="475"/>
    </row>
    <row r="4002" spans="2:23" s="97" customFormat="1">
      <c r="B4002" s="96"/>
      <c r="H4002" s="96"/>
      <c r="J4002" s="1"/>
      <c r="K4002" s="1"/>
      <c r="L4002" s="1"/>
      <c r="O4002" s="475"/>
      <c r="P4002" s="475"/>
      <c r="Q4002" s="475"/>
      <c r="R4002" s="475"/>
      <c r="S4002" s="475"/>
      <c r="T4002" s="475"/>
      <c r="U4002" s="475"/>
      <c r="V4002" s="475"/>
      <c r="W4002" s="475"/>
    </row>
    <row r="4003" spans="2:23" s="97" customFormat="1">
      <c r="B4003" s="96"/>
      <c r="H4003" s="96"/>
      <c r="J4003" s="1"/>
      <c r="K4003" s="1"/>
      <c r="L4003" s="1"/>
      <c r="O4003" s="475"/>
      <c r="P4003" s="475"/>
      <c r="Q4003" s="475"/>
      <c r="R4003" s="475"/>
      <c r="S4003" s="475"/>
      <c r="T4003" s="475"/>
      <c r="U4003" s="475"/>
      <c r="V4003" s="475"/>
      <c r="W4003" s="475"/>
    </row>
    <row r="4004" spans="2:23" s="97" customFormat="1">
      <c r="B4004" s="96"/>
      <c r="H4004" s="96"/>
      <c r="J4004" s="1"/>
      <c r="K4004" s="1"/>
      <c r="L4004" s="1"/>
      <c r="O4004" s="475"/>
      <c r="P4004" s="475"/>
      <c r="Q4004" s="475"/>
      <c r="R4004" s="475"/>
      <c r="S4004" s="475"/>
      <c r="T4004" s="475"/>
      <c r="U4004" s="475"/>
      <c r="V4004" s="475"/>
      <c r="W4004" s="475"/>
    </row>
    <row r="4005" spans="2:23" s="97" customFormat="1">
      <c r="B4005" s="96"/>
      <c r="H4005" s="96"/>
      <c r="J4005" s="1"/>
      <c r="K4005" s="1"/>
      <c r="L4005" s="1"/>
      <c r="O4005" s="475"/>
      <c r="P4005" s="475"/>
      <c r="Q4005" s="475"/>
      <c r="R4005" s="475"/>
      <c r="S4005" s="475"/>
      <c r="T4005" s="475"/>
      <c r="U4005" s="475"/>
      <c r="V4005" s="475"/>
      <c r="W4005" s="475"/>
    </row>
    <row r="4006" spans="2:23" s="97" customFormat="1">
      <c r="B4006" s="96"/>
      <c r="H4006" s="96"/>
      <c r="J4006" s="1"/>
      <c r="K4006" s="1"/>
      <c r="L4006" s="1"/>
      <c r="O4006" s="475"/>
      <c r="P4006" s="475"/>
      <c r="Q4006" s="475"/>
      <c r="R4006" s="475"/>
      <c r="S4006" s="475"/>
      <c r="T4006" s="475"/>
      <c r="U4006" s="475"/>
      <c r="V4006" s="475"/>
      <c r="W4006" s="475"/>
    </row>
    <row r="4007" spans="2:23" s="97" customFormat="1">
      <c r="B4007" s="96"/>
      <c r="H4007" s="96"/>
      <c r="J4007" s="1"/>
      <c r="K4007" s="1"/>
      <c r="L4007" s="1"/>
      <c r="O4007" s="475"/>
      <c r="P4007" s="475"/>
      <c r="Q4007" s="475"/>
      <c r="R4007" s="475"/>
      <c r="S4007" s="475"/>
      <c r="T4007" s="475"/>
      <c r="U4007" s="475"/>
      <c r="V4007" s="475"/>
      <c r="W4007" s="475"/>
    </row>
    <row r="4008" spans="2:23" s="97" customFormat="1">
      <c r="B4008" s="96"/>
      <c r="H4008" s="96"/>
      <c r="J4008" s="1"/>
      <c r="K4008" s="1"/>
      <c r="L4008" s="1"/>
      <c r="O4008" s="475"/>
      <c r="P4008" s="475"/>
      <c r="Q4008" s="475"/>
      <c r="R4008" s="475"/>
      <c r="S4008" s="475"/>
      <c r="T4008" s="475"/>
      <c r="U4008" s="475"/>
      <c r="V4008" s="475"/>
      <c r="W4008" s="475"/>
    </row>
    <row r="4009" spans="2:23" s="97" customFormat="1">
      <c r="B4009" s="96"/>
      <c r="H4009" s="96"/>
      <c r="J4009" s="1"/>
      <c r="K4009" s="1"/>
      <c r="L4009" s="1"/>
      <c r="O4009" s="475"/>
      <c r="P4009" s="475"/>
      <c r="Q4009" s="475"/>
      <c r="R4009" s="475"/>
      <c r="S4009" s="475"/>
      <c r="T4009" s="475"/>
      <c r="U4009" s="475"/>
      <c r="V4009" s="475"/>
      <c r="W4009" s="475"/>
    </row>
    <row r="4010" spans="2:23" s="97" customFormat="1">
      <c r="B4010" s="96"/>
      <c r="H4010" s="96"/>
      <c r="J4010" s="1"/>
      <c r="K4010" s="1"/>
      <c r="L4010" s="1"/>
      <c r="O4010" s="475"/>
      <c r="P4010" s="475"/>
      <c r="Q4010" s="475"/>
      <c r="R4010" s="475"/>
      <c r="S4010" s="475"/>
      <c r="T4010" s="475"/>
      <c r="U4010" s="475"/>
      <c r="V4010" s="475"/>
      <c r="W4010" s="475"/>
    </row>
    <row r="4011" spans="2:23" s="97" customFormat="1">
      <c r="B4011" s="96"/>
      <c r="H4011" s="96"/>
      <c r="J4011" s="1"/>
      <c r="K4011" s="1"/>
      <c r="L4011" s="1"/>
      <c r="O4011" s="475"/>
      <c r="P4011" s="475"/>
      <c r="Q4011" s="475"/>
      <c r="R4011" s="475"/>
      <c r="S4011" s="475"/>
      <c r="T4011" s="475"/>
      <c r="U4011" s="475"/>
      <c r="V4011" s="475"/>
      <c r="W4011" s="475"/>
    </row>
    <row r="4012" spans="2:23" s="97" customFormat="1">
      <c r="B4012" s="96"/>
      <c r="H4012" s="96"/>
      <c r="J4012" s="1"/>
      <c r="K4012" s="1"/>
      <c r="L4012" s="1"/>
      <c r="O4012" s="475"/>
      <c r="P4012" s="475"/>
      <c r="Q4012" s="475"/>
      <c r="R4012" s="475"/>
      <c r="S4012" s="475"/>
      <c r="T4012" s="475"/>
      <c r="U4012" s="475"/>
      <c r="V4012" s="475"/>
      <c r="W4012" s="475"/>
    </row>
    <row r="4013" spans="2:23" s="97" customFormat="1">
      <c r="B4013" s="96"/>
      <c r="H4013" s="96"/>
      <c r="J4013" s="1"/>
      <c r="K4013" s="1"/>
      <c r="L4013" s="1"/>
      <c r="O4013" s="475"/>
      <c r="P4013" s="475"/>
      <c r="Q4013" s="475"/>
      <c r="R4013" s="475"/>
      <c r="S4013" s="475"/>
      <c r="T4013" s="475"/>
      <c r="U4013" s="475"/>
      <c r="V4013" s="475"/>
      <c r="W4013" s="475"/>
    </row>
    <row r="4014" spans="2:23" s="97" customFormat="1">
      <c r="B4014" s="96"/>
      <c r="H4014" s="96"/>
      <c r="J4014" s="1"/>
      <c r="K4014" s="1"/>
      <c r="L4014" s="1"/>
      <c r="O4014" s="475"/>
      <c r="P4014" s="475"/>
      <c r="Q4014" s="475"/>
      <c r="R4014" s="475"/>
      <c r="S4014" s="475"/>
      <c r="T4014" s="475"/>
      <c r="U4014" s="475"/>
      <c r="V4014" s="475"/>
      <c r="W4014" s="475"/>
    </row>
    <row r="4015" spans="2:23" s="97" customFormat="1">
      <c r="B4015" s="96"/>
      <c r="H4015" s="96"/>
      <c r="J4015" s="1"/>
      <c r="K4015" s="1"/>
      <c r="L4015" s="1"/>
      <c r="O4015" s="475"/>
      <c r="P4015" s="475"/>
      <c r="Q4015" s="475"/>
      <c r="R4015" s="475"/>
      <c r="S4015" s="475"/>
      <c r="T4015" s="475"/>
      <c r="U4015" s="475"/>
      <c r="V4015" s="475"/>
      <c r="W4015" s="475"/>
    </row>
    <row r="4016" spans="2:23" s="97" customFormat="1">
      <c r="B4016" s="96"/>
      <c r="H4016" s="96"/>
      <c r="J4016" s="1"/>
      <c r="K4016" s="1"/>
      <c r="L4016" s="1"/>
      <c r="O4016" s="475"/>
      <c r="P4016" s="475"/>
      <c r="Q4016" s="475"/>
      <c r="R4016" s="475"/>
      <c r="S4016" s="475"/>
      <c r="T4016" s="475"/>
      <c r="U4016" s="475"/>
      <c r="V4016" s="475"/>
      <c r="W4016" s="475"/>
    </row>
    <row r="4017" spans="2:23" s="97" customFormat="1">
      <c r="B4017" s="96"/>
      <c r="H4017" s="96"/>
      <c r="J4017" s="1"/>
      <c r="K4017" s="1"/>
      <c r="L4017" s="1"/>
      <c r="O4017" s="475"/>
      <c r="P4017" s="475"/>
      <c r="Q4017" s="475"/>
      <c r="R4017" s="475"/>
      <c r="S4017" s="475"/>
      <c r="T4017" s="475"/>
      <c r="U4017" s="475"/>
      <c r="V4017" s="475"/>
      <c r="W4017" s="475"/>
    </row>
    <row r="4018" spans="2:23" s="97" customFormat="1">
      <c r="B4018" s="96"/>
      <c r="H4018" s="96"/>
      <c r="J4018" s="1"/>
      <c r="K4018" s="1"/>
      <c r="L4018" s="1"/>
      <c r="O4018" s="475"/>
      <c r="P4018" s="475"/>
      <c r="Q4018" s="475"/>
      <c r="R4018" s="475"/>
      <c r="S4018" s="475"/>
      <c r="T4018" s="475"/>
      <c r="U4018" s="475"/>
      <c r="V4018" s="475"/>
      <c r="W4018" s="475"/>
    </row>
    <row r="4019" spans="2:23" s="97" customFormat="1">
      <c r="B4019" s="96"/>
      <c r="H4019" s="96"/>
      <c r="J4019" s="1"/>
      <c r="K4019" s="1"/>
      <c r="L4019" s="1"/>
      <c r="O4019" s="475"/>
      <c r="P4019" s="475"/>
      <c r="Q4019" s="475"/>
      <c r="R4019" s="475"/>
      <c r="S4019" s="475"/>
      <c r="T4019" s="475"/>
      <c r="U4019" s="475"/>
      <c r="V4019" s="475"/>
      <c r="W4019" s="475"/>
    </row>
    <row r="4020" spans="2:23" s="97" customFormat="1">
      <c r="B4020" s="96"/>
      <c r="H4020" s="96"/>
      <c r="J4020" s="1"/>
      <c r="K4020" s="1"/>
      <c r="L4020" s="1"/>
      <c r="O4020" s="475"/>
      <c r="P4020" s="475"/>
      <c r="Q4020" s="475"/>
      <c r="R4020" s="475"/>
      <c r="S4020" s="475"/>
      <c r="T4020" s="475"/>
      <c r="U4020" s="475"/>
      <c r="V4020" s="475"/>
      <c r="W4020" s="475"/>
    </row>
    <row r="4021" spans="2:23" s="97" customFormat="1">
      <c r="B4021" s="96"/>
      <c r="H4021" s="96"/>
      <c r="J4021" s="1"/>
      <c r="K4021" s="1"/>
      <c r="L4021" s="1"/>
      <c r="O4021" s="475"/>
      <c r="P4021" s="475"/>
      <c r="Q4021" s="475"/>
      <c r="R4021" s="475"/>
      <c r="S4021" s="475"/>
      <c r="T4021" s="475"/>
      <c r="U4021" s="475"/>
      <c r="V4021" s="475"/>
      <c r="W4021" s="475"/>
    </row>
    <row r="4022" spans="2:23" s="97" customFormat="1">
      <c r="B4022" s="96"/>
      <c r="H4022" s="96"/>
      <c r="J4022" s="1"/>
      <c r="K4022" s="1"/>
      <c r="L4022" s="1"/>
      <c r="O4022" s="475"/>
      <c r="P4022" s="475"/>
      <c r="Q4022" s="475"/>
      <c r="R4022" s="475"/>
      <c r="S4022" s="475"/>
      <c r="T4022" s="475"/>
      <c r="U4022" s="475"/>
      <c r="V4022" s="475"/>
      <c r="W4022" s="475"/>
    </row>
    <row r="4023" spans="2:23" s="97" customFormat="1">
      <c r="B4023" s="96"/>
      <c r="H4023" s="96"/>
      <c r="J4023" s="1"/>
      <c r="K4023" s="1"/>
      <c r="L4023" s="1"/>
      <c r="O4023" s="475"/>
      <c r="P4023" s="475"/>
      <c r="Q4023" s="475"/>
      <c r="R4023" s="475"/>
      <c r="S4023" s="475"/>
      <c r="T4023" s="475"/>
      <c r="U4023" s="475"/>
      <c r="V4023" s="475"/>
      <c r="W4023" s="475"/>
    </row>
    <row r="4024" spans="2:23" s="97" customFormat="1">
      <c r="B4024" s="96"/>
      <c r="H4024" s="96"/>
      <c r="J4024" s="1"/>
      <c r="K4024" s="1"/>
      <c r="L4024" s="1"/>
      <c r="O4024" s="475"/>
      <c r="P4024" s="475"/>
      <c r="Q4024" s="475"/>
      <c r="R4024" s="475"/>
      <c r="S4024" s="475"/>
      <c r="T4024" s="475"/>
      <c r="U4024" s="475"/>
      <c r="V4024" s="475"/>
      <c r="W4024" s="475"/>
    </row>
    <row r="4025" spans="2:23" s="97" customFormat="1">
      <c r="B4025" s="96"/>
      <c r="H4025" s="96"/>
      <c r="J4025" s="1"/>
      <c r="K4025" s="1"/>
      <c r="L4025" s="1"/>
      <c r="O4025" s="475"/>
      <c r="P4025" s="475"/>
      <c r="Q4025" s="475"/>
      <c r="R4025" s="475"/>
      <c r="S4025" s="475"/>
      <c r="T4025" s="475"/>
      <c r="U4025" s="475"/>
      <c r="V4025" s="475"/>
      <c r="W4025" s="475"/>
    </row>
    <row r="4026" spans="2:23" s="97" customFormat="1">
      <c r="B4026" s="96"/>
      <c r="H4026" s="96"/>
      <c r="J4026" s="1"/>
      <c r="K4026" s="1"/>
      <c r="L4026" s="1"/>
      <c r="O4026" s="475"/>
      <c r="P4026" s="475"/>
      <c r="Q4026" s="475"/>
      <c r="R4026" s="475"/>
      <c r="S4026" s="475"/>
      <c r="T4026" s="475"/>
      <c r="U4026" s="475"/>
      <c r="V4026" s="475"/>
      <c r="W4026" s="475"/>
    </row>
    <row r="4027" spans="2:23" s="97" customFormat="1">
      <c r="B4027" s="96"/>
      <c r="H4027" s="96"/>
      <c r="J4027" s="1"/>
      <c r="K4027" s="1"/>
      <c r="L4027" s="1"/>
      <c r="O4027" s="475"/>
      <c r="P4027" s="475"/>
      <c r="Q4027" s="475"/>
      <c r="R4027" s="475"/>
      <c r="S4027" s="475"/>
      <c r="T4027" s="475"/>
      <c r="U4027" s="475"/>
      <c r="V4027" s="475"/>
      <c r="W4027" s="475"/>
    </row>
    <row r="4028" spans="2:23" s="97" customFormat="1">
      <c r="B4028" s="96"/>
      <c r="H4028" s="96"/>
      <c r="J4028" s="1"/>
      <c r="K4028" s="1"/>
      <c r="L4028" s="1"/>
      <c r="O4028" s="475"/>
      <c r="P4028" s="475"/>
      <c r="Q4028" s="475"/>
      <c r="R4028" s="475"/>
      <c r="S4028" s="475"/>
      <c r="T4028" s="475"/>
      <c r="U4028" s="475"/>
      <c r="V4028" s="475"/>
      <c r="W4028" s="475"/>
    </row>
    <row r="4029" spans="2:23" s="97" customFormat="1">
      <c r="B4029" s="96"/>
      <c r="H4029" s="96"/>
      <c r="J4029" s="1"/>
      <c r="K4029" s="1"/>
      <c r="L4029" s="1"/>
      <c r="O4029" s="475"/>
      <c r="P4029" s="475"/>
      <c r="Q4029" s="475"/>
      <c r="R4029" s="475"/>
      <c r="S4029" s="475"/>
      <c r="T4029" s="475"/>
      <c r="U4029" s="475"/>
      <c r="V4029" s="475"/>
      <c r="W4029" s="475"/>
    </row>
    <row r="4030" spans="2:23" s="97" customFormat="1">
      <c r="B4030" s="96"/>
      <c r="H4030" s="96"/>
      <c r="J4030" s="1"/>
      <c r="K4030" s="1"/>
      <c r="L4030" s="1"/>
      <c r="O4030" s="475"/>
      <c r="P4030" s="475"/>
      <c r="Q4030" s="475"/>
      <c r="R4030" s="475"/>
      <c r="S4030" s="475"/>
      <c r="T4030" s="475"/>
      <c r="U4030" s="475"/>
      <c r="V4030" s="475"/>
      <c r="W4030" s="475"/>
    </row>
    <row r="4031" spans="2:23" s="97" customFormat="1">
      <c r="B4031" s="96"/>
      <c r="H4031" s="96"/>
      <c r="J4031" s="1"/>
      <c r="K4031" s="1"/>
      <c r="L4031" s="1"/>
      <c r="O4031" s="475"/>
      <c r="P4031" s="475"/>
      <c r="Q4031" s="475"/>
      <c r="R4031" s="475"/>
      <c r="S4031" s="475"/>
      <c r="T4031" s="475"/>
      <c r="U4031" s="475"/>
      <c r="V4031" s="475"/>
      <c r="W4031" s="475"/>
    </row>
    <row r="4032" spans="2:23" s="97" customFormat="1">
      <c r="B4032" s="96"/>
      <c r="H4032" s="96"/>
      <c r="J4032" s="1"/>
      <c r="K4032" s="1"/>
      <c r="L4032" s="1"/>
      <c r="O4032" s="475"/>
      <c r="P4032" s="475"/>
      <c r="Q4032" s="475"/>
      <c r="R4032" s="475"/>
      <c r="S4032" s="475"/>
      <c r="T4032" s="475"/>
      <c r="U4032" s="475"/>
      <c r="V4032" s="475"/>
      <c r="W4032" s="475"/>
    </row>
    <row r="4033" spans="2:23" s="97" customFormat="1">
      <c r="B4033" s="96"/>
      <c r="H4033" s="96"/>
      <c r="J4033" s="1"/>
      <c r="K4033" s="1"/>
      <c r="L4033" s="1"/>
      <c r="O4033" s="475"/>
      <c r="P4033" s="475"/>
      <c r="Q4033" s="475"/>
      <c r="R4033" s="475"/>
      <c r="S4033" s="475"/>
      <c r="T4033" s="475"/>
      <c r="U4033" s="475"/>
      <c r="V4033" s="475"/>
      <c r="W4033" s="475"/>
    </row>
    <row r="4034" spans="2:23" s="97" customFormat="1">
      <c r="B4034" s="96"/>
      <c r="H4034" s="96"/>
      <c r="J4034" s="1"/>
      <c r="K4034" s="1"/>
      <c r="L4034" s="1"/>
      <c r="O4034" s="475"/>
      <c r="P4034" s="475"/>
      <c r="Q4034" s="475"/>
      <c r="R4034" s="475"/>
      <c r="S4034" s="475"/>
      <c r="T4034" s="475"/>
      <c r="U4034" s="475"/>
      <c r="V4034" s="475"/>
      <c r="W4034" s="475"/>
    </row>
    <row r="4035" spans="2:23" s="97" customFormat="1">
      <c r="B4035" s="96"/>
      <c r="H4035" s="96"/>
      <c r="J4035" s="1"/>
      <c r="K4035" s="1"/>
      <c r="L4035" s="1"/>
      <c r="O4035" s="475"/>
      <c r="P4035" s="475"/>
      <c r="Q4035" s="475"/>
      <c r="R4035" s="475"/>
      <c r="S4035" s="475"/>
      <c r="T4035" s="475"/>
      <c r="U4035" s="475"/>
      <c r="V4035" s="475"/>
      <c r="W4035" s="475"/>
    </row>
    <row r="4036" spans="2:23" s="97" customFormat="1">
      <c r="B4036" s="96"/>
      <c r="H4036" s="96"/>
      <c r="J4036" s="1"/>
      <c r="K4036" s="1"/>
      <c r="L4036" s="1"/>
      <c r="O4036" s="475"/>
      <c r="P4036" s="475"/>
      <c r="Q4036" s="475"/>
      <c r="R4036" s="475"/>
      <c r="S4036" s="475"/>
      <c r="T4036" s="475"/>
      <c r="U4036" s="475"/>
      <c r="V4036" s="475"/>
      <c r="W4036" s="475"/>
    </row>
    <row r="4037" spans="2:23" s="97" customFormat="1">
      <c r="B4037" s="96"/>
      <c r="H4037" s="96"/>
      <c r="J4037" s="1"/>
      <c r="K4037" s="1"/>
      <c r="L4037" s="1"/>
      <c r="O4037" s="475"/>
      <c r="P4037" s="475"/>
      <c r="Q4037" s="475"/>
      <c r="R4037" s="475"/>
      <c r="S4037" s="475"/>
      <c r="T4037" s="475"/>
      <c r="U4037" s="475"/>
      <c r="V4037" s="475"/>
      <c r="W4037" s="475"/>
    </row>
    <row r="4038" spans="2:23" s="97" customFormat="1">
      <c r="B4038" s="96"/>
      <c r="H4038" s="96"/>
      <c r="J4038" s="1"/>
      <c r="K4038" s="1"/>
      <c r="L4038" s="1"/>
      <c r="O4038" s="475"/>
      <c r="P4038" s="475"/>
      <c r="Q4038" s="475"/>
      <c r="R4038" s="475"/>
      <c r="S4038" s="475"/>
      <c r="T4038" s="475"/>
      <c r="U4038" s="475"/>
      <c r="V4038" s="475"/>
      <c r="W4038" s="475"/>
    </row>
    <row r="4039" spans="2:23" s="97" customFormat="1">
      <c r="B4039" s="96"/>
      <c r="H4039" s="96"/>
      <c r="J4039" s="1"/>
      <c r="K4039" s="1"/>
      <c r="L4039" s="1"/>
      <c r="O4039" s="475"/>
      <c r="P4039" s="475"/>
      <c r="Q4039" s="475"/>
      <c r="R4039" s="475"/>
      <c r="S4039" s="475"/>
      <c r="T4039" s="475"/>
      <c r="U4039" s="475"/>
      <c r="V4039" s="475"/>
      <c r="W4039" s="475"/>
    </row>
    <row r="4040" spans="2:23" s="97" customFormat="1">
      <c r="B4040" s="96"/>
      <c r="H4040" s="96"/>
      <c r="J4040" s="1"/>
      <c r="K4040" s="1"/>
      <c r="L4040" s="1"/>
      <c r="O4040" s="475"/>
      <c r="P4040" s="475"/>
      <c r="Q4040" s="475"/>
      <c r="R4040" s="475"/>
      <c r="S4040" s="475"/>
      <c r="T4040" s="475"/>
      <c r="U4040" s="475"/>
      <c r="V4040" s="475"/>
      <c r="W4040" s="475"/>
    </row>
    <row r="4041" spans="2:23" s="97" customFormat="1">
      <c r="B4041" s="96"/>
      <c r="H4041" s="96"/>
      <c r="J4041" s="1"/>
      <c r="K4041" s="1"/>
      <c r="L4041" s="1"/>
      <c r="O4041" s="475"/>
      <c r="P4041" s="475"/>
      <c r="Q4041" s="475"/>
      <c r="R4041" s="475"/>
      <c r="S4041" s="475"/>
      <c r="T4041" s="475"/>
      <c r="U4041" s="475"/>
      <c r="V4041" s="475"/>
      <c r="W4041" s="475"/>
    </row>
    <row r="4042" spans="2:23" s="97" customFormat="1">
      <c r="B4042" s="96"/>
      <c r="H4042" s="96"/>
      <c r="J4042" s="1"/>
      <c r="K4042" s="1"/>
      <c r="L4042" s="1"/>
      <c r="O4042" s="475"/>
      <c r="P4042" s="475"/>
      <c r="Q4042" s="475"/>
      <c r="R4042" s="475"/>
      <c r="S4042" s="475"/>
      <c r="T4042" s="475"/>
      <c r="U4042" s="475"/>
      <c r="V4042" s="475"/>
      <c r="W4042" s="475"/>
    </row>
    <row r="4043" spans="2:23" s="97" customFormat="1">
      <c r="B4043" s="96"/>
      <c r="H4043" s="96"/>
      <c r="J4043" s="1"/>
      <c r="K4043" s="1"/>
      <c r="L4043" s="1"/>
      <c r="O4043" s="475"/>
      <c r="P4043" s="475"/>
      <c r="Q4043" s="475"/>
      <c r="R4043" s="475"/>
      <c r="S4043" s="475"/>
      <c r="T4043" s="475"/>
      <c r="U4043" s="475"/>
      <c r="V4043" s="475"/>
      <c r="W4043" s="475"/>
    </row>
    <row r="4044" spans="2:23" s="97" customFormat="1">
      <c r="B4044" s="96"/>
      <c r="H4044" s="96"/>
      <c r="J4044" s="1"/>
      <c r="K4044" s="1"/>
      <c r="L4044" s="1"/>
      <c r="O4044" s="475"/>
      <c r="P4044" s="475"/>
      <c r="Q4044" s="475"/>
      <c r="R4044" s="475"/>
      <c r="S4044" s="475"/>
      <c r="T4044" s="475"/>
      <c r="U4044" s="475"/>
      <c r="V4044" s="475"/>
      <c r="W4044" s="475"/>
    </row>
    <row r="4045" spans="2:23" s="97" customFormat="1">
      <c r="B4045" s="96"/>
      <c r="H4045" s="96"/>
      <c r="J4045" s="1"/>
      <c r="K4045" s="1"/>
      <c r="L4045" s="1"/>
      <c r="O4045" s="475"/>
      <c r="P4045" s="475"/>
      <c r="Q4045" s="475"/>
      <c r="R4045" s="475"/>
      <c r="S4045" s="475"/>
      <c r="T4045" s="475"/>
      <c r="U4045" s="475"/>
      <c r="V4045" s="475"/>
      <c r="W4045" s="475"/>
    </row>
    <row r="4046" spans="2:23" s="97" customFormat="1">
      <c r="B4046" s="96"/>
      <c r="H4046" s="96"/>
      <c r="J4046" s="1"/>
      <c r="K4046" s="1"/>
      <c r="L4046" s="1"/>
      <c r="O4046" s="475"/>
      <c r="P4046" s="475"/>
      <c r="Q4046" s="475"/>
      <c r="R4046" s="475"/>
      <c r="S4046" s="475"/>
      <c r="T4046" s="475"/>
      <c r="U4046" s="475"/>
      <c r="V4046" s="475"/>
      <c r="W4046" s="475"/>
    </row>
    <row r="4047" spans="2:23" s="97" customFormat="1">
      <c r="B4047" s="96"/>
      <c r="H4047" s="96"/>
      <c r="J4047" s="1"/>
      <c r="K4047" s="1"/>
      <c r="L4047" s="1"/>
      <c r="O4047" s="475"/>
      <c r="P4047" s="475"/>
      <c r="Q4047" s="475"/>
      <c r="R4047" s="475"/>
      <c r="S4047" s="475"/>
      <c r="T4047" s="475"/>
      <c r="U4047" s="475"/>
      <c r="V4047" s="475"/>
      <c r="W4047" s="475"/>
    </row>
    <row r="4048" spans="2:23" s="97" customFormat="1">
      <c r="B4048" s="96"/>
      <c r="H4048" s="96"/>
      <c r="J4048" s="1"/>
      <c r="K4048" s="1"/>
      <c r="L4048" s="1"/>
      <c r="O4048" s="475"/>
      <c r="P4048" s="475"/>
      <c r="Q4048" s="475"/>
      <c r="R4048" s="475"/>
      <c r="S4048" s="475"/>
      <c r="T4048" s="475"/>
      <c r="U4048" s="475"/>
      <c r="V4048" s="475"/>
      <c r="W4048" s="475"/>
    </row>
    <row r="4049" spans="2:23" s="97" customFormat="1">
      <c r="B4049" s="96"/>
      <c r="H4049" s="96"/>
      <c r="J4049" s="1"/>
      <c r="K4049" s="1"/>
      <c r="L4049" s="1"/>
      <c r="O4049" s="475"/>
      <c r="P4049" s="475"/>
      <c r="Q4049" s="475"/>
      <c r="R4049" s="475"/>
      <c r="S4049" s="475"/>
      <c r="T4049" s="475"/>
      <c r="U4049" s="475"/>
      <c r="V4049" s="475"/>
      <c r="W4049" s="475"/>
    </row>
    <row r="4050" spans="2:23" s="97" customFormat="1">
      <c r="B4050" s="96"/>
      <c r="H4050" s="96"/>
      <c r="J4050" s="1"/>
      <c r="K4050" s="1"/>
      <c r="L4050" s="1"/>
      <c r="O4050" s="475"/>
      <c r="P4050" s="475"/>
      <c r="Q4050" s="475"/>
      <c r="R4050" s="475"/>
      <c r="S4050" s="475"/>
      <c r="T4050" s="475"/>
      <c r="U4050" s="475"/>
      <c r="V4050" s="475"/>
      <c r="W4050" s="475"/>
    </row>
    <row r="4051" spans="2:23" s="97" customFormat="1">
      <c r="B4051" s="96"/>
      <c r="H4051" s="96"/>
      <c r="J4051" s="1"/>
      <c r="K4051" s="1"/>
      <c r="L4051" s="1"/>
      <c r="O4051" s="475"/>
      <c r="P4051" s="475"/>
      <c r="Q4051" s="475"/>
      <c r="R4051" s="475"/>
      <c r="S4051" s="475"/>
      <c r="T4051" s="475"/>
      <c r="U4051" s="475"/>
      <c r="V4051" s="475"/>
      <c r="W4051" s="475"/>
    </row>
    <row r="4052" spans="2:23" s="97" customFormat="1">
      <c r="B4052" s="96"/>
      <c r="H4052" s="96"/>
      <c r="J4052" s="1"/>
      <c r="K4052" s="1"/>
      <c r="L4052" s="1"/>
      <c r="O4052" s="475"/>
      <c r="P4052" s="475"/>
      <c r="Q4052" s="475"/>
      <c r="R4052" s="475"/>
      <c r="S4052" s="475"/>
      <c r="T4052" s="475"/>
      <c r="U4052" s="475"/>
      <c r="V4052" s="475"/>
      <c r="W4052" s="475"/>
    </row>
    <row r="4053" spans="2:23" s="97" customFormat="1">
      <c r="B4053" s="96"/>
      <c r="H4053" s="96"/>
      <c r="J4053" s="1"/>
      <c r="K4053" s="1"/>
      <c r="L4053" s="1"/>
      <c r="O4053" s="475"/>
      <c r="P4053" s="475"/>
      <c r="Q4053" s="475"/>
      <c r="R4053" s="475"/>
      <c r="S4053" s="475"/>
      <c r="T4053" s="475"/>
      <c r="U4053" s="475"/>
      <c r="V4053" s="475"/>
      <c r="W4053" s="475"/>
    </row>
    <row r="4054" spans="2:23" s="97" customFormat="1">
      <c r="B4054" s="96"/>
      <c r="H4054" s="96"/>
      <c r="J4054" s="1"/>
      <c r="K4054" s="1"/>
      <c r="L4054" s="1"/>
      <c r="O4054" s="475"/>
      <c r="P4054" s="475"/>
      <c r="Q4054" s="475"/>
      <c r="R4054" s="475"/>
      <c r="S4054" s="475"/>
      <c r="T4054" s="475"/>
      <c r="U4054" s="475"/>
      <c r="V4054" s="475"/>
      <c r="W4054" s="475"/>
    </row>
    <row r="4055" spans="2:23" s="97" customFormat="1">
      <c r="B4055" s="96"/>
      <c r="H4055" s="96"/>
      <c r="J4055" s="1"/>
      <c r="K4055" s="1"/>
      <c r="L4055" s="1"/>
      <c r="O4055" s="475"/>
      <c r="P4055" s="475"/>
      <c r="Q4055" s="475"/>
      <c r="R4055" s="475"/>
      <c r="S4055" s="475"/>
      <c r="T4055" s="475"/>
      <c r="U4055" s="475"/>
      <c r="V4055" s="475"/>
      <c r="W4055" s="475"/>
    </row>
    <row r="4056" spans="2:23" s="97" customFormat="1">
      <c r="B4056" s="96"/>
      <c r="H4056" s="96"/>
      <c r="J4056" s="1"/>
      <c r="K4056" s="1"/>
      <c r="L4056" s="1"/>
      <c r="O4056" s="475"/>
      <c r="P4056" s="475"/>
      <c r="Q4056" s="475"/>
      <c r="R4056" s="475"/>
      <c r="S4056" s="475"/>
      <c r="T4056" s="475"/>
      <c r="U4056" s="475"/>
      <c r="V4056" s="475"/>
      <c r="W4056" s="475"/>
    </row>
    <row r="4057" spans="2:23" s="97" customFormat="1">
      <c r="B4057" s="96"/>
      <c r="H4057" s="96"/>
      <c r="J4057" s="1"/>
      <c r="K4057" s="1"/>
      <c r="L4057" s="1"/>
      <c r="O4057" s="475"/>
      <c r="P4057" s="475"/>
      <c r="Q4057" s="475"/>
      <c r="R4057" s="475"/>
      <c r="S4057" s="475"/>
      <c r="T4057" s="475"/>
      <c r="U4057" s="475"/>
      <c r="V4057" s="475"/>
      <c r="W4057" s="475"/>
    </row>
    <row r="4058" spans="2:23" s="97" customFormat="1">
      <c r="B4058" s="96"/>
      <c r="H4058" s="96"/>
      <c r="J4058" s="1"/>
      <c r="K4058" s="1"/>
      <c r="L4058" s="1"/>
      <c r="O4058" s="475"/>
      <c r="P4058" s="475"/>
      <c r="Q4058" s="475"/>
      <c r="R4058" s="475"/>
      <c r="S4058" s="475"/>
      <c r="T4058" s="475"/>
      <c r="U4058" s="475"/>
      <c r="V4058" s="475"/>
      <c r="W4058" s="475"/>
    </row>
    <row r="4059" spans="2:23" s="97" customFormat="1">
      <c r="B4059" s="96"/>
      <c r="H4059" s="96"/>
      <c r="J4059" s="1"/>
      <c r="K4059" s="1"/>
      <c r="L4059" s="1"/>
      <c r="O4059" s="475"/>
      <c r="P4059" s="475"/>
      <c r="Q4059" s="475"/>
      <c r="R4059" s="475"/>
      <c r="S4059" s="475"/>
      <c r="T4059" s="475"/>
      <c r="U4059" s="475"/>
      <c r="V4059" s="475"/>
      <c r="W4059" s="475"/>
    </row>
    <row r="4060" spans="2:23" s="97" customFormat="1">
      <c r="B4060" s="96"/>
      <c r="H4060" s="96"/>
      <c r="J4060" s="1"/>
      <c r="K4060" s="1"/>
      <c r="L4060" s="1"/>
      <c r="O4060" s="475"/>
      <c r="P4060" s="475"/>
      <c r="Q4060" s="475"/>
      <c r="R4060" s="475"/>
      <c r="S4060" s="475"/>
      <c r="T4060" s="475"/>
      <c r="U4060" s="475"/>
      <c r="V4060" s="475"/>
      <c r="W4060" s="475"/>
    </row>
    <row r="4061" spans="2:23" s="97" customFormat="1">
      <c r="B4061" s="96"/>
      <c r="H4061" s="96"/>
      <c r="J4061" s="1"/>
      <c r="K4061" s="1"/>
      <c r="L4061" s="1"/>
      <c r="O4061" s="475"/>
      <c r="P4061" s="475"/>
      <c r="Q4061" s="475"/>
      <c r="R4061" s="475"/>
      <c r="S4061" s="475"/>
      <c r="T4061" s="475"/>
      <c r="U4061" s="475"/>
      <c r="V4061" s="475"/>
      <c r="W4061" s="475"/>
    </row>
    <row r="4062" spans="2:23" s="97" customFormat="1">
      <c r="B4062" s="96"/>
      <c r="H4062" s="96"/>
      <c r="J4062" s="1"/>
      <c r="K4062" s="1"/>
      <c r="L4062" s="1"/>
      <c r="O4062" s="475"/>
      <c r="P4062" s="475"/>
      <c r="Q4062" s="475"/>
      <c r="R4062" s="475"/>
      <c r="S4062" s="475"/>
      <c r="T4062" s="475"/>
      <c r="U4062" s="475"/>
      <c r="V4062" s="475"/>
      <c r="W4062" s="475"/>
    </row>
    <row r="4063" spans="2:23" s="97" customFormat="1">
      <c r="B4063" s="96"/>
      <c r="H4063" s="96"/>
      <c r="J4063" s="1"/>
      <c r="K4063" s="1"/>
      <c r="L4063" s="1"/>
      <c r="O4063" s="475"/>
      <c r="P4063" s="475"/>
      <c r="Q4063" s="475"/>
      <c r="R4063" s="475"/>
      <c r="S4063" s="475"/>
      <c r="T4063" s="475"/>
      <c r="U4063" s="475"/>
      <c r="V4063" s="475"/>
      <c r="W4063" s="475"/>
    </row>
    <row r="4064" spans="2:23" s="97" customFormat="1">
      <c r="B4064" s="96"/>
      <c r="H4064" s="96"/>
      <c r="J4064" s="1"/>
      <c r="K4064" s="1"/>
      <c r="L4064" s="1"/>
      <c r="O4064" s="475"/>
      <c r="P4064" s="475"/>
      <c r="Q4064" s="475"/>
      <c r="R4064" s="475"/>
      <c r="S4064" s="475"/>
      <c r="T4064" s="475"/>
      <c r="U4064" s="475"/>
      <c r="V4064" s="475"/>
      <c r="W4064" s="475"/>
    </row>
    <row r="4065" spans="2:23" s="97" customFormat="1">
      <c r="B4065" s="96"/>
      <c r="H4065" s="96"/>
      <c r="J4065" s="1"/>
      <c r="K4065" s="1"/>
      <c r="L4065" s="1"/>
      <c r="O4065" s="475"/>
      <c r="P4065" s="475"/>
      <c r="Q4065" s="475"/>
      <c r="R4065" s="475"/>
      <c r="S4065" s="475"/>
      <c r="T4065" s="475"/>
      <c r="U4065" s="475"/>
      <c r="V4065" s="475"/>
      <c r="W4065" s="475"/>
    </row>
    <row r="4066" spans="2:23" s="97" customFormat="1">
      <c r="B4066" s="96"/>
      <c r="H4066" s="96"/>
      <c r="J4066" s="1"/>
      <c r="K4066" s="1"/>
      <c r="L4066" s="1"/>
      <c r="O4066" s="475"/>
      <c r="P4066" s="475"/>
      <c r="Q4066" s="475"/>
      <c r="R4066" s="475"/>
      <c r="S4066" s="475"/>
      <c r="T4066" s="475"/>
      <c r="U4066" s="475"/>
      <c r="V4066" s="475"/>
      <c r="W4066" s="475"/>
    </row>
    <row r="4067" spans="2:23" s="97" customFormat="1">
      <c r="B4067" s="96"/>
      <c r="H4067" s="96"/>
      <c r="J4067" s="1"/>
      <c r="K4067" s="1"/>
      <c r="L4067" s="1"/>
      <c r="O4067" s="475"/>
      <c r="P4067" s="475"/>
      <c r="Q4067" s="475"/>
      <c r="R4067" s="475"/>
      <c r="S4067" s="475"/>
      <c r="T4067" s="475"/>
      <c r="U4067" s="475"/>
      <c r="V4067" s="475"/>
      <c r="W4067" s="475"/>
    </row>
    <row r="4068" spans="2:23" s="97" customFormat="1">
      <c r="B4068" s="96"/>
      <c r="H4068" s="96"/>
      <c r="J4068" s="1"/>
      <c r="K4068" s="1"/>
      <c r="L4068" s="1"/>
      <c r="O4068" s="475"/>
      <c r="P4068" s="475"/>
      <c r="Q4068" s="475"/>
      <c r="R4068" s="475"/>
      <c r="S4068" s="475"/>
      <c r="T4068" s="475"/>
      <c r="U4068" s="475"/>
      <c r="V4068" s="475"/>
      <c r="W4068" s="475"/>
    </row>
    <row r="4069" spans="2:23" s="97" customFormat="1">
      <c r="B4069" s="96"/>
      <c r="H4069" s="96"/>
      <c r="J4069" s="1"/>
      <c r="K4069" s="1"/>
      <c r="L4069" s="1"/>
      <c r="O4069" s="475"/>
      <c r="P4069" s="475"/>
      <c r="Q4069" s="475"/>
      <c r="R4069" s="475"/>
      <c r="S4069" s="475"/>
      <c r="T4069" s="475"/>
      <c r="U4069" s="475"/>
      <c r="V4069" s="475"/>
      <c r="W4069" s="475"/>
    </row>
    <row r="4070" spans="2:23" s="97" customFormat="1">
      <c r="B4070" s="96"/>
      <c r="H4070" s="96"/>
      <c r="J4070" s="1"/>
      <c r="K4070" s="1"/>
      <c r="L4070" s="1"/>
      <c r="O4070" s="475"/>
      <c r="P4070" s="475"/>
      <c r="Q4070" s="475"/>
      <c r="R4070" s="475"/>
      <c r="S4070" s="475"/>
      <c r="T4070" s="475"/>
      <c r="U4070" s="475"/>
      <c r="V4070" s="475"/>
      <c r="W4070" s="475"/>
    </row>
    <row r="4071" spans="2:23" s="97" customFormat="1">
      <c r="B4071" s="96"/>
      <c r="H4071" s="96"/>
      <c r="J4071" s="1"/>
      <c r="K4071" s="1"/>
      <c r="L4071" s="1"/>
      <c r="O4071" s="475"/>
      <c r="P4071" s="475"/>
      <c r="Q4071" s="475"/>
      <c r="R4071" s="475"/>
      <c r="S4071" s="475"/>
      <c r="T4071" s="475"/>
      <c r="U4071" s="475"/>
      <c r="V4071" s="475"/>
      <c r="W4071" s="475"/>
    </row>
    <row r="4072" spans="2:23" s="97" customFormat="1">
      <c r="B4072" s="96"/>
      <c r="H4072" s="96"/>
      <c r="J4072" s="1"/>
      <c r="K4072" s="1"/>
      <c r="L4072" s="1"/>
      <c r="O4072" s="475"/>
      <c r="P4072" s="475"/>
      <c r="Q4072" s="475"/>
      <c r="R4072" s="475"/>
      <c r="S4072" s="475"/>
      <c r="T4072" s="475"/>
      <c r="U4072" s="475"/>
      <c r="V4072" s="475"/>
      <c r="W4072" s="475"/>
    </row>
    <row r="4073" spans="2:23" s="97" customFormat="1">
      <c r="B4073" s="96"/>
      <c r="H4073" s="96"/>
      <c r="J4073" s="1"/>
      <c r="K4073" s="1"/>
      <c r="L4073" s="1"/>
      <c r="O4073" s="475"/>
      <c r="P4073" s="475"/>
      <c r="Q4073" s="475"/>
      <c r="R4073" s="475"/>
      <c r="S4073" s="475"/>
      <c r="T4073" s="475"/>
      <c r="U4073" s="475"/>
      <c r="V4073" s="475"/>
      <c r="W4073" s="475"/>
    </row>
    <row r="4074" spans="2:23" s="97" customFormat="1">
      <c r="B4074" s="96"/>
      <c r="H4074" s="96"/>
      <c r="J4074" s="1"/>
      <c r="K4074" s="1"/>
      <c r="L4074" s="1"/>
      <c r="O4074" s="475"/>
      <c r="P4074" s="475"/>
      <c r="Q4074" s="475"/>
      <c r="R4074" s="475"/>
      <c r="S4074" s="475"/>
      <c r="T4074" s="475"/>
      <c r="U4074" s="475"/>
      <c r="V4074" s="475"/>
      <c r="W4074" s="475"/>
    </row>
    <row r="4075" spans="2:23" s="97" customFormat="1">
      <c r="B4075" s="96"/>
      <c r="H4075" s="96"/>
      <c r="J4075" s="1"/>
      <c r="K4075" s="1"/>
      <c r="L4075" s="1"/>
      <c r="O4075" s="475"/>
      <c r="P4075" s="475"/>
      <c r="Q4075" s="475"/>
      <c r="R4075" s="475"/>
      <c r="S4075" s="475"/>
      <c r="T4075" s="475"/>
      <c r="U4075" s="475"/>
      <c r="V4075" s="475"/>
      <c r="W4075" s="475"/>
    </row>
    <row r="4076" spans="2:23" s="97" customFormat="1">
      <c r="B4076" s="96"/>
      <c r="H4076" s="96"/>
      <c r="J4076" s="1"/>
      <c r="K4076" s="1"/>
      <c r="L4076" s="1"/>
      <c r="O4076" s="475"/>
      <c r="P4076" s="475"/>
      <c r="Q4076" s="475"/>
      <c r="R4076" s="475"/>
      <c r="S4076" s="475"/>
      <c r="T4076" s="475"/>
      <c r="U4076" s="475"/>
      <c r="V4076" s="475"/>
      <c r="W4076" s="475"/>
    </row>
    <row r="4077" spans="2:23" s="97" customFormat="1">
      <c r="B4077" s="96"/>
      <c r="H4077" s="96"/>
      <c r="J4077" s="1"/>
      <c r="K4077" s="1"/>
      <c r="L4077" s="1"/>
      <c r="O4077" s="475"/>
      <c r="P4077" s="475"/>
      <c r="Q4077" s="475"/>
      <c r="R4077" s="475"/>
      <c r="S4077" s="475"/>
      <c r="T4077" s="475"/>
      <c r="U4077" s="475"/>
      <c r="V4077" s="475"/>
      <c r="W4077" s="475"/>
    </row>
    <row r="4078" spans="2:23" s="97" customFormat="1">
      <c r="B4078" s="96"/>
      <c r="H4078" s="96"/>
      <c r="J4078" s="1"/>
      <c r="K4078" s="1"/>
      <c r="L4078" s="1"/>
      <c r="O4078" s="475"/>
      <c r="P4078" s="475"/>
      <c r="Q4078" s="475"/>
      <c r="R4078" s="475"/>
      <c r="S4078" s="475"/>
      <c r="T4078" s="475"/>
      <c r="U4078" s="475"/>
      <c r="V4078" s="475"/>
      <c r="W4078" s="475"/>
    </row>
    <row r="4079" spans="2:23" s="97" customFormat="1">
      <c r="B4079" s="96"/>
      <c r="H4079" s="96"/>
      <c r="J4079" s="1"/>
      <c r="K4079" s="1"/>
      <c r="L4079" s="1"/>
      <c r="O4079" s="475"/>
      <c r="P4079" s="475"/>
      <c r="Q4079" s="475"/>
      <c r="R4079" s="475"/>
      <c r="S4079" s="475"/>
      <c r="T4079" s="475"/>
      <c r="U4079" s="475"/>
      <c r="V4079" s="475"/>
      <c r="W4079" s="475"/>
    </row>
    <row r="4080" spans="2:23" s="97" customFormat="1">
      <c r="B4080" s="96"/>
      <c r="H4080" s="96"/>
      <c r="J4080" s="1"/>
      <c r="K4080" s="1"/>
      <c r="L4080" s="1"/>
      <c r="O4080" s="475"/>
      <c r="P4080" s="475"/>
      <c r="Q4080" s="475"/>
      <c r="R4080" s="475"/>
      <c r="S4080" s="475"/>
      <c r="T4080" s="475"/>
      <c r="U4080" s="475"/>
      <c r="V4080" s="475"/>
      <c r="W4080" s="475"/>
    </row>
    <row r="4081" spans="2:23" s="97" customFormat="1">
      <c r="B4081" s="96"/>
      <c r="H4081" s="96"/>
      <c r="J4081" s="1"/>
      <c r="K4081" s="1"/>
      <c r="L4081" s="1"/>
      <c r="O4081" s="475"/>
      <c r="P4081" s="475"/>
      <c r="Q4081" s="475"/>
      <c r="R4081" s="475"/>
      <c r="S4081" s="475"/>
      <c r="T4081" s="475"/>
      <c r="U4081" s="475"/>
      <c r="V4081" s="475"/>
      <c r="W4081" s="475"/>
    </row>
    <row r="4082" spans="2:23" s="97" customFormat="1">
      <c r="B4082" s="96"/>
      <c r="H4082" s="96"/>
      <c r="J4082" s="1"/>
      <c r="K4082" s="1"/>
      <c r="L4082" s="1"/>
      <c r="O4082" s="475"/>
      <c r="P4082" s="475"/>
      <c r="Q4082" s="475"/>
      <c r="R4082" s="475"/>
      <c r="S4082" s="475"/>
      <c r="T4082" s="475"/>
      <c r="U4082" s="475"/>
      <c r="V4082" s="475"/>
      <c r="W4082" s="475"/>
    </row>
    <row r="4083" spans="2:23" s="97" customFormat="1">
      <c r="B4083" s="96"/>
      <c r="H4083" s="96"/>
      <c r="J4083" s="1"/>
      <c r="K4083" s="1"/>
      <c r="L4083" s="1"/>
      <c r="O4083" s="475"/>
      <c r="P4083" s="475"/>
      <c r="Q4083" s="475"/>
      <c r="R4083" s="475"/>
      <c r="S4083" s="475"/>
      <c r="T4083" s="475"/>
      <c r="U4083" s="475"/>
      <c r="V4083" s="475"/>
      <c r="W4083" s="475"/>
    </row>
    <row r="4084" spans="2:23" s="97" customFormat="1">
      <c r="B4084" s="96"/>
      <c r="H4084" s="96"/>
      <c r="J4084" s="1"/>
      <c r="K4084" s="1"/>
      <c r="L4084" s="1"/>
      <c r="O4084" s="475"/>
      <c r="P4084" s="475"/>
      <c r="Q4084" s="475"/>
      <c r="R4084" s="475"/>
      <c r="S4084" s="475"/>
      <c r="T4084" s="475"/>
      <c r="U4084" s="475"/>
      <c r="V4084" s="475"/>
      <c r="W4084" s="475"/>
    </row>
    <row r="4085" spans="2:23" s="97" customFormat="1">
      <c r="B4085" s="96"/>
      <c r="H4085" s="96"/>
      <c r="J4085" s="1"/>
      <c r="K4085" s="1"/>
      <c r="L4085" s="1"/>
      <c r="O4085" s="475"/>
      <c r="P4085" s="475"/>
      <c r="Q4085" s="475"/>
      <c r="R4085" s="475"/>
      <c r="S4085" s="475"/>
      <c r="T4085" s="475"/>
      <c r="U4085" s="475"/>
      <c r="V4085" s="475"/>
      <c r="W4085" s="475"/>
    </row>
    <row r="4086" spans="2:23" s="97" customFormat="1">
      <c r="B4086" s="96"/>
      <c r="H4086" s="96"/>
      <c r="J4086" s="1"/>
      <c r="K4086" s="1"/>
      <c r="L4086" s="1"/>
      <c r="O4086" s="475"/>
      <c r="P4086" s="475"/>
      <c r="Q4086" s="475"/>
      <c r="R4086" s="475"/>
      <c r="S4086" s="475"/>
      <c r="T4086" s="475"/>
      <c r="U4086" s="475"/>
      <c r="V4086" s="475"/>
      <c r="W4086" s="475"/>
    </row>
    <row r="4087" spans="2:23" s="97" customFormat="1">
      <c r="B4087" s="96"/>
      <c r="H4087" s="96"/>
      <c r="J4087" s="1"/>
      <c r="K4087" s="1"/>
      <c r="L4087" s="1"/>
      <c r="O4087" s="475"/>
      <c r="P4087" s="475"/>
      <c r="Q4087" s="475"/>
      <c r="R4087" s="475"/>
      <c r="S4087" s="475"/>
      <c r="T4087" s="475"/>
      <c r="U4087" s="475"/>
      <c r="V4087" s="475"/>
      <c r="W4087" s="475"/>
    </row>
    <row r="4088" spans="2:23" s="97" customFormat="1">
      <c r="B4088" s="96"/>
      <c r="H4088" s="96"/>
      <c r="J4088" s="1"/>
      <c r="K4088" s="1"/>
      <c r="L4088" s="1"/>
      <c r="O4088" s="475"/>
      <c r="P4088" s="475"/>
      <c r="Q4088" s="475"/>
      <c r="R4088" s="475"/>
      <c r="S4088" s="475"/>
      <c r="T4088" s="475"/>
      <c r="U4088" s="475"/>
      <c r="V4088" s="475"/>
      <c r="W4088" s="475"/>
    </row>
    <row r="4089" spans="2:23" s="97" customFormat="1">
      <c r="B4089" s="96"/>
      <c r="H4089" s="96"/>
      <c r="J4089" s="1"/>
      <c r="K4089" s="1"/>
      <c r="L4089" s="1"/>
      <c r="O4089" s="475"/>
      <c r="P4089" s="475"/>
      <c r="Q4089" s="475"/>
      <c r="R4089" s="475"/>
      <c r="S4089" s="475"/>
      <c r="T4089" s="475"/>
      <c r="U4089" s="475"/>
      <c r="V4089" s="475"/>
      <c r="W4089" s="475"/>
    </row>
    <row r="4090" spans="2:23" s="97" customFormat="1">
      <c r="B4090" s="96"/>
      <c r="H4090" s="96"/>
      <c r="J4090" s="1"/>
      <c r="K4090" s="1"/>
      <c r="L4090" s="1"/>
      <c r="O4090" s="475"/>
      <c r="P4090" s="475"/>
      <c r="Q4090" s="475"/>
      <c r="R4090" s="475"/>
      <c r="S4090" s="475"/>
      <c r="T4090" s="475"/>
      <c r="U4090" s="475"/>
      <c r="V4090" s="475"/>
      <c r="W4090" s="475"/>
    </row>
    <row r="4091" spans="2:23" s="97" customFormat="1">
      <c r="B4091" s="96"/>
      <c r="H4091" s="96"/>
      <c r="J4091" s="1"/>
      <c r="K4091" s="1"/>
      <c r="L4091" s="1"/>
      <c r="O4091" s="475"/>
      <c r="P4091" s="475"/>
      <c r="Q4091" s="475"/>
      <c r="R4091" s="475"/>
      <c r="S4091" s="475"/>
      <c r="T4091" s="475"/>
      <c r="U4091" s="475"/>
      <c r="V4091" s="475"/>
      <c r="W4091" s="475"/>
    </row>
    <row r="4092" spans="2:23" s="97" customFormat="1">
      <c r="B4092" s="96"/>
      <c r="H4092" s="96"/>
      <c r="J4092" s="1"/>
      <c r="K4092" s="1"/>
      <c r="L4092" s="1"/>
      <c r="O4092" s="475"/>
      <c r="P4092" s="475"/>
      <c r="Q4092" s="475"/>
      <c r="R4092" s="475"/>
      <c r="S4092" s="475"/>
      <c r="T4092" s="475"/>
      <c r="U4092" s="475"/>
      <c r="V4092" s="475"/>
      <c r="W4092" s="475"/>
    </row>
    <row r="4093" spans="2:23" s="97" customFormat="1">
      <c r="B4093" s="96"/>
      <c r="H4093" s="96"/>
      <c r="J4093" s="1"/>
      <c r="K4093" s="1"/>
      <c r="L4093" s="1"/>
      <c r="O4093" s="475"/>
      <c r="P4093" s="475"/>
      <c r="Q4093" s="475"/>
      <c r="R4093" s="475"/>
      <c r="S4093" s="475"/>
      <c r="T4093" s="475"/>
      <c r="U4093" s="475"/>
      <c r="V4093" s="475"/>
      <c r="W4093" s="475"/>
    </row>
    <row r="4094" spans="2:23" s="97" customFormat="1">
      <c r="B4094" s="96"/>
      <c r="H4094" s="96"/>
      <c r="J4094" s="1"/>
      <c r="K4094" s="1"/>
      <c r="L4094" s="1"/>
      <c r="O4094" s="475"/>
      <c r="P4094" s="475"/>
      <c r="Q4094" s="475"/>
      <c r="R4094" s="475"/>
      <c r="S4094" s="475"/>
      <c r="T4094" s="475"/>
      <c r="U4094" s="475"/>
      <c r="V4094" s="475"/>
      <c r="W4094" s="475"/>
    </row>
    <row r="4095" spans="2:23" s="97" customFormat="1">
      <c r="B4095" s="96"/>
      <c r="H4095" s="96"/>
      <c r="J4095" s="1"/>
      <c r="K4095" s="1"/>
      <c r="L4095" s="1"/>
      <c r="O4095" s="475"/>
      <c r="P4095" s="475"/>
      <c r="Q4095" s="475"/>
      <c r="R4095" s="475"/>
      <c r="S4095" s="475"/>
      <c r="T4095" s="475"/>
      <c r="U4095" s="475"/>
      <c r="V4095" s="475"/>
      <c r="W4095" s="475"/>
    </row>
    <row r="4096" spans="2:23" s="97" customFormat="1">
      <c r="B4096" s="96"/>
      <c r="H4096" s="96"/>
      <c r="J4096" s="1"/>
      <c r="K4096" s="1"/>
      <c r="L4096" s="1"/>
      <c r="O4096" s="475"/>
      <c r="P4096" s="475"/>
      <c r="Q4096" s="475"/>
      <c r="R4096" s="475"/>
      <c r="S4096" s="475"/>
      <c r="T4096" s="475"/>
      <c r="U4096" s="475"/>
      <c r="V4096" s="475"/>
      <c r="W4096" s="475"/>
    </row>
    <row r="4097" spans="2:23" s="97" customFormat="1">
      <c r="B4097" s="96"/>
      <c r="H4097" s="96"/>
      <c r="J4097" s="1"/>
      <c r="K4097" s="1"/>
      <c r="L4097" s="1"/>
      <c r="O4097" s="475"/>
      <c r="P4097" s="475"/>
      <c r="Q4097" s="475"/>
      <c r="R4097" s="475"/>
      <c r="S4097" s="475"/>
      <c r="T4097" s="475"/>
      <c r="U4097" s="475"/>
      <c r="V4097" s="475"/>
      <c r="W4097" s="475"/>
    </row>
    <row r="4098" spans="2:23" s="97" customFormat="1">
      <c r="B4098" s="96"/>
      <c r="H4098" s="96"/>
      <c r="J4098" s="1"/>
      <c r="K4098" s="1"/>
      <c r="L4098" s="1"/>
      <c r="O4098" s="475"/>
      <c r="P4098" s="475"/>
      <c r="Q4098" s="475"/>
      <c r="R4098" s="475"/>
      <c r="S4098" s="475"/>
      <c r="T4098" s="475"/>
      <c r="U4098" s="475"/>
      <c r="V4098" s="475"/>
      <c r="W4098" s="475"/>
    </row>
    <row r="4099" spans="2:23" s="97" customFormat="1">
      <c r="B4099" s="96"/>
      <c r="H4099" s="96"/>
      <c r="J4099" s="1"/>
      <c r="K4099" s="1"/>
      <c r="L4099" s="1"/>
      <c r="O4099" s="475"/>
      <c r="P4099" s="475"/>
      <c r="Q4099" s="475"/>
      <c r="R4099" s="475"/>
      <c r="S4099" s="475"/>
      <c r="T4099" s="475"/>
      <c r="U4099" s="475"/>
      <c r="V4099" s="475"/>
      <c r="W4099" s="475"/>
    </row>
    <row r="4100" spans="2:23" s="97" customFormat="1">
      <c r="B4100" s="96"/>
      <c r="H4100" s="96"/>
      <c r="J4100" s="1"/>
      <c r="K4100" s="1"/>
      <c r="L4100" s="1"/>
      <c r="O4100" s="475"/>
      <c r="P4100" s="475"/>
      <c r="Q4100" s="475"/>
      <c r="R4100" s="475"/>
      <c r="S4100" s="475"/>
      <c r="T4100" s="475"/>
      <c r="U4100" s="475"/>
      <c r="V4100" s="475"/>
      <c r="W4100" s="475"/>
    </row>
    <row r="4101" spans="2:23" s="97" customFormat="1">
      <c r="B4101" s="96"/>
      <c r="H4101" s="96"/>
      <c r="J4101" s="1"/>
      <c r="K4101" s="1"/>
      <c r="L4101" s="1"/>
      <c r="O4101" s="475"/>
      <c r="P4101" s="475"/>
      <c r="Q4101" s="475"/>
      <c r="R4101" s="475"/>
      <c r="S4101" s="475"/>
      <c r="T4101" s="475"/>
      <c r="U4101" s="475"/>
      <c r="V4101" s="475"/>
      <c r="W4101" s="475"/>
    </row>
    <row r="4102" spans="2:23" s="97" customFormat="1">
      <c r="B4102" s="96"/>
      <c r="H4102" s="96"/>
      <c r="J4102" s="1"/>
      <c r="K4102" s="1"/>
      <c r="L4102" s="1"/>
      <c r="O4102" s="475"/>
      <c r="P4102" s="475"/>
      <c r="Q4102" s="475"/>
      <c r="R4102" s="475"/>
      <c r="S4102" s="475"/>
      <c r="T4102" s="475"/>
      <c r="U4102" s="475"/>
      <c r="V4102" s="475"/>
      <c r="W4102" s="475"/>
    </row>
    <row r="4103" spans="2:23" s="97" customFormat="1">
      <c r="B4103" s="96"/>
      <c r="H4103" s="96"/>
      <c r="J4103" s="1"/>
      <c r="K4103" s="1"/>
      <c r="L4103" s="1"/>
      <c r="O4103" s="475"/>
      <c r="P4103" s="475"/>
      <c r="Q4103" s="475"/>
      <c r="R4103" s="475"/>
      <c r="S4103" s="475"/>
      <c r="T4103" s="475"/>
      <c r="U4103" s="475"/>
      <c r="V4103" s="475"/>
      <c r="W4103" s="475"/>
    </row>
    <row r="4104" spans="2:23" s="97" customFormat="1">
      <c r="B4104" s="96"/>
      <c r="H4104" s="96"/>
      <c r="J4104" s="1"/>
      <c r="K4104" s="1"/>
      <c r="L4104" s="1"/>
      <c r="O4104" s="475"/>
      <c r="P4104" s="475"/>
      <c r="Q4104" s="475"/>
      <c r="R4104" s="475"/>
      <c r="S4104" s="475"/>
      <c r="T4104" s="475"/>
      <c r="U4104" s="475"/>
      <c r="V4104" s="475"/>
      <c r="W4104" s="475"/>
    </row>
    <row r="4105" spans="2:23" s="97" customFormat="1">
      <c r="B4105" s="96"/>
      <c r="H4105" s="96"/>
      <c r="J4105" s="1"/>
      <c r="K4105" s="1"/>
      <c r="L4105" s="1"/>
      <c r="O4105" s="475"/>
      <c r="P4105" s="475"/>
      <c r="Q4105" s="475"/>
      <c r="R4105" s="475"/>
      <c r="S4105" s="475"/>
      <c r="T4105" s="475"/>
      <c r="U4105" s="475"/>
      <c r="V4105" s="475"/>
      <c r="W4105" s="475"/>
    </row>
    <row r="4106" spans="2:23" s="97" customFormat="1">
      <c r="B4106" s="96"/>
      <c r="H4106" s="96"/>
      <c r="J4106" s="1"/>
      <c r="K4106" s="1"/>
      <c r="L4106" s="1"/>
      <c r="O4106" s="475"/>
      <c r="P4106" s="475"/>
      <c r="Q4106" s="475"/>
      <c r="R4106" s="475"/>
      <c r="S4106" s="475"/>
      <c r="T4106" s="475"/>
      <c r="U4106" s="475"/>
      <c r="V4106" s="475"/>
      <c r="W4106" s="475"/>
    </row>
    <row r="4107" spans="2:23" s="97" customFormat="1">
      <c r="B4107" s="96"/>
      <c r="H4107" s="96"/>
      <c r="J4107" s="1"/>
      <c r="K4107" s="1"/>
      <c r="L4107" s="1"/>
      <c r="O4107" s="475"/>
      <c r="P4107" s="475"/>
      <c r="Q4107" s="475"/>
      <c r="R4107" s="475"/>
      <c r="S4107" s="475"/>
      <c r="T4107" s="475"/>
      <c r="U4107" s="475"/>
      <c r="V4107" s="475"/>
      <c r="W4107" s="475"/>
    </row>
    <row r="4108" spans="2:23" s="97" customFormat="1">
      <c r="B4108" s="96"/>
      <c r="H4108" s="96"/>
      <c r="J4108" s="1"/>
      <c r="K4108" s="1"/>
      <c r="L4108" s="1"/>
      <c r="O4108" s="475"/>
      <c r="P4108" s="475"/>
      <c r="Q4108" s="475"/>
      <c r="R4108" s="475"/>
      <c r="S4108" s="475"/>
      <c r="T4108" s="475"/>
      <c r="U4108" s="475"/>
      <c r="V4108" s="475"/>
      <c r="W4108" s="475"/>
    </row>
    <row r="4109" spans="2:23" s="97" customFormat="1">
      <c r="B4109" s="96"/>
      <c r="H4109" s="96"/>
      <c r="J4109" s="1"/>
      <c r="K4109" s="1"/>
      <c r="L4109" s="1"/>
      <c r="O4109" s="475"/>
      <c r="P4109" s="475"/>
      <c r="Q4109" s="475"/>
      <c r="R4109" s="475"/>
      <c r="S4109" s="475"/>
      <c r="T4109" s="475"/>
      <c r="U4109" s="475"/>
      <c r="V4109" s="475"/>
      <c r="W4109" s="475"/>
    </row>
    <row r="4110" spans="2:23" s="97" customFormat="1">
      <c r="B4110" s="96"/>
      <c r="H4110" s="96"/>
      <c r="J4110" s="1"/>
      <c r="K4110" s="1"/>
      <c r="L4110" s="1"/>
      <c r="O4110" s="475"/>
      <c r="P4110" s="475"/>
      <c r="Q4110" s="475"/>
      <c r="R4110" s="475"/>
      <c r="S4110" s="475"/>
      <c r="T4110" s="475"/>
      <c r="U4110" s="475"/>
      <c r="V4110" s="475"/>
      <c r="W4110" s="475"/>
    </row>
    <row r="4111" spans="2:23" s="97" customFormat="1">
      <c r="B4111" s="96"/>
      <c r="H4111" s="96"/>
      <c r="J4111" s="1"/>
      <c r="K4111" s="1"/>
      <c r="L4111" s="1"/>
      <c r="O4111" s="475"/>
      <c r="P4111" s="475"/>
      <c r="Q4111" s="475"/>
      <c r="R4111" s="475"/>
      <c r="S4111" s="475"/>
      <c r="T4111" s="475"/>
      <c r="U4111" s="475"/>
      <c r="V4111" s="475"/>
      <c r="W4111" s="475"/>
    </row>
    <row r="4112" spans="2:23" s="97" customFormat="1">
      <c r="B4112" s="96"/>
      <c r="H4112" s="96"/>
      <c r="J4112" s="1"/>
      <c r="K4112" s="1"/>
      <c r="L4112" s="1"/>
      <c r="O4112" s="475"/>
      <c r="P4112" s="475"/>
      <c r="Q4112" s="475"/>
      <c r="R4112" s="475"/>
      <c r="S4112" s="475"/>
      <c r="T4112" s="475"/>
      <c r="U4112" s="475"/>
      <c r="V4112" s="475"/>
      <c r="W4112" s="475"/>
    </row>
    <row r="4113" spans="2:23" s="97" customFormat="1">
      <c r="B4113" s="96"/>
      <c r="H4113" s="96"/>
      <c r="J4113" s="1"/>
      <c r="K4113" s="1"/>
      <c r="L4113" s="1"/>
      <c r="O4113" s="475"/>
      <c r="P4113" s="475"/>
      <c r="Q4113" s="475"/>
      <c r="R4113" s="475"/>
      <c r="S4113" s="475"/>
      <c r="T4113" s="475"/>
      <c r="U4113" s="475"/>
      <c r="V4113" s="475"/>
      <c r="W4113" s="475"/>
    </row>
    <row r="4114" spans="2:23" s="97" customFormat="1">
      <c r="B4114" s="96"/>
      <c r="H4114" s="96"/>
      <c r="J4114" s="1"/>
      <c r="K4114" s="1"/>
      <c r="L4114" s="1"/>
      <c r="O4114" s="475"/>
      <c r="P4114" s="475"/>
      <c r="Q4114" s="475"/>
      <c r="R4114" s="475"/>
      <c r="S4114" s="475"/>
      <c r="T4114" s="475"/>
      <c r="U4114" s="475"/>
      <c r="V4114" s="475"/>
      <c r="W4114" s="475"/>
    </row>
    <row r="4115" spans="2:23" s="97" customFormat="1">
      <c r="B4115" s="96"/>
      <c r="H4115" s="96"/>
      <c r="J4115" s="1"/>
      <c r="K4115" s="1"/>
      <c r="L4115" s="1"/>
      <c r="O4115" s="475"/>
      <c r="P4115" s="475"/>
      <c r="Q4115" s="475"/>
      <c r="R4115" s="475"/>
      <c r="S4115" s="475"/>
      <c r="T4115" s="475"/>
      <c r="U4115" s="475"/>
      <c r="V4115" s="475"/>
      <c r="W4115" s="475"/>
    </row>
    <row r="4116" spans="2:23" s="97" customFormat="1">
      <c r="B4116" s="96"/>
      <c r="H4116" s="96"/>
      <c r="J4116" s="1"/>
      <c r="K4116" s="1"/>
      <c r="L4116" s="1"/>
      <c r="O4116" s="475"/>
      <c r="P4116" s="475"/>
      <c r="Q4116" s="475"/>
      <c r="R4116" s="475"/>
      <c r="S4116" s="475"/>
      <c r="T4116" s="475"/>
      <c r="U4116" s="475"/>
      <c r="V4116" s="475"/>
      <c r="W4116" s="475"/>
    </row>
    <row r="4117" spans="2:23" s="97" customFormat="1">
      <c r="B4117" s="96"/>
      <c r="H4117" s="96"/>
      <c r="J4117" s="1"/>
      <c r="K4117" s="1"/>
      <c r="L4117" s="1"/>
      <c r="O4117" s="475"/>
      <c r="P4117" s="475"/>
      <c r="Q4117" s="475"/>
      <c r="R4117" s="475"/>
      <c r="S4117" s="475"/>
      <c r="T4117" s="475"/>
      <c r="U4117" s="475"/>
      <c r="V4117" s="475"/>
      <c r="W4117" s="475"/>
    </row>
    <row r="4118" spans="2:23" s="97" customFormat="1">
      <c r="B4118" s="96"/>
      <c r="H4118" s="96"/>
      <c r="J4118" s="1"/>
      <c r="K4118" s="1"/>
      <c r="L4118" s="1"/>
      <c r="O4118" s="475"/>
      <c r="P4118" s="475"/>
      <c r="Q4118" s="475"/>
      <c r="R4118" s="475"/>
      <c r="S4118" s="475"/>
      <c r="T4118" s="475"/>
      <c r="U4118" s="475"/>
      <c r="V4118" s="475"/>
      <c r="W4118" s="475"/>
    </row>
    <row r="4119" spans="2:23" s="97" customFormat="1">
      <c r="B4119" s="96"/>
      <c r="H4119" s="96"/>
      <c r="J4119" s="1"/>
      <c r="K4119" s="1"/>
      <c r="L4119" s="1"/>
      <c r="O4119" s="475"/>
      <c r="P4119" s="475"/>
      <c r="Q4119" s="475"/>
      <c r="R4119" s="475"/>
      <c r="S4119" s="475"/>
      <c r="T4119" s="475"/>
      <c r="U4119" s="475"/>
      <c r="V4119" s="475"/>
      <c r="W4119" s="475"/>
    </row>
    <row r="4120" spans="2:23" s="97" customFormat="1">
      <c r="B4120" s="96"/>
      <c r="H4120" s="96"/>
      <c r="J4120" s="1"/>
      <c r="K4120" s="1"/>
      <c r="L4120" s="1"/>
      <c r="O4120" s="475"/>
      <c r="P4120" s="475"/>
      <c r="Q4120" s="475"/>
      <c r="R4120" s="475"/>
      <c r="S4120" s="475"/>
      <c r="T4120" s="475"/>
      <c r="U4120" s="475"/>
      <c r="V4120" s="475"/>
      <c r="W4120" s="475"/>
    </row>
    <row r="4121" spans="2:23" s="97" customFormat="1">
      <c r="B4121" s="96"/>
      <c r="H4121" s="96"/>
      <c r="J4121" s="1"/>
      <c r="K4121" s="1"/>
      <c r="L4121" s="1"/>
      <c r="O4121" s="475"/>
      <c r="P4121" s="475"/>
      <c r="Q4121" s="475"/>
      <c r="R4121" s="475"/>
      <c r="S4121" s="475"/>
      <c r="T4121" s="475"/>
      <c r="U4121" s="475"/>
      <c r="V4121" s="475"/>
      <c r="W4121" s="475"/>
    </row>
    <row r="4122" spans="2:23" s="97" customFormat="1">
      <c r="B4122" s="96"/>
      <c r="H4122" s="96"/>
      <c r="J4122" s="1"/>
      <c r="K4122" s="1"/>
      <c r="L4122" s="1"/>
      <c r="O4122" s="475"/>
      <c r="P4122" s="475"/>
      <c r="Q4122" s="475"/>
      <c r="R4122" s="475"/>
      <c r="S4122" s="475"/>
      <c r="T4122" s="475"/>
      <c r="U4122" s="475"/>
      <c r="V4122" s="475"/>
      <c r="W4122" s="475"/>
    </row>
    <row r="4123" spans="2:23" s="97" customFormat="1">
      <c r="B4123" s="96"/>
      <c r="H4123" s="96"/>
      <c r="J4123" s="1"/>
      <c r="K4123" s="1"/>
      <c r="L4123" s="1"/>
      <c r="O4123" s="475"/>
      <c r="P4123" s="475"/>
      <c r="Q4123" s="475"/>
      <c r="R4123" s="475"/>
      <c r="S4123" s="475"/>
      <c r="T4123" s="475"/>
      <c r="U4123" s="475"/>
      <c r="V4123" s="475"/>
      <c r="W4123" s="475"/>
    </row>
    <row r="4124" spans="2:23" s="97" customFormat="1">
      <c r="B4124" s="96"/>
      <c r="H4124" s="96"/>
      <c r="J4124" s="1"/>
      <c r="K4124" s="1"/>
      <c r="L4124" s="1"/>
      <c r="O4124" s="475"/>
      <c r="P4124" s="475"/>
      <c r="Q4124" s="475"/>
      <c r="R4124" s="475"/>
      <c r="S4124" s="475"/>
      <c r="T4124" s="475"/>
      <c r="U4124" s="475"/>
      <c r="V4124" s="475"/>
      <c r="W4124" s="475"/>
    </row>
    <row r="4125" spans="2:23" s="97" customFormat="1">
      <c r="B4125" s="96"/>
      <c r="H4125" s="96"/>
      <c r="J4125" s="1"/>
      <c r="K4125" s="1"/>
      <c r="L4125" s="1"/>
      <c r="O4125" s="475"/>
      <c r="P4125" s="475"/>
      <c r="Q4125" s="475"/>
      <c r="R4125" s="475"/>
      <c r="S4125" s="475"/>
      <c r="T4125" s="475"/>
      <c r="U4125" s="475"/>
      <c r="V4125" s="475"/>
      <c r="W4125" s="475"/>
    </row>
    <row r="4126" spans="2:23" s="97" customFormat="1">
      <c r="B4126" s="96"/>
      <c r="H4126" s="96"/>
      <c r="J4126" s="1"/>
      <c r="K4126" s="1"/>
      <c r="L4126" s="1"/>
      <c r="O4126" s="475"/>
      <c r="P4126" s="475"/>
      <c r="Q4126" s="475"/>
      <c r="R4126" s="475"/>
      <c r="S4126" s="475"/>
      <c r="T4126" s="475"/>
      <c r="U4126" s="475"/>
      <c r="V4126" s="475"/>
      <c r="W4126" s="475"/>
    </row>
    <row r="4127" spans="2:23" s="97" customFormat="1">
      <c r="B4127" s="96"/>
      <c r="H4127" s="96"/>
      <c r="J4127" s="1"/>
      <c r="K4127" s="1"/>
      <c r="L4127" s="1"/>
      <c r="O4127" s="475"/>
      <c r="P4127" s="475"/>
      <c r="Q4127" s="475"/>
      <c r="R4127" s="475"/>
      <c r="S4127" s="475"/>
      <c r="T4127" s="475"/>
      <c r="U4127" s="475"/>
      <c r="V4127" s="475"/>
      <c r="W4127" s="475"/>
    </row>
    <row r="4128" spans="2:23" s="97" customFormat="1">
      <c r="B4128" s="96"/>
      <c r="H4128" s="96"/>
      <c r="J4128" s="1"/>
      <c r="K4128" s="1"/>
      <c r="L4128" s="1"/>
      <c r="O4128" s="475"/>
      <c r="P4128" s="475"/>
      <c r="Q4128" s="475"/>
      <c r="R4128" s="475"/>
      <c r="S4128" s="475"/>
      <c r="T4128" s="475"/>
      <c r="U4128" s="475"/>
      <c r="V4128" s="475"/>
      <c r="W4128" s="475"/>
    </row>
    <row r="4129" spans="2:23" s="97" customFormat="1">
      <c r="B4129" s="96"/>
      <c r="H4129" s="96"/>
      <c r="J4129" s="1"/>
      <c r="K4129" s="1"/>
      <c r="L4129" s="1"/>
      <c r="O4129" s="475"/>
      <c r="P4129" s="475"/>
      <c r="Q4129" s="475"/>
      <c r="R4129" s="475"/>
      <c r="S4129" s="475"/>
      <c r="T4129" s="475"/>
      <c r="U4129" s="475"/>
      <c r="V4129" s="475"/>
      <c r="W4129" s="475"/>
    </row>
    <row r="4130" spans="2:23" s="97" customFormat="1">
      <c r="B4130" s="96"/>
      <c r="H4130" s="96"/>
      <c r="J4130" s="1"/>
      <c r="K4130" s="1"/>
      <c r="L4130" s="1"/>
      <c r="O4130" s="475"/>
      <c r="P4130" s="475"/>
      <c r="Q4130" s="475"/>
      <c r="R4130" s="475"/>
      <c r="S4130" s="475"/>
      <c r="T4130" s="475"/>
      <c r="U4130" s="475"/>
      <c r="V4130" s="475"/>
      <c r="W4130" s="475"/>
    </row>
    <row r="4131" spans="2:23" s="97" customFormat="1">
      <c r="B4131" s="96"/>
      <c r="H4131" s="96"/>
      <c r="J4131" s="1"/>
      <c r="K4131" s="1"/>
      <c r="L4131" s="1"/>
      <c r="O4131" s="475"/>
      <c r="P4131" s="475"/>
      <c r="Q4131" s="475"/>
      <c r="R4131" s="475"/>
      <c r="S4131" s="475"/>
      <c r="T4131" s="475"/>
      <c r="U4131" s="475"/>
      <c r="V4131" s="475"/>
      <c r="W4131" s="475"/>
    </row>
    <row r="4132" spans="2:23" s="97" customFormat="1">
      <c r="B4132" s="96"/>
      <c r="H4132" s="96"/>
      <c r="J4132" s="1"/>
      <c r="K4132" s="1"/>
      <c r="L4132" s="1"/>
      <c r="O4132" s="475"/>
      <c r="P4132" s="475"/>
      <c r="Q4132" s="475"/>
      <c r="R4132" s="475"/>
      <c r="S4132" s="475"/>
      <c r="T4132" s="475"/>
      <c r="U4132" s="475"/>
      <c r="V4132" s="475"/>
      <c r="W4132" s="475"/>
    </row>
    <row r="4133" spans="2:23" s="97" customFormat="1">
      <c r="B4133" s="96"/>
      <c r="H4133" s="96"/>
      <c r="J4133" s="1"/>
      <c r="K4133" s="1"/>
      <c r="L4133" s="1"/>
      <c r="O4133" s="475"/>
      <c r="P4133" s="475"/>
      <c r="Q4133" s="475"/>
      <c r="R4133" s="475"/>
      <c r="S4133" s="475"/>
      <c r="T4133" s="475"/>
      <c r="U4133" s="475"/>
      <c r="V4133" s="475"/>
      <c r="W4133" s="475"/>
    </row>
    <row r="4134" spans="2:23" s="97" customFormat="1">
      <c r="B4134" s="96"/>
      <c r="H4134" s="96"/>
      <c r="J4134" s="1"/>
      <c r="K4134" s="1"/>
      <c r="L4134" s="1"/>
      <c r="O4134" s="475"/>
      <c r="P4134" s="475"/>
      <c r="Q4134" s="475"/>
      <c r="R4134" s="475"/>
      <c r="S4134" s="475"/>
      <c r="T4134" s="475"/>
      <c r="U4134" s="475"/>
      <c r="V4134" s="475"/>
      <c r="W4134" s="475"/>
    </row>
    <row r="4135" spans="2:23" s="97" customFormat="1">
      <c r="B4135" s="96"/>
      <c r="H4135" s="96"/>
      <c r="J4135" s="1"/>
      <c r="K4135" s="1"/>
      <c r="L4135" s="1"/>
      <c r="O4135" s="475"/>
      <c r="P4135" s="475"/>
      <c r="Q4135" s="475"/>
      <c r="R4135" s="475"/>
      <c r="S4135" s="475"/>
      <c r="T4135" s="475"/>
      <c r="U4135" s="475"/>
      <c r="V4135" s="475"/>
      <c r="W4135" s="475"/>
    </row>
    <row r="4136" spans="2:23" s="97" customFormat="1">
      <c r="B4136" s="96"/>
      <c r="H4136" s="96"/>
      <c r="J4136" s="1"/>
      <c r="K4136" s="1"/>
      <c r="L4136" s="1"/>
      <c r="O4136" s="475"/>
      <c r="P4136" s="475"/>
      <c r="Q4136" s="475"/>
      <c r="R4136" s="475"/>
      <c r="S4136" s="475"/>
      <c r="T4136" s="475"/>
      <c r="U4136" s="475"/>
      <c r="V4136" s="475"/>
      <c r="W4136" s="475"/>
    </row>
    <row r="4137" spans="2:23" s="97" customFormat="1">
      <c r="B4137" s="96"/>
      <c r="H4137" s="96"/>
      <c r="J4137" s="1"/>
      <c r="K4137" s="1"/>
      <c r="L4137" s="1"/>
      <c r="O4137" s="475"/>
      <c r="P4137" s="475"/>
      <c r="Q4137" s="475"/>
      <c r="R4137" s="475"/>
      <c r="S4137" s="475"/>
      <c r="T4137" s="475"/>
      <c r="U4137" s="475"/>
      <c r="V4137" s="475"/>
      <c r="W4137" s="475"/>
    </row>
    <row r="4138" spans="2:23" s="97" customFormat="1">
      <c r="B4138" s="96"/>
      <c r="H4138" s="96"/>
      <c r="J4138" s="1"/>
      <c r="K4138" s="1"/>
      <c r="L4138" s="1"/>
      <c r="O4138" s="475"/>
      <c r="P4138" s="475"/>
      <c r="Q4138" s="475"/>
      <c r="R4138" s="475"/>
      <c r="S4138" s="475"/>
      <c r="T4138" s="475"/>
      <c r="U4138" s="475"/>
      <c r="V4138" s="475"/>
      <c r="W4138" s="475"/>
    </row>
    <row r="4139" spans="2:23" s="97" customFormat="1">
      <c r="B4139" s="96"/>
      <c r="H4139" s="96"/>
      <c r="J4139" s="1"/>
      <c r="K4139" s="1"/>
      <c r="L4139" s="1"/>
      <c r="O4139" s="475"/>
      <c r="P4139" s="475"/>
      <c r="Q4139" s="475"/>
      <c r="R4139" s="475"/>
      <c r="S4139" s="475"/>
      <c r="T4139" s="475"/>
      <c r="U4139" s="475"/>
      <c r="V4139" s="475"/>
      <c r="W4139" s="475"/>
    </row>
    <row r="4140" spans="2:23" s="97" customFormat="1">
      <c r="B4140" s="96"/>
      <c r="H4140" s="96"/>
      <c r="J4140" s="1"/>
      <c r="K4140" s="1"/>
      <c r="L4140" s="1"/>
      <c r="O4140" s="475"/>
      <c r="P4140" s="475"/>
      <c r="Q4140" s="475"/>
      <c r="R4140" s="475"/>
      <c r="S4140" s="475"/>
      <c r="T4140" s="475"/>
      <c r="U4140" s="475"/>
      <c r="V4140" s="475"/>
      <c r="W4140" s="475"/>
    </row>
    <row r="4141" spans="2:23" s="97" customFormat="1">
      <c r="B4141" s="96"/>
      <c r="H4141" s="96"/>
      <c r="J4141" s="1"/>
      <c r="K4141" s="1"/>
      <c r="L4141" s="1"/>
      <c r="O4141" s="475"/>
      <c r="P4141" s="475"/>
      <c r="Q4141" s="475"/>
      <c r="R4141" s="475"/>
      <c r="S4141" s="475"/>
      <c r="T4141" s="475"/>
      <c r="U4141" s="475"/>
      <c r="V4141" s="475"/>
      <c r="W4141" s="475"/>
    </row>
    <row r="4142" spans="2:23" s="97" customFormat="1">
      <c r="B4142" s="96"/>
      <c r="H4142" s="96"/>
      <c r="J4142" s="1"/>
      <c r="K4142" s="1"/>
      <c r="L4142" s="1"/>
      <c r="O4142" s="475"/>
      <c r="P4142" s="475"/>
      <c r="Q4142" s="475"/>
      <c r="R4142" s="475"/>
      <c r="S4142" s="475"/>
      <c r="T4142" s="475"/>
      <c r="U4142" s="475"/>
      <c r="V4142" s="475"/>
      <c r="W4142" s="475"/>
    </row>
    <row r="4143" spans="2:23" s="97" customFormat="1">
      <c r="B4143" s="96"/>
      <c r="H4143" s="96"/>
      <c r="J4143" s="1"/>
      <c r="K4143" s="1"/>
      <c r="L4143" s="1"/>
      <c r="O4143" s="475"/>
      <c r="P4143" s="475"/>
      <c r="Q4143" s="475"/>
      <c r="R4143" s="475"/>
      <c r="S4143" s="475"/>
      <c r="T4143" s="475"/>
      <c r="U4143" s="475"/>
      <c r="V4143" s="475"/>
      <c r="W4143" s="475"/>
    </row>
    <row r="4144" spans="2:23" s="97" customFormat="1">
      <c r="B4144" s="96"/>
      <c r="H4144" s="96"/>
      <c r="J4144" s="1"/>
      <c r="K4144" s="1"/>
      <c r="L4144" s="1"/>
      <c r="O4144" s="475"/>
      <c r="P4144" s="475"/>
      <c r="Q4144" s="475"/>
      <c r="R4144" s="475"/>
      <c r="S4144" s="475"/>
      <c r="T4144" s="475"/>
      <c r="U4144" s="475"/>
      <c r="V4144" s="475"/>
      <c r="W4144" s="475"/>
    </row>
    <row r="4145" spans="2:23" s="97" customFormat="1">
      <c r="B4145" s="96"/>
      <c r="H4145" s="96"/>
      <c r="J4145" s="1"/>
      <c r="K4145" s="1"/>
      <c r="L4145" s="1"/>
      <c r="O4145" s="475"/>
      <c r="P4145" s="475"/>
      <c r="Q4145" s="475"/>
      <c r="R4145" s="475"/>
      <c r="S4145" s="475"/>
      <c r="T4145" s="475"/>
      <c r="U4145" s="475"/>
      <c r="V4145" s="475"/>
      <c r="W4145" s="475"/>
    </row>
    <row r="4146" spans="2:23" s="97" customFormat="1">
      <c r="B4146" s="96"/>
      <c r="H4146" s="96"/>
      <c r="J4146" s="1"/>
      <c r="K4146" s="1"/>
      <c r="L4146" s="1"/>
      <c r="O4146" s="475"/>
      <c r="P4146" s="475"/>
      <c r="Q4146" s="475"/>
      <c r="R4146" s="475"/>
      <c r="S4146" s="475"/>
      <c r="T4146" s="475"/>
      <c r="U4146" s="475"/>
      <c r="V4146" s="475"/>
      <c r="W4146" s="475"/>
    </row>
    <row r="4147" spans="2:23" s="97" customFormat="1">
      <c r="B4147" s="96"/>
      <c r="H4147" s="96"/>
      <c r="J4147" s="1"/>
      <c r="K4147" s="1"/>
      <c r="L4147" s="1"/>
      <c r="O4147" s="475"/>
      <c r="P4147" s="475"/>
      <c r="Q4147" s="475"/>
      <c r="R4147" s="475"/>
      <c r="S4147" s="475"/>
      <c r="T4147" s="475"/>
      <c r="U4147" s="475"/>
      <c r="V4147" s="475"/>
      <c r="W4147" s="475"/>
    </row>
    <row r="4148" spans="2:23" s="97" customFormat="1">
      <c r="B4148" s="96"/>
      <c r="H4148" s="96"/>
      <c r="J4148" s="1"/>
      <c r="K4148" s="1"/>
      <c r="L4148" s="1"/>
      <c r="O4148" s="475"/>
      <c r="P4148" s="475"/>
      <c r="Q4148" s="475"/>
      <c r="R4148" s="475"/>
      <c r="S4148" s="475"/>
      <c r="T4148" s="475"/>
      <c r="U4148" s="475"/>
      <c r="V4148" s="475"/>
      <c r="W4148" s="475"/>
    </row>
    <row r="4149" spans="2:23" s="97" customFormat="1">
      <c r="B4149" s="96"/>
      <c r="H4149" s="96"/>
      <c r="J4149" s="1"/>
      <c r="K4149" s="1"/>
      <c r="L4149" s="1"/>
      <c r="O4149" s="475"/>
      <c r="P4149" s="475"/>
      <c r="Q4149" s="475"/>
      <c r="R4149" s="475"/>
      <c r="S4149" s="475"/>
      <c r="T4149" s="475"/>
      <c r="U4149" s="475"/>
      <c r="V4149" s="475"/>
      <c r="W4149" s="475"/>
    </row>
    <row r="4150" spans="2:23" s="97" customFormat="1">
      <c r="B4150" s="96"/>
      <c r="H4150" s="96"/>
      <c r="J4150" s="1"/>
      <c r="K4150" s="1"/>
      <c r="L4150" s="1"/>
      <c r="O4150" s="475"/>
      <c r="P4150" s="475"/>
      <c r="Q4150" s="475"/>
      <c r="R4150" s="475"/>
      <c r="S4150" s="475"/>
      <c r="T4150" s="475"/>
      <c r="U4150" s="475"/>
      <c r="V4150" s="475"/>
      <c r="W4150" s="475"/>
    </row>
    <row r="4151" spans="2:23" s="97" customFormat="1">
      <c r="B4151" s="96"/>
      <c r="H4151" s="96"/>
      <c r="J4151" s="1"/>
      <c r="K4151" s="1"/>
      <c r="L4151" s="1"/>
      <c r="O4151" s="475"/>
      <c r="P4151" s="475"/>
      <c r="Q4151" s="475"/>
      <c r="R4151" s="475"/>
      <c r="S4151" s="475"/>
      <c r="T4151" s="475"/>
      <c r="U4151" s="475"/>
      <c r="V4151" s="475"/>
      <c r="W4151" s="475"/>
    </row>
    <row r="4152" spans="2:23" s="97" customFormat="1">
      <c r="B4152" s="96"/>
      <c r="H4152" s="96"/>
      <c r="J4152" s="1"/>
      <c r="K4152" s="1"/>
      <c r="L4152" s="1"/>
      <c r="O4152" s="475"/>
      <c r="P4152" s="475"/>
      <c r="Q4152" s="475"/>
      <c r="R4152" s="475"/>
      <c r="S4152" s="475"/>
      <c r="T4152" s="475"/>
      <c r="U4152" s="475"/>
      <c r="V4152" s="475"/>
      <c r="W4152" s="475"/>
    </row>
    <row r="4153" spans="2:23" s="97" customFormat="1">
      <c r="B4153" s="96"/>
      <c r="H4153" s="96"/>
      <c r="J4153" s="1"/>
      <c r="K4153" s="1"/>
      <c r="L4153" s="1"/>
      <c r="O4153" s="475"/>
      <c r="P4153" s="475"/>
      <c r="Q4153" s="475"/>
      <c r="R4153" s="475"/>
      <c r="S4153" s="475"/>
      <c r="T4153" s="475"/>
      <c r="U4153" s="475"/>
      <c r="V4153" s="475"/>
      <c r="W4153" s="475"/>
    </row>
    <row r="4154" spans="2:23" s="97" customFormat="1">
      <c r="B4154" s="96"/>
      <c r="H4154" s="96"/>
      <c r="J4154" s="1"/>
      <c r="K4154" s="1"/>
      <c r="L4154" s="1"/>
      <c r="O4154" s="475"/>
      <c r="P4154" s="475"/>
      <c r="Q4154" s="475"/>
      <c r="R4154" s="475"/>
      <c r="S4154" s="475"/>
      <c r="T4154" s="475"/>
      <c r="U4154" s="475"/>
      <c r="V4154" s="475"/>
      <c r="W4154" s="475"/>
    </row>
    <row r="4155" spans="2:23" s="97" customFormat="1">
      <c r="B4155" s="96"/>
      <c r="H4155" s="96"/>
      <c r="J4155" s="1"/>
      <c r="K4155" s="1"/>
      <c r="L4155" s="1"/>
      <c r="O4155" s="475"/>
      <c r="P4155" s="475"/>
      <c r="Q4155" s="475"/>
      <c r="R4155" s="475"/>
      <c r="S4155" s="475"/>
      <c r="T4155" s="475"/>
      <c r="U4155" s="475"/>
      <c r="V4155" s="475"/>
      <c r="W4155" s="475"/>
    </row>
    <row r="4156" spans="2:23" s="97" customFormat="1">
      <c r="B4156" s="96"/>
      <c r="H4156" s="96"/>
      <c r="J4156" s="1"/>
      <c r="K4156" s="1"/>
      <c r="L4156" s="1"/>
      <c r="O4156" s="475"/>
      <c r="P4156" s="475"/>
      <c r="Q4156" s="475"/>
      <c r="R4156" s="475"/>
      <c r="S4156" s="475"/>
      <c r="T4156" s="475"/>
      <c r="U4156" s="475"/>
      <c r="V4156" s="475"/>
      <c r="W4156" s="475"/>
    </row>
    <row r="4157" spans="2:23" s="97" customFormat="1">
      <c r="B4157" s="96"/>
      <c r="H4157" s="96"/>
      <c r="J4157" s="1"/>
      <c r="K4157" s="1"/>
      <c r="L4157" s="1"/>
      <c r="O4157" s="475"/>
      <c r="P4157" s="475"/>
      <c r="Q4157" s="475"/>
      <c r="R4157" s="475"/>
      <c r="S4157" s="475"/>
      <c r="T4157" s="475"/>
      <c r="U4157" s="475"/>
      <c r="V4157" s="475"/>
      <c r="W4157" s="475"/>
    </row>
    <row r="4158" spans="2:23" s="97" customFormat="1">
      <c r="B4158" s="96"/>
      <c r="H4158" s="96"/>
      <c r="J4158" s="1"/>
      <c r="K4158" s="1"/>
      <c r="L4158" s="1"/>
      <c r="O4158" s="475"/>
      <c r="P4158" s="475"/>
      <c r="Q4158" s="475"/>
      <c r="R4158" s="475"/>
      <c r="S4158" s="475"/>
      <c r="T4158" s="475"/>
      <c r="U4158" s="475"/>
      <c r="V4158" s="475"/>
      <c r="W4158" s="475"/>
    </row>
    <row r="4159" spans="2:23" s="97" customFormat="1">
      <c r="B4159" s="96"/>
      <c r="H4159" s="96"/>
      <c r="J4159" s="1"/>
      <c r="K4159" s="1"/>
      <c r="L4159" s="1"/>
      <c r="O4159" s="475"/>
      <c r="P4159" s="475"/>
      <c r="Q4159" s="475"/>
      <c r="R4159" s="475"/>
      <c r="S4159" s="475"/>
      <c r="T4159" s="475"/>
      <c r="U4159" s="475"/>
      <c r="V4159" s="475"/>
      <c r="W4159" s="475"/>
    </row>
    <row r="4160" spans="2:23" s="97" customFormat="1">
      <c r="B4160" s="96"/>
      <c r="H4160" s="96"/>
      <c r="J4160" s="1"/>
      <c r="K4160" s="1"/>
      <c r="L4160" s="1"/>
      <c r="O4160" s="475"/>
      <c r="P4160" s="475"/>
      <c r="Q4160" s="475"/>
      <c r="R4160" s="475"/>
      <c r="S4160" s="475"/>
      <c r="T4160" s="475"/>
      <c r="U4160" s="475"/>
      <c r="V4160" s="475"/>
      <c r="W4160" s="475"/>
    </row>
    <row r="4161" spans="2:23" s="97" customFormat="1">
      <c r="B4161" s="96"/>
      <c r="H4161" s="96"/>
      <c r="J4161" s="1"/>
      <c r="K4161" s="1"/>
      <c r="L4161" s="1"/>
      <c r="O4161" s="475"/>
      <c r="P4161" s="475"/>
      <c r="Q4161" s="475"/>
      <c r="R4161" s="475"/>
      <c r="S4161" s="475"/>
      <c r="T4161" s="475"/>
      <c r="U4161" s="475"/>
      <c r="V4161" s="475"/>
      <c r="W4161" s="475"/>
    </row>
    <row r="4162" spans="2:23" s="97" customFormat="1">
      <c r="B4162" s="96"/>
      <c r="H4162" s="96"/>
      <c r="J4162" s="1"/>
      <c r="K4162" s="1"/>
      <c r="L4162" s="1"/>
      <c r="O4162" s="475"/>
      <c r="P4162" s="475"/>
      <c r="Q4162" s="475"/>
      <c r="R4162" s="475"/>
      <c r="S4162" s="475"/>
      <c r="T4162" s="475"/>
      <c r="U4162" s="475"/>
      <c r="V4162" s="475"/>
      <c r="W4162" s="475"/>
    </row>
    <row r="4163" spans="2:23" s="97" customFormat="1">
      <c r="B4163" s="96"/>
      <c r="H4163" s="96"/>
      <c r="J4163" s="1"/>
      <c r="K4163" s="1"/>
      <c r="L4163" s="1"/>
      <c r="O4163" s="475"/>
      <c r="P4163" s="475"/>
      <c r="Q4163" s="475"/>
      <c r="R4163" s="475"/>
      <c r="S4163" s="475"/>
      <c r="T4163" s="475"/>
      <c r="U4163" s="475"/>
      <c r="V4163" s="475"/>
      <c r="W4163" s="475"/>
    </row>
    <row r="4164" spans="2:23" s="97" customFormat="1">
      <c r="B4164" s="96"/>
      <c r="H4164" s="96"/>
      <c r="J4164" s="1"/>
      <c r="K4164" s="1"/>
      <c r="L4164" s="1"/>
      <c r="O4164" s="475"/>
      <c r="P4164" s="475"/>
      <c r="Q4164" s="475"/>
      <c r="R4164" s="475"/>
      <c r="S4164" s="475"/>
      <c r="T4164" s="475"/>
      <c r="U4164" s="475"/>
      <c r="V4164" s="475"/>
      <c r="W4164" s="475"/>
    </row>
    <row r="4165" spans="2:23" s="97" customFormat="1">
      <c r="B4165" s="96"/>
      <c r="H4165" s="96"/>
      <c r="J4165" s="1"/>
      <c r="K4165" s="1"/>
      <c r="L4165" s="1"/>
      <c r="O4165" s="475"/>
      <c r="P4165" s="475"/>
      <c r="Q4165" s="475"/>
      <c r="R4165" s="475"/>
      <c r="S4165" s="475"/>
      <c r="T4165" s="475"/>
      <c r="U4165" s="475"/>
      <c r="V4165" s="475"/>
      <c r="W4165" s="475"/>
    </row>
    <row r="4166" spans="2:23" s="97" customFormat="1">
      <c r="B4166" s="96"/>
      <c r="H4166" s="96"/>
      <c r="J4166" s="1"/>
      <c r="K4166" s="1"/>
      <c r="L4166" s="1"/>
      <c r="O4166" s="475"/>
      <c r="P4166" s="475"/>
      <c r="Q4166" s="475"/>
      <c r="R4166" s="475"/>
      <c r="S4166" s="475"/>
      <c r="T4166" s="475"/>
      <c r="U4166" s="475"/>
      <c r="V4166" s="475"/>
      <c r="W4166" s="475"/>
    </row>
    <row r="4167" spans="2:23" s="97" customFormat="1">
      <c r="B4167" s="96"/>
      <c r="H4167" s="96"/>
      <c r="J4167" s="1"/>
      <c r="K4167" s="1"/>
      <c r="L4167" s="1"/>
      <c r="O4167" s="475"/>
      <c r="P4167" s="475"/>
      <c r="Q4167" s="475"/>
      <c r="R4167" s="475"/>
      <c r="S4167" s="475"/>
      <c r="T4167" s="475"/>
      <c r="U4167" s="475"/>
      <c r="V4167" s="475"/>
      <c r="W4167" s="475"/>
    </row>
    <row r="4168" spans="2:23" s="97" customFormat="1">
      <c r="B4168" s="96"/>
      <c r="H4168" s="96"/>
      <c r="J4168" s="1"/>
      <c r="K4168" s="1"/>
      <c r="L4168" s="1"/>
      <c r="O4168" s="475"/>
      <c r="P4168" s="475"/>
      <c r="Q4168" s="475"/>
      <c r="R4168" s="475"/>
      <c r="S4168" s="475"/>
      <c r="T4168" s="475"/>
      <c r="U4168" s="475"/>
      <c r="V4168" s="475"/>
      <c r="W4168" s="475"/>
    </row>
    <row r="4169" spans="2:23" s="97" customFormat="1">
      <c r="B4169" s="96"/>
      <c r="H4169" s="96"/>
      <c r="J4169" s="1"/>
      <c r="K4169" s="1"/>
      <c r="L4169" s="1"/>
      <c r="O4169" s="475"/>
      <c r="P4169" s="475"/>
      <c r="Q4169" s="475"/>
      <c r="R4169" s="475"/>
      <c r="S4169" s="475"/>
      <c r="T4169" s="475"/>
      <c r="U4169" s="475"/>
      <c r="V4169" s="475"/>
      <c r="W4169" s="475"/>
    </row>
    <row r="4170" spans="2:23" s="97" customFormat="1">
      <c r="B4170" s="96"/>
      <c r="H4170" s="96"/>
      <c r="J4170" s="1"/>
      <c r="K4170" s="1"/>
      <c r="L4170" s="1"/>
      <c r="O4170" s="475"/>
      <c r="P4170" s="475"/>
      <c r="Q4170" s="475"/>
      <c r="R4170" s="475"/>
      <c r="S4170" s="475"/>
      <c r="T4170" s="475"/>
      <c r="U4170" s="475"/>
      <c r="V4170" s="475"/>
      <c r="W4170" s="475"/>
    </row>
    <row r="4171" spans="2:23" s="97" customFormat="1">
      <c r="B4171" s="96"/>
      <c r="H4171" s="96"/>
      <c r="J4171" s="1"/>
      <c r="K4171" s="1"/>
      <c r="L4171" s="1"/>
      <c r="O4171" s="475"/>
      <c r="P4171" s="475"/>
      <c r="Q4171" s="475"/>
      <c r="R4171" s="475"/>
      <c r="S4171" s="475"/>
      <c r="T4171" s="475"/>
      <c r="U4171" s="475"/>
      <c r="V4171" s="475"/>
      <c r="W4171" s="475"/>
    </row>
    <row r="4172" spans="2:23" s="97" customFormat="1">
      <c r="B4172" s="96"/>
      <c r="H4172" s="96"/>
      <c r="J4172" s="1"/>
      <c r="K4172" s="1"/>
      <c r="L4172" s="1"/>
      <c r="O4172" s="475"/>
      <c r="P4172" s="475"/>
      <c r="Q4172" s="475"/>
      <c r="R4172" s="475"/>
      <c r="S4172" s="475"/>
      <c r="T4172" s="475"/>
      <c r="U4172" s="475"/>
      <c r="V4172" s="475"/>
      <c r="W4172" s="475"/>
    </row>
    <row r="4173" spans="2:23" s="97" customFormat="1">
      <c r="B4173" s="96"/>
      <c r="H4173" s="96"/>
      <c r="J4173" s="1"/>
      <c r="K4173" s="1"/>
      <c r="L4173" s="1"/>
      <c r="O4173" s="475"/>
      <c r="P4173" s="475"/>
      <c r="Q4173" s="475"/>
      <c r="R4173" s="475"/>
      <c r="S4173" s="475"/>
      <c r="T4173" s="475"/>
      <c r="U4173" s="475"/>
      <c r="V4173" s="475"/>
      <c r="W4173" s="475"/>
    </row>
    <row r="4174" spans="2:23" s="97" customFormat="1">
      <c r="B4174" s="96"/>
      <c r="H4174" s="96"/>
      <c r="J4174" s="1"/>
      <c r="K4174" s="1"/>
      <c r="L4174" s="1"/>
      <c r="O4174" s="475"/>
      <c r="P4174" s="475"/>
      <c r="Q4174" s="475"/>
      <c r="R4174" s="475"/>
      <c r="S4174" s="475"/>
      <c r="T4174" s="475"/>
      <c r="U4174" s="475"/>
      <c r="V4174" s="475"/>
      <c r="W4174" s="475"/>
    </row>
    <row r="4175" spans="2:23" s="97" customFormat="1">
      <c r="B4175" s="96"/>
      <c r="H4175" s="96"/>
      <c r="J4175" s="1"/>
      <c r="K4175" s="1"/>
      <c r="L4175" s="1"/>
      <c r="O4175" s="475"/>
      <c r="P4175" s="475"/>
      <c r="Q4175" s="475"/>
      <c r="R4175" s="475"/>
      <c r="S4175" s="475"/>
      <c r="T4175" s="475"/>
      <c r="U4175" s="475"/>
      <c r="V4175" s="475"/>
      <c r="W4175" s="475"/>
    </row>
    <row r="4176" spans="2:23" s="97" customFormat="1">
      <c r="B4176" s="96"/>
      <c r="H4176" s="96"/>
      <c r="J4176" s="1"/>
      <c r="K4176" s="1"/>
      <c r="L4176" s="1"/>
      <c r="O4176" s="475"/>
      <c r="P4176" s="475"/>
      <c r="Q4176" s="475"/>
      <c r="R4176" s="475"/>
      <c r="S4176" s="475"/>
      <c r="T4176" s="475"/>
      <c r="U4176" s="475"/>
      <c r="V4176" s="475"/>
      <c r="W4176" s="475"/>
    </row>
    <row r="4177" spans="2:23" s="97" customFormat="1">
      <c r="B4177" s="96"/>
      <c r="H4177" s="96"/>
      <c r="J4177" s="1"/>
      <c r="K4177" s="1"/>
      <c r="L4177" s="1"/>
      <c r="O4177" s="475"/>
      <c r="P4177" s="475"/>
      <c r="Q4177" s="475"/>
      <c r="R4177" s="475"/>
      <c r="S4177" s="475"/>
      <c r="T4177" s="475"/>
      <c r="U4177" s="475"/>
      <c r="V4177" s="475"/>
      <c r="W4177" s="475"/>
    </row>
    <row r="4178" spans="2:23" s="97" customFormat="1">
      <c r="B4178" s="96"/>
      <c r="H4178" s="96"/>
      <c r="J4178" s="1"/>
      <c r="K4178" s="1"/>
      <c r="L4178" s="1"/>
      <c r="O4178" s="475"/>
      <c r="P4178" s="475"/>
      <c r="Q4178" s="475"/>
      <c r="R4178" s="475"/>
      <c r="S4178" s="475"/>
      <c r="T4178" s="475"/>
      <c r="U4178" s="475"/>
      <c r="V4178" s="475"/>
      <c r="W4178" s="475"/>
    </row>
    <row r="4179" spans="2:23" s="97" customFormat="1">
      <c r="B4179" s="96"/>
      <c r="H4179" s="96"/>
      <c r="J4179" s="1"/>
      <c r="K4179" s="1"/>
      <c r="L4179" s="1"/>
      <c r="O4179" s="475"/>
      <c r="P4179" s="475"/>
      <c r="Q4179" s="475"/>
      <c r="R4179" s="475"/>
      <c r="S4179" s="475"/>
      <c r="T4179" s="475"/>
      <c r="U4179" s="475"/>
      <c r="V4179" s="475"/>
      <c r="W4179" s="475"/>
    </row>
    <row r="4180" spans="2:23" s="97" customFormat="1">
      <c r="B4180" s="96"/>
      <c r="H4180" s="96"/>
      <c r="J4180" s="1"/>
      <c r="K4180" s="1"/>
      <c r="L4180" s="1"/>
      <c r="O4180" s="475"/>
      <c r="P4180" s="475"/>
      <c r="Q4180" s="475"/>
      <c r="R4180" s="475"/>
      <c r="S4180" s="475"/>
      <c r="T4180" s="475"/>
      <c r="U4180" s="475"/>
      <c r="V4180" s="475"/>
      <c r="W4180" s="475"/>
    </row>
    <row r="4181" spans="2:23" s="97" customFormat="1">
      <c r="B4181" s="96"/>
      <c r="H4181" s="96"/>
      <c r="J4181" s="1"/>
      <c r="K4181" s="1"/>
      <c r="L4181" s="1"/>
      <c r="O4181" s="475"/>
      <c r="P4181" s="475"/>
      <c r="Q4181" s="475"/>
      <c r="R4181" s="475"/>
      <c r="S4181" s="475"/>
      <c r="T4181" s="475"/>
      <c r="U4181" s="475"/>
      <c r="V4181" s="475"/>
      <c r="W4181" s="475"/>
    </row>
    <row r="4182" spans="2:23" s="97" customFormat="1">
      <c r="B4182" s="96"/>
      <c r="H4182" s="96"/>
      <c r="J4182" s="1"/>
      <c r="K4182" s="1"/>
      <c r="L4182" s="1"/>
      <c r="O4182" s="475"/>
      <c r="P4182" s="475"/>
      <c r="Q4182" s="475"/>
      <c r="R4182" s="475"/>
      <c r="S4182" s="475"/>
      <c r="T4182" s="475"/>
      <c r="U4182" s="475"/>
      <c r="V4182" s="475"/>
      <c r="W4182" s="475"/>
    </row>
    <row r="4183" spans="2:23" s="97" customFormat="1">
      <c r="B4183" s="96"/>
      <c r="H4183" s="96"/>
      <c r="J4183" s="1"/>
      <c r="K4183" s="1"/>
      <c r="L4183" s="1"/>
      <c r="O4183" s="475"/>
      <c r="P4183" s="475"/>
      <c r="Q4183" s="475"/>
      <c r="R4183" s="475"/>
      <c r="S4183" s="475"/>
      <c r="T4183" s="475"/>
      <c r="U4183" s="475"/>
      <c r="V4183" s="475"/>
      <c r="W4183" s="475"/>
    </row>
    <row r="4184" spans="2:23" s="97" customFormat="1">
      <c r="B4184" s="96"/>
      <c r="H4184" s="96"/>
      <c r="J4184" s="1"/>
      <c r="K4184" s="1"/>
      <c r="L4184" s="1"/>
      <c r="O4184" s="475"/>
      <c r="P4184" s="475"/>
      <c r="Q4184" s="475"/>
      <c r="R4184" s="475"/>
      <c r="S4184" s="475"/>
      <c r="T4184" s="475"/>
      <c r="U4184" s="475"/>
      <c r="V4184" s="475"/>
      <c r="W4184" s="475"/>
    </row>
    <row r="4185" spans="2:23" s="97" customFormat="1">
      <c r="B4185" s="96"/>
      <c r="H4185" s="96"/>
      <c r="J4185" s="1"/>
      <c r="K4185" s="1"/>
      <c r="L4185" s="1"/>
      <c r="O4185" s="475"/>
      <c r="P4185" s="475"/>
      <c r="Q4185" s="475"/>
      <c r="R4185" s="475"/>
      <c r="S4185" s="475"/>
      <c r="T4185" s="475"/>
      <c r="U4185" s="475"/>
      <c r="V4185" s="475"/>
      <c r="W4185" s="475"/>
    </row>
    <row r="4186" spans="2:23" s="97" customFormat="1">
      <c r="B4186" s="96"/>
      <c r="H4186" s="96"/>
      <c r="J4186" s="1"/>
      <c r="K4186" s="1"/>
      <c r="L4186" s="1"/>
      <c r="O4186" s="475"/>
      <c r="P4186" s="475"/>
      <c r="Q4186" s="475"/>
      <c r="R4186" s="475"/>
      <c r="S4186" s="475"/>
      <c r="T4186" s="475"/>
      <c r="U4186" s="475"/>
      <c r="V4186" s="475"/>
      <c r="W4186" s="475"/>
    </row>
    <row r="4187" spans="2:23" s="97" customFormat="1">
      <c r="B4187" s="96"/>
      <c r="H4187" s="96"/>
      <c r="J4187" s="1"/>
      <c r="K4187" s="1"/>
      <c r="L4187" s="1"/>
      <c r="O4187" s="475"/>
      <c r="P4187" s="475"/>
      <c r="Q4187" s="475"/>
      <c r="R4187" s="475"/>
      <c r="S4187" s="475"/>
      <c r="T4187" s="475"/>
      <c r="U4187" s="475"/>
      <c r="V4187" s="475"/>
      <c r="W4187" s="475"/>
    </row>
    <row r="4188" spans="2:23" s="97" customFormat="1">
      <c r="B4188" s="96"/>
      <c r="H4188" s="96"/>
      <c r="J4188" s="1"/>
      <c r="K4188" s="1"/>
      <c r="L4188" s="1"/>
      <c r="O4188" s="475"/>
      <c r="P4188" s="475"/>
      <c r="Q4188" s="475"/>
      <c r="R4188" s="475"/>
      <c r="S4188" s="475"/>
      <c r="T4188" s="475"/>
      <c r="U4188" s="475"/>
      <c r="V4188" s="475"/>
      <c r="W4188" s="475"/>
    </row>
    <row r="4189" spans="2:23" s="97" customFormat="1">
      <c r="B4189" s="96"/>
      <c r="H4189" s="96"/>
      <c r="J4189" s="1"/>
      <c r="K4189" s="1"/>
      <c r="L4189" s="1"/>
      <c r="O4189" s="475"/>
      <c r="P4189" s="475"/>
      <c r="Q4189" s="475"/>
      <c r="R4189" s="475"/>
      <c r="S4189" s="475"/>
      <c r="T4189" s="475"/>
      <c r="U4189" s="475"/>
      <c r="V4189" s="475"/>
      <c r="W4189" s="475"/>
    </row>
    <row r="4190" spans="2:23" s="97" customFormat="1">
      <c r="B4190" s="96"/>
      <c r="H4190" s="96"/>
      <c r="J4190" s="1"/>
      <c r="K4190" s="1"/>
      <c r="L4190" s="1"/>
      <c r="O4190" s="475"/>
      <c r="P4190" s="475"/>
      <c r="Q4190" s="475"/>
      <c r="R4190" s="475"/>
      <c r="S4190" s="475"/>
      <c r="T4190" s="475"/>
      <c r="U4190" s="475"/>
      <c r="V4190" s="475"/>
      <c r="W4190" s="475"/>
    </row>
    <row r="4191" spans="2:23" s="97" customFormat="1">
      <c r="B4191" s="96"/>
      <c r="H4191" s="96"/>
      <c r="J4191" s="1"/>
      <c r="K4191" s="1"/>
      <c r="L4191" s="1"/>
      <c r="O4191" s="475"/>
      <c r="P4191" s="475"/>
      <c r="Q4191" s="475"/>
      <c r="R4191" s="475"/>
      <c r="S4191" s="475"/>
      <c r="T4191" s="475"/>
      <c r="U4191" s="475"/>
      <c r="V4191" s="475"/>
      <c r="W4191" s="475"/>
    </row>
    <row r="4192" spans="2:23" s="97" customFormat="1">
      <c r="B4192" s="96"/>
      <c r="H4192" s="96"/>
      <c r="J4192" s="1"/>
      <c r="K4192" s="1"/>
      <c r="L4192" s="1"/>
      <c r="O4192" s="475"/>
      <c r="P4192" s="475"/>
      <c r="Q4192" s="475"/>
      <c r="R4192" s="475"/>
      <c r="S4192" s="475"/>
      <c r="T4192" s="475"/>
      <c r="U4192" s="475"/>
      <c r="V4192" s="475"/>
      <c r="W4192" s="475"/>
    </row>
    <row r="4193" spans="2:23" s="97" customFormat="1">
      <c r="B4193" s="96"/>
      <c r="H4193" s="96"/>
      <c r="J4193" s="1"/>
      <c r="K4193" s="1"/>
      <c r="L4193" s="1"/>
      <c r="O4193" s="475"/>
      <c r="P4193" s="475"/>
      <c r="Q4193" s="475"/>
      <c r="R4193" s="475"/>
      <c r="S4193" s="475"/>
      <c r="T4193" s="475"/>
      <c r="U4193" s="475"/>
      <c r="V4193" s="475"/>
      <c r="W4193" s="475"/>
    </row>
    <row r="4194" spans="2:23" s="97" customFormat="1">
      <c r="B4194" s="96"/>
      <c r="H4194" s="96"/>
      <c r="J4194" s="1"/>
      <c r="K4194" s="1"/>
      <c r="L4194" s="1"/>
      <c r="O4194" s="475"/>
      <c r="P4194" s="475"/>
      <c r="Q4194" s="475"/>
      <c r="R4194" s="475"/>
      <c r="S4194" s="475"/>
      <c r="T4194" s="475"/>
      <c r="U4194" s="475"/>
      <c r="V4194" s="475"/>
      <c r="W4194" s="475"/>
    </row>
    <row r="4195" spans="2:23" s="97" customFormat="1">
      <c r="B4195" s="96"/>
      <c r="H4195" s="96"/>
      <c r="J4195" s="1"/>
      <c r="K4195" s="1"/>
      <c r="L4195" s="1"/>
      <c r="O4195" s="475"/>
      <c r="P4195" s="475"/>
      <c r="Q4195" s="475"/>
      <c r="R4195" s="475"/>
      <c r="S4195" s="475"/>
      <c r="T4195" s="475"/>
      <c r="U4195" s="475"/>
      <c r="V4195" s="475"/>
      <c r="W4195" s="475"/>
    </row>
    <row r="4196" spans="2:23" s="97" customFormat="1">
      <c r="B4196" s="96"/>
      <c r="H4196" s="96"/>
      <c r="J4196" s="1"/>
      <c r="K4196" s="1"/>
      <c r="L4196" s="1"/>
      <c r="O4196" s="475"/>
      <c r="P4196" s="475"/>
      <c r="Q4196" s="475"/>
      <c r="R4196" s="475"/>
      <c r="S4196" s="475"/>
      <c r="T4196" s="475"/>
      <c r="U4196" s="475"/>
      <c r="V4196" s="475"/>
      <c r="W4196" s="475"/>
    </row>
    <row r="4197" spans="2:23" s="97" customFormat="1">
      <c r="B4197" s="96"/>
      <c r="H4197" s="96"/>
      <c r="J4197" s="1"/>
      <c r="K4197" s="1"/>
      <c r="L4197" s="1"/>
      <c r="O4197" s="475"/>
      <c r="P4197" s="475"/>
      <c r="Q4197" s="475"/>
      <c r="R4197" s="475"/>
      <c r="S4197" s="475"/>
      <c r="T4197" s="475"/>
      <c r="U4197" s="475"/>
      <c r="V4197" s="475"/>
      <c r="W4197" s="475"/>
    </row>
    <row r="4198" spans="2:23" s="97" customFormat="1">
      <c r="B4198" s="96"/>
      <c r="H4198" s="96"/>
      <c r="J4198" s="1"/>
      <c r="K4198" s="1"/>
      <c r="L4198" s="1"/>
      <c r="O4198" s="475"/>
      <c r="P4198" s="475"/>
      <c r="Q4198" s="475"/>
      <c r="R4198" s="475"/>
      <c r="S4198" s="475"/>
      <c r="T4198" s="475"/>
      <c r="U4198" s="475"/>
      <c r="V4198" s="475"/>
      <c r="W4198" s="475"/>
    </row>
    <row r="4199" spans="2:23" s="97" customFormat="1">
      <c r="B4199" s="96"/>
      <c r="H4199" s="96"/>
      <c r="J4199" s="1"/>
      <c r="K4199" s="1"/>
      <c r="L4199" s="1"/>
      <c r="O4199" s="475"/>
      <c r="P4199" s="475"/>
      <c r="Q4199" s="475"/>
      <c r="R4199" s="475"/>
      <c r="S4199" s="475"/>
      <c r="T4199" s="475"/>
      <c r="U4199" s="475"/>
      <c r="V4199" s="475"/>
      <c r="W4199" s="475"/>
    </row>
    <row r="4200" spans="2:23" s="97" customFormat="1">
      <c r="B4200" s="96"/>
      <c r="H4200" s="96"/>
      <c r="J4200" s="1"/>
      <c r="K4200" s="1"/>
      <c r="L4200" s="1"/>
      <c r="O4200" s="475"/>
      <c r="P4200" s="475"/>
      <c r="Q4200" s="475"/>
      <c r="R4200" s="475"/>
      <c r="S4200" s="475"/>
      <c r="T4200" s="475"/>
      <c r="U4200" s="475"/>
      <c r="V4200" s="475"/>
      <c r="W4200" s="475"/>
    </row>
    <row r="4201" spans="2:23" s="97" customFormat="1">
      <c r="B4201" s="96"/>
      <c r="H4201" s="96"/>
      <c r="J4201" s="1"/>
      <c r="K4201" s="1"/>
      <c r="L4201" s="1"/>
      <c r="O4201" s="475"/>
      <c r="P4201" s="475"/>
      <c r="Q4201" s="475"/>
      <c r="R4201" s="475"/>
      <c r="S4201" s="475"/>
      <c r="T4201" s="475"/>
      <c r="U4201" s="475"/>
      <c r="V4201" s="475"/>
      <c r="W4201" s="475"/>
    </row>
    <row r="4202" spans="2:23" s="97" customFormat="1">
      <c r="B4202" s="96"/>
      <c r="H4202" s="96"/>
      <c r="J4202" s="1"/>
      <c r="K4202" s="1"/>
      <c r="L4202" s="1"/>
      <c r="O4202" s="475"/>
      <c r="P4202" s="475"/>
      <c r="Q4202" s="475"/>
      <c r="R4202" s="475"/>
      <c r="S4202" s="475"/>
      <c r="T4202" s="475"/>
      <c r="U4202" s="475"/>
      <c r="V4202" s="475"/>
      <c r="W4202" s="475"/>
    </row>
    <row r="4203" spans="2:23" s="97" customFormat="1">
      <c r="B4203" s="96"/>
      <c r="H4203" s="96"/>
      <c r="J4203" s="1"/>
      <c r="K4203" s="1"/>
      <c r="L4203" s="1"/>
      <c r="O4203" s="475"/>
      <c r="P4203" s="475"/>
      <c r="Q4203" s="475"/>
      <c r="R4203" s="475"/>
      <c r="S4203" s="475"/>
      <c r="T4203" s="475"/>
      <c r="U4203" s="475"/>
      <c r="V4203" s="475"/>
      <c r="W4203" s="475"/>
    </row>
    <row r="4204" spans="2:23" s="97" customFormat="1">
      <c r="B4204" s="96"/>
      <c r="H4204" s="96"/>
      <c r="J4204" s="1"/>
      <c r="K4204" s="1"/>
      <c r="L4204" s="1"/>
      <c r="O4204" s="475"/>
      <c r="P4204" s="475"/>
      <c r="Q4204" s="475"/>
      <c r="R4204" s="475"/>
      <c r="S4204" s="475"/>
      <c r="T4204" s="475"/>
      <c r="U4204" s="475"/>
      <c r="V4204" s="475"/>
      <c r="W4204" s="475"/>
    </row>
    <row r="4205" spans="2:23" s="97" customFormat="1">
      <c r="B4205" s="96"/>
      <c r="H4205" s="96"/>
      <c r="J4205" s="1"/>
      <c r="K4205" s="1"/>
      <c r="L4205" s="1"/>
      <c r="O4205" s="475"/>
      <c r="P4205" s="475"/>
      <c r="Q4205" s="475"/>
      <c r="R4205" s="475"/>
      <c r="S4205" s="475"/>
      <c r="T4205" s="475"/>
      <c r="U4205" s="475"/>
      <c r="V4205" s="475"/>
      <c r="W4205" s="475"/>
    </row>
    <row r="4206" spans="2:23" s="97" customFormat="1">
      <c r="B4206" s="96"/>
      <c r="H4206" s="96"/>
      <c r="J4206" s="1"/>
      <c r="K4206" s="1"/>
      <c r="L4206" s="1"/>
      <c r="O4206" s="475"/>
      <c r="P4206" s="475"/>
      <c r="Q4206" s="475"/>
      <c r="R4206" s="475"/>
      <c r="S4206" s="475"/>
      <c r="T4206" s="475"/>
      <c r="U4206" s="475"/>
      <c r="V4206" s="475"/>
      <c r="W4206" s="475"/>
    </row>
    <row r="4207" spans="2:23" s="97" customFormat="1">
      <c r="B4207" s="96"/>
      <c r="H4207" s="96"/>
      <c r="J4207" s="1"/>
      <c r="K4207" s="1"/>
      <c r="L4207" s="1"/>
      <c r="O4207" s="475"/>
      <c r="P4207" s="475"/>
      <c r="Q4207" s="475"/>
      <c r="R4207" s="475"/>
      <c r="S4207" s="475"/>
      <c r="T4207" s="475"/>
      <c r="U4207" s="475"/>
      <c r="V4207" s="475"/>
      <c r="W4207" s="475"/>
    </row>
    <row r="4208" spans="2:23" s="97" customFormat="1">
      <c r="B4208" s="96"/>
      <c r="H4208" s="96"/>
      <c r="J4208" s="1"/>
      <c r="K4208" s="1"/>
      <c r="L4208" s="1"/>
      <c r="O4208" s="475"/>
      <c r="P4208" s="475"/>
      <c r="Q4208" s="475"/>
      <c r="R4208" s="475"/>
      <c r="S4208" s="475"/>
      <c r="T4208" s="475"/>
      <c r="U4208" s="475"/>
      <c r="V4208" s="475"/>
      <c r="W4208" s="475"/>
    </row>
    <row r="4209" spans="2:23" s="97" customFormat="1">
      <c r="B4209" s="96"/>
      <c r="H4209" s="96"/>
      <c r="J4209" s="1"/>
      <c r="K4209" s="1"/>
      <c r="L4209" s="1"/>
      <c r="O4209" s="475"/>
      <c r="P4209" s="475"/>
      <c r="Q4209" s="475"/>
      <c r="R4209" s="475"/>
      <c r="S4209" s="475"/>
      <c r="T4209" s="475"/>
      <c r="U4209" s="475"/>
      <c r="V4209" s="475"/>
      <c r="W4209" s="475"/>
    </row>
    <row r="4210" spans="2:23" s="97" customFormat="1">
      <c r="B4210" s="96"/>
      <c r="H4210" s="96"/>
      <c r="J4210" s="1"/>
      <c r="K4210" s="1"/>
      <c r="L4210" s="1"/>
      <c r="O4210" s="475"/>
      <c r="P4210" s="475"/>
      <c r="Q4210" s="475"/>
      <c r="R4210" s="475"/>
      <c r="S4210" s="475"/>
      <c r="T4210" s="475"/>
      <c r="U4210" s="475"/>
      <c r="V4210" s="475"/>
      <c r="W4210" s="475"/>
    </row>
    <row r="4211" spans="2:23" s="97" customFormat="1">
      <c r="B4211" s="96"/>
      <c r="H4211" s="96"/>
      <c r="J4211" s="1"/>
      <c r="K4211" s="1"/>
      <c r="L4211" s="1"/>
      <c r="O4211" s="475"/>
      <c r="P4211" s="475"/>
      <c r="Q4211" s="475"/>
      <c r="R4211" s="475"/>
      <c r="S4211" s="475"/>
      <c r="T4211" s="475"/>
      <c r="U4211" s="475"/>
      <c r="V4211" s="475"/>
      <c r="W4211" s="475"/>
    </row>
    <row r="4212" spans="2:23" s="97" customFormat="1">
      <c r="B4212" s="96"/>
      <c r="H4212" s="96"/>
      <c r="J4212" s="1"/>
      <c r="K4212" s="1"/>
      <c r="L4212" s="1"/>
      <c r="O4212" s="475"/>
      <c r="P4212" s="475"/>
      <c r="Q4212" s="475"/>
      <c r="R4212" s="475"/>
      <c r="S4212" s="475"/>
      <c r="T4212" s="475"/>
      <c r="U4212" s="475"/>
      <c r="V4212" s="475"/>
      <c r="W4212" s="475"/>
    </row>
    <row r="4213" spans="2:23" s="97" customFormat="1">
      <c r="B4213" s="96"/>
      <c r="H4213" s="96"/>
      <c r="J4213" s="1"/>
      <c r="K4213" s="1"/>
      <c r="L4213" s="1"/>
      <c r="O4213" s="475"/>
      <c r="P4213" s="475"/>
      <c r="Q4213" s="475"/>
      <c r="R4213" s="475"/>
      <c r="S4213" s="475"/>
      <c r="T4213" s="475"/>
      <c r="U4213" s="475"/>
      <c r="V4213" s="475"/>
      <c r="W4213" s="475"/>
    </row>
    <row r="4214" spans="2:23" s="97" customFormat="1">
      <c r="B4214" s="96"/>
      <c r="H4214" s="96"/>
      <c r="J4214" s="1"/>
      <c r="K4214" s="1"/>
      <c r="L4214" s="1"/>
      <c r="O4214" s="475"/>
      <c r="P4214" s="475"/>
      <c r="Q4214" s="475"/>
      <c r="R4214" s="475"/>
      <c r="S4214" s="475"/>
      <c r="T4214" s="475"/>
      <c r="U4214" s="475"/>
      <c r="V4214" s="475"/>
      <c r="W4214" s="475"/>
    </row>
    <row r="4215" spans="2:23" s="97" customFormat="1">
      <c r="B4215" s="96"/>
      <c r="H4215" s="96"/>
      <c r="J4215" s="1"/>
      <c r="K4215" s="1"/>
      <c r="L4215" s="1"/>
      <c r="O4215" s="475"/>
      <c r="P4215" s="475"/>
      <c r="Q4215" s="475"/>
      <c r="R4215" s="475"/>
      <c r="S4215" s="475"/>
      <c r="T4215" s="475"/>
      <c r="U4215" s="475"/>
      <c r="V4215" s="475"/>
      <c r="W4215" s="475"/>
    </row>
    <row r="4216" spans="2:23" s="97" customFormat="1">
      <c r="B4216" s="96"/>
      <c r="H4216" s="96"/>
      <c r="J4216" s="1"/>
      <c r="K4216" s="1"/>
      <c r="L4216" s="1"/>
      <c r="O4216" s="475"/>
      <c r="P4216" s="475"/>
      <c r="Q4216" s="475"/>
      <c r="R4216" s="475"/>
      <c r="S4216" s="475"/>
      <c r="T4216" s="475"/>
      <c r="U4216" s="475"/>
      <c r="V4216" s="475"/>
      <c r="W4216" s="475"/>
    </row>
    <row r="4217" spans="2:23" s="97" customFormat="1">
      <c r="B4217" s="96"/>
      <c r="H4217" s="96"/>
      <c r="J4217" s="1"/>
      <c r="K4217" s="1"/>
      <c r="L4217" s="1"/>
      <c r="O4217" s="475"/>
      <c r="P4217" s="475"/>
      <c r="Q4217" s="475"/>
      <c r="R4217" s="475"/>
      <c r="S4217" s="475"/>
      <c r="T4217" s="475"/>
      <c r="U4217" s="475"/>
      <c r="V4217" s="475"/>
      <c r="W4217" s="475"/>
    </row>
    <row r="4218" spans="2:23" s="97" customFormat="1">
      <c r="B4218" s="96"/>
      <c r="H4218" s="96"/>
      <c r="J4218" s="1"/>
      <c r="K4218" s="1"/>
      <c r="L4218" s="1"/>
      <c r="O4218" s="475"/>
      <c r="P4218" s="475"/>
      <c r="Q4218" s="475"/>
      <c r="R4218" s="475"/>
      <c r="S4218" s="475"/>
      <c r="T4218" s="475"/>
      <c r="U4218" s="475"/>
      <c r="V4218" s="475"/>
      <c r="W4218" s="475"/>
    </row>
    <row r="4219" spans="2:23" s="97" customFormat="1">
      <c r="B4219" s="96"/>
      <c r="H4219" s="96"/>
      <c r="J4219" s="1"/>
      <c r="K4219" s="1"/>
      <c r="L4219" s="1"/>
      <c r="O4219" s="475"/>
      <c r="P4219" s="475"/>
      <c r="Q4219" s="475"/>
      <c r="R4219" s="475"/>
      <c r="S4219" s="475"/>
      <c r="T4219" s="475"/>
      <c r="U4219" s="475"/>
      <c r="V4219" s="475"/>
      <c r="W4219" s="475"/>
    </row>
    <row r="4220" spans="2:23" s="97" customFormat="1">
      <c r="B4220" s="96"/>
      <c r="H4220" s="96"/>
      <c r="J4220" s="1"/>
      <c r="K4220" s="1"/>
      <c r="L4220" s="1"/>
      <c r="O4220" s="475"/>
      <c r="P4220" s="475"/>
      <c r="Q4220" s="475"/>
      <c r="R4220" s="475"/>
      <c r="S4220" s="475"/>
      <c r="T4220" s="475"/>
      <c r="U4220" s="475"/>
      <c r="V4220" s="475"/>
      <c r="W4220" s="475"/>
    </row>
    <row r="4221" spans="2:23" s="97" customFormat="1">
      <c r="B4221" s="96"/>
      <c r="H4221" s="96"/>
      <c r="J4221" s="1"/>
      <c r="K4221" s="1"/>
      <c r="L4221" s="1"/>
      <c r="O4221" s="475"/>
      <c r="P4221" s="475"/>
      <c r="Q4221" s="475"/>
      <c r="R4221" s="475"/>
      <c r="S4221" s="475"/>
      <c r="T4221" s="475"/>
      <c r="U4221" s="475"/>
      <c r="V4221" s="475"/>
      <c r="W4221" s="475"/>
    </row>
    <row r="4222" spans="2:23" s="97" customFormat="1">
      <c r="B4222" s="96"/>
      <c r="H4222" s="96"/>
      <c r="J4222" s="1"/>
      <c r="K4222" s="1"/>
      <c r="L4222" s="1"/>
      <c r="O4222" s="475"/>
      <c r="P4222" s="475"/>
      <c r="Q4222" s="475"/>
      <c r="R4222" s="475"/>
      <c r="S4222" s="475"/>
      <c r="T4222" s="475"/>
      <c r="U4222" s="475"/>
      <c r="V4222" s="475"/>
      <c r="W4222" s="475"/>
    </row>
    <row r="4223" spans="2:23" s="97" customFormat="1">
      <c r="B4223" s="96"/>
      <c r="H4223" s="96"/>
      <c r="J4223" s="1"/>
      <c r="K4223" s="1"/>
      <c r="L4223" s="1"/>
      <c r="O4223" s="475"/>
      <c r="P4223" s="475"/>
      <c r="Q4223" s="475"/>
      <c r="R4223" s="475"/>
      <c r="S4223" s="475"/>
      <c r="T4223" s="475"/>
      <c r="U4223" s="475"/>
      <c r="V4223" s="475"/>
      <c r="W4223" s="475"/>
    </row>
    <row r="4224" spans="2:23" s="97" customFormat="1">
      <c r="B4224" s="96"/>
      <c r="H4224" s="96"/>
      <c r="J4224" s="1"/>
      <c r="K4224" s="1"/>
      <c r="L4224" s="1"/>
      <c r="O4224" s="475"/>
      <c r="P4224" s="475"/>
      <c r="Q4224" s="475"/>
      <c r="R4224" s="475"/>
      <c r="S4224" s="475"/>
      <c r="T4224" s="475"/>
      <c r="U4224" s="475"/>
      <c r="V4224" s="475"/>
      <c r="W4224" s="475"/>
    </row>
    <row r="4225" spans="2:23" s="97" customFormat="1">
      <c r="B4225" s="96"/>
      <c r="H4225" s="96"/>
      <c r="J4225" s="1"/>
      <c r="K4225" s="1"/>
      <c r="L4225" s="1"/>
      <c r="O4225" s="475"/>
      <c r="P4225" s="475"/>
      <c r="Q4225" s="475"/>
      <c r="R4225" s="475"/>
      <c r="S4225" s="475"/>
      <c r="T4225" s="475"/>
      <c r="U4225" s="475"/>
      <c r="V4225" s="475"/>
      <c r="W4225" s="475"/>
    </row>
    <row r="4226" spans="2:23" s="97" customFormat="1">
      <c r="B4226" s="96"/>
      <c r="H4226" s="96"/>
      <c r="J4226" s="1"/>
      <c r="K4226" s="1"/>
      <c r="L4226" s="1"/>
      <c r="O4226" s="475"/>
      <c r="P4226" s="475"/>
      <c r="Q4226" s="475"/>
      <c r="R4226" s="475"/>
      <c r="S4226" s="475"/>
      <c r="T4226" s="475"/>
      <c r="U4226" s="475"/>
      <c r="V4226" s="475"/>
      <c r="W4226" s="475"/>
    </row>
    <row r="4227" spans="2:23" s="97" customFormat="1">
      <c r="B4227" s="96"/>
      <c r="H4227" s="96"/>
      <c r="J4227" s="1"/>
      <c r="K4227" s="1"/>
      <c r="L4227" s="1"/>
      <c r="O4227" s="475"/>
      <c r="P4227" s="475"/>
      <c r="Q4227" s="475"/>
      <c r="R4227" s="475"/>
      <c r="S4227" s="475"/>
      <c r="T4227" s="475"/>
      <c r="U4227" s="475"/>
      <c r="V4227" s="475"/>
      <c r="W4227" s="475"/>
    </row>
    <row r="4228" spans="2:23" s="97" customFormat="1">
      <c r="B4228" s="96"/>
      <c r="H4228" s="96"/>
      <c r="J4228" s="1"/>
      <c r="K4228" s="1"/>
      <c r="L4228" s="1"/>
      <c r="O4228" s="475"/>
      <c r="P4228" s="475"/>
      <c r="Q4228" s="475"/>
      <c r="R4228" s="475"/>
      <c r="S4228" s="475"/>
      <c r="T4228" s="475"/>
      <c r="U4228" s="475"/>
      <c r="V4228" s="475"/>
      <c r="W4228" s="475"/>
    </row>
    <row r="4229" spans="2:23" s="97" customFormat="1">
      <c r="B4229" s="96"/>
      <c r="H4229" s="96"/>
      <c r="J4229" s="1"/>
      <c r="K4229" s="1"/>
      <c r="L4229" s="1"/>
      <c r="O4229" s="475"/>
      <c r="P4229" s="475"/>
      <c r="Q4229" s="475"/>
      <c r="R4229" s="475"/>
      <c r="S4229" s="475"/>
      <c r="T4229" s="475"/>
      <c r="U4229" s="475"/>
      <c r="V4229" s="475"/>
      <c r="W4229" s="475"/>
    </row>
    <row r="4230" spans="2:23" s="97" customFormat="1">
      <c r="B4230" s="96"/>
      <c r="H4230" s="96"/>
      <c r="J4230" s="1"/>
      <c r="K4230" s="1"/>
      <c r="L4230" s="1"/>
      <c r="O4230" s="475"/>
      <c r="P4230" s="475"/>
      <c r="Q4230" s="475"/>
      <c r="R4230" s="475"/>
      <c r="S4230" s="475"/>
      <c r="T4230" s="475"/>
      <c r="U4230" s="475"/>
      <c r="V4230" s="475"/>
      <c r="W4230" s="475"/>
    </row>
    <row r="4231" spans="2:23" s="97" customFormat="1">
      <c r="B4231" s="96"/>
      <c r="H4231" s="96"/>
      <c r="J4231" s="1"/>
      <c r="K4231" s="1"/>
      <c r="L4231" s="1"/>
      <c r="O4231" s="475"/>
      <c r="P4231" s="475"/>
      <c r="Q4231" s="475"/>
      <c r="R4231" s="475"/>
      <c r="S4231" s="475"/>
      <c r="T4231" s="475"/>
      <c r="U4231" s="475"/>
      <c r="V4231" s="475"/>
      <c r="W4231" s="475"/>
    </row>
    <row r="4232" spans="2:23" s="97" customFormat="1">
      <c r="B4232" s="96"/>
      <c r="H4232" s="96"/>
      <c r="J4232" s="1"/>
      <c r="K4232" s="1"/>
      <c r="L4232" s="1"/>
      <c r="O4232" s="475"/>
      <c r="P4232" s="475"/>
      <c r="Q4232" s="475"/>
      <c r="R4232" s="475"/>
      <c r="S4232" s="475"/>
      <c r="T4232" s="475"/>
      <c r="U4232" s="475"/>
      <c r="V4232" s="475"/>
      <c r="W4232" s="475"/>
    </row>
    <row r="4233" spans="2:23" s="97" customFormat="1">
      <c r="B4233" s="96"/>
      <c r="H4233" s="96"/>
      <c r="J4233" s="1"/>
      <c r="K4233" s="1"/>
      <c r="L4233" s="1"/>
      <c r="O4233" s="475"/>
      <c r="P4233" s="475"/>
      <c r="Q4233" s="475"/>
      <c r="R4233" s="475"/>
      <c r="S4233" s="475"/>
      <c r="T4233" s="475"/>
      <c r="U4233" s="475"/>
      <c r="V4233" s="475"/>
      <c r="W4233" s="475"/>
    </row>
    <row r="4234" spans="2:23" s="97" customFormat="1">
      <c r="B4234" s="96"/>
      <c r="H4234" s="96"/>
      <c r="J4234" s="1"/>
      <c r="K4234" s="1"/>
      <c r="L4234" s="1"/>
      <c r="O4234" s="475"/>
      <c r="P4234" s="475"/>
      <c r="Q4234" s="475"/>
      <c r="R4234" s="475"/>
      <c r="S4234" s="475"/>
      <c r="T4234" s="475"/>
      <c r="U4234" s="475"/>
      <c r="V4234" s="475"/>
      <c r="W4234" s="475"/>
    </row>
    <row r="4235" spans="2:23" s="97" customFormat="1">
      <c r="B4235" s="96"/>
      <c r="H4235" s="96"/>
      <c r="J4235" s="1"/>
      <c r="K4235" s="1"/>
      <c r="L4235" s="1"/>
      <c r="O4235" s="475"/>
      <c r="P4235" s="475"/>
      <c r="Q4235" s="475"/>
      <c r="R4235" s="475"/>
      <c r="S4235" s="475"/>
      <c r="T4235" s="475"/>
      <c r="U4235" s="475"/>
      <c r="V4235" s="475"/>
      <c r="W4235" s="475"/>
    </row>
    <row r="4236" spans="2:23" s="97" customFormat="1">
      <c r="B4236" s="96"/>
      <c r="H4236" s="96"/>
      <c r="J4236" s="1"/>
      <c r="K4236" s="1"/>
      <c r="L4236" s="1"/>
      <c r="O4236" s="475"/>
      <c r="P4236" s="475"/>
      <c r="Q4236" s="475"/>
      <c r="R4236" s="475"/>
      <c r="S4236" s="475"/>
      <c r="T4236" s="475"/>
      <c r="U4236" s="475"/>
      <c r="V4236" s="475"/>
      <c r="W4236" s="475"/>
    </row>
    <row r="4237" spans="2:23" s="97" customFormat="1">
      <c r="B4237" s="96"/>
      <c r="H4237" s="96"/>
      <c r="J4237" s="1"/>
      <c r="K4237" s="1"/>
      <c r="L4237" s="1"/>
      <c r="O4237" s="475"/>
      <c r="P4237" s="475"/>
      <c r="Q4237" s="475"/>
      <c r="R4237" s="475"/>
      <c r="S4237" s="475"/>
      <c r="T4237" s="475"/>
      <c r="U4237" s="475"/>
      <c r="V4237" s="475"/>
      <c r="W4237" s="475"/>
    </row>
    <row r="4238" spans="2:23" s="97" customFormat="1">
      <c r="B4238" s="96"/>
      <c r="H4238" s="96"/>
      <c r="J4238" s="1"/>
      <c r="K4238" s="1"/>
      <c r="L4238" s="1"/>
      <c r="O4238" s="475"/>
      <c r="P4238" s="475"/>
      <c r="Q4238" s="475"/>
      <c r="R4238" s="475"/>
      <c r="S4238" s="475"/>
      <c r="T4238" s="475"/>
      <c r="U4238" s="475"/>
      <c r="V4238" s="475"/>
      <c r="W4238" s="475"/>
    </row>
    <row r="4239" spans="2:23" s="97" customFormat="1">
      <c r="B4239" s="96"/>
      <c r="H4239" s="96"/>
      <c r="J4239" s="1"/>
      <c r="K4239" s="1"/>
      <c r="L4239" s="1"/>
      <c r="O4239" s="475"/>
      <c r="P4239" s="475"/>
      <c r="Q4239" s="475"/>
      <c r="R4239" s="475"/>
      <c r="S4239" s="475"/>
      <c r="T4239" s="475"/>
      <c r="U4239" s="475"/>
      <c r="V4239" s="475"/>
      <c r="W4239" s="475"/>
    </row>
    <row r="4240" spans="2:23" s="97" customFormat="1">
      <c r="B4240" s="96"/>
      <c r="H4240" s="96"/>
      <c r="J4240" s="1"/>
      <c r="K4240" s="1"/>
      <c r="L4240" s="1"/>
      <c r="O4240" s="475"/>
      <c r="P4240" s="475"/>
      <c r="Q4240" s="475"/>
      <c r="R4240" s="475"/>
      <c r="S4240" s="475"/>
      <c r="T4240" s="475"/>
      <c r="U4240" s="475"/>
      <c r="V4240" s="475"/>
      <c r="W4240" s="475"/>
    </row>
    <row r="4241" spans="2:23" s="97" customFormat="1">
      <c r="B4241" s="96"/>
      <c r="H4241" s="96"/>
      <c r="J4241" s="1"/>
      <c r="K4241" s="1"/>
      <c r="L4241" s="1"/>
      <c r="O4241" s="475"/>
      <c r="P4241" s="475"/>
      <c r="Q4241" s="475"/>
      <c r="R4241" s="475"/>
      <c r="S4241" s="475"/>
      <c r="T4241" s="475"/>
      <c r="U4241" s="475"/>
      <c r="V4241" s="475"/>
      <c r="W4241" s="475"/>
    </row>
    <row r="4242" spans="2:23" s="97" customFormat="1">
      <c r="B4242" s="96"/>
      <c r="H4242" s="96"/>
      <c r="J4242" s="1"/>
      <c r="K4242" s="1"/>
      <c r="L4242" s="1"/>
      <c r="O4242" s="475"/>
      <c r="P4242" s="475"/>
      <c r="Q4242" s="475"/>
      <c r="R4242" s="475"/>
      <c r="S4242" s="475"/>
      <c r="T4242" s="475"/>
      <c r="U4242" s="475"/>
      <c r="V4242" s="475"/>
      <c r="W4242" s="475"/>
    </row>
    <row r="4243" spans="2:23" s="97" customFormat="1">
      <c r="B4243" s="96"/>
      <c r="H4243" s="96"/>
      <c r="J4243" s="1"/>
      <c r="K4243" s="1"/>
      <c r="L4243" s="1"/>
      <c r="O4243" s="475"/>
      <c r="P4243" s="475"/>
      <c r="Q4243" s="475"/>
      <c r="R4243" s="475"/>
      <c r="S4243" s="475"/>
      <c r="T4243" s="475"/>
      <c r="U4243" s="475"/>
      <c r="V4243" s="475"/>
      <c r="W4243" s="475"/>
    </row>
    <row r="4244" spans="2:23" s="97" customFormat="1">
      <c r="B4244" s="96"/>
      <c r="H4244" s="96"/>
      <c r="J4244" s="1"/>
      <c r="K4244" s="1"/>
      <c r="L4244" s="1"/>
      <c r="O4244" s="475"/>
      <c r="P4244" s="475"/>
      <c r="Q4244" s="475"/>
      <c r="R4244" s="475"/>
      <c r="S4244" s="475"/>
      <c r="T4244" s="475"/>
      <c r="U4244" s="475"/>
      <c r="V4244" s="475"/>
      <c r="W4244" s="475"/>
    </row>
    <row r="4245" spans="2:23" s="97" customFormat="1">
      <c r="B4245" s="96"/>
      <c r="H4245" s="96"/>
      <c r="J4245" s="1"/>
      <c r="K4245" s="1"/>
      <c r="L4245" s="1"/>
      <c r="O4245" s="475"/>
      <c r="P4245" s="475"/>
      <c r="Q4245" s="475"/>
      <c r="R4245" s="475"/>
      <c r="S4245" s="475"/>
      <c r="T4245" s="475"/>
      <c r="U4245" s="475"/>
      <c r="V4245" s="475"/>
      <c r="W4245" s="475"/>
    </row>
    <row r="4246" spans="2:23" s="97" customFormat="1">
      <c r="B4246" s="96"/>
      <c r="H4246" s="96"/>
      <c r="J4246" s="1"/>
      <c r="K4246" s="1"/>
      <c r="L4246" s="1"/>
      <c r="O4246" s="475"/>
      <c r="P4246" s="475"/>
      <c r="Q4246" s="475"/>
      <c r="R4246" s="475"/>
      <c r="S4246" s="475"/>
      <c r="T4246" s="475"/>
      <c r="U4246" s="475"/>
      <c r="V4246" s="475"/>
      <c r="W4246" s="475"/>
    </row>
    <row r="4247" spans="2:23" s="97" customFormat="1">
      <c r="B4247" s="96"/>
      <c r="H4247" s="96"/>
      <c r="J4247" s="1"/>
      <c r="K4247" s="1"/>
      <c r="L4247" s="1"/>
      <c r="O4247" s="475"/>
      <c r="P4247" s="475"/>
      <c r="Q4247" s="475"/>
      <c r="R4247" s="475"/>
      <c r="S4247" s="475"/>
      <c r="T4247" s="475"/>
      <c r="U4247" s="475"/>
      <c r="V4247" s="475"/>
      <c r="W4247" s="475"/>
    </row>
    <row r="4248" spans="2:23" s="97" customFormat="1">
      <c r="B4248" s="96"/>
      <c r="H4248" s="96"/>
      <c r="J4248" s="1"/>
      <c r="K4248" s="1"/>
      <c r="L4248" s="1"/>
      <c r="O4248" s="475"/>
      <c r="P4248" s="475"/>
      <c r="Q4248" s="475"/>
      <c r="R4248" s="475"/>
      <c r="S4248" s="475"/>
      <c r="T4248" s="475"/>
      <c r="U4248" s="475"/>
      <c r="V4248" s="475"/>
      <c r="W4248" s="475"/>
    </row>
    <row r="4249" spans="2:23" s="97" customFormat="1">
      <c r="B4249" s="96"/>
      <c r="H4249" s="96"/>
      <c r="J4249" s="1"/>
      <c r="K4249" s="1"/>
      <c r="L4249" s="1"/>
      <c r="O4249" s="475"/>
      <c r="P4249" s="475"/>
      <c r="Q4249" s="475"/>
      <c r="R4249" s="475"/>
      <c r="S4249" s="475"/>
      <c r="T4249" s="475"/>
      <c r="U4249" s="475"/>
      <c r="V4249" s="475"/>
      <c r="W4249" s="475"/>
    </row>
    <row r="4250" spans="2:23" s="97" customFormat="1">
      <c r="B4250" s="96"/>
      <c r="H4250" s="96"/>
      <c r="J4250" s="1"/>
      <c r="K4250" s="1"/>
      <c r="L4250" s="1"/>
      <c r="O4250" s="475"/>
      <c r="P4250" s="475"/>
      <c r="Q4250" s="475"/>
      <c r="R4250" s="475"/>
      <c r="S4250" s="475"/>
      <c r="T4250" s="475"/>
      <c r="U4250" s="475"/>
      <c r="V4250" s="475"/>
      <c r="W4250" s="475"/>
    </row>
    <row r="4251" spans="2:23" s="97" customFormat="1">
      <c r="B4251" s="96"/>
      <c r="H4251" s="96"/>
      <c r="J4251" s="1"/>
      <c r="K4251" s="1"/>
      <c r="L4251" s="1"/>
      <c r="O4251" s="475"/>
      <c r="P4251" s="475"/>
      <c r="Q4251" s="475"/>
      <c r="R4251" s="475"/>
      <c r="S4251" s="475"/>
      <c r="T4251" s="475"/>
      <c r="U4251" s="475"/>
      <c r="V4251" s="475"/>
      <c r="W4251" s="475"/>
    </row>
    <row r="4252" spans="2:23" s="97" customFormat="1">
      <c r="B4252" s="96"/>
      <c r="H4252" s="96"/>
      <c r="J4252" s="1"/>
      <c r="K4252" s="1"/>
      <c r="L4252" s="1"/>
      <c r="O4252" s="475"/>
      <c r="P4252" s="475"/>
      <c r="Q4252" s="475"/>
      <c r="R4252" s="475"/>
      <c r="S4252" s="475"/>
      <c r="T4252" s="475"/>
      <c r="U4252" s="475"/>
      <c r="V4252" s="475"/>
      <c r="W4252" s="475"/>
    </row>
    <row r="4253" spans="2:23" s="97" customFormat="1">
      <c r="B4253" s="96"/>
      <c r="H4253" s="96"/>
      <c r="J4253" s="1"/>
      <c r="K4253" s="1"/>
      <c r="L4253" s="1"/>
      <c r="O4253" s="475"/>
      <c r="P4253" s="475"/>
      <c r="Q4253" s="475"/>
      <c r="R4253" s="475"/>
      <c r="S4253" s="475"/>
      <c r="T4253" s="475"/>
      <c r="U4253" s="475"/>
      <c r="V4253" s="475"/>
      <c r="W4253" s="475"/>
    </row>
    <row r="4254" spans="2:23" s="97" customFormat="1">
      <c r="B4254" s="96"/>
      <c r="H4254" s="96"/>
      <c r="J4254" s="1"/>
      <c r="K4254" s="1"/>
      <c r="L4254" s="1"/>
      <c r="O4254" s="475"/>
      <c r="P4254" s="475"/>
      <c r="Q4254" s="475"/>
      <c r="R4254" s="475"/>
      <c r="S4254" s="475"/>
      <c r="T4254" s="475"/>
      <c r="U4254" s="475"/>
      <c r="V4254" s="475"/>
      <c r="W4254" s="475"/>
    </row>
    <row r="4255" spans="2:23" s="97" customFormat="1">
      <c r="B4255" s="96"/>
      <c r="H4255" s="96"/>
      <c r="J4255" s="1"/>
      <c r="K4255" s="1"/>
      <c r="L4255" s="1"/>
      <c r="O4255" s="475"/>
      <c r="P4255" s="475"/>
      <c r="Q4255" s="475"/>
      <c r="R4255" s="475"/>
      <c r="S4255" s="475"/>
      <c r="T4255" s="475"/>
      <c r="U4255" s="475"/>
      <c r="V4255" s="475"/>
      <c r="W4255" s="475"/>
    </row>
    <row r="4256" spans="2:23" s="97" customFormat="1">
      <c r="B4256" s="96"/>
      <c r="H4256" s="96"/>
      <c r="J4256" s="1"/>
      <c r="K4256" s="1"/>
      <c r="L4256" s="1"/>
      <c r="O4256" s="475"/>
      <c r="P4256" s="475"/>
      <c r="Q4256" s="475"/>
      <c r="R4256" s="475"/>
      <c r="S4256" s="475"/>
      <c r="T4256" s="475"/>
      <c r="U4256" s="475"/>
      <c r="V4256" s="475"/>
      <c r="W4256" s="475"/>
    </row>
    <row r="4257" spans="2:23" s="97" customFormat="1">
      <c r="B4257" s="96"/>
      <c r="H4257" s="96"/>
      <c r="J4257" s="1"/>
      <c r="K4257" s="1"/>
      <c r="L4257" s="1"/>
      <c r="O4257" s="475"/>
      <c r="P4257" s="475"/>
      <c r="Q4257" s="475"/>
      <c r="R4257" s="475"/>
      <c r="S4257" s="475"/>
      <c r="T4257" s="475"/>
      <c r="U4257" s="475"/>
      <c r="V4257" s="475"/>
      <c r="W4257" s="475"/>
    </row>
    <row r="4258" spans="2:23" s="97" customFormat="1">
      <c r="B4258" s="96"/>
      <c r="H4258" s="96"/>
      <c r="J4258" s="1"/>
      <c r="K4258" s="1"/>
      <c r="L4258" s="1"/>
      <c r="O4258" s="475"/>
      <c r="P4258" s="475"/>
      <c r="Q4258" s="475"/>
      <c r="R4258" s="475"/>
      <c r="S4258" s="475"/>
      <c r="T4258" s="475"/>
      <c r="U4258" s="475"/>
      <c r="V4258" s="475"/>
      <c r="W4258" s="475"/>
    </row>
    <row r="4259" spans="2:23" s="97" customFormat="1">
      <c r="B4259" s="96"/>
      <c r="H4259" s="96"/>
      <c r="J4259" s="1"/>
      <c r="K4259" s="1"/>
      <c r="L4259" s="1"/>
      <c r="O4259" s="475"/>
      <c r="P4259" s="475"/>
      <c r="Q4259" s="475"/>
      <c r="R4259" s="475"/>
      <c r="S4259" s="475"/>
      <c r="T4259" s="475"/>
      <c r="U4259" s="475"/>
      <c r="V4259" s="475"/>
      <c r="W4259" s="475"/>
    </row>
    <row r="4260" spans="2:23" s="97" customFormat="1">
      <c r="B4260" s="96"/>
      <c r="H4260" s="96"/>
      <c r="J4260" s="1"/>
      <c r="K4260" s="1"/>
      <c r="L4260" s="1"/>
      <c r="O4260" s="475"/>
      <c r="P4260" s="475"/>
      <c r="Q4260" s="475"/>
      <c r="R4260" s="475"/>
      <c r="S4260" s="475"/>
      <c r="T4260" s="475"/>
      <c r="U4260" s="475"/>
      <c r="V4260" s="475"/>
      <c r="W4260" s="475"/>
    </row>
    <row r="4261" spans="2:23" s="97" customFormat="1">
      <c r="B4261" s="96"/>
      <c r="H4261" s="96"/>
      <c r="J4261" s="1"/>
      <c r="K4261" s="1"/>
      <c r="L4261" s="1"/>
      <c r="O4261" s="475"/>
      <c r="P4261" s="475"/>
      <c r="Q4261" s="475"/>
      <c r="R4261" s="475"/>
      <c r="S4261" s="475"/>
      <c r="T4261" s="475"/>
      <c r="U4261" s="475"/>
      <c r="V4261" s="475"/>
      <c r="W4261" s="475"/>
    </row>
    <row r="4262" spans="2:23" s="97" customFormat="1">
      <c r="B4262" s="96"/>
      <c r="H4262" s="96"/>
      <c r="J4262" s="1"/>
      <c r="K4262" s="1"/>
      <c r="L4262" s="1"/>
      <c r="O4262" s="475"/>
      <c r="P4262" s="475"/>
      <c r="Q4262" s="475"/>
      <c r="R4262" s="475"/>
      <c r="S4262" s="475"/>
      <c r="T4262" s="475"/>
      <c r="U4262" s="475"/>
      <c r="V4262" s="475"/>
      <c r="W4262" s="475"/>
    </row>
    <row r="4263" spans="2:23" s="97" customFormat="1">
      <c r="B4263" s="96"/>
      <c r="H4263" s="96"/>
      <c r="J4263" s="1"/>
      <c r="K4263" s="1"/>
      <c r="L4263" s="1"/>
      <c r="O4263" s="475"/>
      <c r="P4263" s="475"/>
      <c r="Q4263" s="475"/>
      <c r="R4263" s="475"/>
      <c r="S4263" s="475"/>
      <c r="T4263" s="475"/>
      <c r="U4263" s="475"/>
      <c r="V4263" s="475"/>
      <c r="W4263" s="475"/>
    </row>
    <row r="4264" spans="2:23" s="97" customFormat="1">
      <c r="B4264" s="96"/>
      <c r="H4264" s="96"/>
      <c r="J4264" s="1"/>
      <c r="K4264" s="1"/>
      <c r="L4264" s="1"/>
      <c r="O4264" s="475"/>
      <c r="P4264" s="475"/>
      <c r="Q4264" s="475"/>
      <c r="R4264" s="475"/>
      <c r="S4264" s="475"/>
      <c r="T4264" s="475"/>
      <c r="U4264" s="475"/>
      <c r="V4264" s="475"/>
      <c r="W4264" s="475"/>
    </row>
    <row r="4265" spans="2:23" s="97" customFormat="1">
      <c r="B4265" s="96"/>
      <c r="H4265" s="96"/>
      <c r="J4265" s="1"/>
      <c r="K4265" s="1"/>
      <c r="L4265" s="1"/>
      <c r="O4265" s="475"/>
      <c r="P4265" s="475"/>
      <c r="Q4265" s="475"/>
      <c r="R4265" s="475"/>
      <c r="S4265" s="475"/>
      <c r="T4265" s="475"/>
      <c r="U4265" s="475"/>
      <c r="V4265" s="475"/>
      <c r="W4265" s="475"/>
    </row>
    <row r="4266" spans="2:23" s="97" customFormat="1">
      <c r="B4266" s="96"/>
      <c r="H4266" s="96"/>
      <c r="J4266" s="1"/>
      <c r="K4266" s="1"/>
      <c r="L4266" s="1"/>
      <c r="O4266" s="475"/>
      <c r="P4266" s="475"/>
      <c r="Q4266" s="475"/>
      <c r="R4266" s="475"/>
      <c r="S4266" s="475"/>
      <c r="T4266" s="475"/>
      <c r="U4266" s="475"/>
      <c r="V4266" s="475"/>
      <c r="W4266" s="475"/>
    </row>
    <row r="4267" spans="2:23" s="97" customFormat="1">
      <c r="B4267" s="96"/>
      <c r="H4267" s="96"/>
      <c r="J4267" s="1"/>
      <c r="K4267" s="1"/>
      <c r="L4267" s="1"/>
      <c r="O4267" s="475"/>
      <c r="P4267" s="475"/>
      <c r="Q4267" s="475"/>
      <c r="R4267" s="475"/>
      <c r="S4267" s="475"/>
      <c r="T4267" s="475"/>
      <c r="U4267" s="475"/>
      <c r="V4267" s="475"/>
      <c r="W4267" s="475"/>
    </row>
    <row r="4268" spans="2:23" s="97" customFormat="1">
      <c r="B4268" s="96"/>
      <c r="H4268" s="96"/>
      <c r="J4268" s="1"/>
      <c r="K4268" s="1"/>
      <c r="L4268" s="1"/>
      <c r="O4268" s="475"/>
      <c r="P4268" s="475"/>
      <c r="Q4268" s="475"/>
      <c r="R4268" s="475"/>
      <c r="S4268" s="475"/>
      <c r="T4268" s="475"/>
      <c r="U4268" s="475"/>
      <c r="V4268" s="475"/>
      <c r="W4268" s="475"/>
    </row>
    <row r="4269" spans="2:23" s="97" customFormat="1">
      <c r="B4269" s="96"/>
      <c r="H4269" s="96"/>
      <c r="J4269" s="1"/>
      <c r="K4269" s="1"/>
      <c r="L4269" s="1"/>
      <c r="O4269" s="475"/>
      <c r="P4269" s="475"/>
      <c r="Q4269" s="475"/>
      <c r="R4269" s="475"/>
      <c r="S4269" s="475"/>
      <c r="T4269" s="475"/>
      <c r="U4269" s="475"/>
      <c r="V4269" s="475"/>
      <c r="W4269" s="475"/>
    </row>
    <row r="4270" spans="2:23" s="97" customFormat="1">
      <c r="B4270" s="96"/>
      <c r="H4270" s="96"/>
      <c r="J4270" s="1"/>
      <c r="K4270" s="1"/>
      <c r="L4270" s="1"/>
      <c r="O4270" s="475"/>
      <c r="P4270" s="475"/>
      <c r="Q4270" s="475"/>
      <c r="R4270" s="475"/>
      <c r="S4270" s="475"/>
      <c r="T4270" s="475"/>
      <c r="U4270" s="475"/>
      <c r="V4270" s="475"/>
      <c r="W4270" s="475"/>
    </row>
    <row r="4271" spans="2:23" s="97" customFormat="1">
      <c r="B4271" s="96"/>
      <c r="H4271" s="96"/>
      <c r="J4271" s="1"/>
      <c r="K4271" s="1"/>
      <c r="L4271" s="1"/>
      <c r="O4271" s="475"/>
      <c r="P4271" s="475"/>
      <c r="Q4271" s="475"/>
      <c r="R4271" s="475"/>
      <c r="S4271" s="475"/>
      <c r="T4271" s="475"/>
      <c r="U4271" s="475"/>
      <c r="V4271" s="475"/>
      <c r="W4271" s="475"/>
    </row>
    <row r="4272" spans="2:23" s="97" customFormat="1">
      <c r="B4272" s="96"/>
      <c r="H4272" s="96"/>
      <c r="J4272" s="1"/>
      <c r="K4272" s="1"/>
      <c r="L4272" s="1"/>
      <c r="O4272" s="475"/>
      <c r="P4272" s="475"/>
      <c r="Q4272" s="475"/>
      <c r="R4272" s="475"/>
      <c r="S4272" s="475"/>
      <c r="T4272" s="475"/>
      <c r="U4272" s="475"/>
      <c r="V4272" s="475"/>
      <c r="W4272" s="475"/>
    </row>
    <row r="4273" spans="2:23" s="97" customFormat="1">
      <c r="B4273" s="96"/>
      <c r="H4273" s="96"/>
      <c r="J4273" s="1"/>
      <c r="K4273" s="1"/>
      <c r="L4273" s="1"/>
      <c r="O4273" s="475"/>
      <c r="P4273" s="475"/>
      <c r="Q4273" s="475"/>
      <c r="R4273" s="475"/>
      <c r="S4273" s="475"/>
      <c r="T4273" s="475"/>
      <c r="U4273" s="475"/>
      <c r="V4273" s="475"/>
      <c r="W4273" s="475"/>
    </row>
    <row r="4274" spans="2:23" s="97" customFormat="1">
      <c r="B4274" s="96"/>
      <c r="H4274" s="96"/>
      <c r="J4274" s="1"/>
      <c r="K4274" s="1"/>
      <c r="L4274" s="1"/>
      <c r="O4274" s="475"/>
      <c r="P4274" s="475"/>
      <c r="Q4274" s="475"/>
      <c r="R4274" s="475"/>
      <c r="S4274" s="475"/>
      <c r="T4274" s="475"/>
      <c r="U4274" s="475"/>
      <c r="V4274" s="475"/>
      <c r="W4274" s="475"/>
    </row>
    <row r="4275" spans="2:23" s="97" customFormat="1">
      <c r="B4275" s="96"/>
      <c r="H4275" s="96"/>
      <c r="J4275" s="1"/>
      <c r="K4275" s="1"/>
      <c r="L4275" s="1"/>
      <c r="O4275" s="475"/>
      <c r="P4275" s="475"/>
      <c r="Q4275" s="475"/>
      <c r="R4275" s="475"/>
      <c r="S4275" s="475"/>
      <c r="T4275" s="475"/>
      <c r="U4275" s="475"/>
      <c r="V4275" s="475"/>
      <c r="W4275" s="475"/>
    </row>
    <row r="4276" spans="2:23" s="97" customFormat="1">
      <c r="B4276" s="96"/>
      <c r="H4276" s="96"/>
      <c r="J4276" s="1"/>
      <c r="K4276" s="1"/>
      <c r="L4276" s="1"/>
      <c r="O4276" s="475"/>
      <c r="P4276" s="475"/>
      <c r="Q4276" s="475"/>
      <c r="R4276" s="475"/>
      <c r="S4276" s="475"/>
      <c r="T4276" s="475"/>
      <c r="U4276" s="475"/>
      <c r="V4276" s="475"/>
      <c r="W4276" s="475"/>
    </row>
    <row r="4277" spans="2:23" s="97" customFormat="1">
      <c r="B4277" s="96"/>
      <c r="H4277" s="96"/>
      <c r="J4277" s="1"/>
      <c r="K4277" s="1"/>
      <c r="L4277" s="1"/>
      <c r="O4277" s="475"/>
      <c r="P4277" s="475"/>
      <c r="Q4277" s="475"/>
      <c r="R4277" s="475"/>
      <c r="S4277" s="475"/>
      <c r="T4277" s="475"/>
      <c r="U4277" s="475"/>
      <c r="V4277" s="475"/>
      <c r="W4277" s="475"/>
    </row>
    <row r="4278" spans="2:23" s="97" customFormat="1">
      <c r="B4278" s="96"/>
      <c r="H4278" s="96"/>
      <c r="J4278" s="1"/>
      <c r="K4278" s="1"/>
      <c r="L4278" s="1"/>
      <c r="O4278" s="475"/>
      <c r="P4278" s="475"/>
      <c r="Q4278" s="475"/>
      <c r="R4278" s="475"/>
      <c r="S4278" s="475"/>
      <c r="T4278" s="475"/>
      <c r="U4278" s="475"/>
      <c r="V4278" s="475"/>
      <c r="W4278" s="475"/>
    </row>
    <row r="4279" spans="2:23" s="97" customFormat="1">
      <c r="B4279" s="96"/>
      <c r="H4279" s="96"/>
      <c r="J4279" s="1"/>
      <c r="K4279" s="1"/>
      <c r="L4279" s="1"/>
      <c r="O4279" s="475"/>
      <c r="P4279" s="475"/>
      <c r="Q4279" s="475"/>
      <c r="R4279" s="475"/>
      <c r="S4279" s="475"/>
      <c r="T4279" s="475"/>
      <c r="U4279" s="475"/>
      <c r="V4279" s="475"/>
      <c r="W4279" s="475"/>
    </row>
    <row r="4280" spans="2:23" s="97" customFormat="1">
      <c r="B4280" s="96"/>
      <c r="H4280" s="96"/>
      <c r="J4280" s="1"/>
      <c r="K4280" s="1"/>
      <c r="L4280" s="1"/>
      <c r="O4280" s="475"/>
      <c r="P4280" s="475"/>
      <c r="Q4280" s="475"/>
      <c r="R4280" s="475"/>
      <c r="S4280" s="475"/>
      <c r="T4280" s="475"/>
      <c r="U4280" s="475"/>
      <c r="V4280" s="475"/>
      <c r="W4280" s="475"/>
    </row>
    <row r="4281" spans="2:23" s="97" customFormat="1">
      <c r="B4281" s="96"/>
      <c r="H4281" s="96"/>
      <c r="J4281" s="1"/>
      <c r="K4281" s="1"/>
      <c r="L4281" s="1"/>
      <c r="O4281" s="475"/>
      <c r="P4281" s="475"/>
      <c r="Q4281" s="475"/>
      <c r="R4281" s="475"/>
      <c r="S4281" s="475"/>
      <c r="T4281" s="475"/>
      <c r="U4281" s="475"/>
      <c r="V4281" s="475"/>
      <c r="W4281" s="475"/>
    </row>
    <row r="4282" spans="2:23" s="97" customFormat="1">
      <c r="B4282" s="96"/>
      <c r="H4282" s="96"/>
      <c r="J4282" s="1"/>
      <c r="K4282" s="1"/>
      <c r="L4282" s="1"/>
      <c r="O4282" s="475"/>
      <c r="P4282" s="475"/>
      <c r="Q4282" s="475"/>
      <c r="R4282" s="475"/>
      <c r="S4282" s="475"/>
      <c r="T4282" s="475"/>
      <c r="U4282" s="475"/>
      <c r="V4282" s="475"/>
      <c r="W4282" s="475"/>
    </row>
    <row r="4283" spans="2:23" s="97" customFormat="1">
      <c r="B4283" s="96"/>
      <c r="H4283" s="96"/>
      <c r="J4283" s="1"/>
      <c r="K4283" s="1"/>
      <c r="L4283" s="1"/>
      <c r="O4283" s="475"/>
      <c r="P4283" s="475"/>
      <c r="Q4283" s="475"/>
      <c r="R4283" s="475"/>
      <c r="S4283" s="475"/>
      <c r="T4283" s="475"/>
      <c r="U4283" s="475"/>
      <c r="V4283" s="475"/>
      <c r="W4283" s="475"/>
    </row>
    <row r="4284" spans="2:23" s="97" customFormat="1">
      <c r="B4284" s="96"/>
      <c r="H4284" s="96"/>
      <c r="J4284" s="1"/>
      <c r="K4284" s="1"/>
      <c r="L4284" s="1"/>
      <c r="O4284" s="475"/>
      <c r="P4284" s="475"/>
      <c r="Q4284" s="475"/>
      <c r="R4284" s="475"/>
      <c r="S4284" s="475"/>
      <c r="T4284" s="475"/>
      <c r="U4284" s="475"/>
      <c r="V4284" s="475"/>
      <c r="W4284" s="475"/>
    </row>
    <row r="4285" spans="2:23" s="97" customFormat="1">
      <c r="B4285" s="96"/>
      <c r="H4285" s="96"/>
      <c r="J4285" s="1"/>
      <c r="K4285" s="1"/>
      <c r="L4285" s="1"/>
      <c r="O4285" s="475"/>
      <c r="P4285" s="475"/>
      <c r="Q4285" s="475"/>
      <c r="R4285" s="475"/>
      <c r="S4285" s="475"/>
      <c r="T4285" s="475"/>
      <c r="U4285" s="475"/>
      <c r="V4285" s="475"/>
      <c r="W4285" s="475"/>
    </row>
    <row r="4286" spans="2:23" s="97" customFormat="1">
      <c r="B4286" s="96"/>
      <c r="H4286" s="96"/>
      <c r="J4286" s="1"/>
      <c r="K4286" s="1"/>
      <c r="L4286" s="1"/>
      <c r="O4286" s="475"/>
      <c r="P4286" s="475"/>
      <c r="Q4286" s="475"/>
      <c r="R4286" s="475"/>
      <c r="S4286" s="475"/>
      <c r="T4286" s="475"/>
      <c r="U4286" s="475"/>
      <c r="V4286" s="475"/>
      <c r="W4286" s="475"/>
    </row>
    <row r="4287" spans="2:23" s="97" customFormat="1">
      <c r="B4287" s="96"/>
      <c r="H4287" s="96"/>
      <c r="J4287" s="1"/>
      <c r="K4287" s="1"/>
      <c r="L4287" s="1"/>
      <c r="O4287" s="475"/>
      <c r="P4287" s="475"/>
      <c r="Q4287" s="475"/>
      <c r="R4287" s="475"/>
      <c r="S4287" s="475"/>
      <c r="T4287" s="475"/>
      <c r="U4287" s="475"/>
      <c r="V4287" s="475"/>
      <c r="W4287" s="475"/>
    </row>
    <row r="4288" spans="2:23" s="97" customFormat="1">
      <c r="B4288" s="96"/>
      <c r="H4288" s="96"/>
      <c r="J4288" s="1"/>
      <c r="K4288" s="1"/>
      <c r="L4288" s="1"/>
      <c r="O4288" s="475"/>
      <c r="P4288" s="475"/>
      <c r="Q4288" s="475"/>
      <c r="R4288" s="475"/>
      <c r="S4288" s="475"/>
      <c r="T4288" s="475"/>
      <c r="U4288" s="475"/>
      <c r="V4288" s="475"/>
      <c r="W4288" s="475"/>
    </row>
    <row r="4289" spans="2:23" s="97" customFormat="1">
      <c r="B4289" s="96"/>
      <c r="H4289" s="96"/>
      <c r="J4289" s="1"/>
      <c r="K4289" s="1"/>
      <c r="L4289" s="1"/>
      <c r="O4289" s="475"/>
      <c r="P4289" s="475"/>
      <c r="Q4289" s="475"/>
      <c r="R4289" s="475"/>
      <c r="S4289" s="475"/>
      <c r="T4289" s="475"/>
      <c r="U4289" s="475"/>
      <c r="V4289" s="475"/>
      <c r="W4289" s="475"/>
    </row>
    <row r="4290" spans="2:23" s="97" customFormat="1">
      <c r="B4290" s="96"/>
      <c r="H4290" s="96"/>
      <c r="J4290" s="1"/>
      <c r="K4290" s="1"/>
      <c r="L4290" s="1"/>
      <c r="O4290" s="475"/>
      <c r="P4290" s="475"/>
      <c r="Q4290" s="475"/>
      <c r="R4290" s="475"/>
      <c r="S4290" s="475"/>
      <c r="T4290" s="475"/>
      <c r="U4290" s="475"/>
      <c r="V4290" s="475"/>
      <c r="W4290" s="475"/>
    </row>
    <row r="4291" spans="2:23" s="97" customFormat="1">
      <c r="B4291" s="96"/>
      <c r="H4291" s="96"/>
      <c r="J4291" s="1"/>
      <c r="K4291" s="1"/>
      <c r="L4291" s="1"/>
      <c r="O4291" s="475"/>
      <c r="P4291" s="475"/>
      <c r="Q4291" s="475"/>
      <c r="R4291" s="475"/>
      <c r="S4291" s="475"/>
      <c r="T4291" s="475"/>
      <c r="U4291" s="475"/>
      <c r="V4291" s="475"/>
      <c r="W4291" s="475"/>
    </row>
    <row r="4292" spans="2:23" s="97" customFormat="1">
      <c r="B4292" s="96"/>
      <c r="H4292" s="96"/>
      <c r="J4292" s="1"/>
      <c r="K4292" s="1"/>
      <c r="L4292" s="1"/>
      <c r="O4292" s="475"/>
      <c r="P4292" s="475"/>
      <c r="Q4292" s="475"/>
      <c r="R4292" s="475"/>
      <c r="S4292" s="475"/>
      <c r="T4292" s="475"/>
      <c r="U4292" s="475"/>
      <c r="V4292" s="475"/>
      <c r="W4292" s="475"/>
    </row>
    <row r="4293" spans="2:23" s="97" customFormat="1">
      <c r="B4293" s="96"/>
      <c r="H4293" s="96"/>
      <c r="J4293" s="1"/>
      <c r="K4293" s="1"/>
      <c r="L4293" s="1"/>
      <c r="O4293" s="475"/>
      <c r="P4293" s="475"/>
      <c r="Q4293" s="475"/>
      <c r="R4293" s="475"/>
      <c r="S4293" s="475"/>
      <c r="T4293" s="475"/>
      <c r="U4293" s="475"/>
      <c r="V4293" s="475"/>
      <c r="W4293" s="475"/>
    </row>
    <row r="4294" spans="2:23" s="97" customFormat="1">
      <c r="B4294" s="96"/>
      <c r="H4294" s="96"/>
      <c r="J4294" s="1"/>
      <c r="K4294" s="1"/>
      <c r="L4294" s="1"/>
      <c r="O4294" s="475"/>
      <c r="P4294" s="475"/>
      <c r="Q4294" s="475"/>
      <c r="R4294" s="475"/>
      <c r="S4294" s="475"/>
      <c r="T4294" s="475"/>
      <c r="U4294" s="475"/>
      <c r="V4294" s="475"/>
      <c r="W4294" s="475"/>
    </row>
    <row r="4295" spans="2:23" s="97" customFormat="1">
      <c r="B4295" s="96"/>
      <c r="H4295" s="96"/>
      <c r="J4295" s="1"/>
      <c r="K4295" s="1"/>
      <c r="L4295" s="1"/>
      <c r="O4295" s="475"/>
      <c r="P4295" s="475"/>
      <c r="Q4295" s="475"/>
      <c r="R4295" s="475"/>
      <c r="S4295" s="475"/>
      <c r="T4295" s="475"/>
      <c r="U4295" s="475"/>
      <c r="V4295" s="475"/>
      <c r="W4295" s="475"/>
    </row>
    <row r="4296" spans="2:23" s="97" customFormat="1">
      <c r="B4296" s="96"/>
      <c r="H4296" s="96"/>
      <c r="J4296" s="1"/>
      <c r="K4296" s="1"/>
      <c r="L4296" s="1"/>
      <c r="O4296" s="475"/>
      <c r="P4296" s="475"/>
      <c r="Q4296" s="475"/>
      <c r="R4296" s="475"/>
      <c r="S4296" s="475"/>
      <c r="T4296" s="475"/>
      <c r="U4296" s="475"/>
      <c r="V4296" s="475"/>
      <c r="W4296" s="475"/>
    </row>
    <row r="4297" spans="2:23" s="97" customFormat="1">
      <c r="B4297" s="96"/>
      <c r="H4297" s="96"/>
      <c r="J4297" s="1"/>
      <c r="K4297" s="1"/>
      <c r="L4297" s="1"/>
      <c r="O4297" s="475"/>
      <c r="P4297" s="475"/>
      <c r="Q4297" s="475"/>
      <c r="R4297" s="475"/>
      <c r="S4297" s="475"/>
      <c r="T4297" s="475"/>
      <c r="U4297" s="475"/>
      <c r="V4297" s="475"/>
      <c r="W4297" s="475"/>
    </row>
    <row r="4298" spans="2:23" s="97" customFormat="1">
      <c r="B4298" s="96"/>
      <c r="H4298" s="96"/>
      <c r="J4298" s="1"/>
      <c r="K4298" s="1"/>
      <c r="L4298" s="1"/>
      <c r="O4298" s="475"/>
      <c r="P4298" s="475"/>
      <c r="Q4298" s="475"/>
      <c r="R4298" s="475"/>
      <c r="S4298" s="475"/>
      <c r="T4298" s="475"/>
      <c r="U4298" s="475"/>
      <c r="V4298" s="475"/>
      <c r="W4298" s="475"/>
    </row>
    <row r="4299" spans="2:23" s="97" customFormat="1">
      <c r="B4299" s="96"/>
      <c r="H4299" s="96"/>
      <c r="J4299" s="1"/>
      <c r="K4299" s="1"/>
      <c r="L4299" s="1"/>
      <c r="O4299" s="475"/>
      <c r="P4299" s="475"/>
      <c r="Q4299" s="475"/>
      <c r="R4299" s="475"/>
      <c r="S4299" s="475"/>
      <c r="T4299" s="475"/>
      <c r="U4299" s="475"/>
      <c r="V4299" s="475"/>
      <c r="W4299" s="475"/>
    </row>
    <row r="4300" spans="2:23" s="97" customFormat="1">
      <c r="B4300" s="96"/>
      <c r="H4300" s="96"/>
      <c r="J4300" s="1"/>
      <c r="K4300" s="1"/>
      <c r="L4300" s="1"/>
      <c r="O4300" s="475"/>
      <c r="P4300" s="475"/>
      <c r="Q4300" s="475"/>
      <c r="R4300" s="475"/>
      <c r="S4300" s="475"/>
      <c r="T4300" s="475"/>
      <c r="U4300" s="475"/>
      <c r="V4300" s="475"/>
      <c r="W4300" s="475"/>
    </row>
    <row r="4301" spans="2:23" s="97" customFormat="1">
      <c r="B4301" s="96"/>
      <c r="H4301" s="96"/>
      <c r="J4301" s="1"/>
      <c r="K4301" s="1"/>
      <c r="L4301" s="1"/>
      <c r="O4301" s="475"/>
      <c r="P4301" s="475"/>
      <c r="Q4301" s="475"/>
      <c r="R4301" s="475"/>
      <c r="S4301" s="475"/>
      <c r="T4301" s="475"/>
      <c r="U4301" s="475"/>
      <c r="V4301" s="475"/>
      <c r="W4301" s="475"/>
    </row>
    <row r="4302" spans="2:23" s="97" customFormat="1">
      <c r="B4302" s="96"/>
      <c r="H4302" s="96"/>
      <c r="J4302" s="1"/>
      <c r="K4302" s="1"/>
      <c r="L4302" s="1"/>
      <c r="O4302" s="475"/>
      <c r="P4302" s="475"/>
      <c r="Q4302" s="475"/>
      <c r="R4302" s="475"/>
      <c r="S4302" s="475"/>
      <c r="T4302" s="475"/>
      <c r="U4302" s="475"/>
      <c r="V4302" s="475"/>
      <c r="W4302" s="475"/>
    </row>
    <row r="4303" spans="2:23" s="97" customFormat="1">
      <c r="B4303" s="96"/>
      <c r="H4303" s="96"/>
      <c r="J4303" s="1"/>
      <c r="K4303" s="1"/>
      <c r="L4303" s="1"/>
      <c r="O4303" s="475"/>
      <c r="P4303" s="475"/>
      <c r="Q4303" s="475"/>
      <c r="R4303" s="475"/>
      <c r="S4303" s="475"/>
      <c r="T4303" s="475"/>
      <c r="U4303" s="475"/>
      <c r="V4303" s="475"/>
      <c r="W4303" s="475"/>
    </row>
    <row r="4304" spans="2:23" s="97" customFormat="1">
      <c r="B4304" s="96"/>
      <c r="H4304" s="96"/>
      <c r="J4304" s="1"/>
      <c r="K4304" s="1"/>
      <c r="L4304" s="1"/>
      <c r="O4304" s="475"/>
      <c r="P4304" s="475"/>
      <c r="Q4304" s="475"/>
      <c r="R4304" s="475"/>
      <c r="S4304" s="475"/>
      <c r="T4304" s="475"/>
      <c r="U4304" s="475"/>
      <c r="V4304" s="475"/>
      <c r="W4304" s="475"/>
    </row>
    <row r="4305" spans="2:23" s="97" customFormat="1">
      <c r="B4305" s="96"/>
      <c r="H4305" s="96"/>
      <c r="J4305" s="1"/>
      <c r="K4305" s="1"/>
      <c r="L4305" s="1"/>
      <c r="O4305" s="475"/>
      <c r="P4305" s="475"/>
      <c r="Q4305" s="475"/>
      <c r="R4305" s="475"/>
      <c r="S4305" s="475"/>
      <c r="T4305" s="475"/>
      <c r="U4305" s="475"/>
      <c r="V4305" s="475"/>
      <c r="W4305" s="475"/>
    </row>
    <row r="4306" spans="2:23" s="97" customFormat="1">
      <c r="B4306" s="96"/>
      <c r="H4306" s="96"/>
      <c r="J4306" s="1"/>
      <c r="K4306" s="1"/>
      <c r="L4306" s="1"/>
      <c r="O4306" s="475"/>
      <c r="P4306" s="475"/>
      <c r="Q4306" s="475"/>
      <c r="R4306" s="475"/>
      <c r="S4306" s="475"/>
      <c r="T4306" s="475"/>
      <c r="U4306" s="475"/>
      <c r="V4306" s="475"/>
      <c r="W4306" s="475"/>
    </row>
    <row r="4307" spans="2:23" s="97" customFormat="1">
      <c r="B4307" s="96"/>
      <c r="H4307" s="96"/>
      <c r="J4307" s="1"/>
      <c r="K4307" s="1"/>
      <c r="L4307" s="1"/>
      <c r="O4307" s="475"/>
      <c r="P4307" s="475"/>
      <c r="Q4307" s="475"/>
      <c r="R4307" s="475"/>
      <c r="S4307" s="475"/>
      <c r="T4307" s="475"/>
      <c r="U4307" s="475"/>
      <c r="V4307" s="475"/>
      <c r="W4307" s="475"/>
    </row>
    <row r="4308" spans="2:23" s="97" customFormat="1">
      <c r="B4308" s="96"/>
      <c r="H4308" s="96"/>
      <c r="J4308" s="1"/>
      <c r="K4308" s="1"/>
      <c r="L4308" s="1"/>
      <c r="O4308" s="475"/>
      <c r="P4308" s="475"/>
      <c r="Q4308" s="475"/>
      <c r="R4308" s="475"/>
      <c r="S4308" s="475"/>
      <c r="T4308" s="475"/>
      <c r="U4308" s="475"/>
      <c r="V4308" s="475"/>
      <c r="W4308" s="475"/>
    </row>
    <row r="4309" spans="2:23" s="97" customFormat="1">
      <c r="B4309" s="96"/>
      <c r="H4309" s="96"/>
      <c r="J4309" s="1"/>
      <c r="K4309" s="1"/>
      <c r="L4309" s="1"/>
      <c r="O4309" s="475"/>
      <c r="P4309" s="475"/>
      <c r="Q4309" s="475"/>
      <c r="R4309" s="475"/>
      <c r="S4309" s="475"/>
      <c r="T4309" s="475"/>
      <c r="U4309" s="475"/>
      <c r="V4309" s="475"/>
      <c r="W4309" s="475"/>
    </row>
    <row r="4310" spans="2:23" s="97" customFormat="1">
      <c r="B4310" s="96"/>
      <c r="H4310" s="96"/>
      <c r="J4310" s="1"/>
      <c r="K4310" s="1"/>
      <c r="L4310" s="1"/>
      <c r="O4310" s="475"/>
      <c r="P4310" s="475"/>
      <c r="Q4310" s="475"/>
      <c r="R4310" s="475"/>
      <c r="S4310" s="475"/>
      <c r="T4310" s="475"/>
      <c r="U4310" s="475"/>
      <c r="V4310" s="475"/>
      <c r="W4310" s="475"/>
    </row>
    <row r="4311" spans="2:23" s="97" customFormat="1">
      <c r="B4311" s="96"/>
      <c r="H4311" s="96"/>
      <c r="J4311" s="1"/>
      <c r="K4311" s="1"/>
      <c r="L4311" s="1"/>
      <c r="O4311" s="475"/>
      <c r="P4311" s="475"/>
      <c r="Q4311" s="475"/>
      <c r="R4311" s="475"/>
      <c r="S4311" s="475"/>
      <c r="T4311" s="475"/>
      <c r="U4311" s="475"/>
      <c r="V4311" s="475"/>
      <c r="W4311" s="475"/>
    </row>
    <row r="4312" spans="2:23" s="97" customFormat="1">
      <c r="B4312" s="96"/>
      <c r="H4312" s="96"/>
      <c r="J4312" s="1"/>
      <c r="K4312" s="1"/>
      <c r="L4312" s="1"/>
      <c r="O4312" s="475"/>
      <c r="P4312" s="475"/>
      <c r="Q4312" s="475"/>
      <c r="R4312" s="475"/>
      <c r="S4312" s="475"/>
      <c r="T4312" s="475"/>
      <c r="U4312" s="475"/>
      <c r="V4312" s="475"/>
      <c r="W4312" s="475"/>
    </row>
    <row r="4313" spans="2:23" s="97" customFormat="1">
      <c r="B4313" s="96"/>
      <c r="H4313" s="96"/>
      <c r="J4313" s="1"/>
      <c r="K4313" s="1"/>
      <c r="L4313" s="1"/>
      <c r="O4313" s="475"/>
      <c r="P4313" s="475"/>
      <c r="Q4313" s="475"/>
      <c r="R4313" s="475"/>
      <c r="S4313" s="475"/>
      <c r="T4313" s="475"/>
      <c r="U4313" s="475"/>
      <c r="V4313" s="475"/>
      <c r="W4313" s="475"/>
    </row>
    <row r="4314" spans="2:23" s="97" customFormat="1">
      <c r="B4314" s="96"/>
      <c r="H4314" s="96"/>
      <c r="J4314" s="1"/>
      <c r="K4314" s="1"/>
      <c r="L4314" s="1"/>
      <c r="O4314" s="475"/>
      <c r="P4314" s="475"/>
      <c r="Q4314" s="475"/>
      <c r="R4314" s="475"/>
      <c r="S4314" s="475"/>
      <c r="T4314" s="475"/>
      <c r="U4314" s="475"/>
      <c r="V4314" s="475"/>
      <c r="W4314" s="475"/>
    </row>
    <row r="4315" spans="2:23" s="97" customFormat="1">
      <c r="B4315" s="96"/>
      <c r="H4315" s="96"/>
      <c r="J4315" s="1"/>
      <c r="K4315" s="1"/>
      <c r="L4315" s="1"/>
      <c r="O4315" s="475"/>
      <c r="P4315" s="475"/>
      <c r="Q4315" s="475"/>
      <c r="R4315" s="475"/>
      <c r="S4315" s="475"/>
      <c r="T4315" s="475"/>
      <c r="U4315" s="475"/>
      <c r="V4315" s="475"/>
      <c r="W4315" s="475"/>
    </row>
    <row r="4316" spans="2:23" s="97" customFormat="1">
      <c r="B4316" s="96"/>
      <c r="H4316" s="96"/>
      <c r="J4316" s="1"/>
      <c r="K4316" s="1"/>
      <c r="L4316" s="1"/>
      <c r="O4316" s="475"/>
      <c r="P4316" s="475"/>
      <c r="Q4316" s="475"/>
      <c r="R4316" s="475"/>
      <c r="S4316" s="475"/>
      <c r="T4316" s="475"/>
      <c r="U4316" s="475"/>
      <c r="V4316" s="475"/>
      <c r="W4316" s="475"/>
    </row>
    <row r="4317" spans="2:23" s="97" customFormat="1">
      <c r="B4317" s="96"/>
      <c r="H4317" s="96"/>
      <c r="J4317" s="1"/>
      <c r="K4317" s="1"/>
      <c r="L4317" s="1"/>
      <c r="O4317" s="475"/>
      <c r="P4317" s="475"/>
      <c r="Q4317" s="475"/>
      <c r="R4317" s="475"/>
      <c r="S4317" s="475"/>
      <c r="T4317" s="475"/>
      <c r="U4317" s="475"/>
      <c r="V4317" s="475"/>
      <c r="W4317" s="475"/>
    </row>
    <row r="4318" spans="2:23" s="97" customFormat="1">
      <c r="B4318" s="96"/>
      <c r="H4318" s="96"/>
      <c r="J4318" s="1"/>
      <c r="K4318" s="1"/>
      <c r="L4318" s="1"/>
      <c r="O4318" s="475"/>
      <c r="P4318" s="475"/>
      <c r="Q4318" s="475"/>
      <c r="R4318" s="475"/>
      <c r="S4318" s="475"/>
      <c r="T4318" s="475"/>
      <c r="U4318" s="475"/>
      <c r="V4318" s="475"/>
      <c r="W4318" s="475"/>
    </row>
    <row r="4319" spans="2:23" s="97" customFormat="1">
      <c r="B4319" s="96"/>
      <c r="H4319" s="96"/>
      <c r="J4319" s="1"/>
      <c r="K4319" s="1"/>
      <c r="L4319" s="1"/>
      <c r="O4319" s="475"/>
      <c r="P4319" s="475"/>
      <c r="Q4319" s="475"/>
      <c r="R4319" s="475"/>
      <c r="S4319" s="475"/>
      <c r="T4319" s="475"/>
      <c r="U4319" s="475"/>
      <c r="V4319" s="475"/>
      <c r="W4319" s="475"/>
    </row>
    <row r="4320" spans="2:23" s="97" customFormat="1">
      <c r="B4320" s="96"/>
      <c r="H4320" s="96"/>
      <c r="J4320" s="1"/>
      <c r="K4320" s="1"/>
      <c r="L4320" s="1"/>
      <c r="O4320" s="475"/>
      <c r="P4320" s="475"/>
      <c r="Q4320" s="475"/>
      <c r="R4320" s="475"/>
      <c r="S4320" s="475"/>
      <c r="T4320" s="475"/>
      <c r="U4320" s="475"/>
      <c r="V4320" s="475"/>
      <c r="W4320" s="475"/>
    </row>
    <row r="4321" spans="2:23" s="97" customFormat="1">
      <c r="B4321" s="96"/>
      <c r="H4321" s="96"/>
      <c r="J4321" s="1"/>
      <c r="K4321" s="1"/>
      <c r="L4321" s="1"/>
      <c r="O4321" s="475"/>
      <c r="P4321" s="475"/>
      <c r="Q4321" s="475"/>
      <c r="R4321" s="475"/>
      <c r="S4321" s="475"/>
      <c r="T4321" s="475"/>
      <c r="U4321" s="475"/>
      <c r="V4321" s="475"/>
      <c r="W4321" s="475"/>
    </row>
    <row r="4322" spans="2:23" s="97" customFormat="1">
      <c r="B4322" s="96"/>
      <c r="H4322" s="96"/>
      <c r="J4322" s="1"/>
      <c r="K4322" s="1"/>
      <c r="L4322" s="1"/>
      <c r="O4322" s="475"/>
      <c r="P4322" s="475"/>
      <c r="Q4322" s="475"/>
      <c r="R4322" s="475"/>
      <c r="S4322" s="475"/>
      <c r="T4322" s="475"/>
      <c r="U4322" s="475"/>
      <c r="V4322" s="475"/>
      <c r="W4322" s="475"/>
    </row>
    <row r="4323" spans="2:23" s="97" customFormat="1">
      <c r="B4323" s="96"/>
      <c r="H4323" s="96"/>
      <c r="J4323" s="1"/>
      <c r="K4323" s="1"/>
      <c r="L4323" s="1"/>
      <c r="O4323" s="475"/>
      <c r="P4323" s="475"/>
      <c r="Q4323" s="475"/>
      <c r="R4323" s="475"/>
      <c r="S4323" s="475"/>
      <c r="T4323" s="475"/>
      <c r="U4323" s="475"/>
      <c r="V4323" s="475"/>
      <c r="W4323" s="475"/>
    </row>
    <row r="4324" spans="2:23" s="97" customFormat="1">
      <c r="B4324" s="96"/>
      <c r="H4324" s="96"/>
      <c r="J4324" s="1"/>
      <c r="K4324" s="1"/>
      <c r="L4324" s="1"/>
      <c r="O4324" s="475"/>
      <c r="P4324" s="475"/>
      <c r="Q4324" s="475"/>
      <c r="R4324" s="475"/>
      <c r="S4324" s="475"/>
      <c r="T4324" s="475"/>
      <c r="U4324" s="475"/>
      <c r="V4324" s="475"/>
      <c r="W4324" s="475"/>
    </row>
    <row r="4325" spans="2:23" s="97" customFormat="1">
      <c r="B4325" s="96"/>
      <c r="H4325" s="96"/>
      <c r="J4325" s="1"/>
      <c r="K4325" s="1"/>
      <c r="L4325" s="1"/>
      <c r="O4325" s="475"/>
      <c r="P4325" s="475"/>
      <c r="Q4325" s="475"/>
      <c r="R4325" s="475"/>
      <c r="S4325" s="475"/>
      <c r="T4325" s="475"/>
      <c r="U4325" s="475"/>
      <c r="V4325" s="475"/>
      <c r="W4325" s="475"/>
    </row>
    <row r="4326" spans="2:23" s="97" customFormat="1">
      <c r="B4326" s="96"/>
      <c r="H4326" s="96"/>
      <c r="J4326" s="1"/>
      <c r="K4326" s="1"/>
      <c r="L4326" s="1"/>
      <c r="O4326" s="475"/>
      <c r="P4326" s="475"/>
      <c r="Q4326" s="475"/>
      <c r="R4326" s="475"/>
      <c r="S4326" s="475"/>
      <c r="T4326" s="475"/>
      <c r="U4326" s="475"/>
      <c r="V4326" s="475"/>
      <c r="W4326" s="475"/>
    </row>
    <row r="4327" spans="2:23" s="97" customFormat="1">
      <c r="B4327" s="96"/>
      <c r="H4327" s="96"/>
      <c r="J4327" s="1"/>
      <c r="K4327" s="1"/>
      <c r="L4327" s="1"/>
      <c r="O4327" s="475"/>
      <c r="P4327" s="475"/>
      <c r="Q4327" s="475"/>
      <c r="R4327" s="475"/>
      <c r="S4327" s="475"/>
      <c r="T4327" s="475"/>
      <c r="U4327" s="475"/>
      <c r="V4327" s="475"/>
      <c r="W4327" s="475"/>
    </row>
    <row r="4328" spans="2:23" s="97" customFormat="1">
      <c r="B4328" s="96"/>
      <c r="H4328" s="96"/>
      <c r="J4328" s="1"/>
      <c r="K4328" s="1"/>
      <c r="L4328" s="1"/>
      <c r="O4328" s="475"/>
      <c r="P4328" s="475"/>
      <c r="Q4328" s="475"/>
      <c r="R4328" s="475"/>
      <c r="S4328" s="475"/>
      <c r="T4328" s="475"/>
      <c r="U4328" s="475"/>
      <c r="V4328" s="475"/>
      <c r="W4328" s="475"/>
    </row>
    <row r="4329" spans="2:23" s="97" customFormat="1">
      <c r="B4329" s="96"/>
      <c r="H4329" s="96"/>
      <c r="J4329" s="1"/>
      <c r="K4329" s="1"/>
      <c r="L4329" s="1"/>
      <c r="O4329" s="475"/>
      <c r="P4329" s="475"/>
      <c r="Q4329" s="475"/>
      <c r="R4329" s="475"/>
      <c r="S4329" s="475"/>
      <c r="T4329" s="475"/>
      <c r="U4329" s="475"/>
      <c r="V4329" s="475"/>
      <c r="W4329" s="475"/>
    </row>
    <row r="4330" spans="2:23" s="97" customFormat="1">
      <c r="B4330" s="96"/>
      <c r="H4330" s="96"/>
      <c r="J4330" s="1"/>
      <c r="K4330" s="1"/>
      <c r="L4330" s="1"/>
      <c r="O4330" s="475"/>
      <c r="P4330" s="475"/>
      <c r="Q4330" s="475"/>
      <c r="R4330" s="475"/>
      <c r="S4330" s="475"/>
      <c r="T4330" s="475"/>
      <c r="U4330" s="475"/>
      <c r="V4330" s="475"/>
      <c r="W4330" s="475"/>
    </row>
    <row r="4331" spans="2:23" s="97" customFormat="1">
      <c r="B4331" s="96"/>
      <c r="H4331" s="96"/>
      <c r="J4331" s="1"/>
      <c r="K4331" s="1"/>
      <c r="L4331" s="1"/>
      <c r="O4331" s="475"/>
      <c r="P4331" s="475"/>
      <c r="Q4331" s="475"/>
      <c r="R4331" s="475"/>
      <c r="S4331" s="475"/>
      <c r="T4331" s="475"/>
      <c r="U4331" s="475"/>
      <c r="V4331" s="475"/>
      <c r="W4331" s="475"/>
    </row>
    <row r="4332" spans="2:23" s="97" customFormat="1">
      <c r="B4332" s="96"/>
      <c r="H4332" s="96"/>
      <c r="J4332" s="1"/>
      <c r="K4332" s="1"/>
      <c r="L4332" s="1"/>
      <c r="O4332" s="475"/>
      <c r="P4332" s="475"/>
      <c r="Q4332" s="475"/>
      <c r="R4332" s="475"/>
      <c r="S4332" s="475"/>
      <c r="T4332" s="475"/>
      <c r="U4332" s="475"/>
      <c r="V4332" s="475"/>
      <c r="W4332" s="475"/>
    </row>
    <row r="4333" spans="2:23" s="97" customFormat="1">
      <c r="B4333" s="96"/>
      <c r="H4333" s="96"/>
      <c r="J4333" s="1"/>
      <c r="K4333" s="1"/>
      <c r="L4333" s="1"/>
      <c r="O4333" s="475"/>
      <c r="P4333" s="475"/>
      <c r="Q4333" s="475"/>
      <c r="R4333" s="475"/>
      <c r="S4333" s="475"/>
      <c r="T4333" s="475"/>
      <c r="U4333" s="475"/>
      <c r="V4333" s="475"/>
      <c r="W4333" s="475"/>
    </row>
    <row r="4334" spans="2:23" s="97" customFormat="1">
      <c r="B4334" s="96"/>
      <c r="H4334" s="96"/>
      <c r="J4334" s="1"/>
      <c r="K4334" s="1"/>
      <c r="L4334" s="1"/>
      <c r="O4334" s="475"/>
      <c r="P4334" s="475"/>
      <c r="Q4334" s="475"/>
      <c r="R4334" s="475"/>
      <c r="S4334" s="475"/>
      <c r="T4334" s="475"/>
      <c r="U4334" s="475"/>
      <c r="V4334" s="475"/>
      <c r="W4334" s="475"/>
    </row>
    <row r="4335" spans="2:23" s="97" customFormat="1">
      <c r="B4335" s="96"/>
      <c r="H4335" s="96"/>
      <c r="J4335" s="1"/>
      <c r="K4335" s="1"/>
      <c r="L4335" s="1"/>
      <c r="O4335" s="475"/>
      <c r="P4335" s="475"/>
      <c r="Q4335" s="475"/>
      <c r="R4335" s="475"/>
      <c r="S4335" s="475"/>
      <c r="T4335" s="475"/>
      <c r="U4335" s="475"/>
      <c r="V4335" s="475"/>
      <c r="W4335" s="475"/>
    </row>
    <row r="4336" spans="2:23" s="97" customFormat="1">
      <c r="B4336" s="96"/>
      <c r="H4336" s="96"/>
      <c r="J4336" s="1"/>
      <c r="K4336" s="1"/>
      <c r="L4336" s="1"/>
      <c r="O4336" s="475"/>
      <c r="P4336" s="475"/>
      <c r="Q4336" s="475"/>
      <c r="R4336" s="475"/>
      <c r="S4336" s="475"/>
      <c r="T4336" s="475"/>
      <c r="U4336" s="475"/>
      <c r="V4336" s="475"/>
      <c r="W4336" s="475"/>
    </row>
    <row r="4337" spans="2:23" s="97" customFormat="1">
      <c r="B4337" s="96"/>
      <c r="H4337" s="96"/>
      <c r="J4337" s="1"/>
      <c r="K4337" s="1"/>
      <c r="L4337" s="1"/>
      <c r="O4337" s="475"/>
      <c r="P4337" s="475"/>
      <c r="Q4337" s="475"/>
      <c r="R4337" s="475"/>
      <c r="S4337" s="475"/>
      <c r="T4337" s="475"/>
      <c r="U4337" s="475"/>
      <c r="V4337" s="475"/>
      <c r="W4337" s="475"/>
    </row>
    <row r="4338" spans="2:23" s="97" customFormat="1">
      <c r="B4338" s="96"/>
      <c r="H4338" s="96"/>
      <c r="J4338" s="1"/>
      <c r="K4338" s="1"/>
      <c r="L4338" s="1"/>
      <c r="O4338" s="475"/>
      <c r="P4338" s="475"/>
      <c r="Q4338" s="475"/>
      <c r="R4338" s="475"/>
      <c r="S4338" s="475"/>
      <c r="T4338" s="475"/>
      <c r="U4338" s="475"/>
      <c r="V4338" s="475"/>
      <c r="W4338" s="475"/>
    </row>
    <row r="4339" spans="2:23" s="97" customFormat="1">
      <c r="B4339" s="96"/>
      <c r="H4339" s="96"/>
      <c r="J4339" s="1"/>
      <c r="K4339" s="1"/>
      <c r="L4339" s="1"/>
      <c r="O4339" s="475"/>
      <c r="P4339" s="475"/>
      <c r="Q4339" s="475"/>
      <c r="R4339" s="475"/>
      <c r="S4339" s="475"/>
      <c r="T4339" s="475"/>
      <c r="U4339" s="475"/>
      <c r="V4339" s="475"/>
      <c r="W4339" s="475"/>
    </row>
    <row r="4340" spans="2:23" s="97" customFormat="1">
      <c r="B4340" s="96"/>
      <c r="H4340" s="96"/>
      <c r="J4340" s="1"/>
      <c r="K4340" s="1"/>
      <c r="L4340" s="1"/>
      <c r="O4340" s="475"/>
      <c r="P4340" s="475"/>
      <c r="Q4340" s="475"/>
      <c r="R4340" s="475"/>
      <c r="S4340" s="475"/>
      <c r="T4340" s="475"/>
      <c r="U4340" s="475"/>
      <c r="V4340" s="475"/>
      <c r="W4340" s="475"/>
    </row>
    <row r="4341" spans="2:23" s="97" customFormat="1">
      <c r="B4341" s="96"/>
      <c r="H4341" s="96"/>
      <c r="J4341" s="1"/>
      <c r="K4341" s="1"/>
      <c r="L4341" s="1"/>
      <c r="O4341" s="475"/>
      <c r="P4341" s="475"/>
      <c r="Q4341" s="475"/>
      <c r="R4341" s="475"/>
      <c r="S4341" s="475"/>
      <c r="T4341" s="475"/>
      <c r="U4341" s="475"/>
      <c r="V4341" s="475"/>
      <c r="W4341" s="475"/>
    </row>
    <row r="4342" spans="2:23" s="97" customFormat="1">
      <c r="B4342" s="96"/>
      <c r="H4342" s="96"/>
      <c r="J4342" s="1"/>
      <c r="K4342" s="1"/>
      <c r="L4342" s="1"/>
      <c r="O4342" s="475"/>
      <c r="P4342" s="475"/>
      <c r="Q4342" s="475"/>
      <c r="R4342" s="475"/>
      <c r="S4342" s="475"/>
      <c r="T4342" s="475"/>
      <c r="U4342" s="475"/>
      <c r="V4342" s="475"/>
      <c r="W4342" s="475"/>
    </row>
    <row r="4343" spans="2:23" s="97" customFormat="1">
      <c r="B4343" s="96"/>
      <c r="H4343" s="96"/>
      <c r="J4343" s="1"/>
      <c r="K4343" s="1"/>
      <c r="L4343" s="1"/>
      <c r="O4343" s="475"/>
      <c r="P4343" s="475"/>
      <c r="Q4343" s="475"/>
      <c r="R4343" s="475"/>
      <c r="S4343" s="475"/>
      <c r="T4343" s="475"/>
      <c r="U4343" s="475"/>
      <c r="V4343" s="475"/>
      <c r="W4343" s="475"/>
    </row>
    <row r="4344" spans="2:23" s="97" customFormat="1">
      <c r="B4344" s="96"/>
      <c r="H4344" s="96"/>
      <c r="J4344" s="1"/>
      <c r="K4344" s="1"/>
      <c r="L4344" s="1"/>
      <c r="O4344" s="475"/>
      <c r="P4344" s="475"/>
      <c r="Q4344" s="475"/>
      <c r="R4344" s="475"/>
      <c r="S4344" s="475"/>
      <c r="T4344" s="475"/>
      <c r="U4344" s="475"/>
      <c r="V4344" s="475"/>
      <c r="W4344" s="475"/>
    </row>
    <row r="4345" spans="2:23" s="97" customFormat="1">
      <c r="B4345" s="96"/>
      <c r="H4345" s="96"/>
      <c r="J4345" s="1"/>
      <c r="K4345" s="1"/>
      <c r="L4345" s="1"/>
      <c r="O4345" s="475"/>
      <c r="P4345" s="475"/>
      <c r="Q4345" s="475"/>
      <c r="R4345" s="475"/>
      <c r="S4345" s="475"/>
      <c r="T4345" s="475"/>
      <c r="U4345" s="475"/>
      <c r="V4345" s="475"/>
      <c r="W4345" s="475"/>
    </row>
    <row r="4346" spans="2:23" s="97" customFormat="1">
      <c r="B4346" s="96"/>
      <c r="H4346" s="96"/>
      <c r="J4346" s="1"/>
      <c r="K4346" s="1"/>
      <c r="L4346" s="1"/>
      <c r="O4346" s="475"/>
      <c r="P4346" s="475"/>
      <c r="Q4346" s="475"/>
      <c r="R4346" s="475"/>
      <c r="S4346" s="475"/>
      <c r="T4346" s="475"/>
      <c r="U4346" s="475"/>
      <c r="V4346" s="475"/>
      <c r="W4346" s="475"/>
    </row>
    <row r="4347" spans="2:23" s="97" customFormat="1">
      <c r="B4347" s="96"/>
      <c r="H4347" s="96"/>
      <c r="J4347" s="1"/>
      <c r="K4347" s="1"/>
      <c r="L4347" s="1"/>
      <c r="O4347" s="475"/>
      <c r="P4347" s="475"/>
      <c r="Q4347" s="475"/>
      <c r="R4347" s="475"/>
      <c r="S4347" s="475"/>
      <c r="T4347" s="475"/>
      <c r="U4347" s="475"/>
      <c r="V4347" s="475"/>
      <c r="W4347" s="475"/>
    </row>
    <row r="4348" spans="2:23" s="97" customFormat="1">
      <c r="B4348" s="96"/>
      <c r="H4348" s="96"/>
      <c r="J4348" s="1"/>
      <c r="K4348" s="1"/>
      <c r="L4348" s="1"/>
      <c r="O4348" s="475"/>
      <c r="P4348" s="475"/>
      <c r="Q4348" s="475"/>
      <c r="R4348" s="475"/>
      <c r="S4348" s="475"/>
      <c r="T4348" s="475"/>
      <c r="U4348" s="475"/>
      <c r="V4348" s="475"/>
      <c r="W4348" s="475"/>
    </row>
    <row r="4349" spans="2:23" s="97" customFormat="1">
      <c r="B4349" s="96"/>
      <c r="H4349" s="96"/>
      <c r="J4349" s="1"/>
      <c r="K4349" s="1"/>
      <c r="L4349" s="1"/>
      <c r="O4349" s="475"/>
      <c r="P4349" s="475"/>
      <c r="Q4349" s="475"/>
      <c r="R4349" s="475"/>
      <c r="S4349" s="475"/>
      <c r="T4349" s="475"/>
      <c r="U4349" s="475"/>
      <c r="V4349" s="475"/>
      <c r="W4349" s="475"/>
    </row>
    <row r="4350" spans="2:23" s="97" customFormat="1">
      <c r="B4350" s="96"/>
      <c r="H4350" s="96"/>
      <c r="J4350" s="1"/>
      <c r="K4350" s="1"/>
      <c r="L4350" s="1"/>
      <c r="O4350" s="475"/>
      <c r="P4350" s="475"/>
      <c r="Q4350" s="475"/>
      <c r="R4350" s="475"/>
      <c r="S4350" s="475"/>
      <c r="T4350" s="475"/>
      <c r="U4350" s="475"/>
      <c r="V4350" s="475"/>
      <c r="W4350" s="475"/>
    </row>
    <row r="4351" spans="2:23" s="97" customFormat="1">
      <c r="B4351" s="96"/>
      <c r="H4351" s="96"/>
      <c r="J4351" s="1"/>
      <c r="K4351" s="1"/>
      <c r="L4351" s="1"/>
      <c r="O4351" s="475"/>
      <c r="P4351" s="475"/>
      <c r="Q4351" s="475"/>
      <c r="R4351" s="475"/>
      <c r="S4351" s="475"/>
      <c r="T4351" s="475"/>
      <c r="U4351" s="475"/>
      <c r="V4351" s="475"/>
      <c r="W4351" s="475"/>
    </row>
    <row r="4352" spans="2:23" s="97" customFormat="1">
      <c r="B4352" s="96"/>
      <c r="H4352" s="96"/>
      <c r="J4352" s="1"/>
      <c r="K4352" s="1"/>
      <c r="L4352" s="1"/>
      <c r="O4352" s="475"/>
      <c r="P4352" s="475"/>
      <c r="Q4352" s="475"/>
      <c r="R4352" s="475"/>
      <c r="S4352" s="475"/>
      <c r="T4352" s="475"/>
      <c r="U4352" s="475"/>
      <c r="V4352" s="475"/>
      <c r="W4352" s="475"/>
    </row>
    <row r="4353" spans="2:23" s="97" customFormat="1">
      <c r="B4353" s="96"/>
      <c r="H4353" s="96"/>
      <c r="J4353" s="1"/>
      <c r="K4353" s="1"/>
      <c r="L4353" s="1"/>
      <c r="O4353" s="475"/>
      <c r="P4353" s="475"/>
      <c r="Q4353" s="475"/>
      <c r="R4353" s="475"/>
      <c r="S4353" s="475"/>
      <c r="T4353" s="475"/>
      <c r="U4353" s="475"/>
      <c r="V4353" s="475"/>
      <c r="W4353" s="475"/>
    </row>
    <row r="4354" spans="2:23" s="97" customFormat="1">
      <c r="B4354" s="96"/>
      <c r="H4354" s="96"/>
      <c r="J4354" s="1"/>
      <c r="K4354" s="1"/>
      <c r="L4354" s="1"/>
      <c r="O4354" s="475"/>
      <c r="P4354" s="475"/>
      <c r="Q4354" s="475"/>
      <c r="R4354" s="475"/>
      <c r="S4354" s="475"/>
      <c r="T4354" s="475"/>
      <c r="U4354" s="475"/>
      <c r="V4354" s="475"/>
      <c r="W4354" s="475"/>
    </row>
    <row r="4355" spans="2:23" s="97" customFormat="1">
      <c r="B4355" s="96"/>
      <c r="H4355" s="96"/>
      <c r="J4355" s="1"/>
      <c r="K4355" s="1"/>
      <c r="L4355" s="1"/>
      <c r="O4355" s="475"/>
      <c r="P4355" s="475"/>
      <c r="Q4355" s="475"/>
      <c r="R4355" s="475"/>
      <c r="S4355" s="475"/>
      <c r="T4355" s="475"/>
      <c r="U4355" s="475"/>
      <c r="V4355" s="475"/>
      <c r="W4355" s="475"/>
    </row>
    <row r="4356" spans="2:23" s="97" customFormat="1">
      <c r="B4356" s="96"/>
      <c r="H4356" s="96"/>
      <c r="J4356" s="1"/>
      <c r="K4356" s="1"/>
      <c r="L4356" s="1"/>
      <c r="O4356" s="475"/>
      <c r="P4356" s="475"/>
      <c r="Q4356" s="475"/>
      <c r="R4356" s="475"/>
      <c r="S4356" s="475"/>
      <c r="T4356" s="475"/>
      <c r="U4356" s="475"/>
      <c r="V4356" s="475"/>
      <c r="W4356" s="475"/>
    </row>
    <row r="4357" spans="2:23" s="97" customFormat="1">
      <c r="B4357" s="96"/>
      <c r="H4357" s="96"/>
      <c r="J4357" s="1"/>
      <c r="K4357" s="1"/>
      <c r="L4357" s="1"/>
      <c r="O4357" s="475"/>
      <c r="P4357" s="475"/>
      <c r="Q4357" s="475"/>
      <c r="R4357" s="475"/>
      <c r="S4357" s="475"/>
      <c r="T4357" s="475"/>
      <c r="U4357" s="475"/>
      <c r="V4357" s="475"/>
      <c r="W4357" s="475"/>
    </row>
    <row r="4358" spans="2:23" s="97" customFormat="1">
      <c r="B4358" s="96"/>
      <c r="H4358" s="96"/>
      <c r="J4358" s="1"/>
      <c r="K4358" s="1"/>
      <c r="L4358" s="1"/>
      <c r="O4358" s="475"/>
      <c r="P4358" s="475"/>
      <c r="Q4358" s="475"/>
      <c r="R4358" s="475"/>
      <c r="S4358" s="475"/>
      <c r="T4358" s="475"/>
      <c r="U4358" s="475"/>
      <c r="V4358" s="475"/>
      <c r="W4358" s="475"/>
    </row>
    <row r="4359" spans="2:23" s="97" customFormat="1">
      <c r="B4359" s="96"/>
      <c r="H4359" s="96"/>
      <c r="J4359" s="1"/>
      <c r="K4359" s="1"/>
      <c r="L4359" s="1"/>
      <c r="O4359" s="475"/>
      <c r="P4359" s="475"/>
      <c r="Q4359" s="475"/>
      <c r="R4359" s="475"/>
      <c r="S4359" s="475"/>
      <c r="T4359" s="475"/>
      <c r="U4359" s="475"/>
      <c r="V4359" s="475"/>
      <c r="W4359" s="475"/>
    </row>
    <row r="4360" spans="2:23" s="97" customFormat="1">
      <c r="B4360" s="96"/>
      <c r="H4360" s="96"/>
      <c r="J4360" s="1"/>
      <c r="K4360" s="1"/>
      <c r="L4360" s="1"/>
      <c r="O4360" s="475"/>
      <c r="P4360" s="475"/>
      <c r="Q4360" s="475"/>
      <c r="R4360" s="475"/>
      <c r="S4360" s="475"/>
      <c r="T4360" s="475"/>
      <c r="U4360" s="475"/>
      <c r="V4360" s="475"/>
      <c r="W4360" s="475"/>
    </row>
    <row r="4361" spans="2:23" s="97" customFormat="1">
      <c r="B4361" s="96"/>
      <c r="H4361" s="96"/>
      <c r="J4361" s="1"/>
      <c r="K4361" s="1"/>
      <c r="L4361" s="1"/>
      <c r="O4361" s="475"/>
      <c r="P4361" s="475"/>
      <c r="Q4361" s="475"/>
      <c r="R4361" s="475"/>
      <c r="S4361" s="475"/>
      <c r="T4361" s="475"/>
      <c r="U4361" s="475"/>
      <c r="V4361" s="475"/>
      <c r="W4361" s="475"/>
    </row>
    <row r="4362" spans="2:23" s="97" customFormat="1">
      <c r="B4362" s="96"/>
      <c r="H4362" s="96"/>
      <c r="J4362" s="1"/>
      <c r="K4362" s="1"/>
      <c r="L4362" s="1"/>
      <c r="O4362" s="475"/>
      <c r="P4362" s="475"/>
      <c r="Q4362" s="475"/>
      <c r="R4362" s="475"/>
      <c r="S4362" s="475"/>
      <c r="T4362" s="475"/>
      <c r="U4362" s="475"/>
      <c r="V4362" s="475"/>
      <c r="W4362" s="475"/>
    </row>
    <row r="4363" spans="2:23" s="97" customFormat="1">
      <c r="B4363" s="96"/>
      <c r="H4363" s="96"/>
      <c r="J4363" s="1"/>
      <c r="K4363" s="1"/>
      <c r="L4363" s="1"/>
      <c r="O4363" s="475"/>
      <c r="P4363" s="475"/>
      <c r="Q4363" s="475"/>
      <c r="R4363" s="475"/>
      <c r="S4363" s="475"/>
      <c r="T4363" s="475"/>
      <c r="U4363" s="475"/>
      <c r="V4363" s="475"/>
      <c r="W4363" s="475"/>
    </row>
    <row r="4364" spans="2:23" s="97" customFormat="1">
      <c r="B4364" s="96"/>
      <c r="H4364" s="96"/>
      <c r="J4364" s="1"/>
      <c r="K4364" s="1"/>
      <c r="L4364" s="1"/>
      <c r="O4364" s="475"/>
      <c r="P4364" s="475"/>
      <c r="Q4364" s="475"/>
      <c r="R4364" s="475"/>
      <c r="S4364" s="475"/>
      <c r="T4364" s="475"/>
      <c r="U4364" s="475"/>
      <c r="V4364" s="475"/>
      <c r="W4364" s="475"/>
    </row>
    <row r="4365" spans="2:23" s="97" customFormat="1">
      <c r="B4365" s="96"/>
      <c r="H4365" s="96"/>
      <c r="J4365" s="1"/>
      <c r="K4365" s="1"/>
      <c r="L4365" s="1"/>
      <c r="O4365" s="475"/>
      <c r="P4365" s="475"/>
      <c r="Q4365" s="475"/>
      <c r="R4365" s="475"/>
      <c r="S4365" s="475"/>
      <c r="T4365" s="475"/>
      <c r="U4365" s="475"/>
      <c r="V4365" s="475"/>
      <c r="W4365" s="475"/>
    </row>
    <row r="4366" spans="2:23" s="97" customFormat="1">
      <c r="B4366" s="96"/>
      <c r="H4366" s="96"/>
      <c r="J4366" s="1"/>
      <c r="K4366" s="1"/>
      <c r="L4366" s="1"/>
      <c r="O4366" s="475"/>
      <c r="P4366" s="475"/>
      <c r="Q4366" s="475"/>
      <c r="R4366" s="475"/>
      <c r="S4366" s="475"/>
      <c r="T4366" s="475"/>
      <c r="U4366" s="475"/>
      <c r="V4366" s="475"/>
      <c r="W4366" s="475"/>
    </row>
    <row r="4367" spans="2:23" s="97" customFormat="1">
      <c r="B4367" s="96"/>
      <c r="H4367" s="96"/>
      <c r="J4367" s="1"/>
      <c r="K4367" s="1"/>
      <c r="L4367" s="1"/>
      <c r="O4367" s="475"/>
      <c r="P4367" s="475"/>
      <c r="Q4367" s="475"/>
      <c r="R4367" s="475"/>
      <c r="S4367" s="475"/>
      <c r="T4367" s="475"/>
      <c r="U4367" s="475"/>
      <c r="V4367" s="475"/>
      <c r="W4367" s="475"/>
    </row>
    <row r="4368" spans="2:23" s="97" customFormat="1">
      <c r="B4368" s="96"/>
      <c r="H4368" s="96"/>
      <c r="J4368" s="1"/>
      <c r="K4368" s="1"/>
      <c r="L4368" s="1"/>
      <c r="O4368" s="475"/>
      <c r="P4368" s="475"/>
      <c r="Q4368" s="475"/>
      <c r="R4368" s="475"/>
      <c r="S4368" s="475"/>
      <c r="T4368" s="475"/>
      <c r="U4368" s="475"/>
      <c r="V4368" s="475"/>
      <c r="W4368" s="475"/>
    </row>
    <row r="4369" spans="2:23" s="97" customFormat="1">
      <c r="B4369" s="96"/>
      <c r="H4369" s="96"/>
      <c r="J4369" s="1"/>
      <c r="K4369" s="1"/>
      <c r="L4369" s="1"/>
      <c r="O4369" s="475"/>
      <c r="P4369" s="475"/>
      <c r="Q4369" s="475"/>
      <c r="R4369" s="475"/>
      <c r="S4369" s="475"/>
      <c r="T4369" s="475"/>
      <c r="U4369" s="475"/>
      <c r="V4369" s="475"/>
      <c r="W4369" s="475"/>
    </row>
    <row r="4370" spans="2:23" s="97" customFormat="1">
      <c r="B4370" s="96"/>
      <c r="H4370" s="96"/>
      <c r="J4370" s="1"/>
      <c r="K4370" s="1"/>
      <c r="L4370" s="1"/>
      <c r="O4370" s="475"/>
      <c r="P4370" s="475"/>
      <c r="Q4370" s="475"/>
      <c r="R4370" s="475"/>
      <c r="S4370" s="475"/>
      <c r="T4370" s="475"/>
      <c r="U4370" s="475"/>
      <c r="V4370" s="475"/>
      <c r="W4370" s="475"/>
    </row>
    <row r="4371" spans="2:23" s="97" customFormat="1">
      <c r="B4371" s="96"/>
      <c r="H4371" s="96"/>
      <c r="J4371" s="1"/>
      <c r="K4371" s="1"/>
      <c r="L4371" s="1"/>
      <c r="O4371" s="475"/>
      <c r="P4371" s="475"/>
      <c r="Q4371" s="475"/>
      <c r="R4371" s="475"/>
      <c r="S4371" s="475"/>
      <c r="T4371" s="475"/>
      <c r="U4371" s="475"/>
      <c r="V4371" s="475"/>
      <c r="W4371" s="475"/>
    </row>
    <row r="4372" spans="2:23" s="97" customFormat="1">
      <c r="B4372" s="96"/>
      <c r="H4372" s="96"/>
      <c r="J4372" s="1"/>
      <c r="K4372" s="1"/>
      <c r="L4372" s="1"/>
      <c r="O4372" s="475"/>
      <c r="P4372" s="475"/>
      <c r="Q4372" s="475"/>
      <c r="R4372" s="475"/>
      <c r="S4372" s="475"/>
      <c r="T4372" s="475"/>
      <c r="U4372" s="475"/>
      <c r="V4372" s="475"/>
      <c r="W4372" s="475"/>
    </row>
    <row r="4373" spans="2:23" s="97" customFormat="1">
      <c r="B4373" s="96"/>
      <c r="H4373" s="96"/>
      <c r="J4373" s="1"/>
      <c r="K4373" s="1"/>
      <c r="L4373" s="1"/>
      <c r="O4373" s="475"/>
      <c r="P4373" s="475"/>
      <c r="Q4373" s="475"/>
      <c r="R4373" s="475"/>
      <c r="S4373" s="475"/>
      <c r="T4373" s="475"/>
      <c r="U4373" s="475"/>
      <c r="V4373" s="475"/>
      <c r="W4373" s="475"/>
    </row>
    <row r="4374" spans="2:23" s="97" customFormat="1">
      <c r="B4374" s="96"/>
      <c r="H4374" s="96"/>
      <c r="J4374" s="1"/>
      <c r="K4374" s="1"/>
      <c r="L4374" s="1"/>
      <c r="O4374" s="475"/>
      <c r="P4374" s="475"/>
      <c r="Q4374" s="475"/>
      <c r="R4374" s="475"/>
      <c r="S4374" s="475"/>
      <c r="T4374" s="475"/>
      <c r="U4374" s="475"/>
      <c r="V4374" s="475"/>
      <c r="W4374" s="475"/>
    </row>
    <row r="4375" spans="2:23" s="97" customFormat="1">
      <c r="B4375" s="96"/>
      <c r="H4375" s="96"/>
      <c r="J4375" s="1"/>
      <c r="K4375" s="1"/>
      <c r="L4375" s="1"/>
      <c r="O4375" s="475"/>
      <c r="P4375" s="475"/>
      <c r="Q4375" s="475"/>
      <c r="R4375" s="475"/>
      <c r="S4375" s="475"/>
      <c r="T4375" s="475"/>
      <c r="U4375" s="475"/>
      <c r="V4375" s="475"/>
      <c r="W4375" s="475"/>
    </row>
    <row r="4376" spans="2:23" s="97" customFormat="1">
      <c r="B4376" s="96"/>
      <c r="H4376" s="96"/>
      <c r="J4376" s="1"/>
      <c r="K4376" s="1"/>
      <c r="L4376" s="1"/>
      <c r="O4376" s="475"/>
      <c r="P4376" s="475"/>
      <c r="Q4376" s="475"/>
      <c r="R4376" s="475"/>
      <c r="S4376" s="475"/>
      <c r="T4376" s="475"/>
      <c r="U4376" s="475"/>
      <c r="V4376" s="475"/>
      <c r="W4376" s="475"/>
    </row>
    <row r="4377" spans="2:23" s="97" customFormat="1">
      <c r="B4377" s="96"/>
      <c r="H4377" s="96"/>
      <c r="J4377" s="1"/>
      <c r="K4377" s="1"/>
      <c r="L4377" s="1"/>
      <c r="O4377" s="475"/>
      <c r="P4377" s="475"/>
      <c r="Q4377" s="475"/>
      <c r="R4377" s="475"/>
      <c r="S4377" s="475"/>
      <c r="T4377" s="475"/>
      <c r="U4377" s="475"/>
      <c r="V4377" s="475"/>
      <c r="W4377" s="475"/>
    </row>
    <row r="4378" spans="2:23" s="97" customFormat="1">
      <c r="B4378" s="96"/>
      <c r="H4378" s="96"/>
      <c r="J4378" s="1"/>
      <c r="K4378" s="1"/>
      <c r="L4378" s="1"/>
      <c r="O4378" s="475"/>
      <c r="P4378" s="475"/>
      <c r="Q4378" s="475"/>
      <c r="R4378" s="475"/>
      <c r="S4378" s="475"/>
      <c r="T4378" s="475"/>
      <c r="U4378" s="475"/>
      <c r="V4378" s="475"/>
      <c r="W4378" s="475"/>
    </row>
    <row r="4379" spans="2:23" s="97" customFormat="1">
      <c r="B4379" s="96"/>
      <c r="H4379" s="96"/>
      <c r="J4379" s="1"/>
      <c r="K4379" s="1"/>
      <c r="L4379" s="1"/>
      <c r="O4379" s="475"/>
      <c r="P4379" s="475"/>
      <c r="Q4379" s="475"/>
      <c r="R4379" s="475"/>
      <c r="S4379" s="475"/>
      <c r="T4379" s="475"/>
      <c r="U4379" s="475"/>
      <c r="V4379" s="475"/>
      <c r="W4379" s="475"/>
    </row>
    <row r="4380" spans="2:23" s="97" customFormat="1">
      <c r="B4380" s="96"/>
      <c r="H4380" s="96"/>
      <c r="J4380" s="1"/>
      <c r="K4380" s="1"/>
      <c r="L4380" s="1"/>
      <c r="O4380" s="475"/>
      <c r="P4380" s="475"/>
      <c r="Q4380" s="475"/>
      <c r="R4380" s="475"/>
      <c r="S4380" s="475"/>
      <c r="T4380" s="475"/>
      <c r="U4380" s="475"/>
      <c r="V4380" s="475"/>
      <c r="W4380" s="475"/>
    </row>
    <row r="4381" spans="2:23" s="97" customFormat="1">
      <c r="B4381" s="96"/>
      <c r="H4381" s="96"/>
      <c r="J4381" s="1"/>
      <c r="K4381" s="1"/>
      <c r="L4381" s="1"/>
      <c r="O4381" s="475"/>
      <c r="P4381" s="475"/>
      <c r="Q4381" s="475"/>
      <c r="R4381" s="475"/>
      <c r="S4381" s="475"/>
      <c r="T4381" s="475"/>
      <c r="U4381" s="475"/>
      <c r="V4381" s="475"/>
      <c r="W4381" s="475"/>
    </row>
    <row r="4382" spans="2:23" s="97" customFormat="1">
      <c r="B4382" s="96"/>
      <c r="H4382" s="96"/>
      <c r="J4382" s="1"/>
      <c r="K4382" s="1"/>
      <c r="L4382" s="1"/>
      <c r="O4382" s="475"/>
      <c r="P4382" s="475"/>
      <c r="Q4382" s="475"/>
      <c r="R4382" s="475"/>
      <c r="S4382" s="475"/>
      <c r="T4382" s="475"/>
      <c r="U4382" s="475"/>
      <c r="V4382" s="475"/>
      <c r="W4382" s="475"/>
    </row>
    <row r="4383" spans="2:23" s="97" customFormat="1">
      <c r="B4383" s="96"/>
      <c r="H4383" s="96"/>
      <c r="J4383" s="1"/>
      <c r="K4383" s="1"/>
      <c r="L4383" s="1"/>
      <c r="O4383" s="475"/>
      <c r="P4383" s="475"/>
      <c r="Q4383" s="475"/>
      <c r="R4383" s="475"/>
      <c r="S4383" s="475"/>
      <c r="T4383" s="475"/>
      <c r="U4383" s="475"/>
      <c r="V4383" s="475"/>
      <c r="W4383" s="475"/>
    </row>
    <row r="4384" spans="2:23" s="97" customFormat="1">
      <c r="B4384" s="96"/>
      <c r="H4384" s="96"/>
      <c r="J4384" s="1"/>
      <c r="K4384" s="1"/>
      <c r="L4384" s="1"/>
      <c r="O4384" s="475"/>
      <c r="P4384" s="475"/>
      <c r="Q4384" s="475"/>
      <c r="R4384" s="475"/>
      <c r="S4384" s="475"/>
      <c r="T4384" s="475"/>
      <c r="U4384" s="475"/>
      <c r="V4384" s="475"/>
      <c r="W4384" s="475"/>
    </row>
    <row r="4385" spans="2:23" s="97" customFormat="1">
      <c r="B4385" s="96"/>
      <c r="H4385" s="96"/>
      <c r="J4385" s="1"/>
      <c r="K4385" s="1"/>
      <c r="L4385" s="1"/>
      <c r="O4385" s="475"/>
      <c r="P4385" s="475"/>
      <c r="Q4385" s="475"/>
      <c r="R4385" s="475"/>
      <c r="S4385" s="475"/>
      <c r="T4385" s="475"/>
      <c r="U4385" s="475"/>
      <c r="V4385" s="475"/>
      <c r="W4385" s="475"/>
    </row>
    <row r="4386" spans="2:23" s="97" customFormat="1">
      <c r="B4386" s="96"/>
      <c r="H4386" s="96"/>
      <c r="J4386" s="1"/>
      <c r="K4386" s="1"/>
      <c r="L4386" s="1"/>
      <c r="O4386" s="475"/>
      <c r="P4386" s="475"/>
      <c r="Q4386" s="475"/>
      <c r="R4386" s="475"/>
      <c r="S4386" s="475"/>
      <c r="T4386" s="475"/>
      <c r="U4386" s="475"/>
      <c r="V4386" s="475"/>
      <c r="W4386" s="475"/>
    </row>
    <row r="4387" spans="2:23" s="97" customFormat="1">
      <c r="B4387" s="96"/>
      <c r="H4387" s="96"/>
      <c r="J4387" s="1"/>
      <c r="K4387" s="1"/>
      <c r="L4387" s="1"/>
      <c r="O4387" s="475"/>
      <c r="P4387" s="475"/>
      <c r="Q4387" s="475"/>
      <c r="R4387" s="475"/>
      <c r="S4387" s="475"/>
      <c r="T4387" s="475"/>
      <c r="U4387" s="475"/>
      <c r="V4387" s="475"/>
      <c r="W4387" s="475"/>
    </row>
    <row r="4388" spans="2:23" s="97" customFormat="1">
      <c r="B4388" s="96"/>
      <c r="H4388" s="96"/>
      <c r="J4388" s="1"/>
      <c r="K4388" s="1"/>
      <c r="L4388" s="1"/>
      <c r="O4388" s="475"/>
      <c r="P4388" s="475"/>
      <c r="Q4388" s="475"/>
      <c r="R4388" s="475"/>
      <c r="S4388" s="475"/>
      <c r="T4388" s="475"/>
      <c r="U4388" s="475"/>
      <c r="V4388" s="475"/>
      <c r="W4388" s="475"/>
    </row>
    <row r="4389" spans="2:23" s="97" customFormat="1">
      <c r="B4389" s="96"/>
      <c r="H4389" s="96"/>
      <c r="J4389" s="1"/>
      <c r="K4389" s="1"/>
      <c r="L4389" s="1"/>
      <c r="O4389" s="475"/>
      <c r="P4389" s="475"/>
      <c r="Q4389" s="475"/>
      <c r="R4389" s="475"/>
      <c r="S4389" s="475"/>
      <c r="T4389" s="475"/>
      <c r="U4389" s="475"/>
      <c r="V4389" s="475"/>
      <c r="W4389" s="475"/>
    </row>
    <row r="4390" spans="2:23" s="97" customFormat="1">
      <c r="B4390" s="96"/>
      <c r="H4390" s="96"/>
      <c r="J4390" s="1"/>
      <c r="K4390" s="1"/>
      <c r="L4390" s="1"/>
      <c r="O4390" s="475"/>
      <c r="P4390" s="475"/>
      <c r="Q4390" s="475"/>
      <c r="R4390" s="475"/>
      <c r="S4390" s="475"/>
      <c r="T4390" s="475"/>
      <c r="U4390" s="475"/>
      <c r="V4390" s="475"/>
      <c r="W4390" s="475"/>
    </row>
    <row r="4391" spans="2:23" s="97" customFormat="1">
      <c r="B4391" s="96"/>
      <c r="H4391" s="96"/>
      <c r="J4391" s="1"/>
      <c r="K4391" s="1"/>
      <c r="L4391" s="1"/>
      <c r="O4391" s="475"/>
      <c r="P4391" s="475"/>
      <c r="Q4391" s="475"/>
      <c r="R4391" s="475"/>
      <c r="S4391" s="475"/>
      <c r="T4391" s="475"/>
      <c r="U4391" s="475"/>
      <c r="V4391" s="475"/>
      <c r="W4391" s="475"/>
    </row>
    <row r="4392" spans="2:23" s="97" customFormat="1">
      <c r="B4392" s="96"/>
      <c r="H4392" s="96"/>
      <c r="J4392" s="1"/>
      <c r="K4392" s="1"/>
      <c r="L4392" s="1"/>
      <c r="O4392" s="475"/>
      <c r="P4392" s="475"/>
      <c r="Q4392" s="475"/>
      <c r="R4392" s="475"/>
      <c r="S4392" s="475"/>
      <c r="T4392" s="475"/>
      <c r="U4392" s="475"/>
      <c r="V4392" s="475"/>
      <c r="W4392" s="475"/>
    </row>
    <row r="4393" spans="2:23" s="97" customFormat="1">
      <c r="B4393" s="96"/>
      <c r="H4393" s="96"/>
      <c r="J4393" s="1"/>
      <c r="K4393" s="1"/>
      <c r="L4393" s="1"/>
      <c r="O4393" s="475"/>
      <c r="P4393" s="475"/>
      <c r="Q4393" s="475"/>
      <c r="R4393" s="475"/>
      <c r="S4393" s="475"/>
      <c r="T4393" s="475"/>
      <c r="U4393" s="475"/>
      <c r="V4393" s="475"/>
      <c r="W4393" s="475"/>
    </row>
    <row r="4394" spans="2:23" s="97" customFormat="1">
      <c r="B4394" s="96"/>
      <c r="H4394" s="96"/>
      <c r="J4394" s="1"/>
      <c r="K4394" s="1"/>
      <c r="L4394" s="1"/>
      <c r="O4394" s="475"/>
      <c r="P4394" s="475"/>
      <c r="Q4394" s="475"/>
      <c r="R4394" s="475"/>
      <c r="S4394" s="475"/>
      <c r="T4394" s="475"/>
      <c r="U4394" s="475"/>
      <c r="V4394" s="475"/>
      <c r="W4394" s="475"/>
    </row>
    <row r="4395" spans="2:23" s="97" customFormat="1">
      <c r="B4395" s="96"/>
      <c r="H4395" s="96"/>
      <c r="J4395" s="1"/>
      <c r="K4395" s="1"/>
      <c r="L4395" s="1"/>
      <c r="O4395" s="475"/>
      <c r="P4395" s="475"/>
      <c r="Q4395" s="475"/>
      <c r="R4395" s="475"/>
      <c r="S4395" s="475"/>
      <c r="T4395" s="475"/>
      <c r="U4395" s="475"/>
      <c r="V4395" s="475"/>
      <c r="W4395" s="475"/>
    </row>
    <row r="4396" spans="2:23" s="97" customFormat="1">
      <c r="B4396" s="96"/>
      <c r="H4396" s="96"/>
      <c r="J4396" s="1"/>
      <c r="K4396" s="1"/>
      <c r="L4396" s="1"/>
      <c r="O4396" s="475"/>
      <c r="P4396" s="475"/>
      <c r="Q4396" s="475"/>
      <c r="R4396" s="475"/>
      <c r="S4396" s="475"/>
      <c r="T4396" s="475"/>
      <c r="U4396" s="475"/>
      <c r="V4396" s="475"/>
      <c r="W4396" s="475"/>
    </row>
    <row r="4397" spans="2:23" s="97" customFormat="1">
      <c r="B4397" s="96"/>
      <c r="H4397" s="96"/>
      <c r="J4397" s="1"/>
      <c r="K4397" s="1"/>
      <c r="L4397" s="1"/>
      <c r="O4397" s="475"/>
      <c r="P4397" s="475"/>
      <c r="Q4397" s="475"/>
      <c r="R4397" s="475"/>
      <c r="S4397" s="475"/>
      <c r="T4397" s="475"/>
      <c r="U4397" s="475"/>
      <c r="V4397" s="475"/>
      <c r="W4397" s="475"/>
    </row>
    <row r="4398" spans="2:23" s="97" customFormat="1">
      <c r="B4398" s="96"/>
      <c r="H4398" s="96"/>
      <c r="J4398" s="1"/>
      <c r="K4398" s="1"/>
      <c r="L4398" s="1"/>
      <c r="O4398" s="475"/>
      <c r="P4398" s="475"/>
      <c r="Q4398" s="475"/>
      <c r="R4398" s="475"/>
      <c r="S4398" s="475"/>
      <c r="T4398" s="475"/>
      <c r="U4398" s="475"/>
      <c r="V4398" s="475"/>
      <c r="W4398" s="475"/>
    </row>
    <row r="4399" spans="2:23" s="97" customFormat="1">
      <c r="B4399" s="96"/>
      <c r="H4399" s="96"/>
      <c r="J4399" s="1"/>
      <c r="K4399" s="1"/>
      <c r="L4399" s="1"/>
      <c r="O4399" s="475"/>
      <c r="P4399" s="475"/>
      <c r="Q4399" s="475"/>
      <c r="R4399" s="475"/>
      <c r="S4399" s="475"/>
      <c r="T4399" s="475"/>
      <c r="U4399" s="475"/>
      <c r="V4399" s="475"/>
      <c r="W4399" s="475"/>
    </row>
    <row r="4400" spans="2:23" s="97" customFormat="1">
      <c r="B4400" s="96"/>
      <c r="H4400" s="96"/>
      <c r="J4400" s="1"/>
      <c r="K4400" s="1"/>
      <c r="L4400" s="1"/>
      <c r="O4400" s="475"/>
      <c r="P4400" s="475"/>
      <c r="Q4400" s="475"/>
      <c r="R4400" s="475"/>
      <c r="S4400" s="475"/>
      <c r="T4400" s="475"/>
      <c r="U4400" s="475"/>
      <c r="V4400" s="475"/>
      <c r="W4400" s="475"/>
    </row>
    <row r="4401" spans="2:23" s="97" customFormat="1">
      <c r="B4401" s="96"/>
      <c r="H4401" s="96"/>
      <c r="J4401" s="1"/>
      <c r="K4401" s="1"/>
      <c r="L4401" s="1"/>
      <c r="O4401" s="475"/>
      <c r="P4401" s="475"/>
      <c r="Q4401" s="475"/>
      <c r="R4401" s="475"/>
      <c r="S4401" s="475"/>
      <c r="T4401" s="475"/>
      <c r="U4401" s="475"/>
      <c r="V4401" s="475"/>
      <c r="W4401" s="475"/>
    </row>
    <row r="4402" spans="2:23" s="97" customFormat="1">
      <c r="B4402" s="96"/>
      <c r="H4402" s="96"/>
      <c r="J4402" s="1"/>
      <c r="K4402" s="1"/>
      <c r="L4402" s="1"/>
      <c r="O4402" s="475"/>
      <c r="P4402" s="475"/>
      <c r="Q4402" s="475"/>
      <c r="R4402" s="475"/>
      <c r="S4402" s="475"/>
      <c r="T4402" s="475"/>
      <c r="U4402" s="475"/>
      <c r="V4402" s="475"/>
      <c r="W4402" s="475"/>
    </row>
    <row r="4403" spans="2:23" s="97" customFormat="1">
      <c r="B4403" s="96"/>
      <c r="H4403" s="96"/>
      <c r="J4403" s="1"/>
      <c r="K4403" s="1"/>
      <c r="L4403" s="1"/>
      <c r="O4403" s="475"/>
      <c r="P4403" s="475"/>
      <c r="Q4403" s="475"/>
      <c r="R4403" s="475"/>
      <c r="S4403" s="475"/>
      <c r="T4403" s="475"/>
      <c r="U4403" s="475"/>
      <c r="V4403" s="475"/>
      <c r="W4403" s="475"/>
    </row>
    <row r="4404" spans="2:23" s="97" customFormat="1">
      <c r="B4404" s="96"/>
      <c r="H4404" s="96"/>
      <c r="J4404" s="1"/>
      <c r="K4404" s="1"/>
      <c r="L4404" s="1"/>
      <c r="O4404" s="475"/>
      <c r="P4404" s="475"/>
      <c r="Q4404" s="475"/>
      <c r="R4404" s="475"/>
      <c r="S4404" s="475"/>
      <c r="T4404" s="475"/>
      <c r="U4404" s="475"/>
      <c r="V4404" s="475"/>
      <c r="W4404" s="475"/>
    </row>
    <row r="4405" spans="2:23" s="97" customFormat="1">
      <c r="B4405" s="96"/>
      <c r="H4405" s="96"/>
      <c r="J4405" s="1"/>
      <c r="K4405" s="1"/>
      <c r="L4405" s="1"/>
      <c r="O4405" s="475"/>
      <c r="P4405" s="475"/>
      <c r="Q4405" s="475"/>
      <c r="R4405" s="475"/>
      <c r="S4405" s="475"/>
      <c r="T4405" s="475"/>
      <c r="U4405" s="475"/>
      <c r="V4405" s="475"/>
      <c r="W4405" s="475"/>
    </row>
    <row r="4406" spans="2:23" s="97" customFormat="1">
      <c r="B4406" s="96"/>
      <c r="H4406" s="96"/>
      <c r="J4406" s="1"/>
      <c r="K4406" s="1"/>
      <c r="L4406" s="1"/>
      <c r="O4406" s="475"/>
      <c r="P4406" s="475"/>
      <c r="Q4406" s="475"/>
      <c r="R4406" s="475"/>
      <c r="S4406" s="475"/>
      <c r="T4406" s="475"/>
      <c r="U4406" s="475"/>
      <c r="V4406" s="475"/>
      <c r="W4406" s="475"/>
    </row>
    <row r="4407" spans="2:23" s="97" customFormat="1">
      <c r="B4407" s="96"/>
      <c r="H4407" s="96"/>
      <c r="J4407" s="1"/>
      <c r="K4407" s="1"/>
      <c r="L4407" s="1"/>
      <c r="O4407" s="475"/>
      <c r="P4407" s="475"/>
      <c r="Q4407" s="475"/>
      <c r="R4407" s="475"/>
      <c r="S4407" s="475"/>
      <c r="T4407" s="475"/>
      <c r="U4407" s="475"/>
      <c r="V4407" s="475"/>
      <c r="W4407" s="475"/>
    </row>
    <row r="4408" spans="2:23" s="97" customFormat="1">
      <c r="B4408" s="96"/>
      <c r="H4408" s="96"/>
      <c r="J4408" s="1"/>
      <c r="K4408" s="1"/>
      <c r="L4408" s="1"/>
      <c r="O4408" s="475"/>
      <c r="P4408" s="475"/>
      <c r="Q4408" s="475"/>
      <c r="R4408" s="475"/>
      <c r="S4408" s="475"/>
      <c r="T4408" s="475"/>
      <c r="U4408" s="475"/>
      <c r="V4408" s="475"/>
      <c r="W4408" s="475"/>
    </row>
    <row r="4409" spans="2:23" s="97" customFormat="1">
      <c r="B4409" s="96"/>
      <c r="H4409" s="96"/>
      <c r="J4409" s="1"/>
      <c r="K4409" s="1"/>
      <c r="L4409" s="1"/>
      <c r="O4409" s="475"/>
      <c r="P4409" s="475"/>
      <c r="Q4409" s="475"/>
      <c r="R4409" s="475"/>
      <c r="S4409" s="475"/>
      <c r="T4409" s="475"/>
      <c r="U4409" s="475"/>
      <c r="V4409" s="475"/>
      <c r="W4409" s="475"/>
    </row>
    <row r="4410" spans="2:23" s="97" customFormat="1">
      <c r="B4410" s="96"/>
      <c r="H4410" s="96"/>
      <c r="J4410" s="1"/>
      <c r="K4410" s="1"/>
      <c r="L4410" s="1"/>
      <c r="O4410" s="475"/>
      <c r="P4410" s="475"/>
      <c r="Q4410" s="475"/>
      <c r="R4410" s="475"/>
      <c r="S4410" s="475"/>
      <c r="T4410" s="475"/>
      <c r="U4410" s="475"/>
      <c r="V4410" s="475"/>
      <c r="W4410" s="475"/>
    </row>
    <row r="4411" spans="2:23" s="97" customFormat="1">
      <c r="B4411" s="96"/>
      <c r="H4411" s="96"/>
      <c r="J4411" s="1"/>
      <c r="K4411" s="1"/>
      <c r="L4411" s="1"/>
      <c r="O4411" s="475"/>
      <c r="P4411" s="475"/>
      <c r="Q4411" s="475"/>
      <c r="R4411" s="475"/>
      <c r="S4411" s="475"/>
      <c r="T4411" s="475"/>
      <c r="U4411" s="475"/>
      <c r="V4411" s="475"/>
      <c r="W4411" s="475"/>
    </row>
    <row r="4412" spans="2:23" s="97" customFormat="1">
      <c r="B4412" s="96"/>
      <c r="H4412" s="96"/>
      <c r="J4412" s="1"/>
      <c r="K4412" s="1"/>
      <c r="L4412" s="1"/>
      <c r="O4412" s="475"/>
      <c r="P4412" s="475"/>
      <c r="Q4412" s="475"/>
      <c r="R4412" s="475"/>
      <c r="S4412" s="475"/>
      <c r="T4412" s="475"/>
      <c r="U4412" s="475"/>
      <c r="V4412" s="475"/>
      <c r="W4412" s="475"/>
    </row>
    <row r="4413" spans="2:23" s="97" customFormat="1">
      <c r="B4413" s="96"/>
      <c r="H4413" s="96"/>
      <c r="J4413" s="1"/>
      <c r="K4413" s="1"/>
      <c r="L4413" s="1"/>
      <c r="O4413" s="475"/>
      <c r="P4413" s="475"/>
      <c r="Q4413" s="475"/>
      <c r="R4413" s="475"/>
      <c r="S4413" s="475"/>
      <c r="T4413" s="475"/>
      <c r="U4413" s="475"/>
      <c r="V4413" s="475"/>
      <c r="W4413" s="475"/>
    </row>
    <row r="4414" spans="2:23" s="97" customFormat="1">
      <c r="B4414" s="96"/>
      <c r="H4414" s="96"/>
      <c r="J4414" s="1"/>
      <c r="K4414" s="1"/>
      <c r="L4414" s="1"/>
      <c r="O4414" s="475"/>
      <c r="P4414" s="475"/>
      <c r="Q4414" s="475"/>
      <c r="R4414" s="475"/>
      <c r="S4414" s="475"/>
      <c r="T4414" s="475"/>
      <c r="U4414" s="475"/>
      <c r="V4414" s="475"/>
      <c r="W4414" s="475"/>
    </row>
    <row r="4415" spans="2:23" s="97" customFormat="1">
      <c r="B4415" s="96"/>
      <c r="H4415" s="96"/>
      <c r="J4415" s="1"/>
      <c r="K4415" s="1"/>
      <c r="L4415" s="1"/>
      <c r="O4415" s="475"/>
      <c r="P4415" s="475"/>
      <c r="Q4415" s="475"/>
      <c r="R4415" s="475"/>
      <c r="S4415" s="475"/>
      <c r="T4415" s="475"/>
      <c r="U4415" s="475"/>
      <c r="V4415" s="475"/>
      <c r="W4415" s="475"/>
    </row>
    <row r="4416" spans="2:23" s="97" customFormat="1">
      <c r="B4416" s="96"/>
      <c r="H4416" s="96"/>
      <c r="J4416" s="1"/>
      <c r="K4416" s="1"/>
      <c r="L4416" s="1"/>
      <c r="O4416" s="475"/>
      <c r="P4416" s="475"/>
      <c r="Q4416" s="475"/>
      <c r="R4416" s="475"/>
      <c r="S4416" s="475"/>
      <c r="T4416" s="475"/>
      <c r="U4416" s="475"/>
      <c r="V4416" s="475"/>
      <c r="W4416" s="475"/>
    </row>
    <row r="4417" spans="2:23" s="97" customFormat="1">
      <c r="B4417" s="96"/>
      <c r="H4417" s="96"/>
      <c r="J4417" s="1"/>
      <c r="K4417" s="1"/>
      <c r="L4417" s="1"/>
      <c r="O4417" s="475"/>
      <c r="P4417" s="475"/>
      <c r="Q4417" s="475"/>
      <c r="R4417" s="475"/>
      <c r="S4417" s="475"/>
      <c r="T4417" s="475"/>
      <c r="U4417" s="475"/>
      <c r="V4417" s="475"/>
      <c r="W4417" s="475"/>
    </row>
    <row r="4418" spans="2:23" s="97" customFormat="1">
      <c r="B4418" s="96"/>
      <c r="H4418" s="96"/>
      <c r="J4418" s="1"/>
      <c r="K4418" s="1"/>
      <c r="L4418" s="1"/>
      <c r="O4418" s="475"/>
      <c r="P4418" s="475"/>
      <c r="Q4418" s="475"/>
      <c r="R4418" s="475"/>
      <c r="S4418" s="475"/>
      <c r="T4418" s="475"/>
      <c r="U4418" s="475"/>
      <c r="V4418" s="475"/>
      <c r="W4418" s="475"/>
    </row>
    <row r="4419" spans="2:23" s="97" customFormat="1">
      <c r="B4419" s="96"/>
      <c r="H4419" s="96"/>
      <c r="J4419" s="1"/>
      <c r="K4419" s="1"/>
      <c r="L4419" s="1"/>
      <c r="O4419" s="475"/>
      <c r="P4419" s="475"/>
      <c r="Q4419" s="475"/>
      <c r="R4419" s="475"/>
      <c r="S4419" s="475"/>
      <c r="T4419" s="475"/>
      <c r="U4419" s="475"/>
      <c r="V4419" s="475"/>
      <c r="W4419" s="475"/>
    </row>
    <row r="4420" spans="2:23" s="97" customFormat="1">
      <c r="B4420" s="96"/>
      <c r="H4420" s="96"/>
      <c r="J4420" s="1"/>
      <c r="K4420" s="1"/>
      <c r="L4420" s="1"/>
      <c r="O4420" s="475"/>
      <c r="P4420" s="475"/>
      <c r="Q4420" s="475"/>
      <c r="R4420" s="475"/>
      <c r="S4420" s="475"/>
      <c r="T4420" s="475"/>
      <c r="U4420" s="475"/>
      <c r="V4420" s="475"/>
      <c r="W4420" s="475"/>
    </row>
    <row r="4421" spans="2:23" s="97" customFormat="1">
      <c r="B4421" s="96"/>
      <c r="H4421" s="96"/>
      <c r="J4421" s="1"/>
      <c r="K4421" s="1"/>
      <c r="L4421" s="1"/>
      <c r="O4421" s="475"/>
      <c r="P4421" s="475"/>
      <c r="Q4421" s="475"/>
      <c r="R4421" s="475"/>
      <c r="S4421" s="475"/>
      <c r="T4421" s="475"/>
      <c r="U4421" s="475"/>
      <c r="V4421" s="475"/>
      <c r="W4421" s="475"/>
    </row>
    <row r="4422" spans="2:23" s="97" customFormat="1">
      <c r="B4422" s="96"/>
      <c r="H4422" s="96"/>
      <c r="J4422" s="1"/>
      <c r="K4422" s="1"/>
      <c r="L4422" s="1"/>
      <c r="O4422" s="475"/>
      <c r="P4422" s="475"/>
      <c r="Q4422" s="475"/>
      <c r="R4422" s="475"/>
      <c r="S4422" s="475"/>
      <c r="T4422" s="475"/>
      <c r="U4422" s="475"/>
      <c r="V4422" s="475"/>
      <c r="W4422" s="475"/>
    </row>
    <row r="4423" spans="2:23" s="97" customFormat="1">
      <c r="B4423" s="96"/>
      <c r="H4423" s="96"/>
      <c r="J4423" s="1"/>
      <c r="K4423" s="1"/>
      <c r="L4423" s="1"/>
      <c r="O4423" s="475"/>
      <c r="P4423" s="475"/>
      <c r="Q4423" s="475"/>
      <c r="R4423" s="475"/>
      <c r="S4423" s="475"/>
      <c r="T4423" s="475"/>
      <c r="U4423" s="475"/>
      <c r="V4423" s="475"/>
      <c r="W4423" s="475"/>
    </row>
    <row r="4424" spans="2:23" s="97" customFormat="1">
      <c r="B4424" s="96"/>
      <c r="H4424" s="96"/>
      <c r="J4424" s="1"/>
      <c r="K4424" s="1"/>
      <c r="L4424" s="1"/>
      <c r="O4424" s="475"/>
      <c r="P4424" s="475"/>
      <c r="Q4424" s="475"/>
      <c r="R4424" s="475"/>
      <c r="S4424" s="475"/>
      <c r="T4424" s="475"/>
      <c r="U4424" s="475"/>
      <c r="V4424" s="475"/>
      <c r="W4424" s="475"/>
    </row>
    <row r="4425" spans="2:23" s="97" customFormat="1">
      <c r="B4425" s="96"/>
      <c r="H4425" s="96"/>
      <c r="J4425" s="1"/>
      <c r="K4425" s="1"/>
      <c r="L4425" s="1"/>
      <c r="O4425" s="475"/>
      <c r="P4425" s="475"/>
      <c r="Q4425" s="475"/>
      <c r="R4425" s="475"/>
      <c r="S4425" s="475"/>
      <c r="T4425" s="475"/>
      <c r="U4425" s="475"/>
      <c r="V4425" s="475"/>
      <c r="W4425" s="475"/>
    </row>
    <row r="4426" spans="2:23" s="97" customFormat="1">
      <c r="B4426" s="96"/>
      <c r="H4426" s="96"/>
      <c r="J4426" s="1"/>
      <c r="K4426" s="1"/>
      <c r="L4426" s="1"/>
      <c r="O4426" s="475"/>
      <c r="P4426" s="475"/>
      <c r="Q4426" s="475"/>
      <c r="R4426" s="475"/>
      <c r="S4426" s="475"/>
      <c r="T4426" s="475"/>
      <c r="U4426" s="475"/>
      <c r="V4426" s="475"/>
      <c r="W4426" s="475"/>
    </row>
    <row r="4427" spans="2:23" s="97" customFormat="1">
      <c r="B4427" s="96"/>
      <c r="H4427" s="96"/>
      <c r="J4427" s="1"/>
      <c r="K4427" s="1"/>
      <c r="L4427" s="1"/>
      <c r="O4427" s="475"/>
      <c r="P4427" s="475"/>
      <c r="Q4427" s="475"/>
      <c r="R4427" s="475"/>
      <c r="S4427" s="475"/>
      <c r="T4427" s="475"/>
      <c r="U4427" s="475"/>
      <c r="V4427" s="475"/>
      <c r="W4427" s="475"/>
    </row>
    <row r="4428" spans="2:23" s="97" customFormat="1">
      <c r="B4428" s="96"/>
      <c r="H4428" s="96"/>
      <c r="J4428" s="1"/>
      <c r="K4428" s="1"/>
      <c r="L4428" s="1"/>
      <c r="O4428" s="475"/>
      <c r="P4428" s="475"/>
      <c r="Q4428" s="475"/>
      <c r="R4428" s="475"/>
      <c r="S4428" s="475"/>
      <c r="T4428" s="475"/>
      <c r="U4428" s="475"/>
      <c r="V4428" s="475"/>
      <c r="W4428" s="475"/>
    </row>
    <row r="4429" spans="2:23" s="97" customFormat="1">
      <c r="B4429" s="96"/>
      <c r="H4429" s="96"/>
      <c r="J4429" s="1"/>
      <c r="K4429" s="1"/>
      <c r="L4429" s="1"/>
      <c r="O4429" s="475"/>
      <c r="P4429" s="475"/>
      <c r="Q4429" s="475"/>
      <c r="R4429" s="475"/>
      <c r="S4429" s="475"/>
      <c r="T4429" s="475"/>
      <c r="U4429" s="475"/>
      <c r="V4429" s="475"/>
      <c r="W4429" s="475"/>
    </row>
    <row r="4430" spans="2:23" s="97" customFormat="1">
      <c r="B4430" s="96"/>
      <c r="H4430" s="96"/>
      <c r="J4430" s="1"/>
      <c r="K4430" s="1"/>
      <c r="L4430" s="1"/>
      <c r="O4430" s="475"/>
      <c r="P4430" s="475"/>
      <c r="Q4430" s="475"/>
      <c r="R4430" s="475"/>
      <c r="S4430" s="475"/>
      <c r="T4430" s="475"/>
      <c r="U4430" s="475"/>
      <c r="V4430" s="475"/>
      <c r="W4430" s="475"/>
    </row>
    <row r="4431" spans="2:23" s="97" customFormat="1">
      <c r="B4431" s="96"/>
      <c r="H4431" s="96"/>
      <c r="J4431" s="1"/>
      <c r="K4431" s="1"/>
      <c r="L4431" s="1"/>
      <c r="O4431" s="475"/>
      <c r="P4431" s="475"/>
      <c r="Q4431" s="475"/>
      <c r="R4431" s="475"/>
      <c r="S4431" s="475"/>
      <c r="T4431" s="475"/>
      <c r="U4431" s="475"/>
      <c r="V4431" s="475"/>
      <c r="W4431" s="475"/>
    </row>
    <row r="4432" spans="2:23" s="97" customFormat="1">
      <c r="B4432" s="96"/>
      <c r="H4432" s="96"/>
      <c r="J4432" s="1"/>
      <c r="K4432" s="1"/>
      <c r="L4432" s="1"/>
      <c r="O4432" s="475"/>
      <c r="P4432" s="475"/>
      <c r="Q4432" s="475"/>
      <c r="R4432" s="475"/>
      <c r="S4432" s="475"/>
      <c r="T4432" s="475"/>
      <c r="U4432" s="475"/>
      <c r="V4432" s="475"/>
      <c r="W4432" s="475"/>
    </row>
    <row r="4433" spans="2:23" s="97" customFormat="1">
      <c r="B4433" s="96"/>
      <c r="H4433" s="96"/>
      <c r="J4433" s="1"/>
      <c r="K4433" s="1"/>
      <c r="L4433" s="1"/>
      <c r="O4433" s="475"/>
      <c r="P4433" s="475"/>
      <c r="Q4433" s="475"/>
      <c r="R4433" s="475"/>
      <c r="S4433" s="475"/>
      <c r="T4433" s="475"/>
      <c r="U4433" s="475"/>
      <c r="V4433" s="475"/>
      <c r="W4433" s="475"/>
    </row>
    <row r="4434" spans="2:23" s="97" customFormat="1">
      <c r="B4434" s="96"/>
      <c r="H4434" s="96"/>
      <c r="J4434" s="1"/>
      <c r="K4434" s="1"/>
      <c r="L4434" s="1"/>
      <c r="O4434" s="475"/>
      <c r="P4434" s="475"/>
      <c r="Q4434" s="475"/>
      <c r="R4434" s="475"/>
      <c r="S4434" s="475"/>
      <c r="T4434" s="475"/>
      <c r="U4434" s="475"/>
      <c r="V4434" s="475"/>
      <c r="W4434" s="475"/>
    </row>
    <row r="4435" spans="2:23" s="97" customFormat="1">
      <c r="B4435" s="96"/>
      <c r="H4435" s="96"/>
      <c r="J4435" s="1"/>
      <c r="K4435" s="1"/>
      <c r="L4435" s="1"/>
      <c r="O4435" s="475"/>
      <c r="P4435" s="475"/>
      <c r="Q4435" s="475"/>
      <c r="R4435" s="475"/>
      <c r="S4435" s="475"/>
      <c r="T4435" s="475"/>
      <c r="U4435" s="475"/>
      <c r="V4435" s="475"/>
      <c r="W4435" s="475"/>
    </row>
    <row r="4436" spans="2:23" s="97" customFormat="1">
      <c r="B4436" s="96"/>
      <c r="H4436" s="96"/>
      <c r="J4436" s="1"/>
      <c r="K4436" s="1"/>
      <c r="L4436" s="1"/>
      <c r="O4436" s="475"/>
      <c r="P4436" s="475"/>
      <c r="Q4436" s="475"/>
      <c r="R4436" s="475"/>
      <c r="S4436" s="475"/>
      <c r="T4436" s="475"/>
      <c r="U4436" s="475"/>
      <c r="V4436" s="475"/>
      <c r="W4436" s="475"/>
    </row>
    <row r="4437" spans="2:23" s="97" customFormat="1">
      <c r="B4437" s="96"/>
      <c r="H4437" s="96"/>
      <c r="J4437" s="1"/>
      <c r="K4437" s="1"/>
      <c r="L4437" s="1"/>
      <c r="O4437" s="475"/>
      <c r="P4437" s="475"/>
      <c r="Q4437" s="475"/>
      <c r="R4437" s="475"/>
      <c r="S4437" s="475"/>
      <c r="T4437" s="475"/>
      <c r="U4437" s="475"/>
      <c r="V4437" s="475"/>
      <c r="W4437" s="475"/>
    </row>
    <row r="4438" spans="2:23" s="97" customFormat="1">
      <c r="B4438" s="96"/>
      <c r="H4438" s="96"/>
      <c r="J4438" s="1"/>
      <c r="K4438" s="1"/>
      <c r="L4438" s="1"/>
      <c r="O4438" s="475"/>
      <c r="P4438" s="475"/>
      <c r="Q4438" s="475"/>
      <c r="R4438" s="475"/>
      <c r="S4438" s="475"/>
      <c r="T4438" s="475"/>
      <c r="U4438" s="475"/>
      <c r="V4438" s="475"/>
      <c r="W4438" s="475"/>
    </row>
    <row r="4439" spans="2:23" s="97" customFormat="1">
      <c r="B4439" s="96"/>
      <c r="H4439" s="96"/>
      <c r="J4439" s="1"/>
      <c r="K4439" s="1"/>
      <c r="L4439" s="1"/>
      <c r="O4439" s="475"/>
      <c r="P4439" s="475"/>
      <c r="Q4439" s="475"/>
      <c r="R4439" s="475"/>
      <c r="S4439" s="475"/>
      <c r="T4439" s="475"/>
      <c r="U4439" s="475"/>
      <c r="V4439" s="475"/>
      <c r="W4439" s="475"/>
    </row>
    <row r="4440" spans="2:23" s="97" customFormat="1">
      <c r="B4440" s="96"/>
      <c r="H4440" s="96"/>
      <c r="J4440" s="1"/>
      <c r="K4440" s="1"/>
      <c r="L4440" s="1"/>
      <c r="O4440" s="475"/>
      <c r="P4440" s="475"/>
      <c r="Q4440" s="475"/>
      <c r="R4440" s="475"/>
      <c r="S4440" s="475"/>
      <c r="T4440" s="475"/>
      <c r="U4440" s="475"/>
      <c r="V4440" s="475"/>
      <c r="W4440" s="475"/>
    </row>
    <row r="4441" spans="2:23" s="97" customFormat="1">
      <c r="B4441" s="96"/>
      <c r="H4441" s="96"/>
      <c r="J4441" s="1"/>
      <c r="K4441" s="1"/>
      <c r="L4441" s="1"/>
      <c r="O4441" s="475"/>
      <c r="P4441" s="475"/>
      <c r="Q4441" s="475"/>
      <c r="R4441" s="475"/>
      <c r="S4441" s="475"/>
      <c r="T4441" s="475"/>
      <c r="U4441" s="475"/>
      <c r="V4441" s="475"/>
      <c r="W4441" s="475"/>
    </row>
    <row r="4442" spans="2:23" s="97" customFormat="1">
      <c r="B4442" s="96"/>
      <c r="H4442" s="96"/>
      <c r="J4442" s="1"/>
      <c r="K4442" s="1"/>
      <c r="L4442" s="1"/>
      <c r="O4442" s="475"/>
      <c r="P4442" s="475"/>
      <c r="Q4442" s="475"/>
      <c r="R4442" s="475"/>
      <c r="S4442" s="475"/>
      <c r="T4442" s="475"/>
      <c r="U4442" s="475"/>
      <c r="V4442" s="475"/>
      <c r="W4442" s="475"/>
    </row>
    <row r="4443" spans="2:23" s="97" customFormat="1">
      <c r="B4443" s="96"/>
      <c r="H4443" s="96"/>
      <c r="J4443" s="1"/>
      <c r="K4443" s="1"/>
      <c r="L4443" s="1"/>
      <c r="O4443" s="475"/>
      <c r="P4443" s="475"/>
      <c r="Q4443" s="475"/>
      <c r="R4443" s="475"/>
      <c r="S4443" s="475"/>
      <c r="T4443" s="475"/>
      <c r="U4443" s="475"/>
      <c r="V4443" s="475"/>
      <c r="W4443" s="475"/>
    </row>
    <row r="4444" spans="2:23" s="97" customFormat="1">
      <c r="B4444" s="96"/>
      <c r="H4444" s="96"/>
      <c r="J4444" s="1"/>
      <c r="K4444" s="1"/>
      <c r="L4444" s="1"/>
      <c r="O4444" s="475"/>
      <c r="P4444" s="475"/>
      <c r="Q4444" s="475"/>
      <c r="R4444" s="475"/>
      <c r="S4444" s="475"/>
      <c r="T4444" s="475"/>
      <c r="U4444" s="475"/>
      <c r="V4444" s="475"/>
      <c r="W4444" s="475"/>
    </row>
    <row r="4445" spans="2:23" s="97" customFormat="1">
      <c r="B4445" s="96"/>
      <c r="H4445" s="96"/>
      <c r="J4445" s="1"/>
      <c r="K4445" s="1"/>
      <c r="L4445" s="1"/>
      <c r="O4445" s="475"/>
      <c r="P4445" s="475"/>
      <c r="Q4445" s="475"/>
      <c r="R4445" s="475"/>
      <c r="S4445" s="475"/>
      <c r="T4445" s="475"/>
      <c r="U4445" s="475"/>
      <c r="V4445" s="475"/>
      <c r="W4445" s="475"/>
    </row>
    <row r="4446" spans="2:23" s="97" customFormat="1">
      <c r="B4446" s="96"/>
      <c r="H4446" s="96"/>
      <c r="J4446" s="1"/>
      <c r="K4446" s="1"/>
      <c r="L4446" s="1"/>
      <c r="O4446" s="475"/>
      <c r="P4446" s="475"/>
      <c r="Q4446" s="475"/>
      <c r="R4446" s="475"/>
      <c r="S4446" s="475"/>
      <c r="T4446" s="475"/>
      <c r="U4446" s="475"/>
      <c r="V4446" s="475"/>
      <c r="W4446" s="475"/>
    </row>
    <row r="4447" spans="2:23" s="97" customFormat="1">
      <c r="B4447" s="96"/>
      <c r="H4447" s="96"/>
      <c r="J4447" s="1"/>
      <c r="K4447" s="1"/>
      <c r="L4447" s="1"/>
      <c r="O4447" s="475"/>
      <c r="P4447" s="475"/>
      <c r="Q4447" s="475"/>
      <c r="R4447" s="475"/>
      <c r="S4447" s="475"/>
      <c r="T4447" s="475"/>
      <c r="U4447" s="475"/>
      <c r="V4447" s="475"/>
      <c r="W4447" s="475"/>
    </row>
    <row r="4448" spans="2:23" s="97" customFormat="1">
      <c r="B4448" s="96"/>
      <c r="H4448" s="96"/>
      <c r="J4448" s="1"/>
      <c r="K4448" s="1"/>
      <c r="L4448" s="1"/>
      <c r="O4448" s="475"/>
      <c r="P4448" s="475"/>
      <c r="Q4448" s="475"/>
      <c r="R4448" s="475"/>
      <c r="S4448" s="475"/>
      <c r="T4448" s="475"/>
      <c r="U4448" s="475"/>
      <c r="V4448" s="475"/>
      <c r="W4448" s="475"/>
    </row>
    <row r="4449" spans="2:23" s="97" customFormat="1">
      <c r="B4449" s="96"/>
      <c r="H4449" s="96"/>
      <c r="J4449" s="1"/>
      <c r="K4449" s="1"/>
      <c r="L4449" s="1"/>
      <c r="O4449" s="475"/>
      <c r="P4449" s="475"/>
      <c r="Q4449" s="475"/>
      <c r="R4449" s="475"/>
      <c r="S4449" s="475"/>
      <c r="T4449" s="475"/>
      <c r="U4449" s="475"/>
      <c r="V4449" s="475"/>
      <c r="W4449" s="475"/>
    </row>
    <row r="4450" spans="2:23" s="97" customFormat="1">
      <c r="B4450" s="96"/>
      <c r="H4450" s="96"/>
      <c r="J4450" s="1"/>
      <c r="K4450" s="1"/>
      <c r="L4450" s="1"/>
      <c r="O4450" s="475"/>
      <c r="P4450" s="475"/>
      <c r="Q4450" s="475"/>
      <c r="R4450" s="475"/>
      <c r="S4450" s="475"/>
      <c r="T4450" s="475"/>
      <c r="U4450" s="475"/>
      <c r="V4450" s="475"/>
      <c r="W4450" s="475"/>
    </row>
    <row r="4451" spans="2:23" s="97" customFormat="1">
      <c r="B4451" s="96"/>
      <c r="H4451" s="96"/>
      <c r="J4451" s="1"/>
      <c r="K4451" s="1"/>
      <c r="L4451" s="1"/>
      <c r="O4451" s="475"/>
      <c r="P4451" s="475"/>
      <c r="Q4451" s="475"/>
      <c r="R4451" s="475"/>
      <c r="S4451" s="475"/>
      <c r="T4451" s="475"/>
      <c r="U4451" s="475"/>
      <c r="V4451" s="475"/>
      <c r="W4451" s="475"/>
    </row>
    <row r="4452" spans="2:23" s="97" customFormat="1">
      <c r="B4452" s="96"/>
      <c r="H4452" s="96"/>
      <c r="J4452" s="1"/>
      <c r="K4452" s="1"/>
      <c r="L4452" s="1"/>
      <c r="O4452" s="475"/>
      <c r="P4452" s="475"/>
      <c r="Q4452" s="475"/>
      <c r="R4452" s="475"/>
      <c r="S4452" s="475"/>
      <c r="T4452" s="475"/>
      <c r="U4452" s="475"/>
      <c r="V4452" s="475"/>
      <c r="W4452" s="475"/>
    </row>
    <row r="4453" spans="2:23" s="97" customFormat="1">
      <c r="B4453" s="96"/>
      <c r="H4453" s="96"/>
      <c r="J4453" s="1"/>
      <c r="K4453" s="1"/>
      <c r="L4453" s="1"/>
      <c r="O4453" s="475"/>
      <c r="P4453" s="475"/>
      <c r="Q4453" s="475"/>
      <c r="R4453" s="475"/>
      <c r="S4453" s="475"/>
      <c r="T4453" s="475"/>
      <c r="U4453" s="475"/>
      <c r="V4453" s="475"/>
      <c r="W4453" s="475"/>
    </row>
    <row r="4454" spans="2:23" s="97" customFormat="1">
      <c r="B4454" s="96"/>
      <c r="H4454" s="96"/>
      <c r="J4454" s="1"/>
      <c r="K4454" s="1"/>
      <c r="L4454" s="1"/>
      <c r="O4454" s="475"/>
      <c r="P4454" s="475"/>
      <c r="Q4454" s="475"/>
      <c r="R4454" s="475"/>
      <c r="S4454" s="475"/>
      <c r="T4454" s="475"/>
      <c r="U4454" s="475"/>
      <c r="V4454" s="475"/>
      <c r="W4454" s="475"/>
    </row>
    <row r="4455" spans="2:23" s="97" customFormat="1">
      <c r="B4455" s="96"/>
      <c r="H4455" s="96"/>
      <c r="J4455" s="1"/>
      <c r="K4455" s="1"/>
      <c r="L4455" s="1"/>
      <c r="O4455" s="475"/>
      <c r="P4455" s="475"/>
      <c r="Q4455" s="475"/>
      <c r="R4455" s="475"/>
      <c r="S4455" s="475"/>
      <c r="T4455" s="475"/>
      <c r="U4455" s="475"/>
      <c r="V4455" s="475"/>
      <c r="W4455" s="475"/>
    </row>
    <row r="4456" spans="2:23" s="97" customFormat="1">
      <c r="B4456" s="96"/>
      <c r="H4456" s="96"/>
      <c r="J4456" s="1"/>
      <c r="K4456" s="1"/>
      <c r="L4456" s="1"/>
      <c r="O4456" s="475"/>
      <c r="P4456" s="475"/>
      <c r="Q4456" s="475"/>
      <c r="R4456" s="475"/>
      <c r="S4456" s="475"/>
      <c r="T4456" s="475"/>
      <c r="U4456" s="475"/>
      <c r="V4456" s="475"/>
      <c r="W4456" s="475"/>
    </row>
    <row r="4457" spans="2:23" s="97" customFormat="1">
      <c r="B4457" s="96"/>
      <c r="H4457" s="96"/>
      <c r="J4457" s="1"/>
      <c r="K4457" s="1"/>
      <c r="L4457" s="1"/>
      <c r="O4457" s="475"/>
      <c r="P4457" s="475"/>
      <c r="Q4457" s="475"/>
      <c r="R4457" s="475"/>
      <c r="S4457" s="475"/>
      <c r="T4457" s="475"/>
      <c r="U4457" s="475"/>
      <c r="V4457" s="475"/>
      <c r="W4457" s="475"/>
    </row>
    <row r="4458" spans="2:23" s="97" customFormat="1">
      <c r="B4458" s="96"/>
      <c r="H4458" s="96"/>
      <c r="J4458" s="1"/>
      <c r="K4458" s="1"/>
      <c r="L4458" s="1"/>
      <c r="O4458" s="475"/>
      <c r="P4458" s="475"/>
      <c r="Q4458" s="475"/>
      <c r="R4458" s="475"/>
      <c r="S4458" s="475"/>
      <c r="T4458" s="475"/>
      <c r="U4458" s="475"/>
      <c r="V4458" s="475"/>
      <c r="W4458" s="475"/>
    </row>
    <row r="4459" spans="2:23" s="97" customFormat="1">
      <c r="B4459" s="96"/>
      <c r="H4459" s="96"/>
      <c r="J4459" s="1"/>
      <c r="K4459" s="1"/>
      <c r="L4459" s="1"/>
      <c r="O4459" s="475"/>
      <c r="P4459" s="475"/>
      <c r="Q4459" s="475"/>
      <c r="R4459" s="475"/>
      <c r="S4459" s="475"/>
      <c r="T4459" s="475"/>
      <c r="U4459" s="475"/>
      <c r="V4459" s="475"/>
      <c r="W4459" s="475"/>
    </row>
    <row r="4460" spans="2:23" s="97" customFormat="1">
      <c r="B4460" s="96"/>
      <c r="H4460" s="96"/>
      <c r="J4460" s="1"/>
      <c r="K4460" s="1"/>
      <c r="L4460" s="1"/>
      <c r="O4460" s="475"/>
      <c r="P4460" s="475"/>
      <c r="Q4460" s="475"/>
      <c r="R4460" s="475"/>
      <c r="S4460" s="475"/>
      <c r="T4460" s="475"/>
      <c r="U4460" s="475"/>
      <c r="V4460" s="475"/>
      <c r="W4460" s="475"/>
    </row>
    <row r="4461" spans="2:23" s="97" customFormat="1">
      <c r="B4461" s="96"/>
      <c r="H4461" s="96"/>
      <c r="J4461" s="1"/>
      <c r="K4461" s="1"/>
      <c r="L4461" s="1"/>
      <c r="O4461" s="475"/>
      <c r="P4461" s="475"/>
      <c r="Q4461" s="475"/>
      <c r="R4461" s="475"/>
      <c r="S4461" s="475"/>
      <c r="T4461" s="475"/>
      <c r="U4461" s="475"/>
      <c r="V4461" s="475"/>
      <c r="W4461" s="475"/>
    </row>
    <row r="4462" spans="2:23" s="97" customFormat="1">
      <c r="B4462" s="96"/>
      <c r="H4462" s="96"/>
      <c r="J4462" s="1"/>
      <c r="K4462" s="1"/>
      <c r="L4462" s="1"/>
      <c r="O4462" s="475"/>
      <c r="P4462" s="475"/>
      <c r="Q4462" s="475"/>
      <c r="R4462" s="475"/>
      <c r="S4462" s="475"/>
      <c r="T4462" s="475"/>
      <c r="U4462" s="475"/>
      <c r="V4462" s="475"/>
      <c r="W4462" s="475"/>
    </row>
    <row r="4463" spans="2:23" s="97" customFormat="1">
      <c r="B4463" s="96"/>
      <c r="H4463" s="96"/>
      <c r="J4463" s="1"/>
      <c r="K4463" s="1"/>
      <c r="L4463" s="1"/>
      <c r="O4463" s="475"/>
      <c r="P4463" s="475"/>
      <c r="Q4463" s="475"/>
      <c r="R4463" s="475"/>
      <c r="S4463" s="475"/>
      <c r="T4463" s="475"/>
      <c r="U4463" s="475"/>
      <c r="V4463" s="475"/>
      <c r="W4463" s="475"/>
    </row>
    <row r="4464" spans="2:23" s="97" customFormat="1">
      <c r="B4464" s="96"/>
      <c r="H4464" s="96"/>
      <c r="J4464" s="1"/>
      <c r="K4464" s="1"/>
      <c r="L4464" s="1"/>
      <c r="O4464" s="475"/>
      <c r="P4464" s="475"/>
      <c r="Q4464" s="475"/>
      <c r="R4464" s="475"/>
      <c r="S4464" s="475"/>
      <c r="T4464" s="475"/>
      <c r="U4464" s="475"/>
      <c r="V4464" s="475"/>
      <c r="W4464" s="475"/>
    </row>
    <row r="4465" spans="2:23" s="97" customFormat="1">
      <c r="B4465" s="96"/>
      <c r="H4465" s="96"/>
      <c r="J4465" s="1"/>
      <c r="K4465" s="1"/>
      <c r="L4465" s="1"/>
      <c r="O4465" s="475"/>
      <c r="P4465" s="475"/>
      <c r="Q4465" s="475"/>
      <c r="R4465" s="475"/>
      <c r="S4465" s="475"/>
      <c r="T4465" s="475"/>
      <c r="U4465" s="475"/>
      <c r="V4465" s="475"/>
      <c r="W4465" s="475"/>
    </row>
    <row r="4466" spans="2:23" s="97" customFormat="1">
      <c r="B4466" s="96"/>
      <c r="H4466" s="96"/>
      <c r="J4466" s="1"/>
      <c r="K4466" s="1"/>
      <c r="L4466" s="1"/>
      <c r="O4466" s="475"/>
      <c r="P4466" s="475"/>
      <c r="Q4466" s="475"/>
      <c r="R4466" s="475"/>
      <c r="S4466" s="475"/>
      <c r="T4466" s="475"/>
      <c r="U4466" s="475"/>
      <c r="V4466" s="475"/>
      <c r="W4466" s="475"/>
    </row>
    <row r="4467" spans="2:23" s="97" customFormat="1">
      <c r="B4467" s="96"/>
      <c r="H4467" s="96"/>
      <c r="J4467" s="1"/>
      <c r="K4467" s="1"/>
      <c r="L4467" s="1"/>
      <c r="O4467" s="475"/>
      <c r="P4467" s="475"/>
      <c r="Q4467" s="475"/>
      <c r="R4467" s="475"/>
      <c r="S4467" s="475"/>
      <c r="T4467" s="475"/>
      <c r="U4467" s="475"/>
      <c r="V4467" s="475"/>
      <c r="W4467" s="475"/>
    </row>
    <row r="4468" spans="2:23" s="97" customFormat="1">
      <c r="B4468" s="96"/>
      <c r="H4468" s="96"/>
      <c r="J4468" s="1"/>
      <c r="K4468" s="1"/>
      <c r="L4468" s="1"/>
      <c r="O4468" s="475"/>
      <c r="P4468" s="475"/>
      <c r="Q4468" s="475"/>
      <c r="R4468" s="475"/>
      <c r="S4468" s="475"/>
      <c r="T4468" s="475"/>
      <c r="U4468" s="475"/>
      <c r="V4468" s="475"/>
      <c r="W4468" s="475"/>
    </row>
    <row r="4469" spans="2:23" s="97" customFormat="1">
      <c r="B4469" s="96"/>
      <c r="H4469" s="96"/>
      <c r="J4469" s="1"/>
      <c r="K4469" s="1"/>
      <c r="L4469" s="1"/>
      <c r="O4469" s="475"/>
      <c r="P4469" s="475"/>
      <c r="Q4469" s="475"/>
      <c r="R4469" s="475"/>
      <c r="S4469" s="475"/>
      <c r="T4469" s="475"/>
      <c r="U4469" s="475"/>
      <c r="V4469" s="475"/>
      <c r="W4469" s="475"/>
    </row>
    <row r="4470" spans="2:23" s="97" customFormat="1">
      <c r="B4470" s="96"/>
      <c r="H4470" s="96"/>
      <c r="J4470" s="1"/>
      <c r="K4470" s="1"/>
      <c r="L4470" s="1"/>
      <c r="O4470" s="475"/>
      <c r="P4470" s="475"/>
      <c r="Q4470" s="475"/>
      <c r="R4470" s="475"/>
      <c r="S4470" s="475"/>
      <c r="T4470" s="475"/>
      <c r="U4470" s="475"/>
      <c r="V4470" s="475"/>
      <c r="W4470" s="475"/>
    </row>
    <row r="4471" spans="2:23" s="97" customFormat="1">
      <c r="B4471" s="96"/>
      <c r="H4471" s="96"/>
      <c r="J4471" s="1"/>
      <c r="K4471" s="1"/>
      <c r="L4471" s="1"/>
      <c r="O4471" s="475"/>
      <c r="P4471" s="475"/>
      <c r="Q4471" s="475"/>
      <c r="R4471" s="475"/>
      <c r="S4471" s="475"/>
      <c r="T4471" s="475"/>
      <c r="U4471" s="475"/>
      <c r="V4471" s="475"/>
      <c r="W4471" s="475"/>
    </row>
    <row r="4472" spans="2:23" s="97" customFormat="1">
      <c r="B4472" s="96"/>
      <c r="H4472" s="96"/>
      <c r="J4472" s="1"/>
      <c r="K4472" s="1"/>
      <c r="L4472" s="1"/>
      <c r="O4472" s="475"/>
      <c r="P4472" s="475"/>
      <c r="Q4472" s="475"/>
      <c r="R4472" s="475"/>
      <c r="S4472" s="475"/>
      <c r="T4472" s="475"/>
      <c r="U4472" s="475"/>
      <c r="V4472" s="475"/>
      <c r="W4472" s="475"/>
    </row>
    <row r="4473" spans="2:23" s="97" customFormat="1">
      <c r="B4473" s="96"/>
      <c r="H4473" s="96"/>
      <c r="J4473" s="1"/>
      <c r="K4473" s="1"/>
      <c r="L4473" s="1"/>
      <c r="O4473" s="475"/>
      <c r="P4473" s="475"/>
      <c r="Q4473" s="475"/>
      <c r="R4473" s="475"/>
      <c r="S4473" s="475"/>
      <c r="T4473" s="475"/>
      <c r="U4473" s="475"/>
      <c r="V4473" s="475"/>
      <c r="W4473" s="475"/>
    </row>
    <row r="4474" spans="2:23" s="97" customFormat="1">
      <c r="B4474" s="96"/>
      <c r="H4474" s="96"/>
      <c r="J4474" s="1"/>
      <c r="K4474" s="1"/>
      <c r="L4474" s="1"/>
      <c r="O4474" s="475"/>
      <c r="P4474" s="475"/>
      <c r="Q4474" s="475"/>
      <c r="R4474" s="475"/>
      <c r="S4474" s="475"/>
      <c r="T4474" s="475"/>
      <c r="U4474" s="475"/>
      <c r="V4474" s="475"/>
      <c r="W4474" s="475"/>
    </row>
    <row r="4475" spans="2:23" s="97" customFormat="1">
      <c r="B4475" s="96"/>
      <c r="H4475" s="96"/>
      <c r="J4475" s="1"/>
      <c r="K4475" s="1"/>
      <c r="L4475" s="1"/>
      <c r="O4475" s="475"/>
      <c r="P4475" s="475"/>
      <c r="Q4475" s="475"/>
      <c r="R4475" s="475"/>
      <c r="S4475" s="475"/>
      <c r="T4475" s="475"/>
      <c r="U4475" s="475"/>
      <c r="V4475" s="475"/>
      <c r="W4475" s="475"/>
    </row>
    <row r="4476" spans="2:23" s="97" customFormat="1">
      <c r="B4476" s="96"/>
      <c r="H4476" s="96"/>
      <c r="J4476" s="1"/>
      <c r="K4476" s="1"/>
      <c r="L4476" s="1"/>
      <c r="O4476" s="475"/>
      <c r="P4476" s="475"/>
      <c r="Q4476" s="475"/>
      <c r="R4476" s="475"/>
      <c r="S4476" s="475"/>
      <c r="T4476" s="475"/>
      <c r="U4476" s="475"/>
      <c r="V4476" s="475"/>
      <c r="W4476" s="475"/>
    </row>
    <row r="4477" spans="2:23" s="97" customFormat="1">
      <c r="B4477" s="96"/>
      <c r="H4477" s="96"/>
      <c r="J4477" s="1"/>
      <c r="K4477" s="1"/>
      <c r="L4477" s="1"/>
      <c r="O4477" s="475"/>
      <c r="P4477" s="475"/>
      <c r="Q4477" s="475"/>
      <c r="R4477" s="475"/>
      <c r="S4477" s="475"/>
      <c r="T4477" s="475"/>
      <c r="U4477" s="475"/>
      <c r="V4477" s="475"/>
      <c r="W4477" s="475"/>
    </row>
    <row r="4478" spans="2:23" s="97" customFormat="1">
      <c r="B4478" s="96"/>
      <c r="H4478" s="96"/>
      <c r="J4478" s="1"/>
      <c r="K4478" s="1"/>
      <c r="L4478" s="1"/>
      <c r="O4478" s="475"/>
      <c r="P4478" s="475"/>
      <c r="Q4478" s="475"/>
      <c r="R4478" s="475"/>
      <c r="S4478" s="475"/>
      <c r="T4478" s="475"/>
      <c r="U4478" s="475"/>
      <c r="V4478" s="475"/>
      <c r="W4478" s="475"/>
    </row>
    <row r="4479" spans="2:23" s="97" customFormat="1">
      <c r="B4479" s="96"/>
      <c r="H4479" s="96"/>
      <c r="J4479" s="1"/>
      <c r="K4479" s="1"/>
      <c r="L4479" s="1"/>
      <c r="O4479" s="475"/>
      <c r="P4479" s="475"/>
      <c r="Q4479" s="475"/>
      <c r="R4479" s="475"/>
      <c r="S4479" s="475"/>
      <c r="T4479" s="475"/>
      <c r="U4479" s="475"/>
      <c r="V4479" s="475"/>
      <c r="W4479" s="475"/>
    </row>
    <row r="4480" spans="2:23" s="97" customFormat="1">
      <c r="B4480" s="96"/>
      <c r="H4480" s="96"/>
      <c r="J4480" s="1"/>
      <c r="K4480" s="1"/>
      <c r="L4480" s="1"/>
      <c r="O4480" s="475"/>
      <c r="P4480" s="475"/>
      <c r="Q4480" s="475"/>
      <c r="R4480" s="475"/>
      <c r="S4480" s="475"/>
      <c r="T4480" s="475"/>
      <c r="U4480" s="475"/>
      <c r="V4480" s="475"/>
      <c r="W4480" s="475"/>
    </row>
    <row r="4481" spans="2:23" s="97" customFormat="1">
      <c r="B4481" s="96"/>
      <c r="H4481" s="96"/>
      <c r="J4481" s="1"/>
      <c r="K4481" s="1"/>
      <c r="L4481" s="1"/>
      <c r="O4481" s="475"/>
      <c r="P4481" s="475"/>
      <c r="Q4481" s="475"/>
      <c r="R4481" s="475"/>
      <c r="S4481" s="475"/>
      <c r="T4481" s="475"/>
      <c r="U4481" s="475"/>
      <c r="V4481" s="475"/>
      <c r="W4481" s="475"/>
    </row>
    <row r="4482" spans="2:23" s="97" customFormat="1">
      <c r="B4482" s="96"/>
      <c r="H4482" s="96"/>
      <c r="J4482" s="1"/>
      <c r="K4482" s="1"/>
      <c r="L4482" s="1"/>
      <c r="O4482" s="475"/>
      <c r="P4482" s="475"/>
      <c r="Q4482" s="475"/>
      <c r="R4482" s="475"/>
      <c r="S4482" s="475"/>
      <c r="T4482" s="475"/>
      <c r="U4482" s="475"/>
      <c r="V4482" s="475"/>
      <c r="W4482" s="475"/>
    </row>
    <row r="4483" spans="2:23" s="97" customFormat="1">
      <c r="B4483" s="96"/>
      <c r="H4483" s="96"/>
      <c r="J4483" s="1"/>
      <c r="K4483" s="1"/>
      <c r="L4483" s="1"/>
      <c r="O4483" s="475"/>
      <c r="P4483" s="475"/>
      <c r="Q4483" s="475"/>
      <c r="R4483" s="475"/>
      <c r="S4483" s="475"/>
      <c r="T4483" s="475"/>
      <c r="U4483" s="475"/>
      <c r="V4483" s="475"/>
      <c r="W4483" s="475"/>
    </row>
    <row r="4484" spans="2:23" s="97" customFormat="1">
      <c r="B4484" s="96"/>
      <c r="H4484" s="96"/>
      <c r="J4484" s="1"/>
      <c r="K4484" s="1"/>
      <c r="L4484" s="1"/>
      <c r="O4484" s="475"/>
      <c r="P4484" s="475"/>
      <c r="Q4484" s="475"/>
      <c r="R4484" s="475"/>
      <c r="S4484" s="475"/>
      <c r="T4484" s="475"/>
      <c r="U4484" s="475"/>
      <c r="V4484" s="475"/>
      <c r="W4484" s="475"/>
    </row>
    <row r="4485" spans="2:23" s="97" customFormat="1">
      <c r="B4485" s="96"/>
      <c r="H4485" s="96"/>
      <c r="J4485" s="1"/>
      <c r="K4485" s="1"/>
      <c r="L4485" s="1"/>
      <c r="O4485" s="475"/>
      <c r="P4485" s="475"/>
      <c r="Q4485" s="475"/>
      <c r="R4485" s="475"/>
      <c r="S4485" s="475"/>
      <c r="T4485" s="475"/>
      <c r="U4485" s="475"/>
      <c r="V4485" s="475"/>
      <c r="W4485" s="475"/>
    </row>
    <row r="4486" spans="2:23" s="97" customFormat="1">
      <c r="B4486" s="96"/>
      <c r="H4486" s="96"/>
      <c r="J4486" s="1"/>
      <c r="K4486" s="1"/>
      <c r="L4486" s="1"/>
      <c r="O4486" s="475"/>
      <c r="P4486" s="475"/>
      <c r="Q4486" s="475"/>
      <c r="R4486" s="475"/>
      <c r="S4486" s="475"/>
      <c r="T4486" s="475"/>
      <c r="U4486" s="475"/>
      <c r="V4486" s="475"/>
      <c r="W4486" s="475"/>
    </row>
    <row r="4487" spans="2:23" s="97" customFormat="1">
      <c r="B4487" s="96"/>
      <c r="H4487" s="96"/>
      <c r="J4487" s="1"/>
      <c r="K4487" s="1"/>
      <c r="L4487" s="1"/>
      <c r="O4487" s="475"/>
      <c r="P4487" s="475"/>
      <c r="Q4487" s="475"/>
      <c r="R4487" s="475"/>
      <c r="S4487" s="475"/>
      <c r="T4487" s="475"/>
      <c r="U4487" s="475"/>
      <c r="V4487" s="475"/>
      <c r="W4487" s="475"/>
    </row>
    <row r="4488" spans="2:23" s="97" customFormat="1">
      <c r="B4488" s="96"/>
      <c r="H4488" s="96"/>
      <c r="J4488" s="1"/>
      <c r="K4488" s="1"/>
      <c r="L4488" s="1"/>
      <c r="O4488" s="475"/>
      <c r="P4488" s="475"/>
      <c r="Q4488" s="475"/>
      <c r="R4488" s="475"/>
      <c r="S4488" s="475"/>
      <c r="T4488" s="475"/>
      <c r="U4488" s="475"/>
      <c r="V4488" s="475"/>
      <c r="W4488" s="475"/>
    </row>
    <row r="4489" spans="2:23" s="97" customFormat="1">
      <c r="B4489" s="96"/>
      <c r="H4489" s="96"/>
      <c r="J4489" s="1"/>
      <c r="K4489" s="1"/>
      <c r="L4489" s="1"/>
      <c r="O4489" s="475"/>
      <c r="P4489" s="475"/>
      <c r="Q4489" s="475"/>
      <c r="R4489" s="475"/>
      <c r="S4489" s="475"/>
      <c r="T4489" s="475"/>
      <c r="U4489" s="475"/>
      <c r="V4489" s="475"/>
      <c r="W4489" s="475"/>
    </row>
    <row r="4490" spans="2:23" s="97" customFormat="1">
      <c r="B4490" s="96"/>
      <c r="H4490" s="96"/>
      <c r="J4490" s="1"/>
      <c r="K4490" s="1"/>
      <c r="L4490" s="1"/>
      <c r="O4490" s="475"/>
      <c r="P4490" s="475"/>
      <c r="Q4490" s="475"/>
      <c r="R4490" s="475"/>
      <c r="S4490" s="475"/>
      <c r="T4490" s="475"/>
      <c r="U4490" s="475"/>
      <c r="V4490" s="475"/>
      <c r="W4490" s="475"/>
    </row>
    <row r="4491" spans="2:23" s="97" customFormat="1">
      <c r="B4491" s="96"/>
      <c r="H4491" s="96"/>
      <c r="J4491" s="1"/>
      <c r="K4491" s="1"/>
      <c r="L4491" s="1"/>
      <c r="O4491" s="475"/>
      <c r="P4491" s="475"/>
      <c r="Q4491" s="475"/>
      <c r="R4491" s="475"/>
      <c r="S4491" s="475"/>
      <c r="T4491" s="475"/>
      <c r="U4491" s="475"/>
      <c r="V4491" s="475"/>
      <c r="W4491" s="475"/>
    </row>
    <row r="4492" spans="2:23" s="97" customFormat="1">
      <c r="B4492" s="96"/>
      <c r="H4492" s="96"/>
      <c r="J4492" s="1"/>
      <c r="K4492" s="1"/>
      <c r="L4492" s="1"/>
      <c r="O4492" s="475"/>
      <c r="P4492" s="475"/>
      <c r="Q4492" s="475"/>
      <c r="R4492" s="475"/>
      <c r="S4492" s="475"/>
      <c r="T4492" s="475"/>
      <c r="U4492" s="475"/>
      <c r="V4492" s="475"/>
      <c r="W4492" s="475"/>
    </row>
    <row r="4493" spans="2:23" s="97" customFormat="1">
      <c r="B4493" s="96"/>
      <c r="H4493" s="96"/>
      <c r="J4493" s="1"/>
      <c r="K4493" s="1"/>
      <c r="L4493" s="1"/>
      <c r="O4493" s="475"/>
      <c r="P4493" s="475"/>
      <c r="Q4493" s="475"/>
      <c r="R4493" s="475"/>
      <c r="S4493" s="475"/>
      <c r="T4493" s="475"/>
      <c r="U4493" s="475"/>
      <c r="V4493" s="475"/>
      <c r="W4493" s="475"/>
    </row>
    <row r="4494" spans="2:23" s="97" customFormat="1">
      <c r="B4494" s="96"/>
      <c r="H4494" s="96"/>
      <c r="J4494" s="1"/>
      <c r="K4494" s="1"/>
      <c r="L4494" s="1"/>
      <c r="O4494" s="475"/>
      <c r="P4494" s="475"/>
      <c r="Q4494" s="475"/>
      <c r="R4494" s="475"/>
      <c r="S4494" s="475"/>
      <c r="T4494" s="475"/>
      <c r="U4494" s="475"/>
      <c r="V4494" s="475"/>
      <c r="W4494" s="475"/>
    </row>
    <row r="4495" spans="2:23" s="97" customFormat="1">
      <c r="B4495" s="96"/>
      <c r="H4495" s="96"/>
      <c r="J4495" s="1"/>
      <c r="K4495" s="1"/>
      <c r="L4495" s="1"/>
      <c r="O4495" s="475"/>
      <c r="P4495" s="475"/>
      <c r="Q4495" s="475"/>
      <c r="R4495" s="475"/>
      <c r="S4495" s="475"/>
      <c r="T4495" s="475"/>
      <c r="U4495" s="475"/>
      <c r="V4495" s="475"/>
      <c r="W4495" s="475"/>
    </row>
    <row r="4496" spans="2:23" s="97" customFormat="1">
      <c r="B4496" s="96"/>
      <c r="H4496" s="96"/>
      <c r="J4496" s="1"/>
      <c r="K4496" s="1"/>
      <c r="L4496" s="1"/>
      <c r="O4496" s="475"/>
      <c r="P4496" s="475"/>
      <c r="Q4496" s="475"/>
      <c r="R4496" s="475"/>
      <c r="S4496" s="475"/>
      <c r="T4496" s="475"/>
      <c r="U4496" s="475"/>
      <c r="V4496" s="475"/>
      <c r="W4496" s="475"/>
    </row>
    <row r="4497" spans="2:23" s="97" customFormat="1">
      <c r="B4497" s="96"/>
      <c r="H4497" s="96"/>
      <c r="J4497" s="1"/>
      <c r="K4497" s="1"/>
      <c r="L4497" s="1"/>
      <c r="O4497" s="475"/>
      <c r="P4497" s="475"/>
      <c r="Q4497" s="475"/>
      <c r="R4497" s="475"/>
      <c r="S4497" s="475"/>
      <c r="T4497" s="475"/>
      <c r="U4497" s="475"/>
      <c r="V4497" s="475"/>
      <c r="W4497" s="475"/>
    </row>
    <row r="4498" spans="2:23" s="97" customFormat="1">
      <c r="B4498" s="96"/>
      <c r="H4498" s="96"/>
      <c r="J4498" s="1"/>
      <c r="K4498" s="1"/>
      <c r="L4498" s="1"/>
      <c r="O4498" s="475"/>
      <c r="P4498" s="475"/>
      <c r="Q4498" s="475"/>
      <c r="R4498" s="475"/>
      <c r="S4498" s="475"/>
      <c r="T4498" s="475"/>
      <c r="U4498" s="475"/>
      <c r="V4498" s="475"/>
      <c r="W4498" s="475"/>
    </row>
    <row r="4499" spans="2:23" s="97" customFormat="1">
      <c r="B4499" s="96"/>
      <c r="H4499" s="96"/>
      <c r="J4499" s="1"/>
      <c r="K4499" s="1"/>
      <c r="L4499" s="1"/>
      <c r="O4499" s="475"/>
      <c r="P4499" s="475"/>
      <c r="Q4499" s="475"/>
      <c r="R4499" s="475"/>
      <c r="S4499" s="475"/>
      <c r="T4499" s="475"/>
      <c r="U4499" s="475"/>
      <c r="V4499" s="475"/>
      <c r="W4499" s="475"/>
    </row>
    <row r="4500" spans="2:23" s="97" customFormat="1">
      <c r="B4500" s="96"/>
      <c r="H4500" s="96"/>
      <c r="J4500" s="1"/>
      <c r="K4500" s="1"/>
      <c r="L4500" s="1"/>
      <c r="O4500" s="475"/>
      <c r="P4500" s="475"/>
      <c r="Q4500" s="475"/>
      <c r="R4500" s="475"/>
      <c r="S4500" s="475"/>
      <c r="T4500" s="475"/>
      <c r="U4500" s="475"/>
      <c r="V4500" s="475"/>
      <c r="W4500" s="475"/>
    </row>
    <row r="4501" spans="2:23" s="97" customFormat="1">
      <c r="B4501" s="96"/>
      <c r="H4501" s="96"/>
      <c r="J4501" s="1"/>
      <c r="K4501" s="1"/>
      <c r="L4501" s="1"/>
      <c r="O4501" s="475"/>
      <c r="P4501" s="475"/>
      <c r="Q4501" s="475"/>
      <c r="R4501" s="475"/>
      <c r="S4501" s="475"/>
      <c r="T4501" s="475"/>
      <c r="U4501" s="475"/>
      <c r="V4501" s="475"/>
      <c r="W4501" s="475"/>
    </row>
    <row r="4502" spans="2:23" s="97" customFormat="1">
      <c r="B4502" s="96"/>
      <c r="H4502" s="96"/>
      <c r="J4502" s="1"/>
      <c r="K4502" s="1"/>
      <c r="L4502" s="1"/>
      <c r="O4502" s="475"/>
      <c r="P4502" s="475"/>
      <c r="Q4502" s="475"/>
      <c r="R4502" s="475"/>
      <c r="S4502" s="475"/>
      <c r="T4502" s="475"/>
      <c r="U4502" s="475"/>
      <c r="V4502" s="475"/>
      <c r="W4502" s="475"/>
    </row>
    <row r="4503" spans="2:23" s="97" customFormat="1">
      <c r="B4503" s="96"/>
      <c r="H4503" s="96"/>
      <c r="J4503" s="1"/>
      <c r="K4503" s="1"/>
      <c r="L4503" s="1"/>
      <c r="O4503" s="475"/>
      <c r="P4503" s="475"/>
      <c r="Q4503" s="475"/>
      <c r="R4503" s="475"/>
      <c r="S4503" s="475"/>
      <c r="T4503" s="475"/>
      <c r="U4503" s="475"/>
      <c r="V4503" s="475"/>
      <c r="W4503" s="475"/>
    </row>
    <row r="4504" spans="2:23" s="97" customFormat="1">
      <c r="B4504" s="96"/>
      <c r="H4504" s="96"/>
      <c r="J4504" s="1"/>
      <c r="K4504" s="1"/>
      <c r="L4504" s="1"/>
      <c r="O4504" s="475"/>
      <c r="P4504" s="475"/>
      <c r="Q4504" s="475"/>
      <c r="R4504" s="475"/>
      <c r="S4504" s="475"/>
      <c r="T4504" s="475"/>
      <c r="U4504" s="475"/>
      <c r="V4504" s="475"/>
      <c r="W4504" s="475"/>
    </row>
    <row r="4505" spans="2:23" s="97" customFormat="1">
      <c r="B4505" s="96"/>
      <c r="H4505" s="96"/>
      <c r="J4505" s="1"/>
      <c r="K4505" s="1"/>
      <c r="L4505" s="1"/>
      <c r="O4505" s="475"/>
      <c r="P4505" s="475"/>
      <c r="Q4505" s="475"/>
      <c r="R4505" s="475"/>
      <c r="S4505" s="475"/>
      <c r="T4505" s="475"/>
      <c r="U4505" s="475"/>
      <c r="V4505" s="475"/>
      <c r="W4505" s="475"/>
    </row>
    <row r="4506" spans="2:23" s="97" customFormat="1">
      <c r="B4506" s="96"/>
      <c r="H4506" s="96"/>
      <c r="J4506" s="1"/>
      <c r="K4506" s="1"/>
      <c r="L4506" s="1"/>
      <c r="O4506" s="475"/>
      <c r="P4506" s="475"/>
      <c r="Q4506" s="475"/>
      <c r="R4506" s="475"/>
      <c r="S4506" s="475"/>
      <c r="T4506" s="475"/>
      <c r="U4506" s="475"/>
      <c r="V4506" s="475"/>
      <c r="W4506" s="475"/>
    </row>
    <row r="4507" spans="2:23" s="97" customFormat="1">
      <c r="B4507" s="96"/>
      <c r="H4507" s="96"/>
      <c r="J4507" s="1"/>
      <c r="K4507" s="1"/>
      <c r="L4507" s="1"/>
      <c r="O4507" s="475"/>
      <c r="P4507" s="475"/>
      <c r="Q4507" s="475"/>
      <c r="R4507" s="475"/>
      <c r="S4507" s="475"/>
      <c r="T4507" s="475"/>
      <c r="U4507" s="475"/>
      <c r="V4507" s="475"/>
      <c r="W4507" s="475"/>
    </row>
    <row r="4508" spans="2:23" s="97" customFormat="1">
      <c r="B4508" s="96"/>
      <c r="H4508" s="96"/>
      <c r="J4508" s="1"/>
      <c r="K4508" s="1"/>
      <c r="L4508" s="1"/>
      <c r="O4508" s="475"/>
      <c r="P4508" s="475"/>
      <c r="Q4508" s="475"/>
      <c r="R4508" s="475"/>
      <c r="S4508" s="475"/>
      <c r="T4508" s="475"/>
      <c r="U4508" s="475"/>
      <c r="V4508" s="475"/>
      <c r="W4508" s="475"/>
    </row>
    <row r="4509" spans="2:23" s="97" customFormat="1">
      <c r="B4509" s="96"/>
      <c r="H4509" s="96"/>
      <c r="J4509" s="1"/>
      <c r="K4509" s="1"/>
      <c r="L4509" s="1"/>
      <c r="O4509" s="475"/>
      <c r="P4509" s="475"/>
      <c r="Q4509" s="475"/>
      <c r="R4509" s="475"/>
      <c r="S4509" s="475"/>
      <c r="T4509" s="475"/>
      <c r="U4509" s="475"/>
      <c r="V4509" s="475"/>
      <c r="W4509" s="475"/>
    </row>
    <row r="4510" spans="2:23" s="97" customFormat="1">
      <c r="B4510" s="96"/>
      <c r="H4510" s="96"/>
      <c r="J4510" s="1"/>
      <c r="K4510" s="1"/>
      <c r="L4510" s="1"/>
      <c r="O4510" s="475"/>
      <c r="P4510" s="475"/>
      <c r="Q4510" s="475"/>
      <c r="R4510" s="475"/>
      <c r="S4510" s="475"/>
      <c r="T4510" s="475"/>
      <c r="U4510" s="475"/>
      <c r="V4510" s="475"/>
      <c r="W4510" s="475"/>
    </row>
    <row r="4511" spans="2:23" s="97" customFormat="1">
      <c r="B4511" s="96"/>
      <c r="H4511" s="96"/>
      <c r="J4511" s="1"/>
      <c r="K4511" s="1"/>
      <c r="L4511" s="1"/>
      <c r="O4511" s="475"/>
      <c r="P4511" s="475"/>
      <c r="Q4511" s="475"/>
      <c r="R4511" s="475"/>
      <c r="S4511" s="475"/>
      <c r="T4511" s="475"/>
      <c r="U4511" s="475"/>
      <c r="V4511" s="475"/>
      <c r="W4511" s="475"/>
    </row>
    <row r="4512" spans="2:23" s="97" customFormat="1">
      <c r="B4512" s="96"/>
      <c r="H4512" s="96"/>
      <c r="J4512" s="1"/>
      <c r="K4512" s="1"/>
      <c r="L4512" s="1"/>
      <c r="O4512" s="475"/>
      <c r="P4512" s="475"/>
      <c r="Q4512" s="475"/>
      <c r="R4512" s="475"/>
      <c r="S4512" s="475"/>
      <c r="T4512" s="475"/>
      <c r="U4512" s="475"/>
      <c r="V4512" s="475"/>
      <c r="W4512" s="475"/>
    </row>
    <row r="4513" spans="2:23" s="97" customFormat="1">
      <c r="B4513" s="96"/>
      <c r="H4513" s="96"/>
      <c r="J4513" s="1"/>
      <c r="K4513" s="1"/>
      <c r="L4513" s="1"/>
      <c r="O4513" s="475"/>
      <c r="P4513" s="475"/>
      <c r="Q4513" s="475"/>
      <c r="R4513" s="475"/>
      <c r="S4513" s="475"/>
      <c r="T4513" s="475"/>
      <c r="U4513" s="475"/>
      <c r="V4513" s="475"/>
      <c r="W4513" s="475"/>
    </row>
    <row r="4514" spans="2:23" s="97" customFormat="1">
      <c r="B4514" s="96"/>
      <c r="H4514" s="96"/>
      <c r="J4514" s="1"/>
      <c r="K4514" s="1"/>
      <c r="L4514" s="1"/>
      <c r="O4514" s="475"/>
      <c r="P4514" s="475"/>
      <c r="Q4514" s="475"/>
      <c r="R4514" s="475"/>
      <c r="S4514" s="475"/>
      <c r="T4514" s="475"/>
      <c r="U4514" s="475"/>
      <c r="V4514" s="475"/>
      <c r="W4514" s="475"/>
    </row>
    <row r="4515" spans="2:23" s="97" customFormat="1">
      <c r="B4515" s="96"/>
      <c r="H4515" s="96"/>
      <c r="J4515" s="1"/>
      <c r="K4515" s="1"/>
      <c r="L4515" s="1"/>
      <c r="O4515" s="475"/>
      <c r="P4515" s="475"/>
      <c r="Q4515" s="475"/>
      <c r="R4515" s="475"/>
      <c r="S4515" s="475"/>
      <c r="T4515" s="475"/>
      <c r="U4515" s="475"/>
      <c r="V4515" s="475"/>
      <c r="W4515" s="475"/>
    </row>
    <row r="4516" spans="2:23" s="97" customFormat="1">
      <c r="B4516" s="96"/>
      <c r="H4516" s="96"/>
      <c r="J4516" s="1"/>
      <c r="K4516" s="1"/>
      <c r="L4516" s="1"/>
      <c r="O4516" s="475"/>
      <c r="P4516" s="475"/>
      <c r="Q4516" s="475"/>
      <c r="R4516" s="475"/>
      <c r="S4516" s="475"/>
      <c r="T4516" s="475"/>
      <c r="U4516" s="475"/>
      <c r="V4516" s="475"/>
      <c r="W4516" s="475"/>
    </row>
    <row r="4517" spans="2:23" s="97" customFormat="1">
      <c r="B4517" s="96"/>
      <c r="H4517" s="96"/>
      <c r="J4517" s="1"/>
      <c r="K4517" s="1"/>
      <c r="L4517" s="1"/>
      <c r="O4517" s="475"/>
      <c r="P4517" s="475"/>
      <c r="Q4517" s="475"/>
      <c r="R4517" s="475"/>
      <c r="S4517" s="475"/>
      <c r="T4517" s="475"/>
      <c r="U4517" s="475"/>
      <c r="V4517" s="475"/>
      <c r="W4517" s="475"/>
    </row>
    <row r="4518" spans="2:23" s="97" customFormat="1">
      <c r="B4518" s="96"/>
      <c r="H4518" s="96"/>
      <c r="J4518" s="1"/>
      <c r="K4518" s="1"/>
      <c r="L4518" s="1"/>
      <c r="O4518" s="475"/>
      <c r="P4518" s="475"/>
      <c r="Q4518" s="475"/>
      <c r="R4518" s="475"/>
      <c r="S4518" s="475"/>
      <c r="T4518" s="475"/>
      <c r="U4518" s="475"/>
      <c r="V4518" s="475"/>
      <c r="W4518" s="475"/>
    </row>
    <row r="4519" spans="2:23" s="97" customFormat="1">
      <c r="B4519" s="96"/>
      <c r="H4519" s="96"/>
      <c r="J4519" s="1"/>
      <c r="K4519" s="1"/>
      <c r="L4519" s="1"/>
      <c r="O4519" s="475"/>
      <c r="P4519" s="475"/>
      <c r="Q4519" s="475"/>
      <c r="R4519" s="475"/>
      <c r="S4519" s="475"/>
      <c r="T4519" s="475"/>
      <c r="U4519" s="475"/>
      <c r="V4519" s="475"/>
      <c r="W4519" s="475"/>
    </row>
    <row r="4520" spans="2:23" s="97" customFormat="1">
      <c r="B4520" s="96"/>
      <c r="H4520" s="96"/>
      <c r="J4520" s="1"/>
      <c r="K4520" s="1"/>
      <c r="L4520" s="1"/>
      <c r="O4520" s="475"/>
      <c r="P4520" s="475"/>
      <c r="Q4520" s="475"/>
      <c r="R4520" s="475"/>
      <c r="S4520" s="475"/>
      <c r="T4520" s="475"/>
      <c r="U4520" s="475"/>
      <c r="V4520" s="475"/>
      <c r="W4520" s="475"/>
    </row>
    <row r="4521" spans="2:23" s="97" customFormat="1">
      <c r="B4521" s="96"/>
      <c r="H4521" s="96"/>
      <c r="J4521" s="1"/>
      <c r="K4521" s="1"/>
      <c r="L4521" s="1"/>
      <c r="O4521" s="475"/>
      <c r="P4521" s="475"/>
      <c r="Q4521" s="475"/>
      <c r="R4521" s="475"/>
      <c r="S4521" s="475"/>
      <c r="T4521" s="475"/>
      <c r="U4521" s="475"/>
      <c r="V4521" s="475"/>
      <c r="W4521" s="475"/>
    </row>
    <row r="4522" spans="2:23" s="97" customFormat="1">
      <c r="B4522" s="96"/>
      <c r="H4522" s="96"/>
      <c r="J4522" s="1"/>
      <c r="K4522" s="1"/>
      <c r="L4522" s="1"/>
      <c r="O4522" s="475"/>
      <c r="P4522" s="475"/>
      <c r="Q4522" s="475"/>
      <c r="R4522" s="475"/>
      <c r="S4522" s="475"/>
      <c r="T4522" s="475"/>
      <c r="U4522" s="475"/>
      <c r="V4522" s="475"/>
      <c r="W4522" s="475"/>
    </row>
    <row r="4523" spans="2:23" s="97" customFormat="1">
      <c r="B4523" s="96"/>
      <c r="H4523" s="96"/>
      <c r="J4523" s="1"/>
      <c r="K4523" s="1"/>
      <c r="L4523" s="1"/>
      <c r="O4523" s="475"/>
      <c r="P4523" s="475"/>
      <c r="Q4523" s="475"/>
      <c r="R4523" s="475"/>
      <c r="S4523" s="475"/>
      <c r="T4523" s="475"/>
      <c r="U4523" s="475"/>
      <c r="V4523" s="475"/>
      <c r="W4523" s="475"/>
    </row>
    <row r="4524" spans="2:23" s="97" customFormat="1">
      <c r="B4524" s="96"/>
      <c r="H4524" s="96"/>
      <c r="J4524" s="1"/>
      <c r="K4524" s="1"/>
      <c r="L4524" s="1"/>
      <c r="O4524" s="475"/>
      <c r="P4524" s="475"/>
      <c r="Q4524" s="475"/>
      <c r="R4524" s="475"/>
      <c r="S4524" s="475"/>
      <c r="T4524" s="475"/>
      <c r="U4524" s="475"/>
      <c r="V4524" s="475"/>
      <c r="W4524" s="475"/>
    </row>
    <row r="4525" spans="2:23" s="97" customFormat="1">
      <c r="B4525" s="96"/>
      <c r="H4525" s="96"/>
      <c r="J4525" s="1"/>
      <c r="K4525" s="1"/>
      <c r="L4525" s="1"/>
      <c r="O4525" s="475"/>
      <c r="P4525" s="475"/>
      <c r="Q4525" s="475"/>
      <c r="R4525" s="475"/>
      <c r="S4525" s="475"/>
      <c r="T4525" s="475"/>
      <c r="U4525" s="475"/>
      <c r="V4525" s="475"/>
      <c r="W4525" s="475"/>
    </row>
    <row r="4526" spans="2:23" s="97" customFormat="1">
      <c r="B4526" s="96"/>
      <c r="H4526" s="96"/>
      <c r="J4526" s="1"/>
      <c r="K4526" s="1"/>
      <c r="L4526" s="1"/>
      <c r="O4526" s="475"/>
      <c r="P4526" s="475"/>
      <c r="Q4526" s="475"/>
      <c r="R4526" s="475"/>
      <c r="S4526" s="475"/>
      <c r="T4526" s="475"/>
      <c r="U4526" s="475"/>
      <c r="V4526" s="475"/>
      <c r="W4526" s="475"/>
    </row>
    <row r="4527" spans="2:23" s="97" customFormat="1">
      <c r="B4527" s="96"/>
      <c r="H4527" s="96"/>
      <c r="J4527" s="1"/>
      <c r="K4527" s="1"/>
      <c r="L4527" s="1"/>
      <c r="O4527" s="475"/>
      <c r="P4527" s="475"/>
      <c r="Q4527" s="475"/>
      <c r="R4527" s="475"/>
      <c r="S4527" s="475"/>
      <c r="T4527" s="475"/>
      <c r="U4527" s="475"/>
      <c r="V4527" s="475"/>
      <c r="W4527" s="475"/>
    </row>
    <row r="4528" spans="2:23" s="97" customFormat="1">
      <c r="B4528" s="96"/>
      <c r="H4528" s="96"/>
      <c r="J4528" s="1"/>
      <c r="K4528" s="1"/>
      <c r="L4528" s="1"/>
      <c r="O4528" s="475"/>
      <c r="P4528" s="475"/>
      <c r="Q4528" s="475"/>
      <c r="R4528" s="475"/>
      <c r="S4528" s="475"/>
      <c r="T4528" s="475"/>
      <c r="U4528" s="475"/>
      <c r="V4528" s="475"/>
      <c r="W4528" s="475"/>
    </row>
    <row r="4529" spans="2:23" s="97" customFormat="1">
      <c r="B4529" s="96"/>
      <c r="H4529" s="96"/>
      <c r="J4529" s="1"/>
      <c r="K4529" s="1"/>
      <c r="L4529" s="1"/>
      <c r="O4529" s="475"/>
      <c r="P4529" s="475"/>
      <c r="Q4529" s="475"/>
      <c r="R4529" s="475"/>
      <c r="S4529" s="475"/>
      <c r="T4529" s="475"/>
      <c r="U4529" s="475"/>
      <c r="V4529" s="475"/>
      <c r="W4529" s="475"/>
    </row>
    <row r="4530" spans="2:23" s="97" customFormat="1">
      <c r="B4530" s="96"/>
      <c r="H4530" s="96"/>
      <c r="J4530" s="1"/>
      <c r="K4530" s="1"/>
      <c r="L4530" s="1"/>
      <c r="O4530" s="475"/>
      <c r="P4530" s="475"/>
      <c r="Q4530" s="475"/>
      <c r="R4530" s="475"/>
      <c r="S4530" s="475"/>
      <c r="T4530" s="475"/>
      <c r="U4530" s="475"/>
      <c r="V4530" s="475"/>
      <c r="W4530" s="475"/>
    </row>
    <row r="4531" spans="2:23" s="97" customFormat="1">
      <c r="B4531" s="96"/>
      <c r="H4531" s="96"/>
      <c r="J4531" s="1"/>
      <c r="K4531" s="1"/>
      <c r="L4531" s="1"/>
      <c r="O4531" s="475"/>
      <c r="P4531" s="475"/>
      <c r="Q4531" s="475"/>
      <c r="R4531" s="475"/>
      <c r="S4531" s="475"/>
      <c r="T4531" s="475"/>
      <c r="U4531" s="475"/>
      <c r="V4531" s="475"/>
      <c r="W4531" s="475"/>
    </row>
    <row r="4532" spans="2:23" s="97" customFormat="1">
      <c r="B4532" s="96"/>
      <c r="H4532" s="96"/>
      <c r="J4532" s="1"/>
      <c r="K4532" s="1"/>
      <c r="L4532" s="1"/>
      <c r="O4532" s="475"/>
      <c r="P4532" s="475"/>
      <c r="Q4532" s="475"/>
      <c r="R4532" s="475"/>
      <c r="S4532" s="475"/>
      <c r="T4532" s="475"/>
      <c r="U4532" s="475"/>
      <c r="V4532" s="475"/>
      <c r="W4532" s="475"/>
    </row>
    <row r="4533" spans="2:23" s="97" customFormat="1">
      <c r="B4533" s="96"/>
      <c r="H4533" s="96"/>
      <c r="J4533" s="1"/>
      <c r="K4533" s="1"/>
      <c r="L4533" s="1"/>
      <c r="O4533" s="475"/>
      <c r="P4533" s="475"/>
      <c r="Q4533" s="475"/>
      <c r="R4533" s="475"/>
      <c r="S4533" s="475"/>
      <c r="T4533" s="475"/>
      <c r="U4533" s="475"/>
      <c r="V4533" s="475"/>
      <c r="W4533" s="475"/>
    </row>
    <row r="4534" spans="2:23" s="97" customFormat="1">
      <c r="B4534" s="96"/>
      <c r="H4534" s="96"/>
      <c r="J4534" s="1"/>
      <c r="K4534" s="1"/>
      <c r="L4534" s="1"/>
      <c r="O4534" s="475"/>
      <c r="P4534" s="475"/>
      <c r="Q4534" s="475"/>
      <c r="R4534" s="475"/>
      <c r="S4534" s="475"/>
      <c r="T4534" s="475"/>
      <c r="U4534" s="475"/>
      <c r="V4534" s="475"/>
      <c r="W4534" s="475"/>
    </row>
    <row r="4535" spans="2:23" s="97" customFormat="1">
      <c r="B4535" s="96"/>
      <c r="H4535" s="96"/>
      <c r="J4535" s="1"/>
      <c r="K4535" s="1"/>
      <c r="L4535" s="1"/>
      <c r="O4535" s="475"/>
      <c r="P4535" s="475"/>
      <c r="Q4535" s="475"/>
      <c r="R4535" s="475"/>
      <c r="S4535" s="475"/>
      <c r="T4535" s="475"/>
      <c r="U4535" s="475"/>
      <c r="V4535" s="475"/>
      <c r="W4535" s="475"/>
    </row>
    <row r="4536" spans="2:23" s="97" customFormat="1">
      <c r="B4536" s="96"/>
      <c r="H4536" s="96"/>
      <c r="J4536" s="1"/>
      <c r="K4536" s="1"/>
      <c r="L4536" s="1"/>
      <c r="O4536" s="475"/>
      <c r="P4536" s="475"/>
      <c r="Q4536" s="475"/>
      <c r="R4536" s="475"/>
      <c r="S4536" s="475"/>
      <c r="T4536" s="475"/>
      <c r="U4536" s="475"/>
      <c r="V4536" s="475"/>
      <c r="W4536" s="475"/>
    </row>
    <row r="4537" spans="2:23" s="97" customFormat="1">
      <c r="B4537" s="96"/>
      <c r="H4537" s="96"/>
      <c r="J4537" s="1"/>
      <c r="K4537" s="1"/>
      <c r="L4537" s="1"/>
      <c r="O4537" s="475"/>
      <c r="P4537" s="475"/>
      <c r="Q4537" s="475"/>
      <c r="R4537" s="475"/>
      <c r="S4537" s="475"/>
      <c r="T4537" s="475"/>
      <c r="U4537" s="475"/>
      <c r="V4537" s="475"/>
      <c r="W4537" s="475"/>
    </row>
    <row r="4538" spans="2:23" s="97" customFormat="1">
      <c r="B4538" s="96"/>
      <c r="H4538" s="96"/>
      <c r="J4538" s="1"/>
      <c r="K4538" s="1"/>
      <c r="L4538" s="1"/>
      <c r="O4538" s="475"/>
      <c r="P4538" s="475"/>
      <c r="Q4538" s="475"/>
      <c r="R4538" s="475"/>
      <c r="S4538" s="475"/>
      <c r="T4538" s="475"/>
      <c r="U4538" s="475"/>
      <c r="V4538" s="475"/>
      <c r="W4538" s="475"/>
    </row>
    <row r="4539" spans="2:23" s="97" customFormat="1">
      <c r="B4539" s="96"/>
      <c r="H4539" s="96"/>
      <c r="J4539" s="1"/>
      <c r="K4539" s="1"/>
      <c r="L4539" s="1"/>
      <c r="O4539" s="475"/>
      <c r="P4539" s="475"/>
      <c r="Q4539" s="475"/>
      <c r="R4539" s="475"/>
      <c r="S4539" s="475"/>
      <c r="T4539" s="475"/>
      <c r="U4539" s="475"/>
      <c r="V4539" s="475"/>
      <c r="W4539" s="475"/>
    </row>
    <row r="4540" spans="2:23" s="97" customFormat="1">
      <c r="B4540" s="96"/>
      <c r="H4540" s="96"/>
      <c r="J4540" s="1"/>
      <c r="K4540" s="1"/>
      <c r="L4540" s="1"/>
      <c r="O4540" s="475"/>
      <c r="P4540" s="475"/>
      <c r="Q4540" s="475"/>
      <c r="R4540" s="475"/>
      <c r="S4540" s="475"/>
      <c r="T4540" s="475"/>
      <c r="U4540" s="475"/>
      <c r="V4540" s="475"/>
      <c r="W4540" s="475"/>
    </row>
    <row r="4541" spans="2:23" s="97" customFormat="1">
      <c r="B4541" s="96"/>
      <c r="H4541" s="96"/>
      <c r="J4541" s="1"/>
      <c r="K4541" s="1"/>
      <c r="L4541" s="1"/>
      <c r="O4541" s="475"/>
      <c r="P4541" s="475"/>
      <c r="Q4541" s="475"/>
      <c r="R4541" s="475"/>
      <c r="S4541" s="475"/>
      <c r="T4541" s="475"/>
      <c r="U4541" s="475"/>
      <c r="V4541" s="475"/>
      <c r="W4541" s="475"/>
    </row>
    <row r="4542" spans="2:23" s="97" customFormat="1">
      <c r="B4542" s="96"/>
      <c r="H4542" s="96"/>
      <c r="J4542" s="1"/>
      <c r="K4542" s="1"/>
      <c r="L4542" s="1"/>
      <c r="O4542" s="475"/>
      <c r="P4542" s="475"/>
      <c r="Q4542" s="475"/>
      <c r="R4542" s="475"/>
      <c r="S4542" s="475"/>
      <c r="T4542" s="475"/>
      <c r="U4542" s="475"/>
      <c r="V4542" s="475"/>
      <c r="W4542" s="475"/>
    </row>
    <row r="4543" spans="2:23" s="97" customFormat="1">
      <c r="B4543" s="96"/>
      <c r="H4543" s="96"/>
      <c r="J4543" s="1"/>
      <c r="K4543" s="1"/>
      <c r="L4543" s="1"/>
      <c r="O4543" s="475"/>
      <c r="P4543" s="475"/>
      <c r="Q4543" s="475"/>
      <c r="R4543" s="475"/>
      <c r="S4543" s="475"/>
      <c r="T4543" s="475"/>
      <c r="U4543" s="475"/>
      <c r="V4543" s="475"/>
      <c r="W4543" s="475"/>
    </row>
    <row r="4544" spans="2:23" s="97" customFormat="1">
      <c r="B4544" s="96"/>
      <c r="H4544" s="96"/>
      <c r="J4544" s="1"/>
      <c r="K4544" s="1"/>
      <c r="L4544" s="1"/>
      <c r="O4544" s="475"/>
      <c r="P4544" s="475"/>
      <c r="Q4544" s="475"/>
      <c r="R4544" s="475"/>
      <c r="S4544" s="475"/>
      <c r="T4544" s="475"/>
      <c r="U4544" s="475"/>
      <c r="V4544" s="475"/>
      <c r="W4544" s="475"/>
    </row>
    <row r="4545" spans="2:23" s="97" customFormat="1">
      <c r="B4545" s="96"/>
      <c r="H4545" s="96"/>
      <c r="J4545" s="1"/>
      <c r="K4545" s="1"/>
      <c r="L4545" s="1"/>
      <c r="O4545" s="475"/>
      <c r="P4545" s="475"/>
      <c r="Q4545" s="475"/>
      <c r="R4545" s="475"/>
      <c r="S4545" s="475"/>
      <c r="T4545" s="475"/>
      <c r="U4545" s="475"/>
      <c r="V4545" s="475"/>
      <c r="W4545" s="475"/>
    </row>
    <row r="4546" spans="2:23" s="97" customFormat="1">
      <c r="B4546" s="96"/>
      <c r="H4546" s="96"/>
      <c r="J4546" s="1"/>
      <c r="K4546" s="1"/>
      <c r="L4546" s="1"/>
      <c r="O4546" s="475"/>
      <c r="P4546" s="475"/>
      <c r="Q4546" s="475"/>
      <c r="R4546" s="475"/>
      <c r="S4546" s="475"/>
      <c r="T4546" s="475"/>
      <c r="U4546" s="475"/>
      <c r="V4546" s="475"/>
      <c r="W4546" s="475"/>
    </row>
    <row r="4547" spans="2:23" s="97" customFormat="1">
      <c r="B4547" s="96"/>
      <c r="H4547" s="96"/>
      <c r="J4547" s="1"/>
      <c r="K4547" s="1"/>
      <c r="L4547" s="1"/>
      <c r="O4547" s="475"/>
      <c r="P4547" s="475"/>
      <c r="Q4547" s="475"/>
      <c r="R4547" s="475"/>
      <c r="S4547" s="475"/>
      <c r="T4547" s="475"/>
      <c r="U4547" s="475"/>
      <c r="V4547" s="475"/>
      <c r="W4547" s="475"/>
    </row>
    <row r="4548" spans="2:23" s="97" customFormat="1">
      <c r="B4548" s="96"/>
      <c r="H4548" s="96"/>
      <c r="J4548" s="1"/>
      <c r="K4548" s="1"/>
      <c r="L4548" s="1"/>
      <c r="O4548" s="475"/>
      <c r="P4548" s="475"/>
      <c r="Q4548" s="475"/>
      <c r="R4548" s="475"/>
      <c r="S4548" s="475"/>
      <c r="T4548" s="475"/>
      <c r="U4548" s="475"/>
      <c r="V4548" s="475"/>
      <c r="W4548" s="475"/>
    </row>
    <row r="4549" spans="2:23" s="97" customFormat="1">
      <c r="B4549" s="96"/>
      <c r="H4549" s="96"/>
      <c r="J4549" s="1"/>
      <c r="K4549" s="1"/>
      <c r="L4549" s="1"/>
      <c r="O4549" s="475"/>
      <c r="P4549" s="475"/>
      <c r="Q4549" s="475"/>
      <c r="R4549" s="475"/>
      <c r="S4549" s="475"/>
      <c r="T4549" s="475"/>
      <c r="U4549" s="475"/>
      <c r="V4549" s="475"/>
      <c r="W4549" s="475"/>
    </row>
    <row r="4550" spans="2:23" s="97" customFormat="1">
      <c r="B4550" s="96"/>
      <c r="H4550" s="96"/>
      <c r="J4550" s="1"/>
      <c r="K4550" s="1"/>
      <c r="L4550" s="1"/>
      <c r="O4550" s="475"/>
      <c r="P4550" s="475"/>
      <c r="Q4550" s="475"/>
      <c r="R4550" s="475"/>
      <c r="S4550" s="475"/>
      <c r="T4550" s="475"/>
      <c r="U4550" s="475"/>
      <c r="V4550" s="475"/>
      <c r="W4550" s="475"/>
    </row>
    <row r="4551" spans="2:23" s="97" customFormat="1">
      <c r="B4551" s="96"/>
      <c r="H4551" s="96"/>
      <c r="J4551" s="1"/>
      <c r="K4551" s="1"/>
      <c r="L4551" s="1"/>
      <c r="O4551" s="475"/>
      <c r="P4551" s="475"/>
      <c r="Q4551" s="475"/>
      <c r="R4551" s="475"/>
      <c r="S4551" s="475"/>
      <c r="T4551" s="475"/>
      <c r="U4551" s="475"/>
      <c r="V4551" s="475"/>
      <c r="W4551" s="475"/>
    </row>
    <row r="4552" spans="2:23" s="97" customFormat="1">
      <c r="B4552" s="96"/>
      <c r="H4552" s="96"/>
      <c r="J4552" s="1"/>
      <c r="K4552" s="1"/>
      <c r="L4552" s="1"/>
      <c r="O4552" s="475"/>
      <c r="P4552" s="475"/>
      <c r="Q4552" s="475"/>
      <c r="R4552" s="475"/>
      <c r="S4552" s="475"/>
      <c r="T4552" s="475"/>
      <c r="U4552" s="475"/>
      <c r="V4552" s="475"/>
      <c r="W4552" s="475"/>
    </row>
    <row r="4553" spans="2:23" s="97" customFormat="1">
      <c r="B4553" s="96"/>
      <c r="H4553" s="96"/>
      <c r="J4553" s="1"/>
      <c r="K4553" s="1"/>
      <c r="L4553" s="1"/>
      <c r="O4553" s="475"/>
      <c r="P4553" s="475"/>
      <c r="Q4553" s="475"/>
      <c r="R4553" s="475"/>
      <c r="S4553" s="475"/>
      <c r="T4553" s="475"/>
      <c r="U4553" s="475"/>
      <c r="V4553" s="475"/>
      <c r="W4553" s="475"/>
    </row>
    <row r="4554" spans="2:23" s="97" customFormat="1">
      <c r="B4554" s="96"/>
      <c r="H4554" s="96"/>
      <c r="J4554" s="1"/>
      <c r="K4554" s="1"/>
      <c r="L4554" s="1"/>
      <c r="O4554" s="475"/>
      <c r="P4554" s="475"/>
      <c r="Q4554" s="475"/>
      <c r="R4554" s="475"/>
      <c r="S4554" s="475"/>
      <c r="T4554" s="475"/>
      <c r="U4554" s="475"/>
      <c r="V4554" s="475"/>
      <c r="W4554" s="475"/>
    </row>
    <row r="4555" spans="2:23" s="97" customFormat="1">
      <c r="B4555" s="96"/>
      <c r="H4555" s="96"/>
      <c r="J4555" s="1"/>
      <c r="K4555" s="1"/>
      <c r="L4555" s="1"/>
      <c r="O4555" s="475"/>
      <c r="P4555" s="475"/>
      <c r="Q4555" s="475"/>
      <c r="R4555" s="475"/>
      <c r="S4555" s="475"/>
      <c r="T4555" s="475"/>
      <c r="U4555" s="475"/>
      <c r="V4555" s="475"/>
      <c r="W4555" s="475"/>
    </row>
    <row r="4556" spans="2:23" s="97" customFormat="1">
      <c r="B4556" s="96"/>
      <c r="H4556" s="96"/>
      <c r="J4556" s="1"/>
      <c r="K4556" s="1"/>
      <c r="L4556" s="1"/>
      <c r="O4556" s="475"/>
      <c r="P4556" s="475"/>
      <c r="Q4556" s="475"/>
      <c r="R4556" s="475"/>
      <c r="S4556" s="475"/>
      <c r="T4556" s="475"/>
      <c r="U4556" s="475"/>
      <c r="V4556" s="475"/>
      <c r="W4556" s="475"/>
    </row>
    <row r="4557" spans="2:23" s="97" customFormat="1">
      <c r="B4557" s="96"/>
      <c r="H4557" s="96"/>
      <c r="J4557" s="1"/>
      <c r="K4557" s="1"/>
      <c r="L4557" s="1"/>
      <c r="O4557" s="475"/>
      <c r="P4557" s="475"/>
      <c r="Q4557" s="475"/>
      <c r="R4557" s="475"/>
      <c r="S4557" s="475"/>
      <c r="T4557" s="475"/>
      <c r="U4557" s="475"/>
      <c r="V4557" s="475"/>
      <c r="W4557" s="475"/>
    </row>
    <row r="4558" spans="2:23" s="97" customFormat="1">
      <c r="B4558" s="96"/>
      <c r="H4558" s="96"/>
      <c r="J4558" s="1"/>
      <c r="K4558" s="1"/>
      <c r="L4558" s="1"/>
      <c r="O4558" s="475"/>
      <c r="P4558" s="475"/>
      <c r="Q4558" s="475"/>
      <c r="R4558" s="475"/>
      <c r="S4558" s="475"/>
      <c r="T4558" s="475"/>
      <c r="U4558" s="475"/>
      <c r="V4558" s="475"/>
      <c r="W4558" s="475"/>
    </row>
    <row r="4559" spans="2:23" s="97" customFormat="1">
      <c r="B4559" s="96"/>
      <c r="H4559" s="96"/>
      <c r="J4559" s="1"/>
      <c r="K4559" s="1"/>
      <c r="L4559" s="1"/>
      <c r="O4559" s="475"/>
      <c r="P4559" s="475"/>
      <c r="Q4559" s="475"/>
      <c r="R4559" s="475"/>
      <c r="S4559" s="475"/>
      <c r="T4559" s="475"/>
      <c r="U4559" s="475"/>
      <c r="V4559" s="475"/>
      <c r="W4559" s="475"/>
    </row>
    <row r="4560" spans="2:23" s="97" customFormat="1">
      <c r="B4560" s="96"/>
      <c r="H4560" s="96"/>
      <c r="J4560" s="1"/>
      <c r="K4560" s="1"/>
      <c r="L4560" s="1"/>
      <c r="O4560" s="475"/>
      <c r="P4560" s="475"/>
      <c r="Q4560" s="475"/>
      <c r="R4560" s="475"/>
      <c r="S4560" s="475"/>
      <c r="T4560" s="475"/>
      <c r="U4560" s="475"/>
      <c r="V4560" s="475"/>
      <c r="W4560" s="475"/>
    </row>
    <row r="4561" spans="2:23" s="97" customFormat="1">
      <c r="B4561" s="96"/>
      <c r="H4561" s="96"/>
      <c r="J4561" s="1"/>
      <c r="K4561" s="1"/>
      <c r="L4561" s="1"/>
      <c r="O4561" s="475"/>
      <c r="P4561" s="475"/>
      <c r="Q4561" s="475"/>
      <c r="R4561" s="475"/>
      <c r="S4561" s="475"/>
      <c r="T4561" s="475"/>
      <c r="U4561" s="475"/>
      <c r="V4561" s="475"/>
      <c r="W4561" s="475"/>
    </row>
    <row r="4562" spans="2:23" s="97" customFormat="1">
      <c r="B4562" s="96"/>
      <c r="H4562" s="96"/>
      <c r="J4562" s="1"/>
      <c r="K4562" s="1"/>
      <c r="L4562" s="1"/>
      <c r="O4562" s="475"/>
      <c r="P4562" s="475"/>
      <c r="Q4562" s="475"/>
      <c r="R4562" s="475"/>
      <c r="S4562" s="475"/>
      <c r="T4562" s="475"/>
      <c r="U4562" s="475"/>
      <c r="V4562" s="475"/>
      <c r="W4562" s="475"/>
    </row>
    <row r="4563" spans="2:23" s="97" customFormat="1">
      <c r="B4563" s="96"/>
      <c r="H4563" s="96"/>
      <c r="J4563" s="1"/>
      <c r="K4563" s="1"/>
      <c r="L4563" s="1"/>
      <c r="O4563" s="475"/>
      <c r="P4563" s="475"/>
      <c r="Q4563" s="475"/>
      <c r="R4563" s="475"/>
      <c r="S4563" s="475"/>
      <c r="T4563" s="475"/>
      <c r="U4563" s="475"/>
      <c r="V4563" s="475"/>
      <c r="W4563" s="475"/>
    </row>
    <row r="4564" spans="2:23" s="97" customFormat="1">
      <c r="B4564" s="96"/>
      <c r="H4564" s="96"/>
      <c r="J4564" s="1"/>
      <c r="K4564" s="1"/>
      <c r="L4564" s="1"/>
      <c r="O4564" s="475"/>
      <c r="P4564" s="475"/>
      <c r="Q4564" s="475"/>
      <c r="R4564" s="475"/>
      <c r="S4564" s="475"/>
      <c r="T4564" s="475"/>
      <c r="U4564" s="475"/>
      <c r="V4564" s="475"/>
      <c r="W4564" s="475"/>
    </row>
    <row r="4565" spans="2:23" s="97" customFormat="1">
      <c r="B4565" s="96"/>
      <c r="H4565" s="96"/>
      <c r="J4565" s="1"/>
      <c r="K4565" s="1"/>
      <c r="L4565" s="1"/>
      <c r="O4565" s="475"/>
      <c r="P4565" s="475"/>
      <c r="Q4565" s="475"/>
      <c r="R4565" s="475"/>
      <c r="S4565" s="475"/>
      <c r="T4565" s="475"/>
      <c r="U4565" s="475"/>
      <c r="V4565" s="475"/>
      <c r="W4565" s="475"/>
    </row>
    <row r="4566" spans="2:23" s="97" customFormat="1">
      <c r="B4566" s="96"/>
      <c r="H4566" s="96"/>
      <c r="J4566" s="1"/>
      <c r="K4566" s="1"/>
      <c r="L4566" s="1"/>
      <c r="O4566" s="475"/>
      <c r="P4566" s="475"/>
      <c r="Q4566" s="475"/>
      <c r="R4566" s="475"/>
      <c r="S4566" s="475"/>
      <c r="T4566" s="475"/>
      <c r="U4566" s="475"/>
      <c r="V4566" s="475"/>
      <c r="W4566" s="475"/>
    </row>
    <row r="4567" spans="2:23" s="97" customFormat="1">
      <c r="B4567" s="96"/>
      <c r="H4567" s="96"/>
      <c r="J4567" s="1"/>
      <c r="K4567" s="1"/>
      <c r="L4567" s="1"/>
      <c r="O4567" s="475"/>
      <c r="P4567" s="475"/>
      <c r="Q4567" s="475"/>
      <c r="R4567" s="475"/>
      <c r="S4567" s="475"/>
      <c r="T4567" s="475"/>
      <c r="U4567" s="475"/>
      <c r="V4567" s="475"/>
      <c r="W4567" s="475"/>
    </row>
    <row r="4568" spans="2:23" s="97" customFormat="1">
      <c r="B4568" s="96"/>
      <c r="H4568" s="96"/>
      <c r="J4568" s="1"/>
      <c r="K4568" s="1"/>
      <c r="L4568" s="1"/>
      <c r="O4568" s="475"/>
      <c r="P4568" s="475"/>
      <c r="Q4568" s="475"/>
      <c r="R4568" s="475"/>
      <c r="S4568" s="475"/>
      <c r="T4568" s="475"/>
      <c r="U4568" s="475"/>
      <c r="V4568" s="475"/>
      <c r="W4568" s="475"/>
    </row>
    <row r="4569" spans="2:23" s="97" customFormat="1">
      <c r="B4569" s="96"/>
      <c r="H4569" s="96"/>
      <c r="J4569" s="1"/>
      <c r="K4569" s="1"/>
      <c r="L4569" s="1"/>
      <c r="O4569" s="475"/>
      <c r="P4569" s="475"/>
      <c r="Q4569" s="475"/>
      <c r="R4569" s="475"/>
      <c r="S4569" s="475"/>
      <c r="T4569" s="475"/>
      <c r="U4569" s="475"/>
      <c r="V4569" s="475"/>
      <c r="W4569" s="475"/>
    </row>
    <row r="4570" spans="2:23" s="97" customFormat="1">
      <c r="B4570" s="96"/>
      <c r="H4570" s="96"/>
      <c r="J4570" s="1"/>
      <c r="K4570" s="1"/>
      <c r="L4570" s="1"/>
      <c r="O4570" s="475"/>
      <c r="P4570" s="475"/>
      <c r="Q4570" s="475"/>
      <c r="R4570" s="475"/>
      <c r="S4570" s="475"/>
      <c r="T4570" s="475"/>
      <c r="U4570" s="475"/>
      <c r="V4570" s="475"/>
      <c r="W4570" s="475"/>
    </row>
    <row r="4571" spans="2:23" s="97" customFormat="1">
      <c r="B4571" s="96"/>
      <c r="H4571" s="96"/>
      <c r="J4571" s="1"/>
      <c r="K4571" s="1"/>
      <c r="L4571" s="1"/>
      <c r="O4571" s="475"/>
      <c r="P4571" s="475"/>
      <c r="Q4571" s="475"/>
      <c r="R4571" s="475"/>
      <c r="S4571" s="475"/>
      <c r="T4571" s="475"/>
      <c r="U4571" s="475"/>
      <c r="V4571" s="475"/>
      <c r="W4571" s="475"/>
    </row>
    <row r="4572" spans="2:23" s="97" customFormat="1">
      <c r="B4572" s="96"/>
      <c r="H4572" s="96"/>
      <c r="J4572" s="1"/>
      <c r="K4572" s="1"/>
      <c r="L4572" s="1"/>
      <c r="O4572" s="475"/>
      <c r="P4572" s="475"/>
      <c r="Q4572" s="475"/>
      <c r="R4572" s="475"/>
      <c r="S4572" s="475"/>
      <c r="T4572" s="475"/>
      <c r="U4572" s="475"/>
      <c r="V4572" s="475"/>
      <c r="W4572" s="475"/>
    </row>
    <row r="4573" spans="2:23" s="97" customFormat="1">
      <c r="B4573" s="96"/>
      <c r="H4573" s="96"/>
      <c r="J4573" s="1"/>
      <c r="K4573" s="1"/>
      <c r="L4573" s="1"/>
      <c r="O4573" s="475"/>
      <c r="P4573" s="475"/>
      <c r="Q4573" s="475"/>
      <c r="R4573" s="475"/>
      <c r="S4573" s="475"/>
      <c r="T4573" s="475"/>
      <c r="U4573" s="475"/>
      <c r="V4573" s="475"/>
      <c r="W4573" s="475"/>
    </row>
    <row r="4574" spans="2:23" s="97" customFormat="1">
      <c r="B4574" s="96"/>
      <c r="H4574" s="96"/>
      <c r="J4574" s="1"/>
      <c r="K4574" s="1"/>
      <c r="L4574" s="1"/>
      <c r="O4574" s="475"/>
      <c r="P4574" s="475"/>
      <c r="Q4574" s="475"/>
      <c r="R4574" s="475"/>
      <c r="S4574" s="475"/>
      <c r="T4574" s="475"/>
      <c r="U4574" s="475"/>
      <c r="V4574" s="475"/>
      <c r="W4574" s="475"/>
    </row>
    <row r="4575" spans="2:23" s="97" customFormat="1">
      <c r="B4575" s="96"/>
      <c r="H4575" s="96"/>
      <c r="J4575" s="1"/>
      <c r="K4575" s="1"/>
      <c r="L4575" s="1"/>
      <c r="O4575" s="475"/>
      <c r="P4575" s="475"/>
      <c r="Q4575" s="475"/>
      <c r="R4575" s="475"/>
      <c r="S4575" s="475"/>
      <c r="T4575" s="475"/>
      <c r="U4575" s="475"/>
      <c r="V4575" s="475"/>
      <c r="W4575" s="475"/>
    </row>
    <row r="4576" spans="2:23" s="97" customFormat="1">
      <c r="B4576" s="96"/>
      <c r="H4576" s="96"/>
      <c r="J4576" s="1"/>
      <c r="K4576" s="1"/>
      <c r="L4576" s="1"/>
      <c r="O4576" s="475"/>
      <c r="P4576" s="475"/>
      <c r="Q4576" s="475"/>
      <c r="R4576" s="475"/>
      <c r="S4576" s="475"/>
      <c r="T4576" s="475"/>
      <c r="U4576" s="475"/>
      <c r="V4576" s="475"/>
      <c r="W4576" s="475"/>
    </row>
    <row r="4577" spans="2:23" s="97" customFormat="1">
      <c r="B4577" s="96"/>
      <c r="H4577" s="96"/>
      <c r="J4577" s="1"/>
      <c r="K4577" s="1"/>
      <c r="L4577" s="1"/>
      <c r="O4577" s="475"/>
      <c r="P4577" s="475"/>
      <c r="Q4577" s="475"/>
      <c r="R4577" s="475"/>
      <c r="S4577" s="475"/>
      <c r="T4577" s="475"/>
      <c r="U4577" s="475"/>
      <c r="V4577" s="475"/>
      <c r="W4577" s="475"/>
    </row>
    <row r="4578" spans="2:23" s="97" customFormat="1">
      <c r="B4578" s="96"/>
      <c r="H4578" s="96"/>
      <c r="J4578" s="1"/>
      <c r="K4578" s="1"/>
      <c r="L4578" s="1"/>
      <c r="O4578" s="475"/>
      <c r="P4578" s="475"/>
      <c r="Q4578" s="475"/>
      <c r="R4578" s="475"/>
      <c r="S4578" s="475"/>
      <c r="T4578" s="475"/>
      <c r="U4578" s="475"/>
      <c r="V4578" s="475"/>
      <c r="W4578" s="475"/>
    </row>
    <row r="4579" spans="2:23" s="97" customFormat="1">
      <c r="B4579" s="96"/>
      <c r="H4579" s="96"/>
      <c r="J4579" s="1"/>
      <c r="K4579" s="1"/>
      <c r="L4579" s="1"/>
      <c r="O4579" s="475"/>
      <c r="P4579" s="475"/>
      <c r="Q4579" s="475"/>
      <c r="R4579" s="475"/>
      <c r="S4579" s="475"/>
      <c r="T4579" s="475"/>
      <c r="U4579" s="475"/>
      <c r="V4579" s="475"/>
      <c r="W4579" s="475"/>
    </row>
    <row r="4580" spans="2:23" s="97" customFormat="1">
      <c r="B4580" s="96"/>
      <c r="H4580" s="96"/>
      <c r="J4580" s="1"/>
      <c r="K4580" s="1"/>
      <c r="L4580" s="1"/>
      <c r="O4580" s="475"/>
      <c r="P4580" s="475"/>
      <c r="Q4580" s="475"/>
      <c r="R4580" s="475"/>
      <c r="S4580" s="475"/>
      <c r="T4580" s="475"/>
      <c r="U4580" s="475"/>
      <c r="V4580" s="475"/>
      <c r="W4580" s="475"/>
    </row>
    <row r="4581" spans="2:23" s="97" customFormat="1">
      <c r="B4581" s="96"/>
      <c r="H4581" s="96"/>
      <c r="J4581" s="1"/>
      <c r="K4581" s="1"/>
      <c r="L4581" s="1"/>
      <c r="O4581" s="475"/>
      <c r="P4581" s="475"/>
      <c r="Q4581" s="475"/>
      <c r="R4581" s="475"/>
      <c r="S4581" s="475"/>
      <c r="T4581" s="475"/>
      <c r="U4581" s="475"/>
      <c r="V4581" s="475"/>
      <c r="W4581" s="475"/>
    </row>
    <row r="4582" spans="2:23" s="97" customFormat="1">
      <c r="B4582" s="96"/>
      <c r="H4582" s="96"/>
      <c r="J4582" s="1"/>
      <c r="K4582" s="1"/>
      <c r="L4582" s="1"/>
      <c r="O4582" s="475"/>
      <c r="P4582" s="475"/>
      <c r="Q4582" s="475"/>
      <c r="R4582" s="475"/>
      <c r="S4582" s="475"/>
      <c r="T4582" s="475"/>
      <c r="U4582" s="475"/>
      <c r="V4582" s="475"/>
      <c r="W4582" s="475"/>
    </row>
    <row r="4583" spans="2:23" s="97" customFormat="1">
      <c r="B4583" s="96"/>
      <c r="H4583" s="96"/>
      <c r="J4583" s="1"/>
      <c r="K4583" s="1"/>
      <c r="L4583" s="1"/>
      <c r="O4583" s="475"/>
      <c r="P4583" s="475"/>
      <c r="Q4583" s="475"/>
      <c r="R4583" s="475"/>
      <c r="S4583" s="475"/>
      <c r="T4583" s="475"/>
      <c r="U4583" s="475"/>
      <c r="V4583" s="475"/>
      <c r="W4583" s="475"/>
    </row>
    <row r="4584" spans="2:23" s="97" customFormat="1">
      <c r="B4584" s="96"/>
      <c r="H4584" s="96"/>
      <c r="J4584" s="1"/>
      <c r="K4584" s="1"/>
      <c r="L4584" s="1"/>
      <c r="O4584" s="475"/>
      <c r="P4584" s="475"/>
      <c r="Q4584" s="475"/>
      <c r="R4584" s="475"/>
      <c r="S4584" s="475"/>
      <c r="T4584" s="475"/>
      <c r="U4584" s="475"/>
      <c r="V4584" s="475"/>
      <c r="W4584" s="475"/>
    </row>
    <row r="4585" spans="2:23" s="97" customFormat="1">
      <c r="B4585" s="96"/>
      <c r="H4585" s="96"/>
      <c r="J4585" s="1"/>
      <c r="K4585" s="1"/>
      <c r="L4585" s="1"/>
      <c r="O4585" s="475"/>
      <c r="P4585" s="475"/>
      <c r="Q4585" s="475"/>
      <c r="R4585" s="475"/>
      <c r="S4585" s="475"/>
      <c r="T4585" s="475"/>
      <c r="U4585" s="475"/>
      <c r="V4585" s="475"/>
      <c r="W4585" s="475"/>
    </row>
    <row r="4586" spans="2:23" s="97" customFormat="1">
      <c r="B4586" s="96"/>
      <c r="H4586" s="96"/>
      <c r="J4586" s="1"/>
      <c r="K4586" s="1"/>
      <c r="L4586" s="1"/>
      <c r="O4586" s="475"/>
      <c r="P4586" s="475"/>
      <c r="Q4586" s="475"/>
      <c r="R4586" s="475"/>
      <c r="S4586" s="475"/>
      <c r="T4586" s="475"/>
      <c r="U4586" s="475"/>
      <c r="V4586" s="475"/>
      <c r="W4586" s="475"/>
    </row>
    <row r="4587" spans="2:23" s="97" customFormat="1">
      <c r="B4587" s="96"/>
      <c r="H4587" s="96"/>
      <c r="J4587" s="1"/>
      <c r="K4587" s="1"/>
      <c r="L4587" s="1"/>
      <c r="O4587" s="475"/>
      <c r="P4587" s="475"/>
      <c r="Q4587" s="475"/>
      <c r="R4587" s="475"/>
      <c r="S4587" s="475"/>
      <c r="T4587" s="475"/>
      <c r="U4587" s="475"/>
      <c r="V4587" s="475"/>
      <c r="W4587" s="475"/>
    </row>
    <row r="4588" spans="2:23" s="97" customFormat="1">
      <c r="B4588" s="96"/>
      <c r="H4588" s="96"/>
      <c r="J4588" s="1"/>
      <c r="K4588" s="1"/>
      <c r="L4588" s="1"/>
      <c r="O4588" s="475"/>
      <c r="P4588" s="475"/>
      <c r="Q4588" s="475"/>
      <c r="R4588" s="475"/>
      <c r="S4588" s="475"/>
      <c r="T4588" s="475"/>
      <c r="U4588" s="475"/>
      <c r="V4588" s="475"/>
      <c r="W4588" s="475"/>
    </row>
    <row r="4589" spans="2:23" s="97" customFormat="1">
      <c r="B4589" s="96"/>
      <c r="H4589" s="96"/>
      <c r="J4589" s="1"/>
      <c r="K4589" s="1"/>
      <c r="L4589" s="1"/>
      <c r="O4589" s="475"/>
      <c r="P4589" s="475"/>
      <c r="Q4589" s="475"/>
      <c r="R4589" s="475"/>
      <c r="S4589" s="475"/>
      <c r="T4589" s="475"/>
      <c r="U4589" s="475"/>
      <c r="V4589" s="475"/>
      <c r="W4589" s="475"/>
    </row>
    <row r="4590" spans="2:23" s="97" customFormat="1">
      <c r="B4590" s="96"/>
      <c r="H4590" s="96"/>
      <c r="J4590" s="1"/>
      <c r="K4590" s="1"/>
      <c r="L4590" s="1"/>
      <c r="O4590" s="475"/>
      <c r="P4590" s="475"/>
      <c r="Q4590" s="475"/>
      <c r="R4590" s="475"/>
      <c r="S4590" s="475"/>
      <c r="T4590" s="475"/>
      <c r="U4590" s="475"/>
      <c r="V4590" s="475"/>
      <c r="W4590" s="475"/>
    </row>
    <row r="4591" spans="2:23" s="97" customFormat="1">
      <c r="B4591" s="96"/>
      <c r="H4591" s="96"/>
      <c r="J4591" s="1"/>
      <c r="K4591" s="1"/>
      <c r="L4591" s="1"/>
      <c r="O4591" s="475"/>
      <c r="P4591" s="475"/>
      <c r="Q4591" s="475"/>
      <c r="R4591" s="475"/>
      <c r="S4591" s="475"/>
      <c r="T4591" s="475"/>
      <c r="U4591" s="475"/>
      <c r="V4591" s="475"/>
      <c r="W4591" s="475"/>
    </row>
    <row r="4592" spans="2:23" s="97" customFormat="1">
      <c r="B4592" s="96"/>
      <c r="H4592" s="96"/>
      <c r="J4592" s="1"/>
      <c r="K4592" s="1"/>
      <c r="L4592" s="1"/>
      <c r="O4592" s="475"/>
      <c r="P4592" s="475"/>
      <c r="Q4592" s="475"/>
      <c r="R4592" s="475"/>
      <c r="S4592" s="475"/>
      <c r="T4592" s="475"/>
      <c r="U4592" s="475"/>
      <c r="V4592" s="475"/>
      <c r="W4592" s="475"/>
    </row>
    <row r="4593" spans="2:23" s="97" customFormat="1">
      <c r="B4593" s="96"/>
      <c r="H4593" s="96"/>
      <c r="J4593" s="1"/>
      <c r="K4593" s="1"/>
      <c r="L4593" s="1"/>
      <c r="O4593" s="475"/>
      <c r="P4593" s="475"/>
      <c r="Q4593" s="475"/>
      <c r="R4593" s="475"/>
      <c r="S4593" s="475"/>
      <c r="T4593" s="475"/>
      <c r="U4593" s="475"/>
      <c r="V4593" s="475"/>
      <c r="W4593" s="475"/>
    </row>
    <row r="4594" spans="2:23" s="97" customFormat="1">
      <c r="B4594" s="96"/>
      <c r="H4594" s="96"/>
      <c r="J4594" s="1"/>
      <c r="K4594" s="1"/>
      <c r="L4594" s="1"/>
      <c r="O4594" s="475"/>
      <c r="P4594" s="475"/>
      <c r="Q4594" s="475"/>
      <c r="R4594" s="475"/>
      <c r="S4594" s="475"/>
      <c r="T4594" s="475"/>
      <c r="U4594" s="475"/>
      <c r="V4594" s="475"/>
      <c r="W4594" s="475"/>
    </row>
    <row r="4595" spans="2:23" s="97" customFormat="1">
      <c r="B4595" s="96"/>
      <c r="H4595" s="96"/>
      <c r="J4595" s="1"/>
      <c r="K4595" s="1"/>
      <c r="L4595" s="1"/>
      <c r="O4595" s="475"/>
      <c r="P4595" s="475"/>
      <c r="Q4595" s="475"/>
      <c r="R4595" s="475"/>
      <c r="S4595" s="475"/>
      <c r="T4595" s="475"/>
      <c r="U4595" s="475"/>
      <c r="V4595" s="475"/>
      <c r="W4595" s="475"/>
    </row>
    <row r="4596" spans="2:23" s="97" customFormat="1">
      <c r="B4596" s="96"/>
      <c r="H4596" s="96"/>
      <c r="J4596" s="1"/>
      <c r="K4596" s="1"/>
      <c r="L4596" s="1"/>
      <c r="O4596" s="475"/>
      <c r="P4596" s="475"/>
      <c r="Q4596" s="475"/>
      <c r="R4596" s="475"/>
      <c r="S4596" s="475"/>
      <c r="T4596" s="475"/>
      <c r="U4596" s="475"/>
      <c r="V4596" s="475"/>
      <c r="W4596" s="475"/>
    </row>
    <row r="4597" spans="2:23" s="97" customFormat="1">
      <c r="B4597" s="96"/>
      <c r="H4597" s="96"/>
      <c r="J4597" s="1"/>
      <c r="K4597" s="1"/>
      <c r="L4597" s="1"/>
      <c r="O4597" s="475"/>
      <c r="P4597" s="475"/>
      <c r="Q4597" s="475"/>
      <c r="R4597" s="475"/>
      <c r="S4597" s="475"/>
      <c r="T4597" s="475"/>
      <c r="U4597" s="475"/>
      <c r="V4597" s="475"/>
      <c r="W4597" s="475"/>
    </row>
    <row r="4598" spans="2:23" s="97" customFormat="1">
      <c r="B4598" s="96"/>
      <c r="H4598" s="96"/>
      <c r="J4598" s="1"/>
      <c r="K4598" s="1"/>
      <c r="L4598" s="1"/>
      <c r="O4598" s="475"/>
      <c r="P4598" s="475"/>
      <c r="Q4598" s="475"/>
      <c r="R4598" s="475"/>
      <c r="S4598" s="475"/>
      <c r="T4598" s="475"/>
      <c r="U4598" s="475"/>
      <c r="V4598" s="475"/>
      <c r="W4598" s="475"/>
    </row>
    <row r="4599" spans="2:23" s="97" customFormat="1">
      <c r="B4599" s="96"/>
      <c r="H4599" s="96"/>
      <c r="J4599" s="1"/>
      <c r="K4599" s="1"/>
      <c r="L4599" s="1"/>
      <c r="O4599" s="475"/>
      <c r="P4599" s="475"/>
      <c r="Q4599" s="475"/>
      <c r="R4599" s="475"/>
      <c r="S4599" s="475"/>
      <c r="T4599" s="475"/>
      <c r="U4599" s="475"/>
      <c r="V4599" s="475"/>
      <c r="W4599" s="475"/>
    </row>
    <row r="4600" spans="2:23" s="97" customFormat="1">
      <c r="B4600" s="96"/>
      <c r="H4600" s="96"/>
      <c r="J4600" s="1"/>
      <c r="K4600" s="1"/>
      <c r="L4600" s="1"/>
      <c r="O4600" s="475"/>
      <c r="P4600" s="475"/>
      <c r="Q4600" s="475"/>
      <c r="R4600" s="475"/>
      <c r="S4600" s="475"/>
      <c r="T4600" s="475"/>
      <c r="U4600" s="475"/>
      <c r="V4600" s="475"/>
      <c r="W4600" s="475"/>
    </row>
    <row r="4601" spans="2:23" s="97" customFormat="1">
      <c r="B4601" s="96"/>
      <c r="H4601" s="96"/>
      <c r="J4601" s="1"/>
      <c r="K4601" s="1"/>
      <c r="L4601" s="1"/>
      <c r="O4601" s="475"/>
      <c r="P4601" s="475"/>
      <c r="Q4601" s="475"/>
      <c r="R4601" s="475"/>
      <c r="S4601" s="475"/>
      <c r="T4601" s="475"/>
      <c r="U4601" s="475"/>
      <c r="V4601" s="475"/>
      <c r="W4601" s="475"/>
    </row>
    <row r="4602" spans="2:23" s="97" customFormat="1">
      <c r="B4602" s="96"/>
      <c r="H4602" s="96"/>
      <c r="J4602" s="1"/>
      <c r="K4602" s="1"/>
      <c r="L4602" s="1"/>
      <c r="O4602" s="475"/>
      <c r="P4602" s="475"/>
      <c r="Q4602" s="475"/>
      <c r="R4602" s="475"/>
      <c r="S4602" s="475"/>
      <c r="T4602" s="475"/>
      <c r="U4602" s="475"/>
      <c r="V4602" s="475"/>
      <c r="W4602" s="475"/>
    </row>
    <row r="4603" spans="2:23" s="97" customFormat="1">
      <c r="B4603" s="96"/>
      <c r="H4603" s="96"/>
      <c r="J4603" s="1"/>
      <c r="K4603" s="1"/>
      <c r="L4603" s="1"/>
      <c r="O4603" s="475"/>
      <c r="P4603" s="475"/>
      <c r="Q4603" s="475"/>
      <c r="R4603" s="475"/>
      <c r="S4603" s="475"/>
      <c r="T4603" s="475"/>
      <c r="U4603" s="475"/>
      <c r="V4603" s="475"/>
      <c r="W4603" s="475"/>
    </row>
    <row r="4604" spans="2:23" s="97" customFormat="1">
      <c r="B4604" s="96"/>
      <c r="H4604" s="96"/>
      <c r="J4604" s="1"/>
      <c r="K4604" s="1"/>
      <c r="L4604" s="1"/>
      <c r="O4604" s="475"/>
      <c r="P4604" s="475"/>
      <c r="Q4604" s="475"/>
      <c r="R4604" s="475"/>
      <c r="S4604" s="475"/>
      <c r="T4604" s="475"/>
      <c r="U4604" s="475"/>
      <c r="V4604" s="475"/>
      <c r="W4604" s="475"/>
    </row>
    <row r="4605" spans="2:23" s="97" customFormat="1">
      <c r="B4605" s="96"/>
      <c r="H4605" s="96"/>
      <c r="J4605" s="1"/>
      <c r="K4605" s="1"/>
      <c r="L4605" s="1"/>
      <c r="O4605" s="475"/>
      <c r="P4605" s="475"/>
      <c r="Q4605" s="475"/>
      <c r="R4605" s="475"/>
      <c r="S4605" s="475"/>
      <c r="T4605" s="475"/>
      <c r="U4605" s="475"/>
      <c r="V4605" s="475"/>
      <c r="W4605" s="475"/>
    </row>
    <row r="4606" spans="2:23" s="97" customFormat="1">
      <c r="B4606" s="96"/>
      <c r="H4606" s="96"/>
      <c r="J4606" s="1"/>
      <c r="K4606" s="1"/>
      <c r="L4606" s="1"/>
      <c r="O4606" s="475"/>
      <c r="P4606" s="475"/>
      <c r="Q4606" s="475"/>
      <c r="R4606" s="475"/>
      <c r="S4606" s="475"/>
      <c r="T4606" s="475"/>
      <c r="U4606" s="475"/>
      <c r="V4606" s="475"/>
      <c r="W4606" s="475"/>
    </row>
    <row r="4607" spans="2:23" s="97" customFormat="1">
      <c r="B4607" s="96"/>
      <c r="H4607" s="96"/>
      <c r="J4607" s="1"/>
      <c r="K4607" s="1"/>
      <c r="L4607" s="1"/>
      <c r="O4607" s="475"/>
      <c r="P4607" s="475"/>
      <c r="Q4607" s="475"/>
      <c r="R4607" s="475"/>
      <c r="S4607" s="475"/>
      <c r="T4607" s="475"/>
      <c r="U4607" s="475"/>
      <c r="V4607" s="475"/>
      <c r="W4607" s="475"/>
    </row>
    <row r="4608" spans="2:23" s="97" customFormat="1">
      <c r="B4608" s="96"/>
      <c r="H4608" s="96"/>
      <c r="J4608" s="1"/>
      <c r="K4608" s="1"/>
      <c r="L4608" s="1"/>
      <c r="O4608" s="475"/>
      <c r="P4608" s="475"/>
      <c r="Q4608" s="475"/>
      <c r="R4608" s="475"/>
      <c r="S4608" s="475"/>
      <c r="T4608" s="475"/>
      <c r="U4608" s="475"/>
      <c r="V4608" s="475"/>
      <c r="W4608" s="475"/>
    </row>
    <row r="4609" spans="2:23" s="97" customFormat="1">
      <c r="B4609" s="96"/>
      <c r="H4609" s="96"/>
      <c r="J4609" s="1"/>
      <c r="K4609" s="1"/>
      <c r="L4609" s="1"/>
      <c r="O4609" s="475"/>
      <c r="P4609" s="475"/>
      <c r="Q4609" s="475"/>
      <c r="R4609" s="475"/>
      <c r="S4609" s="475"/>
      <c r="T4609" s="475"/>
      <c r="U4609" s="475"/>
      <c r="V4609" s="475"/>
      <c r="W4609" s="475"/>
    </row>
    <row r="4610" spans="2:23" s="97" customFormat="1">
      <c r="B4610" s="96"/>
      <c r="H4610" s="96"/>
      <c r="J4610" s="1"/>
      <c r="K4610" s="1"/>
      <c r="L4610" s="1"/>
      <c r="O4610" s="475"/>
      <c r="P4610" s="475"/>
      <c r="Q4610" s="475"/>
      <c r="R4610" s="475"/>
      <c r="S4610" s="475"/>
      <c r="T4610" s="475"/>
      <c r="U4610" s="475"/>
      <c r="V4610" s="475"/>
      <c r="W4610" s="475"/>
    </row>
    <row r="4611" spans="2:23" s="97" customFormat="1">
      <c r="B4611" s="96"/>
      <c r="H4611" s="96"/>
      <c r="J4611" s="1"/>
      <c r="K4611" s="1"/>
      <c r="L4611" s="1"/>
      <c r="O4611" s="475"/>
      <c r="P4611" s="475"/>
      <c r="Q4611" s="475"/>
      <c r="R4611" s="475"/>
      <c r="S4611" s="475"/>
      <c r="T4611" s="475"/>
      <c r="U4611" s="475"/>
      <c r="V4611" s="475"/>
      <c r="W4611" s="475"/>
    </row>
    <row r="4612" spans="2:23" s="97" customFormat="1">
      <c r="B4612" s="96"/>
      <c r="H4612" s="96"/>
      <c r="J4612" s="1"/>
      <c r="K4612" s="1"/>
      <c r="L4612" s="1"/>
      <c r="O4612" s="475"/>
      <c r="P4612" s="475"/>
      <c r="Q4612" s="475"/>
      <c r="R4612" s="475"/>
      <c r="S4612" s="475"/>
      <c r="T4612" s="475"/>
      <c r="U4612" s="475"/>
      <c r="V4612" s="475"/>
      <c r="W4612" s="475"/>
    </row>
    <row r="4613" spans="2:23" s="97" customFormat="1">
      <c r="B4613" s="96"/>
      <c r="H4613" s="96"/>
      <c r="J4613" s="1"/>
      <c r="K4613" s="1"/>
      <c r="L4613" s="1"/>
      <c r="O4613" s="475"/>
      <c r="P4613" s="475"/>
      <c r="Q4613" s="475"/>
      <c r="R4613" s="475"/>
      <c r="S4613" s="475"/>
      <c r="T4613" s="475"/>
      <c r="U4613" s="475"/>
      <c r="V4613" s="475"/>
      <c r="W4613" s="475"/>
    </row>
    <row r="4614" spans="2:23" s="97" customFormat="1">
      <c r="B4614" s="96"/>
      <c r="H4614" s="96"/>
      <c r="J4614" s="1"/>
      <c r="K4614" s="1"/>
      <c r="L4614" s="1"/>
      <c r="O4614" s="475"/>
      <c r="P4614" s="475"/>
      <c r="Q4614" s="475"/>
      <c r="R4614" s="475"/>
      <c r="S4614" s="475"/>
      <c r="T4614" s="475"/>
      <c r="U4614" s="475"/>
      <c r="V4614" s="475"/>
      <c r="W4614" s="475"/>
    </row>
    <row r="4615" spans="2:23" s="97" customFormat="1">
      <c r="B4615" s="96"/>
      <c r="H4615" s="96"/>
      <c r="J4615" s="1"/>
      <c r="K4615" s="1"/>
      <c r="L4615" s="1"/>
      <c r="O4615" s="475"/>
      <c r="P4615" s="475"/>
      <c r="Q4615" s="475"/>
      <c r="R4615" s="475"/>
      <c r="S4615" s="475"/>
      <c r="T4615" s="475"/>
      <c r="U4615" s="475"/>
      <c r="V4615" s="475"/>
      <c r="W4615" s="475"/>
    </row>
    <row r="4616" spans="2:23" s="97" customFormat="1">
      <c r="B4616" s="96"/>
      <c r="H4616" s="96"/>
      <c r="J4616" s="1"/>
      <c r="K4616" s="1"/>
      <c r="L4616" s="1"/>
      <c r="O4616" s="475"/>
      <c r="P4616" s="475"/>
      <c r="Q4616" s="475"/>
      <c r="R4616" s="475"/>
      <c r="S4616" s="475"/>
      <c r="T4616" s="475"/>
      <c r="U4616" s="475"/>
      <c r="V4616" s="475"/>
      <c r="W4616" s="475"/>
    </row>
    <row r="4617" spans="2:23" s="97" customFormat="1">
      <c r="B4617" s="96"/>
      <c r="H4617" s="96"/>
      <c r="J4617" s="1"/>
      <c r="K4617" s="1"/>
      <c r="L4617" s="1"/>
      <c r="O4617" s="475"/>
      <c r="P4617" s="475"/>
      <c r="Q4617" s="475"/>
      <c r="R4617" s="475"/>
      <c r="S4617" s="475"/>
      <c r="T4617" s="475"/>
      <c r="U4617" s="475"/>
      <c r="V4617" s="475"/>
      <c r="W4617" s="475"/>
    </row>
    <row r="4618" spans="2:23" s="97" customFormat="1">
      <c r="B4618" s="96"/>
      <c r="H4618" s="96"/>
      <c r="J4618" s="1"/>
      <c r="K4618" s="1"/>
      <c r="L4618" s="1"/>
      <c r="O4618" s="475"/>
      <c r="P4618" s="475"/>
      <c r="Q4618" s="475"/>
      <c r="R4618" s="475"/>
      <c r="S4618" s="475"/>
      <c r="T4618" s="475"/>
      <c r="U4618" s="475"/>
      <c r="V4618" s="475"/>
      <c r="W4618" s="475"/>
    </row>
    <row r="4619" spans="2:23" s="97" customFormat="1">
      <c r="B4619" s="96"/>
      <c r="H4619" s="96"/>
      <c r="J4619" s="1"/>
      <c r="K4619" s="1"/>
      <c r="L4619" s="1"/>
      <c r="O4619" s="475"/>
      <c r="P4619" s="475"/>
      <c r="Q4619" s="475"/>
      <c r="R4619" s="475"/>
      <c r="S4619" s="475"/>
      <c r="T4619" s="475"/>
      <c r="U4619" s="475"/>
      <c r="V4619" s="475"/>
      <c r="W4619" s="475"/>
    </row>
    <row r="4620" spans="2:23" s="97" customFormat="1">
      <c r="B4620" s="96"/>
      <c r="H4620" s="96"/>
      <c r="J4620" s="1"/>
      <c r="K4620" s="1"/>
      <c r="L4620" s="1"/>
      <c r="O4620" s="475"/>
      <c r="P4620" s="475"/>
      <c r="Q4620" s="475"/>
      <c r="R4620" s="475"/>
      <c r="S4620" s="475"/>
      <c r="T4620" s="475"/>
      <c r="U4620" s="475"/>
      <c r="V4620" s="475"/>
      <c r="W4620" s="475"/>
    </row>
    <row r="4621" spans="2:23" s="97" customFormat="1">
      <c r="B4621" s="96"/>
      <c r="H4621" s="96"/>
      <c r="J4621" s="1"/>
      <c r="K4621" s="1"/>
      <c r="L4621" s="1"/>
      <c r="O4621" s="475"/>
      <c r="P4621" s="475"/>
      <c r="Q4621" s="475"/>
      <c r="R4621" s="475"/>
      <c r="S4621" s="475"/>
      <c r="T4621" s="475"/>
      <c r="U4621" s="475"/>
      <c r="V4621" s="475"/>
      <c r="W4621" s="475"/>
    </row>
    <row r="4622" spans="2:23" s="97" customFormat="1">
      <c r="B4622" s="96"/>
      <c r="H4622" s="96"/>
      <c r="J4622" s="1"/>
      <c r="K4622" s="1"/>
      <c r="L4622" s="1"/>
      <c r="O4622" s="475"/>
      <c r="P4622" s="475"/>
      <c r="Q4622" s="475"/>
      <c r="R4622" s="475"/>
      <c r="S4622" s="475"/>
      <c r="T4622" s="475"/>
      <c r="U4622" s="475"/>
      <c r="V4622" s="475"/>
      <c r="W4622" s="475"/>
    </row>
    <row r="4623" spans="2:23" s="97" customFormat="1">
      <c r="B4623" s="96"/>
      <c r="H4623" s="96"/>
      <c r="J4623" s="1"/>
      <c r="K4623" s="1"/>
      <c r="L4623" s="1"/>
      <c r="O4623" s="475"/>
      <c r="P4623" s="475"/>
      <c r="Q4623" s="475"/>
      <c r="R4623" s="475"/>
      <c r="S4623" s="475"/>
      <c r="T4623" s="475"/>
      <c r="U4623" s="475"/>
      <c r="V4623" s="475"/>
      <c r="W4623" s="475"/>
    </row>
    <row r="4624" spans="2:23" s="97" customFormat="1">
      <c r="B4624" s="96"/>
      <c r="H4624" s="96"/>
      <c r="J4624" s="1"/>
      <c r="K4624" s="1"/>
      <c r="L4624" s="1"/>
      <c r="O4624" s="475"/>
      <c r="P4624" s="475"/>
      <c r="Q4624" s="475"/>
      <c r="R4624" s="475"/>
      <c r="S4624" s="475"/>
      <c r="T4624" s="475"/>
      <c r="U4624" s="475"/>
      <c r="V4624" s="475"/>
      <c r="W4624" s="475"/>
    </row>
    <row r="4625" spans="2:23" s="97" customFormat="1">
      <c r="B4625" s="96"/>
      <c r="H4625" s="96"/>
      <c r="J4625" s="1"/>
      <c r="K4625" s="1"/>
      <c r="L4625" s="1"/>
      <c r="O4625" s="475"/>
      <c r="P4625" s="475"/>
      <c r="Q4625" s="475"/>
      <c r="R4625" s="475"/>
      <c r="S4625" s="475"/>
      <c r="T4625" s="475"/>
      <c r="U4625" s="475"/>
      <c r="V4625" s="475"/>
      <c r="W4625" s="475"/>
    </row>
    <row r="4626" spans="2:23" s="97" customFormat="1">
      <c r="B4626" s="96"/>
      <c r="H4626" s="96"/>
      <c r="J4626" s="1"/>
      <c r="K4626" s="1"/>
      <c r="L4626" s="1"/>
      <c r="O4626" s="475"/>
      <c r="P4626" s="475"/>
      <c r="Q4626" s="475"/>
      <c r="R4626" s="475"/>
      <c r="S4626" s="475"/>
      <c r="T4626" s="475"/>
      <c r="U4626" s="475"/>
      <c r="V4626" s="475"/>
      <c r="W4626" s="475"/>
    </row>
    <row r="4627" spans="2:23" s="97" customFormat="1">
      <c r="B4627" s="96"/>
      <c r="H4627" s="96"/>
      <c r="J4627" s="1"/>
      <c r="K4627" s="1"/>
      <c r="L4627" s="1"/>
      <c r="O4627" s="475"/>
      <c r="P4627" s="475"/>
      <c r="Q4627" s="475"/>
      <c r="R4627" s="475"/>
      <c r="S4627" s="475"/>
      <c r="T4627" s="475"/>
      <c r="U4627" s="475"/>
      <c r="V4627" s="475"/>
      <c r="W4627" s="475"/>
    </row>
    <row r="4628" spans="2:23" s="97" customFormat="1">
      <c r="B4628" s="96"/>
      <c r="H4628" s="96"/>
      <c r="J4628" s="1"/>
      <c r="K4628" s="1"/>
      <c r="L4628" s="1"/>
      <c r="O4628" s="475"/>
      <c r="P4628" s="475"/>
      <c r="Q4628" s="475"/>
      <c r="R4628" s="475"/>
      <c r="S4628" s="475"/>
      <c r="T4628" s="475"/>
      <c r="U4628" s="475"/>
      <c r="V4628" s="475"/>
      <c r="W4628" s="475"/>
    </row>
    <row r="4629" spans="2:23" s="97" customFormat="1">
      <c r="B4629" s="96"/>
      <c r="H4629" s="96"/>
      <c r="J4629" s="1"/>
      <c r="K4629" s="1"/>
      <c r="L4629" s="1"/>
      <c r="O4629" s="475"/>
      <c r="P4629" s="475"/>
      <c r="Q4629" s="475"/>
      <c r="R4629" s="475"/>
      <c r="S4629" s="475"/>
      <c r="T4629" s="475"/>
      <c r="U4629" s="475"/>
      <c r="V4629" s="475"/>
      <c r="W4629" s="475"/>
    </row>
    <row r="4630" spans="2:23" s="97" customFormat="1">
      <c r="B4630" s="96"/>
      <c r="H4630" s="96"/>
      <c r="J4630" s="1"/>
      <c r="K4630" s="1"/>
      <c r="L4630" s="1"/>
      <c r="O4630" s="475"/>
      <c r="P4630" s="475"/>
      <c r="Q4630" s="475"/>
      <c r="R4630" s="475"/>
      <c r="S4630" s="475"/>
      <c r="T4630" s="475"/>
      <c r="U4630" s="475"/>
      <c r="V4630" s="475"/>
      <c r="W4630" s="475"/>
    </row>
    <row r="4631" spans="2:23" s="97" customFormat="1">
      <c r="B4631" s="96"/>
      <c r="H4631" s="96"/>
      <c r="J4631" s="1"/>
      <c r="K4631" s="1"/>
      <c r="L4631" s="1"/>
      <c r="O4631" s="475"/>
      <c r="P4631" s="475"/>
      <c r="Q4631" s="475"/>
      <c r="R4631" s="475"/>
      <c r="S4631" s="475"/>
      <c r="T4631" s="475"/>
      <c r="U4631" s="475"/>
      <c r="V4631" s="475"/>
      <c r="W4631" s="475"/>
    </row>
    <row r="4632" spans="2:23" s="97" customFormat="1">
      <c r="B4632" s="96"/>
      <c r="H4632" s="96"/>
      <c r="J4632" s="1"/>
      <c r="K4632" s="1"/>
      <c r="L4632" s="1"/>
      <c r="O4632" s="475"/>
      <c r="P4632" s="475"/>
      <c r="Q4632" s="475"/>
      <c r="R4632" s="475"/>
      <c r="S4632" s="475"/>
      <c r="T4632" s="475"/>
      <c r="U4632" s="475"/>
      <c r="V4632" s="475"/>
      <c r="W4632" s="475"/>
    </row>
    <row r="4633" spans="2:23" s="97" customFormat="1">
      <c r="B4633" s="96"/>
      <c r="H4633" s="96"/>
      <c r="J4633" s="1"/>
      <c r="K4633" s="1"/>
      <c r="L4633" s="1"/>
      <c r="O4633" s="475"/>
      <c r="P4633" s="475"/>
      <c r="Q4633" s="475"/>
      <c r="R4633" s="475"/>
      <c r="S4633" s="475"/>
      <c r="T4633" s="475"/>
      <c r="U4633" s="475"/>
      <c r="V4633" s="475"/>
      <c r="W4633" s="475"/>
    </row>
    <row r="4634" spans="2:23" s="97" customFormat="1">
      <c r="B4634" s="96"/>
      <c r="H4634" s="96"/>
      <c r="J4634" s="1"/>
      <c r="K4634" s="1"/>
      <c r="L4634" s="1"/>
      <c r="O4634" s="475"/>
      <c r="P4634" s="475"/>
      <c r="Q4634" s="475"/>
      <c r="R4634" s="475"/>
      <c r="S4634" s="475"/>
      <c r="T4634" s="475"/>
      <c r="U4634" s="475"/>
      <c r="V4634" s="475"/>
      <c r="W4634" s="475"/>
    </row>
    <row r="4635" spans="2:23" s="97" customFormat="1">
      <c r="B4635" s="96"/>
      <c r="H4635" s="96"/>
      <c r="J4635" s="1"/>
      <c r="K4635" s="1"/>
      <c r="L4635" s="1"/>
      <c r="O4635" s="475"/>
      <c r="P4635" s="475"/>
      <c r="Q4635" s="475"/>
      <c r="R4635" s="475"/>
      <c r="S4635" s="475"/>
      <c r="T4635" s="475"/>
      <c r="U4635" s="475"/>
      <c r="V4635" s="475"/>
      <c r="W4635" s="475"/>
    </row>
    <row r="4636" spans="2:23" s="97" customFormat="1">
      <c r="B4636" s="96"/>
      <c r="H4636" s="96"/>
      <c r="J4636" s="1"/>
      <c r="K4636" s="1"/>
      <c r="L4636" s="1"/>
      <c r="O4636" s="475"/>
      <c r="P4636" s="475"/>
      <c r="Q4636" s="475"/>
      <c r="R4636" s="475"/>
      <c r="S4636" s="475"/>
      <c r="T4636" s="475"/>
      <c r="U4636" s="475"/>
      <c r="V4636" s="475"/>
      <c r="W4636" s="475"/>
    </row>
    <row r="4637" spans="2:23" s="97" customFormat="1">
      <c r="B4637" s="96"/>
      <c r="H4637" s="96"/>
      <c r="J4637" s="1"/>
      <c r="K4637" s="1"/>
      <c r="L4637" s="1"/>
      <c r="O4637" s="475"/>
      <c r="P4637" s="475"/>
      <c r="Q4637" s="475"/>
      <c r="R4637" s="475"/>
      <c r="S4637" s="475"/>
      <c r="T4637" s="475"/>
      <c r="U4637" s="475"/>
      <c r="V4637" s="475"/>
      <c r="W4637" s="475"/>
    </row>
    <row r="4638" spans="2:23" s="97" customFormat="1">
      <c r="B4638" s="96"/>
      <c r="H4638" s="96"/>
      <c r="J4638" s="1"/>
      <c r="K4638" s="1"/>
      <c r="L4638" s="1"/>
      <c r="O4638" s="475"/>
      <c r="P4638" s="475"/>
      <c r="Q4638" s="475"/>
      <c r="R4638" s="475"/>
      <c r="S4638" s="475"/>
      <c r="T4638" s="475"/>
      <c r="U4638" s="475"/>
      <c r="V4638" s="475"/>
      <c r="W4638" s="475"/>
    </row>
    <row r="4639" spans="2:23" s="97" customFormat="1">
      <c r="B4639" s="96"/>
      <c r="H4639" s="96"/>
      <c r="J4639" s="1"/>
      <c r="K4639" s="1"/>
      <c r="L4639" s="1"/>
      <c r="O4639" s="475"/>
      <c r="P4639" s="475"/>
      <c r="Q4639" s="475"/>
      <c r="R4639" s="475"/>
      <c r="S4639" s="475"/>
      <c r="T4639" s="475"/>
      <c r="U4639" s="475"/>
      <c r="V4639" s="475"/>
      <c r="W4639" s="475"/>
    </row>
    <row r="4640" spans="2:23" s="97" customFormat="1">
      <c r="B4640" s="96"/>
      <c r="H4640" s="96"/>
      <c r="J4640" s="1"/>
      <c r="K4640" s="1"/>
      <c r="L4640" s="1"/>
      <c r="O4640" s="475"/>
      <c r="P4640" s="475"/>
      <c r="Q4640" s="475"/>
      <c r="R4640" s="475"/>
      <c r="S4640" s="475"/>
      <c r="T4640" s="475"/>
      <c r="U4640" s="475"/>
      <c r="V4640" s="475"/>
      <c r="W4640" s="475"/>
    </row>
    <row r="4641" spans="2:23" s="97" customFormat="1">
      <c r="B4641" s="96"/>
      <c r="H4641" s="96"/>
      <c r="J4641" s="1"/>
      <c r="K4641" s="1"/>
      <c r="L4641" s="1"/>
      <c r="O4641" s="475"/>
      <c r="P4641" s="475"/>
      <c r="Q4641" s="475"/>
      <c r="R4641" s="475"/>
      <c r="S4641" s="475"/>
      <c r="T4641" s="475"/>
      <c r="U4641" s="475"/>
      <c r="V4641" s="475"/>
      <c r="W4641" s="475"/>
    </row>
    <row r="4642" spans="2:23" s="97" customFormat="1">
      <c r="B4642" s="96"/>
      <c r="H4642" s="96"/>
      <c r="J4642" s="1"/>
      <c r="K4642" s="1"/>
      <c r="L4642" s="1"/>
      <c r="O4642" s="475"/>
      <c r="P4642" s="475"/>
      <c r="Q4642" s="475"/>
      <c r="R4642" s="475"/>
      <c r="S4642" s="475"/>
      <c r="T4642" s="475"/>
      <c r="U4642" s="475"/>
      <c r="V4642" s="475"/>
      <c r="W4642" s="475"/>
    </row>
    <row r="4643" spans="2:23" s="97" customFormat="1">
      <c r="B4643" s="96"/>
      <c r="H4643" s="96"/>
      <c r="J4643" s="1"/>
      <c r="K4643" s="1"/>
      <c r="L4643" s="1"/>
      <c r="O4643" s="475"/>
      <c r="P4643" s="475"/>
      <c r="Q4643" s="475"/>
      <c r="R4643" s="475"/>
      <c r="S4643" s="475"/>
      <c r="T4643" s="475"/>
      <c r="U4643" s="475"/>
      <c r="V4643" s="475"/>
      <c r="W4643" s="475"/>
    </row>
    <row r="4644" spans="2:23" s="97" customFormat="1">
      <c r="B4644" s="96"/>
      <c r="H4644" s="96"/>
      <c r="J4644" s="1"/>
      <c r="K4644" s="1"/>
      <c r="L4644" s="1"/>
      <c r="O4644" s="475"/>
      <c r="P4644" s="475"/>
      <c r="Q4644" s="475"/>
      <c r="R4644" s="475"/>
      <c r="S4644" s="475"/>
      <c r="T4644" s="475"/>
      <c r="U4644" s="475"/>
      <c r="V4644" s="475"/>
      <c r="W4644" s="475"/>
    </row>
    <row r="4645" spans="2:23" s="97" customFormat="1">
      <c r="B4645" s="96"/>
      <c r="H4645" s="96"/>
      <c r="J4645" s="1"/>
      <c r="K4645" s="1"/>
      <c r="L4645" s="1"/>
      <c r="O4645" s="475"/>
      <c r="P4645" s="475"/>
      <c r="Q4645" s="475"/>
      <c r="R4645" s="475"/>
      <c r="S4645" s="475"/>
      <c r="T4645" s="475"/>
      <c r="U4645" s="475"/>
      <c r="V4645" s="475"/>
      <c r="W4645" s="475"/>
    </row>
    <row r="4646" spans="2:23" s="97" customFormat="1">
      <c r="B4646" s="96"/>
      <c r="H4646" s="96"/>
      <c r="J4646" s="1"/>
      <c r="K4646" s="1"/>
      <c r="L4646" s="1"/>
      <c r="O4646" s="475"/>
      <c r="P4646" s="475"/>
      <c r="Q4646" s="475"/>
      <c r="R4646" s="475"/>
      <c r="S4646" s="475"/>
      <c r="T4646" s="475"/>
      <c r="U4646" s="475"/>
      <c r="V4646" s="475"/>
      <c r="W4646" s="475"/>
    </row>
    <row r="4647" spans="2:23" s="97" customFormat="1">
      <c r="B4647" s="96"/>
      <c r="H4647" s="96"/>
      <c r="J4647" s="1"/>
      <c r="K4647" s="1"/>
      <c r="L4647" s="1"/>
      <c r="O4647" s="475"/>
      <c r="P4647" s="475"/>
      <c r="Q4647" s="475"/>
      <c r="R4647" s="475"/>
      <c r="S4647" s="475"/>
      <c r="T4647" s="475"/>
      <c r="U4647" s="475"/>
      <c r="V4647" s="475"/>
      <c r="W4647" s="475"/>
    </row>
    <row r="4648" spans="2:23" s="97" customFormat="1">
      <c r="B4648" s="96"/>
      <c r="H4648" s="96"/>
      <c r="J4648" s="1"/>
      <c r="K4648" s="1"/>
      <c r="L4648" s="1"/>
      <c r="O4648" s="475"/>
      <c r="P4648" s="475"/>
      <c r="Q4648" s="475"/>
      <c r="R4648" s="475"/>
      <c r="S4648" s="475"/>
      <c r="T4648" s="475"/>
      <c r="U4648" s="475"/>
      <c r="V4648" s="475"/>
      <c r="W4648" s="475"/>
    </row>
    <row r="4649" spans="2:23" s="97" customFormat="1">
      <c r="B4649" s="96"/>
      <c r="H4649" s="96"/>
      <c r="J4649" s="1"/>
      <c r="K4649" s="1"/>
      <c r="L4649" s="1"/>
      <c r="O4649" s="475"/>
      <c r="P4649" s="475"/>
      <c r="Q4649" s="475"/>
      <c r="R4649" s="475"/>
      <c r="S4649" s="475"/>
      <c r="T4649" s="475"/>
      <c r="U4649" s="475"/>
      <c r="V4649" s="475"/>
      <c r="W4649" s="475"/>
    </row>
    <row r="4650" spans="2:23" s="97" customFormat="1">
      <c r="B4650" s="96"/>
      <c r="H4650" s="96"/>
      <c r="J4650" s="1"/>
      <c r="K4650" s="1"/>
      <c r="L4650" s="1"/>
      <c r="O4650" s="475"/>
      <c r="P4650" s="475"/>
      <c r="Q4650" s="475"/>
      <c r="R4650" s="475"/>
      <c r="S4650" s="475"/>
      <c r="T4650" s="475"/>
      <c r="U4650" s="475"/>
      <c r="V4650" s="475"/>
      <c r="W4650" s="475"/>
    </row>
    <row r="4651" spans="2:23" s="97" customFormat="1">
      <c r="B4651" s="96"/>
      <c r="H4651" s="96"/>
      <c r="J4651" s="1"/>
      <c r="K4651" s="1"/>
      <c r="L4651" s="1"/>
      <c r="O4651" s="475"/>
      <c r="P4651" s="475"/>
      <c r="Q4651" s="475"/>
      <c r="R4651" s="475"/>
      <c r="S4651" s="475"/>
      <c r="T4651" s="475"/>
      <c r="U4651" s="475"/>
      <c r="V4651" s="475"/>
      <c r="W4651" s="475"/>
    </row>
    <row r="4652" spans="2:23" s="97" customFormat="1">
      <c r="B4652" s="96"/>
      <c r="H4652" s="96"/>
      <c r="J4652" s="1"/>
      <c r="K4652" s="1"/>
      <c r="L4652" s="1"/>
      <c r="O4652" s="475"/>
      <c r="P4652" s="475"/>
      <c r="Q4652" s="475"/>
      <c r="R4652" s="475"/>
      <c r="S4652" s="475"/>
      <c r="T4652" s="475"/>
      <c r="U4652" s="475"/>
      <c r="V4652" s="475"/>
      <c r="W4652" s="475"/>
    </row>
    <row r="4653" spans="2:23" s="97" customFormat="1">
      <c r="B4653" s="96"/>
      <c r="H4653" s="96"/>
      <c r="J4653" s="1"/>
      <c r="K4653" s="1"/>
      <c r="L4653" s="1"/>
      <c r="O4653" s="475"/>
      <c r="P4653" s="475"/>
      <c r="Q4653" s="475"/>
      <c r="R4653" s="475"/>
      <c r="S4653" s="475"/>
      <c r="T4653" s="475"/>
      <c r="U4653" s="475"/>
      <c r="V4653" s="475"/>
      <c r="W4653" s="475"/>
    </row>
    <row r="4654" spans="2:23" s="97" customFormat="1">
      <c r="B4654" s="96"/>
      <c r="H4654" s="96"/>
      <c r="J4654" s="1"/>
      <c r="K4654" s="1"/>
      <c r="L4654" s="1"/>
      <c r="O4654" s="475"/>
      <c r="P4654" s="475"/>
      <c r="Q4654" s="475"/>
      <c r="R4654" s="475"/>
      <c r="S4654" s="475"/>
      <c r="T4654" s="475"/>
      <c r="U4654" s="475"/>
      <c r="V4654" s="475"/>
      <c r="W4654" s="475"/>
    </row>
    <row r="4655" spans="2:23" s="97" customFormat="1">
      <c r="B4655" s="96"/>
      <c r="H4655" s="96"/>
      <c r="J4655" s="1"/>
      <c r="K4655" s="1"/>
      <c r="L4655" s="1"/>
      <c r="O4655" s="475"/>
      <c r="P4655" s="475"/>
      <c r="Q4655" s="475"/>
      <c r="R4655" s="475"/>
      <c r="S4655" s="475"/>
      <c r="T4655" s="475"/>
      <c r="U4655" s="475"/>
      <c r="V4655" s="475"/>
      <c r="W4655" s="475"/>
    </row>
    <row r="4656" spans="2:23" s="97" customFormat="1">
      <c r="B4656" s="96"/>
      <c r="H4656" s="96"/>
      <c r="J4656" s="1"/>
      <c r="K4656" s="1"/>
      <c r="L4656" s="1"/>
      <c r="O4656" s="475"/>
      <c r="P4656" s="475"/>
      <c r="Q4656" s="475"/>
      <c r="R4656" s="475"/>
      <c r="S4656" s="475"/>
      <c r="T4656" s="475"/>
      <c r="U4656" s="475"/>
      <c r="V4656" s="475"/>
      <c r="W4656" s="475"/>
    </row>
    <row r="4657" spans="2:23" s="97" customFormat="1">
      <c r="B4657" s="96"/>
      <c r="H4657" s="96"/>
      <c r="J4657" s="1"/>
      <c r="K4657" s="1"/>
      <c r="L4657" s="1"/>
      <c r="O4657" s="475"/>
      <c r="P4657" s="475"/>
      <c r="Q4657" s="475"/>
      <c r="R4657" s="475"/>
      <c r="S4657" s="475"/>
      <c r="T4657" s="475"/>
      <c r="U4657" s="475"/>
      <c r="V4657" s="475"/>
      <c r="W4657" s="475"/>
    </row>
    <row r="4658" spans="2:23" s="97" customFormat="1">
      <c r="B4658" s="96"/>
      <c r="H4658" s="96"/>
      <c r="J4658" s="1"/>
      <c r="K4658" s="1"/>
      <c r="L4658" s="1"/>
      <c r="O4658" s="475"/>
      <c r="P4658" s="475"/>
      <c r="Q4658" s="475"/>
      <c r="R4658" s="475"/>
      <c r="S4658" s="475"/>
      <c r="T4658" s="475"/>
      <c r="U4658" s="475"/>
      <c r="V4658" s="475"/>
      <c r="W4658" s="475"/>
    </row>
    <row r="4659" spans="2:23" s="97" customFormat="1">
      <c r="B4659" s="96"/>
      <c r="H4659" s="96"/>
      <c r="J4659" s="1"/>
      <c r="K4659" s="1"/>
      <c r="L4659" s="1"/>
      <c r="O4659" s="475"/>
      <c r="P4659" s="475"/>
      <c r="Q4659" s="475"/>
      <c r="R4659" s="475"/>
      <c r="S4659" s="475"/>
      <c r="T4659" s="475"/>
      <c r="U4659" s="475"/>
      <c r="V4659" s="475"/>
      <c r="W4659" s="475"/>
    </row>
    <row r="4660" spans="2:23" s="97" customFormat="1">
      <c r="B4660" s="96"/>
      <c r="H4660" s="96"/>
      <c r="J4660" s="1"/>
      <c r="K4660" s="1"/>
      <c r="L4660" s="1"/>
      <c r="O4660" s="475"/>
      <c r="P4660" s="475"/>
      <c r="Q4660" s="475"/>
      <c r="R4660" s="475"/>
      <c r="S4660" s="475"/>
      <c r="T4660" s="475"/>
      <c r="U4660" s="475"/>
      <c r="V4660" s="475"/>
      <c r="W4660" s="475"/>
    </row>
    <row r="4661" spans="2:23" s="97" customFormat="1">
      <c r="B4661" s="96"/>
      <c r="H4661" s="96"/>
      <c r="J4661" s="1"/>
      <c r="K4661" s="1"/>
      <c r="L4661" s="1"/>
      <c r="O4661" s="475"/>
      <c r="P4661" s="475"/>
      <c r="Q4661" s="475"/>
      <c r="R4661" s="475"/>
      <c r="S4661" s="475"/>
      <c r="T4661" s="475"/>
      <c r="U4661" s="475"/>
      <c r="V4661" s="475"/>
      <c r="W4661" s="475"/>
    </row>
    <row r="4662" spans="2:23" s="97" customFormat="1">
      <c r="B4662" s="96"/>
      <c r="H4662" s="96"/>
      <c r="J4662" s="1"/>
      <c r="K4662" s="1"/>
      <c r="L4662" s="1"/>
      <c r="O4662" s="475"/>
      <c r="P4662" s="475"/>
      <c r="Q4662" s="475"/>
      <c r="R4662" s="475"/>
      <c r="S4662" s="475"/>
      <c r="T4662" s="475"/>
      <c r="U4662" s="475"/>
      <c r="V4662" s="475"/>
      <c r="W4662" s="475"/>
    </row>
    <row r="4663" spans="2:23" s="97" customFormat="1">
      <c r="B4663" s="96"/>
      <c r="H4663" s="96"/>
      <c r="J4663" s="1"/>
      <c r="K4663" s="1"/>
      <c r="L4663" s="1"/>
      <c r="O4663" s="475"/>
      <c r="P4663" s="475"/>
      <c r="Q4663" s="475"/>
      <c r="R4663" s="475"/>
      <c r="S4663" s="475"/>
      <c r="T4663" s="475"/>
      <c r="U4663" s="475"/>
      <c r="V4663" s="475"/>
      <c r="W4663" s="475"/>
    </row>
    <row r="4664" spans="2:23" s="97" customFormat="1">
      <c r="B4664" s="96"/>
      <c r="H4664" s="96"/>
      <c r="J4664" s="1"/>
      <c r="K4664" s="1"/>
      <c r="L4664" s="1"/>
      <c r="O4664" s="475"/>
      <c r="P4664" s="475"/>
      <c r="Q4664" s="475"/>
      <c r="R4664" s="475"/>
      <c r="S4664" s="475"/>
      <c r="T4664" s="475"/>
      <c r="U4664" s="475"/>
      <c r="V4664" s="475"/>
      <c r="W4664" s="475"/>
    </row>
    <row r="4665" spans="2:23" s="97" customFormat="1">
      <c r="B4665" s="96"/>
      <c r="H4665" s="96"/>
      <c r="J4665" s="1"/>
      <c r="K4665" s="1"/>
      <c r="L4665" s="1"/>
      <c r="O4665" s="475"/>
      <c r="P4665" s="475"/>
      <c r="Q4665" s="475"/>
      <c r="R4665" s="475"/>
      <c r="S4665" s="475"/>
      <c r="T4665" s="475"/>
      <c r="U4665" s="475"/>
      <c r="V4665" s="475"/>
      <c r="W4665" s="475"/>
    </row>
    <row r="4666" spans="2:23" s="97" customFormat="1">
      <c r="B4666" s="96"/>
      <c r="H4666" s="96"/>
      <c r="J4666" s="1"/>
      <c r="K4666" s="1"/>
      <c r="L4666" s="1"/>
      <c r="O4666" s="475"/>
      <c r="P4666" s="475"/>
      <c r="Q4666" s="475"/>
      <c r="R4666" s="475"/>
      <c r="S4666" s="475"/>
      <c r="T4666" s="475"/>
      <c r="U4666" s="475"/>
      <c r="V4666" s="475"/>
      <c r="W4666" s="475"/>
    </row>
    <row r="4667" spans="2:23" s="97" customFormat="1">
      <c r="B4667" s="96"/>
      <c r="H4667" s="96"/>
      <c r="J4667" s="1"/>
      <c r="K4667" s="1"/>
      <c r="L4667" s="1"/>
      <c r="O4667" s="475"/>
      <c r="P4667" s="475"/>
      <c r="Q4667" s="475"/>
      <c r="R4667" s="475"/>
      <c r="S4667" s="475"/>
      <c r="T4667" s="475"/>
      <c r="U4667" s="475"/>
      <c r="V4667" s="475"/>
      <c r="W4667" s="475"/>
    </row>
    <row r="4668" spans="2:23" s="97" customFormat="1">
      <c r="B4668" s="96"/>
      <c r="H4668" s="96"/>
      <c r="J4668" s="1"/>
      <c r="K4668" s="1"/>
      <c r="L4668" s="1"/>
      <c r="O4668" s="475"/>
      <c r="P4668" s="475"/>
      <c r="Q4668" s="475"/>
      <c r="R4668" s="475"/>
      <c r="S4668" s="475"/>
      <c r="T4668" s="475"/>
      <c r="U4668" s="475"/>
      <c r="V4668" s="475"/>
      <c r="W4668" s="475"/>
    </row>
    <row r="4669" spans="2:23" s="97" customFormat="1">
      <c r="B4669" s="96"/>
      <c r="H4669" s="96"/>
      <c r="J4669" s="1"/>
      <c r="K4669" s="1"/>
      <c r="L4669" s="1"/>
      <c r="O4669" s="475"/>
      <c r="P4669" s="475"/>
      <c r="Q4669" s="475"/>
      <c r="R4669" s="475"/>
      <c r="S4669" s="475"/>
      <c r="T4669" s="475"/>
      <c r="U4669" s="475"/>
      <c r="V4669" s="475"/>
      <c r="W4669" s="475"/>
    </row>
    <row r="4670" spans="2:23" s="97" customFormat="1">
      <c r="B4670" s="96"/>
      <c r="H4670" s="96"/>
      <c r="J4670" s="1"/>
      <c r="K4670" s="1"/>
      <c r="L4670" s="1"/>
      <c r="O4670" s="475"/>
      <c r="P4670" s="475"/>
      <c r="Q4670" s="475"/>
      <c r="R4670" s="475"/>
      <c r="S4670" s="475"/>
      <c r="T4670" s="475"/>
      <c r="U4670" s="475"/>
      <c r="V4670" s="475"/>
      <c r="W4670" s="475"/>
    </row>
    <row r="4671" spans="2:23" s="97" customFormat="1">
      <c r="B4671" s="96"/>
      <c r="H4671" s="96"/>
      <c r="J4671" s="1"/>
      <c r="K4671" s="1"/>
      <c r="L4671" s="1"/>
      <c r="O4671" s="475"/>
      <c r="P4671" s="475"/>
      <c r="Q4671" s="475"/>
      <c r="R4671" s="475"/>
      <c r="S4671" s="475"/>
      <c r="T4671" s="475"/>
      <c r="U4671" s="475"/>
      <c r="V4671" s="475"/>
      <c r="W4671" s="475"/>
    </row>
    <row r="4672" spans="2:23" s="97" customFormat="1">
      <c r="B4672" s="96"/>
      <c r="H4672" s="96"/>
      <c r="J4672" s="1"/>
      <c r="K4672" s="1"/>
      <c r="L4672" s="1"/>
      <c r="O4672" s="475"/>
      <c r="P4672" s="475"/>
      <c r="Q4672" s="475"/>
      <c r="R4672" s="475"/>
      <c r="S4672" s="475"/>
      <c r="T4672" s="475"/>
      <c r="U4672" s="475"/>
      <c r="V4672" s="475"/>
      <c r="W4672" s="475"/>
    </row>
    <row r="4673" spans="2:23" s="97" customFormat="1">
      <c r="B4673" s="96"/>
      <c r="H4673" s="96"/>
      <c r="J4673" s="1"/>
      <c r="K4673" s="1"/>
      <c r="L4673" s="1"/>
      <c r="O4673" s="475"/>
      <c r="P4673" s="475"/>
      <c r="Q4673" s="475"/>
      <c r="R4673" s="475"/>
      <c r="S4673" s="475"/>
      <c r="T4673" s="475"/>
      <c r="U4673" s="475"/>
      <c r="V4673" s="475"/>
      <c r="W4673" s="475"/>
    </row>
    <row r="4674" spans="2:23" s="97" customFormat="1">
      <c r="B4674" s="96"/>
      <c r="H4674" s="96"/>
      <c r="J4674" s="1"/>
      <c r="K4674" s="1"/>
      <c r="L4674" s="1"/>
      <c r="O4674" s="475"/>
      <c r="P4674" s="475"/>
      <c r="Q4674" s="475"/>
      <c r="R4674" s="475"/>
      <c r="S4674" s="475"/>
      <c r="T4674" s="475"/>
      <c r="U4674" s="475"/>
      <c r="V4674" s="475"/>
      <c r="W4674" s="475"/>
    </row>
    <row r="4675" spans="2:23" s="97" customFormat="1">
      <c r="B4675" s="96"/>
      <c r="H4675" s="96"/>
      <c r="J4675" s="1"/>
      <c r="K4675" s="1"/>
      <c r="L4675" s="1"/>
      <c r="O4675" s="475"/>
      <c r="P4675" s="475"/>
      <c r="Q4675" s="475"/>
      <c r="R4675" s="475"/>
      <c r="S4675" s="475"/>
      <c r="T4675" s="475"/>
      <c r="U4675" s="475"/>
      <c r="V4675" s="475"/>
      <c r="W4675" s="475"/>
    </row>
    <row r="4676" spans="2:23" s="97" customFormat="1">
      <c r="B4676" s="96"/>
      <c r="H4676" s="96"/>
      <c r="J4676" s="1"/>
      <c r="K4676" s="1"/>
      <c r="L4676" s="1"/>
      <c r="O4676" s="475"/>
      <c r="P4676" s="475"/>
      <c r="Q4676" s="475"/>
      <c r="R4676" s="475"/>
      <c r="S4676" s="475"/>
      <c r="T4676" s="475"/>
      <c r="U4676" s="475"/>
      <c r="V4676" s="475"/>
      <c r="W4676" s="475"/>
    </row>
    <row r="4677" spans="2:23" s="97" customFormat="1">
      <c r="B4677" s="96"/>
      <c r="H4677" s="96"/>
      <c r="J4677" s="1"/>
      <c r="K4677" s="1"/>
      <c r="L4677" s="1"/>
      <c r="O4677" s="475"/>
      <c r="P4677" s="475"/>
      <c r="Q4677" s="475"/>
      <c r="R4677" s="475"/>
      <c r="S4677" s="475"/>
      <c r="T4677" s="475"/>
      <c r="U4677" s="475"/>
      <c r="V4677" s="475"/>
      <c r="W4677" s="475"/>
    </row>
    <row r="4678" spans="2:23" s="97" customFormat="1">
      <c r="B4678" s="96"/>
      <c r="H4678" s="96"/>
      <c r="J4678" s="1"/>
      <c r="K4678" s="1"/>
      <c r="L4678" s="1"/>
      <c r="O4678" s="475"/>
      <c r="P4678" s="475"/>
      <c r="Q4678" s="475"/>
      <c r="R4678" s="475"/>
      <c r="S4678" s="475"/>
      <c r="T4678" s="475"/>
      <c r="U4678" s="475"/>
      <c r="V4678" s="475"/>
      <c r="W4678" s="475"/>
    </row>
    <row r="4679" spans="2:23" s="97" customFormat="1">
      <c r="B4679" s="96"/>
      <c r="H4679" s="96"/>
      <c r="J4679" s="1"/>
      <c r="K4679" s="1"/>
      <c r="L4679" s="1"/>
      <c r="O4679" s="475"/>
      <c r="P4679" s="475"/>
      <c r="Q4679" s="475"/>
      <c r="R4679" s="475"/>
      <c r="S4679" s="475"/>
      <c r="T4679" s="475"/>
      <c r="U4679" s="475"/>
      <c r="V4679" s="475"/>
      <c r="W4679" s="475"/>
    </row>
    <row r="4680" spans="2:23" s="97" customFormat="1">
      <c r="B4680" s="96"/>
      <c r="H4680" s="96"/>
      <c r="J4680" s="1"/>
      <c r="K4680" s="1"/>
      <c r="L4680" s="1"/>
      <c r="O4680" s="475"/>
      <c r="P4680" s="475"/>
      <c r="Q4680" s="475"/>
      <c r="R4680" s="475"/>
      <c r="S4680" s="475"/>
      <c r="T4680" s="475"/>
      <c r="U4680" s="475"/>
      <c r="V4680" s="475"/>
      <c r="W4680" s="475"/>
    </row>
    <row r="4681" spans="2:23" s="97" customFormat="1">
      <c r="B4681" s="96"/>
      <c r="H4681" s="96"/>
      <c r="J4681" s="1"/>
      <c r="K4681" s="1"/>
      <c r="L4681" s="1"/>
      <c r="O4681" s="475"/>
      <c r="P4681" s="475"/>
      <c r="Q4681" s="475"/>
      <c r="R4681" s="475"/>
      <c r="S4681" s="475"/>
      <c r="T4681" s="475"/>
      <c r="U4681" s="475"/>
      <c r="V4681" s="475"/>
      <c r="W4681" s="475"/>
    </row>
    <row r="4682" spans="2:23" s="97" customFormat="1">
      <c r="B4682" s="96"/>
      <c r="H4682" s="96"/>
      <c r="J4682" s="1"/>
      <c r="K4682" s="1"/>
      <c r="L4682" s="1"/>
      <c r="O4682" s="475"/>
      <c r="P4682" s="475"/>
      <c r="Q4682" s="475"/>
      <c r="R4682" s="475"/>
      <c r="S4682" s="475"/>
      <c r="T4682" s="475"/>
      <c r="U4682" s="475"/>
      <c r="V4682" s="475"/>
      <c r="W4682" s="475"/>
    </row>
    <row r="4683" spans="2:23" s="97" customFormat="1">
      <c r="B4683" s="96"/>
      <c r="H4683" s="96"/>
      <c r="J4683" s="1"/>
      <c r="K4683" s="1"/>
      <c r="L4683" s="1"/>
      <c r="O4683" s="475"/>
      <c r="P4683" s="475"/>
      <c r="Q4683" s="475"/>
      <c r="R4683" s="475"/>
      <c r="S4683" s="475"/>
      <c r="T4683" s="475"/>
      <c r="U4683" s="475"/>
      <c r="V4683" s="475"/>
      <c r="W4683" s="475"/>
    </row>
    <row r="4684" spans="2:23" s="97" customFormat="1">
      <c r="B4684" s="96"/>
      <c r="H4684" s="96"/>
      <c r="J4684" s="1"/>
      <c r="K4684" s="1"/>
      <c r="L4684" s="1"/>
      <c r="O4684" s="475"/>
      <c r="P4684" s="475"/>
      <c r="Q4684" s="475"/>
      <c r="R4684" s="475"/>
      <c r="S4684" s="475"/>
      <c r="T4684" s="475"/>
      <c r="U4684" s="475"/>
      <c r="V4684" s="475"/>
      <c r="W4684" s="475"/>
    </row>
    <row r="4685" spans="2:23" s="97" customFormat="1">
      <c r="B4685" s="96"/>
      <c r="H4685" s="96"/>
      <c r="J4685" s="1"/>
      <c r="K4685" s="1"/>
      <c r="L4685" s="1"/>
      <c r="O4685" s="475"/>
      <c r="P4685" s="475"/>
      <c r="Q4685" s="475"/>
      <c r="R4685" s="475"/>
      <c r="S4685" s="475"/>
      <c r="T4685" s="475"/>
      <c r="U4685" s="475"/>
      <c r="V4685" s="475"/>
      <c r="W4685" s="475"/>
    </row>
    <row r="4686" spans="2:23" s="97" customFormat="1">
      <c r="B4686" s="96"/>
      <c r="H4686" s="96"/>
      <c r="J4686" s="1"/>
      <c r="K4686" s="1"/>
      <c r="L4686" s="1"/>
      <c r="O4686" s="475"/>
      <c r="P4686" s="475"/>
      <c r="Q4686" s="475"/>
      <c r="R4686" s="475"/>
      <c r="S4686" s="475"/>
      <c r="T4686" s="475"/>
      <c r="U4686" s="475"/>
      <c r="V4686" s="475"/>
      <c r="W4686" s="475"/>
    </row>
    <row r="4687" spans="2:23" s="97" customFormat="1">
      <c r="B4687" s="96"/>
      <c r="H4687" s="96"/>
      <c r="J4687" s="1"/>
      <c r="K4687" s="1"/>
      <c r="L4687" s="1"/>
      <c r="O4687" s="475"/>
      <c r="P4687" s="475"/>
      <c r="Q4687" s="475"/>
      <c r="R4687" s="475"/>
      <c r="S4687" s="475"/>
      <c r="T4687" s="475"/>
      <c r="U4687" s="475"/>
      <c r="V4687" s="475"/>
      <c r="W4687" s="475"/>
    </row>
    <row r="4688" spans="2:23" s="97" customFormat="1">
      <c r="B4688" s="96"/>
      <c r="H4688" s="96"/>
      <c r="J4688" s="1"/>
      <c r="K4688" s="1"/>
      <c r="L4688" s="1"/>
      <c r="O4688" s="475"/>
      <c r="P4688" s="475"/>
      <c r="Q4688" s="475"/>
      <c r="R4688" s="475"/>
      <c r="S4688" s="475"/>
      <c r="T4688" s="475"/>
      <c r="U4688" s="475"/>
      <c r="V4688" s="475"/>
      <c r="W4688" s="475"/>
    </row>
    <row r="4689" spans="2:23" s="97" customFormat="1">
      <c r="B4689" s="96"/>
      <c r="H4689" s="96"/>
      <c r="J4689" s="1"/>
      <c r="K4689" s="1"/>
      <c r="L4689" s="1"/>
      <c r="O4689" s="475"/>
      <c r="P4689" s="475"/>
      <c r="Q4689" s="475"/>
      <c r="R4689" s="475"/>
      <c r="S4689" s="475"/>
      <c r="T4689" s="475"/>
      <c r="U4689" s="475"/>
      <c r="V4689" s="475"/>
      <c r="W4689" s="475"/>
    </row>
    <row r="4690" spans="2:23" s="97" customFormat="1">
      <c r="B4690" s="96"/>
      <c r="H4690" s="96"/>
      <c r="J4690" s="1"/>
      <c r="K4690" s="1"/>
      <c r="L4690" s="1"/>
      <c r="O4690" s="475"/>
      <c r="P4690" s="475"/>
      <c r="Q4690" s="475"/>
      <c r="R4690" s="475"/>
      <c r="S4690" s="475"/>
      <c r="T4690" s="475"/>
      <c r="U4690" s="475"/>
      <c r="V4690" s="475"/>
      <c r="W4690" s="475"/>
    </row>
    <row r="4691" spans="2:23" s="97" customFormat="1">
      <c r="B4691" s="96"/>
      <c r="H4691" s="96"/>
      <c r="J4691" s="1"/>
      <c r="K4691" s="1"/>
      <c r="L4691" s="1"/>
      <c r="O4691" s="475"/>
      <c r="P4691" s="475"/>
      <c r="Q4691" s="475"/>
      <c r="R4691" s="475"/>
      <c r="S4691" s="475"/>
      <c r="T4691" s="475"/>
      <c r="U4691" s="475"/>
      <c r="V4691" s="475"/>
      <c r="W4691" s="475"/>
    </row>
    <row r="4692" spans="2:23" s="97" customFormat="1">
      <c r="B4692" s="96"/>
      <c r="H4692" s="96"/>
      <c r="J4692" s="1"/>
      <c r="K4692" s="1"/>
      <c r="L4692" s="1"/>
      <c r="O4692" s="475"/>
      <c r="P4692" s="475"/>
      <c r="Q4692" s="475"/>
      <c r="R4692" s="475"/>
      <c r="S4692" s="475"/>
      <c r="T4692" s="475"/>
      <c r="U4692" s="475"/>
      <c r="V4692" s="475"/>
      <c r="W4692" s="475"/>
    </row>
    <row r="4693" spans="2:23" s="97" customFormat="1">
      <c r="B4693" s="96"/>
      <c r="H4693" s="96"/>
      <c r="J4693" s="1"/>
      <c r="K4693" s="1"/>
      <c r="L4693" s="1"/>
      <c r="O4693" s="475"/>
      <c r="P4693" s="475"/>
      <c r="Q4693" s="475"/>
      <c r="R4693" s="475"/>
      <c r="S4693" s="475"/>
      <c r="T4693" s="475"/>
      <c r="U4693" s="475"/>
      <c r="V4693" s="475"/>
      <c r="W4693" s="475"/>
    </row>
    <row r="4694" spans="2:23" s="97" customFormat="1">
      <c r="B4694" s="96"/>
      <c r="H4694" s="96"/>
      <c r="J4694" s="1"/>
      <c r="K4694" s="1"/>
      <c r="L4694" s="1"/>
      <c r="O4694" s="475"/>
      <c r="P4694" s="475"/>
      <c r="Q4694" s="475"/>
      <c r="R4694" s="475"/>
      <c r="S4694" s="475"/>
      <c r="T4694" s="475"/>
      <c r="U4694" s="475"/>
      <c r="V4694" s="475"/>
      <c r="W4694" s="475"/>
    </row>
    <row r="4695" spans="2:23" s="97" customFormat="1">
      <c r="B4695" s="96"/>
      <c r="H4695" s="96"/>
      <c r="J4695" s="1"/>
      <c r="K4695" s="1"/>
      <c r="L4695" s="1"/>
      <c r="O4695" s="475"/>
      <c r="P4695" s="475"/>
      <c r="Q4695" s="475"/>
      <c r="R4695" s="475"/>
      <c r="S4695" s="475"/>
      <c r="T4695" s="475"/>
      <c r="U4695" s="475"/>
      <c r="V4695" s="475"/>
      <c r="W4695" s="475"/>
    </row>
    <row r="4696" spans="2:23" s="97" customFormat="1">
      <c r="B4696" s="96"/>
      <c r="H4696" s="96"/>
      <c r="J4696" s="1"/>
      <c r="K4696" s="1"/>
      <c r="L4696" s="1"/>
      <c r="O4696" s="475"/>
      <c r="P4696" s="475"/>
      <c r="Q4696" s="475"/>
      <c r="R4696" s="475"/>
      <c r="S4696" s="475"/>
      <c r="T4696" s="475"/>
      <c r="U4696" s="475"/>
      <c r="V4696" s="475"/>
      <c r="W4696" s="475"/>
    </row>
    <row r="4697" spans="2:23" s="97" customFormat="1">
      <c r="B4697" s="96"/>
      <c r="H4697" s="96"/>
      <c r="J4697" s="1"/>
      <c r="K4697" s="1"/>
      <c r="L4697" s="1"/>
      <c r="O4697" s="475"/>
      <c r="P4697" s="475"/>
      <c r="Q4697" s="475"/>
      <c r="R4697" s="475"/>
      <c r="S4697" s="475"/>
      <c r="T4697" s="475"/>
      <c r="U4697" s="475"/>
      <c r="V4697" s="475"/>
      <c r="W4697" s="475"/>
    </row>
    <row r="4698" spans="2:23" s="97" customFormat="1">
      <c r="B4698" s="96"/>
      <c r="H4698" s="96"/>
      <c r="J4698" s="1"/>
      <c r="K4698" s="1"/>
      <c r="L4698" s="1"/>
      <c r="O4698" s="475"/>
      <c r="P4698" s="475"/>
      <c r="Q4698" s="475"/>
      <c r="R4698" s="475"/>
      <c r="S4698" s="475"/>
      <c r="T4698" s="475"/>
      <c r="U4698" s="475"/>
      <c r="V4698" s="475"/>
      <c r="W4698" s="475"/>
    </row>
    <row r="4699" spans="2:23" s="97" customFormat="1">
      <c r="B4699" s="96"/>
      <c r="H4699" s="96"/>
      <c r="J4699" s="1"/>
      <c r="K4699" s="1"/>
      <c r="L4699" s="1"/>
      <c r="O4699" s="475"/>
      <c r="P4699" s="475"/>
      <c r="Q4699" s="475"/>
      <c r="R4699" s="475"/>
      <c r="S4699" s="475"/>
      <c r="T4699" s="475"/>
      <c r="U4699" s="475"/>
      <c r="V4699" s="475"/>
      <c r="W4699" s="475"/>
    </row>
    <row r="4700" spans="2:23" s="97" customFormat="1">
      <c r="B4700" s="96"/>
      <c r="H4700" s="96"/>
      <c r="J4700" s="1"/>
      <c r="K4700" s="1"/>
      <c r="L4700" s="1"/>
      <c r="O4700" s="475"/>
      <c r="P4700" s="475"/>
      <c r="Q4700" s="475"/>
      <c r="R4700" s="475"/>
      <c r="S4700" s="475"/>
      <c r="T4700" s="475"/>
      <c r="U4700" s="475"/>
      <c r="V4700" s="475"/>
      <c r="W4700" s="475"/>
    </row>
    <row r="4701" spans="2:23" s="97" customFormat="1">
      <c r="B4701" s="96"/>
      <c r="H4701" s="96"/>
      <c r="J4701" s="1"/>
      <c r="K4701" s="1"/>
      <c r="L4701" s="1"/>
      <c r="O4701" s="475"/>
      <c r="P4701" s="475"/>
      <c r="Q4701" s="475"/>
      <c r="R4701" s="475"/>
      <c r="S4701" s="475"/>
      <c r="T4701" s="475"/>
      <c r="U4701" s="475"/>
      <c r="V4701" s="475"/>
      <c r="W4701" s="475"/>
    </row>
    <row r="4702" spans="2:23" s="97" customFormat="1">
      <c r="B4702" s="96"/>
      <c r="H4702" s="96"/>
      <c r="J4702" s="1"/>
      <c r="K4702" s="1"/>
      <c r="L4702" s="1"/>
      <c r="O4702" s="475"/>
      <c r="P4702" s="475"/>
      <c r="Q4702" s="475"/>
      <c r="R4702" s="475"/>
      <c r="S4702" s="475"/>
      <c r="T4702" s="475"/>
      <c r="U4702" s="475"/>
      <c r="V4702" s="475"/>
      <c r="W4702" s="475"/>
    </row>
    <row r="4703" spans="2:23" s="97" customFormat="1">
      <c r="B4703" s="96"/>
      <c r="H4703" s="96"/>
      <c r="J4703" s="1"/>
      <c r="K4703" s="1"/>
      <c r="L4703" s="1"/>
      <c r="O4703" s="475"/>
      <c r="P4703" s="475"/>
      <c r="Q4703" s="475"/>
      <c r="R4703" s="475"/>
      <c r="S4703" s="475"/>
      <c r="T4703" s="475"/>
      <c r="U4703" s="475"/>
      <c r="V4703" s="475"/>
      <c r="W4703" s="475"/>
    </row>
    <row r="4704" spans="2:23" s="97" customFormat="1">
      <c r="B4704" s="96"/>
      <c r="H4704" s="96"/>
      <c r="J4704" s="1"/>
      <c r="K4704" s="1"/>
      <c r="L4704" s="1"/>
      <c r="O4704" s="475"/>
      <c r="P4704" s="475"/>
      <c r="Q4704" s="475"/>
      <c r="R4704" s="475"/>
      <c r="S4704" s="475"/>
      <c r="T4704" s="475"/>
      <c r="U4704" s="475"/>
      <c r="V4704" s="475"/>
      <c r="W4704" s="475"/>
    </row>
    <row r="4705" spans="2:23" s="97" customFormat="1">
      <c r="B4705" s="96"/>
      <c r="H4705" s="96"/>
      <c r="J4705" s="1"/>
      <c r="K4705" s="1"/>
      <c r="L4705" s="1"/>
      <c r="O4705" s="475"/>
      <c r="P4705" s="475"/>
      <c r="Q4705" s="475"/>
      <c r="R4705" s="475"/>
      <c r="S4705" s="475"/>
      <c r="T4705" s="475"/>
      <c r="U4705" s="475"/>
      <c r="V4705" s="475"/>
      <c r="W4705" s="475"/>
    </row>
    <row r="4706" spans="2:23" s="97" customFormat="1">
      <c r="B4706" s="96"/>
      <c r="H4706" s="96"/>
      <c r="J4706" s="1"/>
      <c r="K4706" s="1"/>
      <c r="L4706" s="1"/>
      <c r="O4706" s="475"/>
      <c r="P4706" s="475"/>
      <c r="Q4706" s="475"/>
      <c r="R4706" s="475"/>
      <c r="S4706" s="475"/>
      <c r="T4706" s="475"/>
      <c r="U4706" s="475"/>
      <c r="V4706" s="475"/>
      <c r="W4706" s="475"/>
    </row>
    <row r="4707" spans="2:23" s="97" customFormat="1">
      <c r="B4707" s="96"/>
      <c r="H4707" s="96"/>
      <c r="J4707" s="1"/>
      <c r="K4707" s="1"/>
      <c r="L4707" s="1"/>
      <c r="O4707" s="475"/>
      <c r="P4707" s="475"/>
      <c r="Q4707" s="475"/>
      <c r="R4707" s="475"/>
      <c r="S4707" s="475"/>
      <c r="T4707" s="475"/>
      <c r="U4707" s="475"/>
      <c r="V4707" s="475"/>
      <c r="W4707" s="475"/>
    </row>
    <row r="4708" spans="2:23" s="97" customFormat="1">
      <c r="B4708" s="96"/>
      <c r="H4708" s="96"/>
      <c r="J4708" s="1"/>
      <c r="K4708" s="1"/>
      <c r="L4708" s="1"/>
      <c r="O4708" s="475"/>
      <c r="P4708" s="475"/>
      <c r="Q4708" s="475"/>
      <c r="R4708" s="475"/>
      <c r="S4708" s="475"/>
      <c r="T4708" s="475"/>
      <c r="U4708" s="475"/>
      <c r="V4708" s="475"/>
      <c r="W4708" s="475"/>
    </row>
    <row r="4709" spans="2:23" s="97" customFormat="1">
      <c r="B4709" s="96"/>
      <c r="H4709" s="96"/>
      <c r="J4709" s="1"/>
      <c r="K4709" s="1"/>
      <c r="L4709" s="1"/>
      <c r="O4709" s="475"/>
      <c r="P4709" s="475"/>
      <c r="Q4709" s="475"/>
      <c r="R4709" s="475"/>
      <c r="S4709" s="475"/>
      <c r="T4709" s="475"/>
      <c r="U4709" s="475"/>
      <c r="V4709" s="475"/>
      <c r="W4709" s="475"/>
    </row>
    <row r="4710" spans="2:23" s="97" customFormat="1">
      <c r="B4710" s="96"/>
      <c r="H4710" s="96"/>
      <c r="J4710" s="1"/>
      <c r="K4710" s="1"/>
      <c r="L4710" s="1"/>
      <c r="O4710" s="475"/>
      <c r="P4710" s="475"/>
      <c r="Q4710" s="475"/>
      <c r="R4710" s="475"/>
      <c r="S4710" s="475"/>
      <c r="T4710" s="475"/>
      <c r="U4710" s="475"/>
      <c r="V4710" s="475"/>
      <c r="W4710" s="475"/>
    </row>
    <row r="4711" spans="2:23" s="97" customFormat="1">
      <c r="B4711" s="96"/>
      <c r="H4711" s="96"/>
      <c r="J4711" s="1"/>
      <c r="K4711" s="1"/>
      <c r="L4711" s="1"/>
      <c r="O4711" s="475"/>
      <c r="P4711" s="475"/>
      <c r="Q4711" s="475"/>
      <c r="R4711" s="475"/>
      <c r="S4711" s="475"/>
      <c r="T4711" s="475"/>
      <c r="U4711" s="475"/>
      <c r="V4711" s="475"/>
      <c r="W4711" s="475"/>
    </row>
    <row r="4712" spans="2:23" s="97" customFormat="1">
      <c r="B4712" s="96"/>
      <c r="H4712" s="96"/>
      <c r="J4712" s="1"/>
      <c r="K4712" s="1"/>
      <c r="L4712" s="1"/>
      <c r="O4712" s="475"/>
      <c r="P4712" s="475"/>
      <c r="Q4712" s="475"/>
      <c r="R4712" s="475"/>
      <c r="S4712" s="475"/>
      <c r="T4712" s="475"/>
      <c r="U4712" s="475"/>
      <c r="V4712" s="475"/>
      <c r="W4712" s="475"/>
    </row>
    <row r="4713" spans="2:23" s="97" customFormat="1">
      <c r="B4713" s="96"/>
      <c r="H4713" s="96"/>
      <c r="J4713" s="1"/>
      <c r="K4713" s="1"/>
      <c r="L4713" s="1"/>
      <c r="O4713" s="475"/>
      <c r="P4713" s="475"/>
      <c r="Q4713" s="475"/>
      <c r="R4713" s="475"/>
      <c r="S4713" s="475"/>
      <c r="T4713" s="475"/>
      <c r="U4713" s="475"/>
      <c r="V4713" s="475"/>
      <c r="W4713" s="475"/>
    </row>
    <row r="4714" spans="2:23" s="97" customFormat="1">
      <c r="B4714" s="96"/>
      <c r="H4714" s="96"/>
      <c r="J4714" s="1"/>
      <c r="K4714" s="1"/>
      <c r="L4714" s="1"/>
      <c r="O4714" s="475"/>
      <c r="P4714" s="475"/>
      <c r="Q4714" s="475"/>
      <c r="R4714" s="475"/>
      <c r="S4714" s="475"/>
      <c r="T4714" s="475"/>
      <c r="U4714" s="475"/>
      <c r="V4714" s="475"/>
      <c r="W4714" s="475"/>
    </row>
    <row r="4715" spans="2:23" s="97" customFormat="1">
      <c r="B4715" s="96"/>
      <c r="H4715" s="96"/>
      <c r="J4715" s="1"/>
      <c r="K4715" s="1"/>
      <c r="L4715" s="1"/>
      <c r="O4715" s="475"/>
      <c r="P4715" s="475"/>
      <c r="Q4715" s="475"/>
      <c r="R4715" s="475"/>
      <c r="S4715" s="475"/>
      <c r="T4715" s="475"/>
      <c r="U4715" s="475"/>
      <c r="V4715" s="475"/>
      <c r="W4715" s="475"/>
    </row>
    <row r="4716" spans="2:23" s="97" customFormat="1">
      <c r="B4716" s="96"/>
      <c r="H4716" s="96"/>
      <c r="J4716" s="1"/>
      <c r="K4716" s="1"/>
      <c r="L4716" s="1"/>
      <c r="O4716" s="475"/>
      <c r="P4716" s="475"/>
      <c r="Q4716" s="475"/>
      <c r="R4716" s="475"/>
      <c r="S4716" s="475"/>
      <c r="T4716" s="475"/>
      <c r="U4716" s="475"/>
      <c r="V4716" s="475"/>
      <c r="W4716" s="475"/>
    </row>
    <row r="4717" spans="2:23" s="97" customFormat="1">
      <c r="B4717" s="96"/>
      <c r="H4717" s="96"/>
      <c r="J4717" s="1"/>
      <c r="K4717" s="1"/>
      <c r="L4717" s="1"/>
      <c r="O4717" s="475"/>
      <c r="P4717" s="475"/>
      <c r="Q4717" s="475"/>
      <c r="R4717" s="475"/>
      <c r="S4717" s="475"/>
      <c r="T4717" s="475"/>
      <c r="U4717" s="475"/>
      <c r="V4717" s="475"/>
      <c r="W4717" s="475"/>
    </row>
    <row r="4718" spans="2:23" s="97" customFormat="1">
      <c r="B4718" s="96"/>
      <c r="H4718" s="96"/>
      <c r="J4718" s="1"/>
      <c r="K4718" s="1"/>
      <c r="L4718" s="1"/>
      <c r="O4718" s="475"/>
      <c r="P4718" s="475"/>
      <c r="Q4718" s="475"/>
      <c r="R4718" s="475"/>
      <c r="S4718" s="475"/>
      <c r="T4718" s="475"/>
      <c r="U4718" s="475"/>
      <c r="V4718" s="475"/>
      <c r="W4718" s="475"/>
    </row>
    <row r="4719" spans="2:23" s="97" customFormat="1">
      <c r="B4719" s="96"/>
      <c r="H4719" s="96"/>
      <c r="J4719" s="1"/>
      <c r="K4719" s="1"/>
      <c r="L4719" s="1"/>
      <c r="O4719" s="475"/>
      <c r="P4719" s="475"/>
      <c r="Q4719" s="475"/>
      <c r="R4719" s="475"/>
      <c r="S4719" s="475"/>
      <c r="T4719" s="475"/>
      <c r="U4719" s="475"/>
      <c r="V4719" s="475"/>
      <c r="W4719" s="475"/>
    </row>
    <row r="4720" spans="2:23" s="97" customFormat="1">
      <c r="B4720" s="96"/>
      <c r="H4720" s="96"/>
      <c r="J4720" s="1"/>
      <c r="K4720" s="1"/>
      <c r="L4720" s="1"/>
      <c r="O4720" s="475"/>
      <c r="P4720" s="475"/>
      <c r="Q4720" s="475"/>
      <c r="R4720" s="475"/>
      <c r="S4720" s="475"/>
      <c r="T4720" s="475"/>
      <c r="U4720" s="475"/>
      <c r="V4720" s="475"/>
      <c r="W4720" s="475"/>
    </row>
    <row r="4721" spans="2:23" s="97" customFormat="1">
      <c r="B4721" s="96"/>
      <c r="H4721" s="96"/>
      <c r="J4721" s="1"/>
      <c r="K4721" s="1"/>
      <c r="L4721" s="1"/>
      <c r="O4721" s="475"/>
      <c r="P4721" s="475"/>
      <c r="Q4721" s="475"/>
      <c r="R4721" s="475"/>
      <c r="S4721" s="475"/>
      <c r="T4721" s="475"/>
      <c r="U4721" s="475"/>
      <c r="V4721" s="475"/>
      <c r="W4721" s="475"/>
    </row>
    <row r="4722" spans="2:23" s="97" customFormat="1">
      <c r="B4722" s="96"/>
      <c r="H4722" s="96"/>
      <c r="J4722" s="1"/>
      <c r="K4722" s="1"/>
      <c r="L4722" s="1"/>
      <c r="O4722" s="475"/>
      <c r="P4722" s="475"/>
      <c r="Q4722" s="475"/>
      <c r="R4722" s="475"/>
      <c r="S4722" s="475"/>
      <c r="T4722" s="475"/>
      <c r="U4722" s="475"/>
      <c r="V4722" s="475"/>
      <c r="W4722" s="475"/>
    </row>
    <row r="4723" spans="2:23" s="97" customFormat="1">
      <c r="B4723" s="96"/>
      <c r="H4723" s="96"/>
      <c r="J4723" s="1"/>
      <c r="K4723" s="1"/>
      <c r="L4723" s="1"/>
      <c r="O4723" s="475"/>
      <c r="P4723" s="475"/>
      <c r="Q4723" s="475"/>
      <c r="R4723" s="475"/>
      <c r="S4723" s="475"/>
      <c r="T4723" s="475"/>
      <c r="U4723" s="475"/>
      <c r="V4723" s="475"/>
      <c r="W4723" s="475"/>
    </row>
    <row r="4724" spans="2:23" s="97" customFormat="1">
      <c r="B4724" s="96"/>
      <c r="H4724" s="96"/>
      <c r="J4724" s="1"/>
      <c r="K4724" s="1"/>
      <c r="L4724" s="1"/>
      <c r="O4724" s="475"/>
      <c r="P4724" s="475"/>
      <c r="Q4724" s="475"/>
      <c r="R4724" s="475"/>
      <c r="S4724" s="475"/>
      <c r="T4724" s="475"/>
      <c r="U4724" s="475"/>
      <c r="V4724" s="475"/>
      <c r="W4724" s="475"/>
    </row>
    <row r="4725" spans="2:23" s="97" customFormat="1">
      <c r="B4725" s="96"/>
      <c r="H4725" s="96"/>
      <c r="J4725" s="1"/>
      <c r="K4725" s="1"/>
      <c r="L4725" s="1"/>
      <c r="O4725" s="475"/>
      <c r="P4725" s="475"/>
      <c r="Q4725" s="475"/>
      <c r="R4725" s="475"/>
      <c r="S4725" s="475"/>
      <c r="T4725" s="475"/>
      <c r="U4725" s="475"/>
      <c r="V4725" s="475"/>
      <c r="W4725" s="475"/>
    </row>
    <row r="4726" spans="2:23" s="97" customFormat="1">
      <c r="B4726" s="96"/>
      <c r="H4726" s="96"/>
      <c r="J4726" s="1"/>
      <c r="K4726" s="1"/>
      <c r="L4726" s="1"/>
      <c r="O4726" s="475"/>
      <c r="P4726" s="475"/>
      <c r="Q4726" s="475"/>
      <c r="R4726" s="475"/>
      <c r="S4726" s="475"/>
      <c r="T4726" s="475"/>
      <c r="U4726" s="475"/>
      <c r="V4726" s="475"/>
      <c r="W4726" s="475"/>
    </row>
    <row r="4727" spans="2:23" s="97" customFormat="1">
      <c r="B4727" s="96"/>
      <c r="H4727" s="96"/>
      <c r="J4727" s="1"/>
      <c r="K4727" s="1"/>
      <c r="L4727" s="1"/>
      <c r="O4727" s="475"/>
      <c r="P4727" s="475"/>
      <c r="Q4727" s="475"/>
      <c r="R4727" s="475"/>
      <c r="S4727" s="475"/>
      <c r="T4727" s="475"/>
      <c r="U4727" s="475"/>
      <c r="V4727" s="475"/>
      <c r="W4727" s="475"/>
    </row>
    <row r="4728" spans="2:23" s="97" customFormat="1">
      <c r="B4728" s="96"/>
      <c r="H4728" s="96"/>
      <c r="J4728" s="1"/>
      <c r="K4728" s="1"/>
      <c r="L4728" s="1"/>
      <c r="O4728" s="475"/>
      <c r="P4728" s="475"/>
      <c r="Q4728" s="475"/>
      <c r="R4728" s="475"/>
      <c r="S4728" s="475"/>
      <c r="T4728" s="475"/>
      <c r="U4728" s="475"/>
      <c r="V4728" s="475"/>
      <c r="W4728" s="475"/>
    </row>
    <row r="4729" spans="2:23" s="97" customFormat="1">
      <c r="B4729" s="96"/>
      <c r="H4729" s="96"/>
      <c r="J4729" s="1"/>
      <c r="K4729" s="1"/>
      <c r="L4729" s="1"/>
      <c r="O4729" s="475"/>
      <c r="P4729" s="475"/>
      <c r="Q4729" s="475"/>
      <c r="R4729" s="475"/>
      <c r="S4729" s="475"/>
      <c r="T4729" s="475"/>
      <c r="U4729" s="475"/>
      <c r="V4729" s="475"/>
      <c r="W4729" s="475"/>
    </row>
    <row r="4730" spans="2:23" s="97" customFormat="1">
      <c r="B4730" s="96"/>
      <c r="H4730" s="96"/>
      <c r="J4730" s="1"/>
      <c r="K4730" s="1"/>
      <c r="L4730" s="1"/>
      <c r="O4730" s="475"/>
      <c r="P4730" s="475"/>
      <c r="Q4730" s="475"/>
      <c r="R4730" s="475"/>
      <c r="S4730" s="475"/>
      <c r="T4730" s="475"/>
      <c r="U4730" s="475"/>
      <c r="V4730" s="475"/>
      <c r="W4730" s="475"/>
    </row>
    <row r="4731" spans="2:23" s="97" customFormat="1">
      <c r="B4731" s="96"/>
      <c r="H4731" s="96"/>
      <c r="J4731" s="1"/>
      <c r="K4731" s="1"/>
      <c r="L4731" s="1"/>
      <c r="O4731" s="475"/>
      <c r="P4731" s="475"/>
      <c r="Q4731" s="475"/>
      <c r="R4731" s="475"/>
      <c r="S4731" s="475"/>
      <c r="T4731" s="475"/>
      <c r="U4731" s="475"/>
      <c r="V4731" s="475"/>
      <c r="W4731" s="475"/>
    </row>
    <row r="4732" spans="2:23" s="97" customFormat="1">
      <c r="B4732" s="96"/>
      <c r="H4732" s="96"/>
      <c r="J4732" s="1"/>
      <c r="K4732" s="1"/>
      <c r="L4732" s="1"/>
      <c r="O4732" s="475"/>
      <c r="P4732" s="475"/>
      <c r="Q4732" s="475"/>
      <c r="R4732" s="475"/>
      <c r="S4732" s="475"/>
      <c r="T4732" s="475"/>
      <c r="U4732" s="475"/>
      <c r="V4732" s="475"/>
      <c r="W4732" s="475"/>
    </row>
    <row r="4733" spans="2:23" s="97" customFormat="1">
      <c r="B4733" s="96"/>
      <c r="H4733" s="96"/>
      <c r="J4733" s="1"/>
      <c r="K4733" s="1"/>
      <c r="L4733" s="1"/>
      <c r="O4733" s="475"/>
      <c r="P4733" s="475"/>
      <c r="Q4733" s="475"/>
      <c r="R4733" s="475"/>
      <c r="S4733" s="475"/>
      <c r="T4733" s="475"/>
      <c r="U4733" s="475"/>
      <c r="V4733" s="475"/>
      <c r="W4733" s="475"/>
    </row>
    <row r="4734" spans="2:23" s="97" customFormat="1">
      <c r="B4734" s="96"/>
      <c r="H4734" s="96"/>
      <c r="J4734" s="1"/>
      <c r="K4734" s="1"/>
      <c r="L4734" s="1"/>
      <c r="O4734" s="475"/>
      <c r="P4734" s="475"/>
      <c r="Q4734" s="475"/>
      <c r="R4734" s="475"/>
      <c r="S4734" s="475"/>
      <c r="T4734" s="475"/>
      <c r="U4734" s="475"/>
      <c r="V4734" s="475"/>
      <c r="W4734" s="475"/>
    </row>
    <row r="4735" spans="2:23" s="97" customFormat="1">
      <c r="B4735" s="96"/>
      <c r="H4735" s="96"/>
      <c r="J4735" s="1"/>
      <c r="K4735" s="1"/>
      <c r="L4735" s="1"/>
      <c r="O4735" s="475"/>
      <c r="P4735" s="475"/>
      <c r="Q4735" s="475"/>
      <c r="R4735" s="475"/>
      <c r="S4735" s="475"/>
      <c r="T4735" s="475"/>
      <c r="U4735" s="475"/>
      <c r="V4735" s="475"/>
      <c r="W4735" s="475"/>
    </row>
    <row r="4736" spans="2:23" s="97" customFormat="1">
      <c r="B4736" s="96"/>
      <c r="H4736" s="96"/>
      <c r="J4736" s="1"/>
      <c r="K4736" s="1"/>
      <c r="L4736" s="1"/>
      <c r="O4736" s="475"/>
      <c r="P4736" s="475"/>
      <c r="Q4736" s="475"/>
      <c r="R4736" s="475"/>
      <c r="S4736" s="475"/>
      <c r="T4736" s="475"/>
      <c r="U4736" s="475"/>
      <c r="V4736" s="475"/>
      <c r="W4736" s="475"/>
    </row>
    <row r="4737" spans="2:23" s="97" customFormat="1">
      <c r="B4737" s="96"/>
      <c r="H4737" s="96"/>
      <c r="J4737" s="1"/>
      <c r="K4737" s="1"/>
      <c r="L4737" s="1"/>
      <c r="O4737" s="475"/>
      <c r="P4737" s="475"/>
      <c r="Q4737" s="475"/>
      <c r="R4737" s="475"/>
      <c r="S4737" s="475"/>
      <c r="T4737" s="475"/>
      <c r="U4737" s="475"/>
      <c r="V4737" s="475"/>
      <c r="W4737" s="475"/>
    </row>
    <row r="4738" spans="2:23" s="97" customFormat="1">
      <c r="B4738" s="96"/>
      <c r="H4738" s="96"/>
      <c r="J4738" s="1"/>
      <c r="K4738" s="1"/>
      <c r="L4738" s="1"/>
      <c r="O4738" s="475"/>
      <c r="P4738" s="475"/>
      <c r="Q4738" s="475"/>
      <c r="R4738" s="475"/>
      <c r="S4738" s="475"/>
      <c r="T4738" s="475"/>
      <c r="U4738" s="475"/>
      <c r="V4738" s="475"/>
      <c r="W4738" s="475"/>
    </row>
    <row r="4739" spans="2:23" s="97" customFormat="1">
      <c r="B4739" s="96"/>
      <c r="H4739" s="96"/>
      <c r="J4739" s="1"/>
      <c r="K4739" s="1"/>
      <c r="L4739" s="1"/>
      <c r="O4739" s="475"/>
      <c r="P4739" s="475"/>
      <c r="Q4739" s="475"/>
      <c r="R4739" s="475"/>
      <c r="S4739" s="475"/>
      <c r="T4739" s="475"/>
      <c r="U4739" s="475"/>
      <c r="V4739" s="475"/>
      <c r="W4739" s="475"/>
    </row>
    <row r="4740" spans="2:23" s="97" customFormat="1">
      <c r="B4740" s="96"/>
      <c r="H4740" s="96"/>
      <c r="J4740" s="1"/>
      <c r="K4740" s="1"/>
      <c r="L4740" s="1"/>
      <c r="O4740" s="475"/>
      <c r="P4740" s="475"/>
      <c r="Q4740" s="475"/>
      <c r="R4740" s="475"/>
      <c r="S4740" s="475"/>
      <c r="T4740" s="475"/>
      <c r="U4740" s="475"/>
      <c r="V4740" s="475"/>
      <c r="W4740" s="475"/>
    </row>
    <row r="4741" spans="2:23" s="97" customFormat="1">
      <c r="B4741" s="96"/>
      <c r="H4741" s="96"/>
      <c r="J4741" s="1"/>
      <c r="K4741" s="1"/>
      <c r="L4741" s="1"/>
      <c r="O4741" s="475"/>
      <c r="P4741" s="475"/>
      <c r="Q4741" s="475"/>
      <c r="R4741" s="475"/>
      <c r="S4741" s="475"/>
      <c r="T4741" s="475"/>
      <c r="U4741" s="475"/>
      <c r="V4741" s="475"/>
      <c r="W4741" s="475"/>
    </row>
    <row r="4742" spans="2:23" s="97" customFormat="1">
      <c r="B4742" s="96"/>
      <c r="H4742" s="96"/>
      <c r="J4742" s="1"/>
      <c r="K4742" s="1"/>
      <c r="L4742" s="1"/>
      <c r="O4742" s="475"/>
      <c r="P4742" s="475"/>
      <c r="Q4742" s="475"/>
      <c r="R4742" s="475"/>
      <c r="S4742" s="475"/>
      <c r="T4742" s="475"/>
      <c r="U4742" s="475"/>
      <c r="V4742" s="475"/>
      <c r="W4742" s="475"/>
    </row>
    <row r="4743" spans="2:23" s="97" customFormat="1">
      <c r="B4743" s="96"/>
      <c r="H4743" s="96"/>
      <c r="J4743" s="1"/>
      <c r="K4743" s="1"/>
      <c r="L4743" s="1"/>
      <c r="O4743" s="475"/>
      <c r="P4743" s="475"/>
      <c r="Q4743" s="475"/>
      <c r="R4743" s="475"/>
      <c r="S4743" s="475"/>
      <c r="T4743" s="475"/>
      <c r="U4743" s="475"/>
      <c r="V4743" s="475"/>
      <c r="W4743" s="475"/>
    </row>
    <row r="4744" spans="2:23" s="97" customFormat="1">
      <c r="B4744" s="96"/>
      <c r="H4744" s="96"/>
      <c r="J4744" s="1"/>
      <c r="K4744" s="1"/>
      <c r="L4744" s="1"/>
      <c r="O4744" s="475"/>
      <c r="P4744" s="475"/>
      <c r="Q4744" s="475"/>
      <c r="R4744" s="475"/>
      <c r="S4744" s="475"/>
      <c r="T4744" s="475"/>
      <c r="U4744" s="475"/>
      <c r="V4744" s="475"/>
      <c r="W4744" s="475"/>
    </row>
    <row r="4745" spans="2:23" s="97" customFormat="1">
      <c r="B4745" s="96"/>
      <c r="H4745" s="96"/>
      <c r="J4745" s="1"/>
      <c r="K4745" s="1"/>
      <c r="L4745" s="1"/>
      <c r="O4745" s="475"/>
      <c r="P4745" s="475"/>
      <c r="Q4745" s="475"/>
      <c r="R4745" s="475"/>
      <c r="S4745" s="475"/>
      <c r="T4745" s="475"/>
      <c r="U4745" s="475"/>
      <c r="V4745" s="475"/>
      <c r="W4745" s="475"/>
    </row>
    <row r="4746" spans="2:23" s="97" customFormat="1">
      <c r="B4746" s="96"/>
      <c r="H4746" s="96"/>
      <c r="J4746" s="1"/>
      <c r="K4746" s="1"/>
      <c r="L4746" s="1"/>
      <c r="O4746" s="475"/>
      <c r="P4746" s="475"/>
      <c r="Q4746" s="475"/>
      <c r="R4746" s="475"/>
      <c r="S4746" s="475"/>
      <c r="T4746" s="475"/>
      <c r="U4746" s="475"/>
      <c r="V4746" s="475"/>
      <c r="W4746" s="475"/>
    </row>
    <row r="4747" spans="2:23" s="97" customFormat="1">
      <c r="B4747" s="96"/>
      <c r="H4747" s="96"/>
      <c r="J4747" s="1"/>
      <c r="K4747" s="1"/>
      <c r="L4747" s="1"/>
      <c r="O4747" s="475"/>
      <c r="P4747" s="475"/>
      <c r="Q4747" s="475"/>
      <c r="R4747" s="475"/>
      <c r="S4747" s="475"/>
      <c r="T4747" s="475"/>
      <c r="U4747" s="475"/>
      <c r="V4747" s="475"/>
      <c r="W4747" s="475"/>
    </row>
    <row r="4748" spans="2:23" s="97" customFormat="1">
      <c r="B4748" s="96"/>
      <c r="H4748" s="96"/>
      <c r="J4748" s="1"/>
      <c r="K4748" s="1"/>
      <c r="L4748" s="1"/>
      <c r="O4748" s="475"/>
      <c r="P4748" s="475"/>
      <c r="Q4748" s="475"/>
      <c r="R4748" s="475"/>
      <c r="S4748" s="475"/>
      <c r="T4748" s="475"/>
      <c r="U4748" s="475"/>
      <c r="V4748" s="475"/>
      <c r="W4748" s="475"/>
    </row>
    <row r="4749" spans="2:23" s="97" customFormat="1">
      <c r="B4749" s="96"/>
      <c r="H4749" s="96"/>
      <c r="J4749" s="1"/>
      <c r="K4749" s="1"/>
      <c r="L4749" s="1"/>
      <c r="O4749" s="475"/>
      <c r="P4749" s="475"/>
      <c r="Q4749" s="475"/>
      <c r="R4749" s="475"/>
      <c r="S4749" s="475"/>
      <c r="T4749" s="475"/>
      <c r="U4749" s="475"/>
      <c r="V4749" s="475"/>
      <c r="W4749" s="475"/>
    </row>
    <row r="4750" spans="2:23" s="97" customFormat="1">
      <c r="B4750" s="96"/>
      <c r="H4750" s="96"/>
      <c r="J4750" s="1"/>
      <c r="K4750" s="1"/>
      <c r="L4750" s="1"/>
      <c r="O4750" s="475"/>
      <c r="P4750" s="475"/>
      <c r="Q4750" s="475"/>
      <c r="R4750" s="475"/>
      <c r="S4750" s="475"/>
      <c r="T4750" s="475"/>
      <c r="U4750" s="475"/>
      <c r="V4750" s="475"/>
      <c r="W4750" s="475"/>
    </row>
    <row r="4751" spans="2:23" s="97" customFormat="1">
      <c r="B4751" s="96"/>
      <c r="H4751" s="96"/>
      <c r="J4751" s="1"/>
      <c r="K4751" s="1"/>
      <c r="L4751" s="1"/>
      <c r="O4751" s="475"/>
      <c r="P4751" s="475"/>
      <c r="Q4751" s="475"/>
      <c r="R4751" s="475"/>
      <c r="S4751" s="475"/>
      <c r="T4751" s="475"/>
      <c r="U4751" s="475"/>
      <c r="V4751" s="475"/>
      <c r="W4751" s="475"/>
    </row>
    <row r="4752" spans="2:23" s="97" customFormat="1">
      <c r="B4752" s="96"/>
      <c r="H4752" s="96"/>
      <c r="J4752" s="1"/>
      <c r="K4752" s="1"/>
      <c r="L4752" s="1"/>
      <c r="O4752" s="475"/>
      <c r="P4752" s="475"/>
      <c r="Q4752" s="475"/>
      <c r="R4752" s="475"/>
      <c r="S4752" s="475"/>
      <c r="T4752" s="475"/>
      <c r="U4752" s="475"/>
      <c r="V4752" s="475"/>
      <c r="W4752" s="475"/>
    </row>
    <row r="4753" spans="2:23" s="97" customFormat="1">
      <c r="B4753" s="96"/>
      <c r="H4753" s="96"/>
      <c r="J4753" s="1"/>
      <c r="K4753" s="1"/>
      <c r="L4753" s="1"/>
      <c r="O4753" s="475"/>
      <c r="P4753" s="475"/>
      <c r="Q4753" s="475"/>
      <c r="R4753" s="475"/>
      <c r="S4753" s="475"/>
      <c r="T4753" s="475"/>
      <c r="U4753" s="475"/>
      <c r="V4753" s="475"/>
      <c r="W4753" s="475"/>
    </row>
    <row r="4754" spans="2:23" s="97" customFormat="1">
      <c r="B4754" s="96"/>
      <c r="H4754" s="96"/>
      <c r="J4754" s="1"/>
      <c r="K4754" s="1"/>
      <c r="L4754" s="1"/>
      <c r="O4754" s="475"/>
      <c r="P4754" s="475"/>
      <c r="Q4754" s="475"/>
      <c r="R4754" s="475"/>
      <c r="S4754" s="475"/>
      <c r="T4754" s="475"/>
      <c r="U4754" s="475"/>
      <c r="V4754" s="475"/>
      <c r="W4754" s="475"/>
    </row>
    <row r="4755" spans="2:23" s="97" customFormat="1">
      <c r="B4755" s="96"/>
      <c r="H4755" s="96"/>
      <c r="J4755" s="1"/>
      <c r="K4755" s="1"/>
      <c r="L4755" s="1"/>
      <c r="O4755" s="475"/>
      <c r="P4755" s="475"/>
      <c r="Q4755" s="475"/>
      <c r="R4755" s="475"/>
      <c r="S4755" s="475"/>
      <c r="T4755" s="475"/>
      <c r="U4755" s="475"/>
      <c r="V4755" s="475"/>
      <c r="W4755" s="475"/>
    </row>
    <row r="4756" spans="2:23" s="97" customFormat="1">
      <c r="B4756" s="96"/>
      <c r="H4756" s="96"/>
      <c r="J4756" s="1"/>
      <c r="K4756" s="1"/>
      <c r="L4756" s="1"/>
      <c r="O4756" s="475"/>
      <c r="P4756" s="475"/>
      <c r="Q4756" s="475"/>
      <c r="R4756" s="475"/>
      <c r="S4756" s="475"/>
      <c r="T4756" s="475"/>
      <c r="U4756" s="475"/>
      <c r="V4756" s="475"/>
      <c r="W4756" s="475"/>
    </row>
    <row r="4757" spans="2:23" s="97" customFormat="1">
      <c r="B4757" s="96"/>
      <c r="H4757" s="96"/>
      <c r="J4757" s="1"/>
      <c r="K4757" s="1"/>
      <c r="L4757" s="1"/>
      <c r="O4757" s="475"/>
      <c r="P4757" s="475"/>
      <c r="Q4757" s="475"/>
      <c r="R4757" s="475"/>
      <c r="S4757" s="475"/>
      <c r="T4757" s="475"/>
      <c r="U4757" s="475"/>
      <c r="V4757" s="475"/>
      <c r="W4757" s="475"/>
    </row>
    <row r="4758" spans="2:23" s="97" customFormat="1">
      <c r="B4758" s="96"/>
      <c r="H4758" s="96"/>
      <c r="J4758" s="1"/>
      <c r="K4758" s="1"/>
      <c r="L4758" s="1"/>
      <c r="O4758" s="475"/>
      <c r="P4758" s="475"/>
      <c r="Q4758" s="475"/>
      <c r="R4758" s="475"/>
      <c r="S4758" s="475"/>
      <c r="T4758" s="475"/>
      <c r="U4758" s="475"/>
      <c r="V4758" s="475"/>
      <c r="W4758" s="475"/>
    </row>
    <row r="4759" spans="2:23" s="97" customFormat="1">
      <c r="B4759" s="96"/>
      <c r="H4759" s="96"/>
      <c r="J4759" s="1"/>
      <c r="K4759" s="1"/>
      <c r="L4759" s="1"/>
      <c r="O4759" s="475"/>
      <c r="P4759" s="475"/>
      <c r="Q4759" s="475"/>
      <c r="R4759" s="475"/>
      <c r="S4759" s="475"/>
      <c r="T4759" s="475"/>
      <c r="U4759" s="475"/>
      <c r="V4759" s="475"/>
      <c r="W4759" s="475"/>
    </row>
    <row r="4760" spans="2:23" s="97" customFormat="1">
      <c r="B4760" s="96"/>
      <c r="H4760" s="96"/>
      <c r="J4760" s="1"/>
      <c r="K4760" s="1"/>
      <c r="L4760" s="1"/>
      <c r="O4760" s="475"/>
      <c r="P4760" s="475"/>
      <c r="Q4760" s="475"/>
      <c r="R4760" s="475"/>
      <c r="S4760" s="475"/>
      <c r="T4760" s="475"/>
      <c r="U4760" s="475"/>
      <c r="V4760" s="475"/>
      <c r="W4760" s="475"/>
    </row>
    <row r="4761" spans="2:23" s="97" customFormat="1">
      <c r="B4761" s="96"/>
      <c r="H4761" s="96"/>
      <c r="J4761" s="1"/>
      <c r="K4761" s="1"/>
      <c r="L4761" s="1"/>
      <c r="O4761" s="475"/>
      <c r="P4761" s="475"/>
      <c r="Q4761" s="475"/>
      <c r="R4761" s="475"/>
      <c r="S4761" s="475"/>
      <c r="T4761" s="475"/>
      <c r="U4761" s="475"/>
      <c r="V4761" s="475"/>
      <c r="W4761" s="475"/>
    </row>
    <row r="4762" spans="2:23" s="97" customFormat="1">
      <c r="B4762" s="96"/>
      <c r="H4762" s="96"/>
      <c r="J4762" s="1"/>
      <c r="K4762" s="1"/>
      <c r="L4762" s="1"/>
      <c r="O4762" s="475"/>
      <c r="P4762" s="475"/>
      <c r="Q4762" s="475"/>
      <c r="R4762" s="475"/>
      <c r="S4762" s="475"/>
      <c r="T4762" s="475"/>
      <c r="U4762" s="475"/>
      <c r="V4762" s="475"/>
      <c r="W4762" s="475"/>
    </row>
    <row r="4763" spans="2:23" s="97" customFormat="1">
      <c r="B4763" s="96"/>
      <c r="H4763" s="96"/>
      <c r="J4763" s="1"/>
      <c r="K4763" s="1"/>
      <c r="L4763" s="1"/>
      <c r="O4763" s="475"/>
      <c r="P4763" s="475"/>
      <c r="Q4763" s="475"/>
      <c r="R4763" s="475"/>
      <c r="S4763" s="475"/>
      <c r="T4763" s="475"/>
      <c r="U4763" s="475"/>
      <c r="V4763" s="475"/>
      <c r="W4763" s="475"/>
    </row>
    <row r="4764" spans="2:23" s="97" customFormat="1">
      <c r="B4764" s="96"/>
      <c r="H4764" s="96"/>
      <c r="J4764" s="1"/>
      <c r="K4764" s="1"/>
      <c r="L4764" s="1"/>
      <c r="O4764" s="475"/>
      <c r="P4764" s="475"/>
      <c r="Q4764" s="475"/>
      <c r="R4764" s="475"/>
      <c r="S4764" s="475"/>
      <c r="T4764" s="475"/>
      <c r="U4764" s="475"/>
      <c r="V4764" s="475"/>
      <c r="W4764" s="475"/>
    </row>
    <row r="4765" spans="2:23" s="97" customFormat="1">
      <c r="B4765" s="96"/>
      <c r="H4765" s="96"/>
      <c r="J4765" s="1"/>
      <c r="K4765" s="1"/>
      <c r="L4765" s="1"/>
      <c r="O4765" s="475"/>
      <c r="P4765" s="475"/>
      <c r="Q4765" s="475"/>
      <c r="R4765" s="475"/>
      <c r="S4765" s="475"/>
      <c r="T4765" s="475"/>
      <c r="U4765" s="475"/>
      <c r="V4765" s="475"/>
      <c r="W4765" s="475"/>
    </row>
    <row r="4766" spans="2:23" s="97" customFormat="1">
      <c r="B4766" s="96"/>
      <c r="H4766" s="96"/>
      <c r="J4766" s="1"/>
      <c r="K4766" s="1"/>
      <c r="L4766" s="1"/>
      <c r="O4766" s="475"/>
      <c r="P4766" s="475"/>
      <c r="Q4766" s="475"/>
      <c r="R4766" s="475"/>
      <c r="S4766" s="475"/>
      <c r="T4766" s="475"/>
      <c r="U4766" s="475"/>
      <c r="V4766" s="475"/>
      <c r="W4766" s="475"/>
    </row>
    <row r="4767" spans="2:23" s="97" customFormat="1">
      <c r="B4767" s="96"/>
      <c r="H4767" s="96"/>
      <c r="J4767" s="1"/>
      <c r="K4767" s="1"/>
      <c r="L4767" s="1"/>
      <c r="O4767" s="475"/>
      <c r="P4767" s="475"/>
      <c r="Q4767" s="475"/>
      <c r="R4767" s="475"/>
      <c r="S4767" s="475"/>
      <c r="T4767" s="475"/>
      <c r="U4767" s="475"/>
      <c r="V4767" s="475"/>
      <c r="W4767" s="475"/>
    </row>
    <row r="4768" spans="2:23" s="97" customFormat="1">
      <c r="B4768" s="96"/>
      <c r="H4768" s="96"/>
      <c r="J4768" s="1"/>
      <c r="K4768" s="1"/>
      <c r="L4768" s="1"/>
      <c r="O4768" s="475"/>
      <c r="P4768" s="475"/>
      <c r="Q4768" s="475"/>
      <c r="R4768" s="475"/>
      <c r="S4768" s="475"/>
      <c r="T4768" s="475"/>
      <c r="U4768" s="475"/>
      <c r="V4768" s="475"/>
      <c r="W4768" s="475"/>
    </row>
    <row r="4769" spans="2:23" s="97" customFormat="1">
      <c r="B4769" s="96"/>
      <c r="H4769" s="96"/>
      <c r="J4769" s="1"/>
      <c r="K4769" s="1"/>
      <c r="L4769" s="1"/>
      <c r="O4769" s="475"/>
      <c r="P4769" s="475"/>
      <c r="Q4769" s="475"/>
      <c r="R4769" s="475"/>
      <c r="S4769" s="475"/>
      <c r="T4769" s="475"/>
      <c r="U4769" s="475"/>
      <c r="V4769" s="475"/>
      <c r="W4769" s="475"/>
    </row>
    <row r="4770" spans="2:23" s="97" customFormat="1">
      <c r="B4770" s="96"/>
      <c r="H4770" s="96"/>
      <c r="J4770" s="1"/>
      <c r="K4770" s="1"/>
      <c r="L4770" s="1"/>
      <c r="O4770" s="475"/>
      <c r="P4770" s="475"/>
      <c r="Q4770" s="475"/>
      <c r="R4770" s="475"/>
      <c r="S4770" s="475"/>
      <c r="T4770" s="475"/>
      <c r="U4770" s="475"/>
      <c r="V4770" s="475"/>
      <c r="W4770" s="475"/>
    </row>
    <row r="4771" spans="2:23" s="97" customFormat="1">
      <c r="B4771" s="96"/>
      <c r="H4771" s="96"/>
      <c r="J4771" s="1"/>
      <c r="K4771" s="1"/>
      <c r="L4771" s="1"/>
      <c r="O4771" s="475"/>
      <c r="P4771" s="475"/>
      <c r="Q4771" s="475"/>
      <c r="R4771" s="475"/>
      <c r="S4771" s="475"/>
      <c r="T4771" s="475"/>
      <c r="U4771" s="475"/>
      <c r="V4771" s="475"/>
      <c r="W4771" s="475"/>
    </row>
    <row r="4772" spans="2:23" s="97" customFormat="1">
      <c r="B4772" s="96"/>
      <c r="H4772" s="96"/>
      <c r="J4772" s="1"/>
      <c r="K4772" s="1"/>
      <c r="L4772" s="1"/>
      <c r="O4772" s="475"/>
      <c r="P4772" s="475"/>
      <c r="Q4772" s="475"/>
      <c r="R4772" s="475"/>
      <c r="S4772" s="475"/>
      <c r="T4772" s="475"/>
      <c r="U4772" s="475"/>
      <c r="V4772" s="475"/>
      <c r="W4772" s="475"/>
    </row>
    <row r="4773" spans="2:23" s="97" customFormat="1">
      <c r="B4773" s="96"/>
      <c r="H4773" s="96"/>
      <c r="J4773" s="1"/>
      <c r="K4773" s="1"/>
      <c r="L4773" s="1"/>
      <c r="O4773" s="475"/>
      <c r="P4773" s="475"/>
      <c r="Q4773" s="475"/>
      <c r="R4773" s="475"/>
      <c r="S4773" s="475"/>
      <c r="T4773" s="475"/>
      <c r="U4773" s="475"/>
      <c r="V4773" s="475"/>
      <c r="W4773" s="475"/>
    </row>
    <row r="4774" spans="2:23" s="97" customFormat="1">
      <c r="B4774" s="96"/>
      <c r="H4774" s="96"/>
      <c r="J4774" s="1"/>
      <c r="K4774" s="1"/>
      <c r="L4774" s="1"/>
      <c r="O4774" s="475"/>
      <c r="P4774" s="475"/>
      <c r="Q4774" s="475"/>
      <c r="R4774" s="475"/>
      <c r="S4774" s="475"/>
      <c r="T4774" s="475"/>
      <c r="U4774" s="475"/>
      <c r="V4774" s="475"/>
      <c r="W4774" s="475"/>
    </row>
    <row r="4775" spans="2:23" s="97" customFormat="1">
      <c r="B4775" s="96"/>
      <c r="H4775" s="96"/>
      <c r="J4775" s="1"/>
      <c r="K4775" s="1"/>
      <c r="L4775" s="1"/>
      <c r="O4775" s="475"/>
      <c r="P4775" s="475"/>
      <c r="Q4775" s="475"/>
      <c r="R4775" s="475"/>
      <c r="S4775" s="475"/>
      <c r="T4775" s="475"/>
      <c r="U4775" s="475"/>
      <c r="V4775" s="475"/>
      <c r="W4775" s="475"/>
    </row>
    <row r="4776" spans="2:23" s="97" customFormat="1">
      <c r="B4776" s="96"/>
      <c r="H4776" s="96"/>
      <c r="J4776" s="1"/>
      <c r="K4776" s="1"/>
      <c r="L4776" s="1"/>
      <c r="O4776" s="475"/>
      <c r="P4776" s="475"/>
      <c r="Q4776" s="475"/>
      <c r="R4776" s="475"/>
      <c r="S4776" s="475"/>
      <c r="T4776" s="475"/>
      <c r="U4776" s="475"/>
      <c r="V4776" s="475"/>
      <c r="W4776" s="475"/>
    </row>
    <row r="4777" spans="2:23" s="97" customFormat="1">
      <c r="B4777" s="96"/>
      <c r="H4777" s="96"/>
      <c r="J4777" s="1"/>
      <c r="K4777" s="1"/>
      <c r="L4777" s="1"/>
      <c r="O4777" s="475"/>
      <c r="P4777" s="475"/>
      <c r="Q4777" s="475"/>
      <c r="R4777" s="475"/>
      <c r="S4777" s="475"/>
      <c r="T4777" s="475"/>
      <c r="U4777" s="475"/>
      <c r="V4777" s="475"/>
      <c r="W4777" s="475"/>
    </row>
    <row r="4778" spans="2:23" s="97" customFormat="1">
      <c r="B4778" s="96"/>
      <c r="H4778" s="96"/>
      <c r="J4778" s="1"/>
      <c r="K4778" s="1"/>
      <c r="L4778" s="1"/>
      <c r="O4778" s="475"/>
      <c r="P4778" s="475"/>
      <c r="Q4778" s="475"/>
      <c r="R4778" s="475"/>
      <c r="S4778" s="475"/>
      <c r="T4778" s="475"/>
      <c r="U4778" s="475"/>
      <c r="V4778" s="475"/>
      <c r="W4778" s="475"/>
    </row>
    <row r="4779" spans="2:23" s="97" customFormat="1">
      <c r="B4779" s="96"/>
      <c r="H4779" s="96"/>
      <c r="J4779" s="1"/>
      <c r="K4779" s="1"/>
      <c r="L4779" s="1"/>
      <c r="O4779" s="475"/>
      <c r="P4779" s="475"/>
      <c r="Q4779" s="475"/>
      <c r="R4779" s="475"/>
      <c r="S4779" s="475"/>
      <c r="T4779" s="475"/>
      <c r="U4779" s="475"/>
      <c r="V4779" s="475"/>
      <c r="W4779" s="475"/>
    </row>
    <row r="4780" spans="2:23" s="97" customFormat="1">
      <c r="B4780" s="96"/>
      <c r="H4780" s="96"/>
      <c r="J4780" s="1"/>
      <c r="K4780" s="1"/>
      <c r="L4780" s="1"/>
      <c r="O4780" s="475"/>
      <c r="P4780" s="475"/>
      <c r="Q4780" s="475"/>
      <c r="R4780" s="475"/>
      <c r="S4780" s="475"/>
      <c r="T4780" s="475"/>
      <c r="U4780" s="475"/>
      <c r="V4780" s="475"/>
      <c r="W4780" s="475"/>
    </row>
    <row r="4781" spans="2:23" s="97" customFormat="1">
      <c r="B4781" s="96"/>
      <c r="H4781" s="96"/>
      <c r="J4781" s="1"/>
      <c r="K4781" s="1"/>
      <c r="L4781" s="1"/>
      <c r="O4781" s="475"/>
      <c r="P4781" s="475"/>
      <c r="Q4781" s="475"/>
      <c r="R4781" s="475"/>
      <c r="S4781" s="475"/>
      <c r="T4781" s="475"/>
      <c r="U4781" s="475"/>
      <c r="V4781" s="475"/>
      <c r="W4781" s="475"/>
    </row>
    <row r="4782" spans="2:23" s="97" customFormat="1">
      <c r="B4782" s="96"/>
      <c r="H4782" s="96"/>
      <c r="J4782" s="1"/>
      <c r="K4782" s="1"/>
      <c r="L4782" s="1"/>
      <c r="O4782" s="475"/>
      <c r="P4782" s="475"/>
      <c r="Q4782" s="475"/>
      <c r="R4782" s="475"/>
      <c r="S4782" s="475"/>
      <c r="T4782" s="475"/>
      <c r="U4782" s="475"/>
      <c r="V4782" s="475"/>
      <c r="W4782" s="475"/>
    </row>
    <row r="4783" spans="2:23" s="97" customFormat="1">
      <c r="B4783" s="96"/>
      <c r="H4783" s="96"/>
      <c r="J4783" s="1"/>
      <c r="K4783" s="1"/>
      <c r="L4783" s="1"/>
      <c r="O4783" s="475"/>
      <c r="P4783" s="475"/>
      <c r="Q4783" s="475"/>
      <c r="R4783" s="475"/>
      <c r="S4783" s="475"/>
      <c r="T4783" s="475"/>
      <c r="U4783" s="475"/>
      <c r="V4783" s="475"/>
      <c r="W4783" s="475"/>
    </row>
    <row r="4784" spans="2:23" s="97" customFormat="1">
      <c r="B4784" s="96"/>
      <c r="H4784" s="96"/>
      <c r="J4784" s="1"/>
      <c r="K4784" s="1"/>
      <c r="L4784" s="1"/>
      <c r="O4784" s="475"/>
      <c r="P4784" s="475"/>
      <c r="Q4784" s="475"/>
      <c r="R4784" s="475"/>
      <c r="S4784" s="475"/>
      <c r="T4784" s="475"/>
      <c r="U4784" s="475"/>
      <c r="V4784" s="475"/>
      <c r="W4784" s="475"/>
    </row>
    <row r="4785" spans="2:23" s="97" customFormat="1">
      <c r="B4785" s="96"/>
      <c r="H4785" s="96"/>
      <c r="J4785" s="1"/>
      <c r="K4785" s="1"/>
      <c r="L4785" s="1"/>
      <c r="O4785" s="475"/>
      <c r="P4785" s="475"/>
      <c r="Q4785" s="475"/>
      <c r="R4785" s="475"/>
      <c r="S4785" s="475"/>
      <c r="T4785" s="475"/>
      <c r="U4785" s="475"/>
      <c r="V4785" s="475"/>
      <c r="W4785" s="475"/>
    </row>
    <row r="4786" spans="2:23" s="97" customFormat="1">
      <c r="B4786" s="96"/>
      <c r="H4786" s="96"/>
      <c r="J4786" s="1"/>
      <c r="K4786" s="1"/>
      <c r="L4786" s="1"/>
      <c r="O4786" s="475"/>
      <c r="P4786" s="475"/>
      <c r="Q4786" s="475"/>
      <c r="R4786" s="475"/>
      <c r="S4786" s="475"/>
      <c r="T4786" s="475"/>
      <c r="U4786" s="475"/>
      <c r="V4786" s="475"/>
      <c r="W4786" s="475"/>
    </row>
    <row r="4787" spans="2:23" s="97" customFormat="1">
      <c r="B4787" s="96"/>
      <c r="H4787" s="96"/>
      <c r="J4787" s="1"/>
      <c r="K4787" s="1"/>
      <c r="L4787" s="1"/>
      <c r="O4787" s="475"/>
      <c r="P4787" s="475"/>
      <c r="Q4787" s="475"/>
      <c r="R4787" s="475"/>
      <c r="S4787" s="475"/>
      <c r="T4787" s="475"/>
      <c r="U4787" s="475"/>
      <c r="V4787" s="475"/>
      <c r="W4787" s="475"/>
    </row>
    <row r="4788" spans="2:23" s="97" customFormat="1">
      <c r="B4788" s="96"/>
      <c r="H4788" s="96"/>
      <c r="J4788" s="1"/>
      <c r="K4788" s="1"/>
      <c r="L4788" s="1"/>
      <c r="O4788" s="475"/>
      <c r="P4788" s="475"/>
      <c r="Q4788" s="475"/>
      <c r="R4788" s="475"/>
      <c r="S4788" s="475"/>
      <c r="T4788" s="475"/>
      <c r="U4788" s="475"/>
      <c r="V4788" s="475"/>
      <c r="W4788" s="475"/>
    </row>
    <row r="4789" spans="2:23" s="97" customFormat="1">
      <c r="B4789" s="96"/>
      <c r="H4789" s="96"/>
      <c r="J4789" s="1"/>
      <c r="K4789" s="1"/>
      <c r="L4789" s="1"/>
      <c r="O4789" s="475"/>
      <c r="P4789" s="475"/>
      <c r="Q4789" s="475"/>
      <c r="R4789" s="475"/>
      <c r="S4789" s="475"/>
      <c r="T4789" s="475"/>
      <c r="U4789" s="475"/>
      <c r="V4789" s="475"/>
      <c r="W4789" s="475"/>
    </row>
    <row r="4790" spans="2:23" s="97" customFormat="1">
      <c r="B4790" s="96"/>
      <c r="H4790" s="96"/>
      <c r="J4790" s="1"/>
      <c r="K4790" s="1"/>
      <c r="L4790" s="1"/>
      <c r="O4790" s="475"/>
      <c r="P4790" s="475"/>
      <c r="Q4790" s="475"/>
      <c r="R4790" s="475"/>
      <c r="S4790" s="475"/>
      <c r="T4790" s="475"/>
      <c r="U4790" s="475"/>
      <c r="V4790" s="475"/>
      <c r="W4790" s="475"/>
    </row>
    <row r="4791" spans="2:23" s="97" customFormat="1">
      <c r="B4791" s="96"/>
      <c r="H4791" s="96"/>
      <c r="J4791" s="1"/>
      <c r="K4791" s="1"/>
      <c r="L4791" s="1"/>
      <c r="O4791" s="475"/>
      <c r="P4791" s="475"/>
      <c r="Q4791" s="475"/>
      <c r="R4791" s="475"/>
      <c r="S4791" s="475"/>
      <c r="T4791" s="475"/>
      <c r="U4791" s="475"/>
      <c r="V4791" s="475"/>
      <c r="W4791" s="475"/>
    </row>
    <row r="4792" spans="2:23" s="97" customFormat="1">
      <c r="B4792" s="96"/>
      <c r="H4792" s="96"/>
      <c r="J4792" s="1"/>
      <c r="K4792" s="1"/>
      <c r="L4792" s="1"/>
      <c r="O4792" s="475"/>
      <c r="P4792" s="475"/>
      <c r="Q4792" s="475"/>
      <c r="R4792" s="475"/>
      <c r="S4792" s="475"/>
      <c r="T4792" s="475"/>
      <c r="U4792" s="475"/>
      <c r="V4792" s="475"/>
      <c r="W4792" s="475"/>
    </row>
    <row r="4793" spans="2:23" s="97" customFormat="1">
      <c r="B4793" s="96"/>
      <c r="H4793" s="96"/>
      <c r="J4793" s="1"/>
      <c r="K4793" s="1"/>
      <c r="L4793" s="1"/>
      <c r="O4793" s="475"/>
      <c r="P4793" s="475"/>
      <c r="Q4793" s="475"/>
      <c r="R4793" s="475"/>
      <c r="S4793" s="475"/>
      <c r="T4793" s="475"/>
      <c r="U4793" s="475"/>
      <c r="V4793" s="475"/>
      <c r="W4793" s="475"/>
    </row>
    <row r="4794" spans="2:23" s="97" customFormat="1">
      <c r="B4794" s="96"/>
      <c r="H4794" s="96"/>
      <c r="J4794" s="1"/>
      <c r="K4794" s="1"/>
      <c r="L4794" s="1"/>
      <c r="O4794" s="475"/>
      <c r="P4794" s="475"/>
      <c r="Q4794" s="475"/>
      <c r="R4794" s="475"/>
      <c r="S4794" s="475"/>
      <c r="T4794" s="475"/>
      <c r="U4794" s="475"/>
      <c r="V4794" s="475"/>
      <c r="W4794" s="475"/>
    </row>
    <row r="4795" spans="2:23" s="97" customFormat="1">
      <c r="B4795" s="96"/>
      <c r="H4795" s="96"/>
      <c r="J4795" s="1"/>
      <c r="K4795" s="1"/>
      <c r="L4795" s="1"/>
      <c r="O4795" s="475"/>
      <c r="P4795" s="475"/>
      <c r="Q4795" s="475"/>
      <c r="R4795" s="475"/>
      <c r="S4795" s="475"/>
      <c r="T4795" s="475"/>
      <c r="U4795" s="475"/>
      <c r="V4795" s="475"/>
      <c r="W4795" s="475"/>
    </row>
    <row r="4796" spans="2:23" s="97" customFormat="1">
      <c r="B4796" s="96"/>
      <c r="H4796" s="96"/>
      <c r="J4796" s="1"/>
      <c r="K4796" s="1"/>
      <c r="L4796" s="1"/>
      <c r="O4796" s="475"/>
      <c r="P4796" s="475"/>
      <c r="Q4796" s="475"/>
      <c r="R4796" s="475"/>
      <c r="S4796" s="475"/>
      <c r="T4796" s="475"/>
      <c r="U4796" s="475"/>
      <c r="V4796" s="475"/>
      <c r="W4796" s="475"/>
    </row>
    <row r="4797" spans="2:23" s="97" customFormat="1">
      <c r="B4797" s="96"/>
      <c r="H4797" s="96"/>
      <c r="J4797" s="1"/>
      <c r="K4797" s="1"/>
      <c r="L4797" s="1"/>
      <c r="O4797" s="475"/>
      <c r="P4797" s="475"/>
      <c r="Q4797" s="475"/>
      <c r="R4797" s="475"/>
      <c r="S4797" s="475"/>
      <c r="T4797" s="475"/>
      <c r="U4797" s="475"/>
      <c r="V4797" s="475"/>
      <c r="W4797" s="475"/>
    </row>
    <row r="4798" spans="2:23" s="97" customFormat="1">
      <c r="B4798" s="96"/>
      <c r="H4798" s="96"/>
      <c r="J4798" s="1"/>
      <c r="K4798" s="1"/>
      <c r="L4798" s="1"/>
      <c r="O4798" s="475"/>
      <c r="P4798" s="475"/>
      <c r="Q4798" s="475"/>
      <c r="R4798" s="475"/>
      <c r="S4798" s="475"/>
      <c r="T4798" s="475"/>
      <c r="U4798" s="475"/>
      <c r="V4798" s="475"/>
      <c r="W4798" s="475"/>
    </row>
    <row r="4799" spans="2:23" s="97" customFormat="1">
      <c r="B4799" s="96"/>
      <c r="H4799" s="96"/>
      <c r="J4799" s="1"/>
      <c r="K4799" s="1"/>
      <c r="L4799" s="1"/>
      <c r="O4799" s="475"/>
      <c r="P4799" s="475"/>
      <c r="Q4799" s="475"/>
      <c r="R4799" s="475"/>
      <c r="S4799" s="475"/>
      <c r="T4799" s="475"/>
      <c r="U4799" s="475"/>
      <c r="V4799" s="475"/>
      <c r="W4799" s="475"/>
    </row>
    <row r="4800" spans="2:23" s="97" customFormat="1">
      <c r="B4800" s="96"/>
      <c r="H4800" s="96"/>
      <c r="J4800" s="1"/>
      <c r="K4800" s="1"/>
      <c r="L4800" s="1"/>
      <c r="O4800" s="475"/>
      <c r="P4800" s="475"/>
      <c r="Q4800" s="475"/>
      <c r="R4800" s="475"/>
      <c r="S4800" s="475"/>
      <c r="T4800" s="475"/>
      <c r="U4800" s="475"/>
      <c r="V4800" s="475"/>
      <c r="W4800" s="475"/>
    </row>
    <row r="4801" spans="2:23" s="97" customFormat="1">
      <c r="B4801" s="96"/>
      <c r="H4801" s="96"/>
      <c r="J4801" s="1"/>
      <c r="K4801" s="1"/>
      <c r="L4801" s="1"/>
      <c r="O4801" s="475"/>
      <c r="P4801" s="475"/>
      <c r="Q4801" s="475"/>
      <c r="R4801" s="475"/>
      <c r="S4801" s="475"/>
      <c r="T4801" s="475"/>
      <c r="U4801" s="475"/>
      <c r="V4801" s="475"/>
      <c r="W4801" s="475"/>
    </row>
    <row r="4802" spans="2:23" s="97" customFormat="1">
      <c r="B4802" s="96"/>
      <c r="H4802" s="96"/>
      <c r="J4802" s="1"/>
      <c r="K4802" s="1"/>
      <c r="L4802" s="1"/>
      <c r="O4802" s="475"/>
      <c r="P4802" s="475"/>
      <c r="Q4802" s="475"/>
      <c r="R4802" s="475"/>
      <c r="S4802" s="475"/>
      <c r="T4802" s="475"/>
      <c r="U4802" s="475"/>
      <c r="V4802" s="475"/>
      <c r="W4802" s="475"/>
    </row>
    <row r="4803" spans="2:23" s="97" customFormat="1">
      <c r="B4803" s="96"/>
      <c r="H4803" s="96"/>
      <c r="J4803" s="1"/>
      <c r="K4803" s="1"/>
      <c r="L4803" s="1"/>
      <c r="O4803" s="475"/>
      <c r="P4803" s="475"/>
      <c r="Q4803" s="475"/>
      <c r="R4803" s="475"/>
      <c r="S4803" s="475"/>
      <c r="T4803" s="475"/>
      <c r="U4803" s="475"/>
      <c r="V4803" s="475"/>
      <c r="W4803" s="475"/>
    </row>
    <row r="4804" spans="2:23" s="97" customFormat="1">
      <c r="B4804" s="96"/>
      <c r="H4804" s="96"/>
      <c r="J4804" s="1"/>
      <c r="K4804" s="1"/>
      <c r="L4804" s="1"/>
      <c r="O4804" s="475"/>
      <c r="P4804" s="475"/>
      <c r="Q4804" s="475"/>
      <c r="R4804" s="475"/>
      <c r="S4804" s="475"/>
      <c r="T4804" s="475"/>
      <c r="U4804" s="475"/>
      <c r="V4804" s="475"/>
      <c r="W4804" s="475"/>
    </row>
    <row r="4805" spans="2:23" s="97" customFormat="1">
      <c r="B4805" s="96"/>
      <c r="H4805" s="96"/>
      <c r="J4805" s="1"/>
      <c r="K4805" s="1"/>
      <c r="L4805" s="1"/>
      <c r="O4805" s="475"/>
      <c r="P4805" s="475"/>
      <c r="Q4805" s="475"/>
      <c r="R4805" s="475"/>
      <c r="S4805" s="475"/>
      <c r="T4805" s="475"/>
      <c r="U4805" s="475"/>
      <c r="V4805" s="475"/>
      <c r="W4805" s="475"/>
    </row>
    <row r="4806" spans="2:23" s="97" customFormat="1">
      <c r="B4806" s="96"/>
      <c r="H4806" s="96"/>
      <c r="J4806" s="1"/>
      <c r="K4806" s="1"/>
      <c r="L4806" s="1"/>
      <c r="O4806" s="475"/>
      <c r="P4806" s="475"/>
      <c r="Q4806" s="475"/>
      <c r="R4806" s="475"/>
      <c r="S4806" s="475"/>
      <c r="T4806" s="475"/>
      <c r="U4806" s="475"/>
      <c r="V4806" s="475"/>
      <c r="W4806" s="475"/>
    </row>
    <row r="4807" spans="2:23" s="97" customFormat="1">
      <c r="B4807" s="96"/>
      <c r="H4807" s="96"/>
      <c r="J4807" s="1"/>
      <c r="K4807" s="1"/>
      <c r="L4807" s="1"/>
      <c r="O4807" s="475"/>
      <c r="P4807" s="475"/>
      <c r="Q4807" s="475"/>
      <c r="R4807" s="475"/>
      <c r="S4807" s="475"/>
      <c r="T4807" s="475"/>
      <c r="U4807" s="475"/>
      <c r="V4807" s="475"/>
      <c r="W4807" s="475"/>
    </row>
    <row r="4808" spans="2:23" s="97" customFormat="1">
      <c r="B4808" s="96"/>
      <c r="H4808" s="96"/>
      <c r="J4808" s="1"/>
      <c r="K4808" s="1"/>
      <c r="L4808" s="1"/>
      <c r="O4808" s="475"/>
      <c r="P4808" s="475"/>
      <c r="Q4808" s="475"/>
      <c r="R4808" s="475"/>
      <c r="S4808" s="475"/>
      <c r="T4808" s="475"/>
      <c r="U4808" s="475"/>
      <c r="V4808" s="475"/>
      <c r="W4808" s="475"/>
    </row>
    <row r="4809" spans="2:23" s="97" customFormat="1">
      <c r="B4809" s="96"/>
      <c r="H4809" s="96"/>
      <c r="J4809" s="1"/>
      <c r="K4809" s="1"/>
      <c r="L4809" s="1"/>
      <c r="O4809" s="475"/>
      <c r="P4809" s="475"/>
      <c r="Q4809" s="475"/>
      <c r="R4809" s="475"/>
      <c r="S4809" s="475"/>
      <c r="T4809" s="475"/>
      <c r="U4809" s="475"/>
      <c r="V4809" s="475"/>
      <c r="W4809" s="475"/>
    </row>
    <row r="4810" spans="2:23" s="97" customFormat="1">
      <c r="B4810" s="96"/>
      <c r="H4810" s="96"/>
      <c r="J4810" s="1"/>
      <c r="K4810" s="1"/>
      <c r="L4810" s="1"/>
      <c r="O4810" s="475"/>
      <c r="P4810" s="475"/>
      <c r="Q4810" s="475"/>
      <c r="R4810" s="475"/>
      <c r="S4810" s="475"/>
      <c r="T4810" s="475"/>
      <c r="U4810" s="475"/>
      <c r="V4810" s="475"/>
      <c r="W4810" s="475"/>
    </row>
    <row r="4811" spans="2:23" s="97" customFormat="1">
      <c r="B4811" s="96"/>
      <c r="H4811" s="96"/>
      <c r="J4811" s="1"/>
      <c r="K4811" s="1"/>
      <c r="L4811" s="1"/>
      <c r="O4811" s="475"/>
      <c r="P4811" s="475"/>
      <c r="Q4811" s="475"/>
      <c r="R4811" s="475"/>
      <c r="S4811" s="475"/>
      <c r="T4811" s="475"/>
      <c r="U4811" s="475"/>
      <c r="V4811" s="475"/>
      <c r="W4811" s="475"/>
    </row>
    <row r="4812" spans="2:23" s="97" customFormat="1">
      <c r="B4812" s="96"/>
      <c r="H4812" s="96"/>
      <c r="J4812" s="1"/>
      <c r="K4812" s="1"/>
      <c r="L4812" s="1"/>
      <c r="O4812" s="475"/>
      <c r="P4812" s="475"/>
      <c r="Q4812" s="475"/>
      <c r="R4812" s="475"/>
      <c r="S4812" s="475"/>
      <c r="T4812" s="475"/>
      <c r="U4812" s="475"/>
      <c r="V4812" s="475"/>
      <c r="W4812" s="475"/>
    </row>
    <row r="4813" spans="2:23" s="97" customFormat="1">
      <c r="B4813" s="96"/>
      <c r="H4813" s="96"/>
      <c r="J4813" s="1"/>
      <c r="K4813" s="1"/>
      <c r="L4813" s="1"/>
      <c r="O4813" s="475"/>
      <c r="P4813" s="475"/>
      <c r="Q4813" s="475"/>
      <c r="R4813" s="475"/>
      <c r="S4813" s="475"/>
      <c r="T4813" s="475"/>
      <c r="U4813" s="475"/>
      <c r="V4813" s="475"/>
      <c r="W4813" s="475"/>
    </row>
    <row r="4814" spans="2:23" s="97" customFormat="1">
      <c r="B4814" s="96"/>
      <c r="H4814" s="96"/>
      <c r="J4814" s="1"/>
      <c r="K4814" s="1"/>
      <c r="L4814" s="1"/>
      <c r="O4814" s="475"/>
      <c r="P4814" s="475"/>
      <c r="Q4814" s="475"/>
      <c r="R4814" s="475"/>
      <c r="S4814" s="475"/>
      <c r="T4814" s="475"/>
      <c r="U4814" s="475"/>
      <c r="V4814" s="475"/>
      <c r="W4814" s="475"/>
    </row>
    <row r="4815" spans="2:23" s="97" customFormat="1">
      <c r="B4815" s="96"/>
      <c r="H4815" s="96"/>
      <c r="J4815" s="1"/>
      <c r="K4815" s="1"/>
      <c r="L4815" s="1"/>
      <c r="O4815" s="475"/>
      <c r="P4815" s="475"/>
      <c r="Q4815" s="475"/>
      <c r="R4815" s="475"/>
      <c r="S4815" s="475"/>
      <c r="T4815" s="475"/>
      <c r="U4815" s="475"/>
      <c r="V4815" s="475"/>
      <c r="W4815" s="475"/>
    </row>
    <row r="4816" spans="2:23" s="97" customFormat="1">
      <c r="B4816" s="96"/>
      <c r="H4816" s="96"/>
      <c r="J4816" s="1"/>
      <c r="K4816" s="1"/>
      <c r="L4816" s="1"/>
      <c r="O4816" s="475"/>
      <c r="P4816" s="475"/>
      <c r="Q4816" s="475"/>
      <c r="R4816" s="475"/>
      <c r="S4816" s="475"/>
      <c r="T4816" s="475"/>
      <c r="U4816" s="475"/>
      <c r="V4816" s="475"/>
      <c r="W4816" s="475"/>
    </row>
    <row r="4817" spans="2:23" s="97" customFormat="1">
      <c r="B4817" s="96"/>
      <c r="H4817" s="96"/>
      <c r="J4817" s="1"/>
      <c r="K4817" s="1"/>
      <c r="L4817" s="1"/>
      <c r="O4817" s="475"/>
      <c r="P4817" s="475"/>
      <c r="Q4817" s="475"/>
      <c r="R4817" s="475"/>
      <c r="S4817" s="475"/>
      <c r="T4817" s="475"/>
      <c r="U4817" s="475"/>
      <c r="V4817" s="475"/>
      <c r="W4817" s="475"/>
    </row>
    <row r="4818" spans="2:23" s="97" customFormat="1">
      <c r="B4818" s="96"/>
      <c r="H4818" s="96"/>
      <c r="J4818" s="1"/>
      <c r="K4818" s="1"/>
      <c r="L4818" s="1"/>
      <c r="O4818" s="475"/>
      <c r="P4818" s="475"/>
      <c r="Q4818" s="475"/>
      <c r="R4818" s="475"/>
      <c r="S4818" s="475"/>
      <c r="T4818" s="475"/>
      <c r="U4818" s="475"/>
      <c r="V4818" s="475"/>
      <c r="W4818" s="475"/>
    </row>
    <row r="4819" spans="2:23" s="97" customFormat="1">
      <c r="B4819" s="96"/>
      <c r="H4819" s="96"/>
      <c r="J4819" s="1"/>
      <c r="K4819" s="1"/>
      <c r="L4819" s="1"/>
      <c r="O4819" s="475"/>
      <c r="P4819" s="475"/>
      <c r="Q4819" s="475"/>
      <c r="R4819" s="475"/>
      <c r="S4819" s="475"/>
      <c r="T4819" s="475"/>
      <c r="U4819" s="475"/>
      <c r="V4819" s="475"/>
      <c r="W4819" s="475"/>
    </row>
    <row r="4820" spans="2:23" s="97" customFormat="1">
      <c r="B4820" s="96"/>
      <c r="H4820" s="96"/>
      <c r="J4820" s="1"/>
      <c r="K4820" s="1"/>
      <c r="L4820" s="1"/>
      <c r="O4820" s="475"/>
      <c r="P4820" s="475"/>
      <c r="Q4820" s="475"/>
      <c r="R4820" s="475"/>
      <c r="S4820" s="475"/>
      <c r="T4820" s="475"/>
      <c r="U4820" s="475"/>
      <c r="V4820" s="475"/>
      <c r="W4820" s="475"/>
    </row>
    <row r="4821" spans="2:23" s="97" customFormat="1">
      <c r="B4821" s="96"/>
      <c r="H4821" s="96"/>
      <c r="J4821" s="1"/>
      <c r="K4821" s="1"/>
      <c r="L4821" s="1"/>
      <c r="O4821" s="475"/>
      <c r="P4821" s="475"/>
      <c r="Q4821" s="475"/>
      <c r="R4821" s="475"/>
      <c r="S4821" s="475"/>
      <c r="T4821" s="475"/>
      <c r="U4821" s="475"/>
      <c r="V4821" s="475"/>
      <c r="W4821" s="475"/>
    </row>
    <row r="4822" spans="2:23" s="97" customFormat="1">
      <c r="B4822" s="96"/>
      <c r="H4822" s="96"/>
      <c r="J4822" s="1"/>
      <c r="K4822" s="1"/>
      <c r="L4822" s="1"/>
      <c r="O4822" s="475"/>
      <c r="P4822" s="475"/>
      <c r="Q4822" s="475"/>
      <c r="R4822" s="475"/>
      <c r="S4822" s="475"/>
      <c r="T4822" s="475"/>
      <c r="U4822" s="475"/>
      <c r="V4822" s="475"/>
      <c r="W4822" s="475"/>
    </row>
    <row r="4823" spans="2:23" s="97" customFormat="1">
      <c r="B4823" s="96"/>
      <c r="H4823" s="96"/>
      <c r="J4823" s="1"/>
      <c r="K4823" s="1"/>
      <c r="L4823" s="1"/>
      <c r="O4823" s="475"/>
      <c r="P4823" s="475"/>
      <c r="Q4823" s="475"/>
      <c r="R4823" s="475"/>
      <c r="S4823" s="475"/>
      <c r="T4823" s="475"/>
      <c r="U4823" s="475"/>
      <c r="V4823" s="475"/>
      <c r="W4823" s="475"/>
    </row>
    <row r="4824" spans="2:23" s="97" customFormat="1">
      <c r="B4824" s="96"/>
      <c r="H4824" s="96"/>
      <c r="J4824" s="1"/>
      <c r="K4824" s="1"/>
      <c r="L4824" s="1"/>
      <c r="O4824" s="475"/>
      <c r="P4824" s="475"/>
      <c r="Q4824" s="475"/>
      <c r="R4824" s="475"/>
      <c r="S4824" s="475"/>
      <c r="T4824" s="475"/>
      <c r="U4824" s="475"/>
      <c r="V4824" s="475"/>
      <c r="W4824" s="475"/>
    </row>
    <row r="4825" spans="2:23" s="97" customFormat="1">
      <c r="B4825" s="96"/>
      <c r="H4825" s="96"/>
      <c r="J4825" s="1"/>
      <c r="K4825" s="1"/>
      <c r="L4825" s="1"/>
      <c r="O4825" s="475"/>
      <c r="P4825" s="475"/>
      <c r="Q4825" s="475"/>
      <c r="R4825" s="475"/>
      <c r="S4825" s="475"/>
      <c r="T4825" s="475"/>
      <c r="U4825" s="475"/>
      <c r="V4825" s="475"/>
      <c r="W4825" s="475"/>
    </row>
    <row r="4826" spans="2:23" s="97" customFormat="1">
      <c r="B4826" s="96"/>
      <c r="H4826" s="96"/>
      <c r="J4826" s="1"/>
      <c r="K4826" s="1"/>
      <c r="L4826" s="1"/>
      <c r="O4826" s="475"/>
      <c r="P4826" s="475"/>
      <c r="Q4826" s="475"/>
      <c r="R4826" s="475"/>
      <c r="S4826" s="475"/>
      <c r="T4826" s="475"/>
      <c r="U4826" s="475"/>
      <c r="V4826" s="475"/>
      <c r="W4826" s="475"/>
    </row>
    <row r="4827" spans="2:23" s="97" customFormat="1">
      <c r="B4827" s="96"/>
      <c r="H4827" s="96"/>
      <c r="J4827" s="1"/>
      <c r="K4827" s="1"/>
      <c r="L4827" s="1"/>
      <c r="O4827" s="475"/>
      <c r="P4827" s="475"/>
      <c r="Q4827" s="475"/>
      <c r="R4827" s="475"/>
      <c r="S4827" s="475"/>
      <c r="T4827" s="475"/>
      <c r="U4827" s="475"/>
      <c r="V4827" s="475"/>
      <c r="W4827" s="475"/>
    </row>
    <row r="4828" spans="2:23" s="97" customFormat="1">
      <c r="B4828" s="96"/>
      <c r="H4828" s="96"/>
      <c r="J4828" s="1"/>
      <c r="K4828" s="1"/>
      <c r="L4828" s="1"/>
      <c r="O4828" s="475"/>
      <c r="P4828" s="475"/>
      <c r="Q4828" s="475"/>
      <c r="R4828" s="475"/>
      <c r="S4828" s="475"/>
      <c r="T4828" s="475"/>
      <c r="U4828" s="475"/>
      <c r="V4828" s="475"/>
      <c r="W4828" s="475"/>
    </row>
    <row r="4829" spans="2:23" s="97" customFormat="1">
      <c r="B4829" s="96"/>
      <c r="H4829" s="96"/>
      <c r="J4829" s="1"/>
      <c r="K4829" s="1"/>
      <c r="L4829" s="1"/>
      <c r="O4829" s="475"/>
      <c r="P4829" s="475"/>
      <c r="Q4829" s="475"/>
      <c r="R4829" s="475"/>
      <c r="S4829" s="475"/>
      <c r="T4829" s="475"/>
      <c r="U4829" s="475"/>
      <c r="V4829" s="475"/>
      <c r="W4829" s="475"/>
    </row>
    <row r="4830" spans="2:23" s="97" customFormat="1">
      <c r="B4830" s="96"/>
      <c r="H4830" s="96"/>
      <c r="J4830" s="1"/>
      <c r="K4830" s="1"/>
      <c r="L4830" s="1"/>
      <c r="O4830" s="475"/>
      <c r="P4830" s="475"/>
      <c r="Q4830" s="475"/>
      <c r="R4830" s="475"/>
      <c r="S4830" s="475"/>
      <c r="T4830" s="475"/>
      <c r="U4830" s="475"/>
      <c r="V4830" s="475"/>
      <c r="W4830" s="475"/>
    </row>
    <row r="4831" spans="2:23" s="97" customFormat="1">
      <c r="B4831" s="96"/>
      <c r="H4831" s="96"/>
      <c r="J4831" s="1"/>
      <c r="K4831" s="1"/>
      <c r="L4831" s="1"/>
      <c r="O4831" s="475"/>
      <c r="P4831" s="475"/>
      <c r="Q4831" s="475"/>
      <c r="R4831" s="475"/>
      <c r="S4831" s="475"/>
      <c r="T4831" s="475"/>
      <c r="U4831" s="475"/>
      <c r="V4831" s="475"/>
      <c r="W4831" s="475"/>
    </row>
    <row r="4832" spans="2:23" s="97" customFormat="1">
      <c r="B4832" s="96"/>
      <c r="H4832" s="96"/>
      <c r="J4832" s="1"/>
      <c r="K4832" s="1"/>
      <c r="L4832" s="1"/>
      <c r="O4832" s="475"/>
      <c r="P4832" s="475"/>
      <c r="Q4832" s="475"/>
      <c r="R4832" s="475"/>
      <c r="S4832" s="475"/>
      <c r="T4832" s="475"/>
      <c r="U4832" s="475"/>
      <c r="V4832" s="475"/>
      <c r="W4832" s="475"/>
    </row>
    <row r="4833" spans="2:23" s="97" customFormat="1">
      <c r="B4833" s="96"/>
      <c r="H4833" s="96"/>
      <c r="J4833" s="1"/>
      <c r="K4833" s="1"/>
      <c r="L4833" s="1"/>
      <c r="O4833" s="475"/>
      <c r="P4833" s="475"/>
      <c r="Q4833" s="475"/>
      <c r="R4833" s="475"/>
      <c r="S4833" s="475"/>
      <c r="T4833" s="475"/>
      <c r="U4833" s="475"/>
      <c r="V4833" s="475"/>
      <c r="W4833" s="475"/>
    </row>
    <row r="4834" spans="2:23" s="97" customFormat="1">
      <c r="B4834" s="96"/>
      <c r="H4834" s="96"/>
      <c r="J4834" s="1"/>
      <c r="K4834" s="1"/>
      <c r="L4834" s="1"/>
      <c r="O4834" s="475"/>
      <c r="P4834" s="475"/>
      <c r="Q4834" s="475"/>
      <c r="R4834" s="475"/>
      <c r="S4834" s="475"/>
      <c r="T4834" s="475"/>
      <c r="U4834" s="475"/>
      <c r="V4834" s="475"/>
      <c r="W4834" s="475"/>
    </row>
    <row r="4835" spans="2:23" s="97" customFormat="1">
      <c r="B4835" s="96"/>
      <c r="H4835" s="96"/>
      <c r="J4835" s="1"/>
      <c r="K4835" s="1"/>
      <c r="L4835" s="1"/>
      <c r="O4835" s="475"/>
      <c r="P4835" s="475"/>
      <c r="Q4835" s="475"/>
      <c r="R4835" s="475"/>
      <c r="S4835" s="475"/>
      <c r="T4835" s="475"/>
      <c r="U4835" s="475"/>
      <c r="V4835" s="475"/>
      <c r="W4835" s="475"/>
    </row>
    <row r="4836" spans="2:23" s="97" customFormat="1">
      <c r="B4836" s="96"/>
      <c r="H4836" s="96"/>
      <c r="J4836" s="1"/>
      <c r="K4836" s="1"/>
      <c r="L4836" s="1"/>
      <c r="O4836" s="475"/>
      <c r="P4836" s="475"/>
      <c r="Q4836" s="475"/>
      <c r="R4836" s="475"/>
      <c r="S4836" s="475"/>
      <c r="T4836" s="475"/>
      <c r="U4836" s="475"/>
      <c r="V4836" s="475"/>
      <c r="W4836" s="475"/>
    </row>
    <row r="4837" spans="2:23" s="97" customFormat="1">
      <c r="B4837" s="96"/>
      <c r="H4837" s="96"/>
      <c r="J4837" s="1"/>
      <c r="K4837" s="1"/>
      <c r="L4837" s="1"/>
      <c r="O4837" s="475"/>
      <c r="P4837" s="475"/>
      <c r="Q4837" s="475"/>
      <c r="R4837" s="475"/>
      <c r="S4837" s="475"/>
      <c r="T4837" s="475"/>
      <c r="U4837" s="475"/>
      <c r="V4837" s="475"/>
      <c r="W4837" s="475"/>
    </row>
    <row r="4838" spans="2:23" s="97" customFormat="1">
      <c r="B4838" s="96"/>
      <c r="H4838" s="96"/>
      <c r="J4838" s="1"/>
      <c r="K4838" s="1"/>
      <c r="L4838" s="1"/>
      <c r="O4838" s="475"/>
      <c r="P4838" s="475"/>
      <c r="Q4838" s="475"/>
      <c r="R4838" s="475"/>
      <c r="S4838" s="475"/>
      <c r="T4838" s="475"/>
      <c r="U4838" s="475"/>
      <c r="V4838" s="475"/>
      <c r="W4838" s="475"/>
    </row>
    <row r="4839" spans="2:23" s="97" customFormat="1">
      <c r="B4839" s="96"/>
      <c r="H4839" s="96"/>
      <c r="J4839" s="1"/>
      <c r="K4839" s="1"/>
      <c r="L4839" s="1"/>
      <c r="O4839" s="475"/>
      <c r="P4839" s="475"/>
      <c r="Q4839" s="475"/>
      <c r="R4839" s="475"/>
      <c r="S4839" s="475"/>
      <c r="T4839" s="475"/>
      <c r="U4839" s="475"/>
      <c r="V4839" s="475"/>
      <c r="W4839" s="475"/>
    </row>
    <row r="4840" spans="2:23" s="97" customFormat="1">
      <c r="B4840" s="96"/>
      <c r="H4840" s="96"/>
      <c r="J4840" s="1"/>
      <c r="K4840" s="1"/>
      <c r="L4840" s="1"/>
      <c r="O4840" s="475"/>
      <c r="P4840" s="475"/>
      <c r="Q4840" s="475"/>
      <c r="R4840" s="475"/>
      <c r="S4840" s="475"/>
      <c r="T4840" s="475"/>
      <c r="U4840" s="475"/>
      <c r="V4840" s="475"/>
      <c r="W4840" s="475"/>
    </row>
    <row r="4841" spans="2:23" s="97" customFormat="1">
      <c r="B4841" s="96"/>
      <c r="H4841" s="96"/>
      <c r="J4841" s="1"/>
      <c r="K4841" s="1"/>
      <c r="L4841" s="1"/>
      <c r="O4841" s="475"/>
      <c r="P4841" s="475"/>
      <c r="Q4841" s="475"/>
      <c r="R4841" s="475"/>
      <c r="S4841" s="475"/>
      <c r="T4841" s="475"/>
      <c r="U4841" s="475"/>
      <c r="V4841" s="475"/>
      <c r="W4841" s="475"/>
    </row>
    <row r="4842" spans="2:23" s="97" customFormat="1">
      <c r="B4842" s="96"/>
      <c r="H4842" s="96"/>
      <c r="J4842" s="1"/>
      <c r="K4842" s="1"/>
      <c r="L4842" s="1"/>
      <c r="O4842" s="475"/>
      <c r="P4842" s="475"/>
      <c r="Q4842" s="475"/>
      <c r="R4842" s="475"/>
      <c r="S4842" s="475"/>
      <c r="T4842" s="475"/>
      <c r="U4842" s="475"/>
      <c r="V4842" s="475"/>
      <c r="W4842" s="475"/>
    </row>
    <row r="4843" spans="2:23" s="97" customFormat="1">
      <c r="B4843" s="96"/>
      <c r="H4843" s="96"/>
      <c r="J4843" s="1"/>
      <c r="K4843" s="1"/>
      <c r="L4843" s="1"/>
      <c r="O4843" s="475"/>
      <c r="P4843" s="475"/>
      <c r="Q4843" s="475"/>
      <c r="R4843" s="475"/>
      <c r="S4843" s="475"/>
      <c r="T4843" s="475"/>
      <c r="U4843" s="475"/>
      <c r="V4843" s="475"/>
      <c r="W4843" s="475"/>
    </row>
    <row r="4844" spans="2:23" s="97" customFormat="1">
      <c r="B4844" s="96"/>
      <c r="H4844" s="96"/>
      <c r="J4844" s="1"/>
      <c r="K4844" s="1"/>
      <c r="L4844" s="1"/>
      <c r="O4844" s="475"/>
      <c r="P4844" s="475"/>
      <c r="Q4844" s="475"/>
      <c r="R4844" s="475"/>
      <c r="S4844" s="475"/>
      <c r="T4844" s="475"/>
      <c r="U4844" s="475"/>
      <c r="V4844" s="475"/>
      <c r="W4844" s="475"/>
    </row>
    <row r="4845" spans="2:23" s="97" customFormat="1">
      <c r="B4845" s="96"/>
      <c r="H4845" s="96"/>
      <c r="J4845" s="1"/>
      <c r="K4845" s="1"/>
      <c r="L4845" s="1"/>
      <c r="O4845" s="475"/>
      <c r="P4845" s="475"/>
      <c r="Q4845" s="475"/>
      <c r="R4845" s="475"/>
      <c r="S4845" s="475"/>
      <c r="T4845" s="475"/>
      <c r="U4845" s="475"/>
      <c r="V4845" s="475"/>
      <c r="W4845" s="475"/>
    </row>
    <row r="4846" spans="2:23" s="97" customFormat="1">
      <c r="B4846" s="96"/>
      <c r="H4846" s="96"/>
      <c r="J4846" s="1"/>
      <c r="K4846" s="1"/>
      <c r="L4846" s="1"/>
      <c r="O4846" s="475"/>
      <c r="P4846" s="475"/>
      <c r="Q4846" s="475"/>
      <c r="R4846" s="475"/>
      <c r="S4846" s="475"/>
      <c r="T4846" s="475"/>
      <c r="U4846" s="475"/>
      <c r="V4846" s="475"/>
      <c r="W4846" s="475"/>
    </row>
    <row r="4847" spans="2:23" s="97" customFormat="1">
      <c r="B4847" s="96"/>
      <c r="H4847" s="96"/>
      <c r="J4847" s="1"/>
      <c r="K4847" s="1"/>
      <c r="L4847" s="1"/>
      <c r="O4847" s="475"/>
      <c r="P4847" s="475"/>
      <c r="Q4847" s="475"/>
      <c r="R4847" s="475"/>
      <c r="S4847" s="475"/>
      <c r="T4847" s="475"/>
      <c r="U4847" s="475"/>
      <c r="V4847" s="475"/>
      <c r="W4847" s="475"/>
    </row>
    <row r="4848" spans="2:23" s="97" customFormat="1">
      <c r="B4848" s="96"/>
      <c r="H4848" s="96"/>
      <c r="J4848" s="1"/>
      <c r="K4848" s="1"/>
      <c r="L4848" s="1"/>
      <c r="O4848" s="475"/>
      <c r="P4848" s="475"/>
      <c r="Q4848" s="475"/>
      <c r="R4848" s="475"/>
      <c r="S4848" s="475"/>
      <c r="T4848" s="475"/>
      <c r="U4848" s="475"/>
      <c r="V4848" s="475"/>
      <c r="W4848" s="475"/>
    </row>
    <row r="4849" spans="2:23" s="97" customFormat="1">
      <c r="B4849" s="96"/>
      <c r="H4849" s="96"/>
      <c r="J4849" s="1"/>
      <c r="K4849" s="1"/>
      <c r="L4849" s="1"/>
      <c r="O4849" s="475"/>
      <c r="P4849" s="475"/>
      <c r="Q4849" s="475"/>
      <c r="R4849" s="475"/>
      <c r="S4849" s="475"/>
      <c r="T4849" s="475"/>
      <c r="U4849" s="475"/>
      <c r="V4849" s="475"/>
      <c r="W4849" s="475"/>
    </row>
    <row r="4850" spans="2:23" s="97" customFormat="1">
      <c r="B4850" s="96"/>
      <c r="H4850" s="96"/>
      <c r="J4850" s="1"/>
      <c r="K4850" s="1"/>
      <c r="L4850" s="1"/>
      <c r="O4850" s="475"/>
      <c r="P4850" s="475"/>
      <c r="Q4850" s="475"/>
      <c r="R4850" s="475"/>
      <c r="S4850" s="475"/>
      <c r="T4850" s="475"/>
      <c r="U4850" s="475"/>
      <c r="V4850" s="475"/>
      <c r="W4850" s="475"/>
    </row>
    <row r="4851" spans="2:23" s="97" customFormat="1">
      <c r="B4851" s="96"/>
      <c r="H4851" s="96"/>
      <c r="J4851" s="1"/>
      <c r="K4851" s="1"/>
      <c r="L4851" s="1"/>
      <c r="O4851" s="475"/>
      <c r="P4851" s="475"/>
      <c r="Q4851" s="475"/>
      <c r="R4851" s="475"/>
      <c r="S4851" s="475"/>
      <c r="T4851" s="475"/>
      <c r="U4851" s="475"/>
      <c r="V4851" s="475"/>
      <c r="W4851" s="475"/>
    </row>
    <row r="4852" spans="2:23" s="97" customFormat="1">
      <c r="B4852" s="96"/>
      <c r="H4852" s="96"/>
      <c r="J4852" s="1"/>
      <c r="K4852" s="1"/>
      <c r="L4852" s="1"/>
      <c r="O4852" s="475"/>
      <c r="P4852" s="475"/>
      <c r="Q4852" s="475"/>
      <c r="R4852" s="475"/>
      <c r="S4852" s="475"/>
      <c r="T4852" s="475"/>
      <c r="U4852" s="475"/>
      <c r="V4852" s="475"/>
      <c r="W4852" s="475"/>
    </row>
    <row r="4853" spans="2:23" s="97" customFormat="1">
      <c r="B4853" s="96"/>
      <c r="H4853" s="96"/>
      <c r="J4853" s="1"/>
      <c r="K4853" s="1"/>
      <c r="L4853" s="1"/>
      <c r="O4853" s="475"/>
      <c r="P4853" s="475"/>
      <c r="Q4853" s="475"/>
      <c r="R4853" s="475"/>
      <c r="S4853" s="475"/>
      <c r="T4853" s="475"/>
      <c r="U4853" s="475"/>
      <c r="V4853" s="475"/>
      <c r="W4853" s="475"/>
    </row>
    <row r="4854" spans="2:23" s="97" customFormat="1">
      <c r="B4854" s="96"/>
      <c r="H4854" s="96"/>
      <c r="J4854" s="1"/>
      <c r="K4854" s="1"/>
      <c r="L4854" s="1"/>
      <c r="O4854" s="475"/>
      <c r="P4854" s="475"/>
      <c r="Q4854" s="475"/>
      <c r="R4854" s="475"/>
      <c r="S4854" s="475"/>
      <c r="T4854" s="475"/>
      <c r="U4854" s="475"/>
      <c r="V4854" s="475"/>
      <c r="W4854" s="475"/>
    </row>
    <row r="4855" spans="2:23" s="97" customFormat="1">
      <c r="B4855" s="96"/>
      <c r="H4855" s="96"/>
      <c r="J4855" s="1"/>
      <c r="K4855" s="1"/>
      <c r="L4855" s="1"/>
      <c r="O4855" s="475"/>
      <c r="P4855" s="475"/>
      <c r="Q4855" s="475"/>
      <c r="R4855" s="475"/>
      <c r="S4855" s="475"/>
      <c r="T4855" s="475"/>
      <c r="U4855" s="475"/>
      <c r="V4855" s="475"/>
      <c r="W4855" s="475"/>
    </row>
    <row r="4856" spans="2:23" s="97" customFormat="1">
      <c r="B4856" s="96"/>
      <c r="H4856" s="96"/>
      <c r="J4856" s="1"/>
      <c r="K4856" s="1"/>
      <c r="L4856" s="1"/>
      <c r="O4856" s="475"/>
      <c r="P4856" s="475"/>
      <c r="Q4856" s="475"/>
      <c r="R4856" s="475"/>
      <c r="S4856" s="475"/>
      <c r="T4856" s="475"/>
      <c r="U4856" s="475"/>
      <c r="V4856" s="475"/>
      <c r="W4856" s="475"/>
    </row>
    <row r="4857" spans="2:23" s="97" customFormat="1">
      <c r="B4857" s="96"/>
      <c r="H4857" s="96"/>
      <c r="J4857" s="1"/>
      <c r="K4857" s="1"/>
      <c r="L4857" s="1"/>
      <c r="O4857" s="475"/>
      <c r="P4857" s="475"/>
      <c r="Q4857" s="475"/>
      <c r="R4857" s="475"/>
      <c r="S4857" s="475"/>
      <c r="T4857" s="475"/>
      <c r="U4857" s="475"/>
      <c r="V4857" s="475"/>
      <c r="W4857" s="475"/>
    </row>
    <row r="4858" spans="2:23" s="97" customFormat="1">
      <c r="B4858" s="96"/>
      <c r="H4858" s="96"/>
      <c r="J4858" s="1"/>
      <c r="K4858" s="1"/>
      <c r="L4858" s="1"/>
      <c r="O4858" s="475"/>
      <c r="P4858" s="475"/>
      <c r="Q4858" s="475"/>
      <c r="R4858" s="475"/>
      <c r="S4858" s="475"/>
      <c r="T4858" s="475"/>
      <c r="U4858" s="475"/>
      <c r="V4858" s="475"/>
      <c r="W4858" s="475"/>
    </row>
    <row r="4859" spans="2:23" s="97" customFormat="1">
      <c r="B4859" s="96"/>
      <c r="H4859" s="96"/>
      <c r="J4859" s="1"/>
      <c r="K4859" s="1"/>
      <c r="L4859" s="1"/>
      <c r="O4859" s="475"/>
      <c r="P4859" s="475"/>
      <c r="Q4859" s="475"/>
      <c r="R4859" s="475"/>
      <c r="S4859" s="475"/>
      <c r="T4859" s="475"/>
      <c r="U4859" s="475"/>
      <c r="V4859" s="475"/>
      <c r="W4859" s="475"/>
    </row>
    <row r="4860" spans="2:23" s="97" customFormat="1">
      <c r="B4860" s="96"/>
      <c r="H4860" s="96"/>
      <c r="J4860" s="1"/>
      <c r="K4860" s="1"/>
      <c r="L4860" s="1"/>
      <c r="O4860" s="475"/>
      <c r="P4860" s="475"/>
      <c r="Q4860" s="475"/>
      <c r="R4860" s="475"/>
      <c r="S4860" s="475"/>
      <c r="T4860" s="475"/>
      <c r="U4860" s="475"/>
      <c r="V4860" s="475"/>
      <c r="W4860" s="475"/>
    </row>
    <row r="4861" spans="2:23" s="97" customFormat="1">
      <c r="B4861" s="96"/>
      <c r="H4861" s="96"/>
      <c r="J4861" s="1"/>
      <c r="K4861" s="1"/>
      <c r="L4861" s="1"/>
      <c r="O4861" s="475"/>
      <c r="P4861" s="475"/>
      <c r="Q4861" s="475"/>
      <c r="R4861" s="475"/>
      <c r="S4861" s="475"/>
      <c r="T4861" s="475"/>
      <c r="U4861" s="475"/>
      <c r="V4861" s="475"/>
      <c r="W4861" s="475"/>
    </row>
    <row r="4862" spans="2:23" s="97" customFormat="1">
      <c r="B4862" s="96"/>
      <c r="H4862" s="96"/>
      <c r="J4862" s="1"/>
      <c r="K4862" s="1"/>
      <c r="L4862" s="1"/>
      <c r="O4862" s="475"/>
      <c r="P4862" s="475"/>
      <c r="Q4862" s="475"/>
      <c r="R4862" s="475"/>
      <c r="S4862" s="475"/>
      <c r="T4862" s="475"/>
      <c r="U4862" s="475"/>
      <c r="V4862" s="475"/>
      <c r="W4862" s="475"/>
    </row>
    <row r="4863" spans="2:23" s="97" customFormat="1">
      <c r="B4863" s="96"/>
      <c r="H4863" s="96"/>
      <c r="J4863" s="1"/>
      <c r="K4863" s="1"/>
      <c r="L4863" s="1"/>
      <c r="O4863" s="475"/>
      <c r="P4863" s="475"/>
      <c r="Q4863" s="475"/>
      <c r="R4863" s="475"/>
      <c r="S4863" s="475"/>
      <c r="T4863" s="475"/>
      <c r="U4863" s="475"/>
      <c r="V4863" s="475"/>
      <c r="W4863" s="475"/>
    </row>
    <row r="4864" spans="2:23" s="97" customFormat="1">
      <c r="B4864" s="96"/>
      <c r="H4864" s="96"/>
      <c r="J4864" s="1"/>
      <c r="K4864" s="1"/>
      <c r="L4864" s="1"/>
      <c r="O4864" s="475"/>
      <c r="P4864" s="475"/>
      <c r="Q4864" s="475"/>
      <c r="R4864" s="475"/>
      <c r="S4864" s="475"/>
      <c r="T4864" s="475"/>
      <c r="U4864" s="475"/>
      <c r="V4864" s="475"/>
      <c r="W4864" s="475"/>
    </row>
    <row r="4865" spans="2:23" s="97" customFormat="1">
      <c r="B4865" s="96"/>
      <c r="H4865" s="96"/>
      <c r="J4865" s="1"/>
      <c r="K4865" s="1"/>
      <c r="L4865" s="1"/>
      <c r="O4865" s="475"/>
      <c r="P4865" s="475"/>
      <c r="Q4865" s="475"/>
      <c r="R4865" s="475"/>
      <c r="S4865" s="475"/>
      <c r="T4865" s="475"/>
      <c r="U4865" s="475"/>
      <c r="V4865" s="475"/>
      <c r="W4865" s="475"/>
    </row>
    <row r="4866" spans="2:23" s="97" customFormat="1">
      <c r="B4866" s="96"/>
      <c r="H4866" s="96"/>
      <c r="J4866" s="1"/>
      <c r="K4866" s="1"/>
      <c r="L4866" s="1"/>
      <c r="O4866" s="475"/>
      <c r="P4866" s="475"/>
      <c r="Q4866" s="475"/>
      <c r="R4866" s="475"/>
      <c r="S4866" s="475"/>
      <c r="T4866" s="475"/>
      <c r="U4866" s="475"/>
      <c r="V4866" s="475"/>
      <c r="W4866" s="475"/>
    </row>
    <row r="4867" spans="2:23" s="97" customFormat="1">
      <c r="B4867" s="96"/>
      <c r="H4867" s="96"/>
      <c r="J4867" s="1"/>
      <c r="K4867" s="1"/>
      <c r="L4867" s="1"/>
      <c r="O4867" s="475"/>
      <c r="P4867" s="475"/>
      <c r="Q4867" s="475"/>
      <c r="R4867" s="475"/>
      <c r="S4867" s="475"/>
      <c r="T4867" s="475"/>
      <c r="U4867" s="475"/>
      <c r="V4867" s="475"/>
      <c r="W4867" s="475"/>
    </row>
    <row r="4868" spans="2:23" s="97" customFormat="1">
      <c r="B4868" s="96"/>
      <c r="H4868" s="96"/>
      <c r="J4868" s="1"/>
      <c r="K4868" s="1"/>
      <c r="L4868" s="1"/>
      <c r="O4868" s="475"/>
      <c r="P4868" s="475"/>
      <c r="Q4868" s="475"/>
      <c r="R4868" s="475"/>
      <c r="S4868" s="475"/>
      <c r="T4868" s="475"/>
      <c r="U4868" s="475"/>
      <c r="V4868" s="475"/>
      <c r="W4868" s="475"/>
    </row>
    <row r="4869" spans="2:23" s="97" customFormat="1">
      <c r="B4869" s="96"/>
      <c r="H4869" s="96"/>
      <c r="J4869" s="1"/>
      <c r="K4869" s="1"/>
      <c r="L4869" s="1"/>
      <c r="O4869" s="475"/>
      <c r="P4869" s="475"/>
      <c r="Q4869" s="475"/>
      <c r="R4869" s="475"/>
      <c r="S4869" s="475"/>
      <c r="T4869" s="475"/>
      <c r="U4869" s="475"/>
      <c r="V4869" s="475"/>
      <c r="W4869" s="475"/>
    </row>
    <row r="4870" spans="2:23" s="97" customFormat="1">
      <c r="B4870" s="96"/>
      <c r="H4870" s="96"/>
      <c r="J4870" s="1"/>
      <c r="K4870" s="1"/>
      <c r="L4870" s="1"/>
      <c r="O4870" s="475"/>
      <c r="P4870" s="475"/>
      <c r="Q4870" s="475"/>
      <c r="R4870" s="475"/>
      <c r="S4870" s="475"/>
      <c r="T4870" s="475"/>
      <c r="U4870" s="475"/>
      <c r="V4870" s="475"/>
      <c r="W4870" s="475"/>
    </row>
    <row r="4871" spans="2:23" s="97" customFormat="1">
      <c r="B4871" s="96"/>
      <c r="H4871" s="96"/>
      <c r="J4871" s="1"/>
      <c r="K4871" s="1"/>
      <c r="L4871" s="1"/>
      <c r="O4871" s="475"/>
      <c r="P4871" s="475"/>
      <c r="Q4871" s="475"/>
      <c r="R4871" s="475"/>
      <c r="S4871" s="475"/>
      <c r="T4871" s="475"/>
      <c r="U4871" s="475"/>
      <c r="V4871" s="475"/>
      <c r="W4871" s="475"/>
    </row>
    <row r="4872" spans="2:23" s="97" customFormat="1">
      <c r="B4872" s="96"/>
      <c r="H4872" s="96"/>
      <c r="J4872" s="1"/>
      <c r="K4872" s="1"/>
      <c r="L4872" s="1"/>
      <c r="O4872" s="475"/>
      <c r="P4872" s="475"/>
      <c r="Q4872" s="475"/>
      <c r="R4872" s="475"/>
      <c r="S4872" s="475"/>
      <c r="T4872" s="475"/>
      <c r="U4872" s="475"/>
      <c r="V4872" s="475"/>
      <c r="W4872" s="475"/>
    </row>
    <row r="4873" spans="2:23" s="97" customFormat="1">
      <c r="B4873" s="96"/>
      <c r="H4873" s="96"/>
      <c r="J4873" s="1"/>
      <c r="K4873" s="1"/>
      <c r="L4873" s="1"/>
      <c r="O4873" s="475"/>
      <c r="P4873" s="475"/>
      <c r="Q4873" s="475"/>
      <c r="R4873" s="475"/>
      <c r="S4873" s="475"/>
      <c r="T4873" s="475"/>
      <c r="U4873" s="475"/>
      <c r="V4873" s="475"/>
      <c r="W4873" s="475"/>
    </row>
    <row r="4874" spans="2:23" s="97" customFormat="1">
      <c r="B4874" s="96"/>
      <c r="H4874" s="96"/>
      <c r="J4874" s="1"/>
      <c r="K4874" s="1"/>
      <c r="L4874" s="1"/>
      <c r="O4874" s="475"/>
      <c r="P4874" s="475"/>
      <c r="Q4874" s="475"/>
      <c r="R4874" s="475"/>
      <c r="S4874" s="475"/>
      <c r="T4874" s="475"/>
      <c r="U4874" s="475"/>
      <c r="V4874" s="475"/>
      <c r="W4874" s="475"/>
    </row>
    <row r="4875" spans="2:23" s="97" customFormat="1">
      <c r="B4875" s="96"/>
      <c r="H4875" s="96"/>
      <c r="J4875" s="1"/>
      <c r="K4875" s="1"/>
      <c r="L4875" s="1"/>
      <c r="O4875" s="475"/>
      <c r="P4875" s="475"/>
      <c r="Q4875" s="475"/>
      <c r="R4875" s="475"/>
      <c r="S4875" s="475"/>
      <c r="T4875" s="475"/>
      <c r="U4875" s="475"/>
      <c r="V4875" s="475"/>
      <c r="W4875" s="475"/>
    </row>
    <row r="4876" spans="2:23" s="97" customFormat="1">
      <c r="B4876" s="96"/>
      <c r="H4876" s="96"/>
      <c r="J4876" s="1"/>
      <c r="K4876" s="1"/>
      <c r="L4876" s="1"/>
      <c r="O4876" s="475"/>
      <c r="P4876" s="475"/>
      <c r="Q4876" s="475"/>
      <c r="R4876" s="475"/>
      <c r="S4876" s="475"/>
      <c r="T4876" s="475"/>
      <c r="U4876" s="475"/>
      <c r="V4876" s="475"/>
      <c r="W4876" s="475"/>
    </row>
    <row r="4877" spans="2:23" s="97" customFormat="1">
      <c r="B4877" s="96"/>
      <c r="H4877" s="96"/>
      <c r="J4877" s="1"/>
      <c r="K4877" s="1"/>
      <c r="L4877" s="1"/>
      <c r="O4877" s="475"/>
      <c r="P4877" s="475"/>
      <c r="Q4877" s="475"/>
      <c r="R4877" s="475"/>
      <c r="S4877" s="475"/>
      <c r="T4877" s="475"/>
      <c r="U4877" s="475"/>
      <c r="V4877" s="475"/>
      <c r="W4877" s="475"/>
    </row>
    <row r="4878" spans="2:23" s="97" customFormat="1">
      <c r="B4878" s="96"/>
      <c r="H4878" s="96"/>
      <c r="J4878" s="1"/>
      <c r="K4878" s="1"/>
      <c r="L4878" s="1"/>
      <c r="O4878" s="475"/>
      <c r="P4878" s="475"/>
      <c r="Q4878" s="475"/>
      <c r="R4878" s="475"/>
      <c r="S4878" s="475"/>
      <c r="T4878" s="475"/>
      <c r="U4878" s="475"/>
      <c r="V4878" s="475"/>
      <c r="W4878" s="475"/>
    </row>
    <row r="4879" spans="2:23" s="97" customFormat="1">
      <c r="B4879" s="96"/>
      <c r="H4879" s="96"/>
      <c r="J4879" s="1"/>
      <c r="K4879" s="1"/>
      <c r="L4879" s="1"/>
      <c r="O4879" s="475"/>
      <c r="P4879" s="475"/>
      <c r="Q4879" s="475"/>
      <c r="R4879" s="475"/>
      <c r="S4879" s="475"/>
      <c r="T4879" s="475"/>
      <c r="U4879" s="475"/>
      <c r="V4879" s="475"/>
      <c r="W4879" s="475"/>
    </row>
    <row r="4880" spans="2:23" s="97" customFormat="1">
      <c r="B4880" s="96"/>
      <c r="H4880" s="96"/>
      <c r="J4880" s="1"/>
      <c r="K4880" s="1"/>
      <c r="L4880" s="1"/>
      <c r="O4880" s="475"/>
      <c r="P4880" s="475"/>
      <c r="Q4880" s="475"/>
      <c r="R4880" s="475"/>
      <c r="S4880" s="475"/>
      <c r="T4880" s="475"/>
      <c r="U4880" s="475"/>
      <c r="V4880" s="475"/>
      <c r="W4880" s="475"/>
    </row>
    <row r="4881" spans="2:23" s="97" customFormat="1">
      <c r="B4881" s="96"/>
      <c r="H4881" s="96"/>
      <c r="J4881" s="1"/>
      <c r="K4881" s="1"/>
      <c r="L4881" s="1"/>
      <c r="O4881" s="475"/>
      <c r="P4881" s="475"/>
      <c r="Q4881" s="475"/>
      <c r="R4881" s="475"/>
      <c r="S4881" s="475"/>
      <c r="T4881" s="475"/>
      <c r="U4881" s="475"/>
      <c r="V4881" s="475"/>
      <c r="W4881" s="475"/>
    </row>
    <row r="4882" spans="2:23" s="97" customFormat="1">
      <c r="B4882" s="96"/>
      <c r="H4882" s="96"/>
      <c r="J4882" s="1"/>
      <c r="K4882" s="1"/>
      <c r="L4882" s="1"/>
      <c r="O4882" s="475"/>
      <c r="P4882" s="475"/>
      <c r="Q4882" s="475"/>
      <c r="R4882" s="475"/>
      <c r="S4882" s="475"/>
      <c r="T4882" s="475"/>
      <c r="U4882" s="475"/>
      <c r="V4882" s="475"/>
      <c r="W4882" s="475"/>
    </row>
    <row r="4883" spans="2:23" s="97" customFormat="1">
      <c r="B4883" s="96"/>
      <c r="H4883" s="96"/>
      <c r="J4883" s="1"/>
      <c r="K4883" s="1"/>
      <c r="L4883" s="1"/>
      <c r="O4883" s="475"/>
      <c r="P4883" s="475"/>
      <c r="Q4883" s="475"/>
      <c r="R4883" s="475"/>
      <c r="S4883" s="475"/>
      <c r="T4883" s="475"/>
      <c r="U4883" s="475"/>
      <c r="V4883" s="475"/>
      <c r="W4883" s="475"/>
    </row>
    <row r="4884" spans="2:23" s="97" customFormat="1">
      <c r="B4884" s="96"/>
      <c r="H4884" s="96"/>
      <c r="J4884" s="1"/>
      <c r="K4884" s="1"/>
      <c r="L4884" s="1"/>
      <c r="O4884" s="475"/>
      <c r="P4884" s="475"/>
      <c r="Q4884" s="475"/>
      <c r="R4884" s="475"/>
      <c r="S4884" s="475"/>
      <c r="T4884" s="475"/>
      <c r="U4884" s="475"/>
      <c r="V4884" s="475"/>
      <c r="W4884" s="475"/>
    </row>
    <row r="4885" spans="2:23" s="97" customFormat="1">
      <c r="B4885" s="96"/>
      <c r="H4885" s="96"/>
      <c r="J4885" s="1"/>
      <c r="K4885" s="1"/>
      <c r="L4885" s="1"/>
      <c r="O4885" s="475"/>
      <c r="P4885" s="475"/>
      <c r="Q4885" s="475"/>
      <c r="R4885" s="475"/>
      <c r="S4885" s="475"/>
      <c r="T4885" s="475"/>
      <c r="U4885" s="475"/>
      <c r="V4885" s="475"/>
      <c r="W4885" s="475"/>
    </row>
    <row r="4886" spans="2:23" s="97" customFormat="1">
      <c r="B4886" s="96"/>
      <c r="H4886" s="96"/>
      <c r="J4886" s="1"/>
      <c r="K4886" s="1"/>
      <c r="L4886" s="1"/>
      <c r="O4886" s="475"/>
      <c r="P4886" s="475"/>
      <c r="Q4886" s="475"/>
      <c r="R4886" s="475"/>
      <c r="S4886" s="475"/>
      <c r="T4886" s="475"/>
      <c r="U4886" s="475"/>
      <c r="V4886" s="475"/>
      <c r="W4886" s="475"/>
    </row>
    <row r="4887" spans="2:23" s="97" customFormat="1">
      <c r="B4887" s="96"/>
      <c r="H4887" s="96"/>
      <c r="J4887" s="1"/>
      <c r="K4887" s="1"/>
      <c r="L4887" s="1"/>
      <c r="O4887" s="475"/>
      <c r="P4887" s="475"/>
      <c r="Q4887" s="475"/>
      <c r="R4887" s="475"/>
      <c r="S4887" s="475"/>
      <c r="T4887" s="475"/>
      <c r="U4887" s="475"/>
      <c r="V4887" s="475"/>
      <c r="W4887" s="475"/>
    </row>
    <row r="4888" spans="2:23" s="97" customFormat="1">
      <c r="B4888" s="96"/>
      <c r="H4888" s="96"/>
      <c r="J4888" s="1"/>
      <c r="K4888" s="1"/>
      <c r="L4888" s="1"/>
      <c r="O4888" s="475"/>
      <c r="P4888" s="475"/>
      <c r="Q4888" s="475"/>
      <c r="R4888" s="475"/>
      <c r="S4888" s="475"/>
      <c r="T4888" s="475"/>
      <c r="U4888" s="475"/>
      <c r="V4888" s="475"/>
      <c r="W4888" s="475"/>
    </row>
    <row r="4889" spans="2:23" s="97" customFormat="1">
      <c r="B4889" s="96"/>
      <c r="H4889" s="96"/>
      <c r="J4889" s="1"/>
      <c r="K4889" s="1"/>
      <c r="L4889" s="1"/>
      <c r="O4889" s="475"/>
      <c r="P4889" s="475"/>
      <c r="Q4889" s="475"/>
      <c r="R4889" s="475"/>
      <c r="S4889" s="475"/>
      <c r="T4889" s="475"/>
      <c r="U4889" s="475"/>
      <c r="V4889" s="475"/>
      <c r="W4889" s="475"/>
    </row>
    <row r="4890" spans="2:23" s="97" customFormat="1">
      <c r="B4890" s="96"/>
      <c r="H4890" s="96"/>
      <c r="J4890" s="1"/>
      <c r="K4890" s="1"/>
      <c r="L4890" s="1"/>
      <c r="O4890" s="475"/>
      <c r="P4890" s="475"/>
      <c r="Q4890" s="475"/>
      <c r="R4890" s="475"/>
      <c r="S4890" s="475"/>
      <c r="T4890" s="475"/>
      <c r="U4890" s="475"/>
      <c r="V4890" s="475"/>
      <c r="W4890" s="475"/>
    </row>
    <row r="4891" spans="2:23" s="97" customFormat="1">
      <c r="B4891" s="96"/>
      <c r="H4891" s="96"/>
      <c r="J4891" s="1"/>
      <c r="K4891" s="1"/>
      <c r="L4891" s="1"/>
      <c r="O4891" s="475"/>
      <c r="P4891" s="475"/>
      <c r="Q4891" s="475"/>
      <c r="R4891" s="475"/>
      <c r="S4891" s="475"/>
      <c r="T4891" s="475"/>
      <c r="U4891" s="475"/>
      <c r="V4891" s="475"/>
      <c r="W4891" s="475"/>
    </row>
    <row r="4892" spans="2:23" s="97" customFormat="1">
      <c r="B4892" s="96"/>
      <c r="H4892" s="96"/>
      <c r="J4892" s="1"/>
      <c r="K4892" s="1"/>
      <c r="L4892" s="1"/>
      <c r="O4892" s="475"/>
      <c r="P4892" s="475"/>
      <c r="Q4892" s="475"/>
      <c r="R4892" s="475"/>
      <c r="S4892" s="475"/>
      <c r="T4892" s="475"/>
      <c r="U4892" s="475"/>
      <c r="V4892" s="475"/>
      <c r="W4892" s="475"/>
    </row>
    <row r="4893" spans="2:23" s="97" customFormat="1">
      <c r="B4893" s="96"/>
      <c r="H4893" s="96"/>
      <c r="J4893" s="1"/>
      <c r="K4893" s="1"/>
      <c r="L4893" s="1"/>
      <c r="O4893" s="475"/>
      <c r="P4893" s="475"/>
      <c r="Q4893" s="475"/>
      <c r="R4893" s="475"/>
      <c r="S4893" s="475"/>
      <c r="T4893" s="475"/>
      <c r="U4893" s="475"/>
      <c r="V4893" s="475"/>
      <c r="W4893" s="475"/>
    </row>
    <row r="4894" spans="2:23" s="97" customFormat="1">
      <c r="B4894" s="96"/>
      <c r="H4894" s="96"/>
      <c r="J4894" s="1"/>
      <c r="K4894" s="1"/>
      <c r="L4894" s="1"/>
      <c r="O4894" s="475"/>
      <c r="P4894" s="475"/>
      <c r="Q4894" s="475"/>
      <c r="R4894" s="475"/>
      <c r="S4894" s="475"/>
      <c r="T4894" s="475"/>
      <c r="U4894" s="475"/>
      <c r="V4894" s="475"/>
      <c r="W4894" s="475"/>
    </row>
    <row r="4895" spans="2:23" s="97" customFormat="1">
      <c r="B4895" s="96"/>
      <c r="H4895" s="96"/>
      <c r="J4895" s="1"/>
      <c r="K4895" s="1"/>
      <c r="L4895" s="1"/>
      <c r="O4895" s="475"/>
      <c r="P4895" s="475"/>
      <c r="Q4895" s="475"/>
      <c r="R4895" s="475"/>
      <c r="S4895" s="475"/>
      <c r="T4895" s="475"/>
      <c r="U4895" s="475"/>
      <c r="V4895" s="475"/>
      <c r="W4895" s="475"/>
    </row>
    <row r="4896" spans="2:23" s="97" customFormat="1">
      <c r="B4896" s="96"/>
      <c r="H4896" s="96"/>
      <c r="J4896" s="1"/>
      <c r="K4896" s="1"/>
      <c r="L4896" s="1"/>
      <c r="O4896" s="475"/>
      <c r="P4896" s="475"/>
      <c r="Q4896" s="475"/>
      <c r="R4896" s="475"/>
      <c r="S4896" s="475"/>
      <c r="T4896" s="475"/>
      <c r="U4896" s="475"/>
      <c r="V4896" s="475"/>
      <c r="W4896" s="475"/>
    </row>
    <row r="4897" spans="2:23" s="97" customFormat="1">
      <c r="B4897" s="96"/>
      <c r="H4897" s="96"/>
      <c r="J4897" s="1"/>
      <c r="K4897" s="1"/>
      <c r="L4897" s="1"/>
      <c r="O4897" s="475"/>
      <c r="P4897" s="475"/>
      <c r="Q4897" s="475"/>
      <c r="R4897" s="475"/>
      <c r="S4897" s="475"/>
      <c r="T4897" s="475"/>
      <c r="U4897" s="475"/>
      <c r="V4897" s="475"/>
      <c r="W4897" s="475"/>
    </row>
    <row r="4898" spans="2:23" s="97" customFormat="1">
      <c r="B4898" s="96"/>
      <c r="H4898" s="96"/>
      <c r="J4898" s="1"/>
      <c r="K4898" s="1"/>
      <c r="L4898" s="1"/>
      <c r="O4898" s="475"/>
      <c r="P4898" s="475"/>
      <c r="Q4898" s="475"/>
      <c r="R4898" s="475"/>
      <c r="S4898" s="475"/>
      <c r="T4898" s="475"/>
      <c r="U4898" s="475"/>
      <c r="V4898" s="475"/>
      <c r="W4898" s="475"/>
    </row>
    <row r="4899" spans="2:23" s="97" customFormat="1">
      <c r="B4899" s="96"/>
      <c r="H4899" s="96"/>
      <c r="J4899" s="1"/>
      <c r="K4899" s="1"/>
      <c r="L4899" s="1"/>
      <c r="O4899" s="475"/>
      <c r="P4899" s="475"/>
      <c r="Q4899" s="475"/>
      <c r="R4899" s="475"/>
      <c r="S4899" s="475"/>
      <c r="T4899" s="475"/>
      <c r="U4899" s="475"/>
      <c r="V4899" s="475"/>
      <c r="W4899" s="475"/>
    </row>
    <row r="4900" spans="2:23" s="97" customFormat="1">
      <c r="B4900" s="96"/>
      <c r="H4900" s="96"/>
      <c r="J4900" s="1"/>
      <c r="K4900" s="1"/>
      <c r="L4900" s="1"/>
      <c r="O4900" s="475"/>
      <c r="P4900" s="475"/>
      <c r="Q4900" s="475"/>
      <c r="R4900" s="475"/>
      <c r="S4900" s="475"/>
      <c r="T4900" s="475"/>
      <c r="U4900" s="475"/>
      <c r="V4900" s="475"/>
      <c r="W4900" s="475"/>
    </row>
    <row r="4901" spans="2:23" s="97" customFormat="1">
      <c r="B4901" s="96"/>
      <c r="H4901" s="96"/>
      <c r="J4901" s="1"/>
      <c r="K4901" s="1"/>
      <c r="L4901" s="1"/>
      <c r="O4901" s="475"/>
      <c r="P4901" s="475"/>
      <c r="Q4901" s="475"/>
      <c r="R4901" s="475"/>
      <c r="S4901" s="475"/>
      <c r="T4901" s="475"/>
      <c r="U4901" s="475"/>
      <c r="V4901" s="475"/>
      <c r="W4901" s="475"/>
    </row>
    <row r="4902" spans="2:23" s="97" customFormat="1">
      <c r="B4902" s="96"/>
      <c r="H4902" s="96"/>
      <c r="J4902" s="1"/>
      <c r="K4902" s="1"/>
      <c r="L4902" s="1"/>
      <c r="O4902" s="475"/>
      <c r="P4902" s="475"/>
      <c r="Q4902" s="475"/>
      <c r="R4902" s="475"/>
      <c r="S4902" s="475"/>
      <c r="T4902" s="475"/>
      <c r="U4902" s="475"/>
      <c r="V4902" s="475"/>
      <c r="W4902" s="475"/>
    </row>
    <row r="4903" spans="2:23" s="97" customFormat="1">
      <c r="B4903" s="96"/>
      <c r="H4903" s="96"/>
      <c r="J4903" s="1"/>
      <c r="K4903" s="1"/>
      <c r="L4903" s="1"/>
      <c r="O4903" s="475"/>
      <c r="P4903" s="475"/>
      <c r="Q4903" s="475"/>
      <c r="R4903" s="475"/>
      <c r="S4903" s="475"/>
      <c r="T4903" s="475"/>
      <c r="U4903" s="475"/>
      <c r="V4903" s="475"/>
      <c r="W4903" s="475"/>
    </row>
    <row r="4904" spans="2:23" s="97" customFormat="1">
      <c r="B4904" s="96"/>
      <c r="H4904" s="96"/>
      <c r="J4904" s="1"/>
      <c r="K4904" s="1"/>
      <c r="L4904" s="1"/>
      <c r="O4904" s="475"/>
      <c r="P4904" s="475"/>
      <c r="Q4904" s="475"/>
      <c r="R4904" s="475"/>
      <c r="S4904" s="475"/>
      <c r="T4904" s="475"/>
      <c r="U4904" s="475"/>
      <c r="V4904" s="475"/>
      <c r="W4904" s="475"/>
    </row>
    <row r="4905" spans="2:23" s="97" customFormat="1">
      <c r="B4905" s="96"/>
      <c r="H4905" s="96"/>
      <c r="J4905" s="1"/>
      <c r="K4905" s="1"/>
      <c r="L4905" s="1"/>
      <c r="O4905" s="475"/>
      <c r="P4905" s="475"/>
      <c r="Q4905" s="475"/>
      <c r="R4905" s="475"/>
      <c r="S4905" s="475"/>
      <c r="T4905" s="475"/>
      <c r="U4905" s="475"/>
      <c r="V4905" s="475"/>
      <c r="W4905" s="475"/>
    </row>
    <row r="4906" spans="2:23" s="97" customFormat="1">
      <c r="B4906" s="96"/>
      <c r="H4906" s="96"/>
      <c r="J4906" s="1"/>
      <c r="K4906" s="1"/>
      <c r="L4906" s="1"/>
      <c r="O4906" s="475"/>
      <c r="P4906" s="475"/>
      <c r="Q4906" s="475"/>
      <c r="R4906" s="475"/>
      <c r="S4906" s="475"/>
      <c r="T4906" s="475"/>
      <c r="U4906" s="475"/>
      <c r="V4906" s="475"/>
      <c r="W4906" s="475"/>
    </row>
    <row r="4907" spans="2:23" s="97" customFormat="1">
      <c r="B4907" s="96"/>
      <c r="H4907" s="96"/>
      <c r="J4907" s="1"/>
      <c r="K4907" s="1"/>
      <c r="L4907" s="1"/>
      <c r="O4907" s="475"/>
      <c r="P4907" s="475"/>
      <c r="Q4907" s="475"/>
      <c r="R4907" s="475"/>
      <c r="S4907" s="475"/>
      <c r="T4907" s="475"/>
      <c r="U4907" s="475"/>
      <c r="V4907" s="475"/>
      <c r="W4907" s="475"/>
    </row>
    <row r="4908" spans="2:23" s="97" customFormat="1">
      <c r="B4908" s="96"/>
      <c r="H4908" s="96"/>
      <c r="J4908" s="1"/>
      <c r="K4908" s="1"/>
      <c r="L4908" s="1"/>
      <c r="O4908" s="475"/>
      <c r="P4908" s="475"/>
      <c r="Q4908" s="475"/>
      <c r="R4908" s="475"/>
      <c r="S4908" s="475"/>
      <c r="T4908" s="475"/>
      <c r="U4908" s="475"/>
      <c r="V4908" s="475"/>
      <c r="W4908" s="475"/>
    </row>
    <row r="4909" spans="2:23" s="97" customFormat="1">
      <c r="B4909" s="96"/>
      <c r="H4909" s="96"/>
      <c r="J4909" s="1"/>
      <c r="K4909" s="1"/>
      <c r="L4909" s="1"/>
      <c r="O4909" s="475"/>
      <c r="P4909" s="475"/>
      <c r="Q4909" s="475"/>
      <c r="R4909" s="475"/>
      <c r="S4909" s="475"/>
      <c r="T4909" s="475"/>
      <c r="U4909" s="475"/>
      <c r="V4909" s="475"/>
      <c r="W4909" s="475"/>
    </row>
    <row r="4910" spans="2:23" s="97" customFormat="1">
      <c r="B4910" s="96"/>
      <c r="H4910" s="96"/>
      <c r="J4910" s="1"/>
      <c r="K4910" s="1"/>
      <c r="L4910" s="1"/>
      <c r="O4910" s="475"/>
      <c r="P4910" s="475"/>
      <c r="Q4910" s="475"/>
      <c r="R4910" s="475"/>
      <c r="S4910" s="475"/>
      <c r="T4910" s="475"/>
      <c r="U4910" s="475"/>
      <c r="V4910" s="475"/>
      <c r="W4910" s="475"/>
    </row>
    <row r="4911" spans="2:23" s="97" customFormat="1">
      <c r="B4911" s="96"/>
      <c r="H4911" s="96"/>
      <c r="J4911" s="1"/>
      <c r="K4911" s="1"/>
      <c r="L4911" s="1"/>
      <c r="O4911" s="475"/>
      <c r="P4911" s="475"/>
      <c r="Q4911" s="475"/>
      <c r="R4911" s="475"/>
      <c r="S4911" s="475"/>
      <c r="T4911" s="475"/>
      <c r="U4911" s="475"/>
      <c r="V4911" s="475"/>
      <c r="W4911" s="475"/>
    </row>
    <row r="4912" spans="2:23" s="97" customFormat="1">
      <c r="B4912" s="96"/>
      <c r="H4912" s="96"/>
      <c r="J4912" s="1"/>
      <c r="K4912" s="1"/>
      <c r="L4912" s="1"/>
      <c r="O4912" s="475"/>
      <c r="P4912" s="475"/>
      <c r="Q4912" s="475"/>
      <c r="R4912" s="475"/>
      <c r="S4912" s="475"/>
      <c r="T4912" s="475"/>
      <c r="U4912" s="475"/>
      <c r="V4912" s="475"/>
      <c r="W4912" s="475"/>
    </row>
    <row r="4913" spans="2:23" s="97" customFormat="1">
      <c r="B4913" s="96"/>
      <c r="H4913" s="96"/>
      <c r="J4913" s="1"/>
      <c r="K4913" s="1"/>
      <c r="L4913" s="1"/>
      <c r="O4913" s="475"/>
      <c r="P4913" s="475"/>
      <c r="Q4913" s="475"/>
      <c r="R4913" s="475"/>
      <c r="S4913" s="475"/>
      <c r="T4913" s="475"/>
      <c r="U4913" s="475"/>
      <c r="V4913" s="475"/>
      <c r="W4913" s="475"/>
    </row>
    <row r="4914" spans="2:23" s="97" customFormat="1">
      <c r="B4914" s="96"/>
      <c r="H4914" s="96"/>
      <c r="J4914" s="1"/>
      <c r="K4914" s="1"/>
      <c r="L4914" s="1"/>
      <c r="O4914" s="475"/>
      <c r="P4914" s="475"/>
      <c r="Q4914" s="475"/>
      <c r="R4914" s="475"/>
      <c r="S4914" s="475"/>
      <c r="T4914" s="475"/>
      <c r="U4914" s="475"/>
      <c r="V4914" s="475"/>
      <c r="W4914" s="475"/>
    </row>
    <row r="4915" spans="2:23" s="97" customFormat="1">
      <c r="B4915" s="96"/>
      <c r="H4915" s="96"/>
      <c r="J4915" s="1"/>
      <c r="K4915" s="1"/>
      <c r="L4915" s="1"/>
      <c r="O4915" s="475"/>
      <c r="P4915" s="475"/>
      <c r="Q4915" s="475"/>
      <c r="R4915" s="475"/>
      <c r="S4915" s="475"/>
      <c r="T4915" s="475"/>
      <c r="U4915" s="475"/>
      <c r="V4915" s="475"/>
      <c r="W4915" s="475"/>
    </row>
    <row r="4916" spans="2:23" s="97" customFormat="1">
      <c r="B4916" s="96"/>
      <c r="H4916" s="96"/>
      <c r="J4916" s="1"/>
      <c r="K4916" s="1"/>
      <c r="L4916" s="1"/>
      <c r="O4916" s="475"/>
      <c r="P4916" s="475"/>
      <c r="Q4916" s="475"/>
      <c r="R4916" s="475"/>
      <c r="S4916" s="475"/>
      <c r="T4916" s="475"/>
      <c r="U4916" s="475"/>
      <c r="V4916" s="475"/>
      <c r="W4916" s="475"/>
    </row>
    <row r="4917" spans="2:23" s="97" customFormat="1">
      <c r="B4917" s="96"/>
      <c r="H4917" s="96"/>
      <c r="J4917" s="1"/>
      <c r="K4917" s="1"/>
      <c r="L4917" s="1"/>
      <c r="O4917" s="475"/>
      <c r="P4917" s="475"/>
      <c r="Q4917" s="475"/>
      <c r="R4917" s="475"/>
      <c r="S4917" s="475"/>
      <c r="T4917" s="475"/>
      <c r="U4917" s="475"/>
      <c r="V4917" s="475"/>
      <c r="W4917" s="475"/>
    </row>
    <row r="4918" spans="2:23" s="97" customFormat="1">
      <c r="B4918" s="96"/>
      <c r="H4918" s="96"/>
      <c r="J4918" s="1"/>
      <c r="K4918" s="1"/>
      <c r="L4918" s="1"/>
      <c r="O4918" s="475"/>
      <c r="P4918" s="475"/>
      <c r="Q4918" s="475"/>
      <c r="R4918" s="475"/>
      <c r="S4918" s="475"/>
      <c r="T4918" s="475"/>
      <c r="U4918" s="475"/>
      <c r="V4918" s="475"/>
      <c r="W4918" s="475"/>
    </row>
    <row r="4919" spans="2:23" s="97" customFormat="1">
      <c r="B4919" s="96"/>
      <c r="H4919" s="96"/>
      <c r="J4919" s="1"/>
      <c r="K4919" s="1"/>
      <c r="L4919" s="1"/>
      <c r="O4919" s="475"/>
      <c r="P4919" s="475"/>
      <c r="Q4919" s="475"/>
      <c r="R4919" s="475"/>
      <c r="S4919" s="475"/>
      <c r="T4919" s="475"/>
      <c r="U4919" s="475"/>
      <c r="V4919" s="475"/>
      <c r="W4919" s="475"/>
    </row>
    <row r="4920" spans="2:23" s="97" customFormat="1">
      <c r="B4920" s="96"/>
      <c r="H4920" s="96"/>
      <c r="J4920" s="1"/>
      <c r="K4920" s="1"/>
      <c r="L4920" s="1"/>
      <c r="O4920" s="475"/>
      <c r="P4920" s="475"/>
      <c r="Q4920" s="475"/>
      <c r="R4920" s="475"/>
      <c r="S4920" s="475"/>
      <c r="T4920" s="475"/>
      <c r="U4920" s="475"/>
      <c r="V4920" s="475"/>
      <c r="W4920" s="475"/>
    </row>
    <row r="4921" spans="2:23" s="97" customFormat="1">
      <c r="B4921" s="96"/>
      <c r="H4921" s="96"/>
      <c r="J4921" s="1"/>
      <c r="K4921" s="1"/>
      <c r="L4921" s="1"/>
      <c r="O4921" s="475"/>
      <c r="P4921" s="475"/>
      <c r="Q4921" s="475"/>
      <c r="R4921" s="475"/>
      <c r="S4921" s="475"/>
      <c r="T4921" s="475"/>
      <c r="U4921" s="475"/>
      <c r="V4921" s="475"/>
      <c r="W4921" s="475"/>
    </row>
    <row r="4922" spans="2:23" s="97" customFormat="1">
      <c r="B4922" s="96"/>
      <c r="H4922" s="96"/>
      <c r="J4922" s="1"/>
      <c r="K4922" s="1"/>
      <c r="L4922" s="1"/>
      <c r="O4922" s="475"/>
      <c r="P4922" s="475"/>
      <c r="Q4922" s="475"/>
      <c r="R4922" s="475"/>
      <c r="S4922" s="475"/>
      <c r="T4922" s="475"/>
      <c r="U4922" s="475"/>
      <c r="V4922" s="475"/>
      <c r="W4922" s="475"/>
    </row>
    <row r="4923" spans="2:23" s="97" customFormat="1">
      <c r="B4923" s="96"/>
      <c r="H4923" s="96"/>
      <c r="J4923" s="1"/>
      <c r="K4923" s="1"/>
      <c r="L4923" s="1"/>
      <c r="O4923" s="475"/>
      <c r="P4923" s="475"/>
      <c r="Q4923" s="475"/>
      <c r="R4923" s="475"/>
      <c r="S4923" s="475"/>
      <c r="T4923" s="475"/>
      <c r="U4923" s="475"/>
      <c r="V4923" s="475"/>
      <c r="W4923" s="475"/>
    </row>
    <row r="4924" spans="2:23" s="97" customFormat="1">
      <c r="B4924" s="96"/>
      <c r="H4924" s="96"/>
      <c r="J4924" s="1"/>
      <c r="K4924" s="1"/>
      <c r="L4924" s="1"/>
      <c r="O4924" s="475"/>
      <c r="P4924" s="475"/>
      <c r="Q4924" s="475"/>
      <c r="R4924" s="475"/>
      <c r="S4924" s="475"/>
      <c r="T4924" s="475"/>
      <c r="U4924" s="475"/>
      <c r="V4924" s="475"/>
      <c r="W4924" s="475"/>
    </row>
    <row r="4925" spans="2:23" s="97" customFormat="1">
      <c r="B4925" s="96"/>
      <c r="H4925" s="96"/>
      <c r="J4925" s="1"/>
      <c r="K4925" s="1"/>
      <c r="L4925" s="1"/>
      <c r="O4925" s="475"/>
      <c r="P4925" s="475"/>
      <c r="Q4925" s="475"/>
      <c r="R4925" s="475"/>
      <c r="S4925" s="475"/>
      <c r="T4925" s="475"/>
      <c r="U4925" s="475"/>
      <c r="V4925" s="475"/>
      <c r="W4925" s="475"/>
    </row>
    <row r="4926" spans="2:23" s="97" customFormat="1">
      <c r="B4926" s="96"/>
      <c r="H4926" s="96"/>
      <c r="J4926" s="1"/>
      <c r="K4926" s="1"/>
      <c r="L4926" s="1"/>
      <c r="O4926" s="475"/>
      <c r="P4926" s="475"/>
      <c r="Q4926" s="475"/>
      <c r="R4926" s="475"/>
      <c r="S4926" s="475"/>
      <c r="T4926" s="475"/>
      <c r="U4926" s="475"/>
      <c r="V4926" s="475"/>
      <c r="W4926" s="475"/>
    </row>
    <row r="4927" spans="2:23" s="97" customFormat="1">
      <c r="B4927" s="96"/>
      <c r="H4927" s="96"/>
      <c r="J4927" s="1"/>
      <c r="K4927" s="1"/>
      <c r="L4927" s="1"/>
      <c r="O4927" s="475"/>
      <c r="P4927" s="475"/>
      <c r="Q4927" s="475"/>
      <c r="R4927" s="475"/>
      <c r="S4927" s="475"/>
      <c r="T4927" s="475"/>
      <c r="U4927" s="475"/>
      <c r="V4927" s="475"/>
      <c r="W4927" s="475"/>
    </row>
    <row r="4928" spans="2:23" s="97" customFormat="1">
      <c r="B4928" s="96"/>
      <c r="H4928" s="96"/>
      <c r="J4928" s="1"/>
      <c r="K4928" s="1"/>
      <c r="L4928" s="1"/>
      <c r="O4928" s="475"/>
      <c r="P4928" s="475"/>
      <c r="Q4928" s="475"/>
      <c r="R4928" s="475"/>
      <c r="S4928" s="475"/>
      <c r="T4928" s="475"/>
      <c r="U4928" s="475"/>
      <c r="V4928" s="475"/>
      <c r="W4928" s="475"/>
    </row>
    <row r="4929" spans="2:23" s="97" customFormat="1">
      <c r="B4929" s="96"/>
      <c r="H4929" s="96"/>
      <c r="J4929" s="1"/>
      <c r="K4929" s="1"/>
      <c r="L4929" s="1"/>
      <c r="O4929" s="475"/>
      <c r="P4929" s="475"/>
      <c r="Q4929" s="475"/>
      <c r="R4929" s="475"/>
      <c r="S4929" s="475"/>
      <c r="T4929" s="475"/>
      <c r="U4929" s="475"/>
      <c r="V4929" s="475"/>
      <c r="W4929" s="475"/>
    </row>
    <row r="4930" spans="2:23" s="97" customFormat="1">
      <c r="B4930" s="96"/>
      <c r="H4930" s="96"/>
      <c r="J4930" s="1"/>
      <c r="K4930" s="1"/>
      <c r="L4930" s="1"/>
      <c r="O4930" s="475"/>
      <c r="P4930" s="475"/>
      <c r="Q4930" s="475"/>
      <c r="R4930" s="475"/>
      <c r="S4930" s="475"/>
      <c r="T4930" s="475"/>
      <c r="U4930" s="475"/>
      <c r="V4930" s="475"/>
      <c r="W4930" s="475"/>
    </row>
    <row r="4931" spans="2:23" s="97" customFormat="1">
      <c r="B4931" s="96"/>
      <c r="H4931" s="96"/>
      <c r="J4931" s="1"/>
      <c r="K4931" s="1"/>
      <c r="L4931" s="1"/>
      <c r="O4931" s="475"/>
      <c r="P4931" s="475"/>
      <c r="Q4931" s="475"/>
      <c r="R4931" s="475"/>
      <c r="S4931" s="475"/>
      <c r="T4931" s="475"/>
      <c r="U4931" s="475"/>
      <c r="V4931" s="475"/>
      <c r="W4931" s="475"/>
    </row>
    <row r="4932" spans="2:23" s="97" customFormat="1">
      <c r="B4932" s="96"/>
      <c r="H4932" s="96"/>
      <c r="J4932" s="1"/>
      <c r="K4932" s="1"/>
      <c r="L4932" s="1"/>
      <c r="O4932" s="475"/>
      <c r="P4932" s="475"/>
      <c r="Q4932" s="475"/>
      <c r="R4932" s="475"/>
      <c r="S4932" s="475"/>
      <c r="T4932" s="475"/>
      <c r="U4932" s="475"/>
      <c r="V4932" s="475"/>
      <c r="W4932" s="475"/>
    </row>
    <row r="4933" spans="2:23" s="97" customFormat="1">
      <c r="B4933" s="96"/>
      <c r="H4933" s="96"/>
      <c r="J4933" s="1"/>
      <c r="K4933" s="1"/>
      <c r="L4933" s="1"/>
      <c r="O4933" s="475"/>
      <c r="P4933" s="475"/>
      <c r="Q4933" s="475"/>
      <c r="R4933" s="475"/>
      <c r="S4933" s="475"/>
      <c r="T4933" s="475"/>
      <c r="U4933" s="475"/>
      <c r="V4933" s="475"/>
      <c r="W4933" s="475"/>
    </row>
    <row r="4934" spans="2:23" s="97" customFormat="1">
      <c r="B4934" s="96"/>
      <c r="H4934" s="96"/>
      <c r="J4934" s="1"/>
      <c r="K4934" s="1"/>
      <c r="L4934" s="1"/>
      <c r="O4934" s="475"/>
      <c r="P4934" s="475"/>
      <c r="Q4934" s="475"/>
      <c r="R4934" s="475"/>
      <c r="S4934" s="475"/>
      <c r="T4934" s="475"/>
      <c r="U4934" s="475"/>
      <c r="V4934" s="475"/>
      <c r="W4934" s="475"/>
    </row>
    <row r="4935" spans="2:23" s="97" customFormat="1">
      <c r="B4935" s="96"/>
      <c r="H4935" s="96"/>
      <c r="J4935" s="1"/>
      <c r="K4935" s="1"/>
      <c r="L4935" s="1"/>
      <c r="O4935" s="475"/>
      <c r="P4935" s="475"/>
      <c r="Q4935" s="475"/>
      <c r="R4935" s="475"/>
      <c r="S4935" s="475"/>
      <c r="T4935" s="475"/>
      <c r="U4935" s="475"/>
      <c r="V4935" s="475"/>
      <c r="W4935" s="475"/>
    </row>
    <row r="4936" spans="2:23" s="97" customFormat="1">
      <c r="B4936" s="96"/>
      <c r="H4936" s="96"/>
      <c r="J4936" s="1"/>
      <c r="K4936" s="1"/>
      <c r="L4936" s="1"/>
      <c r="O4936" s="475"/>
      <c r="P4936" s="475"/>
      <c r="Q4936" s="475"/>
      <c r="R4936" s="475"/>
      <c r="S4936" s="475"/>
      <c r="T4936" s="475"/>
      <c r="U4936" s="475"/>
      <c r="V4936" s="475"/>
      <c r="W4936" s="475"/>
    </row>
    <row r="4937" spans="2:23" s="97" customFormat="1">
      <c r="B4937" s="96"/>
      <c r="H4937" s="96"/>
      <c r="J4937" s="1"/>
      <c r="K4937" s="1"/>
      <c r="L4937" s="1"/>
      <c r="O4937" s="475"/>
      <c r="P4937" s="475"/>
      <c r="Q4937" s="475"/>
      <c r="R4937" s="475"/>
      <c r="S4937" s="475"/>
      <c r="T4937" s="475"/>
      <c r="U4937" s="475"/>
      <c r="V4937" s="475"/>
      <c r="W4937" s="475"/>
    </row>
    <row r="4938" spans="2:23" s="97" customFormat="1">
      <c r="B4938" s="96"/>
      <c r="H4938" s="96"/>
      <c r="J4938" s="1"/>
      <c r="K4938" s="1"/>
      <c r="L4938" s="1"/>
      <c r="O4938" s="475"/>
      <c r="P4938" s="475"/>
      <c r="Q4938" s="475"/>
      <c r="R4938" s="475"/>
      <c r="S4938" s="475"/>
      <c r="T4938" s="475"/>
      <c r="U4938" s="475"/>
      <c r="V4938" s="475"/>
      <c r="W4938" s="475"/>
    </row>
    <row r="4939" spans="2:23" s="97" customFormat="1">
      <c r="B4939" s="96"/>
      <c r="H4939" s="96"/>
      <c r="J4939" s="1"/>
      <c r="K4939" s="1"/>
      <c r="L4939" s="1"/>
      <c r="O4939" s="475"/>
      <c r="P4939" s="475"/>
      <c r="Q4939" s="475"/>
      <c r="R4939" s="475"/>
      <c r="S4939" s="475"/>
      <c r="T4939" s="475"/>
      <c r="U4939" s="475"/>
      <c r="V4939" s="475"/>
      <c r="W4939" s="475"/>
    </row>
    <row r="4940" spans="2:23" s="97" customFormat="1">
      <c r="B4940" s="96"/>
      <c r="H4940" s="96"/>
      <c r="J4940" s="1"/>
      <c r="K4940" s="1"/>
      <c r="L4940" s="1"/>
      <c r="O4940" s="475"/>
      <c r="P4940" s="475"/>
      <c r="Q4940" s="475"/>
      <c r="R4940" s="475"/>
      <c r="S4940" s="475"/>
      <c r="T4940" s="475"/>
      <c r="U4940" s="475"/>
      <c r="V4940" s="475"/>
      <c r="W4940" s="475"/>
    </row>
    <row r="4941" spans="2:23" s="97" customFormat="1">
      <c r="B4941" s="96"/>
      <c r="H4941" s="96"/>
      <c r="J4941" s="1"/>
      <c r="K4941" s="1"/>
      <c r="L4941" s="1"/>
      <c r="O4941" s="475"/>
      <c r="P4941" s="475"/>
      <c r="Q4941" s="475"/>
      <c r="R4941" s="475"/>
      <c r="S4941" s="475"/>
      <c r="T4941" s="475"/>
      <c r="U4941" s="475"/>
      <c r="V4941" s="475"/>
      <c r="W4941" s="475"/>
    </row>
    <row r="4942" spans="2:23" s="97" customFormat="1">
      <c r="B4942" s="96"/>
      <c r="H4942" s="96"/>
      <c r="J4942" s="1"/>
      <c r="K4942" s="1"/>
      <c r="L4942" s="1"/>
      <c r="O4942" s="475"/>
      <c r="P4942" s="475"/>
      <c r="Q4942" s="475"/>
      <c r="R4942" s="475"/>
      <c r="S4942" s="475"/>
      <c r="T4942" s="475"/>
      <c r="U4942" s="475"/>
      <c r="V4942" s="475"/>
      <c r="W4942" s="475"/>
    </row>
    <row r="4943" spans="2:23" s="97" customFormat="1">
      <c r="B4943" s="96"/>
      <c r="H4943" s="96"/>
      <c r="J4943" s="1"/>
      <c r="K4943" s="1"/>
      <c r="L4943" s="1"/>
      <c r="O4943" s="475"/>
      <c r="P4943" s="475"/>
      <c r="Q4943" s="475"/>
      <c r="R4943" s="475"/>
      <c r="S4943" s="475"/>
      <c r="T4943" s="475"/>
      <c r="U4943" s="475"/>
      <c r="V4943" s="475"/>
      <c r="W4943" s="475"/>
    </row>
    <row r="4944" spans="2:23" s="97" customFormat="1">
      <c r="B4944" s="96"/>
      <c r="H4944" s="96"/>
      <c r="J4944" s="1"/>
      <c r="K4944" s="1"/>
      <c r="L4944" s="1"/>
      <c r="O4944" s="475"/>
      <c r="P4944" s="475"/>
      <c r="Q4944" s="475"/>
      <c r="R4944" s="475"/>
      <c r="S4944" s="475"/>
      <c r="T4944" s="475"/>
      <c r="U4944" s="475"/>
      <c r="V4944" s="475"/>
      <c r="W4944" s="475"/>
    </row>
    <row r="4945" spans="2:23" s="97" customFormat="1">
      <c r="B4945" s="96"/>
      <c r="H4945" s="96"/>
      <c r="J4945" s="1"/>
      <c r="K4945" s="1"/>
      <c r="L4945" s="1"/>
      <c r="O4945" s="475"/>
      <c r="P4945" s="475"/>
      <c r="Q4945" s="475"/>
      <c r="R4945" s="475"/>
      <c r="S4945" s="475"/>
      <c r="T4945" s="475"/>
      <c r="U4945" s="475"/>
      <c r="V4945" s="475"/>
      <c r="W4945" s="475"/>
    </row>
    <row r="4946" spans="2:23" s="97" customFormat="1">
      <c r="B4946" s="96"/>
      <c r="H4946" s="96"/>
      <c r="J4946" s="1"/>
      <c r="K4946" s="1"/>
      <c r="L4946" s="1"/>
      <c r="O4946" s="475"/>
      <c r="P4946" s="475"/>
      <c r="Q4946" s="475"/>
      <c r="R4946" s="475"/>
      <c r="S4946" s="475"/>
      <c r="T4946" s="475"/>
      <c r="U4946" s="475"/>
      <c r="V4946" s="475"/>
      <c r="W4946" s="475"/>
    </row>
    <row r="4947" spans="2:23" s="97" customFormat="1">
      <c r="B4947" s="96"/>
      <c r="H4947" s="96"/>
      <c r="J4947" s="1"/>
      <c r="K4947" s="1"/>
      <c r="L4947" s="1"/>
      <c r="O4947" s="475"/>
      <c r="P4947" s="475"/>
      <c r="Q4947" s="475"/>
      <c r="R4947" s="475"/>
      <c r="S4947" s="475"/>
      <c r="T4947" s="475"/>
      <c r="U4947" s="475"/>
      <c r="V4947" s="475"/>
      <c r="W4947" s="475"/>
    </row>
    <row r="4948" spans="2:23" s="97" customFormat="1">
      <c r="B4948" s="96"/>
      <c r="H4948" s="96"/>
      <c r="J4948" s="1"/>
      <c r="K4948" s="1"/>
      <c r="L4948" s="1"/>
      <c r="O4948" s="475"/>
      <c r="P4948" s="475"/>
      <c r="Q4948" s="475"/>
      <c r="R4948" s="475"/>
      <c r="S4948" s="475"/>
      <c r="T4948" s="475"/>
      <c r="U4948" s="475"/>
      <c r="V4948" s="475"/>
      <c r="W4948" s="475"/>
    </row>
    <row r="4949" spans="2:23" s="97" customFormat="1">
      <c r="B4949" s="96"/>
      <c r="H4949" s="96"/>
      <c r="J4949" s="1"/>
      <c r="K4949" s="1"/>
      <c r="L4949" s="1"/>
      <c r="O4949" s="475"/>
      <c r="P4949" s="475"/>
      <c r="Q4949" s="475"/>
      <c r="R4949" s="475"/>
      <c r="S4949" s="475"/>
      <c r="T4949" s="475"/>
      <c r="U4949" s="475"/>
      <c r="V4949" s="475"/>
      <c r="W4949" s="475"/>
    </row>
    <row r="4950" spans="2:23" s="97" customFormat="1">
      <c r="B4950" s="96"/>
      <c r="H4950" s="96"/>
      <c r="J4950" s="1"/>
      <c r="K4950" s="1"/>
      <c r="L4950" s="1"/>
      <c r="O4950" s="475"/>
      <c r="P4950" s="475"/>
      <c r="Q4950" s="475"/>
      <c r="R4950" s="475"/>
      <c r="S4950" s="475"/>
      <c r="T4950" s="475"/>
      <c r="U4950" s="475"/>
      <c r="V4950" s="475"/>
      <c r="W4950" s="475"/>
    </row>
    <row r="4951" spans="2:23" s="97" customFormat="1">
      <c r="B4951" s="96"/>
      <c r="H4951" s="96"/>
      <c r="J4951" s="1"/>
      <c r="K4951" s="1"/>
      <c r="L4951" s="1"/>
      <c r="O4951" s="475"/>
      <c r="P4951" s="475"/>
      <c r="Q4951" s="475"/>
      <c r="R4951" s="475"/>
      <c r="S4951" s="475"/>
      <c r="T4951" s="475"/>
      <c r="U4951" s="475"/>
      <c r="V4951" s="475"/>
      <c r="W4951" s="475"/>
    </row>
    <row r="4952" spans="2:23" s="97" customFormat="1">
      <c r="B4952" s="96"/>
      <c r="H4952" s="96"/>
      <c r="J4952" s="1"/>
      <c r="K4952" s="1"/>
      <c r="L4952" s="1"/>
      <c r="O4952" s="475"/>
      <c r="P4952" s="475"/>
      <c r="Q4952" s="475"/>
      <c r="R4952" s="475"/>
      <c r="S4952" s="475"/>
      <c r="T4952" s="475"/>
      <c r="U4952" s="475"/>
      <c r="V4952" s="475"/>
      <c r="W4952" s="475"/>
    </row>
    <row r="4953" spans="2:23" s="97" customFormat="1">
      <c r="B4953" s="96"/>
      <c r="H4953" s="96"/>
      <c r="J4953" s="1"/>
      <c r="K4953" s="1"/>
      <c r="L4953" s="1"/>
      <c r="O4953" s="475"/>
      <c r="P4953" s="475"/>
      <c r="Q4953" s="475"/>
      <c r="R4953" s="475"/>
      <c r="S4953" s="475"/>
      <c r="T4953" s="475"/>
      <c r="U4953" s="475"/>
      <c r="V4953" s="475"/>
      <c r="W4953" s="475"/>
    </row>
    <row r="4954" spans="2:23" s="97" customFormat="1">
      <c r="B4954" s="96"/>
      <c r="H4954" s="96"/>
      <c r="J4954" s="1"/>
      <c r="K4954" s="1"/>
      <c r="L4954" s="1"/>
      <c r="O4954" s="475"/>
      <c r="P4954" s="475"/>
      <c r="Q4954" s="475"/>
      <c r="R4954" s="475"/>
      <c r="S4954" s="475"/>
      <c r="T4954" s="475"/>
      <c r="U4954" s="475"/>
      <c r="V4954" s="475"/>
      <c r="W4954" s="475"/>
    </row>
    <row r="4955" spans="2:23" s="97" customFormat="1">
      <c r="B4955" s="96"/>
      <c r="H4955" s="96"/>
      <c r="J4955" s="1"/>
      <c r="K4955" s="1"/>
      <c r="L4955" s="1"/>
      <c r="O4955" s="475"/>
      <c r="P4955" s="475"/>
      <c r="Q4955" s="475"/>
      <c r="R4955" s="475"/>
      <c r="S4955" s="475"/>
      <c r="T4955" s="475"/>
      <c r="U4955" s="475"/>
      <c r="V4955" s="475"/>
      <c r="W4955" s="475"/>
    </row>
    <row r="4956" spans="2:23" s="97" customFormat="1">
      <c r="B4956" s="96"/>
      <c r="H4956" s="96"/>
      <c r="J4956" s="1"/>
      <c r="K4956" s="1"/>
      <c r="L4956" s="1"/>
      <c r="O4956" s="475"/>
      <c r="P4956" s="475"/>
      <c r="Q4956" s="475"/>
      <c r="R4956" s="475"/>
      <c r="S4956" s="475"/>
      <c r="T4956" s="475"/>
      <c r="U4956" s="475"/>
      <c r="V4956" s="475"/>
      <c r="W4956" s="475"/>
    </row>
    <row r="4957" spans="2:23" s="97" customFormat="1">
      <c r="B4957" s="96"/>
      <c r="H4957" s="96"/>
      <c r="J4957" s="1"/>
      <c r="K4957" s="1"/>
      <c r="L4957" s="1"/>
      <c r="O4957" s="475"/>
      <c r="P4957" s="475"/>
      <c r="Q4957" s="475"/>
      <c r="R4957" s="475"/>
      <c r="S4957" s="475"/>
      <c r="T4957" s="475"/>
      <c r="U4957" s="475"/>
      <c r="V4957" s="475"/>
      <c r="W4957" s="475"/>
    </row>
    <row r="4958" spans="2:23" s="97" customFormat="1">
      <c r="B4958" s="96"/>
      <c r="H4958" s="96"/>
      <c r="J4958" s="1"/>
      <c r="K4958" s="1"/>
      <c r="L4958" s="1"/>
      <c r="O4958" s="475"/>
      <c r="P4958" s="475"/>
      <c r="Q4958" s="475"/>
      <c r="R4958" s="475"/>
      <c r="S4958" s="475"/>
      <c r="T4958" s="475"/>
      <c r="U4958" s="475"/>
      <c r="V4958" s="475"/>
      <c r="W4958" s="475"/>
    </row>
    <row r="4959" spans="2:23" s="97" customFormat="1">
      <c r="B4959" s="96"/>
      <c r="H4959" s="96"/>
      <c r="J4959" s="1"/>
      <c r="K4959" s="1"/>
      <c r="L4959" s="1"/>
      <c r="O4959" s="475"/>
      <c r="P4959" s="475"/>
      <c r="Q4959" s="475"/>
      <c r="R4959" s="475"/>
      <c r="S4959" s="475"/>
      <c r="T4959" s="475"/>
      <c r="U4959" s="475"/>
      <c r="V4959" s="475"/>
      <c r="W4959" s="475"/>
    </row>
    <row r="4960" spans="2:23" s="97" customFormat="1">
      <c r="B4960" s="96"/>
      <c r="H4960" s="96"/>
      <c r="J4960" s="1"/>
      <c r="K4960" s="1"/>
      <c r="L4960" s="1"/>
      <c r="O4960" s="475"/>
      <c r="P4960" s="475"/>
      <c r="Q4960" s="475"/>
      <c r="R4960" s="475"/>
      <c r="S4960" s="475"/>
      <c r="T4960" s="475"/>
      <c r="U4960" s="475"/>
      <c r="V4960" s="475"/>
      <c r="W4960" s="475"/>
    </row>
    <row r="4961" spans="2:23" s="97" customFormat="1">
      <c r="B4961" s="96"/>
      <c r="H4961" s="96"/>
      <c r="J4961" s="1"/>
      <c r="K4961" s="1"/>
      <c r="L4961" s="1"/>
      <c r="O4961" s="475"/>
      <c r="P4961" s="475"/>
      <c r="Q4961" s="475"/>
      <c r="R4961" s="475"/>
      <c r="S4961" s="475"/>
      <c r="T4961" s="475"/>
      <c r="U4961" s="475"/>
      <c r="V4961" s="475"/>
      <c r="W4961" s="475"/>
    </row>
    <row r="4962" spans="2:23" s="97" customFormat="1">
      <c r="B4962" s="96"/>
      <c r="H4962" s="96"/>
      <c r="J4962" s="1"/>
      <c r="K4962" s="1"/>
      <c r="L4962" s="1"/>
      <c r="O4962" s="475"/>
      <c r="P4962" s="475"/>
      <c r="Q4962" s="475"/>
      <c r="R4962" s="475"/>
      <c r="S4962" s="475"/>
      <c r="T4962" s="475"/>
      <c r="U4962" s="475"/>
      <c r="V4962" s="475"/>
      <c r="W4962" s="475"/>
    </row>
    <row r="4963" spans="2:23" s="97" customFormat="1">
      <c r="B4963" s="96"/>
      <c r="H4963" s="96"/>
      <c r="J4963" s="1"/>
      <c r="K4963" s="1"/>
      <c r="L4963" s="1"/>
      <c r="O4963" s="475"/>
      <c r="P4963" s="475"/>
      <c r="Q4963" s="475"/>
      <c r="R4963" s="475"/>
      <c r="S4963" s="475"/>
      <c r="T4963" s="475"/>
      <c r="U4963" s="475"/>
      <c r="V4963" s="475"/>
      <c r="W4963" s="475"/>
    </row>
    <row r="4964" spans="2:23" s="97" customFormat="1">
      <c r="B4964" s="96"/>
      <c r="H4964" s="96"/>
      <c r="J4964" s="1"/>
      <c r="K4964" s="1"/>
      <c r="L4964" s="1"/>
      <c r="O4964" s="475"/>
      <c r="P4964" s="475"/>
      <c r="Q4964" s="475"/>
      <c r="R4964" s="475"/>
      <c r="S4964" s="475"/>
      <c r="T4964" s="475"/>
      <c r="U4964" s="475"/>
      <c r="V4964" s="475"/>
      <c r="W4964" s="475"/>
    </row>
    <row r="4965" spans="2:23" s="97" customFormat="1">
      <c r="B4965" s="96"/>
      <c r="H4965" s="96"/>
      <c r="J4965" s="1"/>
      <c r="K4965" s="1"/>
      <c r="L4965" s="1"/>
      <c r="O4965" s="475"/>
      <c r="P4965" s="475"/>
      <c r="Q4965" s="475"/>
      <c r="R4965" s="475"/>
      <c r="S4965" s="475"/>
      <c r="T4965" s="475"/>
      <c r="U4965" s="475"/>
      <c r="V4965" s="475"/>
      <c r="W4965" s="475"/>
    </row>
    <row r="4966" spans="2:23" s="97" customFormat="1">
      <c r="B4966" s="96"/>
      <c r="H4966" s="96"/>
      <c r="J4966" s="1"/>
      <c r="K4966" s="1"/>
      <c r="L4966" s="1"/>
      <c r="O4966" s="475"/>
      <c r="P4966" s="475"/>
      <c r="Q4966" s="475"/>
      <c r="R4966" s="475"/>
      <c r="S4966" s="475"/>
      <c r="T4966" s="475"/>
      <c r="U4966" s="475"/>
      <c r="V4966" s="475"/>
      <c r="W4966" s="475"/>
    </row>
    <row r="4967" spans="2:23" s="97" customFormat="1">
      <c r="B4967" s="96"/>
      <c r="H4967" s="96"/>
      <c r="J4967" s="1"/>
      <c r="K4967" s="1"/>
      <c r="L4967" s="1"/>
      <c r="O4967" s="475"/>
      <c r="P4967" s="475"/>
      <c r="Q4967" s="475"/>
      <c r="R4967" s="475"/>
      <c r="S4967" s="475"/>
      <c r="T4967" s="475"/>
      <c r="U4967" s="475"/>
      <c r="V4967" s="475"/>
      <c r="W4967" s="475"/>
    </row>
    <row r="4968" spans="2:23" s="97" customFormat="1">
      <c r="B4968" s="96"/>
      <c r="H4968" s="96"/>
      <c r="J4968" s="1"/>
      <c r="K4968" s="1"/>
      <c r="L4968" s="1"/>
      <c r="O4968" s="475"/>
      <c r="P4968" s="475"/>
      <c r="Q4968" s="475"/>
      <c r="R4968" s="475"/>
      <c r="S4968" s="475"/>
      <c r="T4968" s="475"/>
      <c r="U4968" s="475"/>
      <c r="V4968" s="475"/>
      <c r="W4968" s="475"/>
    </row>
    <row r="4969" spans="2:23" s="97" customFormat="1">
      <c r="B4969" s="96"/>
      <c r="H4969" s="96"/>
      <c r="J4969" s="1"/>
      <c r="K4969" s="1"/>
      <c r="L4969" s="1"/>
      <c r="O4969" s="475"/>
      <c r="P4969" s="475"/>
      <c r="Q4969" s="475"/>
      <c r="R4969" s="475"/>
      <c r="S4969" s="475"/>
      <c r="T4969" s="475"/>
      <c r="U4969" s="475"/>
      <c r="V4969" s="475"/>
      <c r="W4969" s="475"/>
    </row>
    <row r="4970" spans="2:23" s="97" customFormat="1">
      <c r="B4970" s="96"/>
      <c r="H4970" s="96"/>
      <c r="J4970" s="1"/>
      <c r="K4970" s="1"/>
      <c r="L4970" s="1"/>
      <c r="O4970" s="475"/>
      <c r="P4970" s="475"/>
      <c r="Q4970" s="475"/>
      <c r="R4970" s="475"/>
      <c r="S4970" s="475"/>
      <c r="T4970" s="475"/>
      <c r="U4970" s="475"/>
      <c r="V4970" s="475"/>
      <c r="W4970" s="475"/>
    </row>
    <row r="4971" spans="2:23" s="97" customFormat="1">
      <c r="B4971" s="96"/>
      <c r="H4971" s="96"/>
      <c r="J4971" s="1"/>
      <c r="K4971" s="1"/>
      <c r="L4971" s="1"/>
      <c r="O4971" s="475"/>
      <c r="P4971" s="475"/>
      <c r="Q4971" s="475"/>
      <c r="R4971" s="475"/>
      <c r="S4971" s="475"/>
      <c r="T4971" s="475"/>
      <c r="U4971" s="475"/>
      <c r="V4971" s="475"/>
      <c r="W4971" s="475"/>
    </row>
    <row r="4972" spans="2:23" s="97" customFormat="1">
      <c r="B4972" s="96"/>
      <c r="H4972" s="96"/>
      <c r="J4972" s="1"/>
      <c r="K4972" s="1"/>
      <c r="L4972" s="1"/>
      <c r="O4972" s="475"/>
      <c r="P4972" s="475"/>
      <c r="Q4972" s="475"/>
      <c r="R4972" s="475"/>
      <c r="S4972" s="475"/>
      <c r="T4972" s="475"/>
      <c r="U4972" s="475"/>
      <c r="V4972" s="475"/>
      <c r="W4972" s="475"/>
    </row>
    <row r="4973" spans="2:23" s="97" customFormat="1">
      <c r="B4973" s="96"/>
      <c r="H4973" s="96"/>
      <c r="J4973" s="1"/>
      <c r="K4973" s="1"/>
      <c r="L4973" s="1"/>
      <c r="O4973" s="475"/>
      <c r="P4973" s="475"/>
      <c r="Q4973" s="475"/>
      <c r="R4973" s="475"/>
      <c r="S4973" s="475"/>
      <c r="T4973" s="475"/>
      <c r="U4973" s="475"/>
      <c r="V4973" s="475"/>
      <c r="W4973" s="475"/>
    </row>
    <row r="4974" spans="2:23" s="97" customFormat="1">
      <c r="B4974" s="96"/>
      <c r="H4974" s="96"/>
      <c r="J4974" s="1"/>
      <c r="K4974" s="1"/>
      <c r="L4974" s="1"/>
      <c r="O4974" s="475"/>
      <c r="P4974" s="475"/>
      <c r="Q4974" s="475"/>
      <c r="R4974" s="475"/>
      <c r="S4974" s="475"/>
      <c r="T4974" s="475"/>
      <c r="U4974" s="475"/>
      <c r="V4974" s="475"/>
      <c r="W4974" s="475"/>
    </row>
    <row r="4975" spans="2:23" s="97" customFormat="1">
      <c r="B4975" s="96"/>
      <c r="H4975" s="96"/>
      <c r="J4975" s="1"/>
      <c r="K4975" s="1"/>
      <c r="L4975" s="1"/>
      <c r="O4975" s="475"/>
      <c r="P4975" s="475"/>
      <c r="Q4975" s="475"/>
      <c r="R4975" s="475"/>
      <c r="S4975" s="475"/>
      <c r="T4975" s="475"/>
      <c r="U4975" s="475"/>
      <c r="V4975" s="475"/>
      <c r="W4975" s="475"/>
    </row>
    <row r="4976" spans="2:23" s="97" customFormat="1">
      <c r="B4976" s="96"/>
      <c r="H4976" s="96"/>
      <c r="J4976" s="1"/>
      <c r="K4976" s="1"/>
      <c r="L4976" s="1"/>
      <c r="O4976" s="475"/>
      <c r="P4976" s="475"/>
      <c r="Q4976" s="475"/>
      <c r="R4976" s="475"/>
      <c r="S4976" s="475"/>
      <c r="T4976" s="475"/>
      <c r="U4976" s="475"/>
      <c r="V4976" s="475"/>
      <c r="W4976" s="475"/>
    </row>
    <row r="4977" spans="2:23" s="97" customFormat="1">
      <c r="B4977" s="96"/>
      <c r="H4977" s="96"/>
      <c r="J4977" s="1"/>
      <c r="K4977" s="1"/>
      <c r="L4977" s="1"/>
      <c r="O4977" s="475"/>
      <c r="P4977" s="475"/>
      <c r="Q4977" s="475"/>
      <c r="R4977" s="475"/>
      <c r="S4977" s="475"/>
      <c r="T4977" s="475"/>
      <c r="U4977" s="475"/>
      <c r="V4977" s="475"/>
      <c r="W4977" s="475"/>
    </row>
    <row r="4978" spans="2:23" s="97" customFormat="1">
      <c r="B4978" s="96"/>
      <c r="H4978" s="96"/>
      <c r="J4978" s="1"/>
      <c r="K4978" s="1"/>
      <c r="L4978" s="1"/>
      <c r="O4978" s="475"/>
      <c r="P4978" s="475"/>
      <c r="Q4978" s="475"/>
      <c r="R4978" s="475"/>
      <c r="S4978" s="475"/>
      <c r="T4978" s="475"/>
      <c r="U4978" s="475"/>
      <c r="V4978" s="475"/>
      <c r="W4978" s="475"/>
    </row>
    <row r="4979" spans="2:23" s="97" customFormat="1">
      <c r="B4979" s="96"/>
      <c r="H4979" s="96"/>
      <c r="J4979" s="1"/>
      <c r="K4979" s="1"/>
      <c r="L4979" s="1"/>
      <c r="O4979" s="475"/>
      <c r="P4979" s="475"/>
      <c r="Q4979" s="475"/>
      <c r="R4979" s="475"/>
      <c r="S4979" s="475"/>
      <c r="T4979" s="475"/>
      <c r="U4979" s="475"/>
      <c r="V4979" s="475"/>
      <c r="W4979" s="475"/>
    </row>
    <row r="4980" spans="2:23" s="97" customFormat="1">
      <c r="B4980" s="96"/>
      <c r="H4980" s="96"/>
      <c r="J4980" s="1"/>
      <c r="K4980" s="1"/>
      <c r="L4980" s="1"/>
      <c r="O4980" s="475"/>
      <c r="P4980" s="475"/>
      <c r="Q4980" s="475"/>
      <c r="R4980" s="475"/>
      <c r="S4980" s="475"/>
      <c r="T4980" s="475"/>
      <c r="U4980" s="475"/>
      <c r="V4980" s="475"/>
      <c r="W4980" s="475"/>
    </row>
    <row r="4981" spans="2:23" s="97" customFormat="1">
      <c r="B4981" s="96"/>
      <c r="H4981" s="96"/>
      <c r="J4981" s="1"/>
      <c r="K4981" s="1"/>
      <c r="L4981" s="1"/>
      <c r="O4981" s="475"/>
      <c r="P4981" s="475"/>
      <c r="Q4981" s="475"/>
      <c r="R4981" s="475"/>
      <c r="S4981" s="475"/>
      <c r="T4981" s="475"/>
      <c r="U4981" s="475"/>
      <c r="V4981" s="475"/>
      <c r="W4981" s="475"/>
    </row>
    <row r="4982" spans="2:23" s="97" customFormat="1">
      <c r="B4982" s="96"/>
      <c r="H4982" s="96"/>
      <c r="J4982" s="1"/>
      <c r="K4982" s="1"/>
      <c r="L4982" s="1"/>
      <c r="O4982" s="475"/>
      <c r="P4982" s="475"/>
      <c r="Q4982" s="475"/>
      <c r="R4982" s="475"/>
      <c r="S4982" s="475"/>
      <c r="T4982" s="475"/>
      <c r="U4982" s="475"/>
      <c r="V4982" s="475"/>
      <c r="W4982" s="475"/>
    </row>
    <row r="4983" spans="2:23" s="97" customFormat="1">
      <c r="B4983" s="96"/>
      <c r="H4983" s="96"/>
      <c r="J4983" s="1"/>
      <c r="K4983" s="1"/>
      <c r="L4983" s="1"/>
      <c r="O4983" s="475"/>
      <c r="P4983" s="475"/>
      <c r="Q4983" s="475"/>
      <c r="R4983" s="475"/>
      <c r="S4983" s="475"/>
      <c r="T4983" s="475"/>
      <c r="U4983" s="475"/>
      <c r="V4983" s="475"/>
      <c r="W4983" s="475"/>
    </row>
    <row r="4984" spans="2:23" s="97" customFormat="1">
      <c r="B4984" s="96"/>
      <c r="H4984" s="96"/>
      <c r="J4984" s="1"/>
      <c r="K4984" s="1"/>
      <c r="L4984" s="1"/>
      <c r="O4984" s="475"/>
      <c r="P4984" s="475"/>
      <c r="Q4984" s="475"/>
      <c r="R4984" s="475"/>
      <c r="S4984" s="475"/>
      <c r="T4984" s="475"/>
      <c r="U4984" s="475"/>
      <c r="V4984" s="475"/>
      <c r="W4984" s="475"/>
    </row>
    <row r="4985" spans="2:23" s="97" customFormat="1">
      <c r="B4985" s="96"/>
      <c r="H4985" s="96"/>
      <c r="J4985" s="1"/>
      <c r="K4985" s="1"/>
      <c r="L4985" s="1"/>
      <c r="O4985" s="475"/>
      <c r="P4985" s="475"/>
      <c r="Q4985" s="475"/>
      <c r="R4985" s="475"/>
      <c r="S4985" s="475"/>
      <c r="T4985" s="475"/>
      <c r="U4985" s="475"/>
      <c r="V4985" s="475"/>
      <c r="W4985" s="475"/>
    </row>
    <row r="4986" spans="2:23" s="97" customFormat="1">
      <c r="B4986" s="96"/>
      <c r="H4986" s="96"/>
      <c r="J4986" s="1"/>
      <c r="K4986" s="1"/>
      <c r="L4986" s="1"/>
      <c r="O4986" s="475"/>
      <c r="P4986" s="475"/>
      <c r="Q4986" s="475"/>
      <c r="R4986" s="475"/>
      <c r="S4986" s="475"/>
      <c r="T4986" s="475"/>
      <c r="U4986" s="475"/>
      <c r="V4986" s="475"/>
      <c r="W4986" s="475"/>
    </row>
    <row r="4987" spans="2:23" s="97" customFormat="1">
      <c r="B4987" s="96"/>
      <c r="H4987" s="96"/>
      <c r="J4987" s="1"/>
      <c r="K4987" s="1"/>
      <c r="L4987" s="1"/>
      <c r="O4987" s="475"/>
      <c r="P4987" s="475"/>
      <c r="Q4987" s="475"/>
      <c r="R4987" s="475"/>
      <c r="S4987" s="475"/>
      <c r="T4987" s="475"/>
      <c r="U4987" s="475"/>
      <c r="V4987" s="475"/>
      <c r="W4987" s="475"/>
    </row>
    <row r="4988" spans="2:23" s="97" customFormat="1">
      <c r="B4988" s="96"/>
      <c r="H4988" s="96"/>
      <c r="J4988" s="1"/>
      <c r="K4988" s="1"/>
      <c r="L4988" s="1"/>
      <c r="O4988" s="475"/>
      <c r="P4988" s="475"/>
      <c r="Q4988" s="475"/>
      <c r="R4988" s="475"/>
      <c r="S4988" s="475"/>
      <c r="T4988" s="475"/>
      <c r="U4988" s="475"/>
      <c r="V4988" s="475"/>
      <c r="W4988" s="475"/>
    </row>
    <row r="4989" spans="2:23" s="97" customFormat="1">
      <c r="B4989" s="96"/>
      <c r="H4989" s="96"/>
      <c r="J4989" s="1"/>
      <c r="K4989" s="1"/>
      <c r="L4989" s="1"/>
      <c r="O4989" s="475"/>
      <c r="P4989" s="475"/>
      <c r="Q4989" s="475"/>
      <c r="R4989" s="475"/>
      <c r="S4989" s="475"/>
      <c r="T4989" s="475"/>
      <c r="U4989" s="475"/>
      <c r="V4989" s="475"/>
      <c r="W4989" s="475"/>
    </row>
    <row r="4990" spans="2:23" s="97" customFormat="1">
      <c r="B4990" s="96"/>
      <c r="H4990" s="96"/>
      <c r="J4990" s="1"/>
      <c r="K4990" s="1"/>
      <c r="L4990" s="1"/>
      <c r="O4990" s="475"/>
      <c r="P4990" s="475"/>
      <c r="Q4990" s="475"/>
      <c r="R4990" s="475"/>
      <c r="S4990" s="475"/>
      <c r="T4990" s="475"/>
      <c r="U4990" s="475"/>
      <c r="V4990" s="475"/>
      <c r="W4990" s="475"/>
    </row>
    <row r="4991" spans="2:23" s="97" customFormat="1">
      <c r="B4991" s="96"/>
      <c r="H4991" s="96"/>
      <c r="J4991" s="1"/>
      <c r="K4991" s="1"/>
      <c r="L4991" s="1"/>
      <c r="O4991" s="475"/>
      <c r="P4991" s="475"/>
      <c r="Q4991" s="475"/>
      <c r="R4991" s="475"/>
      <c r="S4991" s="475"/>
      <c r="T4991" s="475"/>
      <c r="U4991" s="475"/>
      <c r="V4991" s="475"/>
      <c r="W4991" s="475"/>
    </row>
    <row r="4992" spans="2:23" s="97" customFormat="1">
      <c r="B4992" s="96"/>
      <c r="H4992" s="96"/>
      <c r="J4992" s="1"/>
      <c r="K4992" s="1"/>
      <c r="L4992" s="1"/>
      <c r="O4992" s="475"/>
      <c r="P4992" s="475"/>
      <c r="Q4992" s="475"/>
      <c r="R4992" s="475"/>
      <c r="S4992" s="475"/>
      <c r="T4992" s="475"/>
      <c r="U4992" s="475"/>
      <c r="V4992" s="475"/>
      <c r="W4992" s="475"/>
    </row>
    <row r="4993" spans="2:23" s="97" customFormat="1">
      <c r="B4993" s="96"/>
      <c r="H4993" s="96"/>
      <c r="J4993" s="1"/>
      <c r="K4993" s="1"/>
      <c r="L4993" s="1"/>
      <c r="O4993" s="475"/>
      <c r="P4993" s="475"/>
      <c r="Q4993" s="475"/>
      <c r="R4993" s="475"/>
      <c r="S4993" s="475"/>
      <c r="T4993" s="475"/>
      <c r="U4993" s="475"/>
      <c r="V4993" s="475"/>
      <c r="W4993" s="475"/>
    </row>
    <row r="4994" spans="2:23" s="97" customFormat="1">
      <c r="B4994" s="96"/>
      <c r="H4994" s="96"/>
      <c r="J4994" s="1"/>
      <c r="K4994" s="1"/>
      <c r="L4994" s="1"/>
      <c r="O4994" s="475"/>
      <c r="P4994" s="475"/>
      <c r="Q4994" s="475"/>
      <c r="R4994" s="475"/>
      <c r="S4994" s="475"/>
      <c r="T4994" s="475"/>
      <c r="U4994" s="475"/>
      <c r="V4994" s="475"/>
      <c r="W4994" s="475"/>
    </row>
    <row r="4995" spans="2:23" s="97" customFormat="1">
      <c r="B4995" s="96"/>
      <c r="H4995" s="96"/>
      <c r="J4995" s="1"/>
      <c r="K4995" s="1"/>
      <c r="L4995" s="1"/>
      <c r="O4995" s="475"/>
      <c r="P4995" s="475"/>
      <c r="Q4995" s="475"/>
      <c r="R4995" s="475"/>
      <c r="S4995" s="475"/>
      <c r="T4995" s="475"/>
      <c r="U4995" s="475"/>
      <c r="V4995" s="475"/>
      <c r="W4995" s="475"/>
    </row>
    <row r="4996" spans="2:23" s="97" customFormat="1">
      <c r="B4996" s="96"/>
      <c r="H4996" s="96"/>
      <c r="J4996" s="1"/>
      <c r="K4996" s="1"/>
      <c r="L4996" s="1"/>
      <c r="O4996" s="475"/>
      <c r="P4996" s="475"/>
      <c r="Q4996" s="475"/>
      <c r="R4996" s="475"/>
      <c r="S4996" s="475"/>
      <c r="T4996" s="475"/>
      <c r="U4996" s="475"/>
      <c r="V4996" s="475"/>
      <c r="W4996" s="475"/>
    </row>
    <row r="4997" spans="2:23" s="97" customFormat="1">
      <c r="B4997" s="96"/>
      <c r="H4997" s="96"/>
      <c r="J4997" s="1"/>
      <c r="K4997" s="1"/>
      <c r="L4997" s="1"/>
      <c r="O4997" s="475"/>
      <c r="P4997" s="475"/>
      <c r="Q4997" s="475"/>
      <c r="R4997" s="475"/>
      <c r="S4997" s="475"/>
      <c r="T4997" s="475"/>
      <c r="U4997" s="475"/>
      <c r="V4997" s="475"/>
      <c r="W4997" s="475"/>
    </row>
    <row r="4998" spans="2:23" s="97" customFormat="1">
      <c r="B4998" s="96"/>
      <c r="H4998" s="96"/>
      <c r="J4998" s="1"/>
      <c r="K4998" s="1"/>
      <c r="L4998" s="1"/>
      <c r="O4998" s="475"/>
      <c r="P4998" s="475"/>
      <c r="Q4998" s="475"/>
      <c r="R4998" s="475"/>
      <c r="S4998" s="475"/>
      <c r="T4998" s="475"/>
      <c r="U4998" s="475"/>
      <c r="V4998" s="475"/>
      <c r="W4998" s="475"/>
    </row>
    <row r="4999" spans="2:23" s="97" customFormat="1">
      <c r="B4999" s="96"/>
      <c r="H4999" s="96"/>
      <c r="J4999" s="1"/>
      <c r="K4999" s="1"/>
      <c r="L4999" s="1"/>
      <c r="O4999" s="475"/>
      <c r="P4999" s="475"/>
      <c r="Q4999" s="475"/>
      <c r="R4999" s="475"/>
      <c r="S4999" s="475"/>
      <c r="T4999" s="475"/>
      <c r="U4999" s="475"/>
      <c r="V4999" s="475"/>
      <c r="W4999" s="475"/>
    </row>
    <row r="5000" spans="2:23" s="97" customFormat="1">
      <c r="B5000" s="96"/>
      <c r="H5000" s="96"/>
      <c r="J5000" s="1"/>
      <c r="K5000" s="1"/>
      <c r="L5000" s="1"/>
      <c r="O5000" s="475"/>
      <c r="P5000" s="475"/>
      <c r="Q5000" s="475"/>
      <c r="R5000" s="475"/>
      <c r="S5000" s="475"/>
      <c r="T5000" s="475"/>
      <c r="U5000" s="475"/>
      <c r="V5000" s="475"/>
      <c r="W5000" s="475"/>
    </row>
    <row r="5001" spans="2:23" s="97" customFormat="1">
      <c r="B5001" s="96"/>
      <c r="H5001" s="96"/>
      <c r="J5001" s="1"/>
      <c r="K5001" s="1"/>
      <c r="L5001" s="1"/>
      <c r="O5001" s="475"/>
      <c r="P5001" s="475"/>
      <c r="Q5001" s="475"/>
      <c r="R5001" s="475"/>
      <c r="S5001" s="475"/>
      <c r="T5001" s="475"/>
      <c r="U5001" s="475"/>
      <c r="V5001" s="475"/>
      <c r="W5001" s="475"/>
    </row>
    <row r="5002" spans="2:23" s="97" customFormat="1">
      <c r="B5002" s="96"/>
      <c r="H5002" s="96"/>
      <c r="J5002" s="1"/>
      <c r="K5002" s="1"/>
      <c r="L5002" s="1"/>
      <c r="O5002" s="475"/>
      <c r="P5002" s="475"/>
      <c r="Q5002" s="475"/>
      <c r="R5002" s="475"/>
      <c r="S5002" s="475"/>
      <c r="T5002" s="475"/>
      <c r="U5002" s="475"/>
      <c r="V5002" s="475"/>
      <c r="W5002" s="475"/>
    </row>
    <row r="5003" spans="2:23" s="97" customFormat="1">
      <c r="B5003" s="96"/>
      <c r="H5003" s="96"/>
      <c r="J5003" s="1"/>
      <c r="K5003" s="1"/>
      <c r="L5003" s="1"/>
      <c r="O5003" s="475"/>
      <c r="P5003" s="475"/>
      <c r="Q5003" s="475"/>
      <c r="R5003" s="475"/>
      <c r="S5003" s="475"/>
      <c r="T5003" s="475"/>
      <c r="U5003" s="475"/>
      <c r="V5003" s="475"/>
      <c r="W5003" s="475"/>
    </row>
    <row r="5004" spans="2:23" s="97" customFormat="1">
      <c r="B5004" s="96"/>
      <c r="H5004" s="96"/>
      <c r="J5004" s="1"/>
      <c r="K5004" s="1"/>
      <c r="L5004" s="1"/>
      <c r="O5004" s="475"/>
      <c r="P5004" s="475"/>
      <c r="Q5004" s="475"/>
      <c r="R5004" s="475"/>
      <c r="S5004" s="475"/>
      <c r="T5004" s="475"/>
      <c r="U5004" s="475"/>
      <c r="V5004" s="475"/>
      <c r="W5004" s="475"/>
    </row>
    <row r="5005" spans="2:23" s="97" customFormat="1">
      <c r="B5005" s="96"/>
      <c r="H5005" s="96"/>
      <c r="J5005" s="1"/>
      <c r="K5005" s="1"/>
      <c r="L5005" s="1"/>
      <c r="O5005" s="475"/>
      <c r="P5005" s="475"/>
      <c r="Q5005" s="475"/>
      <c r="R5005" s="475"/>
      <c r="S5005" s="475"/>
      <c r="T5005" s="475"/>
      <c r="U5005" s="475"/>
      <c r="V5005" s="475"/>
      <c r="W5005" s="475"/>
    </row>
    <row r="5006" spans="2:23" s="97" customFormat="1">
      <c r="B5006" s="96"/>
      <c r="H5006" s="96"/>
      <c r="J5006" s="1"/>
      <c r="K5006" s="1"/>
      <c r="L5006" s="1"/>
      <c r="O5006" s="475"/>
      <c r="P5006" s="475"/>
      <c r="Q5006" s="475"/>
      <c r="R5006" s="475"/>
      <c r="S5006" s="475"/>
      <c r="T5006" s="475"/>
      <c r="U5006" s="475"/>
      <c r="V5006" s="475"/>
      <c r="W5006" s="475"/>
    </row>
    <row r="5007" spans="2:23" s="97" customFormat="1">
      <c r="B5007" s="96"/>
      <c r="H5007" s="96"/>
      <c r="J5007" s="1"/>
      <c r="K5007" s="1"/>
      <c r="L5007" s="1"/>
      <c r="O5007" s="475"/>
      <c r="P5007" s="475"/>
      <c r="Q5007" s="475"/>
      <c r="R5007" s="475"/>
      <c r="S5007" s="475"/>
      <c r="T5007" s="475"/>
      <c r="U5007" s="475"/>
      <c r="V5007" s="475"/>
      <c r="W5007" s="475"/>
    </row>
    <row r="5008" spans="2:23" s="97" customFormat="1">
      <c r="B5008" s="96"/>
      <c r="H5008" s="96"/>
      <c r="J5008" s="1"/>
      <c r="K5008" s="1"/>
      <c r="L5008" s="1"/>
      <c r="O5008" s="475"/>
      <c r="P5008" s="475"/>
      <c r="Q5008" s="475"/>
      <c r="R5008" s="475"/>
      <c r="S5008" s="475"/>
      <c r="T5008" s="475"/>
      <c r="U5008" s="475"/>
      <c r="V5008" s="475"/>
      <c r="W5008" s="475"/>
    </row>
    <row r="5009" spans="2:23" s="97" customFormat="1">
      <c r="B5009" s="96"/>
      <c r="H5009" s="96"/>
      <c r="J5009" s="1"/>
      <c r="K5009" s="1"/>
      <c r="L5009" s="1"/>
      <c r="O5009" s="475"/>
      <c r="P5009" s="475"/>
      <c r="Q5009" s="475"/>
      <c r="R5009" s="475"/>
      <c r="S5009" s="475"/>
      <c r="T5009" s="475"/>
      <c r="U5009" s="475"/>
      <c r="V5009" s="475"/>
      <c r="W5009" s="475"/>
    </row>
    <row r="5010" spans="2:23" s="97" customFormat="1">
      <c r="B5010" s="96"/>
      <c r="H5010" s="96"/>
      <c r="J5010" s="1"/>
      <c r="K5010" s="1"/>
      <c r="L5010" s="1"/>
      <c r="O5010" s="475"/>
      <c r="P5010" s="475"/>
      <c r="Q5010" s="475"/>
      <c r="R5010" s="475"/>
      <c r="S5010" s="475"/>
      <c r="T5010" s="475"/>
      <c r="U5010" s="475"/>
      <c r="V5010" s="475"/>
      <c r="W5010" s="475"/>
    </row>
    <row r="5011" spans="2:23" s="97" customFormat="1">
      <c r="B5011" s="96"/>
      <c r="H5011" s="96"/>
      <c r="J5011" s="1"/>
      <c r="K5011" s="1"/>
      <c r="L5011" s="1"/>
      <c r="O5011" s="475"/>
      <c r="P5011" s="475"/>
      <c r="Q5011" s="475"/>
      <c r="R5011" s="475"/>
      <c r="S5011" s="475"/>
      <c r="T5011" s="475"/>
      <c r="U5011" s="475"/>
      <c r="V5011" s="475"/>
      <c r="W5011" s="475"/>
    </row>
    <row r="5012" spans="2:23" s="97" customFormat="1">
      <c r="B5012" s="96"/>
      <c r="H5012" s="96"/>
      <c r="J5012" s="1"/>
      <c r="K5012" s="1"/>
      <c r="L5012" s="1"/>
      <c r="O5012" s="475"/>
      <c r="P5012" s="475"/>
      <c r="Q5012" s="475"/>
      <c r="R5012" s="475"/>
      <c r="S5012" s="475"/>
      <c r="T5012" s="475"/>
      <c r="U5012" s="475"/>
      <c r="V5012" s="475"/>
      <c r="W5012" s="475"/>
    </row>
    <row r="5013" spans="2:23" s="97" customFormat="1">
      <c r="B5013" s="96"/>
      <c r="H5013" s="96"/>
      <c r="J5013" s="1"/>
      <c r="K5013" s="1"/>
      <c r="L5013" s="1"/>
      <c r="O5013" s="475"/>
      <c r="P5013" s="475"/>
      <c r="Q5013" s="475"/>
      <c r="R5013" s="475"/>
      <c r="S5013" s="475"/>
      <c r="T5013" s="475"/>
      <c r="U5013" s="475"/>
      <c r="V5013" s="475"/>
      <c r="W5013" s="475"/>
    </row>
    <row r="5014" spans="2:23" s="97" customFormat="1">
      <c r="B5014" s="96"/>
      <c r="H5014" s="96"/>
      <c r="J5014" s="1"/>
      <c r="K5014" s="1"/>
      <c r="L5014" s="1"/>
      <c r="O5014" s="475"/>
      <c r="P5014" s="475"/>
      <c r="Q5014" s="475"/>
      <c r="R5014" s="475"/>
      <c r="S5014" s="475"/>
      <c r="T5014" s="475"/>
      <c r="U5014" s="475"/>
      <c r="V5014" s="475"/>
      <c r="W5014" s="475"/>
    </row>
    <row r="5015" spans="2:23" s="97" customFormat="1">
      <c r="B5015" s="96"/>
      <c r="H5015" s="96"/>
      <c r="J5015" s="1"/>
      <c r="K5015" s="1"/>
      <c r="L5015" s="1"/>
      <c r="O5015" s="475"/>
      <c r="P5015" s="475"/>
      <c r="Q5015" s="475"/>
      <c r="R5015" s="475"/>
      <c r="S5015" s="475"/>
      <c r="T5015" s="475"/>
      <c r="U5015" s="475"/>
      <c r="V5015" s="475"/>
      <c r="W5015" s="475"/>
    </row>
    <row r="5016" spans="2:23" s="97" customFormat="1">
      <c r="B5016" s="96"/>
      <c r="H5016" s="96"/>
      <c r="J5016" s="1"/>
      <c r="K5016" s="1"/>
      <c r="L5016" s="1"/>
      <c r="O5016" s="475"/>
      <c r="P5016" s="475"/>
      <c r="Q5016" s="475"/>
      <c r="R5016" s="475"/>
      <c r="S5016" s="475"/>
      <c r="T5016" s="475"/>
      <c r="U5016" s="475"/>
      <c r="V5016" s="475"/>
      <c r="W5016" s="475"/>
    </row>
    <row r="5017" spans="2:23" s="97" customFormat="1">
      <c r="B5017" s="96"/>
      <c r="H5017" s="96"/>
      <c r="J5017" s="1"/>
      <c r="K5017" s="1"/>
      <c r="L5017" s="1"/>
      <c r="O5017" s="475"/>
      <c r="P5017" s="475"/>
      <c r="Q5017" s="475"/>
      <c r="R5017" s="475"/>
      <c r="S5017" s="475"/>
      <c r="T5017" s="475"/>
      <c r="U5017" s="475"/>
      <c r="V5017" s="475"/>
      <c r="W5017" s="475"/>
    </row>
    <row r="5018" spans="2:23" s="97" customFormat="1">
      <c r="B5018" s="96"/>
      <c r="H5018" s="96"/>
      <c r="J5018" s="1"/>
      <c r="K5018" s="1"/>
      <c r="L5018" s="1"/>
      <c r="O5018" s="475"/>
      <c r="P5018" s="475"/>
      <c r="Q5018" s="475"/>
      <c r="R5018" s="475"/>
      <c r="S5018" s="475"/>
      <c r="T5018" s="475"/>
      <c r="U5018" s="475"/>
      <c r="V5018" s="475"/>
      <c r="W5018" s="475"/>
    </row>
    <row r="5019" spans="2:23" s="97" customFormat="1">
      <c r="B5019" s="96"/>
      <c r="H5019" s="96"/>
      <c r="J5019" s="1"/>
      <c r="K5019" s="1"/>
      <c r="L5019" s="1"/>
      <c r="O5019" s="475"/>
      <c r="P5019" s="475"/>
      <c r="Q5019" s="475"/>
      <c r="R5019" s="475"/>
      <c r="S5019" s="475"/>
      <c r="T5019" s="475"/>
      <c r="U5019" s="475"/>
      <c r="V5019" s="475"/>
      <c r="W5019" s="475"/>
    </row>
    <row r="5020" spans="2:23" s="97" customFormat="1">
      <c r="B5020" s="96"/>
      <c r="H5020" s="96"/>
      <c r="J5020" s="1"/>
      <c r="K5020" s="1"/>
      <c r="L5020" s="1"/>
      <c r="O5020" s="475"/>
      <c r="P5020" s="475"/>
      <c r="Q5020" s="475"/>
      <c r="R5020" s="475"/>
      <c r="S5020" s="475"/>
      <c r="T5020" s="475"/>
      <c r="U5020" s="475"/>
      <c r="V5020" s="475"/>
      <c r="W5020" s="475"/>
    </row>
    <row r="5021" spans="2:23" s="97" customFormat="1">
      <c r="B5021" s="96"/>
      <c r="H5021" s="96"/>
      <c r="J5021" s="1"/>
      <c r="K5021" s="1"/>
      <c r="L5021" s="1"/>
      <c r="O5021" s="475"/>
      <c r="P5021" s="475"/>
      <c r="Q5021" s="475"/>
      <c r="R5021" s="475"/>
      <c r="S5021" s="475"/>
      <c r="T5021" s="475"/>
      <c r="U5021" s="475"/>
      <c r="V5021" s="475"/>
      <c r="W5021" s="475"/>
    </row>
    <row r="5022" spans="2:23" s="97" customFormat="1">
      <c r="B5022" s="96"/>
      <c r="H5022" s="96"/>
      <c r="J5022" s="1"/>
      <c r="K5022" s="1"/>
      <c r="L5022" s="1"/>
      <c r="O5022" s="475"/>
      <c r="P5022" s="475"/>
      <c r="Q5022" s="475"/>
      <c r="R5022" s="475"/>
      <c r="S5022" s="475"/>
      <c r="T5022" s="475"/>
      <c r="U5022" s="475"/>
      <c r="V5022" s="475"/>
      <c r="W5022" s="475"/>
    </row>
    <row r="5023" spans="2:23" s="97" customFormat="1">
      <c r="B5023" s="96"/>
      <c r="H5023" s="96"/>
      <c r="J5023" s="1"/>
      <c r="K5023" s="1"/>
      <c r="L5023" s="1"/>
      <c r="O5023" s="475"/>
      <c r="P5023" s="475"/>
      <c r="Q5023" s="475"/>
      <c r="R5023" s="475"/>
      <c r="S5023" s="475"/>
      <c r="T5023" s="475"/>
      <c r="U5023" s="475"/>
      <c r="V5023" s="475"/>
      <c r="W5023" s="475"/>
    </row>
    <row r="5024" spans="2:23" s="97" customFormat="1">
      <c r="B5024" s="96"/>
      <c r="H5024" s="96"/>
      <c r="J5024" s="1"/>
      <c r="K5024" s="1"/>
      <c r="L5024" s="1"/>
      <c r="O5024" s="475"/>
      <c r="P5024" s="475"/>
      <c r="Q5024" s="475"/>
      <c r="R5024" s="475"/>
      <c r="S5024" s="475"/>
      <c r="T5024" s="475"/>
      <c r="U5024" s="475"/>
      <c r="V5024" s="475"/>
      <c r="W5024" s="475"/>
    </row>
    <row r="5025" spans="2:23" s="97" customFormat="1">
      <c r="B5025" s="96"/>
      <c r="H5025" s="96"/>
      <c r="J5025" s="1"/>
      <c r="K5025" s="1"/>
      <c r="L5025" s="1"/>
      <c r="O5025" s="475"/>
      <c r="P5025" s="475"/>
      <c r="Q5025" s="475"/>
      <c r="R5025" s="475"/>
      <c r="S5025" s="475"/>
      <c r="T5025" s="475"/>
      <c r="U5025" s="475"/>
      <c r="V5025" s="475"/>
      <c r="W5025" s="475"/>
    </row>
    <row r="5026" spans="2:23" s="97" customFormat="1">
      <c r="B5026" s="96"/>
      <c r="H5026" s="96"/>
      <c r="J5026" s="1"/>
      <c r="K5026" s="1"/>
      <c r="L5026" s="1"/>
      <c r="O5026" s="475"/>
      <c r="P5026" s="475"/>
      <c r="Q5026" s="475"/>
      <c r="R5026" s="475"/>
      <c r="S5026" s="475"/>
      <c r="T5026" s="475"/>
      <c r="U5026" s="475"/>
      <c r="V5026" s="475"/>
      <c r="W5026" s="475"/>
    </row>
    <row r="5027" spans="2:23" s="97" customFormat="1">
      <c r="B5027" s="96"/>
      <c r="H5027" s="96"/>
      <c r="J5027" s="1"/>
      <c r="K5027" s="1"/>
      <c r="L5027" s="1"/>
      <c r="O5027" s="475"/>
      <c r="P5027" s="475"/>
      <c r="Q5027" s="475"/>
      <c r="R5027" s="475"/>
      <c r="S5027" s="475"/>
      <c r="T5027" s="475"/>
      <c r="U5027" s="475"/>
      <c r="V5027" s="475"/>
      <c r="W5027" s="475"/>
    </row>
    <row r="5028" spans="2:23" s="97" customFormat="1">
      <c r="B5028" s="96"/>
      <c r="H5028" s="96"/>
      <c r="J5028" s="1"/>
      <c r="K5028" s="1"/>
      <c r="L5028" s="1"/>
      <c r="O5028" s="475"/>
      <c r="P5028" s="475"/>
      <c r="Q5028" s="475"/>
      <c r="R5028" s="475"/>
      <c r="S5028" s="475"/>
      <c r="T5028" s="475"/>
      <c r="U5028" s="475"/>
      <c r="V5028" s="475"/>
      <c r="W5028" s="475"/>
    </row>
    <row r="5029" spans="2:23" s="97" customFormat="1">
      <c r="B5029" s="96"/>
      <c r="H5029" s="96"/>
      <c r="J5029" s="1"/>
      <c r="K5029" s="1"/>
      <c r="L5029" s="1"/>
      <c r="O5029" s="475"/>
      <c r="P5029" s="475"/>
      <c r="Q5029" s="475"/>
      <c r="R5029" s="475"/>
      <c r="S5029" s="475"/>
      <c r="T5029" s="475"/>
      <c r="U5029" s="475"/>
      <c r="V5029" s="475"/>
      <c r="W5029" s="475"/>
    </row>
    <row r="5030" spans="2:23" s="97" customFormat="1">
      <c r="B5030" s="96"/>
      <c r="H5030" s="96"/>
      <c r="J5030" s="1"/>
      <c r="K5030" s="1"/>
      <c r="L5030" s="1"/>
      <c r="O5030" s="475"/>
      <c r="P5030" s="475"/>
      <c r="Q5030" s="475"/>
      <c r="R5030" s="475"/>
      <c r="S5030" s="475"/>
      <c r="T5030" s="475"/>
      <c r="U5030" s="475"/>
      <c r="V5030" s="475"/>
      <c r="W5030" s="475"/>
    </row>
    <row r="5031" spans="2:23" s="97" customFormat="1">
      <c r="B5031" s="96"/>
      <c r="H5031" s="96"/>
      <c r="J5031" s="1"/>
      <c r="K5031" s="1"/>
      <c r="L5031" s="1"/>
      <c r="O5031" s="475"/>
      <c r="P5031" s="475"/>
      <c r="Q5031" s="475"/>
      <c r="R5031" s="475"/>
      <c r="S5031" s="475"/>
      <c r="T5031" s="475"/>
      <c r="U5031" s="475"/>
      <c r="V5031" s="475"/>
      <c r="W5031" s="475"/>
    </row>
    <row r="5032" spans="2:23" s="97" customFormat="1">
      <c r="B5032" s="96"/>
      <c r="H5032" s="96"/>
      <c r="J5032" s="1"/>
      <c r="K5032" s="1"/>
      <c r="L5032" s="1"/>
      <c r="O5032" s="475"/>
      <c r="P5032" s="475"/>
      <c r="Q5032" s="475"/>
      <c r="R5032" s="475"/>
      <c r="S5032" s="475"/>
      <c r="T5032" s="475"/>
      <c r="U5032" s="475"/>
      <c r="V5032" s="475"/>
      <c r="W5032" s="475"/>
    </row>
    <row r="5033" spans="2:23" s="97" customFormat="1">
      <c r="B5033" s="96"/>
      <c r="H5033" s="96"/>
      <c r="J5033" s="1"/>
      <c r="K5033" s="1"/>
      <c r="L5033" s="1"/>
      <c r="O5033" s="475"/>
      <c r="P5033" s="475"/>
      <c r="Q5033" s="475"/>
      <c r="R5033" s="475"/>
      <c r="S5033" s="475"/>
      <c r="T5033" s="475"/>
      <c r="U5033" s="475"/>
      <c r="V5033" s="475"/>
      <c r="W5033" s="475"/>
    </row>
    <row r="5034" spans="2:23" s="97" customFormat="1">
      <c r="B5034" s="96"/>
      <c r="H5034" s="96"/>
      <c r="J5034" s="1"/>
      <c r="K5034" s="1"/>
      <c r="L5034" s="1"/>
      <c r="O5034" s="475"/>
      <c r="P5034" s="475"/>
      <c r="Q5034" s="475"/>
      <c r="R5034" s="475"/>
      <c r="S5034" s="475"/>
      <c r="T5034" s="475"/>
      <c r="U5034" s="475"/>
      <c r="V5034" s="475"/>
      <c r="W5034" s="475"/>
    </row>
    <row r="5035" spans="2:23" s="97" customFormat="1">
      <c r="B5035" s="96"/>
      <c r="H5035" s="96"/>
      <c r="J5035" s="1"/>
      <c r="K5035" s="1"/>
      <c r="L5035" s="1"/>
      <c r="O5035" s="475"/>
      <c r="P5035" s="475"/>
      <c r="Q5035" s="475"/>
      <c r="R5035" s="475"/>
      <c r="S5035" s="475"/>
      <c r="T5035" s="475"/>
      <c r="U5035" s="475"/>
      <c r="V5035" s="475"/>
      <c r="W5035" s="475"/>
    </row>
    <row r="5036" spans="2:23" s="97" customFormat="1">
      <c r="B5036" s="96"/>
      <c r="H5036" s="96"/>
      <c r="J5036" s="1"/>
      <c r="K5036" s="1"/>
      <c r="L5036" s="1"/>
      <c r="O5036" s="475"/>
      <c r="P5036" s="475"/>
      <c r="Q5036" s="475"/>
      <c r="R5036" s="475"/>
      <c r="S5036" s="475"/>
      <c r="T5036" s="475"/>
      <c r="U5036" s="475"/>
      <c r="V5036" s="475"/>
      <c r="W5036" s="475"/>
    </row>
    <row r="5037" spans="2:23" s="97" customFormat="1">
      <c r="B5037" s="96"/>
      <c r="H5037" s="96"/>
      <c r="J5037" s="1"/>
      <c r="K5037" s="1"/>
      <c r="L5037" s="1"/>
      <c r="O5037" s="475"/>
      <c r="P5037" s="475"/>
      <c r="Q5037" s="475"/>
      <c r="R5037" s="475"/>
      <c r="S5037" s="475"/>
      <c r="T5037" s="475"/>
      <c r="U5037" s="475"/>
      <c r="V5037" s="475"/>
      <c r="W5037" s="475"/>
    </row>
    <row r="5038" spans="2:23" s="97" customFormat="1">
      <c r="B5038" s="96"/>
      <c r="H5038" s="96"/>
      <c r="J5038" s="1"/>
      <c r="K5038" s="1"/>
      <c r="L5038" s="1"/>
      <c r="O5038" s="475"/>
      <c r="P5038" s="475"/>
      <c r="Q5038" s="475"/>
      <c r="R5038" s="475"/>
      <c r="S5038" s="475"/>
      <c r="T5038" s="475"/>
      <c r="U5038" s="475"/>
      <c r="V5038" s="475"/>
      <c r="W5038" s="475"/>
    </row>
    <row r="5039" spans="2:23" s="97" customFormat="1">
      <c r="B5039" s="96"/>
      <c r="H5039" s="96"/>
      <c r="J5039" s="1"/>
      <c r="K5039" s="1"/>
      <c r="L5039" s="1"/>
      <c r="O5039" s="475"/>
      <c r="P5039" s="475"/>
      <c r="Q5039" s="475"/>
      <c r="R5039" s="475"/>
      <c r="S5039" s="475"/>
      <c r="T5039" s="475"/>
      <c r="U5039" s="475"/>
      <c r="V5039" s="475"/>
      <c r="W5039" s="475"/>
    </row>
    <row r="5040" spans="2:23" s="97" customFormat="1">
      <c r="B5040" s="96"/>
      <c r="H5040" s="96"/>
      <c r="J5040" s="1"/>
      <c r="K5040" s="1"/>
      <c r="L5040" s="1"/>
      <c r="O5040" s="475"/>
      <c r="P5040" s="475"/>
      <c r="Q5040" s="475"/>
      <c r="R5040" s="475"/>
      <c r="S5040" s="475"/>
      <c r="T5040" s="475"/>
      <c r="U5040" s="475"/>
      <c r="V5040" s="475"/>
      <c r="W5040" s="475"/>
    </row>
    <row r="5041" spans="2:23" s="97" customFormat="1">
      <c r="B5041" s="96"/>
      <c r="H5041" s="96"/>
      <c r="J5041" s="1"/>
      <c r="K5041" s="1"/>
      <c r="L5041" s="1"/>
      <c r="O5041" s="475"/>
      <c r="P5041" s="475"/>
      <c r="Q5041" s="475"/>
      <c r="R5041" s="475"/>
      <c r="S5041" s="475"/>
      <c r="T5041" s="475"/>
      <c r="U5041" s="475"/>
      <c r="V5041" s="475"/>
      <c r="W5041" s="475"/>
    </row>
    <row r="5042" spans="2:23" s="97" customFormat="1">
      <c r="B5042" s="96"/>
      <c r="H5042" s="96"/>
      <c r="J5042" s="1"/>
      <c r="K5042" s="1"/>
      <c r="L5042" s="1"/>
      <c r="O5042" s="475"/>
      <c r="P5042" s="475"/>
      <c r="Q5042" s="475"/>
      <c r="R5042" s="475"/>
      <c r="S5042" s="475"/>
      <c r="T5042" s="475"/>
      <c r="U5042" s="475"/>
      <c r="V5042" s="475"/>
      <c r="W5042" s="475"/>
    </row>
    <row r="5043" spans="2:23" s="97" customFormat="1">
      <c r="B5043" s="96"/>
      <c r="H5043" s="96"/>
      <c r="J5043" s="1"/>
      <c r="K5043" s="1"/>
      <c r="L5043" s="1"/>
      <c r="O5043" s="475"/>
      <c r="P5043" s="475"/>
      <c r="Q5043" s="475"/>
      <c r="R5043" s="475"/>
      <c r="S5043" s="475"/>
      <c r="T5043" s="475"/>
      <c r="U5043" s="475"/>
      <c r="V5043" s="475"/>
      <c r="W5043" s="475"/>
    </row>
    <row r="5044" spans="2:23" s="97" customFormat="1">
      <c r="B5044" s="96"/>
      <c r="H5044" s="96"/>
      <c r="J5044" s="1"/>
      <c r="K5044" s="1"/>
      <c r="L5044" s="1"/>
      <c r="O5044" s="475"/>
      <c r="P5044" s="475"/>
      <c r="Q5044" s="475"/>
      <c r="R5044" s="475"/>
      <c r="S5044" s="475"/>
      <c r="T5044" s="475"/>
      <c r="U5044" s="475"/>
      <c r="V5044" s="475"/>
      <c r="W5044" s="475"/>
    </row>
    <row r="5045" spans="2:23" s="97" customFormat="1">
      <c r="B5045" s="96"/>
      <c r="H5045" s="96"/>
      <c r="J5045" s="1"/>
      <c r="K5045" s="1"/>
      <c r="L5045" s="1"/>
      <c r="O5045" s="475"/>
      <c r="P5045" s="475"/>
      <c r="Q5045" s="475"/>
      <c r="R5045" s="475"/>
      <c r="S5045" s="475"/>
      <c r="T5045" s="475"/>
      <c r="U5045" s="475"/>
      <c r="V5045" s="475"/>
      <c r="W5045" s="475"/>
    </row>
    <row r="5046" spans="2:23" s="97" customFormat="1">
      <c r="B5046" s="96"/>
      <c r="H5046" s="96"/>
      <c r="J5046" s="1"/>
      <c r="K5046" s="1"/>
      <c r="L5046" s="1"/>
      <c r="O5046" s="475"/>
      <c r="P5046" s="475"/>
      <c r="Q5046" s="475"/>
      <c r="R5046" s="475"/>
      <c r="S5046" s="475"/>
      <c r="T5046" s="475"/>
      <c r="U5046" s="475"/>
      <c r="V5046" s="475"/>
      <c r="W5046" s="475"/>
    </row>
    <row r="5047" spans="2:23" s="97" customFormat="1">
      <c r="B5047" s="96"/>
      <c r="H5047" s="96"/>
      <c r="J5047" s="1"/>
      <c r="K5047" s="1"/>
      <c r="L5047" s="1"/>
      <c r="O5047" s="475"/>
      <c r="P5047" s="475"/>
      <c r="Q5047" s="475"/>
      <c r="R5047" s="475"/>
      <c r="S5047" s="475"/>
      <c r="T5047" s="475"/>
      <c r="U5047" s="475"/>
      <c r="V5047" s="475"/>
      <c r="W5047" s="475"/>
    </row>
    <row r="5048" spans="2:23" s="97" customFormat="1">
      <c r="B5048" s="96"/>
      <c r="H5048" s="96"/>
      <c r="J5048" s="1"/>
      <c r="K5048" s="1"/>
      <c r="L5048" s="1"/>
      <c r="O5048" s="475"/>
      <c r="P5048" s="475"/>
      <c r="Q5048" s="475"/>
      <c r="R5048" s="475"/>
      <c r="S5048" s="475"/>
      <c r="T5048" s="475"/>
      <c r="U5048" s="475"/>
      <c r="V5048" s="475"/>
      <c r="W5048" s="475"/>
    </row>
    <row r="5049" spans="2:23" s="97" customFormat="1">
      <c r="B5049" s="96"/>
      <c r="H5049" s="96"/>
      <c r="J5049" s="1"/>
      <c r="K5049" s="1"/>
      <c r="L5049" s="1"/>
      <c r="O5049" s="475"/>
      <c r="P5049" s="475"/>
      <c r="Q5049" s="475"/>
      <c r="R5049" s="475"/>
      <c r="S5049" s="475"/>
      <c r="T5049" s="475"/>
      <c r="U5049" s="475"/>
      <c r="V5049" s="475"/>
      <c r="W5049" s="475"/>
    </row>
    <row r="5050" spans="2:23" s="97" customFormat="1">
      <c r="B5050" s="96"/>
      <c r="H5050" s="96"/>
      <c r="J5050" s="1"/>
      <c r="K5050" s="1"/>
      <c r="L5050" s="1"/>
      <c r="O5050" s="475"/>
      <c r="P5050" s="475"/>
      <c r="Q5050" s="475"/>
      <c r="R5050" s="475"/>
      <c r="S5050" s="475"/>
      <c r="T5050" s="475"/>
      <c r="U5050" s="475"/>
      <c r="V5050" s="475"/>
      <c r="W5050" s="475"/>
    </row>
    <row r="5051" spans="2:23" s="97" customFormat="1">
      <c r="B5051" s="96"/>
      <c r="H5051" s="96"/>
      <c r="J5051" s="1"/>
      <c r="K5051" s="1"/>
      <c r="L5051" s="1"/>
      <c r="O5051" s="475"/>
      <c r="P5051" s="475"/>
      <c r="Q5051" s="475"/>
      <c r="R5051" s="475"/>
      <c r="S5051" s="475"/>
      <c r="T5051" s="475"/>
      <c r="U5051" s="475"/>
      <c r="V5051" s="475"/>
      <c r="W5051" s="475"/>
    </row>
    <row r="5052" spans="2:23" s="97" customFormat="1">
      <c r="B5052" s="96"/>
      <c r="H5052" s="96"/>
      <c r="J5052" s="1"/>
      <c r="K5052" s="1"/>
      <c r="L5052" s="1"/>
      <c r="O5052" s="475"/>
      <c r="P5052" s="475"/>
      <c r="Q5052" s="475"/>
      <c r="R5052" s="475"/>
      <c r="S5052" s="475"/>
      <c r="T5052" s="475"/>
      <c r="U5052" s="475"/>
      <c r="V5052" s="475"/>
      <c r="W5052" s="475"/>
    </row>
    <row r="5053" spans="2:23" s="97" customFormat="1">
      <c r="B5053" s="96"/>
      <c r="H5053" s="96"/>
      <c r="J5053" s="1"/>
      <c r="K5053" s="1"/>
      <c r="L5053" s="1"/>
      <c r="O5053" s="475"/>
      <c r="P5053" s="475"/>
      <c r="Q5053" s="475"/>
      <c r="R5053" s="475"/>
      <c r="S5053" s="475"/>
      <c r="T5053" s="475"/>
      <c r="U5053" s="475"/>
      <c r="V5053" s="475"/>
      <c r="W5053" s="475"/>
    </row>
    <row r="5054" spans="2:23" s="97" customFormat="1">
      <c r="B5054" s="96"/>
      <c r="H5054" s="96"/>
      <c r="J5054" s="1"/>
      <c r="K5054" s="1"/>
      <c r="L5054" s="1"/>
      <c r="O5054" s="475"/>
      <c r="P5054" s="475"/>
      <c r="Q5054" s="475"/>
      <c r="R5054" s="475"/>
      <c r="S5054" s="475"/>
      <c r="T5054" s="475"/>
      <c r="U5054" s="475"/>
      <c r="V5054" s="475"/>
      <c r="W5054" s="475"/>
    </row>
    <row r="5055" spans="2:23" s="97" customFormat="1">
      <c r="B5055" s="96"/>
      <c r="H5055" s="96"/>
      <c r="J5055" s="1"/>
      <c r="K5055" s="1"/>
      <c r="L5055" s="1"/>
      <c r="O5055" s="475"/>
      <c r="P5055" s="475"/>
      <c r="Q5055" s="475"/>
      <c r="R5055" s="475"/>
      <c r="S5055" s="475"/>
      <c r="T5055" s="475"/>
      <c r="U5055" s="475"/>
      <c r="V5055" s="475"/>
      <c r="W5055" s="475"/>
    </row>
    <row r="5056" spans="2:23" s="97" customFormat="1">
      <c r="B5056" s="96"/>
      <c r="H5056" s="96"/>
      <c r="J5056" s="1"/>
      <c r="K5056" s="1"/>
      <c r="L5056" s="1"/>
      <c r="O5056" s="475"/>
      <c r="P5056" s="475"/>
      <c r="Q5056" s="475"/>
      <c r="R5056" s="475"/>
      <c r="S5056" s="475"/>
      <c r="T5056" s="475"/>
      <c r="U5056" s="475"/>
      <c r="V5056" s="475"/>
      <c r="W5056" s="475"/>
    </row>
    <row r="5057" spans="2:23" s="97" customFormat="1">
      <c r="B5057" s="96"/>
      <c r="H5057" s="96"/>
      <c r="J5057" s="1"/>
      <c r="K5057" s="1"/>
      <c r="L5057" s="1"/>
      <c r="O5057" s="475"/>
      <c r="P5057" s="475"/>
      <c r="Q5057" s="475"/>
      <c r="R5057" s="475"/>
      <c r="S5057" s="475"/>
      <c r="T5057" s="475"/>
      <c r="U5057" s="475"/>
      <c r="V5057" s="475"/>
      <c r="W5057" s="475"/>
    </row>
    <row r="5058" spans="2:23" s="97" customFormat="1">
      <c r="B5058" s="96"/>
      <c r="H5058" s="96"/>
      <c r="J5058" s="1"/>
      <c r="K5058" s="1"/>
      <c r="L5058" s="1"/>
      <c r="O5058" s="475"/>
      <c r="P5058" s="475"/>
      <c r="Q5058" s="475"/>
      <c r="R5058" s="475"/>
      <c r="S5058" s="475"/>
      <c r="T5058" s="475"/>
      <c r="U5058" s="475"/>
      <c r="V5058" s="475"/>
      <c r="W5058" s="475"/>
    </row>
    <row r="5059" spans="2:23" s="97" customFormat="1">
      <c r="B5059" s="96"/>
      <c r="H5059" s="96"/>
      <c r="J5059" s="1"/>
      <c r="K5059" s="1"/>
      <c r="L5059" s="1"/>
      <c r="O5059" s="475"/>
      <c r="P5059" s="475"/>
      <c r="Q5059" s="475"/>
      <c r="R5059" s="475"/>
      <c r="S5059" s="475"/>
      <c r="T5059" s="475"/>
      <c r="U5059" s="475"/>
      <c r="V5059" s="475"/>
      <c r="W5059" s="475"/>
    </row>
    <row r="5060" spans="2:23" s="97" customFormat="1">
      <c r="B5060" s="96"/>
      <c r="H5060" s="96"/>
      <c r="J5060" s="1"/>
      <c r="K5060" s="1"/>
      <c r="L5060" s="1"/>
      <c r="O5060" s="475"/>
      <c r="P5060" s="475"/>
      <c r="Q5060" s="475"/>
      <c r="R5060" s="475"/>
      <c r="S5060" s="475"/>
      <c r="T5060" s="475"/>
      <c r="U5060" s="475"/>
      <c r="V5060" s="475"/>
      <c r="W5060" s="475"/>
    </row>
    <row r="5061" spans="2:23" s="97" customFormat="1">
      <c r="B5061" s="96"/>
      <c r="H5061" s="96"/>
      <c r="J5061" s="1"/>
      <c r="K5061" s="1"/>
      <c r="L5061" s="1"/>
      <c r="O5061" s="475"/>
      <c r="P5061" s="475"/>
      <c r="Q5061" s="475"/>
      <c r="R5061" s="475"/>
      <c r="S5061" s="475"/>
      <c r="T5061" s="475"/>
      <c r="U5061" s="475"/>
      <c r="V5061" s="475"/>
      <c r="W5061" s="475"/>
    </row>
    <row r="5062" spans="2:23" s="97" customFormat="1">
      <c r="B5062" s="96"/>
      <c r="H5062" s="96"/>
      <c r="J5062" s="1"/>
      <c r="K5062" s="1"/>
      <c r="L5062" s="1"/>
      <c r="O5062" s="475"/>
      <c r="P5062" s="475"/>
      <c r="Q5062" s="475"/>
      <c r="R5062" s="475"/>
      <c r="S5062" s="475"/>
      <c r="T5062" s="475"/>
      <c r="U5062" s="475"/>
      <c r="V5062" s="475"/>
      <c r="W5062" s="475"/>
    </row>
    <row r="5063" spans="2:23" s="97" customFormat="1">
      <c r="B5063" s="96"/>
      <c r="H5063" s="96"/>
      <c r="J5063" s="1"/>
      <c r="K5063" s="1"/>
      <c r="L5063" s="1"/>
      <c r="O5063" s="475"/>
      <c r="P5063" s="475"/>
      <c r="Q5063" s="475"/>
      <c r="R5063" s="475"/>
      <c r="S5063" s="475"/>
      <c r="T5063" s="475"/>
      <c r="U5063" s="475"/>
      <c r="V5063" s="475"/>
      <c r="W5063" s="475"/>
    </row>
    <row r="5064" spans="2:23" s="97" customFormat="1">
      <c r="B5064" s="96"/>
      <c r="H5064" s="96"/>
      <c r="J5064" s="1"/>
      <c r="K5064" s="1"/>
      <c r="L5064" s="1"/>
      <c r="O5064" s="475"/>
      <c r="P5064" s="475"/>
      <c r="Q5064" s="475"/>
      <c r="R5064" s="475"/>
      <c r="S5064" s="475"/>
      <c r="T5064" s="475"/>
      <c r="U5064" s="475"/>
      <c r="V5064" s="475"/>
      <c r="W5064" s="475"/>
    </row>
    <row r="5065" spans="2:23" s="97" customFormat="1">
      <c r="B5065" s="96"/>
      <c r="H5065" s="96"/>
      <c r="J5065" s="1"/>
      <c r="K5065" s="1"/>
      <c r="L5065" s="1"/>
      <c r="O5065" s="475"/>
      <c r="P5065" s="475"/>
      <c r="Q5065" s="475"/>
      <c r="R5065" s="475"/>
      <c r="S5065" s="475"/>
      <c r="T5065" s="475"/>
      <c r="U5065" s="475"/>
      <c r="V5065" s="475"/>
      <c r="W5065" s="475"/>
    </row>
    <row r="5066" spans="2:23" s="97" customFormat="1">
      <c r="B5066" s="96"/>
      <c r="H5066" s="96"/>
      <c r="J5066" s="1"/>
      <c r="K5066" s="1"/>
      <c r="L5066" s="1"/>
      <c r="O5066" s="475"/>
      <c r="P5066" s="475"/>
      <c r="Q5066" s="475"/>
      <c r="R5066" s="475"/>
      <c r="S5066" s="475"/>
      <c r="T5066" s="475"/>
      <c r="U5066" s="475"/>
      <c r="V5066" s="475"/>
      <c r="W5066" s="475"/>
    </row>
    <row r="5067" spans="2:23" s="97" customFormat="1">
      <c r="B5067" s="96"/>
      <c r="H5067" s="96"/>
      <c r="J5067" s="1"/>
      <c r="K5067" s="1"/>
      <c r="L5067" s="1"/>
      <c r="O5067" s="475"/>
      <c r="P5067" s="475"/>
      <c r="Q5067" s="475"/>
      <c r="R5067" s="475"/>
      <c r="S5067" s="475"/>
      <c r="T5067" s="475"/>
      <c r="U5067" s="475"/>
      <c r="V5067" s="475"/>
      <c r="W5067" s="475"/>
    </row>
    <row r="5068" spans="2:23" s="97" customFormat="1">
      <c r="B5068" s="96"/>
      <c r="H5068" s="96"/>
      <c r="J5068" s="1"/>
      <c r="K5068" s="1"/>
      <c r="L5068" s="1"/>
      <c r="O5068" s="475"/>
      <c r="P5068" s="475"/>
      <c r="Q5068" s="475"/>
      <c r="R5068" s="475"/>
      <c r="S5068" s="475"/>
      <c r="T5068" s="475"/>
      <c r="U5068" s="475"/>
      <c r="V5068" s="475"/>
      <c r="W5068" s="475"/>
    </row>
    <row r="5069" spans="2:23" s="97" customFormat="1">
      <c r="B5069" s="96"/>
      <c r="H5069" s="96"/>
      <c r="J5069" s="1"/>
      <c r="K5069" s="1"/>
      <c r="L5069" s="1"/>
      <c r="O5069" s="475"/>
      <c r="P5069" s="475"/>
      <c r="Q5069" s="475"/>
      <c r="R5069" s="475"/>
      <c r="S5069" s="475"/>
      <c r="T5069" s="475"/>
      <c r="U5069" s="475"/>
      <c r="V5069" s="475"/>
      <c r="W5069" s="475"/>
    </row>
    <row r="5070" spans="2:23" s="97" customFormat="1">
      <c r="B5070" s="96"/>
      <c r="H5070" s="96"/>
      <c r="J5070" s="1"/>
      <c r="K5070" s="1"/>
      <c r="L5070" s="1"/>
      <c r="O5070" s="475"/>
      <c r="P5070" s="475"/>
      <c r="Q5070" s="475"/>
      <c r="R5070" s="475"/>
      <c r="S5070" s="475"/>
      <c r="T5070" s="475"/>
      <c r="U5070" s="475"/>
      <c r="V5070" s="475"/>
      <c r="W5070" s="475"/>
    </row>
    <row r="5071" spans="2:23" s="97" customFormat="1">
      <c r="B5071" s="96"/>
      <c r="H5071" s="96"/>
      <c r="J5071" s="1"/>
      <c r="K5071" s="1"/>
      <c r="L5071" s="1"/>
      <c r="O5071" s="475"/>
      <c r="P5071" s="475"/>
      <c r="Q5071" s="475"/>
      <c r="R5071" s="475"/>
      <c r="S5071" s="475"/>
      <c r="T5071" s="475"/>
      <c r="U5071" s="475"/>
      <c r="V5071" s="475"/>
      <c r="W5071" s="475"/>
    </row>
    <row r="5072" spans="2:23" s="97" customFormat="1">
      <c r="B5072" s="96"/>
      <c r="H5072" s="96"/>
      <c r="J5072" s="1"/>
      <c r="K5072" s="1"/>
      <c r="L5072" s="1"/>
      <c r="O5072" s="475"/>
      <c r="P5072" s="475"/>
      <c r="Q5072" s="475"/>
      <c r="R5072" s="475"/>
      <c r="S5072" s="475"/>
      <c r="T5072" s="475"/>
      <c r="U5072" s="475"/>
      <c r="V5072" s="475"/>
      <c r="W5072" s="475"/>
    </row>
    <row r="5073" spans="2:23" s="97" customFormat="1">
      <c r="B5073" s="96"/>
      <c r="H5073" s="96"/>
      <c r="J5073" s="1"/>
      <c r="K5073" s="1"/>
      <c r="L5073" s="1"/>
      <c r="O5073" s="475"/>
      <c r="P5073" s="475"/>
      <c r="Q5073" s="475"/>
      <c r="R5073" s="475"/>
      <c r="S5073" s="475"/>
      <c r="T5073" s="475"/>
      <c r="U5073" s="475"/>
      <c r="V5073" s="475"/>
      <c r="W5073" s="475"/>
    </row>
    <row r="5074" spans="2:23" s="97" customFormat="1">
      <c r="B5074" s="96"/>
      <c r="H5074" s="96"/>
      <c r="J5074" s="1"/>
      <c r="K5074" s="1"/>
      <c r="L5074" s="1"/>
      <c r="O5074" s="475"/>
      <c r="P5074" s="475"/>
      <c r="Q5074" s="475"/>
      <c r="R5074" s="475"/>
      <c r="S5074" s="475"/>
      <c r="T5074" s="475"/>
      <c r="U5074" s="475"/>
      <c r="V5074" s="475"/>
      <c r="W5074" s="475"/>
    </row>
    <row r="5075" spans="2:23" s="97" customFormat="1">
      <c r="B5075" s="96"/>
      <c r="H5075" s="96"/>
      <c r="J5075" s="1"/>
      <c r="K5075" s="1"/>
      <c r="L5075" s="1"/>
      <c r="O5075" s="475"/>
      <c r="P5075" s="475"/>
      <c r="Q5075" s="475"/>
      <c r="R5075" s="475"/>
      <c r="S5075" s="475"/>
      <c r="T5075" s="475"/>
      <c r="U5075" s="475"/>
      <c r="V5075" s="475"/>
      <c r="W5075" s="475"/>
    </row>
    <row r="5076" spans="2:23" s="97" customFormat="1">
      <c r="B5076" s="96"/>
      <c r="H5076" s="96"/>
      <c r="J5076" s="1"/>
      <c r="K5076" s="1"/>
      <c r="L5076" s="1"/>
      <c r="O5076" s="475"/>
      <c r="P5076" s="475"/>
      <c r="Q5076" s="475"/>
      <c r="R5076" s="475"/>
      <c r="S5076" s="475"/>
      <c r="T5076" s="475"/>
      <c r="U5076" s="475"/>
      <c r="V5076" s="475"/>
      <c r="W5076" s="475"/>
    </row>
    <row r="5077" spans="2:23" s="97" customFormat="1">
      <c r="B5077" s="96"/>
      <c r="H5077" s="96"/>
      <c r="J5077" s="1"/>
      <c r="K5077" s="1"/>
      <c r="L5077" s="1"/>
      <c r="O5077" s="475"/>
      <c r="P5077" s="475"/>
      <c r="Q5077" s="475"/>
      <c r="R5077" s="475"/>
      <c r="S5077" s="475"/>
      <c r="T5077" s="475"/>
      <c r="U5077" s="475"/>
      <c r="V5077" s="475"/>
      <c r="W5077" s="475"/>
    </row>
    <row r="5078" spans="2:23" s="97" customFormat="1">
      <c r="B5078" s="96"/>
      <c r="H5078" s="96"/>
      <c r="J5078" s="1"/>
      <c r="K5078" s="1"/>
      <c r="L5078" s="1"/>
      <c r="O5078" s="475"/>
      <c r="P5078" s="475"/>
      <c r="Q5078" s="475"/>
      <c r="R5078" s="475"/>
      <c r="S5078" s="475"/>
      <c r="T5078" s="475"/>
      <c r="U5078" s="475"/>
      <c r="V5078" s="475"/>
      <c r="W5078" s="475"/>
    </row>
    <row r="5079" spans="2:23" s="97" customFormat="1">
      <c r="B5079" s="96"/>
      <c r="H5079" s="96"/>
      <c r="J5079" s="1"/>
      <c r="K5079" s="1"/>
      <c r="L5079" s="1"/>
      <c r="O5079" s="475"/>
      <c r="P5079" s="475"/>
      <c r="Q5079" s="475"/>
      <c r="R5079" s="475"/>
      <c r="S5079" s="475"/>
      <c r="T5079" s="475"/>
      <c r="U5079" s="475"/>
      <c r="V5079" s="475"/>
      <c r="W5079" s="475"/>
    </row>
    <row r="5080" spans="2:23" s="97" customFormat="1">
      <c r="B5080" s="96"/>
      <c r="H5080" s="96"/>
      <c r="J5080" s="1"/>
      <c r="K5080" s="1"/>
      <c r="L5080" s="1"/>
      <c r="O5080" s="475"/>
      <c r="P5080" s="475"/>
      <c r="Q5080" s="475"/>
      <c r="R5080" s="475"/>
      <c r="S5080" s="475"/>
      <c r="T5080" s="475"/>
      <c r="U5080" s="475"/>
      <c r="V5080" s="475"/>
      <c r="W5080" s="475"/>
    </row>
    <row r="5081" spans="2:23" s="97" customFormat="1">
      <c r="B5081" s="96"/>
      <c r="H5081" s="96"/>
      <c r="J5081" s="1"/>
      <c r="K5081" s="1"/>
      <c r="L5081" s="1"/>
      <c r="O5081" s="475"/>
      <c r="P5081" s="475"/>
      <c r="Q5081" s="475"/>
      <c r="R5081" s="475"/>
      <c r="S5081" s="475"/>
      <c r="T5081" s="475"/>
      <c r="U5081" s="475"/>
      <c r="V5081" s="475"/>
      <c r="W5081" s="475"/>
    </row>
    <row r="5082" spans="2:23" s="97" customFormat="1">
      <c r="B5082" s="96"/>
      <c r="H5082" s="96"/>
      <c r="J5082" s="1"/>
      <c r="K5082" s="1"/>
      <c r="L5082" s="1"/>
      <c r="O5082" s="475"/>
      <c r="P5082" s="475"/>
      <c r="Q5082" s="475"/>
      <c r="R5082" s="475"/>
      <c r="S5082" s="475"/>
      <c r="T5082" s="475"/>
      <c r="U5082" s="475"/>
      <c r="V5082" s="475"/>
      <c r="W5082" s="475"/>
    </row>
    <row r="5083" spans="2:23" s="97" customFormat="1">
      <c r="B5083" s="96"/>
      <c r="H5083" s="96"/>
      <c r="J5083" s="1"/>
      <c r="K5083" s="1"/>
      <c r="L5083" s="1"/>
      <c r="O5083" s="475"/>
      <c r="P5083" s="475"/>
      <c r="Q5083" s="475"/>
      <c r="R5083" s="475"/>
      <c r="S5083" s="475"/>
      <c r="T5083" s="475"/>
      <c r="U5083" s="475"/>
      <c r="V5083" s="475"/>
      <c r="W5083" s="475"/>
    </row>
    <row r="5084" spans="2:23" s="97" customFormat="1">
      <c r="B5084" s="96"/>
      <c r="H5084" s="96"/>
      <c r="J5084" s="1"/>
      <c r="K5084" s="1"/>
      <c r="L5084" s="1"/>
      <c r="O5084" s="475"/>
      <c r="P5084" s="475"/>
      <c r="Q5084" s="475"/>
      <c r="R5084" s="475"/>
      <c r="S5084" s="475"/>
      <c r="T5084" s="475"/>
      <c r="U5084" s="475"/>
      <c r="V5084" s="475"/>
      <c r="W5084" s="475"/>
    </row>
    <row r="5085" spans="2:23" s="97" customFormat="1">
      <c r="B5085" s="96"/>
      <c r="H5085" s="96"/>
      <c r="J5085" s="1"/>
      <c r="K5085" s="1"/>
      <c r="L5085" s="1"/>
      <c r="O5085" s="475"/>
      <c r="P5085" s="475"/>
      <c r="Q5085" s="475"/>
      <c r="R5085" s="475"/>
      <c r="S5085" s="475"/>
      <c r="T5085" s="475"/>
      <c r="U5085" s="475"/>
      <c r="V5085" s="475"/>
      <c r="W5085" s="475"/>
    </row>
    <row r="5086" spans="2:23" s="97" customFormat="1">
      <c r="B5086" s="96"/>
      <c r="H5086" s="96"/>
      <c r="J5086" s="1"/>
      <c r="K5086" s="1"/>
      <c r="L5086" s="1"/>
      <c r="O5086" s="475"/>
      <c r="P5086" s="475"/>
      <c r="Q5086" s="475"/>
      <c r="R5086" s="475"/>
      <c r="S5086" s="475"/>
      <c r="T5086" s="475"/>
      <c r="U5086" s="475"/>
      <c r="V5086" s="475"/>
      <c r="W5086" s="475"/>
    </row>
    <row r="5087" spans="2:23" s="97" customFormat="1">
      <c r="B5087" s="96"/>
      <c r="H5087" s="96"/>
      <c r="J5087" s="1"/>
      <c r="K5087" s="1"/>
      <c r="L5087" s="1"/>
      <c r="O5087" s="475"/>
      <c r="P5087" s="475"/>
      <c r="Q5087" s="475"/>
      <c r="R5087" s="475"/>
      <c r="S5087" s="475"/>
      <c r="T5087" s="475"/>
      <c r="U5087" s="475"/>
      <c r="V5087" s="475"/>
      <c r="W5087" s="475"/>
    </row>
    <row r="5088" spans="2:23" s="97" customFormat="1">
      <c r="B5088" s="96"/>
      <c r="H5088" s="96"/>
      <c r="J5088" s="1"/>
      <c r="K5088" s="1"/>
      <c r="L5088" s="1"/>
      <c r="O5088" s="475"/>
      <c r="P5088" s="475"/>
      <c r="Q5088" s="475"/>
      <c r="R5088" s="475"/>
      <c r="S5088" s="475"/>
      <c r="T5088" s="475"/>
      <c r="U5088" s="475"/>
      <c r="V5088" s="475"/>
      <c r="W5088" s="475"/>
    </row>
    <row r="5089" spans="2:23" s="97" customFormat="1">
      <c r="B5089" s="96"/>
      <c r="H5089" s="96"/>
      <c r="J5089" s="1"/>
      <c r="K5089" s="1"/>
      <c r="L5089" s="1"/>
      <c r="O5089" s="475"/>
      <c r="P5089" s="475"/>
      <c r="Q5089" s="475"/>
      <c r="R5089" s="475"/>
      <c r="S5089" s="475"/>
      <c r="T5089" s="475"/>
      <c r="U5089" s="475"/>
      <c r="V5089" s="475"/>
      <c r="W5089" s="475"/>
    </row>
    <row r="5090" spans="2:23" s="97" customFormat="1">
      <c r="B5090" s="96"/>
      <c r="H5090" s="96"/>
      <c r="J5090" s="1"/>
      <c r="K5090" s="1"/>
      <c r="L5090" s="1"/>
      <c r="O5090" s="475"/>
      <c r="P5090" s="475"/>
      <c r="Q5090" s="475"/>
      <c r="R5090" s="475"/>
      <c r="S5090" s="475"/>
      <c r="T5090" s="475"/>
      <c r="U5090" s="475"/>
      <c r="V5090" s="475"/>
      <c r="W5090" s="475"/>
    </row>
    <row r="5091" spans="2:23" s="97" customFormat="1">
      <c r="B5091" s="96"/>
      <c r="H5091" s="96"/>
      <c r="J5091" s="1"/>
      <c r="K5091" s="1"/>
      <c r="L5091" s="1"/>
      <c r="O5091" s="475"/>
      <c r="P5091" s="475"/>
      <c r="Q5091" s="475"/>
      <c r="R5091" s="475"/>
      <c r="S5091" s="475"/>
      <c r="T5091" s="475"/>
      <c r="U5091" s="475"/>
      <c r="V5091" s="475"/>
      <c r="W5091" s="475"/>
    </row>
    <row r="5092" spans="2:23" s="97" customFormat="1">
      <c r="B5092" s="96"/>
      <c r="H5092" s="96"/>
      <c r="J5092" s="1"/>
      <c r="K5092" s="1"/>
      <c r="L5092" s="1"/>
      <c r="O5092" s="475"/>
      <c r="P5092" s="475"/>
      <c r="Q5092" s="475"/>
      <c r="R5092" s="475"/>
      <c r="S5092" s="475"/>
      <c r="T5092" s="475"/>
      <c r="U5092" s="475"/>
      <c r="V5092" s="475"/>
      <c r="W5092" s="475"/>
    </row>
    <row r="5093" spans="2:23" s="97" customFormat="1">
      <c r="B5093" s="96"/>
      <c r="H5093" s="96"/>
      <c r="J5093" s="1"/>
      <c r="K5093" s="1"/>
      <c r="L5093" s="1"/>
      <c r="O5093" s="475"/>
      <c r="P5093" s="475"/>
      <c r="Q5093" s="475"/>
      <c r="R5093" s="475"/>
      <c r="S5093" s="475"/>
      <c r="T5093" s="475"/>
      <c r="U5093" s="475"/>
      <c r="V5093" s="475"/>
      <c r="W5093" s="475"/>
    </row>
    <row r="5094" spans="2:23" s="97" customFormat="1">
      <c r="B5094" s="96"/>
      <c r="H5094" s="96"/>
      <c r="J5094" s="1"/>
      <c r="K5094" s="1"/>
      <c r="L5094" s="1"/>
      <c r="O5094" s="475"/>
      <c r="P5094" s="475"/>
      <c r="Q5094" s="475"/>
      <c r="R5094" s="475"/>
      <c r="S5094" s="475"/>
      <c r="T5094" s="475"/>
      <c r="U5094" s="475"/>
      <c r="V5094" s="475"/>
      <c r="W5094" s="475"/>
    </row>
    <row r="5095" spans="2:23" s="97" customFormat="1">
      <c r="B5095" s="96"/>
      <c r="H5095" s="96"/>
      <c r="J5095" s="1"/>
      <c r="K5095" s="1"/>
      <c r="L5095" s="1"/>
      <c r="O5095" s="475"/>
      <c r="P5095" s="475"/>
      <c r="Q5095" s="475"/>
      <c r="R5095" s="475"/>
      <c r="S5095" s="475"/>
      <c r="T5095" s="475"/>
      <c r="U5095" s="475"/>
      <c r="V5095" s="475"/>
      <c r="W5095" s="475"/>
    </row>
    <row r="5096" spans="2:23" s="97" customFormat="1">
      <c r="B5096" s="96"/>
      <c r="H5096" s="96"/>
      <c r="J5096" s="1"/>
      <c r="K5096" s="1"/>
      <c r="L5096" s="1"/>
      <c r="O5096" s="475"/>
      <c r="P5096" s="475"/>
      <c r="Q5096" s="475"/>
      <c r="R5096" s="475"/>
      <c r="S5096" s="475"/>
      <c r="T5096" s="475"/>
      <c r="U5096" s="475"/>
      <c r="V5096" s="475"/>
      <c r="W5096" s="475"/>
    </row>
    <row r="5097" spans="2:23" s="97" customFormat="1">
      <c r="B5097" s="96"/>
      <c r="H5097" s="96"/>
      <c r="J5097" s="1"/>
      <c r="K5097" s="1"/>
      <c r="L5097" s="1"/>
      <c r="O5097" s="475"/>
      <c r="P5097" s="475"/>
      <c r="Q5097" s="475"/>
      <c r="R5097" s="475"/>
      <c r="S5097" s="475"/>
      <c r="T5097" s="475"/>
      <c r="U5097" s="475"/>
      <c r="V5097" s="475"/>
      <c r="W5097" s="475"/>
    </row>
    <row r="5098" spans="2:23" s="97" customFormat="1">
      <c r="B5098" s="96"/>
      <c r="H5098" s="96"/>
      <c r="J5098" s="1"/>
      <c r="K5098" s="1"/>
      <c r="L5098" s="1"/>
      <c r="O5098" s="475"/>
      <c r="P5098" s="475"/>
      <c r="Q5098" s="475"/>
      <c r="R5098" s="475"/>
      <c r="S5098" s="475"/>
      <c r="T5098" s="475"/>
      <c r="U5098" s="475"/>
      <c r="V5098" s="475"/>
      <c r="W5098" s="475"/>
    </row>
    <row r="5099" spans="2:23" s="97" customFormat="1">
      <c r="B5099" s="96"/>
      <c r="H5099" s="96"/>
      <c r="J5099" s="1"/>
      <c r="K5099" s="1"/>
      <c r="L5099" s="1"/>
      <c r="O5099" s="475"/>
      <c r="P5099" s="475"/>
      <c r="Q5099" s="475"/>
      <c r="R5099" s="475"/>
      <c r="S5099" s="475"/>
      <c r="T5099" s="475"/>
      <c r="U5099" s="475"/>
      <c r="V5099" s="475"/>
      <c r="W5099" s="475"/>
    </row>
    <row r="5100" spans="2:23" s="97" customFormat="1">
      <c r="B5100" s="96"/>
      <c r="H5100" s="96"/>
      <c r="J5100" s="1"/>
      <c r="K5100" s="1"/>
      <c r="L5100" s="1"/>
      <c r="O5100" s="475"/>
      <c r="P5100" s="475"/>
      <c r="Q5100" s="475"/>
      <c r="R5100" s="475"/>
      <c r="S5100" s="475"/>
      <c r="T5100" s="475"/>
      <c r="U5100" s="475"/>
      <c r="V5100" s="475"/>
      <c r="W5100" s="475"/>
    </row>
    <row r="5101" spans="2:23" s="97" customFormat="1">
      <c r="B5101" s="96"/>
      <c r="H5101" s="96"/>
      <c r="J5101" s="1"/>
      <c r="K5101" s="1"/>
      <c r="L5101" s="1"/>
      <c r="O5101" s="475"/>
      <c r="P5101" s="475"/>
      <c r="Q5101" s="475"/>
      <c r="R5101" s="475"/>
      <c r="S5101" s="475"/>
      <c r="T5101" s="475"/>
      <c r="U5101" s="475"/>
      <c r="V5101" s="475"/>
      <c r="W5101" s="475"/>
    </row>
    <row r="5102" spans="2:23" s="97" customFormat="1">
      <c r="B5102" s="96"/>
      <c r="H5102" s="96"/>
      <c r="J5102" s="1"/>
      <c r="K5102" s="1"/>
      <c r="L5102" s="1"/>
      <c r="O5102" s="475"/>
      <c r="P5102" s="475"/>
      <c r="Q5102" s="475"/>
      <c r="R5102" s="475"/>
      <c r="S5102" s="475"/>
      <c r="T5102" s="475"/>
      <c r="U5102" s="475"/>
      <c r="V5102" s="475"/>
      <c r="W5102" s="475"/>
    </row>
    <row r="5103" spans="2:23" s="97" customFormat="1">
      <c r="B5103" s="96"/>
      <c r="H5103" s="96"/>
      <c r="J5103" s="1"/>
      <c r="K5103" s="1"/>
      <c r="L5103" s="1"/>
      <c r="O5103" s="475"/>
      <c r="P5103" s="475"/>
      <c r="Q5103" s="475"/>
      <c r="R5103" s="475"/>
      <c r="S5103" s="475"/>
      <c r="T5103" s="475"/>
      <c r="U5103" s="475"/>
      <c r="V5103" s="475"/>
      <c r="W5103" s="475"/>
    </row>
    <row r="5104" spans="2:23" s="97" customFormat="1">
      <c r="B5104" s="96"/>
      <c r="H5104" s="96"/>
      <c r="J5104" s="1"/>
      <c r="K5104" s="1"/>
      <c r="L5104" s="1"/>
      <c r="O5104" s="475"/>
      <c r="P5104" s="475"/>
      <c r="Q5104" s="475"/>
      <c r="R5104" s="475"/>
      <c r="S5104" s="475"/>
      <c r="T5104" s="475"/>
      <c r="U5104" s="475"/>
      <c r="V5104" s="475"/>
      <c r="W5104" s="475"/>
    </row>
    <row r="5105" spans="2:23" s="97" customFormat="1">
      <c r="B5105" s="96"/>
      <c r="H5105" s="96"/>
      <c r="J5105" s="1"/>
      <c r="K5105" s="1"/>
      <c r="L5105" s="1"/>
      <c r="O5105" s="475"/>
      <c r="P5105" s="475"/>
      <c r="Q5105" s="475"/>
      <c r="R5105" s="475"/>
      <c r="S5105" s="475"/>
      <c r="T5105" s="475"/>
      <c r="U5105" s="475"/>
      <c r="V5105" s="475"/>
      <c r="W5105" s="475"/>
    </row>
    <row r="5106" spans="2:23" s="97" customFormat="1">
      <c r="B5106" s="96"/>
      <c r="H5106" s="96"/>
      <c r="J5106" s="1"/>
      <c r="K5106" s="1"/>
      <c r="L5106" s="1"/>
      <c r="O5106" s="475"/>
      <c r="P5106" s="475"/>
      <c r="Q5106" s="475"/>
      <c r="R5106" s="475"/>
      <c r="S5106" s="475"/>
      <c r="T5106" s="475"/>
      <c r="U5106" s="475"/>
      <c r="V5106" s="475"/>
      <c r="W5106" s="475"/>
    </row>
    <row r="5107" spans="2:23" s="97" customFormat="1">
      <c r="B5107" s="96"/>
      <c r="H5107" s="96"/>
      <c r="J5107" s="1"/>
      <c r="K5107" s="1"/>
      <c r="L5107" s="1"/>
      <c r="O5107" s="475"/>
      <c r="P5107" s="475"/>
      <c r="Q5107" s="475"/>
      <c r="R5107" s="475"/>
      <c r="S5107" s="475"/>
      <c r="T5107" s="475"/>
      <c r="U5107" s="475"/>
      <c r="V5107" s="475"/>
      <c r="W5107" s="475"/>
    </row>
    <row r="5108" spans="2:23" s="97" customFormat="1">
      <c r="B5108" s="96"/>
      <c r="H5108" s="96"/>
      <c r="J5108" s="1"/>
      <c r="K5108" s="1"/>
      <c r="L5108" s="1"/>
      <c r="O5108" s="475"/>
      <c r="P5108" s="475"/>
      <c r="Q5108" s="475"/>
      <c r="R5108" s="475"/>
      <c r="S5108" s="475"/>
      <c r="T5108" s="475"/>
      <c r="U5108" s="475"/>
      <c r="V5108" s="475"/>
      <c r="W5108" s="475"/>
    </row>
    <row r="5109" spans="2:23" s="97" customFormat="1">
      <c r="B5109" s="96"/>
      <c r="H5109" s="96"/>
      <c r="J5109" s="1"/>
      <c r="K5109" s="1"/>
      <c r="L5109" s="1"/>
      <c r="O5109" s="475"/>
      <c r="P5109" s="475"/>
      <c r="Q5109" s="475"/>
      <c r="R5109" s="475"/>
      <c r="S5109" s="475"/>
      <c r="T5109" s="475"/>
      <c r="U5109" s="475"/>
      <c r="V5109" s="475"/>
      <c r="W5109" s="475"/>
    </row>
    <row r="5110" spans="2:23" s="97" customFormat="1">
      <c r="B5110" s="96"/>
      <c r="H5110" s="96"/>
      <c r="J5110" s="1"/>
      <c r="K5110" s="1"/>
      <c r="L5110" s="1"/>
      <c r="O5110" s="475"/>
      <c r="P5110" s="475"/>
      <c r="Q5110" s="475"/>
      <c r="R5110" s="475"/>
      <c r="S5110" s="475"/>
      <c r="T5110" s="475"/>
      <c r="U5110" s="475"/>
      <c r="V5110" s="475"/>
      <c r="W5110" s="475"/>
    </row>
    <row r="5111" spans="2:23" s="97" customFormat="1">
      <c r="B5111" s="96"/>
      <c r="H5111" s="96"/>
      <c r="J5111" s="1"/>
      <c r="K5111" s="1"/>
      <c r="L5111" s="1"/>
      <c r="O5111" s="475"/>
      <c r="P5111" s="475"/>
      <c r="Q5111" s="475"/>
      <c r="R5111" s="475"/>
      <c r="S5111" s="475"/>
      <c r="T5111" s="475"/>
      <c r="U5111" s="475"/>
      <c r="V5111" s="475"/>
      <c r="W5111" s="475"/>
    </row>
    <row r="5112" spans="2:23" s="97" customFormat="1">
      <c r="B5112" s="96"/>
      <c r="H5112" s="96"/>
      <c r="J5112" s="1"/>
      <c r="K5112" s="1"/>
      <c r="L5112" s="1"/>
      <c r="O5112" s="475"/>
      <c r="P5112" s="475"/>
      <c r="Q5112" s="475"/>
      <c r="R5112" s="475"/>
      <c r="S5112" s="475"/>
      <c r="T5112" s="475"/>
      <c r="U5112" s="475"/>
      <c r="V5112" s="475"/>
      <c r="W5112" s="475"/>
    </row>
    <row r="5113" spans="2:23" s="97" customFormat="1">
      <c r="B5113" s="96"/>
      <c r="H5113" s="96"/>
      <c r="J5113" s="1"/>
      <c r="K5113" s="1"/>
      <c r="L5113" s="1"/>
      <c r="O5113" s="475"/>
      <c r="P5113" s="475"/>
      <c r="Q5113" s="475"/>
      <c r="R5113" s="475"/>
      <c r="S5113" s="475"/>
      <c r="T5113" s="475"/>
      <c r="U5113" s="475"/>
      <c r="V5113" s="475"/>
      <c r="W5113" s="475"/>
    </row>
    <row r="5114" spans="2:23" s="97" customFormat="1">
      <c r="B5114" s="96"/>
      <c r="H5114" s="96"/>
      <c r="J5114" s="1"/>
      <c r="K5114" s="1"/>
      <c r="L5114" s="1"/>
      <c r="O5114" s="475"/>
      <c r="P5114" s="475"/>
      <c r="Q5114" s="475"/>
      <c r="R5114" s="475"/>
      <c r="S5114" s="475"/>
      <c r="T5114" s="475"/>
      <c r="U5114" s="475"/>
      <c r="V5114" s="475"/>
      <c r="W5114" s="475"/>
    </row>
    <row r="5115" spans="2:23" s="97" customFormat="1">
      <c r="B5115" s="96"/>
      <c r="H5115" s="96"/>
      <c r="J5115" s="1"/>
      <c r="K5115" s="1"/>
      <c r="L5115" s="1"/>
      <c r="O5115" s="475"/>
      <c r="P5115" s="475"/>
      <c r="Q5115" s="475"/>
      <c r="R5115" s="475"/>
      <c r="S5115" s="475"/>
      <c r="T5115" s="475"/>
      <c r="U5115" s="475"/>
      <c r="V5115" s="475"/>
      <c r="W5115" s="475"/>
    </row>
    <row r="5116" spans="2:23" s="97" customFormat="1">
      <c r="B5116" s="96"/>
      <c r="H5116" s="96"/>
      <c r="J5116" s="1"/>
      <c r="K5116" s="1"/>
      <c r="L5116" s="1"/>
      <c r="O5116" s="475"/>
      <c r="P5116" s="475"/>
      <c r="Q5116" s="475"/>
      <c r="R5116" s="475"/>
      <c r="S5116" s="475"/>
      <c r="T5116" s="475"/>
      <c r="U5116" s="475"/>
      <c r="V5116" s="475"/>
      <c r="W5116" s="475"/>
    </row>
    <row r="5117" spans="2:23" s="97" customFormat="1">
      <c r="B5117" s="96"/>
      <c r="H5117" s="96"/>
      <c r="J5117" s="1"/>
      <c r="K5117" s="1"/>
      <c r="L5117" s="1"/>
      <c r="O5117" s="475"/>
      <c r="P5117" s="475"/>
      <c r="Q5117" s="475"/>
      <c r="R5117" s="475"/>
      <c r="S5117" s="475"/>
      <c r="T5117" s="475"/>
      <c r="U5117" s="475"/>
      <c r="V5117" s="475"/>
      <c r="W5117" s="475"/>
    </row>
    <row r="5118" spans="2:23" s="97" customFormat="1">
      <c r="B5118" s="96"/>
      <c r="H5118" s="96"/>
      <c r="J5118" s="1"/>
      <c r="K5118" s="1"/>
      <c r="L5118" s="1"/>
      <c r="O5118" s="475"/>
      <c r="P5118" s="475"/>
      <c r="Q5118" s="475"/>
      <c r="R5118" s="475"/>
      <c r="S5118" s="475"/>
      <c r="T5118" s="475"/>
      <c r="U5118" s="475"/>
      <c r="V5118" s="475"/>
      <c r="W5118" s="475"/>
    </row>
    <row r="5119" spans="2:23" s="97" customFormat="1">
      <c r="B5119" s="96"/>
      <c r="H5119" s="96"/>
      <c r="J5119" s="1"/>
      <c r="K5119" s="1"/>
      <c r="L5119" s="1"/>
      <c r="O5119" s="475"/>
      <c r="P5119" s="475"/>
      <c r="Q5119" s="475"/>
      <c r="R5119" s="475"/>
      <c r="S5119" s="475"/>
      <c r="T5119" s="475"/>
      <c r="U5119" s="475"/>
      <c r="V5119" s="475"/>
      <c r="W5119" s="475"/>
    </row>
    <row r="5120" spans="2:23" s="97" customFormat="1">
      <c r="B5120" s="96"/>
      <c r="H5120" s="96"/>
      <c r="J5120" s="1"/>
      <c r="K5120" s="1"/>
      <c r="L5120" s="1"/>
      <c r="O5120" s="475"/>
      <c r="P5120" s="475"/>
      <c r="Q5120" s="475"/>
      <c r="R5120" s="475"/>
      <c r="S5120" s="475"/>
      <c r="T5120" s="475"/>
      <c r="U5120" s="475"/>
      <c r="V5120" s="475"/>
      <c r="W5120" s="475"/>
    </row>
    <row r="5121" spans="2:23" s="97" customFormat="1">
      <c r="B5121" s="96"/>
      <c r="H5121" s="96"/>
      <c r="J5121" s="1"/>
      <c r="K5121" s="1"/>
      <c r="L5121" s="1"/>
      <c r="O5121" s="475"/>
      <c r="P5121" s="475"/>
      <c r="Q5121" s="475"/>
      <c r="R5121" s="475"/>
      <c r="S5121" s="475"/>
      <c r="T5121" s="475"/>
      <c r="U5121" s="475"/>
      <c r="V5121" s="475"/>
      <c r="W5121" s="475"/>
    </row>
    <row r="5122" spans="2:23" s="97" customFormat="1">
      <c r="B5122" s="96"/>
      <c r="H5122" s="96"/>
      <c r="J5122" s="1"/>
      <c r="K5122" s="1"/>
      <c r="L5122" s="1"/>
      <c r="O5122" s="475"/>
      <c r="P5122" s="475"/>
      <c r="Q5122" s="475"/>
      <c r="R5122" s="475"/>
      <c r="S5122" s="475"/>
      <c r="T5122" s="475"/>
      <c r="U5122" s="475"/>
      <c r="V5122" s="475"/>
      <c r="W5122" s="475"/>
    </row>
    <row r="5123" spans="2:23" s="97" customFormat="1">
      <c r="B5123" s="96"/>
      <c r="H5123" s="96"/>
      <c r="J5123" s="1"/>
      <c r="K5123" s="1"/>
      <c r="L5123" s="1"/>
      <c r="O5123" s="475"/>
      <c r="P5123" s="475"/>
      <c r="Q5123" s="475"/>
      <c r="R5123" s="475"/>
      <c r="S5123" s="475"/>
      <c r="T5123" s="475"/>
      <c r="U5123" s="475"/>
      <c r="V5123" s="475"/>
      <c r="W5123" s="475"/>
    </row>
    <row r="5124" spans="2:23" s="97" customFormat="1">
      <c r="B5124" s="96"/>
      <c r="H5124" s="96"/>
      <c r="J5124" s="1"/>
      <c r="K5124" s="1"/>
      <c r="L5124" s="1"/>
      <c r="O5124" s="475"/>
      <c r="P5124" s="475"/>
      <c r="Q5124" s="475"/>
      <c r="R5124" s="475"/>
      <c r="S5124" s="475"/>
      <c r="T5124" s="475"/>
      <c r="U5124" s="475"/>
      <c r="V5124" s="475"/>
      <c r="W5124" s="475"/>
    </row>
    <row r="5125" spans="2:23" s="97" customFormat="1">
      <c r="B5125" s="96"/>
      <c r="H5125" s="96"/>
      <c r="J5125" s="1"/>
      <c r="K5125" s="1"/>
      <c r="L5125" s="1"/>
      <c r="O5125" s="475"/>
      <c r="P5125" s="475"/>
      <c r="Q5125" s="475"/>
      <c r="R5125" s="475"/>
      <c r="S5125" s="475"/>
      <c r="T5125" s="475"/>
      <c r="U5125" s="475"/>
      <c r="V5125" s="475"/>
      <c r="W5125" s="475"/>
    </row>
    <row r="5126" spans="2:23" s="97" customFormat="1">
      <c r="B5126" s="96"/>
      <c r="H5126" s="96"/>
      <c r="J5126" s="1"/>
      <c r="K5126" s="1"/>
      <c r="L5126" s="1"/>
      <c r="O5126" s="475"/>
      <c r="P5126" s="475"/>
      <c r="Q5126" s="475"/>
      <c r="R5126" s="475"/>
      <c r="S5126" s="475"/>
      <c r="T5126" s="475"/>
      <c r="U5126" s="475"/>
      <c r="V5126" s="475"/>
      <c r="W5126" s="475"/>
    </row>
    <row r="5127" spans="2:23" s="97" customFormat="1">
      <c r="B5127" s="96"/>
      <c r="H5127" s="96"/>
      <c r="J5127" s="1"/>
      <c r="K5127" s="1"/>
      <c r="L5127" s="1"/>
      <c r="O5127" s="475"/>
      <c r="P5127" s="475"/>
      <c r="Q5127" s="475"/>
      <c r="R5127" s="475"/>
      <c r="S5127" s="475"/>
      <c r="T5127" s="475"/>
      <c r="U5127" s="475"/>
      <c r="V5127" s="475"/>
      <c r="W5127" s="475"/>
    </row>
    <row r="5128" spans="2:23" s="97" customFormat="1">
      <c r="B5128" s="96"/>
      <c r="H5128" s="96"/>
      <c r="J5128" s="1"/>
      <c r="K5128" s="1"/>
      <c r="L5128" s="1"/>
      <c r="O5128" s="475"/>
      <c r="P5128" s="475"/>
      <c r="Q5128" s="475"/>
      <c r="R5128" s="475"/>
      <c r="S5128" s="475"/>
      <c r="T5128" s="475"/>
      <c r="U5128" s="475"/>
      <c r="V5128" s="475"/>
      <c r="W5128" s="475"/>
    </row>
    <row r="5129" spans="2:23" s="97" customFormat="1">
      <c r="B5129" s="96"/>
      <c r="H5129" s="96"/>
      <c r="J5129" s="1"/>
      <c r="K5129" s="1"/>
      <c r="L5129" s="1"/>
      <c r="O5129" s="475"/>
      <c r="P5129" s="475"/>
      <c r="Q5129" s="475"/>
      <c r="R5129" s="475"/>
      <c r="S5129" s="475"/>
      <c r="T5129" s="475"/>
      <c r="U5129" s="475"/>
      <c r="V5129" s="475"/>
      <c r="W5129" s="475"/>
    </row>
    <row r="5130" spans="2:23" s="97" customFormat="1">
      <c r="B5130" s="96"/>
      <c r="H5130" s="96"/>
      <c r="J5130" s="1"/>
      <c r="K5130" s="1"/>
      <c r="L5130" s="1"/>
      <c r="O5130" s="475"/>
      <c r="P5130" s="475"/>
      <c r="Q5130" s="475"/>
      <c r="R5130" s="475"/>
      <c r="S5130" s="475"/>
      <c r="T5130" s="475"/>
      <c r="U5130" s="475"/>
      <c r="V5130" s="475"/>
      <c r="W5130" s="475"/>
    </row>
    <row r="5131" spans="2:23" s="97" customFormat="1">
      <c r="B5131" s="96"/>
      <c r="H5131" s="96"/>
      <c r="J5131" s="1"/>
      <c r="K5131" s="1"/>
      <c r="L5131" s="1"/>
      <c r="O5131" s="475"/>
      <c r="P5131" s="475"/>
      <c r="Q5131" s="475"/>
      <c r="R5131" s="475"/>
      <c r="S5131" s="475"/>
      <c r="T5131" s="475"/>
      <c r="U5131" s="475"/>
      <c r="V5131" s="475"/>
      <c r="W5131" s="475"/>
    </row>
    <row r="5132" spans="2:23" s="97" customFormat="1">
      <c r="B5132" s="96"/>
      <c r="H5132" s="96"/>
      <c r="J5132" s="1"/>
      <c r="K5132" s="1"/>
      <c r="L5132" s="1"/>
      <c r="O5132" s="475"/>
      <c r="P5132" s="475"/>
      <c r="Q5132" s="475"/>
      <c r="R5132" s="475"/>
      <c r="S5132" s="475"/>
      <c r="T5132" s="475"/>
      <c r="U5132" s="475"/>
      <c r="V5132" s="475"/>
      <c r="W5132" s="475"/>
    </row>
    <row r="5133" spans="2:23" s="97" customFormat="1">
      <c r="B5133" s="96"/>
      <c r="H5133" s="96"/>
      <c r="J5133" s="1"/>
      <c r="K5133" s="1"/>
      <c r="L5133" s="1"/>
      <c r="O5133" s="475"/>
      <c r="P5133" s="475"/>
      <c r="Q5133" s="475"/>
      <c r="R5133" s="475"/>
      <c r="S5133" s="475"/>
      <c r="T5133" s="475"/>
      <c r="U5133" s="475"/>
      <c r="V5133" s="475"/>
      <c r="W5133" s="475"/>
    </row>
    <row r="5134" spans="2:23" s="97" customFormat="1">
      <c r="B5134" s="96"/>
      <c r="H5134" s="96"/>
      <c r="J5134" s="1"/>
      <c r="K5134" s="1"/>
      <c r="L5134" s="1"/>
      <c r="O5134" s="475"/>
      <c r="P5134" s="475"/>
      <c r="Q5134" s="475"/>
      <c r="R5134" s="475"/>
      <c r="S5134" s="475"/>
      <c r="T5134" s="475"/>
      <c r="U5134" s="475"/>
      <c r="V5134" s="475"/>
      <c r="W5134" s="475"/>
    </row>
    <row r="5135" spans="2:23" s="97" customFormat="1">
      <c r="B5135" s="96"/>
      <c r="H5135" s="96"/>
      <c r="J5135" s="1"/>
      <c r="K5135" s="1"/>
      <c r="L5135" s="1"/>
      <c r="O5135" s="475"/>
      <c r="P5135" s="475"/>
      <c r="Q5135" s="475"/>
      <c r="R5135" s="475"/>
      <c r="S5135" s="475"/>
      <c r="T5135" s="475"/>
      <c r="U5135" s="475"/>
      <c r="V5135" s="475"/>
      <c r="W5135" s="475"/>
    </row>
    <row r="5136" spans="2:23" s="97" customFormat="1">
      <c r="B5136" s="96"/>
      <c r="H5136" s="96"/>
      <c r="J5136" s="1"/>
      <c r="K5136" s="1"/>
      <c r="L5136" s="1"/>
      <c r="O5136" s="475"/>
      <c r="P5136" s="475"/>
      <c r="Q5136" s="475"/>
      <c r="R5136" s="475"/>
      <c r="S5136" s="475"/>
      <c r="T5136" s="475"/>
      <c r="U5136" s="475"/>
      <c r="V5136" s="475"/>
      <c r="W5136" s="475"/>
    </row>
    <row r="5137" spans="2:23" s="97" customFormat="1">
      <c r="B5137" s="96"/>
      <c r="H5137" s="96"/>
      <c r="J5137" s="1"/>
      <c r="K5137" s="1"/>
      <c r="L5137" s="1"/>
      <c r="O5137" s="475"/>
      <c r="P5137" s="475"/>
      <c r="Q5137" s="475"/>
      <c r="R5137" s="475"/>
      <c r="S5137" s="475"/>
      <c r="T5137" s="475"/>
      <c r="U5137" s="475"/>
      <c r="V5137" s="475"/>
      <c r="W5137" s="475"/>
    </row>
    <row r="5138" spans="2:23" s="97" customFormat="1">
      <c r="B5138" s="96"/>
      <c r="H5138" s="96"/>
      <c r="J5138" s="1"/>
      <c r="K5138" s="1"/>
      <c r="L5138" s="1"/>
      <c r="O5138" s="475"/>
      <c r="P5138" s="475"/>
      <c r="Q5138" s="475"/>
      <c r="R5138" s="475"/>
      <c r="S5138" s="475"/>
      <c r="T5138" s="475"/>
      <c r="U5138" s="475"/>
      <c r="V5138" s="475"/>
      <c r="W5138" s="475"/>
    </row>
    <row r="5139" spans="2:23" s="97" customFormat="1">
      <c r="B5139" s="96"/>
      <c r="H5139" s="96"/>
      <c r="J5139" s="1"/>
      <c r="K5139" s="1"/>
      <c r="L5139" s="1"/>
      <c r="O5139" s="475"/>
      <c r="P5139" s="475"/>
      <c r="Q5139" s="475"/>
      <c r="R5139" s="475"/>
      <c r="S5139" s="475"/>
      <c r="T5139" s="475"/>
      <c r="U5139" s="475"/>
      <c r="V5139" s="475"/>
      <c r="W5139" s="475"/>
    </row>
    <row r="5140" spans="2:23" s="97" customFormat="1">
      <c r="B5140" s="96"/>
      <c r="H5140" s="96"/>
      <c r="J5140" s="1"/>
      <c r="K5140" s="1"/>
      <c r="L5140" s="1"/>
      <c r="O5140" s="475"/>
      <c r="P5140" s="475"/>
      <c r="Q5140" s="475"/>
      <c r="R5140" s="475"/>
      <c r="S5140" s="475"/>
      <c r="T5140" s="475"/>
      <c r="U5140" s="475"/>
      <c r="V5140" s="475"/>
      <c r="W5140" s="475"/>
    </row>
    <row r="5141" spans="2:23" s="97" customFormat="1">
      <c r="B5141" s="96"/>
      <c r="H5141" s="96"/>
      <c r="J5141" s="1"/>
      <c r="K5141" s="1"/>
      <c r="L5141" s="1"/>
      <c r="O5141" s="475"/>
      <c r="P5141" s="475"/>
      <c r="Q5141" s="475"/>
      <c r="R5141" s="475"/>
      <c r="S5141" s="475"/>
      <c r="T5141" s="475"/>
      <c r="U5141" s="475"/>
      <c r="V5141" s="475"/>
      <c r="W5141" s="475"/>
    </row>
    <row r="5142" spans="2:23" s="97" customFormat="1">
      <c r="B5142" s="96"/>
      <c r="H5142" s="96"/>
      <c r="J5142" s="1"/>
      <c r="K5142" s="1"/>
      <c r="L5142" s="1"/>
      <c r="O5142" s="475"/>
      <c r="P5142" s="475"/>
      <c r="Q5142" s="475"/>
      <c r="R5142" s="475"/>
      <c r="S5142" s="475"/>
      <c r="T5142" s="475"/>
      <c r="U5142" s="475"/>
      <c r="V5142" s="475"/>
      <c r="W5142" s="475"/>
    </row>
    <row r="5143" spans="2:23" s="97" customFormat="1">
      <c r="B5143" s="96"/>
      <c r="H5143" s="96"/>
      <c r="J5143" s="1"/>
      <c r="K5143" s="1"/>
      <c r="L5143" s="1"/>
      <c r="O5143" s="475"/>
      <c r="P5143" s="475"/>
      <c r="Q5143" s="475"/>
      <c r="R5143" s="475"/>
      <c r="S5143" s="475"/>
      <c r="T5143" s="475"/>
      <c r="U5143" s="475"/>
      <c r="V5143" s="475"/>
      <c r="W5143" s="475"/>
    </row>
    <row r="5144" spans="2:23" s="97" customFormat="1">
      <c r="B5144" s="96"/>
      <c r="H5144" s="96"/>
      <c r="J5144" s="1"/>
      <c r="K5144" s="1"/>
      <c r="L5144" s="1"/>
      <c r="O5144" s="475"/>
      <c r="P5144" s="475"/>
      <c r="Q5144" s="475"/>
      <c r="R5144" s="475"/>
      <c r="S5144" s="475"/>
      <c r="T5144" s="475"/>
      <c r="U5144" s="475"/>
      <c r="V5144" s="475"/>
      <c r="W5144" s="475"/>
    </row>
    <row r="5145" spans="2:23" s="97" customFormat="1">
      <c r="B5145" s="96"/>
      <c r="H5145" s="96"/>
      <c r="J5145" s="1"/>
      <c r="K5145" s="1"/>
      <c r="L5145" s="1"/>
      <c r="O5145" s="475"/>
      <c r="P5145" s="475"/>
      <c r="Q5145" s="475"/>
      <c r="R5145" s="475"/>
      <c r="S5145" s="475"/>
      <c r="T5145" s="475"/>
      <c r="U5145" s="475"/>
      <c r="V5145" s="475"/>
      <c r="W5145" s="475"/>
    </row>
    <row r="5146" spans="2:23" s="97" customFormat="1">
      <c r="B5146" s="96"/>
      <c r="H5146" s="96"/>
      <c r="J5146" s="1"/>
      <c r="K5146" s="1"/>
      <c r="L5146" s="1"/>
      <c r="O5146" s="475"/>
      <c r="P5146" s="475"/>
      <c r="Q5146" s="475"/>
      <c r="R5146" s="475"/>
      <c r="S5146" s="475"/>
      <c r="T5146" s="475"/>
      <c r="U5146" s="475"/>
      <c r="V5146" s="475"/>
      <c r="W5146" s="475"/>
    </row>
    <row r="5147" spans="2:23" s="97" customFormat="1">
      <c r="B5147" s="96"/>
      <c r="H5147" s="96"/>
      <c r="J5147" s="1"/>
      <c r="K5147" s="1"/>
      <c r="L5147" s="1"/>
      <c r="O5147" s="475"/>
      <c r="P5147" s="475"/>
      <c r="Q5147" s="475"/>
      <c r="R5147" s="475"/>
      <c r="S5147" s="475"/>
      <c r="T5147" s="475"/>
      <c r="U5147" s="475"/>
      <c r="V5147" s="475"/>
      <c r="W5147" s="475"/>
    </row>
    <row r="5148" spans="2:23" s="97" customFormat="1">
      <c r="B5148" s="96"/>
      <c r="H5148" s="96"/>
      <c r="J5148" s="1"/>
      <c r="K5148" s="1"/>
      <c r="L5148" s="1"/>
      <c r="O5148" s="475"/>
      <c r="P5148" s="475"/>
      <c r="Q5148" s="475"/>
      <c r="R5148" s="475"/>
      <c r="S5148" s="475"/>
      <c r="T5148" s="475"/>
      <c r="U5148" s="475"/>
      <c r="V5148" s="475"/>
      <c r="W5148" s="475"/>
    </row>
    <row r="5149" spans="2:23" s="97" customFormat="1">
      <c r="B5149" s="96"/>
      <c r="H5149" s="96"/>
      <c r="J5149" s="1"/>
      <c r="K5149" s="1"/>
      <c r="L5149" s="1"/>
      <c r="O5149" s="475"/>
      <c r="P5149" s="475"/>
      <c r="Q5149" s="475"/>
      <c r="R5149" s="475"/>
      <c r="S5149" s="475"/>
      <c r="T5149" s="475"/>
      <c r="U5149" s="475"/>
      <c r="V5149" s="475"/>
      <c r="W5149" s="475"/>
    </row>
    <row r="5150" spans="2:23" s="97" customFormat="1">
      <c r="B5150" s="96"/>
      <c r="H5150" s="96"/>
      <c r="J5150" s="1"/>
      <c r="K5150" s="1"/>
      <c r="L5150" s="1"/>
      <c r="O5150" s="475"/>
      <c r="P5150" s="475"/>
      <c r="Q5150" s="475"/>
      <c r="R5150" s="475"/>
      <c r="S5150" s="475"/>
      <c r="T5150" s="475"/>
      <c r="U5150" s="475"/>
      <c r="V5150" s="475"/>
      <c r="W5150" s="475"/>
    </row>
    <row r="5151" spans="2:23" s="97" customFormat="1">
      <c r="B5151" s="96"/>
      <c r="H5151" s="96"/>
      <c r="J5151" s="1"/>
      <c r="K5151" s="1"/>
      <c r="L5151" s="1"/>
      <c r="O5151" s="475"/>
      <c r="P5151" s="475"/>
      <c r="Q5151" s="475"/>
      <c r="R5151" s="475"/>
      <c r="S5151" s="475"/>
      <c r="T5151" s="475"/>
      <c r="U5151" s="475"/>
      <c r="V5151" s="475"/>
      <c r="W5151" s="475"/>
    </row>
    <row r="5152" spans="2:23" s="97" customFormat="1">
      <c r="B5152" s="96"/>
      <c r="H5152" s="96"/>
      <c r="J5152" s="1"/>
      <c r="K5152" s="1"/>
      <c r="L5152" s="1"/>
      <c r="O5152" s="475"/>
      <c r="P5152" s="475"/>
      <c r="Q5152" s="475"/>
      <c r="R5152" s="475"/>
      <c r="S5152" s="475"/>
      <c r="T5152" s="475"/>
      <c r="U5152" s="475"/>
      <c r="V5152" s="475"/>
      <c r="W5152" s="475"/>
    </row>
    <row r="5153" spans="2:23" s="97" customFormat="1">
      <c r="B5153" s="96"/>
      <c r="H5153" s="96"/>
      <c r="J5153" s="1"/>
      <c r="K5153" s="1"/>
      <c r="L5153" s="1"/>
      <c r="O5153" s="475"/>
      <c r="P5153" s="475"/>
      <c r="Q5153" s="475"/>
      <c r="R5153" s="475"/>
      <c r="S5153" s="475"/>
      <c r="T5153" s="475"/>
      <c r="U5153" s="475"/>
      <c r="V5153" s="475"/>
      <c r="W5153" s="475"/>
    </row>
    <row r="5154" spans="2:23" s="97" customFormat="1">
      <c r="B5154" s="96"/>
      <c r="H5154" s="96"/>
      <c r="J5154" s="1"/>
      <c r="K5154" s="1"/>
      <c r="L5154" s="1"/>
      <c r="O5154" s="475"/>
      <c r="P5154" s="475"/>
      <c r="Q5154" s="475"/>
      <c r="R5154" s="475"/>
      <c r="S5154" s="475"/>
      <c r="T5154" s="475"/>
      <c r="U5154" s="475"/>
      <c r="V5154" s="475"/>
      <c r="W5154" s="475"/>
    </row>
    <row r="5155" spans="2:23" s="97" customFormat="1">
      <c r="B5155" s="96"/>
      <c r="H5155" s="96"/>
      <c r="J5155" s="1"/>
      <c r="K5155" s="1"/>
      <c r="L5155" s="1"/>
      <c r="O5155" s="475"/>
      <c r="P5155" s="475"/>
      <c r="Q5155" s="475"/>
      <c r="R5155" s="475"/>
      <c r="S5155" s="475"/>
      <c r="T5155" s="475"/>
      <c r="U5155" s="475"/>
      <c r="V5155" s="475"/>
      <c r="W5155" s="475"/>
    </row>
    <row r="5156" spans="2:23" s="97" customFormat="1">
      <c r="B5156" s="96"/>
      <c r="H5156" s="96"/>
      <c r="J5156" s="1"/>
      <c r="K5156" s="1"/>
      <c r="L5156" s="1"/>
      <c r="O5156" s="475"/>
      <c r="P5156" s="475"/>
      <c r="Q5156" s="475"/>
      <c r="R5156" s="475"/>
      <c r="S5156" s="475"/>
      <c r="T5156" s="475"/>
      <c r="U5156" s="475"/>
      <c r="V5156" s="475"/>
      <c r="W5156" s="475"/>
    </row>
    <row r="5157" spans="2:23" s="97" customFormat="1">
      <c r="B5157" s="96"/>
      <c r="H5157" s="96"/>
      <c r="J5157" s="1"/>
      <c r="K5157" s="1"/>
      <c r="L5157" s="1"/>
      <c r="O5157" s="475"/>
      <c r="P5157" s="475"/>
      <c r="Q5157" s="475"/>
      <c r="R5157" s="475"/>
      <c r="S5157" s="475"/>
      <c r="T5157" s="475"/>
      <c r="U5157" s="475"/>
      <c r="V5157" s="475"/>
      <c r="W5157" s="475"/>
    </row>
    <row r="5158" spans="2:23" s="97" customFormat="1">
      <c r="B5158" s="96"/>
      <c r="H5158" s="96"/>
      <c r="J5158" s="1"/>
      <c r="K5158" s="1"/>
      <c r="L5158" s="1"/>
      <c r="O5158" s="475"/>
      <c r="P5158" s="475"/>
      <c r="Q5158" s="475"/>
      <c r="R5158" s="475"/>
      <c r="S5158" s="475"/>
      <c r="T5158" s="475"/>
      <c r="U5158" s="475"/>
      <c r="V5158" s="475"/>
      <c r="W5158" s="475"/>
    </row>
    <row r="5159" spans="2:23" s="97" customFormat="1">
      <c r="B5159" s="96"/>
      <c r="H5159" s="96"/>
      <c r="J5159" s="1"/>
      <c r="K5159" s="1"/>
      <c r="L5159" s="1"/>
      <c r="O5159" s="475"/>
      <c r="P5159" s="475"/>
      <c r="Q5159" s="475"/>
      <c r="R5159" s="475"/>
      <c r="S5159" s="475"/>
      <c r="T5159" s="475"/>
      <c r="U5159" s="475"/>
      <c r="V5159" s="475"/>
      <c r="W5159" s="475"/>
    </row>
    <row r="5160" spans="2:23" s="97" customFormat="1">
      <c r="B5160" s="96"/>
      <c r="H5160" s="96"/>
      <c r="J5160" s="1"/>
      <c r="K5160" s="1"/>
      <c r="L5160" s="1"/>
      <c r="O5160" s="475"/>
      <c r="P5160" s="475"/>
      <c r="Q5160" s="475"/>
      <c r="R5160" s="475"/>
      <c r="S5160" s="475"/>
      <c r="T5160" s="475"/>
      <c r="U5160" s="475"/>
      <c r="V5160" s="475"/>
      <c r="W5160" s="475"/>
    </row>
    <row r="5161" spans="2:23" s="97" customFormat="1">
      <c r="B5161" s="96"/>
      <c r="H5161" s="96"/>
      <c r="J5161" s="1"/>
      <c r="K5161" s="1"/>
      <c r="L5161" s="1"/>
      <c r="O5161" s="475"/>
      <c r="P5161" s="475"/>
      <c r="Q5161" s="475"/>
      <c r="R5161" s="475"/>
      <c r="S5161" s="475"/>
      <c r="T5161" s="475"/>
      <c r="U5161" s="475"/>
      <c r="V5161" s="475"/>
      <c r="W5161" s="475"/>
    </row>
    <row r="5162" spans="2:23" s="97" customFormat="1">
      <c r="B5162" s="96"/>
      <c r="H5162" s="96"/>
      <c r="J5162" s="1"/>
      <c r="K5162" s="1"/>
      <c r="L5162" s="1"/>
      <c r="O5162" s="475"/>
      <c r="P5162" s="475"/>
      <c r="Q5162" s="475"/>
      <c r="R5162" s="475"/>
      <c r="S5162" s="475"/>
      <c r="T5162" s="475"/>
      <c r="U5162" s="475"/>
      <c r="V5162" s="475"/>
      <c r="W5162" s="475"/>
    </row>
    <row r="5163" spans="2:23" s="97" customFormat="1">
      <c r="B5163" s="96"/>
      <c r="H5163" s="96"/>
      <c r="J5163" s="1"/>
      <c r="K5163" s="1"/>
      <c r="L5163" s="1"/>
      <c r="O5163" s="475"/>
      <c r="P5163" s="475"/>
      <c r="Q5163" s="475"/>
      <c r="R5163" s="475"/>
      <c r="S5163" s="475"/>
      <c r="T5163" s="475"/>
      <c r="U5163" s="475"/>
      <c r="V5163" s="475"/>
      <c r="W5163" s="475"/>
    </row>
    <row r="5164" spans="2:23" s="97" customFormat="1">
      <c r="B5164" s="96"/>
      <c r="H5164" s="96"/>
      <c r="J5164" s="1"/>
      <c r="K5164" s="1"/>
      <c r="L5164" s="1"/>
      <c r="O5164" s="475"/>
      <c r="P5164" s="475"/>
      <c r="Q5164" s="475"/>
      <c r="R5164" s="475"/>
      <c r="S5164" s="475"/>
      <c r="T5164" s="475"/>
      <c r="U5164" s="475"/>
      <c r="V5164" s="475"/>
      <c r="W5164" s="475"/>
    </row>
    <row r="5165" spans="2:23" s="97" customFormat="1">
      <c r="B5165" s="96"/>
      <c r="H5165" s="96"/>
      <c r="J5165" s="1"/>
      <c r="K5165" s="1"/>
      <c r="L5165" s="1"/>
      <c r="O5165" s="475"/>
      <c r="P5165" s="475"/>
      <c r="Q5165" s="475"/>
      <c r="R5165" s="475"/>
      <c r="S5165" s="475"/>
      <c r="T5165" s="475"/>
      <c r="U5165" s="475"/>
      <c r="V5165" s="475"/>
      <c r="W5165" s="475"/>
    </row>
    <row r="5166" spans="2:23" s="97" customFormat="1">
      <c r="B5166" s="96"/>
      <c r="H5166" s="96"/>
      <c r="J5166" s="1"/>
      <c r="K5166" s="1"/>
      <c r="L5166" s="1"/>
      <c r="O5166" s="475"/>
      <c r="P5166" s="475"/>
      <c r="Q5166" s="475"/>
      <c r="R5166" s="475"/>
      <c r="S5166" s="475"/>
      <c r="T5166" s="475"/>
      <c r="U5166" s="475"/>
      <c r="V5166" s="475"/>
      <c r="W5166" s="475"/>
    </row>
    <row r="5167" spans="2:23" s="97" customFormat="1">
      <c r="B5167" s="96"/>
      <c r="H5167" s="96"/>
      <c r="J5167" s="1"/>
      <c r="K5167" s="1"/>
      <c r="L5167" s="1"/>
      <c r="O5167" s="475"/>
      <c r="P5167" s="475"/>
      <c r="Q5167" s="475"/>
      <c r="R5167" s="475"/>
      <c r="S5167" s="475"/>
      <c r="T5167" s="475"/>
      <c r="U5167" s="475"/>
      <c r="V5167" s="475"/>
      <c r="W5167" s="475"/>
    </row>
    <row r="5168" spans="2:23" s="97" customFormat="1">
      <c r="B5168" s="96"/>
      <c r="H5168" s="96"/>
      <c r="J5168" s="1"/>
      <c r="K5168" s="1"/>
      <c r="L5168" s="1"/>
      <c r="O5168" s="475"/>
      <c r="P5168" s="475"/>
      <c r="Q5168" s="475"/>
      <c r="R5168" s="475"/>
      <c r="S5168" s="475"/>
      <c r="T5168" s="475"/>
      <c r="U5168" s="475"/>
      <c r="V5168" s="475"/>
      <c r="W5168" s="475"/>
    </row>
    <row r="5169" spans="2:23" s="97" customFormat="1">
      <c r="B5169" s="96"/>
      <c r="H5169" s="96"/>
      <c r="J5169" s="1"/>
      <c r="K5169" s="1"/>
      <c r="L5169" s="1"/>
      <c r="O5169" s="475"/>
      <c r="P5169" s="475"/>
      <c r="Q5169" s="475"/>
      <c r="R5169" s="475"/>
      <c r="S5169" s="475"/>
      <c r="T5169" s="475"/>
      <c r="U5169" s="475"/>
      <c r="V5169" s="475"/>
      <c r="W5169" s="475"/>
    </row>
    <row r="5170" spans="2:23" s="97" customFormat="1">
      <c r="B5170" s="96"/>
      <c r="H5170" s="96"/>
      <c r="J5170" s="1"/>
      <c r="K5170" s="1"/>
      <c r="L5170" s="1"/>
      <c r="O5170" s="475"/>
      <c r="P5170" s="475"/>
      <c r="Q5170" s="475"/>
      <c r="R5170" s="475"/>
      <c r="S5170" s="475"/>
      <c r="T5170" s="475"/>
      <c r="U5170" s="475"/>
      <c r="V5170" s="475"/>
      <c r="W5170" s="475"/>
    </row>
    <row r="5171" spans="2:23" s="97" customFormat="1">
      <c r="B5171" s="96"/>
      <c r="H5171" s="96"/>
      <c r="J5171" s="1"/>
      <c r="K5171" s="1"/>
      <c r="L5171" s="1"/>
      <c r="O5171" s="475"/>
      <c r="P5171" s="475"/>
      <c r="Q5171" s="475"/>
      <c r="R5171" s="475"/>
      <c r="S5171" s="475"/>
      <c r="T5171" s="475"/>
      <c r="U5171" s="475"/>
      <c r="V5171" s="475"/>
      <c r="W5171" s="475"/>
    </row>
    <row r="5172" spans="2:23" s="97" customFormat="1">
      <c r="B5172" s="96"/>
      <c r="H5172" s="96"/>
      <c r="J5172" s="1"/>
      <c r="K5172" s="1"/>
      <c r="L5172" s="1"/>
      <c r="O5172" s="475"/>
      <c r="P5172" s="475"/>
      <c r="Q5172" s="475"/>
      <c r="R5172" s="475"/>
      <c r="S5172" s="475"/>
      <c r="T5172" s="475"/>
      <c r="U5172" s="475"/>
      <c r="V5172" s="475"/>
      <c r="W5172" s="475"/>
    </row>
    <row r="5173" spans="2:23" s="97" customFormat="1">
      <c r="B5173" s="96"/>
      <c r="H5173" s="96"/>
      <c r="J5173" s="1"/>
      <c r="K5173" s="1"/>
      <c r="L5173" s="1"/>
      <c r="O5173" s="475"/>
      <c r="P5173" s="475"/>
      <c r="Q5173" s="475"/>
      <c r="R5173" s="475"/>
      <c r="S5173" s="475"/>
      <c r="T5173" s="475"/>
      <c r="U5173" s="475"/>
      <c r="V5173" s="475"/>
      <c r="W5173" s="475"/>
    </row>
    <row r="5174" spans="2:23" s="97" customFormat="1">
      <c r="B5174" s="96"/>
      <c r="H5174" s="96"/>
      <c r="J5174" s="1"/>
      <c r="K5174" s="1"/>
      <c r="L5174" s="1"/>
      <c r="O5174" s="475"/>
      <c r="P5174" s="475"/>
      <c r="Q5174" s="475"/>
      <c r="R5174" s="475"/>
      <c r="S5174" s="475"/>
      <c r="T5174" s="475"/>
      <c r="U5174" s="475"/>
      <c r="V5174" s="475"/>
      <c r="W5174" s="475"/>
    </row>
    <row r="5175" spans="2:23" s="97" customFormat="1">
      <c r="B5175" s="96"/>
      <c r="H5175" s="96"/>
      <c r="J5175" s="1"/>
      <c r="K5175" s="1"/>
      <c r="L5175" s="1"/>
      <c r="O5175" s="475"/>
      <c r="P5175" s="475"/>
      <c r="Q5175" s="475"/>
      <c r="R5175" s="475"/>
      <c r="S5175" s="475"/>
      <c r="T5175" s="475"/>
      <c r="U5175" s="475"/>
      <c r="V5175" s="475"/>
      <c r="W5175" s="475"/>
    </row>
    <row r="5176" spans="2:23" s="97" customFormat="1">
      <c r="B5176" s="96"/>
      <c r="H5176" s="96"/>
      <c r="J5176" s="1"/>
      <c r="K5176" s="1"/>
      <c r="L5176" s="1"/>
      <c r="O5176" s="475"/>
      <c r="P5176" s="475"/>
      <c r="Q5176" s="475"/>
      <c r="R5176" s="475"/>
      <c r="S5176" s="475"/>
      <c r="T5176" s="475"/>
      <c r="U5176" s="475"/>
      <c r="V5176" s="475"/>
      <c r="W5176" s="475"/>
    </row>
    <row r="5177" spans="2:23" s="97" customFormat="1">
      <c r="B5177" s="96"/>
      <c r="H5177" s="96"/>
      <c r="J5177" s="1"/>
      <c r="K5177" s="1"/>
      <c r="L5177" s="1"/>
      <c r="O5177" s="475"/>
      <c r="P5177" s="475"/>
      <c r="Q5177" s="475"/>
      <c r="R5177" s="475"/>
      <c r="S5177" s="475"/>
      <c r="T5177" s="475"/>
      <c r="U5177" s="475"/>
      <c r="V5177" s="475"/>
      <c r="W5177" s="475"/>
    </row>
    <row r="5178" spans="2:23" s="97" customFormat="1">
      <c r="B5178" s="96"/>
      <c r="H5178" s="96"/>
      <c r="J5178" s="1"/>
      <c r="K5178" s="1"/>
      <c r="L5178" s="1"/>
      <c r="O5178" s="475"/>
      <c r="P5178" s="475"/>
      <c r="Q5178" s="475"/>
      <c r="R5178" s="475"/>
      <c r="S5178" s="475"/>
      <c r="T5178" s="475"/>
      <c r="U5178" s="475"/>
      <c r="V5178" s="475"/>
      <c r="W5178" s="475"/>
    </row>
    <row r="5179" spans="2:23" s="97" customFormat="1">
      <c r="B5179" s="96"/>
      <c r="H5179" s="96"/>
      <c r="J5179" s="1"/>
      <c r="K5179" s="1"/>
      <c r="L5179" s="1"/>
      <c r="O5179" s="475"/>
      <c r="P5179" s="475"/>
      <c r="Q5179" s="475"/>
      <c r="R5179" s="475"/>
      <c r="S5179" s="475"/>
      <c r="T5179" s="475"/>
      <c r="U5179" s="475"/>
      <c r="V5179" s="475"/>
      <c r="W5179" s="475"/>
    </row>
    <row r="5180" spans="2:23" s="97" customFormat="1">
      <c r="B5180" s="96"/>
      <c r="H5180" s="96"/>
      <c r="J5180" s="1"/>
      <c r="K5180" s="1"/>
      <c r="L5180" s="1"/>
      <c r="O5180" s="475"/>
      <c r="P5180" s="475"/>
      <c r="Q5180" s="475"/>
      <c r="R5180" s="475"/>
      <c r="S5180" s="475"/>
      <c r="T5180" s="475"/>
      <c r="U5180" s="475"/>
      <c r="V5180" s="475"/>
      <c r="W5180" s="475"/>
    </row>
    <row r="5181" spans="2:23" s="97" customFormat="1">
      <c r="B5181" s="96"/>
      <c r="H5181" s="96"/>
      <c r="J5181" s="1"/>
      <c r="K5181" s="1"/>
      <c r="L5181" s="1"/>
      <c r="O5181" s="475"/>
      <c r="P5181" s="475"/>
      <c r="Q5181" s="475"/>
      <c r="R5181" s="475"/>
      <c r="S5181" s="475"/>
      <c r="T5181" s="475"/>
      <c r="U5181" s="475"/>
      <c r="V5181" s="475"/>
      <c r="W5181" s="475"/>
    </row>
    <row r="5182" spans="2:23" s="97" customFormat="1">
      <c r="B5182" s="96"/>
      <c r="H5182" s="96"/>
      <c r="J5182" s="1"/>
      <c r="K5182" s="1"/>
      <c r="L5182" s="1"/>
      <c r="O5182" s="475"/>
      <c r="P5182" s="475"/>
      <c r="Q5182" s="475"/>
      <c r="R5182" s="475"/>
      <c r="S5182" s="475"/>
      <c r="T5182" s="475"/>
      <c r="U5182" s="475"/>
      <c r="V5182" s="475"/>
      <c r="W5182" s="475"/>
    </row>
    <row r="5183" spans="2:23" s="97" customFormat="1">
      <c r="B5183" s="96"/>
      <c r="H5183" s="96"/>
      <c r="J5183" s="1"/>
      <c r="K5183" s="1"/>
      <c r="L5183" s="1"/>
      <c r="O5183" s="475"/>
      <c r="P5183" s="475"/>
      <c r="Q5183" s="475"/>
      <c r="R5183" s="475"/>
      <c r="S5183" s="475"/>
      <c r="T5183" s="475"/>
      <c r="U5183" s="475"/>
      <c r="V5183" s="475"/>
      <c r="W5183" s="475"/>
    </row>
    <row r="5184" spans="2:23" s="97" customFormat="1">
      <c r="B5184" s="96"/>
      <c r="H5184" s="96"/>
      <c r="J5184" s="1"/>
      <c r="K5184" s="1"/>
      <c r="L5184" s="1"/>
      <c r="O5184" s="475"/>
      <c r="P5184" s="475"/>
      <c r="Q5184" s="475"/>
      <c r="R5184" s="475"/>
      <c r="S5184" s="475"/>
      <c r="T5184" s="475"/>
      <c r="U5184" s="475"/>
      <c r="V5184" s="475"/>
      <c r="W5184" s="475"/>
    </row>
    <row r="5185" spans="2:23" s="97" customFormat="1">
      <c r="B5185" s="96"/>
      <c r="H5185" s="96"/>
      <c r="J5185" s="1"/>
      <c r="K5185" s="1"/>
      <c r="L5185" s="1"/>
      <c r="O5185" s="475"/>
      <c r="P5185" s="475"/>
      <c r="Q5185" s="475"/>
      <c r="R5185" s="475"/>
      <c r="S5185" s="475"/>
      <c r="T5185" s="475"/>
      <c r="U5185" s="475"/>
      <c r="V5185" s="475"/>
      <c r="W5185" s="475"/>
    </row>
    <row r="5186" spans="2:23" s="97" customFormat="1">
      <c r="B5186" s="96"/>
      <c r="H5186" s="96"/>
      <c r="J5186" s="1"/>
      <c r="K5186" s="1"/>
      <c r="L5186" s="1"/>
      <c r="O5186" s="475"/>
      <c r="P5186" s="475"/>
      <c r="Q5186" s="475"/>
      <c r="R5186" s="475"/>
      <c r="S5186" s="475"/>
      <c r="T5186" s="475"/>
      <c r="U5186" s="475"/>
      <c r="V5186" s="475"/>
      <c r="W5186" s="475"/>
    </row>
    <row r="5187" spans="2:23" s="97" customFormat="1">
      <c r="B5187" s="96"/>
      <c r="H5187" s="96"/>
      <c r="J5187" s="1"/>
      <c r="K5187" s="1"/>
      <c r="L5187" s="1"/>
      <c r="O5187" s="475"/>
      <c r="P5187" s="475"/>
      <c r="Q5187" s="475"/>
      <c r="R5187" s="475"/>
      <c r="S5187" s="475"/>
      <c r="T5187" s="475"/>
      <c r="U5187" s="475"/>
      <c r="V5187" s="475"/>
      <c r="W5187" s="475"/>
    </row>
    <row r="5188" spans="2:23" s="97" customFormat="1">
      <c r="B5188" s="96"/>
      <c r="H5188" s="96"/>
      <c r="J5188" s="1"/>
      <c r="K5188" s="1"/>
      <c r="L5188" s="1"/>
      <c r="O5188" s="475"/>
      <c r="P5188" s="475"/>
      <c r="Q5188" s="475"/>
      <c r="R5188" s="475"/>
      <c r="S5188" s="475"/>
      <c r="T5188" s="475"/>
      <c r="U5188" s="475"/>
      <c r="V5188" s="475"/>
      <c r="W5188" s="475"/>
    </row>
    <row r="5189" spans="2:23" s="97" customFormat="1">
      <c r="B5189" s="96"/>
      <c r="H5189" s="96"/>
      <c r="J5189" s="1"/>
      <c r="K5189" s="1"/>
      <c r="L5189" s="1"/>
      <c r="O5189" s="475"/>
      <c r="P5189" s="475"/>
      <c r="Q5189" s="475"/>
      <c r="R5189" s="475"/>
      <c r="S5189" s="475"/>
      <c r="T5189" s="475"/>
      <c r="U5189" s="475"/>
      <c r="V5189" s="475"/>
      <c r="W5189" s="475"/>
    </row>
    <row r="5190" spans="2:23" s="97" customFormat="1">
      <c r="B5190" s="96"/>
      <c r="H5190" s="96"/>
      <c r="J5190" s="1"/>
      <c r="K5190" s="1"/>
      <c r="L5190" s="1"/>
      <c r="O5190" s="475"/>
      <c r="P5190" s="475"/>
      <c r="Q5190" s="475"/>
      <c r="R5190" s="475"/>
      <c r="S5190" s="475"/>
      <c r="T5190" s="475"/>
      <c r="U5190" s="475"/>
      <c r="V5190" s="475"/>
      <c r="W5190" s="475"/>
    </row>
    <row r="5191" spans="2:23" s="97" customFormat="1">
      <c r="B5191" s="96"/>
      <c r="H5191" s="96"/>
      <c r="J5191" s="1"/>
      <c r="K5191" s="1"/>
      <c r="L5191" s="1"/>
      <c r="O5191" s="475"/>
      <c r="P5191" s="475"/>
      <c r="Q5191" s="475"/>
      <c r="R5191" s="475"/>
      <c r="S5191" s="475"/>
      <c r="T5191" s="475"/>
      <c r="U5191" s="475"/>
      <c r="V5191" s="475"/>
      <c r="W5191" s="475"/>
    </row>
    <row r="5192" spans="2:23" s="97" customFormat="1">
      <c r="B5192" s="96"/>
      <c r="H5192" s="96"/>
      <c r="J5192" s="1"/>
      <c r="K5192" s="1"/>
      <c r="L5192" s="1"/>
      <c r="O5192" s="475"/>
      <c r="P5192" s="475"/>
      <c r="Q5192" s="475"/>
      <c r="R5192" s="475"/>
      <c r="S5192" s="475"/>
      <c r="T5192" s="475"/>
      <c r="U5192" s="475"/>
      <c r="V5192" s="475"/>
      <c r="W5192" s="475"/>
    </row>
    <row r="5193" spans="2:23" s="97" customFormat="1">
      <c r="B5193" s="96"/>
      <c r="H5193" s="96"/>
      <c r="J5193" s="1"/>
      <c r="K5193" s="1"/>
      <c r="L5193" s="1"/>
      <c r="O5193" s="475"/>
      <c r="P5193" s="475"/>
      <c r="Q5193" s="475"/>
      <c r="R5193" s="475"/>
      <c r="S5193" s="475"/>
      <c r="T5193" s="475"/>
      <c r="U5193" s="475"/>
      <c r="V5193" s="475"/>
      <c r="W5193" s="475"/>
    </row>
    <row r="5194" spans="2:23" s="97" customFormat="1">
      <c r="B5194" s="96"/>
      <c r="H5194" s="96"/>
      <c r="J5194" s="1"/>
      <c r="K5194" s="1"/>
      <c r="L5194" s="1"/>
      <c r="O5194" s="475"/>
      <c r="P5194" s="475"/>
      <c r="Q5194" s="475"/>
      <c r="R5194" s="475"/>
      <c r="S5194" s="475"/>
      <c r="T5194" s="475"/>
      <c r="U5194" s="475"/>
      <c r="V5194" s="475"/>
      <c r="W5194" s="475"/>
    </row>
    <row r="5195" spans="2:23" s="97" customFormat="1">
      <c r="B5195" s="96"/>
      <c r="H5195" s="96"/>
      <c r="J5195" s="1"/>
      <c r="K5195" s="1"/>
      <c r="L5195" s="1"/>
      <c r="O5195" s="475"/>
      <c r="P5195" s="475"/>
      <c r="Q5195" s="475"/>
      <c r="R5195" s="475"/>
      <c r="S5195" s="475"/>
      <c r="T5195" s="475"/>
      <c r="U5195" s="475"/>
      <c r="V5195" s="475"/>
      <c r="W5195" s="475"/>
    </row>
    <row r="5196" spans="2:23" s="97" customFormat="1">
      <c r="B5196" s="96"/>
      <c r="H5196" s="96"/>
      <c r="J5196" s="1"/>
      <c r="K5196" s="1"/>
      <c r="L5196" s="1"/>
      <c r="O5196" s="475"/>
      <c r="P5196" s="475"/>
      <c r="Q5196" s="475"/>
      <c r="R5196" s="475"/>
      <c r="S5196" s="475"/>
      <c r="T5196" s="475"/>
      <c r="U5196" s="475"/>
      <c r="V5196" s="475"/>
      <c r="W5196" s="475"/>
    </row>
    <row r="5197" spans="2:23" s="97" customFormat="1">
      <c r="B5197" s="96"/>
      <c r="H5197" s="96"/>
      <c r="J5197" s="1"/>
      <c r="K5197" s="1"/>
      <c r="L5197" s="1"/>
      <c r="O5197" s="475"/>
      <c r="P5197" s="475"/>
      <c r="Q5197" s="475"/>
      <c r="R5197" s="475"/>
      <c r="S5197" s="475"/>
      <c r="T5197" s="475"/>
      <c r="U5197" s="475"/>
      <c r="V5197" s="475"/>
      <c r="W5197" s="475"/>
    </row>
    <row r="5198" spans="2:23" s="97" customFormat="1">
      <c r="B5198" s="96"/>
      <c r="H5198" s="96"/>
      <c r="J5198" s="1"/>
      <c r="K5198" s="1"/>
      <c r="L5198" s="1"/>
      <c r="O5198" s="475"/>
      <c r="P5198" s="475"/>
      <c r="Q5198" s="475"/>
      <c r="R5198" s="475"/>
      <c r="S5198" s="475"/>
      <c r="T5198" s="475"/>
      <c r="U5198" s="475"/>
      <c r="V5198" s="475"/>
      <c r="W5198" s="475"/>
    </row>
    <row r="5199" spans="2:23" s="97" customFormat="1">
      <c r="B5199" s="96"/>
      <c r="H5199" s="96"/>
      <c r="J5199" s="1"/>
      <c r="K5199" s="1"/>
      <c r="L5199" s="1"/>
      <c r="O5199" s="475"/>
      <c r="P5199" s="475"/>
      <c r="Q5199" s="475"/>
      <c r="R5199" s="475"/>
      <c r="S5199" s="475"/>
      <c r="T5199" s="475"/>
      <c r="U5199" s="475"/>
      <c r="V5199" s="475"/>
      <c r="W5199" s="475"/>
    </row>
    <row r="5200" spans="2:23" s="97" customFormat="1">
      <c r="B5200" s="96"/>
      <c r="H5200" s="96"/>
      <c r="J5200" s="1"/>
      <c r="K5200" s="1"/>
      <c r="L5200" s="1"/>
      <c r="O5200" s="475"/>
      <c r="P5200" s="475"/>
      <c r="Q5200" s="475"/>
      <c r="R5200" s="475"/>
      <c r="S5200" s="475"/>
      <c r="T5200" s="475"/>
      <c r="U5200" s="475"/>
      <c r="V5200" s="475"/>
      <c r="W5200" s="475"/>
    </row>
    <row r="5201" spans="2:23" s="97" customFormat="1">
      <c r="B5201" s="96"/>
      <c r="H5201" s="96"/>
      <c r="J5201" s="1"/>
      <c r="K5201" s="1"/>
      <c r="L5201" s="1"/>
      <c r="O5201" s="475"/>
      <c r="P5201" s="475"/>
      <c r="Q5201" s="475"/>
      <c r="R5201" s="475"/>
      <c r="S5201" s="475"/>
      <c r="T5201" s="475"/>
      <c r="U5201" s="475"/>
      <c r="V5201" s="475"/>
      <c r="W5201" s="475"/>
    </row>
    <row r="5202" spans="2:23" s="97" customFormat="1">
      <c r="B5202" s="96"/>
      <c r="H5202" s="96"/>
      <c r="J5202" s="1"/>
      <c r="K5202" s="1"/>
      <c r="L5202" s="1"/>
      <c r="O5202" s="475"/>
      <c r="P5202" s="475"/>
      <c r="Q5202" s="475"/>
      <c r="R5202" s="475"/>
      <c r="S5202" s="475"/>
      <c r="T5202" s="475"/>
      <c r="U5202" s="475"/>
      <c r="V5202" s="475"/>
      <c r="W5202" s="475"/>
    </row>
    <row r="5203" spans="2:23" s="97" customFormat="1">
      <c r="B5203" s="96"/>
      <c r="H5203" s="96"/>
      <c r="J5203" s="1"/>
      <c r="K5203" s="1"/>
      <c r="L5203" s="1"/>
      <c r="O5203" s="475"/>
      <c r="P5203" s="475"/>
      <c r="Q5203" s="475"/>
      <c r="R5203" s="475"/>
      <c r="S5203" s="475"/>
      <c r="T5203" s="475"/>
      <c r="U5203" s="475"/>
      <c r="V5203" s="475"/>
      <c r="W5203" s="475"/>
    </row>
    <row r="5204" spans="2:23" s="97" customFormat="1">
      <c r="B5204" s="96"/>
      <c r="H5204" s="96"/>
      <c r="J5204" s="1"/>
      <c r="K5204" s="1"/>
      <c r="L5204" s="1"/>
      <c r="O5204" s="475"/>
      <c r="P5204" s="475"/>
      <c r="Q5204" s="475"/>
      <c r="R5204" s="475"/>
      <c r="S5204" s="475"/>
      <c r="T5204" s="475"/>
      <c r="U5204" s="475"/>
      <c r="V5204" s="475"/>
      <c r="W5204" s="475"/>
    </row>
    <row r="5205" spans="2:23" s="97" customFormat="1">
      <c r="B5205" s="96"/>
      <c r="H5205" s="96"/>
      <c r="J5205" s="1"/>
      <c r="K5205" s="1"/>
      <c r="L5205" s="1"/>
      <c r="O5205" s="475"/>
      <c r="P5205" s="475"/>
      <c r="Q5205" s="475"/>
      <c r="R5205" s="475"/>
      <c r="S5205" s="475"/>
      <c r="T5205" s="475"/>
      <c r="U5205" s="475"/>
      <c r="V5205" s="475"/>
      <c r="W5205" s="475"/>
    </row>
    <row r="5206" spans="2:23" s="97" customFormat="1">
      <c r="B5206" s="96"/>
      <c r="H5206" s="96"/>
      <c r="J5206" s="1"/>
      <c r="K5206" s="1"/>
      <c r="L5206" s="1"/>
      <c r="O5206" s="475"/>
      <c r="P5206" s="475"/>
      <c r="Q5206" s="475"/>
      <c r="R5206" s="475"/>
      <c r="S5206" s="475"/>
      <c r="T5206" s="475"/>
      <c r="U5206" s="475"/>
      <c r="V5206" s="475"/>
      <c r="W5206" s="475"/>
    </row>
    <row r="5207" spans="2:23" s="97" customFormat="1">
      <c r="B5207" s="96"/>
      <c r="H5207" s="96"/>
      <c r="J5207" s="1"/>
      <c r="K5207" s="1"/>
      <c r="L5207" s="1"/>
      <c r="O5207" s="475"/>
      <c r="P5207" s="475"/>
      <c r="Q5207" s="475"/>
      <c r="R5207" s="475"/>
      <c r="S5207" s="475"/>
      <c r="T5207" s="475"/>
      <c r="U5207" s="475"/>
      <c r="V5207" s="475"/>
      <c r="W5207" s="475"/>
    </row>
    <row r="5208" spans="2:23" s="97" customFormat="1">
      <c r="B5208" s="96"/>
      <c r="H5208" s="96"/>
      <c r="J5208" s="1"/>
      <c r="K5208" s="1"/>
      <c r="L5208" s="1"/>
      <c r="O5208" s="475"/>
      <c r="P5208" s="475"/>
      <c r="Q5208" s="475"/>
      <c r="R5208" s="475"/>
      <c r="S5208" s="475"/>
      <c r="T5208" s="475"/>
      <c r="U5208" s="475"/>
      <c r="V5208" s="475"/>
      <c r="W5208" s="475"/>
    </row>
    <row r="5209" spans="2:23" s="97" customFormat="1">
      <c r="B5209" s="96"/>
      <c r="H5209" s="96"/>
      <c r="J5209" s="1"/>
      <c r="K5209" s="1"/>
      <c r="L5209" s="1"/>
      <c r="O5209" s="475"/>
      <c r="P5209" s="475"/>
      <c r="Q5209" s="475"/>
      <c r="R5209" s="475"/>
      <c r="S5209" s="475"/>
      <c r="T5209" s="475"/>
      <c r="U5209" s="475"/>
      <c r="V5209" s="475"/>
      <c r="W5209" s="475"/>
    </row>
    <row r="5210" spans="2:23" s="97" customFormat="1">
      <c r="B5210" s="96"/>
      <c r="H5210" s="96"/>
      <c r="J5210" s="1"/>
      <c r="K5210" s="1"/>
      <c r="L5210" s="1"/>
      <c r="O5210" s="475"/>
      <c r="P5210" s="475"/>
      <c r="Q5210" s="475"/>
      <c r="R5210" s="475"/>
      <c r="S5210" s="475"/>
      <c r="T5210" s="475"/>
      <c r="U5210" s="475"/>
      <c r="V5210" s="475"/>
      <c r="W5210" s="475"/>
    </row>
    <row r="5211" spans="2:23" s="97" customFormat="1">
      <c r="B5211" s="96"/>
      <c r="H5211" s="96"/>
      <c r="J5211" s="1"/>
      <c r="K5211" s="1"/>
      <c r="L5211" s="1"/>
      <c r="O5211" s="475"/>
      <c r="P5211" s="475"/>
      <c r="Q5211" s="475"/>
      <c r="R5211" s="475"/>
      <c r="S5211" s="475"/>
      <c r="T5211" s="475"/>
      <c r="U5211" s="475"/>
      <c r="V5211" s="475"/>
      <c r="W5211" s="475"/>
    </row>
    <row r="5212" spans="2:23" s="97" customFormat="1">
      <c r="B5212" s="96"/>
      <c r="H5212" s="96"/>
      <c r="J5212" s="1"/>
      <c r="K5212" s="1"/>
      <c r="L5212" s="1"/>
      <c r="O5212" s="475"/>
      <c r="P5212" s="475"/>
      <c r="Q5212" s="475"/>
      <c r="R5212" s="475"/>
      <c r="S5212" s="475"/>
      <c r="T5212" s="475"/>
      <c r="U5212" s="475"/>
      <c r="V5212" s="475"/>
      <c r="W5212" s="475"/>
    </row>
    <row r="5213" spans="2:23" s="97" customFormat="1">
      <c r="B5213" s="96"/>
      <c r="H5213" s="96"/>
      <c r="J5213" s="1"/>
      <c r="K5213" s="1"/>
      <c r="L5213" s="1"/>
      <c r="O5213" s="475"/>
      <c r="P5213" s="475"/>
      <c r="Q5213" s="475"/>
      <c r="R5213" s="475"/>
      <c r="S5213" s="475"/>
      <c r="T5213" s="475"/>
      <c r="U5213" s="475"/>
      <c r="V5213" s="475"/>
      <c r="W5213" s="475"/>
    </row>
    <row r="5214" spans="2:23" s="97" customFormat="1">
      <c r="B5214" s="96"/>
      <c r="H5214" s="96"/>
      <c r="J5214" s="1"/>
      <c r="K5214" s="1"/>
      <c r="L5214" s="1"/>
      <c r="O5214" s="475"/>
      <c r="P5214" s="475"/>
      <c r="Q5214" s="475"/>
      <c r="R5214" s="475"/>
      <c r="S5214" s="475"/>
      <c r="T5214" s="475"/>
      <c r="U5214" s="475"/>
      <c r="V5214" s="475"/>
      <c r="W5214" s="475"/>
    </row>
    <row r="5215" spans="2:23" s="97" customFormat="1">
      <c r="B5215" s="96"/>
      <c r="H5215" s="96"/>
      <c r="J5215" s="1"/>
      <c r="K5215" s="1"/>
      <c r="L5215" s="1"/>
      <c r="O5215" s="475"/>
      <c r="P5215" s="475"/>
      <c r="Q5215" s="475"/>
      <c r="R5215" s="475"/>
      <c r="S5215" s="475"/>
      <c r="T5215" s="475"/>
      <c r="U5215" s="475"/>
      <c r="V5215" s="475"/>
      <c r="W5215" s="475"/>
    </row>
    <row r="5216" spans="2:23" s="97" customFormat="1">
      <c r="B5216" s="96"/>
      <c r="H5216" s="96"/>
      <c r="J5216" s="1"/>
      <c r="K5216" s="1"/>
      <c r="L5216" s="1"/>
      <c r="O5216" s="475"/>
      <c r="P5216" s="475"/>
      <c r="Q5216" s="475"/>
      <c r="R5216" s="475"/>
      <c r="S5216" s="475"/>
      <c r="T5216" s="475"/>
      <c r="U5216" s="475"/>
      <c r="V5216" s="475"/>
      <c r="W5216" s="475"/>
    </row>
    <row r="5217" spans="2:23" s="97" customFormat="1">
      <c r="B5217" s="96"/>
      <c r="H5217" s="96"/>
      <c r="J5217" s="1"/>
      <c r="K5217" s="1"/>
      <c r="L5217" s="1"/>
      <c r="O5217" s="475"/>
      <c r="P5217" s="475"/>
      <c r="Q5217" s="475"/>
      <c r="R5217" s="475"/>
      <c r="S5217" s="475"/>
      <c r="T5217" s="475"/>
      <c r="U5217" s="475"/>
      <c r="V5217" s="475"/>
      <c r="W5217" s="475"/>
    </row>
    <row r="5218" spans="2:23" s="97" customFormat="1">
      <c r="B5218" s="96"/>
      <c r="H5218" s="96"/>
      <c r="J5218" s="1"/>
      <c r="K5218" s="1"/>
      <c r="L5218" s="1"/>
      <c r="O5218" s="475"/>
      <c r="P5218" s="475"/>
      <c r="Q5218" s="475"/>
      <c r="R5218" s="475"/>
      <c r="S5218" s="475"/>
      <c r="T5218" s="475"/>
      <c r="U5218" s="475"/>
      <c r="V5218" s="475"/>
      <c r="W5218" s="475"/>
    </row>
    <row r="5219" spans="2:23" s="97" customFormat="1">
      <c r="B5219" s="96"/>
      <c r="H5219" s="96"/>
      <c r="J5219" s="1"/>
      <c r="K5219" s="1"/>
      <c r="L5219" s="1"/>
      <c r="O5219" s="475"/>
      <c r="P5219" s="475"/>
      <c r="Q5219" s="475"/>
      <c r="R5219" s="475"/>
      <c r="S5219" s="475"/>
      <c r="T5219" s="475"/>
      <c r="U5219" s="475"/>
      <c r="V5219" s="475"/>
      <c r="W5219" s="475"/>
    </row>
    <row r="5220" spans="2:23" s="97" customFormat="1">
      <c r="B5220" s="96"/>
      <c r="H5220" s="96"/>
      <c r="J5220" s="1"/>
      <c r="K5220" s="1"/>
      <c r="L5220" s="1"/>
      <c r="O5220" s="475"/>
      <c r="P5220" s="475"/>
      <c r="Q5220" s="475"/>
      <c r="R5220" s="475"/>
      <c r="S5220" s="475"/>
      <c r="T5220" s="475"/>
      <c r="U5220" s="475"/>
      <c r="V5220" s="475"/>
      <c r="W5220" s="475"/>
    </row>
    <row r="5221" spans="2:23" s="97" customFormat="1">
      <c r="B5221" s="96"/>
      <c r="H5221" s="96"/>
      <c r="J5221" s="1"/>
      <c r="K5221" s="1"/>
      <c r="L5221" s="1"/>
      <c r="O5221" s="475"/>
      <c r="P5221" s="475"/>
      <c r="Q5221" s="475"/>
      <c r="R5221" s="475"/>
      <c r="S5221" s="475"/>
      <c r="T5221" s="475"/>
      <c r="U5221" s="475"/>
      <c r="V5221" s="475"/>
      <c r="W5221" s="475"/>
    </row>
    <row r="5222" spans="2:23" s="97" customFormat="1">
      <c r="B5222" s="96"/>
      <c r="H5222" s="96"/>
      <c r="J5222" s="1"/>
      <c r="K5222" s="1"/>
      <c r="L5222" s="1"/>
      <c r="O5222" s="475"/>
      <c r="P5222" s="475"/>
      <c r="Q5222" s="475"/>
      <c r="R5222" s="475"/>
      <c r="S5222" s="475"/>
      <c r="T5222" s="475"/>
      <c r="U5222" s="475"/>
      <c r="V5222" s="475"/>
      <c r="W5222" s="475"/>
    </row>
    <row r="5223" spans="2:23" s="97" customFormat="1">
      <c r="B5223" s="96"/>
      <c r="H5223" s="96"/>
      <c r="J5223" s="1"/>
      <c r="K5223" s="1"/>
      <c r="L5223" s="1"/>
      <c r="O5223" s="475"/>
      <c r="P5223" s="475"/>
      <c r="Q5223" s="475"/>
      <c r="R5223" s="475"/>
      <c r="S5223" s="475"/>
      <c r="T5223" s="475"/>
      <c r="U5223" s="475"/>
      <c r="V5223" s="475"/>
      <c r="W5223" s="475"/>
    </row>
    <row r="5224" spans="2:23" s="97" customFormat="1">
      <c r="B5224" s="96"/>
      <c r="H5224" s="96"/>
      <c r="J5224" s="1"/>
      <c r="K5224" s="1"/>
      <c r="L5224" s="1"/>
      <c r="O5224" s="475"/>
      <c r="P5224" s="475"/>
      <c r="Q5224" s="475"/>
      <c r="R5224" s="475"/>
      <c r="S5224" s="475"/>
      <c r="T5224" s="475"/>
      <c r="U5224" s="475"/>
      <c r="V5224" s="475"/>
      <c r="W5224" s="475"/>
    </row>
    <row r="5225" spans="2:23" s="97" customFormat="1">
      <c r="B5225" s="96"/>
      <c r="H5225" s="96"/>
      <c r="J5225" s="1"/>
      <c r="K5225" s="1"/>
      <c r="L5225" s="1"/>
      <c r="O5225" s="475"/>
      <c r="P5225" s="475"/>
      <c r="Q5225" s="475"/>
      <c r="R5225" s="475"/>
      <c r="S5225" s="475"/>
      <c r="T5225" s="475"/>
      <c r="U5225" s="475"/>
      <c r="V5225" s="475"/>
      <c r="W5225" s="475"/>
    </row>
    <row r="5226" spans="2:23" s="97" customFormat="1">
      <c r="B5226" s="96"/>
      <c r="H5226" s="96"/>
      <c r="J5226" s="1"/>
      <c r="K5226" s="1"/>
      <c r="L5226" s="1"/>
      <c r="O5226" s="475"/>
      <c r="P5226" s="475"/>
      <c r="Q5226" s="475"/>
      <c r="R5226" s="475"/>
      <c r="S5226" s="475"/>
      <c r="T5226" s="475"/>
      <c r="U5226" s="475"/>
      <c r="V5226" s="475"/>
      <c r="W5226" s="475"/>
    </row>
    <row r="5227" spans="2:23" s="97" customFormat="1">
      <c r="B5227" s="96"/>
      <c r="H5227" s="96"/>
      <c r="J5227" s="1"/>
      <c r="K5227" s="1"/>
      <c r="L5227" s="1"/>
      <c r="O5227" s="475"/>
      <c r="P5227" s="475"/>
      <c r="Q5227" s="475"/>
      <c r="R5227" s="475"/>
      <c r="S5227" s="475"/>
      <c r="T5227" s="475"/>
      <c r="U5227" s="475"/>
      <c r="V5227" s="475"/>
      <c r="W5227" s="475"/>
    </row>
    <row r="5228" spans="2:23" s="97" customFormat="1">
      <c r="B5228" s="96"/>
      <c r="H5228" s="96"/>
      <c r="J5228" s="1"/>
      <c r="K5228" s="1"/>
      <c r="L5228" s="1"/>
      <c r="O5228" s="475"/>
      <c r="P5228" s="475"/>
      <c r="Q5228" s="475"/>
      <c r="R5228" s="475"/>
      <c r="S5228" s="475"/>
      <c r="T5228" s="475"/>
      <c r="U5228" s="475"/>
      <c r="V5228" s="475"/>
      <c r="W5228" s="475"/>
    </row>
    <row r="5229" spans="2:23" s="97" customFormat="1">
      <c r="B5229" s="96"/>
      <c r="H5229" s="96"/>
      <c r="J5229" s="1"/>
      <c r="K5229" s="1"/>
      <c r="L5229" s="1"/>
      <c r="O5229" s="475"/>
      <c r="P5229" s="475"/>
      <c r="Q5229" s="475"/>
      <c r="R5229" s="475"/>
      <c r="S5229" s="475"/>
      <c r="T5229" s="475"/>
      <c r="U5229" s="475"/>
      <c r="V5229" s="475"/>
      <c r="W5229" s="475"/>
    </row>
    <row r="5230" spans="2:23" s="97" customFormat="1">
      <c r="B5230" s="96"/>
      <c r="H5230" s="96"/>
      <c r="J5230" s="1"/>
      <c r="K5230" s="1"/>
      <c r="L5230" s="1"/>
      <c r="O5230" s="475"/>
      <c r="P5230" s="475"/>
      <c r="Q5230" s="475"/>
      <c r="R5230" s="475"/>
      <c r="S5230" s="475"/>
      <c r="T5230" s="475"/>
      <c r="U5230" s="475"/>
      <c r="V5230" s="475"/>
      <c r="W5230" s="475"/>
    </row>
    <row r="5231" spans="2:23" s="97" customFormat="1">
      <c r="B5231" s="96"/>
      <c r="H5231" s="96"/>
      <c r="J5231" s="1"/>
      <c r="K5231" s="1"/>
      <c r="L5231" s="1"/>
      <c r="O5231" s="475"/>
      <c r="P5231" s="475"/>
      <c r="Q5231" s="475"/>
      <c r="R5231" s="475"/>
      <c r="S5231" s="475"/>
      <c r="T5231" s="475"/>
      <c r="U5231" s="475"/>
      <c r="V5231" s="475"/>
      <c r="W5231" s="475"/>
    </row>
    <row r="5232" spans="2:23" s="97" customFormat="1">
      <c r="B5232" s="96"/>
      <c r="H5232" s="96"/>
      <c r="J5232" s="1"/>
      <c r="K5232" s="1"/>
      <c r="L5232" s="1"/>
      <c r="O5232" s="475"/>
      <c r="P5232" s="475"/>
      <c r="Q5232" s="475"/>
      <c r="R5232" s="475"/>
      <c r="S5232" s="475"/>
      <c r="T5232" s="475"/>
      <c r="U5232" s="475"/>
      <c r="V5232" s="475"/>
      <c r="W5232" s="475"/>
    </row>
    <row r="5233" spans="2:23" s="97" customFormat="1">
      <c r="B5233" s="96"/>
      <c r="H5233" s="96"/>
      <c r="J5233" s="1"/>
      <c r="K5233" s="1"/>
      <c r="L5233" s="1"/>
      <c r="O5233" s="475"/>
      <c r="P5233" s="475"/>
      <c r="Q5233" s="475"/>
      <c r="R5233" s="475"/>
      <c r="S5233" s="475"/>
      <c r="T5233" s="475"/>
      <c r="U5233" s="475"/>
      <c r="V5233" s="475"/>
      <c r="W5233" s="475"/>
    </row>
    <row r="5234" spans="2:23" s="97" customFormat="1">
      <c r="B5234" s="96"/>
      <c r="H5234" s="96"/>
      <c r="J5234" s="1"/>
      <c r="K5234" s="1"/>
      <c r="L5234" s="1"/>
      <c r="O5234" s="475"/>
      <c r="P5234" s="475"/>
      <c r="Q5234" s="475"/>
      <c r="R5234" s="475"/>
      <c r="S5234" s="475"/>
      <c r="T5234" s="475"/>
      <c r="U5234" s="475"/>
      <c r="V5234" s="475"/>
      <c r="W5234" s="475"/>
    </row>
    <row r="5235" spans="2:23" s="97" customFormat="1">
      <c r="B5235" s="96"/>
      <c r="H5235" s="96"/>
      <c r="J5235" s="1"/>
      <c r="K5235" s="1"/>
      <c r="L5235" s="1"/>
      <c r="O5235" s="475"/>
      <c r="P5235" s="475"/>
      <c r="Q5235" s="475"/>
      <c r="R5235" s="475"/>
      <c r="S5235" s="475"/>
      <c r="T5235" s="475"/>
      <c r="U5235" s="475"/>
      <c r="V5235" s="475"/>
      <c r="W5235" s="475"/>
    </row>
    <row r="5236" spans="2:23" s="97" customFormat="1">
      <c r="B5236" s="96"/>
      <c r="H5236" s="96"/>
      <c r="J5236" s="1"/>
      <c r="K5236" s="1"/>
      <c r="L5236" s="1"/>
      <c r="O5236" s="475"/>
      <c r="P5236" s="475"/>
      <c r="Q5236" s="475"/>
      <c r="R5236" s="475"/>
      <c r="S5236" s="475"/>
      <c r="T5236" s="475"/>
      <c r="U5236" s="475"/>
      <c r="V5236" s="475"/>
      <c r="W5236" s="475"/>
    </row>
    <row r="5237" spans="2:23" s="97" customFormat="1">
      <c r="B5237" s="96"/>
      <c r="H5237" s="96"/>
      <c r="J5237" s="1"/>
      <c r="K5237" s="1"/>
      <c r="L5237" s="1"/>
      <c r="O5237" s="475"/>
      <c r="P5237" s="475"/>
      <c r="Q5237" s="475"/>
      <c r="R5237" s="475"/>
      <c r="S5237" s="475"/>
      <c r="T5237" s="475"/>
      <c r="U5237" s="475"/>
      <c r="V5237" s="475"/>
      <c r="W5237" s="475"/>
    </row>
    <row r="5238" spans="2:23" s="97" customFormat="1">
      <c r="B5238" s="96"/>
      <c r="H5238" s="96"/>
      <c r="J5238" s="1"/>
      <c r="K5238" s="1"/>
      <c r="L5238" s="1"/>
      <c r="O5238" s="475"/>
      <c r="P5238" s="475"/>
      <c r="Q5238" s="475"/>
      <c r="R5238" s="475"/>
      <c r="S5238" s="475"/>
      <c r="T5238" s="475"/>
      <c r="U5238" s="475"/>
      <c r="V5238" s="475"/>
      <c r="W5238" s="475"/>
    </row>
    <row r="5239" spans="2:23" s="97" customFormat="1">
      <c r="B5239" s="96"/>
      <c r="H5239" s="96"/>
      <c r="J5239" s="1"/>
      <c r="K5239" s="1"/>
      <c r="L5239" s="1"/>
      <c r="O5239" s="475"/>
      <c r="P5239" s="475"/>
      <c r="Q5239" s="475"/>
      <c r="R5239" s="475"/>
      <c r="S5239" s="475"/>
      <c r="T5239" s="475"/>
      <c r="U5239" s="475"/>
      <c r="V5239" s="475"/>
      <c r="W5239" s="475"/>
    </row>
    <row r="5240" spans="2:23" s="97" customFormat="1">
      <c r="B5240" s="96"/>
      <c r="H5240" s="96"/>
      <c r="J5240" s="1"/>
      <c r="K5240" s="1"/>
      <c r="L5240" s="1"/>
      <c r="O5240" s="475"/>
      <c r="P5240" s="475"/>
      <c r="Q5240" s="475"/>
      <c r="R5240" s="475"/>
      <c r="S5240" s="475"/>
      <c r="T5240" s="475"/>
      <c r="U5240" s="475"/>
      <c r="V5240" s="475"/>
      <c r="W5240" s="475"/>
    </row>
    <row r="5241" spans="2:23" s="97" customFormat="1">
      <c r="B5241" s="96"/>
      <c r="H5241" s="96"/>
      <c r="J5241" s="1"/>
      <c r="K5241" s="1"/>
      <c r="L5241" s="1"/>
      <c r="O5241" s="475"/>
      <c r="P5241" s="475"/>
      <c r="Q5241" s="475"/>
      <c r="R5241" s="475"/>
      <c r="S5241" s="475"/>
      <c r="T5241" s="475"/>
      <c r="U5241" s="475"/>
      <c r="V5241" s="475"/>
      <c r="W5241" s="475"/>
    </row>
    <row r="5242" spans="2:23" s="97" customFormat="1">
      <c r="B5242" s="96"/>
      <c r="H5242" s="96"/>
      <c r="J5242" s="1"/>
      <c r="K5242" s="1"/>
      <c r="L5242" s="1"/>
      <c r="O5242" s="475"/>
      <c r="P5242" s="475"/>
      <c r="Q5242" s="475"/>
      <c r="R5242" s="475"/>
      <c r="S5242" s="475"/>
      <c r="T5242" s="475"/>
      <c r="U5242" s="475"/>
      <c r="V5242" s="475"/>
      <c r="W5242" s="475"/>
    </row>
    <row r="5243" spans="2:23" s="97" customFormat="1">
      <c r="B5243" s="96"/>
      <c r="H5243" s="96"/>
      <c r="J5243" s="1"/>
      <c r="K5243" s="1"/>
      <c r="L5243" s="1"/>
      <c r="O5243" s="475"/>
      <c r="P5243" s="475"/>
      <c r="Q5243" s="475"/>
      <c r="R5243" s="475"/>
      <c r="S5243" s="475"/>
      <c r="T5243" s="475"/>
      <c r="U5243" s="475"/>
      <c r="V5243" s="475"/>
      <c r="W5243" s="475"/>
    </row>
    <row r="5244" spans="2:23" s="97" customFormat="1">
      <c r="B5244" s="96"/>
      <c r="H5244" s="96"/>
      <c r="J5244" s="1"/>
      <c r="K5244" s="1"/>
      <c r="L5244" s="1"/>
      <c r="O5244" s="475"/>
      <c r="P5244" s="475"/>
      <c r="Q5244" s="475"/>
      <c r="R5244" s="475"/>
      <c r="S5244" s="475"/>
      <c r="T5244" s="475"/>
      <c r="U5244" s="475"/>
      <c r="V5244" s="475"/>
      <c r="W5244" s="475"/>
    </row>
    <row r="5245" spans="2:23" s="97" customFormat="1">
      <c r="B5245" s="96"/>
      <c r="H5245" s="96"/>
      <c r="J5245" s="1"/>
      <c r="K5245" s="1"/>
      <c r="L5245" s="1"/>
      <c r="O5245" s="475"/>
      <c r="P5245" s="475"/>
      <c r="Q5245" s="475"/>
      <c r="R5245" s="475"/>
      <c r="S5245" s="475"/>
      <c r="T5245" s="475"/>
      <c r="U5245" s="475"/>
      <c r="V5245" s="475"/>
      <c r="W5245" s="475"/>
    </row>
    <row r="5246" spans="2:23" s="97" customFormat="1">
      <c r="B5246" s="96"/>
      <c r="H5246" s="96"/>
      <c r="J5246" s="1"/>
      <c r="K5246" s="1"/>
      <c r="L5246" s="1"/>
      <c r="O5246" s="475"/>
      <c r="P5246" s="475"/>
      <c r="Q5246" s="475"/>
      <c r="R5246" s="475"/>
      <c r="S5246" s="475"/>
      <c r="T5246" s="475"/>
      <c r="U5246" s="475"/>
      <c r="V5246" s="475"/>
      <c r="W5246" s="475"/>
    </row>
    <row r="5247" spans="2:23" s="97" customFormat="1">
      <c r="B5247" s="96"/>
      <c r="H5247" s="96"/>
      <c r="J5247" s="1"/>
      <c r="K5247" s="1"/>
      <c r="L5247" s="1"/>
      <c r="O5247" s="475"/>
      <c r="P5247" s="475"/>
      <c r="Q5247" s="475"/>
      <c r="R5247" s="475"/>
      <c r="S5247" s="475"/>
      <c r="T5247" s="475"/>
      <c r="U5247" s="475"/>
      <c r="V5247" s="475"/>
      <c r="W5247" s="475"/>
    </row>
    <row r="5248" spans="2:23" s="97" customFormat="1">
      <c r="B5248" s="96"/>
      <c r="H5248" s="96"/>
      <c r="J5248" s="1"/>
      <c r="K5248" s="1"/>
      <c r="L5248" s="1"/>
      <c r="O5248" s="475"/>
      <c r="P5248" s="475"/>
      <c r="Q5248" s="475"/>
      <c r="R5248" s="475"/>
      <c r="S5248" s="475"/>
      <c r="T5248" s="475"/>
      <c r="U5248" s="475"/>
      <c r="V5248" s="475"/>
      <c r="W5248" s="475"/>
    </row>
    <row r="5249" spans="2:23" s="97" customFormat="1">
      <c r="B5249" s="96"/>
      <c r="H5249" s="96"/>
      <c r="J5249" s="1"/>
      <c r="K5249" s="1"/>
      <c r="L5249" s="1"/>
      <c r="O5249" s="475"/>
      <c r="P5249" s="475"/>
      <c r="Q5249" s="475"/>
      <c r="R5249" s="475"/>
      <c r="S5249" s="475"/>
      <c r="T5249" s="475"/>
      <c r="U5249" s="475"/>
      <c r="V5249" s="475"/>
      <c r="W5249" s="475"/>
    </row>
    <row r="5250" spans="2:23" s="97" customFormat="1">
      <c r="B5250" s="96"/>
      <c r="H5250" s="96"/>
      <c r="J5250" s="1"/>
      <c r="K5250" s="1"/>
      <c r="L5250" s="1"/>
      <c r="O5250" s="475"/>
      <c r="P5250" s="475"/>
      <c r="Q5250" s="475"/>
      <c r="R5250" s="475"/>
      <c r="S5250" s="475"/>
      <c r="T5250" s="475"/>
      <c r="U5250" s="475"/>
      <c r="V5250" s="475"/>
      <c r="W5250" s="475"/>
    </row>
    <row r="5251" spans="2:23" s="97" customFormat="1">
      <c r="B5251" s="96"/>
      <c r="H5251" s="96"/>
      <c r="J5251" s="1"/>
      <c r="K5251" s="1"/>
      <c r="L5251" s="1"/>
      <c r="O5251" s="475"/>
      <c r="P5251" s="475"/>
      <c r="Q5251" s="475"/>
      <c r="R5251" s="475"/>
      <c r="S5251" s="475"/>
      <c r="T5251" s="475"/>
      <c r="U5251" s="475"/>
      <c r="V5251" s="475"/>
      <c r="W5251" s="475"/>
    </row>
    <row r="5252" spans="2:23" s="97" customFormat="1">
      <c r="B5252" s="96"/>
      <c r="H5252" s="96"/>
      <c r="J5252" s="1"/>
      <c r="K5252" s="1"/>
      <c r="L5252" s="1"/>
      <c r="O5252" s="475"/>
      <c r="P5252" s="475"/>
      <c r="Q5252" s="475"/>
      <c r="R5252" s="475"/>
      <c r="S5252" s="475"/>
      <c r="T5252" s="475"/>
      <c r="U5252" s="475"/>
      <c r="V5252" s="475"/>
      <c r="W5252" s="475"/>
    </row>
    <row r="5253" spans="2:23" s="97" customFormat="1">
      <c r="B5253" s="96"/>
      <c r="H5253" s="96"/>
      <c r="J5253" s="1"/>
      <c r="K5253" s="1"/>
      <c r="L5253" s="1"/>
      <c r="O5253" s="475"/>
      <c r="P5253" s="475"/>
      <c r="Q5253" s="475"/>
      <c r="R5253" s="475"/>
      <c r="S5253" s="475"/>
      <c r="T5253" s="475"/>
      <c r="U5253" s="475"/>
      <c r="V5253" s="475"/>
      <c r="W5253" s="475"/>
    </row>
    <row r="5254" spans="2:23" s="97" customFormat="1">
      <c r="B5254" s="96"/>
      <c r="H5254" s="96"/>
      <c r="J5254" s="1"/>
      <c r="K5254" s="1"/>
      <c r="L5254" s="1"/>
      <c r="O5254" s="475"/>
      <c r="P5254" s="475"/>
      <c r="Q5254" s="475"/>
      <c r="R5254" s="475"/>
      <c r="S5254" s="475"/>
      <c r="T5254" s="475"/>
      <c r="U5254" s="475"/>
      <c r="V5254" s="475"/>
      <c r="W5254" s="475"/>
    </row>
    <row r="5255" spans="2:23" s="97" customFormat="1">
      <c r="B5255" s="96"/>
      <c r="H5255" s="96"/>
      <c r="J5255" s="1"/>
      <c r="K5255" s="1"/>
      <c r="L5255" s="1"/>
      <c r="O5255" s="475"/>
      <c r="P5255" s="475"/>
      <c r="Q5255" s="475"/>
      <c r="R5255" s="475"/>
      <c r="S5255" s="475"/>
      <c r="T5255" s="475"/>
      <c r="U5255" s="475"/>
      <c r="V5255" s="475"/>
      <c r="W5255" s="475"/>
    </row>
    <row r="5256" spans="2:23" s="97" customFormat="1">
      <c r="B5256" s="96"/>
      <c r="H5256" s="96"/>
      <c r="J5256" s="1"/>
      <c r="K5256" s="1"/>
      <c r="L5256" s="1"/>
      <c r="O5256" s="475"/>
      <c r="P5256" s="475"/>
      <c r="Q5256" s="475"/>
      <c r="R5256" s="475"/>
      <c r="S5256" s="475"/>
      <c r="T5256" s="475"/>
      <c r="U5256" s="475"/>
      <c r="V5256" s="475"/>
      <c r="W5256" s="475"/>
    </row>
    <row r="5257" spans="2:23" s="97" customFormat="1">
      <c r="B5257" s="96"/>
      <c r="H5257" s="96"/>
      <c r="J5257" s="1"/>
      <c r="K5257" s="1"/>
      <c r="L5257" s="1"/>
      <c r="O5257" s="475"/>
      <c r="P5257" s="475"/>
      <c r="Q5257" s="475"/>
      <c r="R5257" s="475"/>
      <c r="S5257" s="475"/>
      <c r="T5257" s="475"/>
      <c r="U5257" s="475"/>
      <c r="V5257" s="475"/>
      <c r="W5257" s="475"/>
    </row>
    <row r="5258" spans="2:23" s="97" customFormat="1">
      <c r="B5258" s="96"/>
      <c r="H5258" s="96"/>
      <c r="J5258" s="1"/>
      <c r="K5258" s="1"/>
      <c r="L5258" s="1"/>
      <c r="O5258" s="475"/>
      <c r="P5258" s="475"/>
      <c r="Q5258" s="475"/>
      <c r="R5258" s="475"/>
      <c r="S5258" s="475"/>
      <c r="T5258" s="475"/>
      <c r="U5258" s="475"/>
      <c r="V5258" s="475"/>
      <c r="W5258" s="475"/>
    </row>
    <row r="5259" spans="2:23" s="97" customFormat="1">
      <c r="B5259" s="96"/>
      <c r="H5259" s="96"/>
      <c r="J5259" s="1"/>
      <c r="K5259" s="1"/>
      <c r="L5259" s="1"/>
      <c r="O5259" s="475"/>
      <c r="P5259" s="475"/>
      <c r="Q5259" s="475"/>
      <c r="R5259" s="475"/>
      <c r="S5259" s="475"/>
      <c r="T5259" s="475"/>
      <c r="U5259" s="475"/>
      <c r="V5259" s="475"/>
      <c r="W5259" s="475"/>
    </row>
    <row r="5260" spans="2:23" s="97" customFormat="1">
      <c r="B5260" s="96"/>
      <c r="H5260" s="96"/>
      <c r="J5260" s="1"/>
      <c r="K5260" s="1"/>
      <c r="L5260" s="1"/>
      <c r="O5260" s="475"/>
      <c r="P5260" s="475"/>
      <c r="Q5260" s="475"/>
      <c r="R5260" s="475"/>
      <c r="S5260" s="475"/>
      <c r="T5260" s="475"/>
      <c r="U5260" s="475"/>
      <c r="V5260" s="475"/>
      <c r="W5260" s="475"/>
    </row>
    <row r="5261" spans="2:23" s="97" customFormat="1">
      <c r="B5261" s="96"/>
      <c r="H5261" s="96"/>
      <c r="J5261" s="1"/>
      <c r="K5261" s="1"/>
      <c r="L5261" s="1"/>
      <c r="O5261" s="475"/>
      <c r="P5261" s="475"/>
      <c r="Q5261" s="475"/>
      <c r="R5261" s="475"/>
      <c r="S5261" s="475"/>
      <c r="T5261" s="475"/>
      <c r="U5261" s="475"/>
      <c r="V5261" s="475"/>
      <c r="W5261" s="475"/>
    </row>
    <row r="5262" spans="2:23" s="97" customFormat="1">
      <c r="B5262" s="96"/>
      <c r="H5262" s="96"/>
      <c r="J5262" s="1"/>
      <c r="K5262" s="1"/>
      <c r="L5262" s="1"/>
      <c r="O5262" s="475"/>
      <c r="P5262" s="475"/>
      <c r="Q5262" s="475"/>
      <c r="R5262" s="475"/>
      <c r="S5262" s="475"/>
      <c r="T5262" s="475"/>
      <c r="U5262" s="475"/>
      <c r="V5262" s="475"/>
      <c r="W5262" s="475"/>
    </row>
    <row r="5263" spans="2:23" s="97" customFormat="1">
      <c r="B5263" s="96"/>
      <c r="H5263" s="96"/>
      <c r="J5263" s="1"/>
      <c r="K5263" s="1"/>
      <c r="L5263" s="1"/>
      <c r="O5263" s="475"/>
      <c r="P5263" s="475"/>
      <c r="Q5263" s="475"/>
      <c r="R5263" s="475"/>
      <c r="S5263" s="475"/>
      <c r="T5263" s="475"/>
      <c r="U5263" s="475"/>
      <c r="V5263" s="475"/>
      <c r="W5263" s="475"/>
    </row>
    <row r="5264" spans="2:23" s="97" customFormat="1">
      <c r="B5264" s="96"/>
      <c r="H5264" s="96"/>
      <c r="J5264" s="1"/>
      <c r="K5264" s="1"/>
      <c r="L5264" s="1"/>
      <c r="O5264" s="475"/>
      <c r="P5264" s="475"/>
      <c r="Q5264" s="475"/>
      <c r="R5264" s="475"/>
      <c r="S5264" s="475"/>
      <c r="T5264" s="475"/>
      <c r="U5264" s="475"/>
      <c r="V5264" s="475"/>
      <c r="W5264" s="475"/>
    </row>
    <row r="5265" spans="2:23" s="97" customFormat="1">
      <c r="B5265" s="96"/>
      <c r="H5265" s="96"/>
      <c r="J5265" s="1"/>
      <c r="K5265" s="1"/>
      <c r="L5265" s="1"/>
      <c r="O5265" s="475"/>
      <c r="P5265" s="475"/>
      <c r="Q5265" s="475"/>
      <c r="R5265" s="475"/>
      <c r="S5265" s="475"/>
      <c r="T5265" s="475"/>
      <c r="U5265" s="475"/>
      <c r="V5265" s="475"/>
      <c r="W5265" s="475"/>
    </row>
    <row r="5266" spans="2:23" s="97" customFormat="1">
      <c r="B5266" s="96"/>
      <c r="H5266" s="96"/>
      <c r="J5266" s="1"/>
      <c r="K5266" s="1"/>
      <c r="L5266" s="1"/>
      <c r="O5266" s="475"/>
      <c r="P5266" s="475"/>
      <c r="Q5266" s="475"/>
      <c r="R5266" s="475"/>
      <c r="S5266" s="475"/>
      <c r="T5266" s="475"/>
      <c r="U5266" s="475"/>
      <c r="V5266" s="475"/>
      <c r="W5266" s="475"/>
    </row>
    <row r="5267" spans="2:23" s="97" customFormat="1">
      <c r="B5267" s="96"/>
      <c r="H5267" s="96"/>
      <c r="J5267" s="1"/>
      <c r="K5267" s="1"/>
      <c r="L5267" s="1"/>
      <c r="O5267" s="475"/>
      <c r="P5267" s="475"/>
      <c r="Q5267" s="475"/>
      <c r="R5267" s="475"/>
      <c r="S5267" s="475"/>
      <c r="T5267" s="475"/>
      <c r="U5267" s="475"/>
      <c r="V5267" s="475"/>
      <c r="W5267" s="475"/>
    </row>
    <row r="5268" spans="2:23" s="97" customFormat="1">
      <c r="B5268" s="96"/>
      <c r="H5268" s="96"/>
      <c r="J5268" s="1"/>
      <c r="K5268" s="1"/>
      <c r="L5268" s="1"/>
      <c r="O5268" s="475"/>
      <c r="P5268" s="475"/>
      <c r="Q5268" s="475"/>
      <c r="R5268" s="475"/>
      <c r="S5268" s="475"/>
      <c r="T5268" s="475"/>
      <c r="U5268" s="475"/>
      <c r="V5268" s="475"/>
      <c r="W5268" s="475"/>
    </row>
    <row r="5269" spans="2:23" s="97" customFormat="1">
      <c r="B5269" s="96"/>
      <c r="H5269" s="96"/>
      <c r="J5269" s="1"/>
      <c r="K5269" s="1"/>
      <c r="L5269" s="1"/>
      <c r="O5269" s="475"/>
      <c r="P5269" s="475"/>
      <c r="Q5269" s="475"/>
      <c r="R5269" s="475"/>
      <c r="S5269" s="475"/>
      <c r="T5269" s="475"/>
      <c r="U5269" s="475"/>
      <c r="V5269" s="475"/>
      <c r="W5269" s="475"/>
    </row>
    <row r="5270" spans="2:23" s="97" customFormat="1">
      <c r="B5270" s="96"/>
      <c r="H5270" s="96"/>
      <c r="J5270" s="1"/>
      <c r="K5270" s="1"/>
      <c r="L5270" s="1"/>
      <c r="O5270" s="475"/>
      <c r="P5270" s="475"/>
      <c r="Q5270" s="475"/>
      <c r="R5270" s="475"/>
      <c r="S5270" s="475"/>
      <c r="T5270" s="475"/>
      <c r="U5270" s="475"/>
      <c r="V5270" s="475"/>
      <c r="W5270" s="475"/>
    </row>
    <row r="5271" spans="2:23" s="97" customFormat="1">
      <c r="B5271" s="96"/>
      <c r="H5271" s="96"/>
      <c r="J5271" s="1"/>
      <c r="K5271" s="1"/>
      <c r="L5271" s="1"/>
      <c r="O5271" s="475"/>
      <c r="P5271" s="475"/>
      <c r="Q5271" s="475"/>
      <c r="R5271" s="475"/>
      <c r="S5271" s="475"/>
      <c r="T5271" s="475"/>
      <c r="U5271" s="475"/>
      <c r="V5271" s="475"/>
      <c r="W5271" s="475"/>
    </row>
    <row r="5272" spans="2:23" s="97" customFormat="1">
      <c r="B5272" s="96"/>
      <c r="H5272" s="96"/>
      <c r="J5272" s="1"/>
      <c r="K5272" s="1"/>
      <c r="L5272" s="1"/>
      <c r="O5272" s="475"/>
      <c r="P5272" s="475"/>
      <c r="Q5272" s="475"/>
      <c r="R5272" s="475"/>
      <c r="S5272" s="475"/>
      <c r="T5272" s="475"/>
      <c r="U5272" s="475"/>
      <c r="V5272" s="475"/>
      <c r="W5272" s="475"/>
    </row>
    <row r="5273" spans="2:23" s="97" customFormat="1">
      <c r="B5273" s="96"/>
      <c r="H5273" s="96"/>
      <c r="J5273" s="1"/>
      <c r="K5273" s="1"/>
      <c r="L5273" s="1"/>
      <c r="O5273" s="475"/>
      <c r="P5273" s="475"/>
      <c r="Q5273" s="475"/>
      <c r="R5273" s="475"/>
      <c r="S5273" s="475"/>
      <c r="T5273" s="475"/>
      <c r="U5273" s="475"/>
      <c r="V5273" s="475"/>
      <c r="W5273" s="475"/>
    </row>
    <row r="5274" spans="2:23" s="97" customFormat="1">
      <c r="B5274" s="96"/>
      <c r="H5274" s="96"/>
      <c r="J5274" s="1"/>
      <c r="K5274" s="1"/>
      <c r="L5274" s="1"/>
      <c r="O5274" s="475"/>
      <c r="P5274" s="475"/>
      <c r="Q5274" s="475"/>
      <c r="R5274" s="475"/>
      <c r="S5274" s="475"/>
      <c r="T5274" s="475"/>
      <c r="U5274" s="475"/>
      <c r="V5274" s="475"/>
      <c r="W5274" s="475"/>
    </row>
    <row r="5275" spans="2:23" s="97" customFormat="1">
      <c r="B5275" s="96"/>
      <c r="H5275" s="96"/>
      <c r="J5275" s="1"/>
      <c r="K5275" s="1"/>
      <c r="L5275" s="1"/>
      <c r="O5275" s="475"/>
      <c r="P5275" s="475"/>
      <c r="Q5275" s="475"/>
      <c r="R5275" s="475"/>
      <c r="S5275" s="475"/>
      <c r="T5275" s="475"/>
      <c r="U5275" s="475"/>
      <c r="V5275" s="475"/>
      <c r="W5275" s="475"/>
    </row>
    <row r="5276" spans="2:23" s="97" customFormat="1">
      <c r="B5276" s="96"/>
      <c r="H5276" s="96"/>
      <c r="J5276" s="1"/>
      <c r="K5276" s="1"/>
      <c r="L5276" s="1"/>
      <c r="O5276" s="475"/>
      <c r="P5276" s="475"/>
      <c r="Q5276" s="475"/>
      <c r="R5276" s="475"/>
      <c r="S5276" s="475"/>
      <c r="T5276" s="475"/>
      <c r="U5276" s="475"/>
      <c r="V5276" s="475"/>
      <c r="W5276" s="475"/>
    </row>
    <row r="5277" spans="2:23" s="97" customFormat="1">
      <c r="B5277" s="96"/>
      <c r="H5277" s="96"/>
      <c r="J5277" s="1"/>
      <c r="K5277" s="1"/>
      <c r="L5277" s="1"/>
      <c r="O5277" s="475"/>
      <c r="P5277" s="475"/>
      <c r="Q5277" s="475"/>
      <c r="R5277" s="475"/>
      <c r="S5277" s="475"/>
      <c r="T5277" s="475"/>
      <c r="U5277" s="475"/>
      <c r="V5277" s="475"/>
      <c r="W5277" s="475"/>
    </row>
    <row r="5278" spans="2:23" s="97" customFormat="1">
      <c r="B5278" s="96"/>
      <c r="H5278" s="96"/>
      <c r="J5278" s="1"/>
      <c r="K5278" s="1"/>
      <c r="L5278" s="1"/>
      <c r="O5278" s="475"/>
      <c r="P5278" s="475"/>
      <c r="Q5278" s="475"/>
      <c r="R5278" s="475"/>
      <c r="S5278" s="475"/>
      <c r="T5278" s="475"/>
      <c r="U5278" s="475"/>
      <c r="V5278" s="475"/>
      <c r="W5278" s="475"/>
    </row>
    <row r="5279" spans="2:23" s="97" customFormat="1">
      <c r="B5279" s="96"/>
      <c r="H5279" s="96"/>
      <c r="J5279" s="1"/>
      <c r="K5279" s="1"/>
      <c r="L5279" s="1"/>
      <c r="O5279" s="475"/>
      <c r="P5279" s="475"/>
      <c r="Q5279" s="475"/>
      <c r="R5279" s="475"/>
      <c r="S5279" s="475"/>
      <c r="T5279" s="475"/>
      <c r="U5279" s="475"/>
      <c r="V5279" s="475"/>
      <c r="W5279" s="475"/>
    </row>
    <row r="5280" spans="2:23" s="97" customFormat="1">
      <c r="B5280" s="96"/>
      <c r="H5280" s="96"/>
      <c r="J5280" s="1"/>
      <c r="K5280" s="1"/>
      <c r="L5280" s="1"/>
      <c r="O5280" s="475"/>
      <c r="P5280" s="475"/>
      <c r="Q5280" s="475"/>
      <c r="R5280" s="475"/>
      <c r="S5280" s="475"/>
      <c r="T5280" s="475"/>
      <c r="U5280" s="475"/>
      <c r="V5280" s="475"/>
      <c r="W5280" s="475"/>
    </row>
    <row r="5281" spans="2:23" s="97" customFormat="1">
      <c r="B5281" s="96"/>
      <c r="H5281" s="96"/>
      <c r="J5281" s="1"/>
      <c r="K5281" s="1"/>
      <c r="L5281" s="1"/>
      <c r="O5281" s="475"/>
      <c r="P5281" s="475"/>
      <c r="Q5281" s="475"/>
      <c r="R5281" s="475"/>
      <c r="S5281" s="475"/>
      <c r="T5281" s="475"/>
      <c r="U5281" s="475"/>
      <c r="V5281" s="475"/>
      <c r="W5281" s="475"/>
    </row>
    <row r="5282" spans="2:23" s="97" customFormat="1">
      <c r="B5282" s="96"/>
      <c r="H5282" s="96"/>
      <c r="J5282" s="1"/>
      <c r="K5282" s="1"/>
      <c r="L5282" s="1"/>
      <c r="O5282" s="475"/>
      <c r="P5282" s="475"/>
      <c r="Q5282" s="475"/>
      <c r="R5282" s="475"/>
      <c r="S5282" s="475"/>
      <c r="T5282" s="475"/>
      <c r="U5282" s="475"/>
      <c r="V5282" s="475"/>
      <c r="W5282" s="475"/>
    </row>
    <row r="5283" spans="2:23" s="97" customFormat="1">
      <c r="B5283" s="96"/>
      <c r="H5283" s="96"/>
      <c r="J5283" s="1"/>
      <c r="K5283" s="1"/>
      <c r="L5283" s="1"/>
      <c r="O5283" s="475"/>
      <c r="P5283" s="475"/>
      <c r="Q5283" s="475"/>
      <c r="R5283" s="475"/>
      <c r="S5283" s="475"/>
      <c r="T5283" s="475"/>
      <c r="U5283" s="475"/>
      <c r="V5283" s="475"/>
      <c r="W5283" s="475"/>
    </row>
    <row r="5284" spans="2:23" s="97" customFormat="1">
      <c r="B5284" s="96"/>
      <c r="H5284" s="96"/>
      <c r="J5284" s="1"/>
      <c r="K5284" s="1"/>
      <c r="L5284" s="1"/>
      <c r="O5284" s="475"/>
      <c r="P5284" s="475"/>
      <c r="Q5284" s="475"/>
      <c r="R5284" s="475"/>
      <c r="S5284" s="475"/>
      <c r="T5284" s="475"/>
      <c r="U5284" s="475"/>
      <c r="V5284" s="475"/>
      <c r="W5284" s="475"/>
    </row>
    <row r="5285" spans="2:23" s="97" customFormat="1">
      <c r="B5285" s="96"/>
      <c r="H5285" s="96"/>
      <c r="J5285" s="1"/>
      <c r="K5285" s="1"/>
      <c r="L5285" s="1"/>
      <c r="O5285" s="475"/>
      <c r="P5285" s="475"/>
      <c r="Q5285" s="475"/>
      <c r="R5285" s="475"/>
      <c r="S5285" s="475"/>
      <c r="T5285" s="475"/>
      <c r="U5285" s="475"/>
      <c r="V5285" s="475"/>
      <c r="W5285" s="475"/>
    </row>
    <row r="5286" spans="2:23" s="97" customFormat="1">
      <c r="B5286" s="96"/>
      <c r="H5286" s="96"/>
      <c r="J5286" s="1"/>
      <c r="K5286" s="1"/>
      <c r="L5286" s="1"/>
      <c r="O5286" s="475"/>
      <c r="P5286" s="475"/>
      <c r="Q5286" s="475"/>
      <c r="R5286" s="475"/>
      <c r="S5286" s="475"/>
      <c r="T5286" s="475"/>
      <c r="U5286" s="475"/>
      <c r="V5286" s="475"/>
      <c r="W5286" s="475"/>
    </row>
    <row r="5287" spans="2:23" s="97" customFormat="1">
      <c r="B5287" s="96"/>
      <c r="H5287" s="96"/>
      <c r="J5287" s="1"/>
      <c r="K5287" s="1"/>
      <c r="L5287" s="1"/>
      <c r="O5287" s="475"/>
      <c r="P5287" s="475"/>
      <c r="Q5287" s="475"/>
      <c r="R5287" s="475"/>
      <c r="S5287" s="475"/>
      <c r="T5287" s="475"/>
      <c r="U5287" s="475"/>
      <c r="V5287" s="475"/>
      <c r="W5287" s="475"/>
    </row>
    <row r="5288" spans="2:23" s="97" customFormat="1">
      <c r="B5288" s="96"/>
      <c r="H5288" s="96"/>
      <c r="J5288" s="1"/>
      <c r="K5288" s="1"/>
      <c r="L5288" s="1"/>
      <c r="O5288" s="475"/>
      <c r="P5288" s="475"/>
      <c r="Q5288" s="475"/>
      <c r="R5288" s="475"/>
      <c r="S5288" s="475"/>
      <c r="T5288" s="475"/>
      <c r="U5288" s="475"/>
      <c r="V5288" s="475"/>
      <c r="W5288" s="475"/>
    </row>
    <row r="5289" spans="2:23" s="97" customFormat="1">
      <c r="B5289" s="96"/>
      <c r="H5289" s="96"/>
      <c r="J5289" s="1"/>
      <c r="K5289" s="1"/>
      <c r="L5289" s="1"/>
      <c r="O5289" s="475"/>
      <c r="P5289" s="475"/>
      <c r="Q5289" s="475"/>
      <c r="R5289" s="475"/>
      <c r="S5289" s="475"/>
      <c r="T5289" s="475"/>
      <c r="U5289" s="475"/>
      <c r="V5289" s="475"/>
      <c r="W5289" s="475"/>
    </row>
    <row r="5290" spans="2:23" s="97" customFormat="1">
      <c r="B5290" s="96"/>
      <c r="H5290" s="96"/>
      <c r="J5290" s="1"/>
      <c r="K5290" s="1"/>
      <c r="L5290" s="1"/>
      <c r="O5290" s="475"/>
      <c r="P5290" s="475"/>
      <c r="Q5290" s="475"/>
      <c r="R5290" s="475"/>
      <c r="S5290" s="475"/>
      <c r="T5290" s="475"/>
      <c r="U5290" s="475"/>
      <c r="V5290" s="475"/>
      <c r="W5290" s="475"/>
    </row>
    <row r="5291" spans="2:23" s="97" customFormat="1">
      <c r="B5291" s="96"/>
      <c r="H5291" s="96"/>
      <c r="J5291" s="1"/>
      <c r="K5291" s="1"/>
      <c r="L5291" s="1"/>
      <c r="O5291" s="475"/>
      <c r="P5291" s="475"/>
      <c r="Q5291" s="475"/>
      <c r="R5291" s="475"/>
      <c r="S5291" s="475"/>
      <c r="T5291" s="475"/>
      <c r="U5291" s="475"/>
      <c r="V5291" s="475"/>
      <c r="W5291" s="475"/>
    </row>
    <row r="5292" spans="2:23" s="97" customFormat="1">
      <c r="B5292" s="96"/>
      <c r="H5292" s="96"/>
      <c r="J5292" s="1"/>
      <c r="K5292" s="1"/>
      <c r="L5292" s="1"/>
      <c r="O5292" s="475"/>
      <c r="P5292" s="475"/>
      <c r="Q5292" s="475"/>
      <c r="R5292" s="475"/>
      <c r="S5292" s="475"/>
      <c r="T5292" s="475"/>
      <c r="U5292" s="475"/>
      <c r="V5292" s="475"/>
      <c r="W5292" s="475"/>
    </row>
    <row r="5293" spans="2:23" s="97" customFormat="1">
      <c r="B5293" s="96"/>
      <c r="H5293" s="96"/>
      <c r="J5293" s="1"/>
      <c r="K5293" s="1"/>
      <c r="L5293" s="1"/>
      <c r="O5293" s="475"/>
      <c r="P5293" s="475"/>
      <c r="Q5293" s="475"/>
      <c r="R5293" s="475"/>
      <c r="S5293" s="475"/>
      <c r="T5293" s="475"/>
      <c r="U5293" s="475"/>
      <c r="V5293" s="475"/>
      <c r="W5293" s="475"/>
    </row>
    <row r="5294" spans="2:23" s="97" customFormat="1">
      <c r="B5294" s="96"/>
      <c r="H5294" s="96"/>
      <c r="J5294" s="1"/>
      <c r="K5294" s="1"/>
      <c r="L5294" s="1"/>
      <c r="O5294" s="475"/>
      <c r="P5294" s="475"/>
      <c r="Q5294" s="475"/>
      <c r="R5294" s="475"/>
      <c r="S5294" s="475"/>
      <c r="T5294" s="475"/>
      <c r="U5294" s="475"/>
      <c r="V5294" s="475"/>
      <c r="W5294" s="475"/>
    </row>
    <row r="5295" spans="2:23" s="97" customFormat="1">
      <c r="B5295" s="96"/>
      <c r="H5295" s="96"/>
      <c r="J5295" s="1"/>
      <c r="K5295" s="1"/>
      <c r="L5295" s="1"/>
      <c r="O5295" s="475"/>
      <c r="P5295" s="475"/>
      <c r="Q5295" s="475"/>
      <c r="R5295" s="475"/>
      <c r="S5295" s="475"/>
      <c r="T5295" s="475"/>
      <c r="U5295" s="475"/>
      <c r="V5295" s="475"/>
      <c r="W5295" s="475"/>
    </row>
    <row r="5296" spans="2:23" s="97" customFormat="1">
      <c r="B5296" s="96"/>
      <c r="H5296" s="96"/>
      <c r="J5296" s="1"/>
      <c r="K5296" s="1"/>
      <c r="L5296" s="1"/>
      <c r="O5296" s="475"/>
      <c r="P5296" s="475"/>
      <c r="Q5296" s="475"/>
      <c r="R5296" s="475"/>
      <c r="S5296" s="475"/>
      <c r="T5296" s="475"/>
      <c r="U5296" s="475"/>
      <c r="V5296" s="475"/>
      <c r="W5296" s="475"/>
    </row>
    <row r="5297" spans="2:23" s="97" customFormat="1">
      <c r="B5297" s="96"/>
      <c r="H5297" s="96"/>
      <c r="J5297" s="1"/>
      <c r="K5297" s="1"/>
      <c r="L5297" s="1"/>
      <c r="O5297" s="475"/>
      <c r="P5297" s="475"/>
      <c r="Q5297" s="475"/>
      <c r="R5297" s="475"/>
      <c r="S5297" s="475"/>
      <c r="T5297" s="475"/>
      <c r="U5297" s="475"/>
      <c r="V5297" s="475"/>
      <c r="W5297" s="475"/>
    </row>
    <row r="5298" spans="2:23" s="97" customFormat="1">
      <c r="B5298" s="96"/>
      <c r="H5298" s="96"/>
      <c r="J5298" s="1"/>
      <c r="K5298" s="1"/>
      <c r="L5298" s="1"/>
      <c r="O5298" s="475"/>
      <c r="P5298" s="475"/>
      <c r="Q5298" s="475"/>
      <c r="R5298" s="475"/>
      <c r="S5298" s="475"/>
      <c r="T5298" s="475"/>
      <c r="U5298" s="475"/>
      <c r="V5298" s="475"/>
      <c r="W5298" s="475"/>
    </row>
    <row r="5299" spans="2:23" s="97" customFormat="1">
      <c r="B5299" s="96"/>
      <c r="H5299" s="96"/>
      <c r="J5299" s="1"/>
      <c r="K5299" s="1"/>
      <c r="L5299" s="1"/>
      <c r="O5299" s="475"/>
      <c r="P5299" s="475"/>
      <c r="Q5299" s="475"/>
      <c r="R5299" s="475"/>
      <c r="S5299" s="475"/>
      <c r="T5299" s="475"/>
      <c r="U5299" s="475"/>
      <c r="V5299" s="475"/>
      <c r="W5299" s="475"/>
    </row>
    <row r="5300" spans="2:23" s="97" customFormat="1">
      <c r="B5300" s="96"/>
      <c r="H5300" s="96"/>
      <c r="J5300" s="1"/>
      <c r="K5300" s="1"/>
      <c r="L5300" s="1"/>
      <c r="O5300" s="475"/>
      <c r="P5300" s="475"/>
      <c r="Q5300" s="475"/>
      <c r="R5300" s="475"/>
      <c r="S5300" s="475"/>
      <c r="T5300" s="475"/>
      <c r="U5300" s="475"/>
      <c r="V5300" s="475"/>
      <c r="W5300" s="475"/>
    </row>
    <row r="5301" spans="2:23" s="97" customFormat="1">
      <c r="B5301" s="96"/>
      <c r="H5301" s="96"/>
      <c r="J5301" s="1"/>
      <c r="K5301" s="1"/>
      <c r="L5301" s="1"/>
      <c r="O5301" s="475"/>
      <c r="P5301" s="475"/>
      <c r="Q5301" s="475"/>
      <c r="R5301" s="475"/>
      <c r="S5301" s="475"/>
      <c r="T5301" s="475"/>
      <c r="U5301" s="475"/>
      <c r="V5301" s="475"/>
      <c r="W5301" s="475"/>
    </row>
    <row r="5302" spans="2:23" s="97" customFormat="1">
      <c r="B5302" s="96"/>
      <c r="H5302" s="96"/>
      <c r="J5302" s="1"/>
      <c r="K5302" s="1"/>
      <c r="L5302" s="1"/>
      <c r="O5302" s="475"/>
      <c r="P5302" s="475"/>
      <c r="Q5302" s="475"/>
      <c r="R5302" s="475"/>
      <c r="S5302" s="475"/>
      <c r="T5302" s="475"/>
      <c r="U5302" s="475"/>
      <c r="V5302" s="475"/>
      <c r="W5302" s="475"/>
    </row>
    <row r="5303" spans="2:23" s="97" customFormat="1">
      <c r="B5303" s="96"/>
      <c r="H5303" s="96"/>
      <c r="J5303" s="1"/>
      <c r="K5303" s="1"/>
      <c r="L5303" s="1"/>
      <c r="O5303" s="475"/>
      <c r="P5303" s="475"/>
      <c r="Q5303" s="475"/>
      <c r="R5303" s="475"/>
      <c r="S5303" s="475"/>
      <c r="T5303" s="475"/>
      <c r="U5303" s="475"/>
      <c r="V5303" s="475"/>
      <c r="W5303" s="475"/>
    </row>
    <row r="5304" spans="2:23" s="97" customFormat="1">
      <c r="B5304" s="96"/>
      <c r="H5304" s="96"/>
      <c r="J5304" s="1"/>
      <c r="K5304" s="1"/>
      <c r="L5304" s="1"/>
      <c r="O5304" s="475"/>
      <c r="P5304" s="475"/>
      <c r="Q5304" s="475"/>
      <c r="R5304" s="475"/>
      <c r="S5304" s="475"/>
      <c r="T5304" s="475"/>
      <c r="U5304" s="475"/>
      <c r="V5304" s="475"/>
      <c r="W5304" s="475"/>
    </row>
    <row r="5305" spans="2:23" s="97" customFormat="1">
      <c r="B5305" s="96"/>
      <c r="H5305" s="96"/>
      <c r="J5305" s="1"/>
      <c r="K5305" s="1"/>
      <c r="L5305" s="1"/>
      <c r="O5305" s="475"/>
      <c r="P5305" s="475"/>
      <c r="Q5305" s="475"/>
      <c r="R5305" s="475"/>
      <c r="S5305" s="475"/>
      <c r="T5305" s="475"/>
      <c r="U5305" s="475"/>
      <c r="V5305" s="475"/>
      <c r="W5305" s="475"/>
    </row>
    <row r="5306" spans="2:23" s="97" customFormat="1">
      <c r="B5306" s="96"/>
      <c r="H5306" s="96"/>
      <c r="J5306" s="1"/>
      <c r="K5306" s="1"/>
      <c r="L5306" s="1"/>
      <c r="O5306" s="475"/>
      <c r="P5306" s="475"/>
      <c r="Q5306" s="475"/>
      <c r="R5306" s="475"/>
      <c r="S5306" s="475"/>
      <c r="T5306" s="475"/>
      <c r="U5306" s="475"/>
      <c r="V5306" s="475"/>
      <c r="W5306" s="475"/>
    </row>
    <row r="5307" spans="2:23" s="97" customFormat="1">
      <c r="B5307" s="96"/>
      <c r="H5307" s="96"/>
      <c r="J5307" s="1"/>
      <c r="K5307" s="1"/>
      <c r="L5307" s="1"/>
      <c r="O5307" s="475"/>
      <c r="P5307" s="475"/>
      <c r="Q5307" s="475"/>
      <c r="R5307" s="475"/>
      <c r="S5307" s="475"/>
      <c r="T5307" s="475"/>
      <c r="U5307" s="475"/>
      <c r="V5307" s="475"/>
      <c r="W5307" s="475"/>
    </row>
    <row r="5308" spans="2:23" s="97" customFormat="1">
      <c r="B5308" s="96"/>
      <c r="H5308" s="96"/>
      <c r="J5308" s="1"/>
      <c r="K5308" s="1"/>
      <c r="L5308" s="1"/>
      <c r="O5308" s="475"/>
      <c r="P5308" s="475"/>
      <c r="Q5308" s="475"/>
      <c r="R5308" s="475"/>
      <c r="S5308" s="475"/>
      <c r="T5308" s="475"/>
      <c r="U5308" s="475"/>
      <c r="V5308" s="475"/>
      <c r="W5308" s="475"/>
    </row>
    <row r="5309" spans="2:23" s="97" customFormat="1">
      <c r="B5309" s="96"/>
      <c r="H5309" s="96"/>
      <c r="J5309" s="1"/>
      <c r="K5309" s="1"/>
      <c r="L5309" s="1"/>
      <c r="O5309" s="475"/>
      <c r="P5309" s="475"/>
      <c r="Q5309" s="475"/>
      <c r="R5309" s="475"/>
      <c r="S5309" s="475"/>
      <c r="T5309" s="475"/>
      <c r="U5309" s="475"/>
      <c r="V5309" s="475"/>
      <c r="W5309" s="475"/>
    </row>
    <row r="5310" spans="2:23" s="97" customFormat="1">
      <c r="B5310" s="96"/>
      <c r="H5310" s="96"/>
      <c r="J5310" s="1"/>
      <c r="K5310" s="1"/>
      <c r="L5310" s="1"/>
      <c r="O5310" s="475"/>
      <c r="P5310" s="475"/>
      <c r="Q5310" s="475"/>
      <c r="R5310" s="475"/>
      <c r="S5310" s="475"/>
      <c r="T5310" s="475"/>
      <c r="U5310" s="475"/>
      <c r="V5310" s="475"/>
      <c r="W5310" s="475"/>
    </row>
    <row r="5311" spans="2:23" s="97" customFormat="1">
      <c r="B5311" s="96"/>
      <c r="H5311" s="96"/>
      <c r="J5311" s="1"/>
      <c r="K5311" s="1"/>
      <c r="L5311" s="1"/>
      <c r="O5311" s="475"/>
      <c r="P5311" s="475"/>
      <c r="Q5311" s="475"/>
      <c r="R5311" s="475"/>
      <c r="S5311" s="475"/>
      <c r="T5311" s="475"/>
      <c r="U5311" s="475"/>
      <c r="V5311" s="475"/>
      <c r="W5311" s="475"/>
    </row>
    <row r="5312" spans="2:23" s="97" customFormat="1">
      <c r="B5312" s="96"/>
      <c r="H5312" s="96"/>
      <c r="J5312" s="1"/>
      <c r="K5312" s="1"/>
      <c r="L5312" s="1"/>
      <c r="O5312" s="475"/>
      <c r="P5312" s="475"/>
      <c r="Q5312" s="475"/>
      <c r="R5312" s="475"/>
      <c r="S5312" s="475"/>
      <c r="T5312" s="475"/>
      <c r="U5312" s="475"/>
      <c r="V5312" s="475"/>
      <c r="W5312" s="475"/>
    </row>
    <row r="5313" spans="2:23" s="97" customFormat="1">
      <c r="B5313" s="96"/>
      <c r="H5313" s="96"/>
      <c r="J5313" s="1"/>
      <c r="K5313" s="1"/>
      <c r="L5313" s="1"/>
      <c r="O5313" s="475"/>
      <c r="P5313" s="475"/>
      <c r="Q5313" s="475"/>
      <c r="R5313" s="475"/>
      <c r="S5313" s="475"/>
      <c r="T5313" s="475"/>
      <c r="U5313" s="475"/>
      <c r="V5313" s="475"/>
      <c r="W5313" s="475"/>
    </row>
    <row r="5314" spans="2:23" s="97" customFormat="1">
      <c r="B5314" s="96"/>
      <c r="H5314" s="96"/>
      <c r="J5314" s="1"/>
      <c r="K5314" s="1"/>
      <c r="L5314" s="1"/>
      <c r="O5314" s="475"/>
      <c r="P5314" s="475"/>
      <c r="Q5314" s="475"/>
      <c r="R5314" s="475"/>
      <c r="S5314" s="475"/>
      <c r="T5314" s="475"/>
      <c r="U5314" s="475"/>
      <c r="V5314" s="475"/>
      <c r="W5314" s="475"/>
    </row>
    <row r="5315" spans="2:23" s="97" customFormat="1">
      <c r="B5315" s="96"/>
      <c r="H5315" s="96"/>
      <c r="J5315" s="1"/>
      <c r="K5315" s="1"/>
      <c r="L5315" s="1"/>
      <c r="O5315" s="475"/>
      <c r="P5315" s="475"/>
      <c r="Q5315" s="475"/>
      <c r="R5315" s="475"/>
      <c r="S5315" s="475"/>
      <c r="T5315" s="475"/>
      <c r="U5315" s="475"/>
      <c r="V5315" s="475"/>
      <c r="W5315" s="475"/>
    </row>
    <row r="5316" spans="2:23" s="97" customFormat="1">
      <c r="B5316" s="96"/>
      <c r="H5316" s="96"/>
      <c r="J5316" s="1"/>
      <c r="K5316" s="1"/>
      <c r="L5316" s="1"/>
      <c r="O5316" s="475"/>
      <c r="P5316" s="475"/>
      <c r="Q5316" s="475"/>
      <c r="R5316" s="475"/>
      <c r="S5316" s="475"/>
      <c r="T5316" s="475"/>
      <c r="U5316" s="475"/>
      <c r="V5316" s="475"/>
      <c r="W5316" s="475"/>
    </row>
    <row r="5317" spans="2:23" s="97" customFormat="1">
      <c r="B5317" s="96"/>
      <c r="H5317" s="96"/>
      <c r="J5317" s="1"/>
      <c r="K5317" s="1"/>
      <c r="L5317" s="1"/>
      <c r="O5317" s="475"/>
      <c r="P5317" s="475"/>
      <c r="Q5317" s="475"/>
      <c r="R5317" s="475"/>
      <c r="S5317" s="475"/>
      <c r="T5317" s="475"/>
      <c r="U5317" s="475"/>
      <c r="V5317" s="475"/>
      <c r="W5317" s="475"/>
    </row>
    <row r="5318" spans="2:23" s="97" customFormat="1">
      <c r="B5318" s="96"/>
      <c r="H5318" s="96"/>
      <c r="J5318" s="1"/>
      <c r="K5318" s="1"/>
      <c r="L5318" s="1"/>
      <c r="O5318" s="475"/>
      <c r="P5318" s="475"/>
      <c r="Q5318" s="475"/>
      <c r="R5318" s="475"/>
      <c r="S5318" s="475"/>
      <c r="T5318" s="475"/>
      <c r="U5318" s="475"/>
      <c r="V5318" s="475"/>
      <c r="W5318" s="475"/>
    </row>
    <row r="5319" spans="2:23" s="97" customFormat="1">
      <c r="B5319" s="96"/>
      <c r="H5319" s="96"/>
      <c r="J5319" s="1"/>
      <c r="K5319" s="1"/>
      <c r="L5319" s="1"/>
      <c r="O5319" s="475"/>
      <c r="P5319" s="475"/>
      <c r="Q5319" s="475"/>
      <c r="R5319" s="475"/>
      <c r="S5319" s="475"/>
      <c r="T5319" s="475"/>
      <c r="U5319" s="475"/>
      <c r="V5319" s="475"/>
      <c r="W5319" s="475"/>
    </row>
    <row r="5320" spans="2:23" s="97" customFormat="1">
      <c r="B5320" s="96"/>
      <c r="H5320" s="96"/>
      <c r="J5320" s="1"/>
      <c r="K5320" s="1"/>
      <c r="L5320" s="1"/>
      <c r="O5320" s="475"/>
      <c r="P5320" s="475"/>
      <c r="Q5320" s="475"/>
      <c r="R5320" s="475"/>
      <c r="S5320" s="475"/>
      <c r="T5320" s="475"/>
      <c r="U5320" s="475"/>
      <c r="V5320" s="475"/>
      <c r="W5320" s="475"/>
    </row>
    <row r="5321" spans="2:23" s="97" customFormat="1">
      <c r="B5321" s="96"/>
      <c r="H5321" s="96"/>
      <c r="J5321" s="1"/>
      <c r="K5321" s="1"/>
      <c r="L5321" s="1"/>
      <c r="O5321" s="475"/>
      <c r="P5321" s="475"/>
      <c r="Q5321" s="475"/>
      <c r="R5321" s="475"/>
      <c r="S5321" s="475"/>
      <c r="T5321" s="475"/>
      <c r="U5321" s="475"/>
      <c r="V5321" s="475"/>
      <c r="W5321" s="475"/>
    </row>
    <row r="5322" spans="2:23" s="97" customFormat="1">
      <c r="B5322" s="96"/>
      <c r="H5322" s="96"/>
      <c r="J5322" s="1"/>
      <c r="K5322" s="1"/>
      <c r="L5322" s="1"/>
      <c r="O5322" s="475"/>
      <c r="P5322" s="475"/>
      <c r="Q5322" s="475"/>
      <c r="R5322" s="475"/>
      <c r="S5322" s="475"/>
      <c r="T5322" s="475"/>
      <c r="U5322" s="475"/>
      <c r="V5322" s="475"/>
      <c r="W5322" s="475"/>
    </row>
    <row r="5323" spans="2:23" s="97" customFormat="1">
      <c r="B5323" s="96"/>
      <c r="H5323" s="96"/>
      <c r="J5323" s="1"/>
      <c r="K5323" s="1"/>
      <c r="L5323" s="1"/>
      <c r="O5323" s="475"/>
      <c r="P5323" s="475"/>
      <c r="Q5323" s="475"/>
      <c r="R5323" s="475"/>
      <c r="S5323" s="475"/>
      <c r="T5323" s="475"/>
      <c r="U5323" s="475"/>
      <c r="V5323" s="475"/>
      <c r="W5323" s="475"/>
    </row>
    <row r="5324" spans="2:23" s="97" customFormat="1">
      <c r="B5324" s="96"/>
      <c r="H5324" s="96"/>
      <c r="J5324" s="1"/>
      <c r="K5324" s="1"/>
      <c r="L5324" s="1"/>
      <c r="O5324" s="475"/>
      <c r="P5324" s="475"/>
      <c r="Q5324" s="475"/>
      <c r="R5324" s="475"/>
      <c r="S5324" s="475"/>
      <c r="T5324" s="475"/>
      <c r="U5324" s="475"/>
      <c r="V5324" s="475"/>
      <c r="W5324" s="475"/>
    </row>
    <row r="5325" spans="2:23" s="97" customFormat="1">
      <c r="B5325" s="96"/>
      <c r="H5325" s="96"/>
      <c r="J5325" s="1"/>
      <c r="K5325" s="1"/>
      <c r="L5325" s="1"/>
      <c r="O5325" s="475"/>
      <c r="P5325" s="475"/>
      <c r="Q5325" s="475"/>
      <c r="R5325" s="475"/>
      <c r="S5325" s="475"/>
      <c r="T5325" s="475"/>
      <c r="U5325" s="475"/>
      <c r="V5325" s="475"/>
      <c r="W5325" s="475"/>
    </row>
    <row r="5326" spans="2:23" s="97" customFormat="1">
      <c r="B5326" s="96"/>
      <c r="H5326" s="96"/>
      <c r="J5326" s="1"/>
      <c r="K5326" s="1"/>
      <c r="L5326" s="1"/>
      <c r="O5326" s="475"/>
      <c r="P5326" s="475"/>
      <c r="Q5326" s="475"/>
      <c r="R5326" s="475"/>
      <c r="S5326" s="475"/>
      <c r="T5326" s="475"/>
      <c r="U5326" s="475"/>
      <c r="V5326" s="475"/>
      <c r="W5326" s="475"/>
    </row>
    <row r="5327" spans="2:23" s="97" customFormat="1">
      <c r="B5327" s="96"/>
      <c r="H5327" s="96"/>
      <c r="J5327" s="1"/>
      <c r="K5327" s="1"/>
      <c r="L5327" s="1"/>
      <c r="O5327" s="475"/>
      <c r="P5327" s="475"/>
      <c r="Q5327" s="475"/>
      <c r="R5327" s="475"/>
      <c r="S5327" s="475"/>
      <c r="T5327" s="475"/>
      <c r="U5327" s="475"/>
      <c r="V5327" s="475"/>
      <c r="W5327" s="475"/>
    </row>
    <row r="5328" spans="2:23" s="97" customFormat="1">
      <c r="B5328" s="96"/>
      <c r="H5328" s="96"/>
      <c r="J5328" s="1"/>
      <c r="K5328" s="1"/>
      <c r="L5328" s="1"/>
      <c r="O5328" s="475"/>
      <c r="P5328" s="475"/>
      <c r="Q5328" s="475"/>
      <c r="R5328" s="475"/>
      <c r="S5328" s="475"/>
      <c r="T5328" s="475"/>
      <c r="U5328" s="475"/>
      <c r="V5328" s="475"/>
      <c r="W5328" s="475"/>
    </row>
    <row r="5329" spans="2:23" s="97" customFormat="1">
      <c r="B5329" s="96"/>
      <c r="H5329" s="96"/>
      <c r="J5329" s="1"/>
      <c r="K5329" s="1"/>
      <c r="L5329" s="1"/>
      <c r="O5329" s="475"/>
      <c r="P5329" s="475"/>
      <c r="Q5329" s="475"/>
      <c r="R5329" s="475"/>
      <c r="S5329" s="475"/>
      <c r="T5329" s="475"/>
      <c r="U5329" s="475"/>
      <c r="V5329" s="475"/>
      <c r="W5329" s="475"/>
    </row>
    <row r="5330" spans="2:23" s="97" customFormat="1">
      <c r="B5330" s="96"/>
      <c r="H5330" s="96"/>
      <c r="J5330" s="1"/>
      <c r="K5330" s="1"/>
      <c r="L5330" s="1"/>
      <c r="O5330" s="475"/>
      <c r="P5330" s="475"/>
      <c r="Q5330" s="475"/>
      <c r="R5330" s="475"/>
      <c r="S5330" s="475"/>
      <c r="T5330" s="475"/>
      <c r="U5330" s="475"/>
      <c r="V5330" s="475"/>
      <c r="W5330" s="475"/>
    </row>
    <row r="5331" spans="2:23" s="97" customFormat="1">
      <c r="B5331" s="96"/>
      <c r="H5331" s="96"/>
      <c r="J5331" s="1"/>
      <c r="K5331" s="1"/>
      <c r="L5331" s="1"/>
      <c r="O5331" s="475"/>
      <c r="P5331" s="475"/>
      <c r="Q5331" s="475"/>
      <c r="R5331" s="475"/>
      <c r="S5331" s="475"/>
      <c r="T5331" s="475"/>
      <c r="U5331" s="475"/>
      <c r="V5331" s="475"/>
      <c r="W5331" s="475"/>
    </row>
    <row r="5332" spans="2:23" s="97" customFormat="1">
      <c r="B5332" s="96"/>
      <c r="H5332" s="96"/>
      <c r="J5332" s="1"/>
      <c r="K5332" s="1"/>
      <c r="L5332" s="1"/>
      <c r="O5332" s="475"/>
      <c r="P5332" s="475"/>
      <c r="Q5332" s="475"/>
      <c r="R5332" s="475"/>
      <c r="S5332" s="475"/>
      <c r="T5332" s="475"/>
      <c r="U5332" s="475"/>
      <c r="V5332" s="475"/>
      <c r="W5332" s="475"/>
    </row>
    <row r="5333" spans="2:23" s="97" customFormat="1">
      <c r="B5333" s="96"/>
      <c r="H5333" s="96"/>
      <c r="J5333" s="1"/>
      <c r="K5333" s="1"/>
      <c r="L5333" s="1"/>
      <c r="O5333" s="475"/>
      <c r="P5333" s="475"/>
      <c r="Q5333" s="475"/>
      <c r="R5333" s="475"/>
      <c r="S5333" s="475"/>
      <c r="T5333" s="475"/>
      <c r="U5333" s="475"/>
      <c r="V5333" s="475"/>
      <c r="W5333" s="475"/>
    </row>
    <row r="5334" spans="2:23" s="97" customFormat="1">
      <c r="B5334" s="96"/>
      <c r="H5334" s="96"/>
      <c r="J5334" s="1"/>
      <c r="K5334" s="1"/>
      <c r="L5334" s="1"/>
      <c r="O5334" s="475"/>
      <c r="P5334" s="475"/>
      <c r="Q5334" s="475"/>
      <c r="R5334" s="475"/>
      <c r="S5334" s="475"/>
      <c r="T5334" s="475"/>
      <c r="U5334" s="475"/>
      <c r="V5334" s="475"/>
      <c r="W5334" s="475"/>
    </row>
    <row r="5335" spans="2:23" s="97" customFormat="1">
      <c r="B5335" s="96"/>
      <c r="H5335" s="96"/>
      <c r="J5335" s="1"/>
      <c r="K5335" s="1"/>
      <c r="L5335" s="1"/>
      <c r="O5335" s="475"/>
      <c r="P5335" s="475"/>
      <c r="Q5335" s="475"/>
      <c r="R5335" s="475"/>
      <c r="S5335" s="475"/>
      <c r="T5335" s="475"/>
      <c r="U5335" s="475"/>
      <c r="V5335" s="475"/>
      <c r="W5335" s="475"/>
    </row>
    <row r="5336" spans="2:23" s="97" customFormat="1">
      <c r="B5336" s="96"/>
      <c r="H5336" s="96"/>
      <c r="J5336" s="1"/>
      <c r="K5336" s="1"/>
      <c r="L5336" s="1"/>
      <c r="O5336" s="475"/>
      <c r="P5336" s="475"/>
      <c r="Q5336" s="475"/>
      <c r="R5336" s="475"/>
      <c r="S5336" s="475"/>
      <c r="T5336" s="475"/>
      <c r="U5336" s="475"/>
      <c r="V5336" s="475"/>
      <c r="W5336" s="475"/>
    </row>
    <row r="5337" spans="2:23" s="97" customFormat="1">
      <c r="B5337" s="96"/>
      <c r="H5337" s="96"/>
      <c r="J5337" s="1"/>
      <c r="K5337" s="1"/>
      <c r="L5337" s="1"/>
      <c r="O5337" s="475"/>
      <c r="P5337" s="475"/>
      <c r="Q5337" s="475"/>
      <c r="R5337" s="475"/>
      <c r="S5337" s="475"/>
      <c r="T5337" s="475"/>
      <c r="U5337" s="475"/>
      <c r="V5337" s="475"/>
      <c r="W5337" s="475"/>
    </row>
    <row r="5338" spans="2:23" s="97" customFormat="1">
      <c r="B5338" s="96"/>
      <c r="H5338" s="96"/>
      <c r="J5338" s="1"/>
      <c r="K5338" s="1"/>
      <c r="L5338" s="1"/>
      <c r="O5338" s="475"/>
      <c r="P5338" s="475"/>
      <c r="Q5338" s="475"/>
      <c r="R5338" s="475"/>
      <c r="S5338" s="475"/>
      <c r="T5338" s="475"/>
      <c r="U5338" s="475"/>
      <c r="V5338" s="475"/>
      <c r="W5338" s="475"/>
    </row>
    <row r="5339" spans="2:23" s="97" customFormat="1">
      <c r="B5339" s="96"/>
      <c r="H5339" s="96"/>
      <c r="J5339" s="1"/>
      <c r="K5339" s="1"/>
      <c r="L5339" s="1"/>
      <c r="O5339" s="475"/>
      <c r="P5339" s="475"/>
      <c r="Q5339" s="475"/>
      <c r="R5339" s="475"/>
      <c r="S5339" s="475"/>
      <c r="T5339" s="475"/>
      <c r="U5339" s="475"/>
      <c r="V5339" s="475"/>
      <c r="W5339" s="475"/>
    </row>
    <row r="5340" spans="2:23" s="97" customFormat="1">
      <c r="B5340" s="96"/>
      <c r="H5340" s="96"/>
      <c r="J5340" s="1"/>
      <c r="K5340" s="1"/>
      <c r="L5340" s="1"/>
      <c r="O5340" s="475"/>
      <c r="P5340" s="475"/>
      <c r="Q5340" s="475"/>
      <c r="R5340" s="475"/>
      <c r="S5340" s="475"/>
      <c r="T5340" s="475"/>
      <c r="U5340" s="475"/>
      <c r="V5340" s="475"/>
      <c r="W5340" s="475"/>
    </row>
    <row r="5341" spans="2:23" s="97" customFormat="1">
      <c r="B5341" s="96"/>
      <c r="H5341" s="96"/>
      <c r="J5341" s="1"/>
      <c r="K5341" s="1"/>
      <c r="L5341" s="1"/>
      <c r="O5341" s="475"/>
      <c r="P5341" s="475"/>
      <c r="Q5341" s="475"/>
      <c r="R5341" s="475"/>
      <c r="S5341" s="475"/>
      <c r="T5341" s="475"/>
      <c r="U5341" s="475"/>
      <c r="V5341" s="475"/>
      <c r="W5341" s="475"/>
    </row>
    <row r="5342" spans="2:23" s="97" customFormat="1">
      <c r="B5342" s="96"/>
      <c r="H5342" s="96"/>
      <c r="J5342" s="1"/>
      <c r="K5342" s="1"/>
      <c r="L5342" s="1"/>
      <c r="O5342" s="475"/>
      <c r="P5342" s="475"/>
      <c r="Q5342" s="475"/>
      <c r="R5342" s="475"/>
      <c r="S5342" s="475"/>
      <c r="T5342" s="475"/>
      <c r="U5342" s="475"/>
      <c r="V5342" s="475"/>
      <c r="W5342" s="475"/>
    </row>
    <row r="5343" spans="2:23" s="97" customFormat="1">
      <c r="B5343" s="96"/>
      <c r="H5343" s="96"/>
      <c r="J5343" s="1"/>
      <c r="K5343" s="1"/>
      <c r="L5343" s="1"/>
      <c r="O5343" s="475"/>
      <c r="P5343" s="475"/>
      <c r="Q5343" s="475"/>
      <c r="R5343" s="475"/>
      <c r="S5343" s="475"/>
      <c r="T5343" s="475"/>
      <c r="U5343" s="475"/>
      <c r="V5343" s="475"/>
      <c r="W5343" s="475"/>
    </row>
    <row r="5344" spans="2:23" s="97" customFormat="1">
      <c r="B5344" s="96"/>
      <c r="H5344" s="96"/>
      <c r="J5344" s="1"/>
      <c r="K5344" s="1"/>
      <c r="L5344" s="1"/>
      <c r="O5344" s="475"/>
      <c r="P5344" s="475"/>
      <c r="Q5344" s="475"/>
      <c r="R5344" s="475"/>
      <c r="S5344" s="475"/>
      <c r="T5344" s="475"/>
      <c r="U5344" s="475"/>
      <c r="V5344" s="475"/>
      <c r="W5344" s="475"/>
    </row>
    <row r="5345" spans="2:23" s="97" customFormat="1">
      <c r="B5345" s="96"/>
      <c r="H5345" s="96"/>
      <c r="J5345" s="1"/>
      <c r="K5345" s="1"/>
      <c r="L5345" s="1"/>
      <c r="O5345" s="475"/>
      <c r="P5345" s="475"/>
      <c r="Q5345" s="475"/>
      <c r="R5345" s="475"/>
      <c r="S5345" s="475"/>
      <c r="T5345" s="475"/>
      <c r="U5345" s="475"/>
      <c r="V5345" s="475"/>
      <c r="W5345" s="475"/>
    </row>
    <row r="5346" spans="2:23" s="97" customFormat="1">
      <c r="B5346" s="96"/>
      <c r="H5346" s="96"/>
      <c r="J5346" s="1"/>
      <c r="K5346" s="1"/>
      <c r="L5346" s="1"/>
      <c r="O5346" s="475"/>
      <c r="P5346" s="475"/>
      <c r="Q5346" s="475"/>
      <c r="R5346" s="475"/>
      <c r="S5346" s="475"/>
      <c r="T5346" s="475"/>
      <c r="U5346" s="475"/>
      <c r="V5346" s="475"/>
      <c r="W5346" s="475"/>
    </row>
    <row r="5347" spans="2:23" s="97" customFormat="1">
      <c r="B5347" s="96"/>
      <c r="H5347" s="96"/>
      <c r="J5347" s="1"/>
      <c r="K5347" s="1"/>
      <c r="L5347" s="1"/>
      <c r="O5347" s="475"/>
      <c r="P5347" s="475"/>
      <c r="Q5347" s="475"/>
      <c r="R5347" s="475"/>
      <c r="S5347" s="475"/>
      <c r="T5347" s="475"/>
      <c r="U5347" s="475"/>
      <c r="V5347" s="475"/>
      <c r="W5347" s="475"/>
    </row>
    <row r="5348" spans="2:23" s="97" customFormat="1">
      <c r="B5348" s="96"/>
      <c r="H5348" s="96"/>
      <c r="J5348" s="1"/>
      <c r="K5348" s="1"/>
      <c r="L5348" s="1"/>
      <c r="O5348" s="475"/>
      <c r="P5348" s="475"/>
      <c r="Q5348" s="475"/>
      <c r="R5348" s="475"/>
      <c r="S5348" s="475"/>
      <c r="T5348" s="475"/>
      <c r="U5348" s="475"/>
      <c r="V5348" s="475"/>
      <c r="W5348" s="475"/>
    </row>
    <row r="5349" spans="2:23" s="97" customFormat="1">
      <c r="B5349" s="96"/>
      <c r="H5349" s="96"/>
      <c r="J5349" s="1"/>
      <c r="K5349" s="1"/>
      <c r="L5349" s="1"/>
      <c r="O5349" s="475"/>
      <c r="P5349" s="475"/>
      <c r="Q5349" s="475"/>
      <c r="R5349" s="475"/>
      <c r="S5349" s="475"/>
      <c r="T5349" s="475"/>
      <c r="U5349" s="475"/>
      <c r="V5349" s="475"/>
      <c r="W5349" s="475"/>
    </row>
    <row r="5350" spans="2:23" s="97" customFormat="1">
      <c r="B5350" s="96"/>
      <c r="H5350" s="96"/>
      <c r="J5350" s="1"/>
      <c r="K5350" s="1"/>
      <c r="L5350" s="1"/>
      <c r="O5350" s="475"/>
      <c r="P5350" s="475"/>
      <c r="Q5350" s="475"/>
      <c r="R5350" s="475"/>
      <c r="S5350" s="475"/>
      <c r="T5350" s="475"/>
      <c r="U5350" s="475"/>
      <c r="V5350" s="475"/>
      <c r="W5350" s="475"/>
    </row>
    <row r="5351" spans="2:23" s="97" customFormat="1">
      <c r="B5351" s="96"/>
      <c r="H5351" s="96"/>
      <c r="J5351" s="1"/>
      <c r="K5351" s="1"/>
      <c r="L5351" s="1"/>
      <c r="O5351" s="475"/>
      <c r="P5351" s="475"/>
      <c r="Q5351" s="475"/>
      <c r="R5351" s="475"/>
      <c r="S5351" s="475"/>
      <c r="T5351" s="475"/>
      <c r="U5351" s="475"/>
      <c r="V5351" s="475"/>
      <c r="W5351" s="475"/>
    </row>
    <row r="5352" spans="2:23" s="97" customFormat="1">
      <c r="B5352" s="96"/>
      <c r="H5352" s="96"/>
      <c r="J5352" s="1"/>
      <c r="K5352" s="1"/>
      <c r="L5352" s="1"/>
      <c r="O5352" s="475"/>
      <c r="P5352" s="475"/>
      <c r="Q5352" s="475"/>
      <c r="R5352" s="475"/>
      <c r="S5352" s="475"/>
      <c r="T5352" s="475"/>
      <c r="U5352" s="475"/>
      <c r="V5352" s="475"/>
      <c r="W5352" s="475"/>
    </row>
    <row r="5353" spans="2:23" s="97" customFormat="1">
      <c r="B5353" s="96"/>
      <c r="H5353" s="96"/>
      <c r="J5353" s="1"/>
      <c r="K5353" s="1"/>
      <c r="L5353" s="1"/>
      <c r="O5353" s="475"/>
      <c r="P5353" s="475"/>
      <c r="Q5353" s="475"/>
      <c r="R5353" s="475"/>
      <c r="S5353" s="475"/>
      <c r="T5353" s="475"/>
      <c r="U5353" s="475"/>
      <c r="V5353" s="475"/>
      <c r="W5353" s="475"/>
    </row>
    <row r="5354" spans="2:23" s="97" customFormat="1">
      <c r="B5354" s="96"/>
      <c r="H5354" s="96"/>
      <c r="J5354" s="1"/>
      <c r="K5354" s="1"/>
      <c r="L5354" s="1"/>
      <c r="O5354" s="475"/>
      <c r="P5354" s="475"/>
      <c r="Q5354" s="475"/>
      <c r="R5354" s="475"/>
      <c r="S5354" s="475"/>
      <c r="T5354" s="475"/>
      <c r="U5354" s="475"/>
      <c r="V5354" s="475"/>
      <c r="W5354" s="475"/>
    </row>
    <row r="5355" spans="2:23" s="97" customFormat="1">
      <c r="B5355" s="96"/>
      <c r="H5355" s="96"/>
      <c r="J5355" s="1"/>
      <c r="K5355" s="1"/>
      <c r="L5355" s="1"/>
      <c r="O5355" s="475"/>
      <c r="P5355" s="475"/>
      <c r="Q5355" s="475"/>
      <c r="R5355" s="475"/>
      <c r="S5355" s="475"/>
      <c r="T5355" s="475"/>
      <c r="U5355" s="475"/>
      <c r="V5355" s="475"/>
      <c r="W5355" s="475"/>
    </row>
    <row r="5356" spans="2:23" s="97" customFormat="1">
      <c r="B5356" s="96"/>
      <c r="H5356" s="96"/>
      <c r="J5356" s="1"/>
      <c r="K5356" s="1"/>
      <c r="L5356" s="1"/>
      <c r="O5356" s="475"/>
      <c r="P5356" s="475"/>
      <c r="Q5356" s="475"/>
      <c r="R5356" s="475"/>
      <c r="S5356" s="475"/>
      <c r="T5356" s="475"/>
      <c r="U5356" s="475"/>
      <c r="V5356" s="475"/>
      <c r="W5356" s="475"/>
    </row>
    <row r="5357" spans="2:23" s="97" customFormat="1">
      <c r="B5357" s="96"/>
      <c r="H5357" s="96"/>
      <c r="J5357" s="1"/>
      <c r="K5357" s="1"/>
      <c r="L5357" s="1"/>
      <c r="O5357" s="475"/>
      <c r="P5357" s="475"/>
      <c r="Q5357" s="475"/>
      <c r="R5357" s="475"/>
      <c r="S5357" s="475"/>
      <c r="T5357" s="475"/>
      <c r="U5357" s="475"/>
      <c r="V5357" s="475"/>
      <c r="W5357" s="475"/>
    </row>
    <row r="5358" spans="2:23" s="97" customFormat="1">
      <c r="B5358" s="96"/>
      <c r="H5358" s="96"/>
      <c r="J5358" s="1"/>
      <c r="K5358" s="1"/>
      <c r="L5358" s="1"/>
      <c r="O5358" s="475"/>
      <c r="P5358" s="475"/>
      <c r="Q5358" s="475"/>
      <c r="R5358" s="475"/>
      <c r="S5358" s="475"/>
      <c r="T5358" s="475"/>
      <c r="U5358" s="475"/>
      <c r="V5358" s="475"/>
      <c r="W5358" s="475"/>
    </row>
    <row r="5359" spans="2:23" s="97" customFormat="1">
      <c r="B5359" s="96"/>
      <c r="H5359" s="96"/>
      <c r="J5359" s="1"/>
      <c r="K5359" s="1"/>
      <c r="L5359" s="1"/>
      <c r="O5359" s="475"/>
      <c r="P5359" s="475"/>
      <c r="Q5359" s="475"/>
      <c r="R5359" s="475"/>
      <c r="S5359" s="475"/>
      <c r="T5359" s="475"/>
      <c r="U5359" s="475"/>
      <c r="V5359" s="475"/>
      <c r="W5359" s="475"/>
    </row>
    <row r="5360" spans="2:23" s="97" customFormat="1">
      <c r="B5360" s="96"/>
      <c r="H5360" s="96"/>
      <c r="J5360" s="1"/>
      <c r="K5360" s="1"/>
      <c r="L5360" s="1"/>
      <c r="O5360" s="475"/>
      <c r="P5360" s="475"/>
      <c r="Q5360" s="475"/>
      <c r="R5360" s="475"/>
      <c r="S5360" s="475"/>
      <c r="T5360" s="475"/>
      <c r="U5360" s="475"/>
      <c r="V5360" s="475"/>
      <c r="W5360" s="475"/>
    </row>
    <row r="5361" spans="2:23" s="97" customFormat="1">
      <c r="B5361" s="96"/>
      <c r="H5361" s="96"/>
      <c r="J5361" s="1"/>
      <c r="K5361" s="1"/>
      <c r="L5361" s="1"/>
      <c r="O5361" s="475"/>
      <c r="P5361" s="475"/>
      <c r="Q5361" s="475"/>
      <c r="R5361" s="475"/>
      <c r="S5361" s="475"/>
      <c r="T5361" s="475"/>
      <c r="U5361" s="475"/>
      <c r="V5361" s="475"/>
      <c r="W5361" s="475"/>
    </row>
    <row r="5362" spans="2:23" s="97" customFormat="1">
      <c r="B5362" s="96"/>
      <c r="H5362" s="96"/>
      <c r="J5362" s="1"/>
      <c r="K5362" s="1"/>
      <c r="L5362" s="1"/>
      <c r="O5362" s="475"/>
      <c r="P5362" s="475"/>
      <c r="Q5362" s="475"/>
      <c r="R5362" s="475"/>
      <c r="S5362" s="475"/>
      <c r="T5362" s="475"/>
      <c r="U5362" s="475"/>
      <c r="V5362" s="475"/>
      <c r="W5362" s="475"/>
    </row>
    <row r="5363" spans="2:23" s="97" customFormat="1">
      <c r="B5363" s="96"/>
      <c r="H5363" s="96"/>
      <c r="J5363" s="1"/>
      <c r="K5363" s="1"/>
      <c r="L5363" s="1"/>
      <c r="O5363" s="475"/>
      <c r="P5363" s="475"/>
      <c r="Q5363" s="475"/>
      <c r="R5363" s="475"/>
      <c r="S5363" s="475"/>
      <c r="T5363" s="475"/>
      <c r="U5363" s="475"/>
      <c r="V5363" s="475"/>
      <c r="W5363" s="475"/>
    </row>
    <row r="5364" spans="2:23" s="97" customFormat="1">
      <c r="B5364" s="96"/>
      <c r="H5364" s="96"/>
      <c r="J5364" s="1"/>
      <c r="K5364" s="1"/>
      <c r="L5364" s="1"/>
      <c r="O5364" s="475"/>
      <c r="P5364" s="475"/>
      <c r="Q5364" s="475"/>
      <c r="R5364" s="475"/>
      <c r="S5364" s="475"/>
      <c r="T5364" s="475"/>
      <c r="U5364" s="475"/>
      <c r="V5364" s="475"/>
      <c r="W5364" s="475"/>
    </row>
    <row r="5365" spans="2:23" s="97" customFormat="1">
      <c r="B5365" s="96"/>
      <c r="H5365" s="96"/>
      <c r="J5365" s="1"/>
      <c r="K5365" s="1"/>
      <c r="L5365" s="1"/>
      <c r="O5365" s="475"/>
      <c r="P5365" s="475"/>
      <c r="Q5365" s="475"/>
      <c r="R5365" s="475"/>
      <c r="S5365" s="475"/>
      <c r="T5365" s="475"/>
      <c r="U5365" s="475"/>
      <c r="V5365" s="475"/>
      <c r="W5365" s="475"/>
    </row>
    <row r="5366" spans="2:23" s="97" customFormat="1">
      <c r="B5366" s="96"/>
      <c r="H5366" s="96"/>
      <c r="J5366" s="1"/>
      <c r="K5366" s="1"/>
      <c r="L5366" s="1"/>
      <c r="O5366" s="475"/>
      <c r="P5366" s="475"/>
      <c r="Q5366" s="475"/>
      <c r="R5366" s="475"/>
      <c r="S5366" s="475"/>
      <c r="T5366" s="475"/>
      <c r="U5366" s="475"/>
      <c r="V5366" s="475"/>
      <c r="W5366" s="475"/>
    </row>
    <row r="5367" spans="2:23" s="97" customFormat="1">
      <c r="B5367" s="96"/>
      <c r="H5367" s="96"/>
      <c r="J5367" s="1"/>
      <c r="K5367" s="1"/>
      <c r="L5367" s="1"/>
      <c r="O5367" s="475"/>
      <c r="P5367" s="475"/>
      <c r="Q5367" s="475"/>
      <c r="R5367" s="475"/>
      <c r="S5367" s="475"/>
      <c r="T5367" s="475"/>
      <c r="U5367" s="475"/>
      <c r="V5367" s="475"/>
      <c r="W5367" s="475"/>
    </row>
    <row r="5368" spans="2:23" s="97" customFormat="1">
      <c r="B5368" s="96"/>
      <c r="H5368" s="96"/>
      <c r="J5368" s="1"/>
      <c r="K5368" s="1"/>
      <c r="L5368" s="1"/>
      <c r="O5368" s="475"/>
      <c r="P5368" s="475"/>
      <c r="Q5368" s="475"/>
      <c r="R5368" s="475"/>
      <c r="S5368" s="475"/>
      <c r="T5368" s="475"/>
      <c r="U5368" s="475"/>
      <c r="V5368" s="475"/>
      <c r="W5368" s="475"/>
    </row>
    <row r="5369" spans="2:23" s="97" customFormat="1">
      <c r="B5369" s="96"/>
      <c r="H5369" s="96"/>
      <c r="J5369" s="1"/>
      <c r="K5369" s="1"/>
      <c r="L5369" s="1"/>
      <c r="O5369" s="475"/>
      <c r="P5369" s="475"/>
      <c r="Q5369" s="475"/>
      <c r="R5369" s="475"/>
      <c r="S5369" s="475"/>
      <c r="T5369" s="475"/>
      <c r="U5369" s="475"/>
      <c r="V5369" s="475"/>
      <c r="W5369" s="475"/>
    </row>
    <row r="5370" spans="2:23" s="97" customFormat="1">
      <c r="B5370" s="96"/>
      <c r="H5370" s="96"/>
      <c r="J5370" s="1"/>
      <c r="K5370" s="1"/>
      <c r="L5370" s="1"/>
      <c r="O5370" s="475"/>
      <c r="P5370" s="475"/>
      <c r="Q5370" s="475"/>
      <c r="R5370" s="475"/>
      <c r="S5370" s="475"/>
      <c r="T5370" s="475"/>
      <c r="U5370" s="475"/>
      <c r="V5370" s="475"/>
      <c r="W5370" s="475"/>
    </row>
    <row r="5371" spans="2:23" s="97" customFormat="1">
      <c r="B5371" s="96"/>
      <c r="H5371" s="96"/>
      <c r="J5371" s="1"/>
      <c r="K5371" s="1"/>
      <c r="L5371" s="1"/>
      <c r="O5371" s="475"/>
      <c r="P5371" s="475"/>
      <c r="Q5371" s="475"/>
      <c r="R5371" s="475"/>
      <c r="S5371" s="475"/>
      <c r="T5371" s="475"/>
      <c r="U5371" s="475"/>
      <c r="V5371" s="475"/>
      <c r="W5371" s="475"/>
    </row>
    <row r="5372" spans="2:23" s="97" customFormat="1">
      <c r="B5372" s="96"/>
      <c r="H5372" s="96"/>
      <c r="J5372" s="1"/>
      <c r="K5372" s="1"/>
      <c r="L5372" s="1"/>
      <c r="O5372" s="475"/>
      <c r="P5372" s="475"/>
      <c r="Q5372" s="475"/>
      <c r="R5372" s="475"/>
      <c r="S5372" s="475"/>
      <c r="T5372" s="475"/>
      <c r="U5372" s="475"/>
      <c r="V5372" s="475"/>
      <c r="W5372" s="475"/>
    </row>
    <row r="5373" spans="2:23" s="97" customFormat="1">
      <c r="B5373" s="96"/>
      <c r="H5373" s="96"/>
      <c r="J5373" s="1"/>
      <c r="K5373" s="1"/>
      <c r="L5373" s="1"/>
      <c r="O5373" s="475"/>
      <c r="P5373" s="475"/>
      <c r="Q5373" s="475"/>
      <c r="R5373" s="475"/>
      <c r="S5373" s="475"/>
      <c r="T5373" s="475"/>
      <c r="U5373" s="475"/>
      <c r="V5373" s="475"/>
      <c r="W5373" s="475"/>
    </row>
    <row r="5374" spans="2:23" s="97" customFormat="1">
      <c r="B5374" s="96"/>
      <c r="H5374" s="96"/>
      <c r="J5374" s="1"/>
      <c r="K5374" s="1"/>
      <c r="L5374" s="1"/>
      <c r="O5374" s="475"/>
      <c r="P5374" s="475"/>
      <c r="Q5374" s="475"/>
      <c r="R5374" s="475"/>
      <c r="S5374" s="475"/>
      <c r="T5374" s="475"/>
      <c r="U5374" s="475"/>
      <c r="V5374" s="475"/>
      <c r="W5374" s="475"/>
    </row>
    <row r="5375" spans="2:23" s="97" customFormat="1">
      <c r="B5375" s="96"/>
      <c r="H5375" s="96"/>
      <c r="J5375" s="1"/>
      <c r="K5375" s="1"/>
      <c r="L5375" s="1"/>
      <c r="O5375" s="475"/>
      <c r="P5375" s="475"/>
      <c r="Q5375" s="475"/>
      <c r="R5375" s="475"/>
      <c r="S5375" s="475"/>
      <c r="T5375" s="475"/>
      <c r="U5375" s="475"/>
      <c r="V5375" s="475"/>
      <c r="W5375" s="475"/>
    </row>
    <row r="5376" spans="2:23" s="97" customFormat="1">
      <c r="B5376" s="96"/>
      <c r="H5376" s="96"/>
      <c r="J5376" s="1"/>
      <c r="K5376" s="1"/>
      <c r="L5376" s="1"/>
      <c r="O5376" s="475"/>
      <c r="P5376" s="475"/>
      <c r="Q5376" s="475"/>
      <c r="R5376" s="475"/>
      <c r="S5376" s="475"/>
      <c r="T5376" s="475"/>
      <c r="U5376" s="475"/>
      <c r="V5376" s="475"/>
      <c r="W5376" s="475"/>
    </row>
    <row r="5377" spans="2:23" s="97" customFormat="1">
      <c r="B5377" s="96"/>
      <c r="H5377" s="96"/>
      <c r="J5377" s="1"/>
      <c r="K5377" s="1"/>
      <c r="L5377" s="1"/>
      <c r="O5377" s="475"/>
      <c r="P5377" s="475"/>
      <c r="Q5377" s="475"/>
      <c r="R5377" s="475"/>
      <c r="S5377" s="475"/>
      <c r="T5377" s="475"/>
      <c r="U5377" s="475"/>
      <c r="V5377" s="475"/>
      <c r="W5377" s="475"/>
    </row>
    <row r="5378" spans="2:23" s="97" customFormat="1">
      <c r="B5378" s="96"/>
      <c r="H5378" s="96"/>
      <c r="J5378" s="1"/>
      <c r="K5378" s="1"/>
      <c r="L5378" s="1"/>
      <c r="O5378" s="475"/>
      <c r="P5378" s="475"/>
      <c r="Q5378" s="475"/>
      <c r="R5378" s="475"/>
      <c r="S5378" s="475"/>
      <c r="T5378" s="475"/>
      <c r="U5378" s="475"/>
      <c r="V5378" s="475"/>
      <c r="W5378" s="475"/>
    </row>
    <row r="5379" spans="2:23" s="97" customFormat="1">
      <c r="B5379" s="96"/>
      <c r="H5379" s="96"/>
      <c r="J5379" s="1"/>
      <c r="K5379" s="1"/>
      <c r="L5379" s="1"/>
      <c r="O5379" s="475"/>
      <c r="P5379" s="475"/>
      <c r="Q5379" s="475"/>
      <c r="R5379" s="475"/>
      <c r="S5379" s="475"/>
      <c r="T5379" s="475"/>
      <c r="U5379" s="475"/>
      <c r="V5379" s="475"/>
      <c r="W5379" s="475"/>
    </row>
    <row r="5380" spans="2:23" s="97" customFormat="1">
      <c r="B5380" s="96"/>
      <c r="H5380" s="96"/>
      <c r="J5380" s="1"/>
      <c r="K5380" s="1"/>
      <c r="L5380" s="1"/>
      <c r="O5380" s="475"/>
      <c r="P5380" s="475"/>
      <c r="Q5380" s="475"/>
      <c r="R5380" s="475"/>
      <c r="S5380" s="475"/>
      <c r="T5380" s="475"/>
      <c r="U5380" s="475"/>
      <c r="V5380" s="475"/>
      <c r="W5380" s="475"/>
    </row>
    <row r="5381" spans="2:23" s="97" customFormat="1">
      <c r="B5381" s="96"/>
      <c r="H5381" s="96"/>
      <c r="J5381" s="1"/>
      <c r="K5381" s="1"/>
      <c r="L5381" s="1"/>
      <c r="O5381" s="475"/>
      <c r="P5381" s="475"/>
      <c r="Q5381" s="475"/>
      <c r="R5381" s="475"/>
      <c r="S5381" s="475"/>
      <c r="T5381" s="475"/>
      <c r="U5381" s="475"/>
      <c r="V5381" s="475"/>
      <c r="W5381" s="475"/>
    </row>
    <row r="5382" spans="2:23" s="97" customFormat="1">
      <c r="B5382" s="96"/>
      <c r="H5382" s="96"/>
      <c r="J5382" s="1"/>
      <c r="K5382" s="1"/>
      <c r="L5382" s="1"/>
      <c r="O5382" s="475"/>
      <c r="P5382" s="475"/>
      <c r="Q5382" s="475"/>
      <c r="R5382" s="475"/>
      <c r="S5382" s="475"/>
      <c r="T5382" s="475"/>
      <c r="U5382" s="475"/>
      <c r="V5382" s="475"/>
      <c r="W5382" s="475"/>
    </row>
    <row r="5383" spans="2:23" s="97" customFormat="1">
      <c r="B5383" s="96"/>
      <c r="H5383" s="96"/>
      <c r="J5383" s="1"/>
      <c r="K5383" s="1"/>
      <c r="L5383" s="1"/>
      <c r="O5383" s="475"/>
      <c r="P5383" s="475"/>
      <c r="Q5383" s="475"/>
      <c r="R5383" s="475"/>
      <c r="S5383" s="475"/>
      <c r="T5383" s="475"/>
      <c r="U5383" s="475"/>
      <c r="V5383" s="475"/>
      <c r="W5383" s="475"/>
    </row>
    <row r="5384" spans="2:23" s="97" customFormat="1">
      <c r="B5384" s="96"/>
      <c r="H5384" s="96"/>
      <c r="J5384" s="1"/>
      <c r="K5384" s="1"/>
      <c r="L5384" s="1"/>
      <c r="O5384" s="475"/>
      <c r="P5384" s="475"/>
      <c r="Q5384" s="475"/>
      <c r="R5384" s="475"/>
      <c r="S5384" s="475"/>
      <c r="T5384" s="475"/>
      <c r="U5384" s="475"/>
      <c r="V5384" s="475"/>
      <c r="W5384" s="475"/>
    </row>
    <row r="5385" spans="2:23" s="97" customFormat="1">
      <c r="B5385" s="96"/>
      <c r="H5385" s="96"/>
      <c r="J5385" s="1"/>
      <c r="K5385" s="1"/>
      <c r="L5385" s="1"/>
      <c r="O5385" s="475"/>
      <c r="P5385" s="475"/>
      <c r="Q5385" s="475"/>
      <c r="R5385" s="475"/>
      <c r="S5385" s="475"/>
      <c r="T5385" s="475"/>
      <c r="U5385" s="475"/>
      <c r="V5385" s="475"/>
      <c r="W5385" s="475"/>
    </row>
    <row r="5386" spans="2:23" s="97" customFormat="1">
      <c r="B5386" s="96"/>
      <c r="H5386" s="96"/>
      <c r="J5386" s="1"/>
      <c r="K5386" s="1"/>
      <c r="L5386" s="1"/>
      <c r="O5386" s="475"/>
      <c r="P5386" s="475"/>
      <c r="Q5386" s="475"/>
      <c r="R5386" s="475"/>
      <c r="S5386" s="475"/>
      <c r="T5386" s="475"/>
      <c r="U5386" s="475"/>
      <c r="V5386" s="475"/>
      <c r="W5386" s="475"/>
    </row>
    <row r="5387" spans="2:23" s="97" customFormat="1">
      <c r="B5387" s="96"/>
      <c r="H5387" s="96"/>
      <c r="J5387" s="1"/>
      <c r="K5387" s="1"/>
      <c r="L5387" s="1"/>
      <c r="O5387" s="475"/>
      <c r="P5387" s="475"/>
      <c r="Q5387" s="475"/>
      <c r="R5387" s="475"/>
      <c r="S5387" s="475"/>
      <c r="T5387" s="475"/>
      <c r="U5387" s="475"/>
      <c r="V5387" s="475"/>
      <c r="W5387" s="475"/>
    </row>
    <row r="5388" spans="2:23" s="97" customFormat="1">
      <c r="B5388" s="96"/>
      <c r="H5388" s="96"/>
      <c r="J5388" s="1"/>
      <c r="K5388" s="1"/>
      <c r="L5388" s="1"/>
      <c r="O5388" s="475"/>
      <c r="P5388" s="475"/>
      <c r="Q5388" s="475"/>
      <c r="R5388" s="475"/>
      <c r="S5388" s="475"/>
      <c r="T5388" s="475"/>
      <c r="U5388" s="475"/>
      <c r="V5388" s="475"/>
      <c r="W5388" s="475"/>
    </row>
    <row r="5389" spans="2:23" s="97" customFormat="1">
      <c r="B5389" s="96"/>
      <c r="H5389" s="96"/>
      <c r="J5389" s="1"/>
      <c r="K5389" s="1"/>
      <c r="L5389" s="1"/>
      <c r="O5389" s="475"/>
      <c r="P5389" s="475"/>
      <c r="Q5389" s="475"/>
      <c r="R5389" s="475"/>
      <c r="S5389" s="475"/>
      <c r="T5389" s="475"/>
      <c r="U5389" s="475"/>
      <c r="V5389" s="475"/>
      <c r="W5389" s="475"/>
    </row>
    <row r="5390" spans="2:23" s="97" customFormat="1">
      <c r="B5390" s="96"/>
      <c r="H5390" s="96"/>
      <c r="J5390" s="1"/>
      <c r="K5390" s="1"/>
      <c r="L5390" s="1"/>
      <c r="O5390" s="475"/>
      <c r="P5390" s="475"/>
      <c r="Q5390" s="475"/>
      <c r="R5390" s="475"/>
      <c r="S5390" s="475"/>
      <c r="T5390" s="475"/>
      <c r="U5390" s="475"/>
      <c r="V5390" s="475"/>
      <c r="W5390" s="475"/>
    </row>
    <row r="5391" spans="2:23" s="97" customFormat="1">
      <c r="B5391" s="96"/>
      <c r="H5391" s="96"/>
      <c r="J5391" s="1"/>
      <c r="K5391" s="1"/>
      <c r="L5391" s="1"/>
      <c r="O5391" s="475"/>
      <c r="P5391" s="475"/>
      <c r="Q5391" s="475"/>
      <c r="R5391" s="475"/>
      <c r="S5391" s="475"/>
      <c r="T5391" s="475"/>
      <c r="U5391" s="475"/>
      <c r="V5391" s="475"/>
      <c r="W5391" s="475"/>
    </row>
    <row r="5392" spans="2:23" s="97" customFormat="1">
      <c r="B5392" s="96"/>
      <c r="H5392" s="96"/>
      <c r="J5392" s="1"/>
      <c r="K5392" s="1"/>
      <c r="L5392" s="1"/>
      <c r="O5392" s="475"/>
      <c r="P5392" s="475"/>
      <c r="Q5392" s="475"/>
      <c r="R5392" s="475"/>
      <c r="S5392" s="475"/>
      <c r="T5392" s="475"/>
      <c r="U5392" s="475"/>
      <c r="V5392" s="475"/>
      <c r="W5392" s="475"/>
    </row>
    <row r="5393" spans="2:23" s="97" customFormat="1">
      <c r="B5393" s="96"/>
      <c r="H5393" s="96"/>
      <c r="J5393" s="1"/>
      <c r="K5393" s="1"/>
      <c r="L5393" s="1"/>
      <c r="O5393" s="475"/>
      <c r="P5393" s="475"/>
      <c r="Q5393" s="475"/>
      <c r="R5393" s="475"/>
      <c r="S5393" s="475"/>
      <c r="T5393" s="475"/>
      <c r="U5393" s="475"/>
      <c r="V5393" s="475"/>
      <c r="W5393" s="475"/>
    </row>
    <row r="5394" spans="2:23" s="97" customFormat="1">
      <c r="B5394" s="96"/>
      <c r="H5394" s="96"/>
      <c r="J5394" s="1"/>
      <c r="K5394" s="1"/>
      <c r="L5394" s="1"/>
      <c r="O5394" s="475"/>
      <c r="P5394" s="475"/>
      <c r="Q5394" s="475"/>
      <c r="R5394" s="475"/>
      <c r="S5394" s="475"/>
      <c r="T5394" s="475"/>
      <c r="U5394" s="475"/>
      <c r="V5394" s="475"/>
      <c r="W5394" s="475"/>
    </row>
    <row r="5395" spans="2:23" s="97" customFormat="1">
      <c r="B5395" s="96"/>
      <c r="H5395" s="96"/>
      <c r="J5395" s="1"/>
      <c r="K5395" s="1"/>
      <c r="L5395" s="1"/>
      <c r="O5395" s="475"/>
      <c r="P5395" s="475"/>
      <c r="Q5395" s="475"/>
      <c r="R5395" s="475"/>
      <c r="S5395" s="475"/>
      <c r="T5395" s="475"/>
      <c r="U5395" s="475"/>
      <c r="V5395" s="475"/>
      <c r="W5395" s="475"/>
    </row>
    <row r="5396" spans="2:23" s="97" customFormat="1">
      <c r="B5396" s="96"/>
      <c r="H5396" s="96"/>
      <c r="J5396" s="1"/>
      <c r="K5396" s="1"/>
      <c r="L5396" s="1"/>
      <c r="O5396" s="475"/>
      <c r="P5396" s="475"/>
      <c r="Q5396" s="475"/>
      <c r="R5396" s="475"/>
      <c r="S5396" s="475"/>
      <c r="T5396" s="475"/>
      <c r="U5396" s="475"/>
      <c r="V5396" s="475"/>
      <c r="W5396" s="475"/>
    </row>
    <row r="5397" spans="2:23" s="97" customFormat="1">
      <c r="B5397" s="96"/>
      <c r="H5397" s="96"/>
      <c r="J5397" s="1"/>
      <c r="K5397" s="1"/>
      <c r="L5397" s="1"/>
      <c r="O5397" s="475"/>
      <c r="P5397" s="475"/>
      <c r="Q5397" s="475"/>
      <c r="R5397" s="475"/>
      <c r="S5397" s="475"/>
      <c r="T5397" s="475"/>
      <c r="U5397" s="475"/>
      <c r="V5397" s="475"/>
      <c r="W5397" s="475"/>
    </row>
    <row r="5398" spans="2:23" s="97" customFormat="1">
      <c r="B5398" s="96"/>
      <c r="H5398" s="96"/>
      <c r="J5398" s="1"/>
      <c r="K5398" s="1"/>
      <c r="L5398" s="1"/>
      <c r="O5398" s="475"/>
      <c r="P5398" s="475"/>
      <c r="Q5398" s="475"/>
      <c r="R5398" s="475"/>
      <c r="S5398" s="475"/>
      <c r="T5398" s="475"/>
      <c r="U5398" s="475"/>
      <c r="V5398" s="475"/>
      <c r="W5398" s="475"/>
    </row>
    <row r="5399" spans="2:23" s="97" customFormat="1">
      <c r="B5399" s="96"/>
      <c r="H5399" s="96"/>
      <c r="J5399" s="1"/>
      <c r="K5399" s="1"/>
      <c r="L5399" s="1"/>
      <c r="O5399" s="475"/>
      <c r="P5399" s="475"/>
      <c r="Q5399" s="475"/>
      <c r="R5399" s="475"/>
      <c r="S5399" s="475"/>
      <c r="T5399" s="475"/>
      <c r="U5399" s="475"/>
      <c r="V5399" s="475"/>
      <c r="W5399" s="475"/>
    </row>
    <row r="5400" spans="2:23" s="97" customFormat="1">
      <c r="B5400" s="96"/>
      <c r="H5400" s="96"/>
      <c r="J5400" s="1"/>
      <c r="K5400" s="1"/>
      <c r="L5400" s="1"/>
      <c r="O5400" s="475"/>
      <c r="P5400" s="475"/>
      <c r="Q5400" s="475"/>
      <c r="R5400" s="475"/>
      <c r="S5400" s="475"/>
      <c r="T5400" s="475"/>
      <c r="U5400" s="475"/>
      <c r="V5400" s="475"/>
      <c r="W5400" s="475"/>
    </row>
    <row r="5401" spans="2:23" s="97" customFormat="1">
      <c r="B5401" s="96"/>
      <c r="H5401" s="96"/>
      <c r="J5401" s="1"/>
      <c r="K5401" s="1"/>
      <c r="L5401" s="1"/>
      <c r="O5401" s="475"/>
      <c r="P5401" s="475"/>
      <c r="Q5401" s="475"/>
      <c r="R5401" s="475"/>
      <c r="S5401" s="475"/>
      <c r="T5401" s="475"/>
      <c r="U5401" s="475"/>
      <c r="V5401" s="475"/>
      <c r="W5401" s="475"/>
    </row>
    <row r="5402" spans="2:23" s="97" customFormat="1">
      <c r="B5402" s="96"/>
      <c r="H5402" s="96"/>
      <c r="J5402" s="1"/>
      <c r="K5402" s="1"/>
      <c r="L5402" s="1"/>
      <c r="O5402" s="475"/>
      <c r="P5402" s="475"/>
      <c r="Q5402" s="475"/>
      <c r="R5402" s="475"/>
      <c r="S5402" s="475"/>
      <c r="T5402" s="475"/>
      <c r="U5402" s="475"/>
      <c r="V5402" s="475"/>
      <c r="W5402" s="475"/>
    </row>
    <row r="5403" spans="2:23" s="97" customFormat="1">
      <c r="B5403" s="96"/>
      <c r="H5403" s="96"/>
      <c r="J5403" s="1"/>
      <c r="K5403" s="1"/>
      <c r="L5403" s="1"/>
      <c r="O5403" s="475"/>
      <c r="P5403" s="475"/>
      <c r="Q5403" s="475"/>
      <c r="R5403" s="475"/>
      <c r="S5403" s="475"/>
      <c r="T5403" s="475"/>
      <c r="U5403" s="475"/>
      <c r="V5403" s="475"/>
      <c r="W5403" s="475"/>
    </row>
    <row r="5404" spans="2:23" s="97" customFormat="1">
      <c r="B5404" s="96"/>
      <c r="H5404" s="96"/>
      <c r="J5404" s="1"/>
      <c r="K5404" s="1"/>
      <c r="L5404" s="1"/>
      <c r="O5404" s="475"/>
      <c r="P5404" s="475"/>
      <c r="Q5404" s="475"/>
      <c r="R5404" s="475"/>
      <c r="S5404" s="475"/>
      <c r="T5404" s="475"/>
      <c r="U5404" s="475"/>
      <c r="V5404" s="475"/>
      <c r="W5404" s="475"/>
    </row>
    <row r="5405" spans="2:23" s="97" customFormat="1">
      <c r="B5405" s="96"/>
      <c r="H5405" s="96"/>
      <c r="J5405" s="1"/>
      <c r="K5405" s="1"/>
      <c r="L5405" s="1"/>
      <c r="O5405" s="475"/>
      <c r="P5405" s="475"/>
      <c r="Q5405" s="475"/>
      <c r="R5405" s="475"/>
      <c r="S5405" s="475"/>
      <c r="T5405" s="475"/>
      <c r="U5405" s="475"/>
      <c r="V5405" s="475"/>
      <c r="W5405" s="475"/>
    </row>
    <row r="5406" spans="2:23" s="97" customFormat="1">
      <c r="B5406" s="96"/>
      <c r="H5406" s="96"/>
      <c r="J5406" s="1"/>
      <c r="K5406" s="1"/>
      <c r="L5406" s="1"/>
      <c r="O5406" s="475"/>
      <c r="P5406" s="475"/>
      <c r="Q5406" s="475"/>
      <c r="R5406" s="475"/>
      <c r="S5406" s="475"/>
      <c r="T5406" s="475"/>
      <c r="U5406" s="475"/>
      <c r="V5406" s="475"/>
      <c r="W5406" s="475"/>
    </row>
    <row r="5407" spans="2:23" s="97" customFormat="1">
      <c r="B5407" s="96"/>
      <c r="H5407" s="96"/>
      <c r="J5407" s="1"/>
      <c r="K5407" s="1"/>
      <c r="L5407" s="1"/>
      <c r="O5407" s="475"/>
      <c r="P5407" s="475"/>
      <c r="Q5407" s="475"/>
      <c r="R5407" s="475"/>
      <c r="S5407" s="475"/>
      <c r="T5407" s="475"/>
      <c r="U5407" s="475"/>
      <c r="V5407" s="475"/>
      <c r="W5407" s="475"/>
    </row>
    <row r="5408" spans="2:23" s="97" customFormat="1">
      <c r="B5408" s="96"/>
      <c r="H5408" s="96"/>
      <c r="J5408" s="1"/>
      <c r="K5408" s="1"/>
      <c r="L5408" s="1"/>
      <c r="O5408" s="475"/>
      <c r="P5408" s="475"/>
      <c r="Q5408" s="475"/>
      <c r="R5408" s="475"/>
      <c r="S5408" s="475"/>
      <c r="T5408" s="475"/>
      <c r="U5408" s="475"/>
      <c r="V5408" s="475"/>
      <c r="W5408" s="475"/>
    </row>
    <row r="5409" spans="2:23" s="97" customFormat="1">
      <c r="B5409" s="96"/>
      <c r="H5409" s="96"/>
      <c r="J5409" s="1"/>
      <c r="K5409" s="1"/>
      <c r="L5409" s="1"/>
      <c r="O5409" s="475"/>
      <c r="P5409" s="475"/>
      <c r="Q5409" s="475"/>
      <c r="R5409" s="475"/>
      <c r="S5409" s="475"/>
      <c r="T5409" s="475"/>
      <c r="U5409" s="475"/>
      <c r="V5409" s="475"/>
      <c r="W5409" s="475"/>
    </row>
    <row r="5410" spans="2:23" s="97" customFormat="1">
      <c r="B5410" s="96"/>
      <c r="H5410" s="96"/>
      <c r="J5410" s="1"/>
      <c r="K5410" s="1"/>
      <c r="L5410" s="1"/>
      <c r="O5410" s="475"/>
      <c r="P5410" s="475"/>
      <c r="Q5410" s="475"/>
      <c r="R5410" s="475"/>
      <c r="S5410" s="475"/>
      <c r="T5410" s="475"/>
      <c r="U5410" s="475"/>
      <c r="V5410" s="475"/>
      <c r="W5410" s="475"/>
    </row>
    <row r="5411" spans="2:23" s="97" customFormat="1">
      <c r="B5411" s="96"/>
      <c r="H5411" s="96"/>
      <c r="J5411" s="1"/>
      <c r="K5411" s="1"/>
      <c r="L5411" s="1"/>
      <c r="O5411" s="475"/>
      <c r="P5411" s="475"/>
      <c r="Q5411" s="475"/>
      <c r="R5411" s="475"/>
      <c r="S5411" s="475"/>
      <c r="T5411" s="475"/>
      <c r="U5411" s="475"/>
      <c r="V5411" s="475"/>
      <c r="W5411" s="475"/>
    </row>
    <row r="5412" spans="2:23" s="97" customFormat="1">
      <c r="B5412" s="96"/>
      <c r="H5412" s="96"/>
      <c r="J5412" s="1"/>
      <c r="K5412" s="1"/>
      <c r="L5412" s="1"/>
      <c r="O5412" s="475"/>
      <c r="P5412" s="475"/>
      <c r="Q5412" s="475"/>
      <c r="R5412" s="475"/>
      <c r="S5412" s="475"/>
      <c r="T5412" s="475"/>
      <c r="U5412" s="475"/>
      <c r="V5412" s="475"/>
      <c r="W5412" s="475"/>
    </row>
    <row r="5413" spans="2:23" s="97" customFormat="1">
      <c r="B5413" s="96"/>
      <c r="H5413" s="96"/>
      <c r="J5413" s="1"/>
      <c r="K5413" s="1"/>
      <c r="L5413" s="1"/>
      <c r="O5413" s="475"/>
      <c r="P5413" s="475"/>
      <c r="Q5413" s="475"/>
      <c r="R5413" s="475"/>
      <c r="S5413" s="475"/>
      <c r="T5413" s="475"/>
      <c r="U5413" s="475"/>
      <c r="V5413" s="475"/>
      <c r="W5413" s="475"/>
    </row>
    <row r="5414" spans="2:23" s="97" customFormat="1">
      <c r="B5414" s="96"/>
      <c r="H5414" s="96"/>
      <c r="J5414" s="1"/>
      <c r="K5414" s="1"/>
      <c r="L5414" s="1"/>
      <c r="O5414" s="475"/>
      <c r="P5414" s="475"/>
      <c r="Q5414" s="475"/>
      <c r="R5414" s="475"/>
      <c r="S5414" s="475"/>
      <c r="T5414" s="475"/>
      <c r="U5414" s="475"/>
      <c r="V5414" s="475"/>
      <c r="W5414" s="475"/>
    </row>
    <row r="5415" spans="2:23" s="97" customFormat="1">
      <c r="B5415" s="96"/>
      <c r="H5415" s="96"/>
      <c r="J5415" s="1"/>
      <c r="K5415" s="1"/>
      <c r="L5415" s="1"/>
      <c r="O5415" s="475"/>
      <c r="P5415" s="475"/>
      <c r="Q5415" s="475"/>
      <c r="R5415" s="475"/>
      <c r="S5415" s="475"/>
      <c r="T5415" s="475"/>
      <c r="U5415" s="475"/>
      <c r="V5415" s="475"/>
      <c r="W5415" s="475"/>
    </row>
    <row r="5416" spans="2:23" s="97" customFormat="1">
      <c r="B5416" s="96"/>
      <c r="H5416" s="96"/>
      <c r="J5416" s="1"/>
      <c r="K5416" s="1"/>
      <c r="L5416" s="1"/>
      <c r="O5416" s="475"/>
      <c r="P5416" s="475"/>
      <c r="Q5416" s="475"/>
      <c r="R5416" s="475"/>
      <c r="S5416" s="475"/>
      <c r="T5416" s="475"/>
      <c r="U5416" s="475"/>
      <c r="V5416" s="475"/>
      <c r="W5416" s="475"/>
    </row>
    <row r="5417" spans="2:23" s="97" customFormat="1">
      <c r="B5417" s="96"/>
      <c r="H5417" s="96"/>
      <c r="J5417" s="1"/>
      <c r="K5417" s="1"/>
      <c r="L5417" s="1"/>
      <c r="O5417" s="475"/>
      <c r="P5417" s="475"/>
      <c r="Q5417" s="475"/>
      <c r="R5417" s="475"/>
      <c r="S5417" s="475"/>
      <c r="T5417" s="475"/>
      <c r="U5417" s="475"/>
      <c r="V5417" s="475"/>
      <c r="W5417" s="475"/>
    </row>
    <row r="5418" spans="2:23" s="97" customFormat="1">
      <c r="B5418" s="96"/>
      <c r="H5418" s="96"/>
      <c r="J5418" s="1"/>
      <c r="K5418" s="1"/>
      <c r="L5418" s="1"/>
      <c r="O5418" s="475"/>
      <c r="P5418" s="475"/>
      <c r="Q5418" s="475"/>
      <c r="R5418" s="475"/>
      <c r="S5418" s="475"/>
      <c r="T5418" s="475"/>
      <c r="U5418" s="475"/>
      <c r="V5418" s="475"/>
      <c r="W5418" s="475"/>
    </row>
    <row r="5419" spans="2:23" s="97" customFormat="1">
      <c r="B5419" s="96"/>
      <c r="H5419" s="96"/>
      <c r="J5419" s="1"/>
      <c r="K5419" s="1"/>
      <c r="L5419" s="1"/>
      <c r="O5419" s="475"/>
      <c r="P5419" s="475"/>
      <c r="Q5419" s="475"/>
      <c r="R5419" s="475"/>
      <c r="S5419" s="475"/>
      <c r="T5419" s="475"/>
      <c r="U5419" s="475"/>
      <c r="V5419" s="475"/>
      <c r="W5419" s="475"/>
    </row>
    <row r="5420" spans="2:23" s="97" customFormat="1">
      <c r="B5420" s="96"/>
      <c r="H5420" s="96"/>
      <c r="J5420" s="1"/>
      <c r="K5420" s="1"/>
      <c r="L5420" s="1"/>
      <c r="O5420" s="475"/>
      <c r="P5420" s="475"/>
      <c r="Q5420" s="475"/>
      <c r="R5420" s="475"/>
      <c r="S5420" s="475"/>
      <c r="T5420" s="475"/>
      <c r="U5420" s="475"/>
      <c r="V5420" s="475"/>
      <c r="W5420" s="475"/>
    </row>
    <row r="5421" spans="2:23" s="97" customFormat="1">
      <c r="B5421" s="96"/>
      <c r="H5421" s="96"/>
      <c r="J5421" s="1"/>
      <c r="K5421" s="1"/>
      <c r="L5421" s="1"/>
      <c r="O5421" s="475"/>
      <c r="P5421" s="475"/>
      <c r="Q5421" s="475"/>
      <c r="R5421" s="475"/>
      <c r="S5421" s="475"/>
      <c r="T5421" s="475"/>
      <c r="U5421" s="475"/>
      <c r="V5421" s="475"/>
      <c r="W5421" s="475"/>
    </row>
    <row r="5422" spans="2:23" s="97" customFormat="1">
      <c r="B5422" s="96"/>
      <c r="H5422" s="96"/>
      <c r="J5422" s="1"/>
      <c r="K5422" s="1"/>
      <c r="L5422" s="1"/>
      <c r="O5422" s="475"/>
      <c r="P5422" s="475"/>
      <c r="Q5422" s="475"/>
      <c r="R5422" s="475"/>
      <c r="S5422" s="475"/>
      <c r="T5422" s="475"/>
      <c r="U5422" s="475"/>
      <c r="V5422" s="475"/>
      <c r="W5422" s="475"/>
    </row>
    <row r="5423" spans="2:23" s="97" customFormat="1">
      <c r="B5423" s="96"/>
      <c r="H5423" s="96"/>
      <c r="J5423" s="1"/>
      <c r="K5423" s="1"/>
      <c r="L5423" s="1"/>
      <c r="O5423" s="475"/>
      <c r="P5423" s="475"/>
      <c r="Q5423" s="475"/>
      <c r="R5423" s="475"/>
      <c r="S5423" s="475"/>
      <c r="T5423" s="475"/>
      <c r="U5423" s="475"/>
      <c r="V5423" s="475"/>
      <c r="W5423" s="475"/>
    </row>
    <row r="5424" spans="2:23" s="97" customFormat="1">
      <c r="B5424" s="96"/>
      <c r="H5424" s="96"/>
      <c r="J5424" s="1"/>
      <c r="K5424" s="1"/>
      <c r="L5424" s="1"/>
      <c r="O5424" s="475"/>
      <c r="P5424" s="475"/>
      <c r="Q5424" s="475"/>
      <c r="R5424" s="475"/>
      <c r="S5424" s="475"/>
      <c r="T5424" s="475"/>
      <c r="U5424" s="475"/>
      <c r="V5424" s="475"/>
      <c r="W5424" s="475"/>
    </row>
    <row r="5425" spans="2:23" s="97" customFormat="1">
      <c r="B5425" s="96"/>
      <c r="H5425" s="96"/>
      <c r="J5425" s="1"/>
      <c r="K5425" s="1"/>
      <c r="L5425" s="1"/>
      <c r="O5425" s="475"/>
      <c r="P5425" s="475"/>
      <c r="Q5425" s="475"/>
      <c r="R5425" s="475"/>
      <c r="S5425" s="475"/>
      <c r="T5425" s="475"/>
      <c r="U5425" s="475"/>
      <c r="V5425" s="475"/>
      <c r="W5425" s="475"/>
    </row>
    <row r="5426" spans="2:23" s="97" customFormat="1">
      <c r="B5426" s="96"/>
      <c r="H5426" s="96"/>
      <c r="J5426" s="1"/>
      <c r="K5426" s="1"/>
      <c r="L5426" s="1"/>
      <c r="O5426" s="475"/>
      <c r="P5426" s="475"/>
      <c r="Q5426" s="475"/>
      <c r="R5426" s="475"/>
      <c r="S5426" s="475"/>
      <c r="T5426" s="475"/>
      <c r="U5426" s="475"/>
      <c r="V5426" s="475"/>
      <c r="W5426" s="475"/>
    </row>
    <row r="5427" spans="2:23" s="97" customFormat="1">
      <c r="B5427" s="96"/>
      <c r="H5427" s="96"/>
      <c r="J5427" s="1"/>
      <c r="K5427" s="1"/>
      <c r="L5427" s="1"/>
      <c r="O5427" s="475"/>
      <c r="P5427" s="475"/>
      <c r="Q5427" s="475"/>
      <c r="R5427" s="475"/>
      <c r="S5427" s="475"/>
      <c r="T5427" s="475"/>
      <c r="U5427" s="475"/>
      <c r="V5427" s="475"/>
      <c r="W5427" s="475"/>
    </row>
    <row r="5428" spans="2:23" s="97" customFormat="1">
      <c r="B5428" s="96"/>
      <c r="H5428" s="96"/>
      <c r="J5428" s="1"/>
      <c r="K5428" s="1"/>
      <c r="L5428" s="1"/>
      <c r="O5428" s="475"/>
      <c r="P5428" s="475"/>
      <c r="Q5428" s="475"/>
      <c r="R5428" s="475"/>
      <c r="S5428" s="475"/>
      <c r="T5428" s="475"/>
      <c r="U5428" s="475"/>
      <c r="V5428" s="475"/>
      <c r="W5428" s="475"/>
    </row>
    <row r="5429" spans="2:23" s="97" customFormat="1">
      <c r="B5429" s="96"/>
      <c r="H5429" s="96"/>
      <c r="J5429" s="1"/>
      <c r="K5429" s="1"/>
      <c r="L5429" s="1"/>
      <c r="O5429" s="475"/>
      <c r="P5429" s="475"/>
      <c r="Q5429" s="475"/>
      <c r="R5429" s="475"/>
      <c r="S5429" s="475"/>
      <c r="T5429" s="475"/>
      <c r="U5429" s="475"/>
      <c r="V5429" s="475"/>
      <c r="W5429" s="475"/>
    </row>
    <row r="5430" spans="2:23" s="97" customFormat="1">
      <c r="B5430" s="96"/>
      <c r="H5430" s="96"/>
      <c r="J5430" s="1"/>
      <c r="K5430" s="1"/>
      <c r="L5430" s="1"/>
      <c r="O5430" s="475"/>
      <c r="P5430" s="475"/>
      <c r="Q5430" s="475"/>
      <c r="R5430" s="475"/>
      <c r="S5430" s="475"/>
      <c r="T5430" s="475"/>
      <c r="U5430" s="475"/>
      <c r="V5430" s="475"/>
      <c r="W5430" s="475"/>
    </row>
    <row r="5431" spans="2:23" s="97" customFormat="1">
      <c r="B5431" s="96"/>
      <c r="H5431" s="96"/>
      <c r="J5431" s="1"/>
      <c r="K5431" s="1"/>
      <c r="L5431" s="1"/>
      <c r="O5431" s="475"/>
      <c r="P5431" s="475"/>
      <c r="Q5431" s="475"/>
      <c r="R5431" s="475"/>
      <c r="S5431" s="475"/>
      <c r="T5431" s="475"/>
      <c r="U5431" s="475"/>
      <c r="V5431" s="475"/>
      <c r="W5431" s="475"/>
    </row>
    <row r="5432" spans="2:23" s="97" customFormat="1">
      <c r="B5432" s="96"/>
      <c r="H5432" s="96"/>
      <c r="J5432" s="1"/>
      <c r="K5432" s="1"/>
      <c r="L5432" s="1"/>
      <c r="O5432" s="475"/>
      <c r="P5432" s="475"/>
      <c r="Q5432" s="475"/>
      <c r="R5432" s="475"/>
      <c r="S5432" s="475"/>
      <c r="T5432" s="475"/>
      <c r="U5432" s="475"/>
      <c r="V5432" s="475"/>
      <c r="W5432" s="475"/>
    </row>
    <row r="5433" spans="2:23" s="97" customFormat="1">
      <c r="B5433" s="96"/>
      <c r="H5433" s="96"/>
      <c r="J5433" s="1"/>
      <c r="K5433" s="1"/>
      <c r="L5433" s="1"/>
      <c r="O5433" s="475"/>
      <c r="P5433" s="475"/>
      <c r="Q5433" s="475"/>
      <c r="R5433" s="475"/>
      <c r="S5433" s="475"/>
      <c r="T5433" s="475"/>
      <c r="U5433" s="475"/>
      <c r="V5433" s="475"/>
      <c r="W5433" s="475"/>
    </row>
    <row r="5434" spans="2:23" s="97" customFormat="1">
      <c r="B5434" s="96"/>
      <c r="H5434" s="96"/>
      <c r="J5434" s="1"/>
      <c r="K5434" s="1"/>
      <c r="L5434" s="1"/>
      <c r="O5434" s="475"/>
      <c r="P5434" s="475"/>
      <c r="Q5434" s="475"/>
      <c r="R5434" s="475"/>
      <c r="S5434" s="475"/>
      <c r="T5434" s="475"/>
      <c r="U5434" s="475"/>
      <c r="V5434" s="475"/>
      <c r="W5434" s="475"/>
    </row>
    <row r="5435" spans="2:23" s="97" customFormat="1">
      <c r="B5435" s="96"/>
      <c r="H5435" s="96"/>
      <c r="J5435" s="1"/>
      <c r="K5435" s="1"/>
      <c r="L5435" s="1"/>
      <c r="O5435" s="475"/>
      <c r="P5435" s="475"/>
      <c r="Q5435" s="475"/>
      <c r="R5435" s="475"/>
      <c r="S5435" s="475"/>
      <c r="T5435" s="475"/>
      <c r="U5435" s="475"/>
      <c r="V5435" s="475"/>
      <c r="W5435" s="475"/>
    </row>
    <row r="5436" spans="2:23" s="97" customFormat="1">
      <c r="B5436" s="96"/>
      <c r="H5436" s="96"/>
      <c r="J5436" s="1"/>
      <c r="K5436" s="1"/>
      <c r="L5436" s="1"/>
      <c r="O5436" s="475"/>
      <c r="P5436" s="475"/>
      <c r="Q5436" s="475"/>
      <c r="R5436" s="475"/>
      <c r="S5436" s="475"/>
      <c r="T5436" s="475"/>
      <c r="U5436" s="475"/>
      <c r="V5436" s="475"/>
      <c r="W5436" s="475"/>
    </row>
    <row r="5437" spans="2:23" s="97" customFormat="1">
      <c r="B5437" s="96"/>
      <c r="H5437" s="96"/>
      <c r="J5437" s="1"/>
      <c r="K5437" s="1"/>
      <c r="L5437" s="1"/>
      <c r="O5437" s="475"/>
      <c r="P5437" s="475"/>
      <c r="Q5437" s="475"/>
      <c r="R5437" s="475"/>
      <c r="S5437" s="475"/>
      <c r="T5437" s="475"/>
      <c r="U5437" s="475"/>
      <c r="V5437" s="475"/>
      <c r="W5437" s="475"/>
    </row>
    <row r="5438" spans="2:23" s="97" customFormat="1">
      <c r="B5438" s="96"/>
      <c r="H5438" s="96"/>
      <c r="J5438" s="1"/>
      <c r="K5438" s="1"/>
      <c r="L5438" s="1"/>
      <c r="O5438" s="475"/>
      <c r="P5438" s="475"/>
      <c r="Q5438" s="475"/>
      <c r="R5438" s="475"/>
      <c r="S5438" s="475"/>
      <c r="T5438" s="475"/>
      <c r="U5438" s="475"/>
      <c r="V5438" s="475"/>
      <c r="W5438" s="475"/>
    </row>
    <row r="5439" spans="2:23" s="97" customFormat="1">
      <c r="B5439" s="96"/>
      <c r="H5439" s="96"/>
      <c r="J5439" s="1"/>
      <c r="K5439" s="1"/>
      <c r="L5439" s="1"/>
      <c r="O5439" s="475"/>
      <c r="P5439" s="475"/>
      <c r="Q5439" s="475"/>
      <c r="R5439" s="475"/>
      <c r="S5439" s="475"/>
      <c r="T5439" s="475"/>
      <c r="U5439" s="475"/>
      <c r="V5439" s="475"/>
      <c r="W5439" s="475"/>
    </row>
    <row r="5440" spans="2:23" s="97" customFormat="1">
      <c r="B5440" s="96"/>
      <c r="H5440" s="96"/>
      <c r="J5440" s="1"/>
      <c r="K5440" s="1"/>
      <c r="L5440" s="1"/>
      <c r="O5440" s="475"/>
      <c r="P5440" s="475"/>
      <c r="Q5440" s="475"/>
      <c r="R5440" s="475"/>
      <c r="S5440" s="475"/>
      <c r="T5440" s="475"/>
      <c r="U5440" s="475"/>
      <c r="V5440" s="475"/>
      <c r="W5440" s="475"/>
    </row>
    <row r="5441" spans="2:23" s="97" customFormat="1">
      <c r="B5441" s="96"/>
      <c r="H5441" s="96"/>
      <c r="J5441" s="1"/>
      <c r="K5441" s="1"/>
      <c r="L5441" s="1"/>
      <c r="O5441" s="475"/>
      <c r="P5441" s="475"/>
      <c r="Q5441" s="475"/>
      <c r="R5441" s="475"/>
      <c r="S5441" s="475"/>
      <c r="T5441" s="475"/>
      <c r="U5441" s="475"/>
      <c r="V5441" s="475"/>
      <c r="W5441" s="475"/>
    </row>
    <row r="5442" spans="2:23" s="97" customFormat="1">
      <c r="B5442" s="96"/>
      <c r="H5442" s="96"/>
      <c r="J5442" s="1"/>
      <c r="K5442" s="1"/>
      <c r="L5442" s="1"/>
      <c r="O5442" s="475"/>
      <c r="P5442" s="475"/>
      <c r="Q5442" s="475"/>
      <c r="R5442" s="475"/>
      <c r="S5442" s="475"/>
      <c r="T5442" s="475"/>
      <c r="U5442" s="475"/>
      <c r="V5442" s="475"/>
      <c r="W5442" s="475"/>
    </row>
    <row r="5443" spans="2:23" s="97" customFormat="1">
      <c r="B5443" s="96"/>
      <c r="H5443" s="96"/>
      <c r="J5443" s="1"/>
      <c r="K5443" s="1"/>
      <c r="L5443" s="1"/>
      <c r="O5443" s="475"/>
      <c r="P5443" s="475"/>
      <c r="Q5443" s="475"/>
      <c r="R5443" s="475"/>
      <c r="S5443" s="475"/>
      <c r="T5443" s="475"/>
      <c r="U5443" s="475"/>
      <c r="V5443" s="475"/>
      <c r="W5443" s="475"/>
    </row>
    <row r="5444" spans="2:23" s="97" customFormat="1">
      <c r="B5444" s="96"/>
      <c r="H5444" s="96"/>
      <c r="J5444" s="1"/>
      <c r="K5444" s="1"/>
      <c r="L5444" s="1"/>
      <c r="O5444" s="475"/>
      <c r="P5444" s="475"/>
      <c r="Q5444" s="475"/>
      <c r="R5444" s="475"/>
      <c r="S5444" s="475"/>
      <c r="T5444" s="475"/>
      <c r="U5444" s="475"/>
      <c r="V5444" s="475"/>
      <c r="W5444" s="475"/>
    </row>
    <row r="5445" spans="2:23" s="97" customFormat="1">
      <c r="B5445" s="96"/>
      <c r="H5445" s="96"/>
      <c r="J5445" s="1"/>
      <c r="K5445" s="1"/>
      <c r="L5445" s="1"/>
      <c r="O5445" s="475"/>
      <c r="P5445" s="475"/>
      <c r="Q5445" s="475"/>
      <c r="R5445" s="475"/>
      <c r="S5445" s="475"/>
      <c r="T5445" s="475"/>
      <c r="U5445" s="475"/>
      <c r="V5445" s="475"/>
      <c r="W5445" s="475"/>
    </row>
    <row r="5446" spans="2:23" s="97" customFormat="1">
      <c r="B5446" s="96"/>
      <c r="H5446" s="96"/>
      <c r="J5446" s="1"/>
      <c r="K5446" s="1"/>
      <c r="L5446" s="1"/>
      <c r="O5446" s="475"/>
      <c r="P5446" s="475"/>
      <c r="Q5446" s="475"/>
      <c r="R5446" s="475"/>
      <c r="S5446" s="475"/>
      <c r="T5446" s="475"/>
      <c r="U5446" s="475"/>
      <c r="V5446" s="475"/>
      <c r="W5446" s="475"/>
    </row>
    <row r="5447" spans="2:23" s="97" customFormat="1">
      <c r="B5447" s="96"/>
      <c r="H5447" s="96"/>
      <c r="J5447" s="1"/>
      <c r="K5447" s="1"/>
      <c r="L5447" s="1"/>
      <c r="O5447" s="475"/>
      <c r="P5447" s="475"/>
      <c r="Q5447" s="475"/>
      <c r="R5447" s="475"/>
      <c r="S5447" s="475"/>
      <c r="T5447" s="475"/>
      <c r="U5447" s="475"/>
      <c r="V5447" s="475"/>
      <c r="W5447" s="475"/>
    </row>
    <row r="5448" spans="2:23" s="97" customFormat="1">
      <c r="B5448" s="96"/>
      <c r="H5448" s="96"/>
      <c r="J5448" s="1"/>
      <c r="K5448" s="1"/>
      <c r="L5448" s="1"/>
      <c r="O5448" s="475"/>
      <c r="P5448" s="475"/>
      <c r="Q5448" s="475"/>
      <c r="R5448" s="475"/>
      <c r="S5448" s="475"/>
      <c r="T5448" s="475"/>
      <c r="U5448" s="475"/>
      <c r="V5448" s="475"/>
      <c r="W5448" s="475"/>
    </row>
    <row r="5449" spans="2:23" s="97" customFormat="1">
      <c r="B5449" s="96"/>
      <c r="H5449" s="96"/>
      <c r="J5449" s="1"/>
      <c r="K5449" s="1"/>
      <c r="L5449" s="1"/>
      <c r="O5449" s="475"/>
      <c r="P5449" s="475"/>
      <c r="Q5449" s="475"/>
      <c r="R5449" s="475"/>
      <c r="S5449" s="475"/>
      <c r="T5449" s="475"/>
      <c r="U5449" s="475"/>
      <c r="V5449" s="475"/>
      <c r="W5449" s="475"/>
    </row>
    <row r="5450" spans="2:23" s="97" customFormat="1">
      <c r="B5450" s="96"/>
      <c r="H5450" s="96"/>
      <c r="J5450" s="1"/>
      <c r="K5450" s="1"/>
      <c r="L5450" s="1"/>
      <c r="O5450" s="475"/>
      <c r="P5450" s="475"/>
      <c r="Q5450" s="475"/>
      <c r="R5450" s="475"/>
      <c r="S5450" s="475"/>
      <c r="T5450" s="475"/>
      <c r="U5450" s="475"/>
      <c r="V5450" s="475"/>
      <c r="W5450" s="475"/>
    </row>
    <row r="5451" spans="2:23" s="97" customFormat="1">
      <c r="B5451" s="96"/>
      <c r="H5451" s="96"/>
      <c r="J5451" s="1"/>
      <c r="K5451" s="1"/>
      <c r="L5451" s="1"/>
      <c r="O5451" s="475"/>
      <c r="P5451" s="475"/>
      <c r="Q5451" s="475"/>
      <c r="R5451" s="475"/>
      <c r="S5451" s="475"/>
      <c r="T5451" s="475"/>
      <c r="U5451" s="475"/>
      <c r="V5451" s="475"/>
      <c r="W5451" s="475"/>
    </row>
    <row r="5452" spans="2:23" s="97" customFormat="1">
      <c r="B5452" s="96"/>
      <c r="H5452" s="96"/>
      <c r="J5452" s="1"/>
      <c r="K5452" s="1"/>
      <c r="L5452" s="1"/>
      <c r="O5452" s="475"/>
      <c r="P5452" s="475"/>
      <c r="Q5452" s="475"/>
      <c r="R5452" s="475"/>
      <c r="S5452" s="475"/>
      <c r="T5452" s="475"/>
      <c r="U5452" s="475"/>
      <c r="V5452" s="475"/>
      <c r="W5452" s="475"/>
    </row>
    <row r="5453" spans="2:23" s="97" customFormat="1">
      <c r="B5453" s="96"/>
      <c r="H5453" s="96"/>
      <c r="J5453" s="1"/>
      <c r="K5453" s="1"/>
      <c r="L5453" s="1"/>
      <c r="O5453" s="475"/>
      <c r="P5453" s="475"/>
      <c r="Q5453" s="475"/>
      <c r="R5453" s="475"/>
      <c r="S5453" s="475"/>
      <c r="T5453" s="475"/>
      <c r="U5453" s="475"/>
      <c r="V5453" s="475"/>
      <c r="W5453" s="475"/>
    </row>
    <row r="5454" spans="2:23" s="97" customFormat="1">
      <c r="B5454" s="96"/>
      <c r="H5454" s="96"/>
      <c r="J5454" s="1"/>
      <c r="K5454" s="1"/>
      <c r="L5454" s="1"/>
      <c r="O5454" s="475"/>
      <c r="P5454" s="475"/>
      <c r="Q5454" s="475"/>
      <c r="R5454" s="475"/>
      <c r="S5454" s="475"/>
      <c r="T5454" s="475"/>
      <c r="U5454" s="475"/>
      <c r="V5454" s="475"/>
      <c r="W5454" s="475"/>
    </row>
    <row r="5455" spans="2:23" s="97" customFormat="1">
      <c r="B5455" s="96"/>
      <c r="H5455" s="96"/>
      <c r="J5455" s="1"/>
      <c r="K5455" s="1"/>
      <c r="L5455" s="1"/>
      <c r="O5455" s="475"/>
      <c r="P5455" s="475"/>
      <c r="Q5455" s="475"/>
      <c r="R5455" s="475"/>
      <c r="S5455" s="475"/>
      <c r="T5455" s="475"/>
      <c r="U5455" s="475"/>
      <c r="V5455" s="475"/>
      <c r="W5455" s="475"/>
    </row>
    <row r="5456" spans="2:23" s="97" customFormat="1">
      <c r="B5456" s="96"/>
      <c r="H5456" s="96"/>
      <c r="J5456" s="1"/>
      <c r="K5456" s="1"/>
      <c r="L5456" s="1"/>
      <c r="O5456" s="475"/>
      <c r="P5456" s="475"/>
      <c r="Q5456" s="475"/>
      <c r="R5456" s="475"/>
      <c r="S5456" s="475"/>
      <c r="T5456" s="475"/>
      <c r="U5456" s="475"/>
      <c r="V5456" s="475"/>
      <c r="W5456" s="475"/>
    </row>
    <row r="5457" spans="2:23" s="97" customFormat="1">
      <c r="B5457" s="96"/>
      <c r="H5457" s="96"/>
      <c r="J5457" s="1"/>
      <c r="K5457" s="1"/>
      <c r="L5457" s="1"/>
      <c r="O5457" s="475"/>
      <c r="P5457" s="475"/>
      <c r="Q5457" s="475"/>
      <c r="R5457" s="475"/>
      <c r="S5457" s="475"/>
      <c r="T5457" s="475"/>
      <c r="U5457" s="475"/>
      <c r="V5457" s="475"/>
      <c r="W5457" s="475"/>
    </row>
    <row r="5458" spans="2:23" s="97" customFormat="1">
      <c r="B5458" s="96"/>
      <c r="H5458" s="96"/>
      <c r="J5458" s="1"/>
      <c r="K5458" s="1"/>
      <c r="L5458" s="1"/>
      <c r="O5458" s="475"/>
      <c r="P5458" s="475"/>
      <c r="Q5458" s="475"/>
      <c r="R5458" s="475"/>
      <c r="S5458" s="475"/>
      <c r="T5458" s="475"/>
      <c r="U5458" s="475"/>
      <c r="V5458" s="475"/>
      <c r="W5458" s="475"/>
    </row>
    <row r="5459" spans="2:23" s="97" customFormat="1">
      <c r="B5459" s="96"/>
      <c r="H5459" s="96"/>
      <c r="J5459" s="1"/>
      <c r="K5459" s="1"/>
      <c r="L5459" s="1"/>
      <c r="O5459" s="475"/>
      <c r="P5459" s="475"/>
      <c r="Q5459" s="475"/>
      <c r="R5459" s="475"/>
      <c r="S5459" s="475"/>
      <c r="T5459" s="475"/>
      <c r="U5459" s="475"/>
      <c r="V5459" s="475"/>
      <c r="W5459" s="475"/>
    </row>
    <row r="5460" spans="2:23" s="97" customFormat="1">
      <c r="B5460" s="96"/>
      <c r="H5460" s="96"/>
      <c r="J5460" s="1"/>
      <c r="K5460" s="1"/>
      <c r="L5460" s="1"/>
      <c r="O5460" s="475"/>
      <c r="P5460" s="475"/>
      <c r="Q5460" s="475"/>
      <c r="R5460" s="475"/>
      <c r="S5460" s="475"/>
      <c r="T5460" s="475"/>
      <c r="U5460" s="475"/>
      <c r="V5460" s="475"/>
      <c r="W5460" s="475"/>
    </row>
    <row r="5461" spans="2:23" s="97" customFormat="1">
      <c r="B5461" s="96"/>
      <c r="H5461" s="96"/>
      <c r="J5461" s="1"/>
      <c r="K5461" s="1"/>
      <c r="L5461" s="1"/>
      <c r="O5461" s="475"/>
      <c r="P5461" s="475"/>
      <c r="Q5461" s="475"/>
      <c r="R5461" s="475"/>
      <c r="S5461" s="475"/>
      <c r="T5461" s="475"/>
      <c r="U5461" s="475"/>
      <c r="V5461" s="475"/>
      <c r="W5461" s="475"/>
    </row>
    <row r="5462" spans="2:23" s="97" customFormat="1">
      <c r="B5462" s="96"/>
      <c r="H5462" s="96"/>
      <c r="J5462" s="1"/>
      <c r="K5462" s="1"/>
      <c r="L5462" s="1"/>
      <c r="O5462" s="475"/>
      <c r="P5462" s="475"/>
      <c r="Q5462" s="475"/>
      <c r="R5462" s="475"/>
      <c r="S5462" s="475"/>
      <c r="T5462" s="475"/>
      <c r="U5462" s="475"/>
      <c r="V5462" s="475"/>
      <c r="W5462" s="475"/>
    </row>
    <row r="5463" spans="2:23" s="97" customFormat="1">
      <c r="B5463" s="96"/>
      <c r="H5463" s="96"/>
      <c r="J5463" s="1"/>
      <c r="K5463" s="1"/>
      <c r="L5463" s="1"/>
      <c r="O5463" s="475"/>
      <c r="P5463" s="475"/>
      <c r="Q5463" s="475"/>
      <c r="R5463" s="475"/>
      <c r="S5463" s="475"/>
      <c r="T5463" s="475"/>
      <c r="U5463" s="475"/>
      <c r="V5463" s="475"/>
      <c r="W5463" s="475"/>
    </row>
    <row r="5464" spans="2:23" s="97" customFormat="1">
      <c r="B5464" s="96"/>
      <c r="H5464" s="96"/>
      <c r="J5464" s="1"/>
      <c r="K5464" s="1"/>
      <c r="L5464" s="1"/>
      <c r="O5464" s="475"/>
      <c r="P5464" s="475"/>
      <c r="Q5464" s="475"/>
      <c r="R5464" s="475"/>
      <c r="S5464" s="475"/>
      <c r="T5464" s="475"/>
      <c r="U5464" s="475"/>
      <c r="V5464" s="475"/>
      <c r="W5464" s="475"/>
    </row>
    <row r="5465" spans="2:23" s="97" customFormat="1">
      <c r="B5465" s="96"/>
      <c r="H5465" s="96"/>
      <c r="J5465" s="1"/>
      <c r="K5465" s="1"/>
      <c r="L5465" s="1"/>
      <c r="O5465" s="475"/>
      <c r="P5465" s="475"/>
      <c r="Q5465" s="475"/>
      <c r="R5465" s="475"/>
      <c r="S5465" s="475"/>
      <c r="T5465" s="475"/>
      <c r="U5465" s="475"/>
      <c r="V5465" s="475"/>
      <c r="W5465" s="475"/>
    </row>
    <row r="5466" spans="2:23" s="97" customFormat="1">
      <c r="B5466" s="96"/>
      <c r="H5466" s="96"/>
      <c r="J5466" s="1"/>
      <c r="K5466" s="1"/>
      <c r="L5466" s="1"/>
      <c r="O5466" s="475"/>
      <c r="P5466" s="475"/>
      <c r="Q5466" s="475"/>
      <c r="R5466" s="475"/>
      <c r="S5466" s="475"/>
      <c r="T5466" s="475"/>
      <c r="U5466" s="475"/>
      <c r="V5466" s="475"/>
      <c r="W5466" s="475"/>
    </row>
    <row r="5467" spans="2:23" s="97" customFormat="1">
      <c r="B5467" s="96"/>
      <c r="H5467" s="96"/>
      <c r="J5467" s="1"/>
      <c r="K5467" s="1"/>
      <c r="L5467" s="1"/>
      <c r="O5467" s="475"/>
      <c r="P5467" s="475"/>
      <c r="Q5467" s="475"/>
      <c r="R5467" s="475"/>
      <c r="S5467" s="475"/>
      <c r="T5467" s="475"/>
      <c r="U5467" s="475"/>
      <c r="V5467" s="475"/>
      <c r="W5467" s="475"/>
    </row>
    <row r="5468" spans="2:23" s="97" customFormat="1">
      <c r="B5468" s="96"/>
      <c r="H5468" s="96"/>
      <c r="J5468" s="1"/>
      <c r="K5468" s="1"/>
      <c r="L5468" s="1"/>
      <c r="O5468" s="475"/>
      <c r="P5468" s="475"/>
      <c r="Q5468" s="475"/>
      <c r="R5468" s="475"/>
      <c r="S5468" s="475"/>
      <c r="T5468" s="475"/>
      <c r="U5468" s="475"/>
      <c r="V5468" s="475"/>
      <c r="W5468" s="475"/>
    </row>
    <row r="5469" spans="2:23" s="97" customFormat="1">
      <c r="B5469" s="96"/>
      <c r="H5469" s="96"/>
      <c r="J5469" s="1"/>
      <c r="K5469" s="1"/>
      <c r="L5469" s="1"/>
      <c r="O5469" s="475"/>
      <c r="P5469" s="475"/>
      <c r="Q5469" s="475"/>
      <c r="R5469" s="475"/>
      <c r="S5469" s="475"/>
      <c r="T5469" s="475"/>
      <c r="U5469" s="475"/>
      <c r="V5469" s="475"/>
      <c r="W5469" s="475"/>
    </row>
    <row r="5470" spans="2:23" s="97" customFormat="1">
      <c r="B5470" s="96"/>
      <c r="H5470" s="96"/>
      <c r="J5470" s="1"/>
      <c r="K5470" s="1"/>
      <c r="L5470" s="1"/>
      <c r="O5470" s="475"/>
      <c r="P5470" s="475"/>
      <c r="Q5470" s="475"/>
      <c r="R5470" s="475"/>
      <c r="S5470" s="475"/>
      <c r="T5470" s="475"/>
      <c r="U5470" s="475"/>
      <c r="V5470" s="475"/>
      <c r="W5470" s="475"/>
    </row>
    <row r="5471" spans="2:23" s="97" customFormat="1">
      <c r="B5471" s="96"/>
      <c r="H5471" s="96"/>
      <c r="J5471" s="1"/>
      <c r="K5471" s="1"/>
      <c r="L5471" s="1"/>
      <c r="O5471" s="475"/>
      <c r="P5471" s="475"/>
      <c r="Q5471" s="475"/>
      <c r="R5471" s="475"/>
      <c r="S5471" s="475"/>
      <c r="T5471" s="475"/>
      <c r="U5471" s="475"/>
      <c r="V5471" s="475"/>
      <c r="W5471" s="475"/>
    </row>
    <row r="5472" spans="2:23" s="97" customFormat="1">
      <c r="B5472" s="96"/>
      <c r="H5472" s="96"/>
      <c r="J5472" s="1"/>
      <c r="K5472" s="1"/>
      <c r="L5472" s="1"/>
      <c r="O5472" s="475"/>
      <c r="P5472" s="475"/>
      <c r="Q5472" s="475"/>
      <c r="R5472" s="475"/>
      <c r="S5472" s="475"/>
      <c r="T5472" s="475"/>
      <c r="U5472" s="475"/>
      <c r="V5472" s="475"/>
      <c r="W5472" s="475"/>
    </row>
    <row r="5473" spans="2:23" s="97" customFormat="1">
      <c r="B5473" s="96"/>
      <c r="H5473" s="96"/>
      <c r="J5473" s="1"/>
      <c r="K5473" s="1"/>
      <c r="L5473" s="1"/>
      <c r="O5473" s="475"/>
      <c r="P5473" s="475"/>
      <c r="Q5473" s="475"/>
      <c r="R5473" s="475"/>
      <c r="S5473" s="475"/>
      <c r="T5473" s="475"/>
      <c r="U5473" s="475"/>
      <c r="V5473" s="475"/>
      <c r="W5473" s="475"/>
    </row>
    <row r="5474" spans="2:23" s="97" customFormat="1">
      <c r="B5474" s="96"/>
      <c r="H5474" s="96"/>
      <c r="J5474" s="1"/>
      <c r="K5474" s="1"/>
      <c r="L5474" s="1"/>
      <c r="O5474" s="475"/>
      <c r="P5474" s="475"/>
      <c r="Q5474" s="475"/>
      <c r="R5474" s="475"/>
      <c r="S5474" s="475"/>
      <c r="T5474" s="475"/>
      <c r="U5474" s="475"/>
      <c r="V5474" s="475"/>
      <c r="W5474" s="475"/>
    </row>
    <row r="5475" spans="2:23" s="97" customFormat="1">
      <c r="B5475" s="96"/>
      <c r="H5475" s="96"/>
      <c r="J5475" s="1"/>
      <c r="K5475" s="1"/>
      <c r="L5475" s="1"/>
      <c r="O5475" s="475"/>
      <c r="P5475" s="475"/>
      <c r="Q5475" s="475"/>
      <c r="R5475" s="475"/>
      <c r="S5475" s="475"/>
      <c r="T5475" s="475"/>
      <c r="U5475" s="475"/>
      <c r="V5475" s="475"/>
      <c r="W5475" s="475"/>
    </row>
    <row r="5476" spans="2:23" s="97" customFormat="1">
      <c r="B5476" s="96"/>
      <c r="H5476" s="96"/>
      <c r="J5476" s="1"/>
      <c r="K5476" s="1"/>
      <c r="L5476" s="1"/>
      <c r="O5476" s="475"/>
      <c r="P5476" s="475"/>
      <c r="Q5476" s="475"/>
      <c r="R5476" s="475"/>
      <c r="S5476" s="475"/>
      <c r="T5476" s="475"/>
      <c r="U5476" s="475"/>
      <c r="V5476" s="475"/>
      <c r="W5476" s="475"/>
    </row>
    <row r="5477" spans="2:23" s="97" customFormat="1">
      <c r="B5477" s="96"/>
      <c r="H5477" s="96"/>
      <c r="J5477" s="1"/>
      <c r="K5477" s="1"/>
      <c r="L5477" s="1"/>
      <c r="O5477" s="475"/>
      <c r="P5477" s="475"/>
      <c r="Q5477" s="475"/>
      <c r="R5477" s="475"/>
      <c r="S5477" s="475"/>
      <c r="T5477" s="475"/>
      <c r="U5477" s="475"/>
      <c r="V5477" s="475"/>
      <c r="W5477" s="475"/>
    </row>
    <row r="5478" spans="2:23" s="97" customFormat="1">
      <c r="B5478" s="96"/>
      <c r="H5478" s="96"/>
      <c r="J5478" s="1"/>
      <c r="K5478" s="1"/>
      <c r="L5478" s="1"/>
      <c r="O5478" s="475"/>
      <c r="P5478" s="475"/>
      <c r="Q5478" s="475"/>
      <c r="R5478" s="475"/>
      <c r="S5478" s="475"/>
      <c r="T5478" s="475"/>
      <c r="U5478" s="475"/>
      <c r="V5478" s="475"/>
      <c r="W5478" s="475"/>
    </row>
    <row r="5479" spans="2:23" s="97" customFormat="1">
      <c r="B5479" s="96"/>
      <c r="H5479" s="96"/>
      <c r="J5479" s="1"/>
      <c r="K5479" s="1"/>
      <c r="L5479" s="1"/>
      <c r="O5479" s="475"/>
      <c r="P5479" s="475"/>
      <c r="Q5479" s="475"/>
      <c r="R5479" s="475"/>
      <c r="S5479" s="475"/>
      <c r="T5479" s="475"/>
      <c r="U5479" s="475"/>
      <c r="V5479" s="475"/>
      <c r="W5479" s="475"/>
    </row>
    <row r="5480" spans="2:23" s="97" customFormat="1">
      <c r="B5480" s="96"/>
      <c r="H5480" s="96"/>
      <c r="J5480" s="1"/>
      <c r="K5480" s="1"/>
      <c r="L5480" s="1"/>
      <c r="O5480" s="475"/>
      <c r="P5480" s="475"/>
      <c r="Q5480" s="475"/>
      <c r="R5480" s="475"/>
      <c r="S5480" s="475"/>
      <c r="T5480" s="475"/>
      <c r="U5480" s="475"/>
      <c r="V5480" s="475"/>
      <c r="W5480" s="475"/>
    </row>
    <row r="5481" spans="2:23" s="97" customFormat="1">
      <c r="B5481" s="96"/>
      <c r="H5481" s="96"/>
      <c r="J5481" s="1"/>
      <c r="K5481" s="1"/>
      <c r="L5481" s="1"/>
      <c r="O5481" s="475"/>
      <c r="P5481" s="475"/>
      <c r="Q5481" s="475"/>
      <c r="R5481" s="475"/>
      <c r="S5481" s="475"/>
      <c r="T5481" s="475"/>
      <c r="U5481" s="475"/>
      <c r="V5481" s="475"/>
      <c r="W5481" s="475"/>
    </row>
    <row r="5482" spans="2:23" s="97" customFormat="1">
      <c r="B5482" s="96"/>
      <c r="H5482" s="96"/>
      <c r="J5482" s="1"/>
      <c r="K5482" s="1"/>
      <c r="L5482" s="1"/>
      <c r="O5482" s="475"/>
      <c r="P5482" s="475"/>
      <c r="Q5482" s="475"/>
      <c r="R5482" s="475"/>
      <c r="S5482" s="475"/>
      <c r="T5482" s="475"/>
      <c r="U5482" s="475"/>
      <c r="V5482" s="475"/>
      <c r="W5482" s="475"/>
    </row>
    <row r="5483" spans="2:23" s="97" customFormat="1">
      <c r="B5483" s="96"/>
      <c r="H5483" s="96"/>
      <c r="J5483" s="1"/>
      <c r="K5483" s="1"/>
      <c r="L5483" s="1"/>
      <c r="O5483" s="475"/>
      <c r="P5483" s="475"/>
      <c r="Q5483" s="475"/>
      <c r="R5483" s="475"/>
      <c r="S5483" s="475"/>
      <c r="T5483" s="475"/>
      <c r="U5483" s="475"/>
      <c r="V5483" s="475"/>
      <c r="W5483" s="475"/>
    </row>
    <row r="5484" spans="2:23" s="97" customFormat="1">
      <c r="B5484" s="96"/>
      <c r="H5484" s="96"/>
      <c r="J5484" s="1"/>
      <c r="K5484" s="1"/>
      <c r="L5484" s="1"/>
      <c r="O5484" s="475"/>
      <c r="P5484" s="475"/>
      <c r="Q5484" s="475"/>
      <c r="R5484" s="475"/>
      <c r="S5484" s="475"/>
      <c r="T5484" s="475"/>
      <c r="U5484" s="475"/>
      <c r="V5484" s="475"/>
      <c r="W5484" s="475"/>
    </row>
    <row r="5485" spans="2:23" s="97" customFormat="1">
      <c r="B5485" s="96"/>
      <c r="H5485" s="96"/>
      <c r="J5485" s="1"/>
      <c r="K5485" s="1"/>
      <c r="L5485" s="1"/>
      <c r="O5485" s="475"/>
      <c r="P5485" s="475"/>
      <c r="Q5485" s="475"/>
      <c r="R5485" s="475"/>
      <c r="S5485" s="475"/>
      <c r="T5485" s="475"/>
      <c r="U5485" s="475"/>
      <c r="V5485" s="475"/>
      <c r="W5485" s="475"/>
    </row>
    <row r="5486" spans="2:23" s="97" customFormat="1">
      <c r="B5486" s="96"/>
      <c r="H5486" s="96"/>
      <c r="J5486" s="1"/>
      <c r="K5486" s="1"/>
      <c r="L5486" s="1"/>
      <c r="O5486" s="475"/>
      <c r="P5486" s="475"/>
      <c r="Q5486" s="475"/>
      <c r="R5486" s="475"/>
      <c r="S5486" s="475"/>
      <c r="T5486" s="475"/>
      <c r="U5486" s="475"/>
      <c r="V5486" s="475"/>
      <c r="W5486" s="475"/>
    </row>
    <row r="5487" spans="2:23" s="97" customFormat="1">
      <c r="B5487" s="96"/>
      <c r="H5487" s="96"/>
      <c r="J5487" s="1"/>
      <c r="K5487" s="1"/>
      <c r="L5487" s="1"/>
      <c r="O5487" s="475"/>
      <c r="P5487" s="475"/>
      <c r="Q5487" s="475"/>
      <c r="R5487" s="475"/>
      <c r="S5487" s="475"/>
      <c r="T5487" s="475"/>
      <c r="U5487" s="475"/>
      <c r="V5487" s="475"/>
      <c r="W5487" s="475"/>
    </row>
    <row r="5488" spans="2:23" s="97" customFormat="1">
      <c r="B5488" s="96"/>
      <c r="H5488" s="96"/>
      <c r="J5488" s="1"/>
      <c r="K5488" s="1"/>
      <c r="L5488" s="1"/>
      <c r="O5488" s="475"/>
      <c r="P5488" s="475"/>
      <c r="Q5488" s="475"/>
      <c r="R5488" s="475"/>
      <c r="S5488" s="475"/>
      <c r="T5488" s="475"/>
      <c r="U5488" s="475"/>
      <c r="V5488" s="475"/>
      <c r="W5488" s="475"/>
    </row>
    <row r="5489" spans="2:23" s="97" customFormat="1">
      <c r="B5489" s="96"/>
      <c r="H5489" s="96"/>
      <c r="J5489" s="1"/>
      <c r="K5489" s="1"/>
      <c r="L5489" s="1"/>
      <c r="O5489" s="475"/>
      <c r="P5489" s="475"/>
      <c r="Q5489" s="475"/>
      <c r="R5489" s="475"/>
      <c r="S5489" s="475"/>
      <c r="T5489" s="475"/>
      <c r="U5489" s="475"/>
      <c r="V5489" s="475"/>
      <c r="W5489" s="475"/>
    </row>
    <row r="5490" spans="2:23" s="97" customFormat="1">
      <c r="B5490" s="96"/>
      <c r="H5490" s="96"/>
      <c r="J5490" s="1"/>
      <c r="K5490" s="1"/>
      <c r="L5490" s="1"/>
      <c r="O5490" s="475"/>
      <c r="P5490" s="475"/>
      <c r="Q5490" s="475"/>
      <c r="R5490" s="475"/>
      <c r="S5490" s="475"/>
      <c r="T5490" s="475"/>
      <c r="U5490" s="475"/>
      <c r="V5490" s="475"/>
      <c r="W5490" s="475"/>
    </row>
    <row r="5491" spans="2:23" s="97" customFormat="1">
      <c r="B5491" s="96"/>
      <c r="H5491" s="96"/>
      <c r="J5491" s="1"/>
      <c r="K5491" s="1"/>
      <c r="L5491" s="1"/>
      <c r="O5491" s="475"/>
      <c r="P5491" s="475"/>
      <c r="Q5491" s="475"/>
      <c r="R5491" s="475"/>
      <c r="S5491" s="475"/>
      <c r="T5491" s="475"/>
      <c r="U5491" s="475"/>
      <c r="V5491" s="475"/>
      <c r="W5491" s="475"/>
    </row>
    <row r="5492" spans="2:23" s="97" customFormat="1">
      <c r="B5492" s="96"/>
      <c r="H5492" s="96"/>
      <c r="J5492" s="1"/>
      <c r="K5492" s="1"/>
      <c r="L5492" s="1"/>
      <c r="O5492" s="475"/>
      <c r="P5492" s="475"/>
      <c r="Q5492" s="475"/>
      <c r="R5492" s="475"/>
      <c r="S5492" s="475"/>
      <c r="T5492" s="475"/>
      <c r="U5492" s="475"/>
      <c r="V5492" s="475"/>
      <c r="W5492" s="475"/>
    </row>
    <row r="5493" spans="2:23" s="97" customFormat="1">
      <c r="B5493" s="96"/>
      <c r="H5493" s="96"/>
      <c r="J5493" s="1"/>
      <c r="K5493" s="1"/>
      <c r="L5493" s="1"/>
      <c r="O5493" s="475"/>
      <c r="P5493" s="475"/>
      <c r="Q5493" s="475"/>
      <c r="R5493" s="475"/>
      <c r="S5493" s="475"/>
      <c r="T5493" s="475"/>
      <c r="U5493" s="475"/>
      <c r="V5493" s="475"/>
      <c r="W5493" s="475"/>
    </row>
    <row r="5494" spans="2:23" s="97" customFormat="1">
      <c r="B5494" s="96"/>
      <c r="H5494" s="96"/>
      <c r="J5494" s="1"/>
      <c r="K5494" s="1"/>
      <c r="L5494" s="1"/>
      <c r="O5494" s="475"/>
      <c r="P5494" s="475"/>
      <c r="Q5494" s="475"/>
      <c r="R5494" s="475"/>
      <c r="S5494" s="475"/>
      <c r="T5494" s="475"/>
      <c r="U5494" s="475"/>
      <c r="V5494" s="475"/>
      <c r="W5494" s="475"/>
    </row>
    <row r="5495" spans="2:23" s="97" customFormat="1">
      <c r="B5495" s="96"/>
      <c r="H5495" s="96"/>
      <c r="J5495" s="1"/>
      <c r="K5495" s="1"/>
      <c r="L5495" s="1"/>
      <c r="O5495" s="475"/>
      <c r="P5495" s="475"/>
      <c r="Q5495" s="475"/>
      <c r="R5495" s="475"/>
      <c r="S5495" s="475"/>
      <c r="T5495" s="475"/>
      <c r="U5495" s="475"/>
      <c r="V5495" s="475"/>
      <c r="W5495" s="475"/>
    </row>
    <row r="5496" spans="2:23" s="97" customFormat="1">
      <c r="B5496" s="96"/>
      <c r="H5496" s="96"/>
      <c r="J5496" s="1"/>
      <c r="K5496" s="1"/>
      <c r="L5496" s="1"/>
      <c r="O5496" s="475"/>
      <c r="P5496" s="475"/>
      <c r="Q5496" s="475"/>
      <c r="R5496" s="475"/>
      <c r="S5496" s="475"/>
      <c r="T5496" s="475"/>
      <c r="U5496" s="475"/>
      <c r="V5496" s="475"/>
      <c r="W5496" s="475"/>
    </row>
    <row r="5497" spans="2:23" s="97" customFormat="1">
      <c r="B5497" s="96"/>
      <c r="H5497" s="96"/>
      <c r="J5497" s="1"/>
      <c r="K5497" s="1"/>
      <c r="L5497" s="1"/>
      <c r="O5497" s="475"/>
      <c r="P5497" s="475"/>
      <c r="Q5497" s="475"/>
      <c r="R5497" s="475"/>
      <c r="S5497" s="475"/>
      <c r="T5497" s="475"/>
      <c r="U5497" s="475"/>
      <c r="V5497" s="475"/>
      <c r="W5497" s="475"/>
    </row>
    <row r="5498" spans="2:23" s="97" customFormat="1">
      <c r="B5498" s="96"/>
      <c r="H5498" s="96"/>
      <c r="J5498" s="1"/>
      <c r="K5498" s="1"/>
      <c r="L5498" s="1"/>
      <c r="O5498" s="475"/>
      <c r="P5498" s="475"/>
      <c r="Q5498" s="475"/>
      <c r="R5498" s="475"/>
      <c r="S5498" s="475"/>
      <c r="T5498" s="475"/>
      <c r="U5498" s="475"/>
      <c r="V5498" s="475"/>
      <c r="W5498" s="475"/>
    </row>
    <row r="5499" spans="2:23" s="97" customFormat="1">
      <c r="B5499" s="96"/>
      <c r="H5499" s="96"/>
      <c r="J5499" s="1"/>
      <c r="K5499" s="1"/>
      <c r="L5499" s="1"/>
      <c r="O5499" s="475"/>
      <c r="P5499" s="475"/>
      <c r="Q5499" s="475"/>
      <c r="R5499" s="475"/>
      <c r="S5499" s="475"/>
      <c r="T5499" s="475"/>
      <c r="U5499" s="475"/>
      <c r="V5499" s="475"/>
      <c r="W5499" s="475"/>
    </row>
    <row r="5500" spans="2:23" s="97" customFormat="1">
      <c r="B5500" s="96"/>
      <c r="H5500" s="96"/>
      <c r="J5500" s="1"/>
      <c r="K5500" s="1"/>
      <c r="L5500" s="1"/>
      <c r="O5500" s="475"/>
      <c r="P5500" s="475"/>
      <c r="Q5500" s="475"/>
      <c r="R5500" s="475"/>
      <c r="S5500" s="475"/>
      <c r="T5500" s="475"/>
      <c r="U5500" s="475"/>
      <c r="V5500" s="475"/>
      <c r="W5500" s="475"/>
    </row>
    <row r="5501" spans="2:23" s="97" customFormat="1">
      <c r="B5501" s="96"/>
      <c r="H5501" s="96"/>
      <c r="J5501" s="1"/>
      <c r="K5501" s="1"/>
      <c r="L5501" s="1"/>
      <c r="O5501" s="475"/>
      <c r="P5501" s="475"/>
      <c r="Q5501" s="475"/>
      <c r="R5501" s="475"/>
      <c r="S5501" s="475"/>
      <c r="T5501" s="475"/>
      <c r="U5501" s="475"/>
      <c r="V5501" s="475"/>
      <c r="W5501" s="475"/>
    </row>
    <row r="5502" spans="2:23" s="97" customFormat="1">
      <c r="B5502" s="96"/>
      <c r="H5502" s="96"/>
      <c r="J5502" s="1"/>
      <c r="K5502" s="1"/>
      <c r="L5502" s="1"/>
      <c r="O5502" s="475"/>
      <c r="P5502" s="475"/>
      <c r="Q5502" s="475"/>
      <c r="R5502" s="475"/>
      <c r="S5502" s="475"/>
      <c r="T5502" s="475"/>
      <c r="U5502" s="475"/>
      <c r="V5502" s="475"/>
      <c r="W5502" s="475"/>
    </row>
    <row r="5503" spans="2:23" s="97" customFormat="1">
      <c r="B5503" s="96"/>
      <c r="H5503" s="96"/>
      <c r="J5503" s="1"/>
      <c r="K5503" s="1"/>
      <c r="L5503" s="1"/>
      <c r="O5503" s="475"/>
      <c r="P5503" s="475"/>
      <c r="Q5503" s="475"/>
      <c r="R5503" s="475"/>
      <c r="S5503" s="475"/>
      <c r="T5503" s="475"/>
      <c r="U5503" s="475"/>
      <c r="V5503" s="475"/>
      <c r="W5503" s="475"/>
    </row>
    <row r="5504" spans="2:23" s="97" customFormat="1">
      <c r="B5504" s="96"/>
      <c r="H5504" s="96"/>
      <c r="J5504" s="1"/>
      <c r="K5504" s="1"/>
      <c r="L5504" s="1"/>
      <c r="O5504" s="475"/>
      <c r="P5504" s="475"/>
      <c r="Q5504" s="475"/>
      <c r="R5504" s="475"/>
      <c r="S5504" s="475"/>
      <c r="T5504" s="475"/>
      <c r="U5504" s="475"/>
      <c r="V5504" s="475"/>
      <c r="W5504" s="475"/>
    </row>
    <row r="5505" spans="2:23" s="97" customFormat="1">
      <c r="B5505" s="96"/>
      <c r="H5505" s="96"/>
      <c r="J5505" s="1"/>
      <c r="K5505" s="1"/>
      <c r="L5505" s="1"/>
      <c r="O5505" s="475"/>
      <c r="P5505" s="475"/>
      <c r="Q5505" s="475"/>
      <c r="R5505" s="475"/>
      <c r="S5505" s="475"/>
      <c r="T5505" s="475"/>
      <c r="U5505" s="475"/>
      <c r="V5505" s="475"/>
      <c r="W5505" s="475"/>
    </row>
    <row r="5506" spans="2:23" s="97" customFormat="1">
      <c r="B5506" s="96"/>
      <c r="H5506" s="96"/>
      <c r="J5506" s="1"/>
      <c r="K5506" s="1"/>
      <c r="L5506" s="1"/>
      <c r="O5506" s="475"/>
      <c r="P5506" s="475"/>
      <c r="Q5506" s="475"/>
      <c r="R5506" s="475"/>
      <c r="S5506" s="475"/>
      <c r="T5506" s="475"/>
      <c r="U5506" s="475"/>
      <c r="V5506" s="475"/>
      <c r="W5506" s="475"/>
    </row>
    <row r="5507" spans="2:23" s="97" customFormat="1">
      <c r="B5507" s="96"/>
      <c r="H5507" s="96"/>
      <c r="J5507" s="1"/>
      <c r="K5507" s="1"/>
      <c r="L5507" s="1"/>
      <c r="O5507" s="475"/>
      <c r="P5507" s="475"/>
      <c r="Q5507" s="475"/>
      <c r="R5507" s="475"/>
      <c r="S5507" s="475"/>
      <c r="T5507" s="475"/>
      <c r="U5507" s="475"/>
      <c r="V5507" s="475"/>
      <c r="W5507" s="475"/>
    </row>
    <row r="5508" spans="2:23" s="97" customFormat="1">
      <c r="B5508" s="96"/>
      <c r="H5508" s="96"/>
      <c r="J5508" s="1"/>
      <c r="K5508" s="1"/>
      <c r="L5508" s="1"/>
      <c r="O5508" s="475"/>
      <c r="P5508" s="475"/>
      <c r="Q5508" s="475"/>
      <c r="R5508" s="475"/>
      <c r="S5508" s="475"/>
      <c r="T5508" s="475"/>
      <c r="U5508" s="475"/>
      <c r="V5508" s="475"/>
      <c r="W5508" s="475"/>
    </row>
    <row r="5509" spans="2:23" s="97" customFormat="1">
      <c r="B5509" s="96"/>
      <c r="H5509" s="96"/>
      <c r="J5509" s="1"/>
      <c r="K5509" s="1"/>
      <c r="L5509" s="1"/>
      <c r="O5509" s="475"/>
      <c r="P5509" s="475"/>
      <c r="Q5509" s="475"/>
      <c r="R5509" s="475"/>
      <c r="S5509" s="475"/>
      <c r="T5509" s="475"/>
      <c r="U5509" s="475"/>
      <c r="V5509" s="475"/>
      <c r="W5509" s="475"/>
    </row>
    <row r="5510" spans="2:23" s="97" customFormat="1">
      <c r="B5510" s="96"/>
      <c r="H5510" s="96"/>
      <c r="J5510" s="1"/>
      <c r="K5510" s="1"/>
      <c r="L5510" s="1"/>
      <c r="O5510" s="475"/>
      <c r="P5510" s="475"/>
      <c r="Q5510" s="475"/>
      <c r="R5510" s="475"/>
      <c r="S5510" s="475"/>
      <c r="T5510" s="475"/>
      <c r="U5510" s="475"/>
      <c r="V5510" s="475"/>
      <c r="W5510" s="475"/>
    </row>
    <row r="5511" spans="2:23" s="97" customFormat="1">
      <c r="B5511" s="96"/>
      <c r="H5511" s="96"/>
      <c r="J5511" s="1"/>
      <c r="K5511" s="1"/>
      <c r="L5511" s="1"/>
      <c r="O5511" s="475"/>
      <c r="P5511" s="475"/>
      <c r="Q5511" s="475"/>
      <c r="R5511" s="475"/>
      <c r="S5511" s="475"/>
      <c r="T5511" s="475"/>
      <c r="U5511" s="475"/>
      <c r="V5511" s="475"/>
      <c r="W5511" s="475"/>
    </row>
    <row r="5512" spans="2:23" s="97" customFormat="1">
      <c r="B5512" s="96"/>
      <c r="H5512" s="96"/>
      <c r="J5512" s="1"/>
      <c r="K5512" s="1"/>
      <c r="L5512" s="1"/>
      <c r="O5512" s="475"/>
      <c r="P5512" s="475"/>
      <c r="Q5512" s="475"/>
      <c r="R5512" s="475"/>
      <c r="S5512" s="475"/>
      <c r="T5512" s="475"/>
      <c r="U5512" s="475"/>
      <c r="V5512" s="475"/>
      <c r="W5512" s="475"/>
    </row>
    <row r="5513" spans="2:23" s="97" customFormat="1">
      <c r="B5513" s="96"/>
      <c r="H5513" s="96"/>
      <c r="J5513" s="1"/>
      <c r="K5513" s="1"/>
      <c r="L5513" s="1"/>
      <c r="O5513" s="475"/>
      <c r="P5513" s="475"/>
      <c r="Q5513" s="475"/>
      <c r="R5513" s="475"/>
      <c r="S5513" s="475"/>
      <c r="T5513" s="475"/>
      <c r="U5513" s="475"/>
      <c r="V5513" s="475"/>
      <c r="W5513" s="475"/>
    </row>
    <row r="5514" spans="2:23" s="97" customFormat="1">
      <c r="B5514" s="96"/>
      <c r="H5514" s="96"/>
      <c r="J5514" s="1"/>
      <c r="K5514" s="1"/>
      <c r="L5514" s="1"/>
      <c r="O5514" s="475"/>
      <c r="P5514" s="475"/>
      <c r="Q5514" s="475"/>
      <c r="R5514" s="475"/>
      <c r="S5514" s="475"/>
      <c r="T5514" s="475"/>
      <c r="U5514" s="475"/>
      <c r="V5514" s="475"/>
      <c r="W5514" s="475"/>
    </row>
    <row r="5515" spans="2:23" s="97" customFormat="1">
      <c r="B5515" s="96"/>
      <c r="H5515" s="96"/>
      <c r="J5515" s="1"/>
      <c r="K5515" s="1"/>
      <c r="L5515" s="1"/>
      <c r="O5515" s="475"/>
      <c r="P5515" s="475"/>
      <c r="Q5515" s="475"/>
      <c r="R5515" s="475"/>
      <c r="S5515" s="475"/>
      <c r="T5515" s="475"/>
      <c r="U5515" s="475"/>
      <c r="V5515" s="475"/>
      <c r="W5515" s="475"/>
    </row>
    <row r="5516" spans="2:23" s="97" customFormat="1">
      <c r="B5516" s="96"/>
      <c r="H5516" s="96"/>
      <c r="J5516" s="1"/>
      <c r="K5516" s="1"/>
      <c r="L5516" s="1"/>
      <c r="O5516" s="475"/>
      <c r="P5516" s="475"/>
      <c r="Q5516" s="475"/>
      <c r="R5516" s="475"/>
      <c r="S5516" s="475"/>
      <c r="T5516" s="475"/>
      <c r="U5516" s="475"/>
      <c r="V5516" s="475"/>
      <c r="W5516" s="475"/>
    </row>
    <row r="5517" spans="2:23" s="97" customFormat="1">
      <c r="B5517" s="96"/>
      <c r="H5517" s="96"/>
      <c r="J5517" s="1"/>
      <c r="K5517" s="1"/>
      <c r="L5517" s="1"/>
      <c r="O5517" s="475"/>
      <c r="P5517" s="475"/>
      <c r="Q5517" s="475"/>
      <c r="R5517" s="475"/>
      <c r="S5517" s="475"/>
      <c r="T5517" s="475"/>
      <c r="U5517" s="475"/>
      <c r="V5517" s="475"/>
      <c r="W5517" s="475"/>
    </row>
    <row r="5518" spans="2:23" s="97" customFormat="1">
      <c r="B5518" s="96"/>
      <c r="H5518" s="96"/>
      <c r="J5518" s="1"/>
      <c r="K5518" s="1"/>
      <c r="L5518" s="1"/>
      <c r="O5518" s="475"/>
      <c r="P5518" s="475"/>
      <c r="Q5518" s="475"/>
      <c r="R5518" s="475"/>
      <c r="S5518" s="475"/>
      <c r="T5518" s="475"/>
      <c r="U5518" s="475"/>
      <c r="V5518" s="475"/>
      <c r="W5518" s="475"/>
    </row>
    <row r="5519" spans="2:23" s="97" customFormat="1">
      <c r="B5519" s="96"/>
      <c r="H5519" s="96"/>
      <c r="J5519" s="1"/>
      <c r="K5519" s="1"/>
      <c r="L5519" s="1"/>
      <c r="O5519" s="475"/>
      <c r="P5519" s="475"/>
      <c r="Q5519" s="475"/>
      <c r="R5519" s="475"/>
      <c r="S5519" s="475"/>
      <c r="T5519" s="475"/>
      <c r="U5519" s="475"/>
      <c r="V5519" s="475"/>
      <c r="W5519" s="475"/>
    </row>
    <row r="5520" spans="2:23" s="97" customFormat="1">
      <c r="B5520" s="96"/>
      <c r="H5520" s="96"/>
      <c r="J5520" s="1"/>
      <c r="K5520" s="1"/>
      <c r="L5520" s="1"/>
      <c r="O5520" s="475"/>
      <c r="P5520" s="475"/>
      <c r="Q5520" s="475"/>
      <c r="R5520" s="475"/>
      <c r="S5520" s="475"/>
      <c r="T5520" s="475"/>
      <c r="U5520" s="475"/>
      <c r="V5520" s="475"/>
      <c r="W5520" s="475"/>
    </row>
    <row r="5521" spans="2:23" s="97" customFormat="1">
      <c r="B5521" s="96"/>
      <c r="H5521" s="96"/>
      <c r="J5521" s="1"/>
      <c r="K5521" s="1"/>
      <c r="L5521" s="1"/>
      <c r="O5521" s="475"/>
      <c r="P5521" s="475"/>
      <c r="Q5521" s="475"/>
      <c r="R5521" s="475"/>
      <c r="S5521" s="475"/>
      <c r="T5521" s="475"/>
      <c r="U5521" s="475"/>
      <c r="V5521" s="475"/>
      <c r="W5521" s="475"/>
    </row>
    <row r="5522" spans="2:23" s="97" customFormat="1">
      <c r="B5522" s="96"/>
      <c r="H5522" s="96"/>
      <c r="J5522" s="1"/>
      <c r="K5522" s="1"/>
      <c r="L5522" s="1"/>
      <c r="O5522" s="475"/>
      <c r="P5522" s="475"/>
      <c r="Q5522" s="475"/>
      <c r="R5522" s="475"/>
      <c r="S5522" s="475"/>
      <c r="T5522" s="475"/>
      <c r="U5522" s="475"/>
      <c r="V5522" s="475"/>
      <c r="W5522" s="475"/>
    </row>
    <row r="5523" spans="2:23" s="97" customFormat="1">
      <c r="B5523" s="96"/>
      <c r="H5523" s="96"/>
      <c r="J5523" s="1"/>
      <c r="K5523" s="1"/>
      <c r="L5523" s="1"/>
      <c r="O5523" s="475"/>
      <c r="P5523" s="475"/>
      <c r="Q5523" s="475"/>
      <c r="R5523" s="475"/>
      <c r="S5523" s="475"/>
      <c r="T5523" s="475"/>
      <c r="U5523" s="475"/>
      <c r="V5523" s="475"/>
      <c r="W5523" s="475"/>
    </row>
    <row r="5524" spans="2:23" s="97" customFormat="1">
      <c r="B5524" s="96"/>
      <c r="H5524" s="96"/>
      <c r="J5524" s="1"/>
      <c r="K5524" s="1"/>
      <c r="L5524" s="1"/>
      <c r="O5524" s="475"/>
      <c r="P5524" s="475"/>
      <c r="Q5524" s="475"/>
      <c r="R5524" s="475"/>
      <c r="S5524" s="475"/>
      <c r="T5524" s="475"/>
      <c r="U5524" s="475"/>
      <c r="V5524" s="475"/>
      <c r="W5524" s="475"/>
    </row>
    <row r="5525" spans="2:23" s="97" customFormat="1">
      <c r="B5525" s="96"/>
      <c r="H5525" s="96"/>
      <c r="J5525" s="1"/>
      <c r="K5525" s="1"/>
      <c r="L5525" s="1"/>
      <c r="O5525" s="475"/>
      <c r="P5525" s="475"/>
      <c r="Q5525" s="475"/>
      <c r="R5525" s="475"/>
      <c r="S5525" s="475"/>
      <c r="T5525" s="475"/>
      <c r="U5525" s="475"/>
      <c r="V5525" s="475"/>
      <c r="W5525" s="475"/>
    </row>
    <row r="5526" spans="2:23" s="97" customFormat="1">
      <c r="B5526" s="96"/>
      <c r="H5526" s="96"/>
      <c r="J5526" s="1"/>
      <c r="K5526" s="1"/>
      <c r="L5526" s="1"/>
      <c r="O5526" s="475"/>
      <c r="P5526" s="475"/>
      <c r="Q5526" s="475"/>
      <c r="R5526" s="475"/>
      <c r="S5526" s="475"/>
      <c r="T5526" s="475"/>
      <c r="U5526" s="475"/>
      <c r="V5526" s="475"/>
      <c r="W5526" s="475"/>
    </row>
    <row r="5527" spans="2:23" s="97" customFormat="1">
      <c r="B5527" s="96"/>
      <c r="H5527" s="96"/>
      <c r="J5527" s="1"/>
      <c r="K5527" s="1"/>
      <c r="L5527" s="1"/>
      <c r="O5527" s="475"/>
      <c r="P5527" s="475"/>
      <c r="Q5527" s="475"/>
      <c r="R5527" s="475"/>
      <c r="S5527" s="475"/>
      <c r="T5527" s="475"/>
      <c r="U5527" s="475"/>
      <c r="V5527" s="475"/>
      <c r="W5527" s="475"/>
    </row>
    <row r="5528" spans="2:23" s="97" customFormat="1">
      <c r="B5528" s="96"/>
      <c r="H5528" s="96"/>
      <c r="J5528" s="1"/>
      <c r="K5528" s="1"/>
      <c r="L5528" s="1"/>
      <c r="O5528" s="475"/>
      <c r="P5528" s="475"/>
      <c r="Q5528" s="475"/>
      <c r="R5528" s="475"/>
      <c r="S5528" s="475"/>
      <c r="T5528" s="475"/>
      <c r="U5528" s="475"/>
      <c r="V5528" s="475"/>
      <c r="W5528" s="475"/>
    </row>
    <row r="5529" spans="2:23" s="97" customFormat="1">
      <c r="B5529" s="96"/>
      <c r="H5529" s="96"/>
      <c r="J5529" s="1"/>
      <c r="K5529" s="1"/>
      <c r="L5529" s="1"/>
      <c r="O5529" s="475"/>
      <c r="P5529" s="475"/>
      <c r="Q5529" s="475"/>
      <c r="R5529" s="475"/>
      <c r="S5529" s="475"/>
      <c r="T5529" s="475"/>
      <c r="U5529" s="475"/>
      <c r="V5529" s="475"/>
      <c r="W5529" s="475"/>
    </row>
    <row r="5530" spans="2:23" s="97" customFormat="1">
      <c r="B5530" s="96"/>
      <c r="H5530" s="96"/>
      <c r="J5530" s="1"/>
      <c r="K5530" s="1"/>
      <c r="L5530" s="1"/>
      <c r="O5530" s="475"/>
      <c r="P5530" s="475"/>
      <c r="Q5530" s="475"/>
      <c r="R5530" s="475"/>
      <c r="S5530" s="475"/>
      <c r="T5530" s="475"/>
      <c r="U5530" s="475"/>
      <c r="V5530" s="475"/>
      <c r="W5530" s="475"/>
    </row>
    <row r="5531" spans="2:23" s="97" customFormat="1">
      <c r="B5531" s="96"/>
      <c r="H5531" s="96"/>
      <c r="J5531" s="1"/>
      <c r="K5531" s="1"/>
      <c r="L5531" s="1"/>
      <c r="O5531" s="475"/>
      <c r="P5531" s="475"/>
      <c r="Q5531" s="475"/>
      <c r="R5531" s="475"/>
      <c r="S5531" s="475"/>
      <c r="T5531" s="475"/>
      <c r="U5531" s="475"/>
      <c r="V5531" s="475"/>
      <c r="W5531" s="475"/>
    </row>
    <row r="5532" spans="2:23" s="97" customFormat="1">
      <c r="B5532" s="96"/>
      <c r="H5532" s="96"/>
      <c r="J5532" s="1"/>
      <c r="K5532" s="1"/>
      <c r="L5532" s="1"/>
      <c r="O5532" s="475"/>
      <c r="P5532" s="475"/>
      <c r="Q5532" s="475"/>
      <c r="R5532" s="475"/>
      <c r="S5532" s="475"/>
      <c r="T5532" s="475"/>
      <c r="U5532" s="475"/>
      <c r="V5532" s="475"/>
      <c r="W5532" s="475"/>
    </row>
    <row r="5533" spans="2:23" s="97" customFormat="1">
      <c r="B5533" s="96"/>
      <c r="H5533" s="96"/>
      <c r="J5533" s="1"/>
      <c r="K5533" s="1"/>
      <c r="L5533" s="1"/>
      <c r="O5533" s="475"/>
      <c r="P5533" s="475"/>
      <c r="Q5533" s="475"/>
      <c r="R5533" s="475"/>
      <c r="S5533" s="475"/>
      <c r="T5533" s="475"/>
      <c r="U5533" s="475"/>
      <c r="V5533" s="475"/>
      <c r="W5533" s="475"/>
    </row>
    <row r="5534" spans="2:23" s="97" customFormat="1">
      <c r="B5534" s="96"/>
      <c r="H5534" s="96"/>
      <c r="J5534" s="1"/>
      <c r="K5534" s="1"/>
      <c r="L5534" s="1"/>
      <c r="O5534" s="475"/>
      <c r="P5534" s="475"/>
      <c r="Q5534" s="475"/>
      <c r="R5534" s="475"/>
      <c r="S5534" s="475"/>
      <c r="T5534" s="475"/>
      <c r="U5534" s="475"/>
      <c r="V5534" s="475"/>
      <c r="W5534" s="475"/>
    </row>
    <row r="5535" spans="2:23" s="97" customFormat="1">
      <c r="B5535" s="96"/>
      <c r="H5535" s="96"/>
      <c r="J5535" s="1"/>
      <c r="K5535" s="1"/>
      <c r="L5535" s="1"/>
      <c r="O5535" s="475"/>
      <c r="P5535" s="475"/>
      <c r="Q5535" s="475"/>
      <c r="R5535" s="475"/>
      <c r="S5535" s="475"/>
      <c r="T5535" s="475"/>
      <c r="U5535" s="475"/>
      <c r="V5535" s="475"/>
      <c r="W5535" s="475"/>
    </row>
    <row r="5536" spans="2:23" s="97" customFormat="1">
      <c r="B5536" s="96"/>
      <c r="H5536" s="96"/>
      <c r="J5536" s="1"/>
      <c r="K5536" s="1"/>
      <c r="L5536" s="1"/>
      <c r="O5536" s="475"/>
      <c r="P5536" s="475"/>
      <c r="Q5536" s="475"/>
      <c r="R5536" s="475"/>
      <c r="S5536" s="475"/>
      <c r="T5536" s="475"/>
      <c r="U5536" s="475"/>
      <c r="V5536" s="475"/>
      <c r="W5536" s="475"/>
    </row>
    <row r="5537" spans="2:23" s="97" customFormat="1">
      <c r="B5537" s="96"/>
      <c r="H5537" s="96"/>
      <c r="J5537" s="1"/>
      <c r="K5537" s="1"/>
      <c r="L5537" s="1"/>
      <c r="O5537" s="475"/>
      <c r="P5537" s="475"/>
      <c r="Q5537" s="475"/>
      <c r="R5537" s="475"/>
      <c r="S5537" s="475"/>
      <c r="T5537" s="475"/>
      <c r="U5537" s="475"/>
      <c r="V5537" s="475"/>
      <c r="W5537" s="475"/>
    </row>
    <row r="5538" spans="2:23" s="97" customFormat="1">
      <c r="B5538" s="96"/>
      <c r="H5538" s="96"/>
      <c r="J5538" s="1"/>
      <c r="K5538" s="1"/>
      <c r="L5538" s="1"/>
      <c r="O5538" s="475"/>
      <c r="P5538" s="475"/>
      <c r="Q5538" s="475"/>
      <c r="R5538" s="475"/>
      <c r="S5538" s="475"/>
      <c r="T5538" s="475"/>
      <c r="U5538" s="475"/>
      <c r="V5538" s="475"/>
      <c r="W5538" s="475"/>
    </row>
    <row r="5539" spans="2:23" s="97" customFormat="1">
      <c r="B5539" s="96"/>
      <c r="H5539" s="96"/>
      <c r="J5539" s="1"/>
      <c r="K5539" s="1"/>
      <c r="L5539" s="1"/>
      <c r="O5539" s="475"/>
      <c r="P5539" s="475"/>
      <c r="Q5539" s="475"/>
      <c r="R5539" s="475"/>
      <c r="S5539" s="475"/>
      <c r="T5539" s="475"/>
      <c r="U5539" s="475"/>
      <c r="V5539" s="475"/>
      <c r="W5539" s="475"/>
    </row>
    <row r="5540" spans="2:23" s="97" customFormat="1">
      <c r="B5540" s="96"/>
      <c r="H5540" s="96"/>
      <c r="J5540" s="1"/>
      <c r="K5540" s="1"/>
      <c r="L5540" s="1"/>
      <c r="O5540" s="475"/>
      <c r="P5540" s="475"/>
      <c r="Q5540" s="475"/>
      <c r="R5540" s="475"/>
      <c r="S5540" s="475"/>
      <c r="T5540" s="475"/>
      <c r="U5540" s="475"/>
      <c r="V5540" s="475"/>
      <c r="W5540" s="475"/>
    </row>
    <row r="5541" spans="2:23" s="97" customFormat="1">
      <c r="B5541" s="96"/>
      <c r="H5541" s="96"/>
      <c r="J5541" s="1"/>
      <c r="K5541" s="1"/>
      <c r="L5541" s="1"/>
      <c r="O5541" s="475"/>
      <c r="P5541" s="475"/>
      <c r="Q5541" s="475"/>
      <c r="R5541" s="475"/>
      <c r="S5541" s="475"/>
      <c r="T5541" s="475"/>
      <c r="U5541" s="475"/>
      <c r="V5541" s="475"/>
      <c r="W5541" s="475"/>
    </row>
    <row r="5542" spans="2:23" s="97" customFormat="1">
      <c r="B5542" s="96"/>
      <c r="H5542" s="96"/>
      <c r="J5542" s="1"/>
      <c r="K5542" s="1"/>
      <c r="L5542" s="1"/>
      <c r="O5542" s="475"/>
      <c r="P5542" s="475"/>
      <c r="Q5542" s="475"/>
      <c r="R5542" s="475"/>
      <c r="S5542" s="475"/>
      <c r="T5542" s="475"/>
      <c r="U5542" s="475"/>
      <c r="V5542" s="475"/>
      <c r="W5542" s="475"/>
    </row>
    <row r="5543" spans="2:23" s="97" customFormat="1">
      <c r="B5543" s="96"/>
      <c r="H5543" s="96"/>
      <c r="J5543" s="1"/>
      <c r="K5543" s="1"/>
      <c r="L5543" s="1"/>
      <c r="O5543" s="475"/>
      <c r="P5543" s="475"/>
      <c r="Q5543" s="475"/>
      <c r="R5543" s="475"/>
      <c r="S5543" s="475"/>
      <c r="T5543" s="475"/>
      <c r="U5543" s="475"/>
      <c r="V5543" s="475"/>
      <c r="W5543" s="475"/>
    </row>
    <row r="5544" spans="2:23" s="97" customFormat="1">
      <c r="B5544" s="96"/>
      <c r="H5544" s="96"/>
      <c r="J5544" s="1"/>
      <c r="K5544" s="1"/>
      <c r="L5544" s="1"/>
      <c r="O5544" s="475"/>
      <c r="P5544" s="475"/>
      <c r="Q5544" s="475"/>
      <c r="R5544" s="475"/>
      <c r="S5544" s="475"/>
      <c r="T5544" s="475"/>
      <c r="U5544" s="475"/>
      <c r="V5544" s="475"/>
      <c r="W5544" s="475"/>
    </row>
    <row r="5545" spans="2:23" s="97" customFormat="1">
      <c r="B5545" s="96"/>
      <c r="H5545" s="96"/>
      <c r="J5545" s="1"/>
      <c r="K5545" s="1"/>
      <c r="L5545" s="1"/>
      <c r="O5545" s="475"/>
      <c r="P5545" s="475"/>
      <c r="Q5545" s="475"/>
      <c r="R5545" s="475"/>
      <c r="S5545" s="475"/>
      <c r="T5545" s="475"/>
      <c r="U5545" s="475"/>
      <c r="V5545" s="475"/>
      <c r="W5545" s="475"/>
    </row>
    <row r="5546" spans="2:23" s="97" customFormat="1">
      <c r="B5546" s="96"/>
      <c r="H5546" s="96"/>
      <c r="J5546" s="1"/>
      <c r="K5546" s="1"/>
      <c r="L5546" s="1"/>
      <c r="O5546" s="475"/>
      <c r="P5546" s="475"/>
      <c r="Q5546" s="475"/>
      <c r="R5546" s="475"/>
      <c r="S5546" s="475"/>
      <c r="T5546" s="475"/>
      <c r="U5546" s="475"/>
      <c r="V5546" s="475"/>
      <c r="W5546" s="475"/>
    </row>
    <row r="5547" spans="2:23" s="97" customFormat="1">
      <c r="B5547" s="96"/>
      <c r="H5547" s="96"/>
      <c r="J5547" s="1"/>
      <c r="K5547" s="1"/>
      <c r="L5547" s="1"/>
      <c r="O5547" s="475"/>
      <c r="P5547" s="475"/>
      <c r="Q5547" s="475"/>
      <c r="R5547" s="475"/>
      <c r="S5547" s="475"/>
      <c r="T5547" s="475"/>
      <c r="U5547" s="475"/>
      <c r="V5547" s="475"/>
      <c r="W5547" s="475"/>
    </row>
    <row r="5548" spans="2:23" s="97" customFormat="1">
      <c r="B5548" s="96"/>
      <c r="H5548" s="96"/>
      <c r="J5548" s="1"/>
      <c r="K5548" s="1"/>
      <c r="L5548" s="1"/>
      <c r="O5548" s="475"/>
      <c r="P5548" s="475"/>
      <c r="Q5548" s="475"/>
      <c r="R5548" s="475"/>
      <c r="S5548" s="475"/>
      <c r="T5548" s="475"/>
      <c r="U5548" s="475"/>
      <c r="V5548" s="475"/>
      <c r="W5548" s="475"/>
    </row>
    <row r="5549" spans="2:23" s="97" customFormat="1">
      <c r="B5549" s="96"/>
      <c r="H5549" s="96"/>
      <c r="J5549" s="1"/>
      <c r="K5549" s="1"/>
      <c r="L5549" s="1"/>
      <c r="O5549" s="475"/>
      <c r="P5549" s="475"/>
      <c r="Q5549" s="475"/>
      <c r="R5549" s="475"/>
      <c r="S5549" s="475"/>
      <c r="T5549" s="475"/>
      <c r="U5549" s="475"/>
      <c r="V5549" s="475"/>
      <c r="W5549" s="475"/>
    </row>
    <row r="5550" spans="2:23" s="97" customFormat="1">
      <c r="B5550" s="96"/>
      <c r="H5550" s="96"/>
      <c r="J5550" s="1"/>
      <c r="K5550" s="1"/>
      <c r="L5550" s="1"/>
      <c r="O5550" s="475"/>
      <c r="P5550" s="475"/>
      <c r="Q5550" s="475"/>
      <c r="R5550" s="475"/>
      <c r="S5550" s="475"/>
      <c r="T5550" s="475"/>
      <c r="U5550" s="475"/>
      <c r="V5550" s="475"/>
      <c r="W5550" s="475"/>
    </row>
    <row r="5551" spans="2:23" s="97" customFormat="1">
      <c r="B5551" s="96"/>
      <c r="H5551" s="96"/>
      <c r="J5551" s="1"/>
      <c r="K5551" s="1"/>
      <c r="L5551" s="1"/>
      <c r="O5551" s="475"/>
      <c r="P5551" s="475"/>
      <c r="Q5551" s="475"/>
      <c r="R5551" s="475"/>
      <c r="S5551" s="475"/>
      <c r="T5551" s="475"/>
      <c r="U5551" s="475"/>
      <c r="V5551" s="475"/>
      <c r="W5551" s="475"/>
    </row>
    <row r="5552" spans="2:23" s="97" customFormat="1">
      <c r="B5552" s="96"/>
      <c r="H5552" s="96"/>
      <c r="J5552" s="1"/>
      <c r="K5552" s="1"/>
      <c r="L5552" s="1"/>
      <c r="O5552" s="475"/>
      <c r="P5552" s="475"/>
      <c r="Q5552" s="475"/>
      <c r="R5552" s="475"/>
      <c r="S5552" s="475"/>
      <c r="T5552" s="475"/>
      <c r="U5552" s="475"/>
      <c r="V5552" s="475"/>
      <c r="W5552" s="475"/>
    </row>
    <row r="5553" spans="2:23" s="97" customFormat="1">
      <c r="B5553" s="96"/>
      <c r="H5553" s="96"/>
      <c r="J5553" s="1"/>
      <c r="K5553" s="1"/>
      <c r="L5553" s="1"/>
      <c r="O5553" s="475"/>
      <c r="P5553" s="475"/>
      <c r="Q5553" s="475"/>
      <c r="R5553" s="475"/>
      <c r="S5553" s="475"/>
      <c r="T5553" s="475"/>
      <c r="U5553" s="475"/>
      <c r="V5553" s="475"/>
      <c r="W5553" s="475"/>
    </row>
    <row r="5554" spans="2:23" s="97" customFormat="1">
      <c r="B5554" s="96"/>
      <c r="H5554" s="96"/>
      <c r="J5554" s="1"/>
      <c r="K5554" s="1"/>
      <c r="L5554" s="1"/>
      <c r="O5554" s="475"/>
      <c r="P5554" s="475"/>
      <c r="Q5554" s="475"/>
      <c r="R5554" s="475"/>
      <c r="S5554" s="475"/>
      <c r="T5554" s="475"/>
      <c r="U5554" s="475"/>
      <c r="V5554" s="475"/>
      <c r="W5554" s="475"/>
    </row>
    <row r="5555" spans="2:23" s="97" customFormat="1">
      <c r="B5555" s="96"/>
      <c r="H5555" s="96"/>
      <c r="J5555" s="1"/>
      <c r="K5555" s="1"/>
      <c r="L5555" s="1"/>
      <c r="O5555" s="475"/>
      <c r="P5555" s="475"/>
      <c r="Q5555" s="475"/>
      <c r="R5555" s="475"/>
      <c r="S5555" s="475"/>
      <c r="T5555" s="475"/>
      <c r="U5555" s="475"/>
      <c r="V5555" s="475"/>
      <c r="W5555" s="475"/>
    </row>
    <row r="5556" spans="2:23" s="97" customFormat="1">
      <c r="B5556" s="96"/>
      <c r="H5556" s="96"/>
      <c r="J5556" s="1"/>
      <c r="K5556" s="1"/>
      <c r="L5556" s="1"/>
      <c r="O5556" s="475"/>
      <c r="P5556" s="475"/>
      <c r="Q5556" s="475"/>
      <c r="R5556" s="475"/>
      <c r="S5556" s="475"/>
      <c r="T5556" s="475"/>
      <c r="U5556" s="475"/>
      <c r="V5556" s="475"/>
      <c r="W5556" s="475"/>
    </row>
    <row r="5557" spans="2:23" s="97" customFormat="1">
      <c r="B5557" s="96"/>
      <c r="H5557" s="96"/>
      <c r="J5557" s="1"/>
      <c r="K5557" s="1"/>
      <c r="L5557" s="1"/>
      <c r="O5557" s="475"/>
      <c r="P5557" s="475"/>
      <c r="Q5557" s="475"/>
      <c r="R5557" s="475"/>
      <c r="S5557" s="475"/>
      <c r="T5557" s="475"/>
      <c r="U5557" s="475"/>
      <c r="V5557" s="475"/>
      <c r="W5557" s="475"/>
    </row>
    <row r="5558" spans="2:23" s="97" customFormat="1">
      <c r="B5558" s="96"/>
      <c r="H5558" s="96"/>
      <c r="J5558" s="1"/>
      <c r="K5558" s="1"/>
      <c r="L5558" s="1"/>
      <c r="O5558" s="475"/>
      <c r="P5558" s="475"/>
      <c r="Q5558" s="475"/>
      <c r="R5558" s="475"/>
      <c r="S5558" s="475"/>
      <c r="T5558" s="475"/>
      <c r="U5558" s="475"/>
      <c r="V5558" s="475"/>
      <c r="W5558" s="475"/>
    </row>
    <row r="5559" spans="2:23" s="97" customFormat="1">
      <c r="B5559" s="96"/>
      <c r="H5559" s="96"/>
      <c r="J5559" s="1"/>
      <c r="K5559" s="1"/>
      <c r="L5559" s="1"/>
      <c r="O5559" s="475"/>
      <c r="P5559" s="475"/>
      <c r="Q5559" s="475"/>
      <c r="R5559" s="475"/>
      <c r="S5559" s="475"/>
      <c r="T5559" s="475"/>
      <c r="U5559" s="475"/>
      <c r="V5559" s="475"/>
      <c r="W5559" s="475"/>
    </row>
    <row r="5560" spans="2:23" s="97" customFormat="1">
      <c r="B5560" s="96"/>
      <c r="H5560" s="96"/>
      <c r="J5560" s="1"/>
      <c r="K5560" s="1"/>
      <c r="L5560" s="1"/>
      <c r="O5560" s="475"/>
      <c r="P5560" s="475"/>
      <c r="Q5560" s="475"/>
      <c r="R5560" s="475"/>
      <c r="S5560" s="475"/>
      <c r="T5560" s="475"/>
      <c r="U5560" s="475"/>
      <c r="V5560" s="475"/>
      <c r="W5560" s="475"/>
    </row>
    <row r="5561" spans="2:23" s="97" customFormat="1">
      <c r="B5561" s="96"/>
      <c r="H5561" s="96"/>
      <c r="J5561" s="1"/>
      <c r="K5561" s="1"/>
      <c r="L5561" s="1"/>
      <c r="O5561" s="475"/>
      <c r="P5561" s="475"/>
      <c r="Q5561" s="475"/>
      <c r="R5561" s="475"/>
      <c r="S5561" s="475"/>
      <c r="T5561" s="475"/>
      <c r="U5561" s="475"/>
      <c r="V5561" s="475"/>
      <c r="W5561" s="475"/>
    </row>
    <row r="5562" spans="2:23" s="97" customFormat="1">
      <c r="B5562" s="96"/>
      <c r="H5562" s="96"/>
      <c r="J5562" s="1"/>
      <c r="K5562" s="1"/>
      <c r="L5562" s="1"/>
      <c r="O5562" s="475"/>
      <c r="P5562" s="475"/>
      <c r="Q5562" s="475"/>
      <c r="R5562" s="475"/>
      <c r="S5562" s="475"/>
      <c r="T5562" s="475"/>
      <c r="U5562" s="475"/>
      <c r="V5562" s="475"/>
      <c r="W5562" s="475"/>
    </row>
    <row r="5563" spans="2:23" s="97" customFormat="1">
      <c r="B5563" s="96"/>
      <c r="H5563" s="96"/>
      <c r="J5563" s="1"/>
      <c r="K5563" s="1"/>
      <c r="L5563" s="1"/>
      <c r="O5563" s="475"/>
      <c r="P5563" s="475"/>
      <c r="Q5563" s="475"/>
      <c r="R5563" s="475"/>
      <c r="S5563" s="475"/>
      <c r="T5563" s="475"/>
      <c r="U5563" s="475"/>
      <c r="V5563" s="475"/>
      <c r="W5563" s="475"/>
    </row>
    <row r="5564" spans="2:23" s="97" customFormat="1">
      <c r="B5564" s="96"/>
      <c r="H5564" s="96"/>
      <c r="J5564" s="1"/>
      <c r="K5564" s="1"/>
      <c r="L5564" s="1"/>
      <c r="O5564" s="475"/>
      <c r="P5564" s="475"/>
      <c r="Q5564" s="475"/>
      <c r="R5564" s="475"/>
      <c r="S5564" s="475"/>
      <c r="T5564" s="475"/>
      <c r="U5564" s="475"/>
      <c r="V5564" s="475"/>
      <c r="W5564" s="475"/>
    </row>
    <row r="5565" spans="2:23" s="97" customFormat="1">
      <c r="B5565" s="96"/>
      <c r="H5565" s="96"/>
      <c r="J5565" s="1"/>
      <c r="K5565" s="1"/>
      <c r="L5565" s="1"/>
      <c r="O5565" s="475"/>
      <c r="P5565" s="475"/>
      <c r="Q5565" s="475"/>
      <c r="R5565" s="475"/>
      <c r="S5565" s="475"/>
      <c r="T5565" s="475"/>
      <c r="U5565" s="475"/>
      <c r="V5565" s="475"/>
      <c r="W5565" s="475"/>
    </row>
    <row r="5566" spans="2:23" s="97" customFormat="1">
      <c r="B5566" s="96"/>
      <c r="H5566" s="96"/>
      <c r="J5566" s="1"/>
      <c r="K5566" s="1"/>
      <c r="L5566" s="1"/>
      <c r="O5566" s="475"/>
      <c r="P5566" s="475"/>
      <c r="Q5566" s="475"/>
      <c r="R5566" s="475"/>
      <c r="S5566" s="475"/>
      <c r="T5566" s="475"/>
      <c r="U5566" s="475"/>
      <c r="V5566" s="475"/>
      <c r="W5566" s="475"/>
    </row>
    <row r="5567" spans="2:23" s="97" customFormat="1">
      <c r="B5567" s="96"/>
      <c r="H5567" s="96"/>
      <c r="J5567" s="1"/>
      <c r="K5567" s="1"/>
      <c r="L5567" s="1"/>
      <c r="O5567" s="475"/>
      <c r="P5567" s="475"/>
      <c r="Q5567" s="475"/>
      <c r="R5567" s="475"/>
      <c r="S5567" s="475"/>
      <c r="T5567" s="475"/>
      <c r="U5567" s="475"/>
      <c r="V5567" s="475"/>
      <c r="W5567" s="475"/>
    </row>
    <row r="5568" spans="2:23" s="97" customFormat="1">
      <c r="B5568" s="96"/>
      <c r="H5568" s="96"/>
      <c r="J5568" s="1"/>
      <c r="K5568" s="1"/>
      <c r="L5568" s="1"/>
      <c r="O5568" s="475"/>
      <c r="P5568" s="475"/>
      <c r="Q5568" s="475"/>
      <c r="R5568" s="475"/>
      <c r="S5568" s="475"/>
      <c r="T5568" s="475"/>
      <c r="U5568" s="475"/>
      <c r="V5568" s="475"/>
      <c r="W5568" s="475"/>
    </row>
    <row r="5569" spans="2:23" s="97" customFormat="1">
      <c r="B5569" s="96"/>
      <c r="H5569" s="96"/>
      <c r="J5569" s="1"/>
      <c r="K5569" s="1"/>
      <c r="L5569" s="1"/>
      <c r="O5569" s="475"/>
      <c r="P5569" s="475"/>
      <c r="Q5569" s="475"/>
      <c r="R5569" s="475"/>
      <c r="S5569" s="475"/>
      <c r="T5569" s="475"/>
      <c r="U5569" s="475"/>
      <c r="V5569" s="475"/>
      <c r="W5569" s="475"/>
    </row>
    <row r="5570" spans="2:23" s="97" customFormat="1">
      <c r="B5570" s="96"/>
      <c r="H5570" s="96"/>
      <c r="J5570" s="1"/>
      <c r="K5570" s="1"/>
      <c r="L5570" s="1"/>
      <c r="O5570" s="475"/>
      <c r="P5570" s="475"/>
      <c r="Q5570" s="475"/>
      <c r="R5570" s="475"/>
      <c r="S5570" s="475"/>
      <c r="T5570" s="475"/>
      <c r="U5570" s="475"/>
      <c r="V5570" s="475"/>
      <c r="W5570" s="475"/>
    </row>
    <row r="5571" spans="2:23" s="97" customFormat="1">
      <c r="B5571" s="96"/>
      <c r="H5571" s="96"/>
      <c r="J5571" s="1"/>
      <c r="K5571" s="1"/>
      <c r="L5571" s="1"/>
      <c r="O5571" s="475"/>
      <c r="P5571" s="475"/>
      <c r="Q5571" s="475"/>
      <c r="R5571" s="475"/>
      <c r="S5571" s="475"/>
      <c r="T5571" s="475"/>
      <c r="U5571" s="475"/>
      <c r="V5571" s="475"/>
      <c r="W5571" s="475"/>
    </row>
    <row r="5572" spans="2:23" s="97" customFormat="1">
      <c r="B5572" s="96"/>
      <c r="H5572" s="96"/>
      <c r="J5572" s="1"/>
      <c r="K5572" s="1"/>
      <c r="L5572" s="1"/>
      <c r="O5572" s="475"/>
      <c r="P5572" s="475"/>
      <c r="Q5572" s="475"/>
      <c r="R5572" s="475"/>
      <c r="S5572" s="475"/>
      <c r="T5572" s="475"/>
      <c r="U5572" s="475"/>
      <c r="V5572" s="475"/>
      <c r="W5572" s="475"/>
    </row>
    <row r="5573" spans="2:23" s="97" customFormat="1">
      <c r="B5573" s="96"/>
      <c r="H5573" s="96"/>
      <c r="J5573" s="1"/>
      <c r="K5573" s="1"/>
      <c r="L5573" s="1"/>
      <c r="O5573" s="475"/>
      <c r="P5573" s="475"/>
      <c r="Q5573" s="475"/>
      <c r="R5573" s="475"/>
      <c r="S5573" s="475"/>
      <c r="T5573" s="475"/>
      <c r="U5573" s="475"/>
      <c r="V5573" s="475"/>
      <c r="W5573" s="475"/>
    </row>
    <row r="5574" spans="2:23" s="97" customFormat="1">
      <c r="B5574" s="96"/>
      <c r="H5574" s="96"/>
      <c r="J5574" s="1"/>
      <c r="K5574" s="1"/>
      <c r="L5574" s="1"/>
      <c r="O5574" s="475"/>
      <c r="P5574" s="475"/>
      <c r="Q5574" s="475"/>
      <c r="R5574" s="475"/>
      <c r="S5574" s="475"/>
      <c r="T5574" s="475"/>
      <c r="U5574" s="475"/>
      <c r="V5574" s="475"/>
      <c r="W5574" s="475"/>
    </row>
    <row r="5575" spans="2:23" s="97" customFormat="1">
      <c r="B5575" s="96"/>
      <c r="H5575" s="96"/>
      <c r="J5575" s="1"/>
      <c r="K5575" s="1"/>
      <c r="L5575" s="1"/>
      <c r="O5575" s="475"/>
      <c r="P5575" s="475"/>
      <c r="Q5575" s="475"/>
      <c r="R5575" s="475"/>
      <c r="S5575" s="475"/>
      <c r="T5575" s="475"/>
      <c r="U5575" s="475"/>
      <c r="V5575" s="475"/>
      <c r="W5575" s="475"/>
    </row>
    <row r="5576" spans="2:23" s="97" customFormat="1">
      <c r="B5576" s="96"/>
      <c r="H5576" s="96"/>
      <c r="J5576" s="1"/>
      <c r="K5576" s="1"/>
      <c r="L5576" s="1"/>
      <c r="O5576" s="475"/>
      <c r="P5576" s="475"/>
      <c r="Q5576" s="475"/>
      <c r="R5576" s="475"/>
      <c r="S5576" s="475"/>
      <c r="T5576" s="475"/>
      <c r="U5576" s="475"/>
      <c r="V5576" s="475"/>
      <c r="W5576" s="475"/>
    </row>
    <row r="5577" spans="2:23" s="97" customFormat="1">
      <c r="B5577" s="96"/>
      <c r="H5577" s="96"/>
      <c r="J5577" s="1"/>
      <c r="K5577" s="1"/>
      <c r="L5577" s="1"/>
      <c r="O5577" s="475"/>
      <c r="P5577" s="475"/>
      <c r="Q5577" s="475"/>
      <c r="R5577" s="475"/>
      <c r="S5577" s="475"/>
      <c r="T5577" s="475"/>
      <c r="U5577" s="475"/>
      <c r="V5577" s="475"/>
      <c r="W5577" s="475"/>
    </row>
    <row r="5578" spans="2:23" s="97" customFormat="1">
      <c r="B5578" s="96"/>
      <c r="H5578" s="96"/>
      <c r="J5578" s="1"/>
      <c r="K5578" s="1"/>
      <c r="L5578" s="1"/>
      <c r="O5578" s="475"/>
      <c r="P5578" s="475"/>
      <c r="Q5578" s="475"/>
      <c r="R5578" s="475"/>
      <c r="S5578" s="475"/>
      <c r="T5578" s="475"/>
      <c r="U5578" s="475"/>
      <c r="V5578" s="475"/>
      <c r="W5578" s="475"/>
    </row>
    <row r="5579" spans="2:23" s="97" customFormat="1">
      <c r="B5579" s="96"/>
      <c r="H5579" s="96"/>
      <c r="J5579" s="1"/>
      <c r="K5579" s="1"/>
      <c r="L5579" s="1"/>
      <c r="O5579" s="475"/>
      <c r="P5579" s="475"/>
      <c r="Q5579" s="475"/>
      <c r="R5579" s="475"/>
      <c r="S5579" s="475"/>
      <c r="T5579" s="475"/>
      <c r="U5579" s="475"/>
      <c r="V5579" s="475"/>
      <c r="W5579" s="475"/>
    </row>
    <row r="5580" spans="2:23" s="97" customFormat="1">
      <c r="B5580" s="96"/>
      <c r="H5580" s="96"/>
      <c r="J5580" s="1"/>
      <c r="K5580" s="1"/>
      <c r="L5580" s="1"/>
      <c r="O5580" s="475"/>
      <c r="P5580" s="475"/>
      <c r="Q5580" s="475"/>
      <c r="R5580" s="475"/>
      <c r="S5580" s="475"/>
      <c r="T5580" s="475"/>
      <c r="U5580" s="475"/>
      <c r="V5580" s="475"/>
      <c r="W5580" s="475"/>
    </row>
    <row r="5581" spans="2:23" s="97" customFormat="1">
      <c r="B5581" s="96"/>
      <c r="H5581" s="96"/>
      <c r="J5581" s="1"/>
      <c r="K5581" s="1"/>
      <c r="L5581" s="1"/>
      <c r="O5581" s="475"/>
      <c r="P5581" s="475"/>
      <c r="Q5581" s="475"/>
      <c r="R5581" s="475"/>
      <c r="S5581" s="475"/>
      <c r="T5581" s="475"/>
      <c r="U5581" s="475"/>
      <c r="V5581" s="475"/>
      <c r="W5581" s="475"/>
    </row>
    <row r="5582" spans="2:23" s="97" customFormat="1">
      <c r="B5582" s="96"/>
      <c r="H5582" s="96"/>
      <c r="J5582" s="1"/>
      <c r="K5582" s="1"/>
      <c r="L5582" s="1"/>
      <c r="O5582" s="475"/>
      <c r="P5582" s="475"/>
      <c r="Q5582" s="475"/>
      <c r="R5582" s="475"/>
      <c r="S5582" s="475"/>
      <c r="T5582" s="475"/>
      <c r="U5582" s="475"/>
      <c r="V5582" s="475"/>
      <c r="W5582" s="475"/>
    </row>
    <row r="5583" spans="2:23" s="97" customFormat="1">
      <c r="B5583" s="96"/>
      <c r="H5583" s="96"/>
      <c r="J5583" s="1"/>
      <c r="K5583" s="1"/>
      <c r="L5583" s="1"/>
      <c r="O5583" s="475"/>
      <c r="P5583" s="475"/>
      <c r="Q5583" s="475"/>
      <c r="R5583" s="475"/>
      <c r="S5583" s="475"/>
      <c r="T5583" s="475"/>
      <c r="U5583" s="475"/>
      <c r="V5583" s="475"/>
      <c r="W5583" s="475"/>
    </row>
    <row r="5584" spans="2:23" s="97" customFormat="1">
      <c r="B5584" s="96"/>
      <c r="H5584" s="96"/>
      <c r="J5584" s="1"/>
      <c r="K5584" s="1"/>
      <c r="L5584" s="1"/>
      <c r="O5584" s="475"/>
      <c r="P5584" s="475"/>
      <c r="Q5584" s="475"/>
      <c r="R5584" s="475"/>
      <c r="S5584" s="475"/>
      <c r="T5584" s="475"/>
      <c r="U5584" s="475"/>
      <c r="V5584" s="475"/>
      <c r="W5584" s="475"/>
    </row>
    <row r="5585" spans="2:23" s="97" customFormat="1">
      <c r="B5585" s="96"/>
      <c r="H5585" s="96"/>
      <c r="J5585" s="1"/>
      <c r="K5585" s="1"/>
      <c r="L5585" s="1"/>
      <c r="O5585" s="475"/>
      <c r="P5585" s="475"/>
      <c r="Q5585" s="475"/>
      <c r="R5585" s="475"/>
      <c r="S5585" s="475"/>
      <c r="T5585" s="475"/>
      <c r="U5585" s="475"/>
      <c r="V5585" s="475"/>
      <c r="W5585" s="475"/>
    </row>
    <row r="5586" spans="2:23" s="97" customFormat="1">
      <c r="B5586" s="96"/>
      <c r="H5586" s="96"/>
      <c r="J5586" s="1"/>
      <c r="K5586" s="1"/>
      <c r="L5586" s="1"/>
      <c r="O5586" s="475"/>
      <c r="P5586" s="475"/>
      <c r="Q5586" s="475"/>
      <c r="R5586" s="475"/>
      <c r="S5586" s="475"/>
      <c r="T5586" s="475"/>
      <c r="U5586" s="475"/>
      <c r="V5586" s="475"/>
      <c r="W5586" s="475"/>
    </row>
    <row r="5587" spans="2:23" s="97" customFormat="1">
      <c r="B5587" s="96"/>
      <c r="H5587" s="96"/>
      <c r="J5587" s="1"/>
      <c r="K5587" s="1"/>
      <c r="L5587" s="1"/>
      <c r="O5587" s="475"/>
      <c r="P5587" s="475"/>
      <c r="Q5587" s="475"/>
      <c r="R5587" s="475"/>
      <c r="S5587" s="475"/>
      <c r="T5587" s="475"/>
      <c r="U5587" s="475"/>
      <c r="V5587" s="475"/>
      <c r="W5587" s="475"/>
    </row>
    <row r="5588" spans="2:23" s="97" customFormat="1">
      <c r="B5588" s="96"/>
      <c r="H5588" s="96"/>
      <c r="J5588" s="1"/>
      <c r="K5588" s="1"/>
      <c r="L5588" s="1"/>
      <c r="O5588" s="475"/>
      <c r="P5588" s="475"/>
      <c r="Q5588" s="475"/>
      <c r="R5588" s="475"/>
      <c r="S5588" s="475"/>
      <c r="T5588" s="475"/>
      <c r="U5588" s="475"/>
      <c r="V5588" s="475"/>
      <c r="W5588" s="475"/>
    </row>
    <row r="5589" spans="2:23" s="97" customFormat="1">
      <c r="B5589" s="96"/>
      <c r="H5589" s="96"/>
      <c r="J5589" s="1"/>
      <c r="K5589" s="1"/>
      <c r="L5589" s="1"/>
      <c r="O5589" s="475"/>
      <c r="P5589" s="475"/>
      <c r="Q5589" s="475"/>
      <c r="R5589" s="475"/>
      <c r="S5589" s="475"/>
      <c r="T5589" s="475"/>
      <c r="U5589" s="475"/>
      <c r="V5589" s="475"/>
      <c r="W5589" s="475"/>
    </row>
    <row r="5590" spans="2:23" s="97" customFormat="1">
      <c r="B5590" s="96"/>
      <c r="H5590" s="96"/>
      <c r="J5590" s="1"/>
      <c r="K5590" s="1"/>
      <c r="L5590" s="1"/>
      <c r="O5590" s="475"/>
      <c r="P5590" s="475"/>
      <c r="Q5590" s="475"/>
      <c r="R5590" s="475"/>
      <c r="S5590" s="475"/>
      <c r="T5590" s="475"/>
      <c r="U5590" s="475"/>
      <c r="V5590" s="475"/>
      <c r="W5590" s="475"/>
    </row>
    <row r="5591" spans="2:23" s="97" customFormat="1">
      <c r="B5591" s="96"/>
      <c r="H5591" s="96"/>
      <c r="J5591" s="1"/>
      <c r="K5591" s="1"/>
      <c r="L5591" s="1"/>
      <c r="O5591" s="475"/>
      <c r="P5591" s="475"/>
      <c r="Q5591" s="475"/>
      <c r="R5591" s="475"/>
      <c r="S5591" s="475"/>
      <c r="T5591" s="475"/>
      <c r="U5591" s="475"/>
      <c r="V5591" s="475"/>
      <c r="W5591" s="475"/>
    </row>
    <row r="5592" spans="2:23" s="97" customFormat="1">
      <c r="B5592" s="96"/>
      <c r="H5592" s="96"/>
      <c r="J5592" s="1"/>
      <c r="K5592" s="1"/>
      <c r="L5592" s="1"/>
      <c r="O5592" s="475"/>
      <c r="P5592" s="475"/>
      <c r="Q5592" s="475"/>
      <c r="R5592" s="475"/>
      <c r="S5592" s="475"/>
      <c r="T5592" s="475"/>
      <c r="U5592" s="475"/>
      <c r="V5592" s="475"/>
      <c r="W5592" s="475"/>
    </row>
    <row r="5593" spans="2:23" s="97" customFormat="1">
      <c r="B5593" s="96"/>
      <c r="H5593" s="96"/>
      <c r="J5593" s="1"/>
      <c r="K5593" s="1"/>
      <c r="L5593" s="1"/>
      <c r="O5593" s="475"/>
      <c r="P5593" s="475"/>
      <c r="Q5593" s="475"/>
      <c r="R5593" s="475"/>
      <c r="S5593" s="475"/>
      <c r="T5593" s="475"/>
      <c r="U5593" s="475"/>
      <c r="V5593" s="475"/>
      <c r="W5593" s="475"/>
    </row>
    <row r="5594" spans="2:23" s="97" customFormat="1">
      <c r="B5594" s="96"/>
      <c r="H5594" s="96"/>
      <c r="J5594" s="1"/>
      <c r="K5594" s="1"/>
      <c r="L5594" s="1"/>
      <c r="O5594" s="475"/>
      <c r="P5594" s="475"/>
      <c r="Q5594" s="475"/>
      <c r="R5594" s="475"/>
      <c r="S5594" s="475"/>
      <c r="T5594" s="475"/>
      <c r="U5594" s="475"/>
      <c r="V5594" s="475"/>
      <c r="W5594" s="475"/>
    </row>
    <row r="5595" spans="2:23" s="97" customFormat="1">
      <c r="B5595" s="96"/>
      <c r="H5595" s="96"/>
      <c r="J5595" s="1"/>
      <c r="K5595" s="1"/>
      <c r="L5595" s="1"/>
      <c r="O5595" s="475"/>
      <c r="P5595" s="475"/>
      <c r="Q5595" s="475"/>
      <c r="R5595" s="475"/>
      <c r="S5595" s="475"/>
      <c r="T5595" s="475"/>
      <c r="U5595" s="475"/>
      <c r="V5595" s="475"/>
      <c r="W5595" s="475"/>
    </row>
    <row r="5596" spans="2:23" s="97" customFormat="1">
      <c r="B5596" s="96"/>
      <c r="H5596" s="96"/>
      <c r="J5596" s="1"/>
      <c r="K5596" s="1"/>
      <c r="L5596" s="1"/>
      <c r="O5596" s="475"/>
      <c r="P5596" s="475"/>
      <c r="Q5596" s="475"/>
      <c r="R5596" s="475"/>
      <c r="S5596" s="475"/>
      <c r="T5596" s="475"/>
      <c r="U5596" s="475"/>
      <c r="V5596" s="475"/>
      <c r="W5596" s="475"/>
    </row>
    <row r="5597" spans="2:23" s="97" customFormat="1">
      <c r="B5597" s="96"/>
      <c r="H5597" s="96"/>
      <c r="J5597" s="1"/>
      <c r="K5597" s="1"/>
      <c r="L5597" s="1"/>
      <c r="O5597" s="475"/>
      <c r="P5597" s="475"/>
      <c r="Q5597" s="475"/>
      <c r="R5597" s="475"/>
      <c r="S5597" s="475"/>
      <c r="T5597" s="475"/>
      <c r="U5597" s="475"/>
      <c r="V5597" s="475"/>
      <c r="W5597" s="475"/>
    </row>
    <row r="5598" spans="2:23" s="97" customFormat="1">
      <c r="B5598" s="96"/>
      <c r="H5598" s="96"/>
      <c r="J5598" s="1"/>
      <c r="K5598" s="1"/>
      <c r="L5598" s="1"/>
      <c r="O5598" s="475"/>
      <c r="P5598" s="475"/>
      <c r="Q5598" s="475"/>
      <c r="R5598" s="475"/>
      <c r="S5598" s="475"/>
      <c r="T5598" s="475"/>
      <c r="U5598" s="475"/>
      <c r="V5598" s="475"/>
      <c r="W5598" s="475"/>
    </row>
    <row r="5599" spans="2:23" s="97" customFormat="1">
      <c r="B5599" s="96"/>
      <c r="H5599" s="96"/>
      <c r="J5599" s="1"/>
      <c r="K5599" s="1"/>
      <c r="L5599" s="1"/>
      <c r="O5599" s="475"/>
      <c r="P5599" s="475"/>
      <c r="Q5599" s="475"/>
      <c r="R5599" s="475"/>
      <c r="S5599" s="475"/>
      <c r="T5599" s="475"/>
      <c r="U5599" s="475"/>
      <c r="V5599" s="475"/>
      <c r="W5599" s="475"/>
    </row>
    <row r="5600" spans="2:23" s="97" customFormat="1">
      <c r="B5600" s="96"/>
      <c r="H5600" s="96"/>
      <c r="J5600" s="1"/>
      <c r="K5600" s="1"/>
      <c r="L5600" s="1"/>
      <c r="O5600" s="475"/>
      <c r="P5600" s="475"/>
      <c r="Q5600" s="475"/>
      <c r="R5600" s="475"/>
      <c r="S5600" s="475"/>
      <c r="T5600" s="475"/>
      <c r="U5600" s="475"/>
      <c r="V5600" s="475"/>
      <c r="W5600" s="475"/>
    </row>
    <row r="5601" spans="2:23" s="97" customFormat="1">
      <c r="B5601" s="96"/>
      <c r="H5601" s="96"/>
      <c r="J5601" s="1"/>
      <c r="K5601" s="1"/>
      <c r="L5601" s="1"/>
      <c r="O5601" s="475"/>
      <c r="P5601" s="475"/>
      <c r="Q5601" s="475"/>
      <c r="R5601" s="475"/>
      <c r="S5601" s="475"/>
      <c r="T5601" s="475"/>
      <c r="U5601" s="475"/>
      <c r="V5601" s="475"/>
      <c r="W5601" s="475"/>
    </row>
    <row r="5602" spans="2:23" s="97" customFormat="1">
      <c r="B5602" s="96"/>
      <c r="H5602" s="96"/>
      <c r="J5602" s="1"/>
      <c r="K5602" s="1"/>
      <c r="L5602" s="1"/>
      <c r="O5602" s="475"/>
      <c r="P5602" s="475"/>
      <c r="Q5602" s="475"/>
      <c r="R5602" s="475"/>
      <c r="S5602" s="475"/>
      <c r="T5602" s="475"/>
      <c r="U5602" s="475"/>
      <c r="V5602" s="475"/>
      <c r="W5602" s="475"/>
    </row>
    <row r="5603" spans="2:23" s="97" customFormat="1">
      <c r="B5603" s="96"/>
      <c r="H5603" s="96"/>
      <c r="J5603" s="1"/>
      <c r="K5603" s="1"/>
      <c r="L5603" s="1"/>
      <c r="O5603" s="475"/>
      <c r="P5603" s="475"/>
      <c r="Q5603" s="475"/>
      <c r="R5603" s="475"/>
      <c r="S5603" s="475"/>
      <c r="T5603" s="475"/>
      <c r="U5603" s="475"/>
      <c r="V5603" s="475"/>
      <c r="W5603" s="475"/>
    </row>
    <row r="5604" spans="2:23" s="97" customFormat="1">
      <c r="B5604" s="96"/>
      <c r="H5604" s="96"/>
      <c r="J5604" s="1"/>
      <c r="K5604" s="1"/>
      <c r="L5604" s="1"/>
      <c r="O5604" s="475"/>
      <c r="P5604" s="475"/>
      <c r="Q5604" s="475"/>
      <c r="R5604" s="475"/>
      <c r="S5604" s="475"/>
      <c r="T5604" s="475"/>
      <c r="U5604" s="475"/>
      <c r="V5604" s="475"/>
      <c r="W5604" s="475"/>
    </row>
    <row r="5605" spans="2:23" s="97" customFormat="1">
      <c r="B5605" s="96"/>
      <c r="H5605" s="96"/>
      <c r="J5605" s="1"/>
      <c r="K5605" s="1"/>
      <c r="L5605" s="1"/>
      <c r="O5605" s="475"/>
      <c r="P5605" s="475"/>
      <c r="Q5605" s="475"/>
      <c r="R5605" s="475"/>
      <c r="S5605" s="475"/>
      <c r="T5605" s="475"/>
      <c r="U5605" s="475"/>
      <c r="V5605" s="475"/>
      <c r="W5605" s="475"/>
    </row>
    <row r="5606" spans="2:23" s="97" customFormat="1">
      <c r="B5606" s="96"/>
      <c r="H5606" s="96"/>
      <c r="J5606" s="1"/>
      <c r="K5606" s="1"/>
      <c r="L5606" s="1"/>
      <c r="O5606" s="475"/>
      <c r="P5606" s="475"/>
      <c r="Q5606" s="475"/>
      <c r="R5606" s="475"/>
      <c r="S5606" s="475"/>
      <c r="T5606" s="475"/>
      <c r="U5606" s="475"/>
      <c r="V5606" s="475"/>
      <c r="W5606" s="475"/>
    </row>
    <row r="5607" spans="2:23" s="97" customFormat="1">
      <c r="B5607" s="96"/>
      <c r="H5607" s="96"/>
      <c r="J5607" s="1"/>
      <c r="K5607" s="1"/>
      <c r="L5607" s="1"/>
      <c r="O5607" s="475"/>
      <c r="P5607" s="475"/>
      <c r="Q5607" s="475"/>
      <c r="R5607" s="475"/>
      <c r="S5607" s="475"/>
      <c r="T5607" s="475"/>
      <c r="U5607" s="475"/>
      <c r="V5607" s="475"/>
      <c r="W5607" s="475"/>
    </row>
    <row r="5608" spans="2:23" s="97" customFormat="1">
      <c r="B5608" s="96"/>
      <c r="H5608" s="96"/>
      <c r="J5608" s="1"/>
      <c r="K5608" s="1"/>
      <c r="L5608" s="1"/>
      <c r="O5608" s="475"/>
      <c r="P5608" s="475"/>
      <c r="Q5608" s="475"/>
      <c r="R5608" s="475"/>
      <c r="S5608" s="475"/>
      <c r="T5608" s="475"/>
      <c r="U5608" s="475"/>
      <c r="V5608" s="475"/>
      <c r="W5608" s="475"/>
    </row>
    <row r="5609" spans="2:23" s="97" customFormat="1">
      <c r="B5609" s="96"/>
      <c r="H5609" s="96"/>
      <c r="J5609" s="1"/>
      <c r="K5609" s="1"/>
      <c r="L5609" s="1"/>
      <c r="O5609" s="475"/>
      <c r="P5609" s="475"/>
      <c r="Q5609" s="475"/>
      <c r="R5609" s="475"/>
      <c r="S5609" s="475"/>
      <c r="T5609" s="475"/>
      <c r="U5609" s="475"/>
      <c r="V5609" s="475"/>
      <c r="W5609" s="475"/>
    </row>
    <row r="5610" spans="2:23" s="97" customFormat="1">
      <c r="B5610" s="96"/>
      <c r="H5610" s="96"/>
      <c r="J5610" s="1"/>
      <c r="K5610" s="1"/>
      <c r="L5610" s="1"/>
      <c r="O5610" s="475"/>
      <c r="P5610" s="475"/>
      <c r="Q5610" s="475"/>
      <c r="R5610" s="475"/>
      <c r="S5610" s="475"/>
      <c r="T5610" s="475"/>
      <c r="U5610" s="475"/>
      <c r="V5610" s="475"/>
      <c r="W5610" s="475"/>
    </row>
    <row r="5611" spans="2:23" s="97" customFormat="1">
      <c r="B5611" s="96"/>
      <c r="H5611" s="96"/>
      <c r="J5611" s="1"/>
      <c r="K5611" s="1"/>
      <c r="L5611" s="1"/>
      <c r="O5611" s="475"/>
      <c r="P5611" s="475"/>
      <c r="Q5611" s="475"/>
      <c r="R5611" s="475"/>
      <c r="S5611" s="475"/>
      <c r="T5611" s="475"/>
      <c r="U5611" s="475"/>
      <c r="V5611" s="475"/>
      <c r="W5611" s="475"/>
    </row>
    <row r="5612" spans="2:23" s="97" customFormat="1">
      <c r="B5612" s="96"/>
      <c r="H5612" s="96"/>
      <c r="J5612" s="1"/>
      <c r="K5612" s="1"/>
      <c r="L5612" s="1"/>
      <c r="O5612" s="475"/>
      <c r="P5612" s="475"/>
      <c r="Q5612" s="475"/>
      <c r="R5612" s="475"/>
      <c r="S5612" s="475"/>
      <c r="T5612" s="475"/>
      <c r="U5612" s="475"/>
      <c r="V5612" s="475"/>
      <c r="W5612" s="475"/>
    </row>
    <row r="5613" spans="2:23" s="97" customFormat="1">
      <c r="B5613" s="96"/>
      <c r="H5613" s="96"/>
      <c r="J5613" s="1"/>
      <c r="K5613" s="1"/>
      <c r="L5613" s="1"/>
      <c r="O5613" s="475"/>
      <c r="P5613" s="475"/>
      <c r="Q5613" s="475"/>
      <c r="R5613" s="475"/>
      <c r="S5613" s="475"/>
      <c r="T5613" s="475"/>
      <c r="U5613" s="475"/>
      <c r="V5613" s="475"/>
      <c r="W5613" s="475"/>
    </row>
    <row r="5614" spans="2:23" s="97" customFormat="1">
      <c r="B5614" s="96"/>
      <c r="H5614" s="96"/>
      <c r="J5614" s="1"/>
      <c r="K5614" s="1"/>
      <c r="L5614" s="1"/>
      <c r="O5614" s="475"/>
      <c r="P5614" s="475"/>
      <c r="Q5614" s="475"/>
      <c r="R5614" s="475"/>
      <c r="S5614" s="475"/>
      <c r="T5614" s="475"/>
      <c r="U5614" s="475"/>
      <c r="V5614" s="475"/>
      <c r="W5614" s="475"/>
    </row>
    <row r="5615" spans="2:23" s="97" customFormat="1">
      <c r="B5615" s="96"/>
      <c r="H5615" s="96"/>
      <c r="J5615" s="1"/>
      <c r="K5615" s="1"/>
      <c r="L5615" s="1"/>
      <c r="O5615" s="475"/>
      <c r="P5615" s="475"/>
      <c r="Q5615" s="475"/>
      <c r="R5615" s="475"/>
      <c r="S5615" s="475"/>
      <c r="T5615" s="475"/>
      <c r="U5615" s="475"/>
      <c r="V5615" s="475"/>
      <c r="W5615" s="475"/>
    </row>
    <row r="5616" spans="2:23" s="97" customFormat="1">
      <c r="B5616" s="96"/>
      <c r="H5616" s="96"/>
      <c r="J5616" s="1"/>
      <c r="K5616" s="1"/>
      <c r="L5616" s="1"/>
      <c r="O5616" s="475"/>
      <c r="P5616" s="475"/>
      <c r="Q5616" s="475"/>
      <c r="R5616" s="475"/>
      <c r="S5616" s="475"/>
      <c r="T5616" s="475"/>
      <c r="U5616" s="475"/>
      <c r="V5616" s="475"/>
      <c r="W5616" s="475"/>
    </row>
    <row r="5617" spans="2:23" s="97" customFormat="1">
      <c r="B5617" s="96"/>
      <c r="H5617" s="96"/>
      <c r="J5617" s="1"/>
      <c r="K5617" s="1"/>
      <c r="L5617" s="1"/>
      <c r="O5617" s="475"/>
      <c r="P5617" s="475"/>
      <c r="Q5617" s="475"/>
      <c r="R5617" s="475"/>
      <c r="S5617" s="475"/>
      <c r="T5617" s="475"/>
      <c r="U5617" s="475"/>
      <c r="V5617" s="475"/>
      <c r="W5617" s="475"/>
    </row>
    <row r="5618" spans="2:23" s="97" customFormat="1">
      <c r="B5618" s="96"/>
      <c r="H5618" s="96"/>
      <c r="J5618" s="1"/>
      <c r="K5618" s="1"/>
      <c r="L5618" s="1"/>
      <c r="O5618" s="475"/>
      <c r="P5618" s="475"/>
      <c r="Q5618" s="475"/>
      <c r="R5618" s="475"/>
      <c r="S5618" s="475"/>
      <c r="T5618" s="475"/>
      <c r="U5618" s="475"/>
      <c r="V5618" s="475"/>
      <c r="W5618" s="475"/>
    </row>
    <row r="5619" spans="2:23" s="97" customFormat="1">
      <c r="B5619" s="96"/>
      <c r="H5619" s="96"/>
      <c r="J5619" s="1"/>
      <c r="K5619" s="1"/>
      <c r="L5619" s="1"/>
      <c r="O5619" s="475"/>
      <c r="P5619" s="475"/>
      <c r="Q5619" s="475"/>
      <c r="R5619" s="475"/>
      <c r="S5619" s="475"/>
      <c r="T5619" s="475"/>
      <c r="U5619" s="475"/>
      <c r="V5619" s="475"/>
      <c r="W5619" s="475"/>
    </row>
    <row r="5620" spans="2:23" s="97" customFormat="1">
      <c r="B5620" s="96"/>
      <c r="H5620" s="96"/>
      <c r="J5620" s="1"/>
      <c r="K5620" s="1"/>
      <c r="L5620" s="1"/>
      <c r="O5620" s="475"/>
      <c r="P5620" s="475"/>
      <c r="Q5620" s="475"/>
      <c r="R5620" s="475"/>
      <c r="S5620" s="475"/>
      <c r="T5620" s="475"/>
      <c r="U5620" s="475"/>
      <c r="V5620" s="475"/>
      <c r="W5620" s="475"/>
    </row>
    <row r="5621" spans="2:23" s="97" customFormat="1">
      <c r="B5621" s="96"/>
      <c r="H5621" s="96"/>
      <c r="J5621" s="1"/>
      <c r="K5621" s="1"/>
      <c r="L5621" s="1"/>
      <c r="O5621" s="475"/>
      <c r="P5621" s="475"/>
      <c r="Q5621" s="475"/>
      <c r="R5621" s="475"/>
      <c r="S5621" s="475"/>
      <c r="T5621" s="475"/>
      <c r="U5621" s="475"/>
      <c r="V5621" s="475"/>
      <c r="W5621" s="475"/>
    </row>
    <row r="5622" spans="2:23" s="97" customFormat="1">
      <c r="B5622" s="96"/>
      <c r="H5622" s="96"/>
      <c r="J5622" s="1"/>
      <c r="K5622" s="1"/>
      <c r="L5622" s="1"/>
      <c r="O5622" s="475"/>
      <c r="P5622" s="475"/>
      <c r="Q5622" s="475"/>
      <c r="R5622" s="475"/>
      <c r="S5622" s="475"/>
      <c r="T5622" s="475"/>
      <c r="U5622" s="475"/>
      <c r="V5622" s="475"/>
      <c r="W5622" s="475"/>
    </row>
    <row r="5623" spans="2:23" s="97" customFormat="1">
      <c r="B5623" s="96"/>
      <c r="H5623" s="96"/>
      <c r="J5623" s="1"/>
      <c r="K5623" s="1"/>
      <c r="L5623" s="1"/>
      <c r="O5623" s="475"/>
      <c r="P5623" s="475"/>
      <c r="Q5623" s="475"/>
      <c r="R5623" s="475"/>
      <c r="S5623" s="475"/>
      <c r="T5623" s="475"/>
      <c r="U5623" s="475"/>
      <c r="V5623" s="475"/>
      <c r="W5623" s="475"/>
    </row>
    <row r="5624" spans="2:23" s="97" customFormat="1">
      <c r="B5624" s="96"/>
      <c r="H5624" s="96"/>
      <c r="J5624" s="1"/>
      <c r="K5624" s="1"/>
      <c r="L5624" s="1"/>
      <c r="O5624" s="475"/>
      <c r="P5624" s="475"/>
      <c r="Q5624" s="475"/>
      <c r="R5624" s="475"/>
      <c r="S5624" s="475"/>
      <c r="T5624" s="475"/>
      <c r="U5624" s="475"/>
      <c r="V5624" s="475"/>
      <c r="W5624" s="475"/>
    </row>
    <row r="5625" spans="2:23" s="97" customFormat="1">
      <c r="B5625" s="96"/>
      <c r="H5625" s="96"/>
      <c r="J5625" s="1"/>
      <c r="K5625" s="1"/>
      <c r="L5625" s="1"/>
      <c r="O5625" s="475"/>
      <c r="P5625" s="475"/>
      <c r="Q5625" s="475"/>
      <c r="R5625" s="475"/>
      <c r="S5625" s="475"/>
      <c r="T5625" s="475"/>
      <c r="U5625" s="475"/>
      <c r="V5625" s="475"/>
      <c r="W5625" s="475"/>
    </row>
    <row r="5626" spans="2:23" s="97" customFormat="1">
      <c r="B5626" s="96"/>
      <c r="H5626" s="96"/>
      <c r="J5626" s="1"/>
      <c r="K5626" s="1"/>
      <c r="L5626" s="1"/>
      <c r="O5626" s="475"/>
      <c r="P5626" s="475"/>
      <c r="Q5626" s="475"/>
      <c r="R5626" s="475"/>
      <c r="S5626" s="475"/>
      <c r="T5626" s="475"/>
      <c r="U5626" s="475"/>
      <c r="V5626" s="475"/>
      <c r="W5626" s="475"/>
    </row>
    <row r="5627" spans="2:23" s="97" customFormat="1">
      <c r="B5627" s="96"/>
      <c r="H5627" s="96"/>
      <c r="J5627" s="1"/>
      <c r="K5627" s="1"/>
      <c r="L5627" s="1"/>
      <c r="O5627" s="475"/>
      <c r="P5627" s="475"/>
      <c r="Q5627" s="475"/>
      <c r="R5627" s="475"/>
      <c r="S5627" s="475"/>
      <c r="T5627" s="475"/>
      <c r="U5627" s="475"/>
      <c r="V5627" s="475"/>
      <c r="W5627" s="475"/>
    </row>
    <row r="5628" spans="2:23" s="97" customFormat="1">
      <c r="B5628" s="96"/>
      <c r="H5628" s="96"/>
      <c r="J5628" s="1"/>
      <c r="K5628" s="1"/>
      <c r="L5628" s="1"/>
      <c r="O5628" s="475"/>
      <c r="P5628" s="475"/>
      <c r="Q5628" s="475"/>
      <c r="R5628" s="475"/>
      <c r="S5628" s="475"/>
      <c r="T5628" s="475"/>
      <c r="U5628" s="475"/>
      <c r="V5628" s="475"/>
      <c r="W5628" s="475"/>
    </row>
    <row r="5629" spans="2:23" s="97" customFormat="1">
      <c r="B5629" s="96"/>
      <c r="H5629" s="96"/>
      <c r="J5629" s="1"/>
      <c r="K5629" s="1"/>
      <c r="L5629" s="1"/>
      <c r="O5629" s="475"/>
      <c r="P5629" s="475"/>
      <c r="Q5629" s="475"/>
      <c r="R5629" s="475"/>
      <c r="S5629" s="475"/>
      <c r="T5629" s="475"/>
      <c r="U5629" s="475"/>
      <c r="V5629" s="475"/>
      <c r="W5629" s="475"/>
    </row>
    <row r="5630" spans="2:23" s="97" customFormat="1">
      <c r="B5630" s="96"/>
      <c r="H5630" s="96"/>
      <c r="J5630" s="1"/>
      <c r="K5630" s="1"/>
      <c r="L5630" s="1"/>
      <c r="O5630" s="475"/>
      <c r="P5630" s="475"/>
      <c r="Q5630" s="475"/>
      <c r="R5630" s="475"/>
      <c r="S5630" s="475"/>
      <c r="T5630" s="475"/>
      <c r="U5630" s="475"/>
      <c r="V5630" s="475"/>
      <c r="W5630" s="475"/>
    </row>
    <row r="5631" spans="2:23" s="97" customFormat="1">
      <c r="B5631" s="96"/>
      <c r="H5631" s="96"/>
      <c r="J5631" s="1"/>
      <c r="K5631" s="1"/>
      <c r="L5631" s="1"/>
      <c r="O5631" s="475"/>
      <c r="P5631" s="475"/>
      <c r="Q5631" s="475"/>
      <c r="R5631" s="475"/>
      <c r="S5631" s="475"/>
      <c r="T5631" s="475"/>
      <c r="U5631" s="475"/>
      <c r="V5631" s="475"/>
      <c r="W5631" s="475"/>
    </row>
    <row r="5632" spans="2:23" s="97" customFormat="1">
      <c r="B5632" s="96"/>
      <c r="H5632" s="96"/>
      <c r="J5632" s="1"/>
      <c r="K5632" s="1"/>
      <c r="L5632" s="1"/>
      <c r="O5632" s="475"/>
      <c r="P5632" s="475"/>
      <c r="Q5632" s="475"/>
      <c r="R5632" s="475"/>
      <c r="S5632" s="475"/>
      <c r="T5632" s="475"/>
      <c r="U5632" s="475"/>
      <c r="V5632" s="475"/>
      <c r="W5632" s="475"/>
    </row>
    <row r="5633" spans="2:23" s="97" customFormat="1">
      <c r="B5633" s="96"/>
      <c r="H5633" s="96"/>
      <c r="J5633" s="1"/>
      <c r="K5633" s="1"/>
      <c r="L5633" s="1"/>
      <c r="O5633" s="475"/>
      <c r="P5633" s="475"/>
      <c r="Q5633" s="475"/>
      <c r="R5633" s="475"/>
      <c r="S5633" s="475"/>
      <c r="T5633" s="475"/>
      <c r="U5633" s="475"/>
      <c r="V5633" s="475"/>
      <c r="W5633" s="475"/>
    </row>
    <row r="5634" spans="2:23" s="97" customFormat="1">
      <c r="B5634" s="96"/>
      <c r="H5634" s="96"/>
      <c r="J5634" s="1"/>
      <c r="K5634" s="1"/>
      <c r="L5634" s="1"/>
      <c r="O5634" s="475"/>
      <c r="P5634" s="475"/>
      <c r="Q5634" s="475"/>
      <c r="R5634" s="475"/>
      <c r="S5634" s="475"/>
      <c r="T5634" s="475"/>
      <c r="U5634" s="475"/>
      <c r="V5634" s="475"/>
      <c r="W5634" s="475"/>
    </row>
    <row r="5635" spans="2:23" s="97" customFormat="1">
      <c r="B5635" s="96"/>
      <c r="H5635" s="96"/>
      <c r="J5635" s="1"/>
      <c r="K5635" s="1"/>
      <c r="L5635" s="1"/>
      <c r="O5635" s="475"/>
      <c r="P5635" s="475"/>
      <c r="Q5635" s="475"/>
      <c r="R5635" s="475"/>
      <c r="S5635" s="475"/>
      <c r="T5635" s="475"/>
      <c r="U5635" s="475"/>
      <c r="V5635" s="475"/>
      <c r="W5635" s="475"/>
    </row>
    <row r="5636" spans="2:23" s="97" customFormat="1">
      <c r="B5636" s="96"/>
      <c r="H5636" s="96"/>
      <c r="J5636" s="1"/>
      <c r="K5636" s="1"/>
      <c r="L5636" s="1"/>
      <c r="O5636" s="475"/>
      <c r="P5636" s="475"/>
      <c r="Q5636" s="475"/>
      <c r="R5636" s="475"/>
      <c r="S5636" s="475"/>
      <c r="T5636" s="475"/>
      <c r="U5636" s="475"/>
      <c r="V5636" s="475"/>
      <c r="W5636" s="475"/>
    </row>
    <row r="5637" spans="2:23" s="97" customFormat="1">
      <c r="B5637" s="96"/>
      <c r="H5637" s="96"/>
      <c r="J5637" s="1"/>
      <c r="K5637" s="1"/>
      <c r="L5637" s="1"/>
      <c r="O5637" s="475"/>
      <c r="P5637" s="475"/>
      <c r="Q5637" s="475"/>
      <c r="R5637" s="475"/>
      <c r="S5637" s="475"/>
      <c r="T5637" s="475"/>
      <c r="U5637" s="475"/>
      <c r="V5637" s="475"/>
      <c r="W5637" s="475"/>
    </row>
    <row r="5638" spans="2:23" s="97" customFormat="1">
      <c r="B5638" s="96"/>
      <c r="H5638" s="96"/>
      <c r="J5638" s="1"/>
      <c r="K5638" s="1"/>
      <c r="L5638" s="1"/>
      <c r="O5638" s="475"/>
      <c r="P5638" s="475"/>
      <c r="Q5638" s="475"/>
      <c r="R5638" s="475"/>
      <c r="S5638" s="475"/>
      <c r="T5638" s="475"/>
      <c r="U5638" s="475"/>
      <c r="V5638" s="475"/>
      <c r="W5638" s="475"/>
    </row>
    <row r="5639" spans="2:23" s="97" customFormat="1">
      <c r="B5639" s="96"/>
      <c r="H5639" s="96"/>
      <c r="J5639" s="1"/>
      <c r="K5639" s="1"/>
      <c r="L5639" s="1"/>
      <c r="O5639" s="475"/>
      <c r="P5639" s="475"/>
      <c r="Q5639" s="475"/>
      <c r="R5639" s="475"/>
      <c r="S5639" s="475"/>
      <c r="T5639" s="475"/>
      <c r="U5639" s="475"/>
      <c r="V5639" s="475"/>
      <c r="W5639" s="475"/>
    </row>
    <row r="5640" spans="2:23" s="97" customFormat="1">
      <c r="B5640" s="96"/>
      <c r="H5640" s="96"/>
      <c r="J5640" s="1"/>
      <c r="K5640" s="1"/>
      <c r="L5640" s="1"/>
      <c r="O5640" s="475"/>
      <c r="P5640" s="475"/>
      <c r="Q5640" s="475"/>
      <c r="R5640" s="475"/>
      <c r="S5640" s="475"/>
      <c r="T5640" s="475"/>
      <c r="U5640" s="475"/>
      <c r="V5640" s="475"/>
      <c r="W5640" s="475"/>
    </row>
    <row r="5641" spans="2:23" s="97" customFormat="1">
      <c r="B5641" s="96"/>
      <c r="H5641" s="96"/>
      <c r="J5641" s="1"/>
      <c r="K5641" s="1"/>
      <c r="L5641" s="1"/>
      <c r="O5641" s="475"/>
      <c r="P5641" s="475"/>
      <c r="Q5641" s="475"/>
      <c r="R5641" s="475"/>
      <c r="S5641" s="475"/>
      <c r="T5641" s="475"/>
      <c r="U5641" s="475"/>
      <c r="V5641" s="475"/>
      <c r="W5641" s="475"/>
    </row>
    <row r="5642" spans="2:23" s="97" customFormat="1">
      <c r="B5642" s="96"/>
      <c r="H5642" s="96"/>
      <c r="J5642" s="1"/>
      <c r="K5642" s="1"/>
      <c r="L5642" s="1"/>
      <c r="O5642" s="475"/>
      <c r="P5642" s="475"/>
      <c r="Q5642" s="475"/>
      <c r="R5642" s="475"/>
      <c r="S5642" s="475"/>
      <c r="T5642" s="475"/>
      <c r="U5642" s="475"/>
      <c r="V5642" s="475"/>
      <c r="W5642" s="475"/>
    </row>
    <row r="5643" spans="2:23" s="97" customFormat="1">
      <c r="B5643" s="96"/>
      <c r="H5643" s="96"/>
      <c r="J5643" s="1"/>
      <c r="K5643" s="1"/>
      <c r="L5643" s="1"/>
      <c r="O5643" s="475"/>
      <c r="P5643" s="475"/>
      <c r="Q5643" s="475"/>
      <c r="R5643" s="475"/>
      <c r="S5643" s="475"/>
      <c r="T5643" s="475"/>
      <c r="U5643" s="475"/>
      <c r="V5643" s="475"/>
      <c r="W5643" s="475"/>
    </row>
    <row r="5644" spans="2:23" s="97" customFormat="1">
      <c r="B5644" s="96"/>
      <c r="H5644" s="96"/>
      <c r="J5644" s="1"/>
      <c r="K5644" s="1"/>
      <c r="L5644" s="1"/>
      <c r="O5644" s="475"/>
      <c r="P5644" s="475"/>
      <c r="Q5644" s="475"/>
      <c r="R5644" s="475"/>
      <c r="S5644" s="475"/>
      <c r="T5644" s="475"/>
      <c r="U5644" s="475"/>
      <c r="V5644" s="475"/>
      <c r="W5644" s="475"/>
    </row>
    <row r="5645" spans="2:23" s="97" customFormat="1">
      <c r="B5645" s="96"/>
      <c r="H5645" s="96"/>
      <c r="J5645" s="1"/>
      <c r="K5645" s="1"/>
      <c r="L5645" s="1"/>
      <c r="O5645" s="475"/>
      <c r="P5645" s="475"/>
      <c r="Q5645" s="475"/>
      <c r="R5645" s="475"/>
      <c r="S5645" s="475"/>
      <c r="T5645" s="475"/>
      <c r="U5645" s="475"/>
      <c r="V5645" s="475"/>
      <c r="W5645" s="475"/>
    </row>
    <row r="5646" spans="2:23" s="97" customFormat="1">
      <c r="B5646" s="96"/>
      <c r="H5646" s="96"/>
      <c r="J5646" s="1"/>
      <c r="K5646" s="1"/>
      <c r="L5646" s="1"/>
      <c r="O5646" s="475"/>
      <c r="P5646" s="475"/>
      <c r="Q5646" s="475"/>
      <c r="R5646" s="475"/>
      <c r="S5646" s="475"/>
      <c r="T5646" s="475"/>
      <c r="U5646" s="475"/>
      <c r="V5646" s="475"/>
      <c r="W5646" s="475"/>
    </row>
    <row r="5647" spans="2:23" s="97" customFormat="1">
      <c r="B5647" s="96"/>
      <c r="H5647" s="96"/>
      <c r="J5647" s="1"/>
      <c r="K5647" s="1"/>
      <c r="L5647" s="1"/>
      <c r="O5647" s="475"/>
      <c r="P5647" s="475"/>
      <c r="Q5647" s="475"/>
      <c r="R5647" s="475"/>
      <c r="S5647" s="475"/>
      <c r="T5647" s="475"/>
      <c r="U5647" s="475"/>
      <c r="V5647" s="475"/>
      <c r="W5647" s="475"/>
    </row>
    <row r="5648" spans="2:23" s="97" customFormat="1">
      <c r="B5648" s="96"/>
      <c r="H5648" s="96"/>
      <c r="J5648" s="1"/>
      <c r="K5648" s="1"/>
      <c r="L5648" s="1"/>
      <c r="O5648" s="475"/>
      <c r="P5648" s="475"/>
      <c r="Q5648" s="475"/>
      <c r="R5648" s="475"/>
      <c r="S5648" s="475"/>
      <c r="T5648" s="475"/>
      <c r="U5648" s="475"/>
      <c r="V5648" s="475"/>
      <c r="W5648" s="475"/>
    </row>
    <row r="5649" spans="2:23" s="97" customFormat="1">
      <c r="B5649" s="96"/>
      <c r="H5649" s="96"/>
      <c r="J5649" s="1"/>
      <c r="K5649" s="1"/>
      <c r="L5649" s="1"/>
      <c r="O5649" s="475"/>
      <c r="P5649" s="475"/>
      <c r="Q5649" s="475"/>
      <c r="R5649" s="475"/>
      <c r="S5649" s="475"/>
      <c r="T5649" s="475"/>
      <c r="U5649" s="475"/>
      <c r="V5649" s="475"/>
      <c r="W5649" s="475"/>
    </row>
    <row r="5650" spans="2:23" s="97" customFormat="1">
      <c r="B5650" s="96"/>
      <c r="H5650" s="96"/>
      <c r="J5650" s="1"/>
      <c r="K5650" s="1"/>
      <c r="L5650" s="1"/>
      <c r="O5650" s="475"/>
      <c r="P5650" s="475"/>
      <c r="Q5650" s="475"/>
      <c r="R5650" s="475"/>
      <c r="S5650" s="475"/>
      <c r="T5650" s="475"/>
      <c r="U5650" s="475"/>
      <c r="V5650" s="475"/>
      <c r="W5650" s="475"/>
    </row>
    <row r="5651" spans="2:23" s="97" customFormat="1">
      <c r="B5651" s="96"/>
      <c r="H5651" s="96"/>
      <c r="J5651" s="1"/>
      <c r="K5651" s="1"/>
      <c r="L5651" s="1"/>
      <c r="O5651" s="475"/>
      <c r="P5651" s="475"/>
      <c r="Q5651" s="475"/>
      <c r="R5651" s="475"/>
      <c r="S5651" s="475"/>
      <c r="T5651" s="475"/>
      <c r="U5651" s="475"/>
      <c r="V5651" s="475"/>
      <c r="W5651" s="475"/>
    </row>
    <row r="5652" spans="2:23" s="97" customFormat="1">
      <c r="B5652" s="96"/>
      <c r="H5652" s="96"/>
      <c r="J5652" s="1"/>
      <c r="K5652" s="1"/>
      <c r="L5652" s="1"/>
      <c r="O5652" s="475"/>
      <c r="P5652" s="475"/>
      <c r="Q5652" s="475"/>
      <c r="R5652" s="475"/>
      <c r="S5652" s="475"/>
      <c r="T5652" s="475"/>
      <c r="U5652" s="475"/>
      <c r="V5652" s="475"/>
      <c r="W5652" s="475"/>
    </row>
    <row r="5653" spans="2:23" s="97" customFormat="1">
      <c r="B5653" s="96"/>
      <c r="H5653" s="96"/>
      <c r="J5653" s="1"/>
      <c r="K5653" s="1"/>
      <c r="L5653" s="1"/>
      <c r="O5653" s="475"/>
      <c r="P5653" s="475"/>
      <c r="Q5653" s="475"/>
      <c r="R5653" s="475"/>
      <c r="S5653" s="475"/>
      <c r="T5653" s="475"/>
      <c r="U5653" s="475"/>
      <c r="V5653" s="475"/>
      <c r="W5653" s="475"/>
    </row>
    <row r="5654" spans="2:23" s="97" customFormat="1">
      <c r="B5654" s="96"/>
      <c r="H5654" s="96"/>
      <c r="J5654" s="1"/>
      <c r="K5654" s="1"/>
      <c r="L5654" s="1"/>
      <c r="O5654" s="475"/>
      <c r="P5654" s="475"/>
      <c r="Q5654" s="475"/>
      <c r="R5654" s="475"/>
      <c r="S5654" s="475"/>
      <c r="T5654" s="475"/>
      <c r="U5654" s="475"/>
      <c r="V5654" s="475"/>
      <c r="W5654" s="475"/>
    </row>
    <row r="5655" spans="2:23" s="97" customFormat="1">
      <c r="B5655" s="96"/>
      <c r="H5655" s="96"/>
      <c r="J5655" s="1"/>
      <c r="K5655" s="1"/>
      <c r="L5655" s="1"/>
      <c r="O5655" s="475"/>
      <c r="P5655" s="475"/>
      <c r="Q5655" s="475"/>
      <c r="R5655" s="475"/>
      <c r="S5655" s="475"/>
      <c r="T5655" s="475"/>
      <c r="U5655" s="475"/>
      <c r="V5655" s="475"/>
      <c r="W5655" s="475"/>
    </row>
    <row r="5656" spans="2:23" s="97" customFormat="1">
      <c r="B5656" s="96"/>
      <c r="H5656" s="96"/>
      <c r="J5656" s="1"/>
      <c r="K5656" s="1"/>
      <c r="L5656" s="1"/>
      <c r="O5656" s="475"/>
      <c r="P5656" s="475"/>
      <c r="Q5656" s="475"/>
      <c r="R5656" s="475"/>
      <c r="S5656" s="475"/>
      <c r="T5656" s="475"/>
      <c r="U5656" s="475"/>
      <c r="V5656" s="475"/>
      <c r="W5656" s="475"/>
    </row>
    <row r="5657" spans="2:23" s="97" customFormat="1">
      <c r="B5657" s="96"/>
      <c r="H5657" s="96"/>
      <c r="J5657" s="1"/>
      <c r="K5657" s="1"/>
      <c r="L5657" s="1"/>
      <c r="O5657" s="475"/>
      <c r="P5657" s="475"/>
      <c r="Q5657" s="475"/>
      <c r="R5657" s="475"/>
      <c r="S5657" s="475"/>
      <c r="T5657" s="475"/>
      <c r="U5657" s="475"/>
      <c r="V5657" s="475"/>
      <c r="W5657" s="475"/>
    </row>
    <row r="5658" spans="2:23" s="97" customFormat="1">
      <c r="B5658" s="96"/>
      <c r="H5658" s="96"/>
      <c r="J5658" s="1"/>
      <c r="K5658" s="1"/>
      <c r="L5658" s="1"/>
      <c r="O5658" s="475"/>
      <c r="P5658" s="475"/>
      <c r="Q5658" s="475"/>
      <c r="R5658" s="475"/>
      <c r="S5658" s="475"/>
      <c r="T5658" s="475"/>
      <c r="U5658" s="475"/>
      <c r="V5658" s="475"/>
      <c r="W5658" s="475"/>
    </row>
    <row r="5659" spans="2:23" s="97" customFormat="1">
      <c r="B5659" s="96"/>
      <c r="H5659" s="96"/>
      <c r="J5659" s="1"/>
      <c r="K5659" s="1"/>
      <c r="L5659" s="1"/>
      <c r="O5659" s="475"/>
      <c r="P5659" s="475"/>
      <c r="Q5659" s="475"/>
      <c r="R5659" s="475"/>
      <c r="S5659" s="475"/>
      <c r="T5659" s="475"/>
      <c r="U5659" s="475"/>
      <c r="V5659" s="475"/>
      <c r="W5659" s="475"/>
    </row>
    <row r="5660" spans="2:23" s="97" customFormat="1">
      <c r="B5660" s="96"/>
      <c r="H5660" s="96"/>
      <c r="J5660" s="1"/>
      <c r="K5660" s="1"/>
      <c r="L5660" s="1"/>
      <c r="O5660" s="475"/>
      <c r="P5660" s="475"/>
      <c r="Q5660" s="475"/>
      <c r="R5660" s="475"/>
      <c r="S5660" s="475"/>
      <c r="T5660" s="475"/>
      <c r="U5660" s="475"/>
      <c r="V5660" s="475"/>
      <c r="W5660" s="475"/>
    </row>
    <row r="5661" spans="2:23" s="97" customFormat="1">
      <c r="B5661" s="96"/>
      <c r="H5661" s="96"/>
      <c r="J5661" s="1"/>
      <c r="K5661" s="1"/>
      <c r="L5661" s="1"/>
      <c r="O5661" s="475"/>
      <c r="P5661" s="475"/>
      <c r="Q5661" s="475"/>
      <c r="R5661" s="475"/>
      <c r="S5661" s="475"/>
      <c r="T5661" s="475"/>
      <c r="U5661" s="475"/>
      <c r="V5661" s="475"/>
      <c r="W5661" s="475"/>
    </row>
    <row r="5662" spans="2:23" s="97" customFormat="1">
      <c r="B5662" s="96"/>
      <c r="H5662" s="96"/>
      <c r="J5662" s="1"/>
      <c r="K5662" s="1"/>
      <c r="L5662" s="1"/>
      <c r="O5662" s="475"/>
      <c r="P5662" s="475"/>
      <c r="Q5662" s="475"/>
      <c r="R5662" s="475"/>
      <c r="S5662" s="475"/>
      <c r="T5662" s="475"/>
      <c r="U5662" s="475"/>
      <c r="V5662" s="475"/>
      <c r="W5662" s="475"/>
    </row>
    <row r="5663" spans="2:23" s="97" customFormat="1">
      <c r="B5663" s="96"/>
      <c r="H5663" s="96"/>
      <c r="J5663" s="1"/>
      <c r="K5663" s="1"/>
      <c r="L5663" s="1"/>
      <c r="O5663" s="475"/>
      <c r="P5663" s="475"/>
      <c r="Q5663" s="475"/>
      <c r="R5663" s="475"/>
      <c r="S5663" s="475"/>
      <c r="T5663" s="475"/>
      <c r="U5663" s="475"/>
      <c r="V5663" s="475"/>
      <c r="W5663" s="475"/>
    </row>
    <row r="5664" spans="2:23" s="97" customFormat="1">
      <c r="B5664" s="96"/>
      <c r="H5664" s="96"/>
      <c r="J5664" s="1"/>
      <c r="K5664" s="1"/>
      <c r="L5664" s="1"/>
      <c r="O5664" s="475"/>
      <c r="P5664" s="475"/>
      <c r="Q5664" s="475"/>
      <c r="R5664" s="475"/>
      <c r="S5664" s="475"/>
      <c r="T5664" s="475"/>
      <c r="U5664" s="475"/>
      <c r="V5664" s="475"/>
      <c r="W5664" s="475"/>
    </row>
    <row r="5665" spans="2:23" s="97" customFormat="1">
      <c r="B5665" s="96"/>
      <c r="H5665" s="96"/>
      <c r="J5665" s="1"/>
      <c r="K5665" s="1"/>
      <c r="L5665" s="1"/>
      <c r="O5665" s="475"/>
      <c r="P5665" s="475"/>
      <c r="Q5665" s="475"/>
      <c r="R5665" s="475"/>
      <c r="S5665" s="475"/>
      <c r="T5665" s="475"/>
      <c r="U5665" s="475"/>
      <c r="V5665" s="475"/>
      <c r="W5665" s="475"/>
    </row>
    <row r="5666" spans="2:23" s="97" customFormat="1">
      <c r="B5666" s="96"/>
      <c r="H5666" s="96"/>
      <c r="J5666" s="1"/>
      <c r="K5666" s="1"/>
      <c r="L5666" s="1"/>
      <c r="O5666" s="475"/>
      <c r="P5666" s="475"/>
      <c r="Q5666" s="475"/>
      <c r="R5666" s="475"/>
      <c r="S5666" s="475"/>
      <c r="T5666" s="475"/>
      <c r="U5666" s="475"/>
      <c r="V5666" s="475"/>
      <c r="W5666" s="475"/>
    </row>
    <row r="5667" spans="2:23" s="97" customFormat="1">
      <c r="B5667" s="96"/>
      <c r="H5667" s="96"/>
      <c r="J5667" s="1"/>
      <c r="K5667" s="1"/>
      <c r="L5667" s="1"/>
      <c r="O5667" s="475"/>
      <c r="P5667" s="475"/>
      <c r="Q5667" s="475"/>
      <c r="R5667" s="475"/>
      <c r="S5667" s="475"/>
      <c r="T5667" s="475"/>
      <c r="U5667" s="475"/>
      <c r="V5667" s="475"/>
      <c r="W5667" s="475"/>
    </row>
    <row r="5668" spans="2:23" s="97" customFormat="1">
      <c r="B5668" s="96"/>
      <c r="H5668" s="96"/>
      <c r="J5668" s="1"/>
      <c r="K5668" s="1"/>
      <c r="L5668" s="1"/>
      <c r="O5668" s="475"/>
      <c r="P5668" s="475"/>
      <c r="Q5668" s="475"/>
      <c r="R5668" s="475"/>
      <c r="S5668" s="475"/>
      <c r="T5668" s="475"/>
      <c r="U5668" s="475"/>
      <c r="V5668" s="475"/>
      <c r="W5668" s="475"/>
    </row>
    <row r="5669" spans="2:23" s="97" customFormat="1">
      <c r="B5669" s="96"/>
      <c r="H5669" s="96"/>
      <c r="J5669" s="1"/>
      <c r="K5669" s="1"/>
      <c r="L5669" s="1"/>
      <c r="O5669" s="475"/>
      <c r="P5669" s="475"/>
      <c r="Q5669" s="475"/>
      <c r="R5669" s="475"/>
      <c r="S5669" s="475"/>
      <c r="T5669" s="475"/>
      <c r="U5669" s="475"/>
      <c r="V5669" s="475"/>
      <c r="W5669" s="475"/>
    </row>
    <row r="5670" spans="2:23" s="97" customFormat="1">
      <c r="B5670" s="96"/>
      <c r="H5670" s="96"/>
      <c r="J5670" s="1"/>
      <c r="K5670" s="1"/>
      <c r="L5670" s="1"/>
      <c r="O5670" s="475"/>
      <c r="P5670" s="475"/>
      <c r="Q5670" s="475"/>
      <c r="R5670" s="475"/>
      <c r="S5670" s="475"/>
      <c r="T5670" s="475"/>
      <c r="U5670" s="475"/>
      <c r="V5670" s="475"/>
      <c r="W5670" s="475"/>
    </row>
    <row r="5671" spans="2:23" s="97" customFormat="1">
      <c r="B5671" s="96"/>
      <c r="H5671" s="96"/>
      <c r="J5671" s="1"/>
      <c r="K5671" s="1"/>
      <c r="L5671" s="1"/>
      <c r="O5671" s="475"/>
      <c r="P5671" s="475"/>
      <c r="Q5671" s="475"/>
      <c r="R5671" s="475"/>
      <c r="S5671" s="475"/>
      <c r="T5671" s="475"/>
      <c r="U5671" s="475"/>
      <c r="V5671" s="475"/>
      <c r="W5671" s="475"/>
    </row>
    <row r="5672" spans="2:23" s="97" customFormat="1">
      <c r="B5672" s="96"/>
      <c r="H5672" s="96"/>
      <c r="J5672" s="1"/>
      <c r="K5672" s="1"/>
      <c r="L5672" s="1"/>
      <c r="O5672" s="475"/>
      <c r="P5672" s="475"/>
      <c r="Q5672" s="475"/>
      <c r="R5672" s="475"/>
      <c r="S5672" s="475"/>
      <c r="T5672" s="475"/>
      <c r="U5672" s="475"/>
      <c r="V5672" s="475"/>
      <c r="W5672" s="475"/>
    </row>
    <row r="5673" spans="2:23" s="97" customFormat="1">
      <c r="B5673" s="96"/>
      <c r="H5673" s="96"/>
      <c r="J5673" s="1"/>
      <c r="K5673" s="1"/>
      <c r="L5673" s="1"/>
      <c r="O5673" s="475"/>
      <c r="P5673" s="475"/>
      <c r="Q5673" s="475"/>
      <c r="R5673" s="475"/>
      <c r="S5673" s="475"/>
      <c r="T5673" s="475"/>
      <c r="U5673" s="475"/>
      <c r="V5673" s="475"/>
      <c r="W5673" s="475"/>
    </row>
    <row r="5674" spans="2:23" s="97" customFormat="1">
      <c r="B5674" s="96"/>
      <c r="H5674" s="96"/>
      <c r="J5674" s="1"/>
      <c r="K5674" s="1"/>
      <c r="L5674" s="1"/>
      <c r="O5674" s="475"/>
      <c r="P5674" s="475"/>
      <c r="Q5674" s="475"/>
      <c r="R5674" s="475"/>
      <c r="S5674" s="475"/>
      <c r="T5674" s="475"/>
      <c r="U5674" s="475"/>
      <c r="V5674" s="475"/>
      <c r="W5674" s="475"/>
    </row>
    <row r="5675" spans="2:23" s="97" customFormat="1">
      <c r="B5675" s="96"/>
      <c r="H5675" s="96"/>
      <c r="J5675" s="1"/>
      <c r="K5675" s="1"/>
      <c r="L5675" s="1"/>
      <c r="O5675" s="475"/>
      <c r="P5675" s="475"/>
      <c r="Q5675" s="475"/>
      <c r="R5675" s="475"/>
      <c r="S5675" s="475"/>
      <c r="T5675" s="475"/>
      <c r="U5675" s="475"/>
      <c r="V5675" s="475"/>
      <c r="W5675" s="475"/>
    </row>
    <row r="5676" spans="2:23" s="97" customFormat="1">
      <c r="B5676" s="96"/>
      <c r="H5676" s="96"/>
      <c r="J5676" s="1"/>
      <c r="K5676" s="1"/>
      <c r="L5676" s="1"/>
      <c r="O5676" s="475"/>
      <c r="P5676" s="475"/>
      <c r="Q5676" s="475"/>
      <c r="R5676" s="475"/>
      <c r="S5676" s="475"/>
      <c r="T5676" s="475"/>
      <c r="U5676" s="475"/>
      <c r="V5676" s="475"/>
      <c r="W5676" s="475"/>
    </row>
    <row r="5677" spans="2:23" s="97" customFormat="1">
      <c r="B5677" s="96"/>
      <c r="H5677" s="96"/>
      <c r="J5677" s="1"/>
      <c r="K5677" s="1"/>
      <c r="L5677" s="1"/>
      <c r="O5677" s="475"/>
      <c r="P5677" s="475"/>
      <c r="Q5677" s="475"/>
      <c r="R5677" s="475"/>
      <c r="S5677" s="475"/>
      <c r="T5677" s="475"/>
      <c r="U5677" s="475"/>
      <c r="V5677" s="475"/>
      <c r="W5677" s="475"/>
    </row>
    <row r="5678" spans="2:23" s="97" customFormat="1">
      <c r="B5678" s="96"/>
      <c r="H5678" s="96"/>
      <c r="J5678" s="1"/>
      <c r="K5678" s="1"/>
      <c r="L5678" s="1"/>
      <c r="O5678" s="475"/>
      <c r="P5678" s="475"/>
      <c r="Q5678" s="475"/>
      <c r="R5678" s="475"/>
      <c r="S5678" s="475"/>
      <c r="T5678" s="475"/>
      <c r="U5678" s="475"/>
      <c r="V5678" s="475"/>
      <c r="W5678" s="475"/>
    </row>
    <row r="5679" spans="2:23" s="97" customFormat="1">
      <c r="B5679" s="96"/>
      <c r="H5679" s="96"/>
      <c r="J5679" s="1"/>
      <c r="K5679" s="1"/>
      <c r="L5679" s="1"/>
      <c r="O5679" s="475"/>
      <c r="P5679" s="475"/>
      <c r="Q5679" s="475"/>
      <c r="R5679" s="475"/>
      <c r="S5679" s="475"/>
      <c r="T5679" s="475"/>
      <c r="U5679" s="475"/>
      <c r="V5679" s="475"/>
      <c r="W5679" s="475"/>
    </row>
    <row r="5680" spans="2:23" s="97" customFormat="1">
      <c r="B5680" s="96"/>
      <c r="H5680" s="96"/>
      <c r="J5680" s="1"/>
      <c r="K5680" s="1"/>
      <c r="L5680" s="1"/>
      <c r="O5680" s="475"/>
      <c r="P5680" s="475"/>
      <c r="Q5680" s="475"/>
      <c r="R5680" s="475"/>
      <c r="S5680" s="475"/>
      <c r="T5680" s="475"/>
      <c r="U5680" s="475"/>
      <c r="V5680" s="475"/>
      <c r="W5680" s="475"/>
    </row>
    <row r="5681" spans="2:23" s="97" customFormat="1">
      <c r="B5681" s="96"/>
      <c r="H5681" s="96"/>
      <c r="J5681" s="1"/>
      <c r="K5681" s="1"/>
      <c r="L5681" s="1"/>
      <c r="O5681" s="475"/>
      <c r="P5681" s="475"/>
      <c r="Q5681" s="475"/>
      <c r="R5681" s="475"/>
      <c r="S5681" s="475"/>
      <c r="T5681" s="475"/>
      <c r="U5681" s="475"/>
      <c r="V5681" s="475"/>
      <c r="W5681" s="475"/>
    </row>
    <row r="5682" spans="2:23" s="97" customFormat="1">
      <c r="B5682" s="96"/>
      <c r="H5682" s="96"/>
      <c r="J5682" s="1"/>
      <c r="K5682" s="1"/>
      <c r="L5682" s="1"/>
      <c r="O5682" s="475"/>
      <c r="P5682" s="475"/>
      <c r="Q5682" s="475"/>
      <c r="R5682" s="475"/>
      <c r="S5682" s="475"/>
      <c r="T5682" s="475"/>
      <c r="U5682" s="475"/>
      <c r="V5682" s="475"/>
      <c r="W5682" s="475"/>
    </row>
    <row r="5683" spans="2:23" s="97" customFormat="1">
      <c r="B5683" s="96"/>
      <c r="H5683" s="96"/>
      <c r="J5683" s="1"/>
      <c r="K5683" s="1"/>
      <c r="L5683" s="1"/>
      <c r="O5683" s="475"/>
      <c r="P5683" s="475"/>
      <c r="Q5683" s="475"/>
      <c r="R5683" s="475"/>
      <c r="S5683" s="475"/>
      <c r="T5683" s="475"/>
      <c r="U5683" s="475"/>
      <c r="V5683" s="475"/>
      <c r="W5683" s="475"/>
    </row>
    <row r="5684" spans="2:23" s="97" customFormat="1">
      <c r="B5684" s="96"/>
      <c r="H5684" s="96"/>
      <c r="J5684" s="1"/>
      <c r="K5684" s="1"/>
      <c r="L5684" s="1"/>
      <c r="O5684" s="475"/>
      <c r="P5684" s="475"/>
      <c r="Q5684" s="475"/>
      <c r="R5684" s="475"/>
      <c r="S5684" s="475"/>
      <c r="T5684" s="475"/>
      <c r="U5684" s="475"/>
      <c r="V5684" s="475"/>
      <c r="W5684" s="475"/>
    </row>
    <row r="5685" spans="2:23" s="97" customFormat="1">
      <c r="B5685" s="96"/>
      <c r="H5685" s="96"/>
      <c r="J5685" s="1"/>
      <c r="K5685" s="1"/>
      <c r="L5685" s="1"/>
      <c r="O5685" s="475"/>
      <c r="P5685" s="475"/>
      <c r="Q5685" s="475"/>
      <c r="R5685" s="475"/>
      <c r="S5685" s="475"/>
      <c r="T5685" s="475"/>
      <c r="U5685" s="475"/>
      <c r="V5685" s="475"/>
      <c r="W5685" s="475"/>
    </row>
    <row r="5686" spans="2:23" s="97" customFormat="1">
      <c r="B5686" s="96"/>
      <c r="H5686" s="96"/>
      <c r="J5686" s="1"/>
      <c r="K5686" s="1"/>
      <c r="L5686" s="1"/>
      <c r="O5686" s="475"/>
      <c r="P5686" s="475"/>
      <c r="Q5686" s="475"/>
      <c r="R5686" s="475"/>
      <c r="S5686" s="475"/>
      <c r="T5686" s="475"/>
      <c r="U5686" s="475"/>
      <c r="V5686" s="475"/>
      <c r="W5686" s="475"/>
    </row>
    <row r="5687" spans="2:23" s="97" customFormat="1">
      <c r="B5687" s="96"/>
      <c r="H5687" s="96"/>
      <c r="J5687" s="1"/>
      <c r="K5687" s="1"/>
      <c r="L5687" s="1"/>
      <c r="O5687" s="475"/>
      <c r="P5687" s="475"/>
      <c r="Q5687" s="475"/>
      <c r="R5687" s="475"/>
      <c r="S5687" s="475"/>
      <c r="T5687" s="475"/>
      <c r="U5687" s="475"/>
      <c r="V5687" s="475"/>
      <c r="W5687" s="475"/>
    </row>
    <row r="5688" spans="2:23" s="97" customFormat="1">
      <c r="B5688" s="96"/>
      <c r="H5688" s="96"/>
      <c r="J5688" s="1"/>
      <c r="K5688" s="1"/>
      <c r="L5688" s="1"/>
      <c r="O5688" s="475"/>
      <c r="P5688" s="475"/>
      <c r="Q5688" s="475"/>
      <c r="R5688" s="475"/>
      <c r="S5688" s="475"/>
      <c r="T5688" s="475"/>
      <c r="U5688" s="475"/>
      <c r="V5688" s="475"/>
      <c r="W5688" s="475"/>
    </row>
    <row r="5689" spans="2:23" s="97" customFormat="1">
      <c r="B5689" s="96"/>
      <c r="H5689" s="96"/>
      <c r="J5689" s="1"/>
      <c r="K5689" s="1"/>
      <c r="L5689" s="1"/>
      <c r="O5689" s="475"/>
      <c r="P5689" s="475"/>
      <c r="Q5689" s="475"/>
      <c r="R5689" s="475"/>
      <c r="S5689" s="475"/>
      <c r="T5689" s="475"/>
      <c r="U5689" s="475"/>
      <c r="V5689" s="475"/>
      <c r="W5689" s="475"/>
    </row>
    <row r="5690" spans="2:23" s="97" customFormat="1">
      <c r="B5690" s="96"/>
      <c r="H5690" s="96"/>
      <c r="J5690" s="1"/>
      <c r="K5690" s="1"/>
      <c r="L5690" s="1"/>
      <c r="O5690" s="475"/>
      <c r="P5690" s="475"/>
      <c r="Q5690" s="475"/>
      <c r="R5690" s="475"/>
      <c r="S5690" s="475"/>
      <c r="T5690" s="475"/>
      <c r="U5690" s="475"/>
      <c r="V5690" s="475"/>
      <c r="W5690" s="475"/>
    </row>
    <row r="5691" spans="2:23" s="97" customFormat="1">
      <c r="B5691" s="96"/>
      <c r="H5691" s="96"/>
      <c r="J5691" s="1"/>
      <c r="K5691" s="1"/>
      <c r="L5691" s="1"/>
      <c r="O5691" s="475"/>
      <c r="P5691" s="475"/>
      <c r="Q5691" s="475"/>
      <c r="R5691" s="475"/>
      <c r="S5691" s="475"/>
      <c r="T5691" s="475"/>
      <c r="U5691" s="475"/>
      <c r="V5691" s="475"/>
      <c r="W5691" s="475"/>
    </row>
    <row r="5692" spans="2:23" s="97" customFormat="1">
      <c r="B5692" s="96"/>
      <c r="H5692" s="96"/>
      <c r="J5692" s="1"/>
      <c r="K5692" s="1"/>
      <c r="L5692" s="1"/>
      <c r="O5692" s="475"/>
      <c r="P5692" s="475"/>
      <c r="Q5692" s="475"/>
      <c r="R5692" s="475"/>
      <c r="S5692" s="475"/>
      <c r="T5692" s="475"/>
      <c r="U5692" s="475"/>
      <c r="V5692" s="475"/>
      <c r="W5692" s="475"/>
    </row>
    <row r="5693" spans="2:23" s="97" customFormat="1">
      <c r="B5693" s="96"/>
      <c r="H5693" s="96"/>
      <c r="J5693" s="1"/>
      <c r="K5693" s="1"/>
      <c r="L5693" s="1"/>
      <c r="O5693" s="475"/>
      <c r="P5693" s="475"/>
      <c r="Q5693" s="475"/>
      <c r="R5693" s="475"/>
      <c r="S5693" s="475"/>
      <c r="T5693" s="475"/>
      <c r="U5693" s="475"/>
      <c r="V5693" s="475"/>
      <c r="W5693" s="475"/>
    </row>
    <row r="5694" spans="2:23" s="97" customFormat="1">
      <c r="B5694" s="96"/>
      <c r="H5694" s="96"/>
      <c r="J5694" s="1"/>
      <c r="K5694" s="1"/>
      <c r="L5694" s="1"/>
      <c r="O5694" s="475"/>
      <c r="P5694" s="475"/>
      <c r="Q5694" s="475"/>
      <c r="R5694" s="475"/>
      <c r="S5694" s="475"/>
      <c r="T5694" s="475"/>
      <c r="U5694" s="475"/>
      <c r="V5694" s="475"/>
      <c r="W5694" s="475"/>
    </row>
    <row r="5695" spans="2:23" s="97" customFormat="1">
      <c r="B5695" s="96"/>
      <c r="H5695" s="96"/>
      <c r="J5695" s="1"/>
      <c r="K5695" s="1"/>
      <c r="L5695" s="1"/>
      <c r="O5695" s="475"/>
      <c r="P5695" s="475"/>
      <c r="Q5695" s="475"/>
      <c r="R5695" s="475"/>
      <c r="S5695" s="475"/>
      <c r="T5695" s="475"/>
      <c r="U5695" s="475"/>
      <c r="V5695" s="475"/>
      <c r="W5695" s="475"/>
    </row>
    <row r="5696" spans="2:23" s="97" customFormat="1">
      <c r="B5696" s="96"/>
      <c r="H5696" s="96"/>
      <c r="J5696" s="1"/>
      <c r="K5696" s="1"/>
      <c r="L5696" s="1"/>
      <c r="O5696" s="475"/>
      <c r="P5696" s="475"/>
      <c r="Q5696" s="475"/>
      <c r="R5696" s="475"/>
      <c r="S5696" s="475"/>
      <c r="T5696" s="475"/>
      <c r="U5696" s="475"/>
      <c r="V5696" s="475"/>
      <c r="W5696" s="475"/>
    </row>
    <row r="5697" spans="2:23" s="97" customFormat="1">
      <c r="B5697" s="96"/>
      <c r="H5697" s="96"/>
      <c r="J5697" s="1"/>
      <c r="K5697" s="1"/>
      <c r="L5697" s="1"/>
      <c r="O5697" s="475"/>
      <c r="P5697" s="475"/>
      <c r="Q5697" s="475"/>
      <c r="R5697" s="475"/>
      <c r="S5697" s="475"/>
      <c r="T5697" s="475"/>
      <c r="U5697" s="475"/>
      <c r="V5697" s="475"/>
      <c r="W5697" s="475"/>
    </row>
    <row r="5698" spans="2:23" s="97" customFormat="1">
      <c r="B5698" s="96"/>
      <c r="H5698" s="96"/>
      <c r="J5698" s="1"/>
      <c r="K5698" s="1"/>
      <c r="L5698" s="1"/>
      <c r="O5698" s="475"/>
      <c r="P5698" s="475"/>
      <c r="Q5698" s="475"/>
      <c r="R5698" s="475"/>
      <c r="S5698" s="475"/>
      <c r="T5698" s="475"/>
      <c r="U5698" s="475"/>
      <c r="V5698" s="475"/>
      <c r="W5698" s="475"/>
    </row>
    <row r="5699" spans="2:23" s="97" customFormat="1">
      <c r="B5699" s="96"/>
      <c r="H5699" s="96"/>
      <c r="J5699" s="1"/>
      <c r="K5699" s="1"/>
      <c r="L5699" s="1"/>
      <c r="O5699" s="475"/>
      <c r="P5699" s="475"/>
      <c r="Q5699" s="475"/>
      <c r="R5699" s="475"/>
      <c r="S5699" s="475"/>
      <c r="T5699" s="475"/>
      <c r="U5699" s="475"/>
      <c r="V5699" s="475"/>
      <c r="W5699" s="475"/>
    </row>
    <row r="5700" spans="2:23" s="97" customFormat="1">
      <c r="B5700" s="96"/>
      <c r="H5700" s="96"/>
      <c r="J5700" s="1"/>
      <c r="K5700" s="1"/>
      <c r="L5700" s="1"/>
      <c r="O5700" s="475"/>
      <c r="P5700" s="475"/>
      <c r="Q5700" s="475"/>
      <c r="R5700" s="475"/>
      <c r="S5700" s="475"/>
      <c r="T5700" s="475"/>
      <c r="U5700" s="475"/>
      <c r="V5700" s="475"/>
      <c r="W5700" s="475"/>
    </row>
    <row r="5701" spans="2:23" s="97" customFormat="1">
      <c r="B5701" s="96"/>
      <c r="H5701" s="96"/>
      <c r="J5701" s="1"/>
      <c r="K5701" s="1"/>
      <c r="L5701" s="1"/>
      <c r="O5701" s="475"/>
      <c r="P5701" s="475"/>
      <c r="Q5701" s="475"/>
      <c r="R5701" s="475"/>
      <c r="S5701" s="475"/>
      <c r="T5701" s="475"/>
      <c r="U5701" s="475"/>
      <c r="V5701" s="475"/>
      <c r="W5701" s="475"/>
    </row>
    <row r="5702" spans="2:23" s="97" customFormat="1">
      <c r="B5702" s="96"/>
      <c r="H5702" s="96"/>
      <c r="J5702" s="1"/>
      <c r="K5702" s="1"/>
      <c r="L5702" s="1"/>
      <c r="O5702" s="475"/>
      <c r="P5702" s="475"/>
      <c r="Q5702" s="475"/>
      <c r="R5702" s="475"/>
      <c r="S5702" s="475"/>
      <c r="T5702" s="475"/>
      <c r="U5702" s="475"/>
      <c r="V5702" s="475"/>
      <c r="W5702" s="475"/>
    </row>
    <row r="5703" spans="2:23" s="97" customFormat="1">
      <c r="B5703" s="96"/>
      <c r="H5703" s="96"/>
      <c r="J5703" s="1"/>
      <c r="K5703" s="1"/>
      <c r="L5703" s="1"/>
      <c r="O5703" s="475"/>
      <c r="P5703" s="475"/>
      <c r="Q5703" s="475"/>
      <c r="R5703" s="475"/>
      <c r="S5703" s="475"/>
      <c r="T5703" s="475"/>
      <c r="U5703" s="475"/>
      <c r="V5703" s="475"/>
      <c r="W5703" s="475"/>
    </row>
    <row r="5704" spans="2:23" s="97" customFormat="1">
      <c r="B5704" s="96"/>
      <c r="H5704" s="96"/>
      <c r="J5704" s="1"/>
      <c r="K5704" s="1"/>
      <c r="L5704" s="1"/>
      <c r="O5704" s="475"/>
      <c r="P5704" s="475"/>
      <c r="Q5704" s="475"/>
      <c r="R5704" s="475"/>
      <c r="S5704" s="475"/>
      <c r="T5704" s="475"/>
      <c r="U5704" s="475"/>
      <c r="V5704" s="475"/>
      <c r="W5704" s="475"/>
    </row>
    <row r="5705" spans="2:23" s="97" customFormat="1">
      <c r="B5705" s="96"/>
      <c r="H5705" s="96"/>
      <c r="J5705" s="1"/>
      <c r="K5705" s="1"/>
      <c r="L5705" s="1"/>
      <c r="O5705" s="475"/>
      <c r="P5705" s="475"/>
      <c r="Q5705" s="475"/>
      <c r="R5705" s="475"/>
      <c r="S5705" s="475"/>
      <c r="T5705" s="475"/>
      <c r="U5705" s="475"/>
      <c r="V5705" s="475"/>
      <c r="W5705" s="475"/>
    </row>
    <row r="5706" spans="2:23" s="97" customFormat="1">
      <c r="B5706" s="96"/>
      <c r="H5706" s="96"/>
      <c r="J5706" s="1"/>
      <c r="K5706" s="1"/>
      <c r="L5706" s="1"/>
      <c r="O5706" s="475"/>
      <c r="P5706" s="475"/>
      <c r="Q5706" s="475"/>
      <c r="R5706" s="475"/>
      <c r="S5706" s="475"/>
      <c r="T5706" s="475"/>
      <c r="U5706" s="475"/>
      <c r="V5706" s="475"/>
      <c r="W5706" s="475"/>
    </row>
    <row r="5707" spans="2:23" s="97" customFormat="1">
      <c r="B5707" s="96"/>
      <c r="H5707" s="96"/>
      <c r="J5707" s="1"/>
      <c r="K5707" s="1"/>
      <c r="L5707" s="1"/>
      <c r="O5707" s="475"/>
      <c r="P5707" s="475"/>
      <c r="Q5707" s="475"/>
      <c r="R5707" s="475"/>
      <c r="S5707" s="475"/>
      <c r="T5707" s="475"/>
      <c r="U5707" s="475"/>
      <c r="V5707" s="475"/>
      <c r="W5707" s="475"/>
    </row>
    <row r="5708" spans="2:23" s="97" customFormat="1">
      <c r="B5708" s="96"/>
      <c r="H5708" s="96"/>
      <c r="J5708" s="1"/>
      <c r="K5708" s="1"/>
      <c r="L5708" s="1"/>
      <c r="O5708" s="475"/>
      <c r="P5708" s="475"/>
      <c r="Q5708" s="475"/>
      <c r="R5708" s="475"/>
      <c r="S5708" s="475"/>
      <c r="T5708" s="475"/>
      <c r="U5708" s="475"/>
      <c r="V5708" s="475"/>
      <c r="W5708" s="475"/>
    </row>
    <row r="5709" spans="2:23" s="97" customFormat="1">
      <c r="B5709" s="96"/>
      <c r="H5709" s="96"/>
      <c r="J5709" s="1"/>
      <c r="K5709" s="1"/>
      <c r="L5709" s="1"/>
      <c r="O5709" s="475"/>
      <c r="P5709" s="475"/>
      <c r="Q5709" s="475"/>
      <c r="R5709" s="475"/>
      <c r="S5709" s="475"/>
      <c r="T5709" s="475"/>
      <c r="U5709" s="475"/>
      <c r="V5709" s="475"/>
      <c r="W5709" s="475"/>
    </row>
    <row r="5710" spans="2:23" s="97" customFormat="1">
      <c r="B5710" s="96"/>
      <c r="H5710" s="96"/>
      <c r="J5710" s="1"/>
      <c r="K5710" s="1"/>
      <c r="L5710" s="1"/>
      <c r="O5710" s="475"/>
      <c r="P5710" s="475"/>
      <c r="Q5710" s="475"/>
      <c r="R5710" s="475"/>
      <c r="S5710" s="475"/>
      <c r="T5710" s="475"/>
      <c r="U5710" s="475"/>
      <c r="V5710" s="475"/>
      <c r="W5710" s="475"/>
    </row>
    <row r="5711" spans="2:23" s="97" customFormat="1">
      <c r="B5711" s="96"/>
      <c r="H5711" s="96"/>
      <c r="J5711" s="1"/>
      <c r="K5711" s="1"/>
      <c r="L5711" s="1"/>
      <c r="O5711" s="475"/>
      <c r="P5711" s="475"/>
      <c r="Q5711" s="475"/>
      <c r="R5711" s="475"/>
      <c r="S5711" s="475"/>
      <c r="T5711" s="475"/>
      <c r="U5711" s="475"/>
      <c r="V5711" s="475"/>
      <c r="W5711" s="475"/>
    </row>
    <row r="5712" spans="2:23" s="97" customFormat="1">
      <c r="B5712" s="96"/>
      <c r="H5712" s="96"/>
      <c r="J5712" s="1"/>
      <c r="K5712" s="1"/>
      <c r="L5712" s="1"/>
      <c r="O5712" s="475"/>
      <c r="P5712" s="475"/>
      <c r="Q5712" s="475"/>
      <c r="R5712" s="475"/>
      <c r="S5712" s="475"/>
      <c r="T5712" s="475"/>
      <c r="U5712" s="475"/>
      <c r="V5712" s="475"/>
      <c r="W5712" s="475"/>
    </row>
    <row r="5713" spans="2:23" s="97" customFormat="1">
      <c r="B5713" s="96"/>
      <c r="H5713" s="96"/>
      <c r="J5713" s="1"/>
      <c r="K5713" s="1"/>
      <c r="L5713" s="1"/>
      <c r="O5713" s="475"/>
      <c r="P5713" s="475"/>
      <c r="Q5713" s="475"/>
      <c r="R5713" s="475"/>
      <c r="S5713" s="475"/>
      <c r="T5713" s="475"/>
      <c r="U5713" s="475"/>
      <c r="V5713" s="475"/>
      <c r="W5713" s="475"/>
    </row>
    <row r="5714" spans="2:23" s="97" customFormat="1">
      <c r="B5714" s="96"/>
      <c r="H5714" s="96"/>
      <c r="J5714" s="1"/>
      <c r="K5714" s="1"/>
      <c r="L5714" s="1"/>
      <c r="O5714" s="475"/>
      <c r="P5714" s="475"/>
      <c r="Q5714" s="475"/>
      <c r="R5714" s="475"/>
      <c r="S5714" s="475"/>
      <c r="T5714" s="475"/>
      <c r="U5714" s="475"/>
      <c r="V5714" s="475"/>
      <c r="W5714" s="475"/>
    </row>
    <row r="5715" spans="2:23" s="97" customFormat="1">
      <c r="B5715" s="96"/>
      <c r="H5715" s="96"/>
      <c r="J5715" s="1"/>
      <c r="K5715" s="1"/>
      <c r="L5715" s="1"/>
      <c r="O5715" s="475"/>
      <c r="P5715" s="475"/>
      <c r="Q5715" s="475"/>
      <c r="R5715" s="475"/>
      <c r="S5715" s="475"/>
      <c r="T5715" s="475"/>
      <c r="U5715" s="475"/>
      <c r="V5715" s="475"/>
      <c r="W5715" s="475"/>
    </row>
    <row r="5716" spans="2:23" s="97" customFormat="1">
      <c r="B5716" s="96"/>
      <c r="H5716" s="96"/>
      <c r="J5716" s="1"/>
      <c r="K5716" s="1"/>
      <c r="L5716" s="1"/>
      <c r="O5716" s="475"/>
      <c r="P5716" s="475"/>
      <c r="Q5716" s="475"/>
      <c r="R5716" s="475"/>
      <c r="S5716" s="475"/>
      <c r="T5716" s="475"/>
      <c r="U5716" s="475"/>
      <c r="V5716" s="475"/>
      <c r="W5716" s="475"/>
    </row>
    <row r="5717" spans="2:23" s="97" customFormat="1">
      <c r="B5717" s="96"/>
      <c r="H5717" s="96"/>
      <c r="J5717" s="1"/>
      <c r="K5717" s="1"/>
      <c r="L5717" s="1"/>
      <c r="O5717" s="475"/>
      <c r="P5717" s="475"/>
      <c r="Q5717" s="475"/>
      <c r="R5717" s="475"/>
      <c r="S5717" s="475"/>
      <c r="T5717" s="475"/>
      <c r="U5717" s="475"/>
      <c r="V5717" s="475"/>
      <c r="W5717" s="475"/>
    </row>
    <row r="5718" spans="2:23" s="97" customFormat="1">
      <c r="B5718" s="96"/>
      <c r="H5718" s="96"/>
      <c r="J5718" s="1"/>
      <c r="K5718" s="1"/>
      <c r="L5718" s="1"/>
      <c r="O5718" s="475"/>
      <c r="P5718" s="475"/>
      <c r="Q5718" s="475"/>
      <c r="R5718" s="475"/>
      <c r="S5718" s="475"/>
      <c r="T5718" s="475"/>
      <c r="U5718" s="475"/>
      <c r="V5718" s="475"/>
      <c r="W5718" s="475"/>
    </row>
    <row r="5719" spans="2:23" s="97" customFormat="1">
      <c r="B5719" s="96"/>
      <c r="H5719" s="96"/>
      <c r="J5719" s="1"/>
      <c r="K5719" s="1"/>
      <c r="L5719" s="1"/>
      <c r="O5719" s="475"/>
      <c r="P5719" s="475"/>
      <c r="Q5719" s="475"/>
      <c r="R5719" s="475"/>
      <c r="S5719" s="475"/>
      <c r="T5719" s="475"/>
      <c r="U5719" s="475"/>
      <c r="V5719" s="475"/>
      <c r="W5719" s="475"/>
    </row>
    <row r="5720" spans="2:23" s="97" customFormat="1">
      <c r="B5720" s="96"/>
      <c r="H5720" s="96"/>
      <c r="J5720" s="1"/>
      <c r="K5720" s="1"/>
      <c r="L5720" s="1"/>
      <c r="O5720" s="475"/>
      <c r="P5720" s="475"/>
      <c r="Q5720" s="475"/>
      <c r="R5720" s="475"/>
      <c r="S5720" s="475"/>
      <c r="T5720" s="475"/>
      <c r="U5720" s="475"/>
      <c r="V5720" s="475"/>
      <c r="W5720" s="475"/>
    </row>
    <row r="5721" spans="2:23" s="97" customFormat="1">
      <c r="B5721" s="96"/>
      <c r="H5721" s="96"/>
      <c r="J5721" s="1"/>
      <c r="K5721" s="1"/>
      <c r="L5721" s="1"/>
      <c r="O5721" s="475"/>
      <c r="P5721" s="475"/>
      <c r="Q5721" s="475"/>
      <c r="R5721" s="475"/>
      <c r="S5721" s="475"/>
      <c r="T5721" s="475"/>
      <c r="U5721" s="475"/>
      <c r="V5721" s="475"/>
      <c r="W5721" s="475"/>
    </row>
    <row r="5722" spans="2:23" s="97" customFormat="1">
      <c r="B5722" s="96"/>
      <c r="H5722" s="96"/>
      <c r="J5722" s="1"/>
      <c r="K5722" s="1"/>
      <c r="L5722" s="1"/>
      <c r="O5722" s="475"/>
      <c r="P5722" s="475"/>
      <c r="Q5722" s="475"/>
      <c r="R5722" s="475"/>
      <c r="S5722" s="475"/>
      <c r="T5722" s="475"/>
      <c r="U5722" s="475"/>
      <c r="V5722" s="475"/>
      <c r="W5722" s="475"/>
    </row>
    <row r="5723" spans="2:23" s="97" customFormat="1">
      <c r="B5723" s="96"/>
      <c r="H5723" s="96"/>
      <c r="J5723" s="1"/>
      <c r="K5723" s="1"/>
      <c r="L5723" s="1"/>
      <c r="O5723" s="475"/>
      <c r="P5723" s="475"/>
      <c r="Q5723" s="475"/>
      <c r="R5723" s="475"/>
      <c r="S5723" s="475"/>
      <c r="T5723" s="475"/>
      <c r="U5723" s="475"/>
      <c r="V5723" s="475"/>
      <c r="W5723" s="475"/>
    </row>
    <row r="5724" spans="2:23" s="97" customFormat="1">
      <c r="B5724" s="96"/>
      <c r="H5724" s="96"/>
      <c r="J5724" s="1"/>
      <c r="K5724" s="1"/>
      <c r="L5724" s="1"/>
      <c r="O5724" s="475"/>
      <c r="P5724" s="475"/>
      <c r="Q5724" s="475"/>
      <c r="R5724" s="475"/>
      <c r="S5724" s="475"/>
      <c r="T5724" s="475"/>
      <c r="U5724" s="475"/>
      <c r="V5724" s="475"/>
      <c r="W5724" s="475"/>
    </row>
    <row r="5725" spans="2:23" s="97" customFormat="1">
      <c r="B5725" s="96"/>
      <c r="H5725" s="96"/>
      <c r="J5725" s="1"/>
      <c r="K5725" s="1"/>
      <c r="L5725" s="1"/>
      <c r="O5725" s="475"/>
      <c r="P5725" s="475"/>
      <c r="Q5725" s="475"/>
      <c r="R5725" s="475"/>
      <c r="S5725" s="475"/>
      <c r="T5725" s="475"/>
      <c r="U5725" s="475"/>
      <c r="V5725" s="475"/>
      <c r="W5725" s="475"/>
    </row>
    <row r="5726" spans="2:23" s="97" customFormat="1">
      <c r="B5726" s="96"/>
      <c r="H5726" s="96"/>
      <c r="J5726" s="1"/>
      <c r="K5726" s="1"/>
      <c r="L5726" s="1"/>
      <c r="O5726" s="475"/>
      <c r="P5726" s="475"/>
      <c r="Q5726" s="475"/>
      <c r="R5726" s="475"/>
      <c r="S5726" s="475"/>
      <c r="T5726" s="475"/>
      <c r="U5726" s="475"/>
      <c r="V5726" s="475"/>
      <c r="W5726" s="475"/>
    </row>
    <row r="5727" spans="2:23" s="97" customFormat="1">
      <c r="B5727" s="96"/>
      <c r="H5727" s="96"/>
      <c r="J5727" s="1"/>
      <c r="K5727" s="1"/>
      <c r="L5727" s="1"/>
      <c r="O5727" s="475"/>
      <c r="P5727" s="475"/>
      <c r="Q5727" s="475"/>
      <c r="R5727" s="475"/>
      <c r="S5727" s="475"/>
      <c r="T5727" s="475"/>
      <c r="U5727" s="475"/>
      <c r="V5727" s="475"/>
      <c r="W5727" s="475"/>
    </row>
    <row r="5728" spans="2:23" s="97" customFormat="1">
      <c r="B5728" s="96"/>
      <c r="H5728" s="96"/>
      <c r="J5728" s="1"/>
      <c r="K5728" s="1"/>
      <c r="L5728" s="1"/>
      <c r="O5728" s="475"/>
      <c r="P5728" s="475"/>
      <c r="Q5728" s="475"/>
      <c r="R5728" s="475"/>
      <c r="S5728" s="475"/>
      <c r="T5728" s="475"/>
      <c r="U5728" s="475"/>
      <c r="V5728" s="475"/>
      <c r="W5728" s="475"/>
    </row>
    <row r="5729" spans="2:23" s="97" customFormat="1">
      <c r="B5729" s="96"/>
      <c r="H5729" s="96"/>
      <c r="J5729" s="1"/>
      <c r="K5729" s="1"/>
      <c r="L5729" s="1"/>
      <c r="O5729" s="475"/>
      <c r="P5729" s="475"/>
      <c r="Q5729" s="475"/>
      <c r="R5729" s="475"/>
      <c r="S5729" s="475"/>
      <c r="T5729" s="475"/>
      <c r="U5729" s="475"/>
      <c r="V5729" s="475"/>
      <c r="W5729" s="475"/>
    </row>
    <row r="5730" spans="2:23" s="97" customFormat="1">
      <c r="B5730" s="96"/>
      <c r="H5730" s="96"/>
      <c r="J5730" s="1"/>
      <c r="K5730" s="1"/>
      <c r="L5730" s="1"/>
      <c r="O5730" s="475"/>
      <c r="P5730" s="475"/>
      <c r="Q5730" s="475"/>
      <c r="R5730" s="475"/>
      <c r="S5730" s="475"/>
      <c r="T5730" s="475"/>
      <c r="U5730" s="475"/>
      <c r="V5730" s="475"/>
      <c r="W5730" s="475"/>
    </row>
    <row r="5731" spans="2:23" s="97" customFormat="1">
      <c r="B5731" s="96"/>
      <c r="H5731" s="96"/>
      <c r="J5731" s="1"/>
      <c r="K5731" s="1"/>
      <c r="L5731" s="1"/>
      <c r="O5731" s="475"/>
      <c r="P5731" s="475"/>
      <c r="Q5731" s="475"/>
      <c r="R5731" s="475"/>
      <c r="S5731" s="475"/>
      <c r="T5731" s="475"/>
      <c r="U5731" s="475"/>
      <c r="V5731" s="475"/>
      <c r="W5731" s="475"/>
    </row>
    <row r="5732" spans="2:23" s="97" customFormat="1">
      <c r="B5732" s="96"/>
      <c r="H5732" s="96"/>
      <c r="J5732" s="1"/>
      <c r="K5732" s="1"/>
      <c r="L5732" s="1"/>
      <c r="O5732" s="475"/>
      <c r="P5732" s="475"/>
      <c r="Q5732" s="475"/>
      <c r="R5732" s="475"/>
      <c r="S5732" s="475"/>
      <c r="T5732" s="475"/>
      <c r="U5732" s="475"/>
      <c r="V5732" s="475"/>
      <c r="W5732" s="475"/>
    </row>
    <row r="5733" spans="2:23" s="97" customFormat="1">
      <c r="B5733" s="96"/>
      <c r="H5733" s="96"/>
      <c r="J5733" s="1"/>
      <c r="K5733" s="1"/>
      <c r="L5733" s="1"/>
      <c r="O5733" s="475"/>
      <c r="P5733" s="475"/>
      <c r="Q5733" s="475"/>
      <c r="R5733" s="475"/>
      <c r="S5733" s="475"/>
      <c r="T5733" s="475"/>
      <c r="U5733" s="475"/>
      <c r="V5733" s="475"/>
      <c r="W5733" s="475"/>
    </row>
    <row r="5734" spans="2:23" s="97" customFormat="1">
      <c r="B5734" s="96"/>
      <c r="H5734" s="96"/>
      <c r="J5734" s="1"/>
      <c r="K5734" s="1"/>
      <c r="L5734" s="1"/>
      <c r="O5734" s="475"/>
      <c r="P5734" s="475"/>
      <c r="Q5734" s="475"/>
      <c r="R5734" s="475"/>
      <c r="S5734" s="475"/>
      <c r="T5734" s="475"/>
      <c r="U5734" s="475"/>
      <c r="V5734" s="475"/>
      <c r="W5734" s="475"/>
    </row>
    <row r="5735" spans="2:23" s="97" customFormat="1">
      <c r="B5735" s="96"/>
      <c r="H5735" s="96"/>
      <c r="J5735" s="1"/>
      <c r="K5735" s="1"/>
      <c r="L5735" s="1"/>
      <c r="O5735" s="475"/>
      <c r="P5735" s="475"/>
      <c r="Q5735" s="475"/>
      <c r="R5735" s="475"/>
      <c r="S5735" s="475"/>
      <c r="T5735" s="475"/>
      <c r="U5735" s="475"/>
      <c r="V5735" s="475"/>
      <c r="W5735" s="475"/>
    </row>
    <row r="5736" spans="2:23" s="97" customFormat="1">
      <c r="B5736" s="96"/>
      <c r="H5736" s="96"/>
      <c r="J5736" s="1"/>
      <c r="K5736" s="1"/>
      <c r="L5736" s="1"/>
      <c r="O5736" s="475"/>
      <c r="P5736" s="475"/>
      <c r="Q5736" s="475"/>
      <c r="R5736" s="475"/>
      <c r="S5736" s="475"/>
      <c r="T5736" s="475"/>
      <c r="U5736" s="475"/>
      <c r="V5736" s="475"/>
      <c r="W5736" s="475"/>
    </row>
    <row r="5737" spans="2:23" s="97" customFormat="1">
      <c r="B5737" s="96"/>
      <c r="H5737" s="96"/>
      <c r="J5737" s="1"/>
      <c r="K5737" s="1"/>
      <c r="L5737" s="1"/>
      <c r="O5737" s="475"/>
      <c r="P5737" s="475"/>
      <c r="Q5737" s="475"/>
      <c r="R5737" s="475"/>
      <c r="S5737" s="475"/>
      <c r="T5737" s="475"/>
      <c r="U5737" s="475"/>
      <c r="V5737" s="475"/>
      <c r="W5737" s="475"/>
    </row>
    <row r="5738" spans="2:23" s="97" customFormat="1">
      <c r="B5738" s="96"/>
      <c r="H5738" s="96"/>
      <c r="J5738" s="1"/>
      <c r="K5738" s="1"/>
      <c r="L5738" s="1"/>
      <c r="O5738" s="475"/>
      <c r="P5738" s="475"/>
      <c r="Q5738" s="475"/>
      <c r="R5738" s="475"/>
      <c r="S5738" s="475"/>
      <c r="T5738" s="475"/>
      <c r="U5738" s="475"/>
      <c r="V5738" s="475"/>
      <c r="W5738" s="475"/>
    </row>
    <row r="5739" spans="2:23" s="97" customFormat="1">
      <c r="B5739" s="96"/>
      <c r="H5739" s="96"/>
      <c r="J5739" s="1"/>
      <c r="K5739" s="1"/>
      <c r="L5739" s="1"/>
      <c r="O5739" s="475"/>
      <c r="P5739" s="475"/>
      <c r="Q5739" s="475"/>
      <c r="R5739" s="475"/>
      <c r="S5739" s="475"/>
      <c r="T5739" s="475"/>
      <c r="U5739" s="475"/>
      <c r="V5739" s="475"/>
      <c r="W5739" s="475"/>
    </row>
    <row r="5740" spans="2:23" s="97" customFormat="1">
      <c r="B5740" s="96"/>
      <c r="H5740" s="96"/>
      <c r="J5740" s="1"/>
      <c r="K5740" s="1"/>
      <c r="L5740" s="1"/>
      <c r="O5740" s="475"/>
      <c r="P5740" s="475"/>
      <c r="Q5740" s="475"/>
      <c r="R5740" s="475"/>
      <c r="S5740" s="475"/>
      <c r="T5740" s="475"/>
      <c r="U5740" s="475"/>
      <c r="V5740" s="475"/>
      <c r="W5740" s="475"/>
    </row>
    <row r="5741" spans="2:23" s="97" customFormat="1">
      <c r="B5741" s="96"/>
      <c r="H5741" s="96"/>
      <c r="J5741" s="1"/>
      <c r="K5741" s="1"/>
      <c r="L5741" s="1"/>
      <c r="O5741" s="475"/>
      <c r="P5741" s="475"/>
      <c r="Q5741" s="475"/>
      <c r="R5741" s="475"/>
      <c r="S5741" s="475"/>
      <c r="T5741" s="475"/>
      <c r="U5741" s="475"/>
      <c r="V5741" s="475"/>
      <c r="W5741" s="475"/>
    </row>
    <row r="5742" spans="2:23" s="97" customFormat="1">
      <c r="B5742" s="96"/>
      <c r="H5742" s="96"/>
      <c r="J5742" s="1"/>
      <c r="K5742" s="1"/>
      <c r="L5742" s="1"/>
      <c r="O5742" s="475"/>
      <c r="P5742" s="475"/>
      <c r="Q5742" s="475"/>
      <c r="R5742" s="475"/>
      <c r="S5742" s="475"/>
      <c r="T5742" s="475"/>
      <c r="U5742" s="475"/>
      <c r="V5742" s="475"/>
      <c r="W5742" s="475"/>
    </row>
    <row r="5743" spans="2:23" s="97" customFormat="1">
      <c r="B5743" s="96"/>
      <c r="H5743" s="96"/>
      <c r="J5743" s="1"/>
      <c r="K5743" s="1"/>
      <c r="L5743" s="1"/>
      <c r="O5743" s="475"/>
      <c r="P5743" s="475"/>
      <c r="Q5743" s="475"/>
      <c r="R5743" s="475"/>
      <c r="S5743" s="475"/>
      <c r="T5743" s="475"/>
      <c r="U5743" s="475"/>
      <c r="V5743" s="475"/>
      <c r="W5743" s="475"/>
    </row>
    <row r="5744" spans="2:23" s="97" customFormat="1">
      <c r="B5744" s="96"/>
      <c r="H5744" s="96"/>
      <c r="J5744" s="1"/>
      <c r="K5744" s="1"/>
      <c r="L5744" s="1"/>
      <c r="O5744" s="475"/>
      <c r="P5744" s="475"/>
      <c r="Q5744" s="475"/>
      <c r="R5744" s="475"/>
      <c r="S5744" s="475"/>
      <c r="T5744" s="475"/>
      <c r="U5744" s="475"/>
      <c r="V5744" s="475"/>
      <c r="W5744" s="475"/>
    </row>
    <row r="5745" spans="2:23" s="97" customFormat="1">
      <c r="B5745" s="96"/>
      <c r="H5745" s="96"/>
      <c r="J5745" s="1"/>
      <c r="K5745" s="1"/>
      <c r="L5745" s="1"/>
      <c r="O5745" s="475"/>
      <c r="P5745" s="475"/>
      <c r="Q5745" s="475"/>
      <c r="R5745" s="475"/>
      <c r="S5745" s="475"/>
      <c r="T5745" s="475"/>
      <c r="U5745" s="475"/>
      <c r="V5745" s="475"/>
      <c r="W5745" s="475"/>
    </row>
    <row r="5746" spans="2:23" s="97" customFormat="1">
      <c r="B5746" s="96"/>
      <c r="H5746" s="96"/>
      <c r="J5746" s="1"/>
      <c r="K5746" s="1"/>
      <c r="L5746" s="1"/>
      <c r="O5746" s="475"/>
      <c r="P5746" s="475"/>
      <c r="Q5746" s="475"/>
      <c r="R5746" s="475"/>
      <c r="S5746" s="475"/>
      <c r="T5746" s="475"/>
      <c r="U5746" s="475"/>
      <c r="V5746" s="475"/>
      <c r="W5746" s="475"/>
    </row>
    <row r="5747" spans="2:23" s="97" customFormat="1">
      <c r="B5747" s="96"/>
      <c r="H5747" s="96"/>
      <c r="J5747" s="1"/>
      <c r="K5747" s="1"/>
      <c r="L5747" s="1"/>
      <c r="O5747" s="475"/>
      <c r="P5747" s="475"/>
      <c r="Q5747" s="475"/>
      <c r="R5747" s="475"/>
      <c r="S5747" s="475"/>
      <c r="T5747" s="475"/>
      <c r="U5747" s="475"/>
      <c r="V5747" s="475"/>
      <c r="W5747" s="475"/>
    </row>
    <row r="5748" spans="2:23" s="97" customFormat="1">
      <c r="B5748" s="96"/>
      <c r="H5748" s="96"/>
      <c r="J5748" s="1"/>
      <c r="K5748" s="1"/>
      <c r="L5748" s="1"/>
      <c r="O5748" s="475"/>
      <c r="P5748" s="475"/>
      <c r="Q5748" s="475"/>
      <c r="R5748" s="475"/>
      <c r="S5748" s="475"/>
      <c r="T5748" s="475"/>
      <c r="U5748" s="475"/>
      <c r="V5748" s="475"/>
      <c r="W5748" s="475"/>
    </row>
    <row r="5749" spans="2:23" s="97" customFormat="1">
      <c r="B5749" s="96"/>
      <c r="H5749" s="96"/>
      <c r="J5749" s="1"/>
      <c r="K5749" s="1"/>
      <c r="L5749" s="1"/>
      <c r="O5749" s="475"/>
      <c r="P5749" s="475"/>
      <c r="Q5749" s="475"/>
      <c r="R5749" s="475"/>
      <c r="S5749" s="475"/>
      <c r="T5749" s="475"/>
      <c r="U5749" s="475"/>
      <c r="V5749" s="475"/>
      <c r="W5749" s="475"/>
    </row>
    <row r="5750" spans="2:23" s="97" customFormat="1">
      <c r="B5750" s="96"/>
      <c r="H5750" s="96"/>
      <c r="J5750" s="1"/>
      <c r="K5750" s="1"/>
      <c r="L5750" s="1"/>
      <c r="O5750" s="475"/>
      <c r="P5750" s="475"/>
      <c r="Q5750" s="475"/>
      <c r="R5750" s="475"/>
      <c r="S5750" s="475"/>
      <c r="T5750" s="475"/>
      <c r="U5750" s="475"/>
      <c r="V5750" s="475"/>
      <c r="W5750" s="475"/>
    </row>
    <row r="5751" spans="2:23" s="97" customFormat="1">
      <c r="B5751" s="96"/>
      <c r="H5751" s="96"/>
      <c r="J5751" s="1"/>
      <c r="K5751" s="1"/>
      <c r="L5751" s="1"/>
      <c r="O5751" s="475"/>
      <c r="P5751" s="475"/>
      <c r="Q5751" s="475"/>
      <c r="R5751" s="475"/>
      <c r="S5751" s="475"/>
      <c r="T5751" s="475"/>
      <c r="U5751" s="475"/>
      <c r="V5751" s="475"/>
      <c r="W5751" s="475"/>
    </row>
    <row r="5752" spans="2:23" s="97" customFormat="1">
      <c r="B5752" s="96"/>
      <c r="H5752" s="96"/>
      <c r="J5752" s="1"/>
      <c r="K5752" s="1"/>
      <c r="L5752" s="1"/>
      <c r="O5752" s="475"/>
      <c r="P5752" s="475"/>
      <c r="Q5752" s="475"/>
      <c r="R5752" s="475"/>
      <c r="S5752" s="475"/>
      <c r="T5752" s="475"/>
      <c r="U5752" s="475"/>
      <c r="V5752" s="475"/>
      <c r="W5752" s="475"/>
    </row>
    <row r="5753" spans="2:23" s="97" customFormat="1">
      <c r="B5753" s="96"/>
      <c r="H5753" s="96"/>
      <c r="J5753" s="1"/>
      <c r="K5753" s="1"/>
      <c r="L5753" s="1"/>
      <c r="O5753" s="475"/>
      <c r="P5753" s="475"/>
      <c r="Q5753" s="475"/>
      <c r="R5753" s="475"/>
      <c r="S5753" s="475"/>
      <c r="T5753" s="475"/>
      <c r="U5753" s="475"/>
      <c r="V5753" s="475"/>
      <c r="W5753" s="475"/>
    </row>
    <row r="5754" spans="2:23" s="97" customFormat="1">
      <c r="B5754" s="96"/>
      <c r="H5754" s="96"/>
      <c r="J5754" s="1"/>
      <c r="K5754" s="1"/>
      <c r="L5754" s="1"/>
      <c r="O5754" s="475"/>
      <c r="P5754" s="475"/>
      <c r="Q5754" s="475"/>
      <c r="R5754" s="475"/>
      <c r="S5754" s="475"/>
      <c r="T5754" s="475"/>
      <c r="U5754" s="475"/>
      <c r="V5754" s="475"/>
      <c r="W5754" s="475"/>
    </row>
    <row r="5755" spans="2:23" s="97" customFormat="1">
      <c r="B5755" s="96"/>
      <c r="H5755" s="96"/>
      <c r="J5755" s="1"/>
      <c r="K5755" s="1"/>
      <c r="L5755" s="1"/>
      <c r="O5755" s="475"/>
      <c r="P5755" s="475"/>
      <c r="Q5755" s="475"/>
      <c r="R5755" s="475"/>
      <c r="S5755" s="475"/>
      <c r="T5755" s="475"/>
      <c r="U5755" s="475"/>
      <c r="V5755" s="475"/>
      <c r="W5755" s="475"/>
    </row>
    <row r="5756" spans="2:23" s="97" customFormat="1">
      <c r="B5756" s="96"/>
      <c r="H5756" s="96"/>
      <c r="J5756" s="1"/>
      <c r="K5756" s="1"/>
      <c r="L5756" s="1"/>
      <c r="O5756" s="475"/>
      <c r="P5756" s="475"/>
      <c r="Q5756" s="475"/>
      <c r="R5756" s="475"/>
      <c r="S5756" s="475"/>
      <c r="T5756" s="475"/>
      <c r="U5756" s="475"/>
      <c r="V5756" s="475"/>
      <c r="W5756" s="475"/>
    </row>
    <row r="5757" spans="2:23" s="97" customFormat="1">
      <c r="B5757" s="96"/>
      <c r="H5757" s="96"/>
      <c r="J5757" s="1"/>
      <c r="K5757" s="1"/>
      <c r="L5757" s="1"/>
      <c r="O5757" s="475"/>
      <c r="P5757" s="475"/>
      <c r="Q5757" s="475"/>
      <c r="R5757" s="475"/>
      <c r="S5757" s="475"/>
      <c r="T5757" s="475"/>
      <c r="U5757" s="475"/>
      <c r="V5757" s="475"/>
      <c r="W5757" s="475"/>
    </row>
    <row r="5758" spans="2:23" s="97" customFormat="1">
      <c r="B5758" s="96"/>
      <c r="H5758" s="96"/>
      <c r="J5758" s="1"/>
      <c r="K5758" s="1"/>
      <c r="L5758" s="1"/>
      <c r="O5758" s="475"/>
      <c r="P5758" s="475"/>
      <c r="Q5758" s="475"/>
      <c r="R5758" s="475"/>
      <c r="S5758" s="475"/>
      <c r="T5758" s="475"/>
      <c r="U5758" s="475"/>
      <c r="V5758" s="475"/>
      <c r="W5758" s="475"/>
    </row>
    <row r="5759" spans="2:23" s="97" customFormat="1">
      <c r="B5759" s="96"/>
      <c r="H5759" s="96"/>
      <c r="J5759" s="1"/>
      <c r="K5759" s="1"/>
      <c r="L5759" s="1"/>
      <c r="O5759" s="475"/>
      <c r="P5759" s="475"/>
      <c r="Q5759" s="475"/>
      <c r="R5759" s="475"/>
      <c r="S5759" s="475"/>
      <c r="T5759" s="475"/>
      <c r="U5759" s="475"/>
      <c r="V5759" s="475"/>
      <c r="W5759" s="475"/>
    </row>
    <row r="5760" spans="2:23" s="97" customFormat="1">
      <c r="B5760" s="96"/>
      <c r="H5760" s="96"/>
      <c r="J5760" s="1"/>
      <c r="K5760" s="1"/>
      <c r="L5760" s="1"/>
      <c r="O5760" s="475"/>
      <c r="P5760" s="475"/>
      <c r="Q5760" s="475"/>
      <c r="R5760" s="475"/>
      <c r="S5760" s="475"/>
      <c r="T5760" s="475"/>
      <c r="U5760" s="475"/>
      <c r="V5760" s="475"/>
      <c r="W5760" s="475"/>
    </row>
    <row r="5761" spans="2:23" s="97" customFormat="1">
      <c r="B5761" s="96"/>
      <c r="H5761" s="96"/>
      <c r="J5761" s="1"/>
      <c r="K5761" s="1"/>
      <c r="L5761" s="1"/>
      <c r="O5761" s="475"/>
      <c r="P5761" s="475"/>
      <c r="Q5761" s="475"/>
      <c r="R5761" s="475"/>
      <c r="S5761" s="475"/>
      <c r="T5761" s="475"/>
      <c r="U5761" s="475"/>
      <c r="V5761" s="475"/>
      <c r="W5761" s="475"/>
    </row>
    <row r="5762" spans="2:23" s="97" customFormat="1">
      <c r="B5762" s="96"/>
      <c r="H5762" s="96"/>
      <c r="J5762" s="1"/>
      <c r="K5762" s="1"/>
      <c r="L5762" s="1"/>
      <c r="O5762" s="475"/>
      <c r="P5762" s="475"/>
      <c r="Q5762" s="475"/>
      <c r="R5762" s="475"/>
      <c r="S5762" s="475"/>
      <c r="T5762" s="475"/>
      <c r="U5762" s="475"/>
      <c r="V5762" s="475"/>
      <c r="W5762" s="475"/>
    </row>
    <row r="5763" spans="2:23" s="97" customFormat="1">
      <c r="B5763" s="96"/>
      <c r="H5763" s="96"/>
      <c r="J5763" s="1"/>
      <c r="K5763" s="1"/>
      <c r="L5763" s="1"/>
      <c r="O5763" s="475"/>
      <c r="P5763" s="475"/>
      <c r="Q5763" s="475"/>
      <c r="R5763" s="475"/>
      <c r="S5763" s="475"/>
      <c r="T5763" s="475"/>
      <c r="U5763" s="475"/>
      <c r="V5763" s="475"/>
      <c r="W5763" s="475"/>
    </row>
    <row r="5764" spans="2:23" s="97" customFormat="1">
      <c r="B5764" s="96"/>
      <c r="H5764" s="96"/>
      <c r="J5764" s="1"/>
      <c r="K5764" s="1"/>
      <c r="L5764" s="1"/>
      <c r="O5764" s="475"/>
      <c r="P5764" s="475"/>
      <c r="Q5764" s="475"/>
      <c r="R5764" s="475"/>
      <c r="S5764" s="475"/>
      <c r="T5764" s="475"/>
      <c r="U5764" s="475"/>
      <c r="V5764" s="475"/>
      <c r="W5764" s="475"/>
    </row>
    <row r="5765" spans="2:23" s="97" customFormat="1">
      <c r="B5765" s="96"/>
      <c r="H5765" s="96"/>
      <c r="J5765" s="1"/>
      <c r="K5765" s="1"/>
      <c r="L5765" s="1"/>
      <c r="O5765" s="475"/>
      <c r="P5765" s="475"/>
      <c r="Q5765" s="475"/>
      <c r="R5765" s="475"/>
      <c r="S5765" s="475"/>
      <c r="T5765" s="475"/>
      <c r="U5765" s="475"/>
      <c r="V5765" s="475"/>
      <c r="W5765" s="475"/>
    </row>
    <row r="5766" spans="2:23" s="97" customFormat="1">
      <c r="B5766" s="96"/>
      <c r="H5766" s="96"/>
      <c r="J5766" s="1"/>
      <c r="K5766" s="1"/>
      <c r="L5766" s="1"/>
      <c r="O5766" s="475"/>
      <c r="P5766" s="475"/>
      <c r="Q5766" s="475"/>
      <c r="R5766" s="475"/>
      <c r="S5766" s="475"/>
      <c r="T5766" s="475"/>
      <c r="U5766" s="475"/>
      <c r="V5766" s="475"/>
      <c r="W5766" s="475"/>
    </row>
    <row r="5767" spans="2:23" s="97" customFormat="1">
      <c r="B5767" s="96"/>
      <c r="H5767" s="96"/>
      <c r="J5767" s="1"/>
      <c r="K5767" s="1"/>
      <c r="L5767" s="1"/>
      <c r="O5767" s="475"/>
      <c r="P5767" s="475"/>
      <c r="Q5767" s="475"/>
      <c r="R5767" s="475"/>
      <c r="S5767" s="475"/>
      <c r="T5767" s="475"/>
      <c r="U5767" s="475"/>
      <c r="V5767" s="475"/>
      <c r="W5767" s="475"/>
    </row>
    <row r="5768" spans="2:23" s="97" customFormat="1">
      <c r="B5768" s="96"/>
      <c r="H5768" s="96"/>
      <c r="J5768" s="1"/>
      <c r="K5768" s="1"/>
      <c r="L5768" s="1"/>
      <c r="O5768" s="475"/>
      <c r="P5768" s="475"/>
      <c r="Q5768" s="475"/>
      <c r="R5768" s="475"/>
      <c r="S5768" s="475"/>
      <c r="T5768" s="475"/>
      <c r="U5768" s="475"/>
      <c r="V5768" s="475"/>
      <c r="W5768" s="475"/>
    </row>
    <row r="5769" spans="2:23" s="97" customFormat="1">
      <c r="B5769" s="96"/>
      <c r="H5769" s="96"/>
      <c r="J5769" s="1"/>
      <c r="K5769" s="1"/>
      <c r="L5769" s="1"/>
      <c r="O5769" s="475"/>
      <c r="P5769" s="475"/>
      <c r="Q5769" s="475"/>
      <c r="R5769" s="475"/>
      <c r="S5769" s="475"/>
      <c r="T5769" s="475"/>
      <c r="U5769" s="475"/>
      <c r="V5769" s="475"/>
      <c r="W5769" s="475"/>
    </row>
    <row r="5770" spans="2:23" s="97" customFormat="1">
      <c r="B5770" s="96"/>
      <c r="H5770" s="96"/>
      <c r="J5770" s="1"/>
      <c r="K5770" s="1"/>
      <c r="L5770" s="1"/>
      <c r="O5770" s="475"/>
      <c r="P5770" s="475"/>
      <c r="Q5770" s="475"/>
      <c r="R5770" s="475"/>
      <c r="S5770" s="475"/>
      <c r="T5770" s="475"/>
      <c r="U5770" s="475"/>
      <c r="V5770" s="475"/>
      <c r="W5770" s="475"/>
    </row>
    <row r="5771" spans="2:23" s="97" customFormat="1">
      <c r="B5771" s="96"/>
      <c r="H5771" s="96"/>
      <c r="J5771" s="1"/>
      <c r="K5771" s="1"/>
      <c r="L5771" s="1"/>
      <c r="O5771" s="475"/>
      <c r="P5771" s="475"/>
      <c r="Q5771" s="475"/>
      <c r="R5771" s="475"/>
      <c r="S5771" s="475"/>
      <c r="T5771" s="475"/>
      <c r="U5771" s="475"/>
      <c r="V5771" s="475"/>
      <c r="W5771" s="475"/>
    </row>
    <row r="5772" spans="2:23" s="97" customFormat="1">
      <c r="B5772" s="96"/>
      <c r="H5772" s="96"/>
      <c r="J5772" s="1"/>
      <c r="K5772" s="1"/>
      <c r="L5772" s="1"/>
      <c r="O5772" s="475"/>
      <c r="P5772" s="475"/>
      <c r="Q5772" s="475"/>
      <c r="R5772" s="475"/>
      <c r="S5772" s="475"/>
      <c r="T5772" s="475"/>
      <c r="U5772" s="475"/>
      <c r="V5772" s="475"/>
      <c r="W5772" s="475"/>
    </row>
    <row r="5773" spans="2:23" s="97" customFormat="1">
      <c r="B5773" s="96"/>
      <c r="H5773" s="96"/>
      <c r="J5773" s="1"/>
      <c r="K5773" s="1"/>
      <c r="L5773" s="1"/>
      <c r="O5773" s="475"/>
      <c r="P5773" s="475"/>
      <c r="Q5773" s="475"/>
      <c r="R5773" s="475"/>
      <c r="S5773" s="475"/>
      <c r="T5773" s="475"/>
      <c r="U5773" s="475"/>
      <c r="V5773" s="475"/>
      <c r="W5773" s="475"/>
    </row>
    <row r="5774" spans="2:23" s="97" customFormat="1">
      <c r="B5774" s="96"/>
      <c r="H5774" s="96"/>
      <c r="J5774" s="1"/>
      <c r="K5774" s="1"/>
      <c r="L5774" s="1"/>
      <c r="O5774" s="475"/>
      <c r="P5774" s="475"/>
      <c r="Q5774" s="475"/>
      <c r="R5774" s="475"/>
      <c r="S5774" s="475"/>
      <c r="T5774" s="475"/>
      <c r="U5774" s="475"/>
      <c r="V5774" s="475"/>
      <c r="W5774" s="475"/>
    </row>
    <row r="5775" spans="2:23" s="97" customFormat="1">
      <c r="B5775" s="96"/>
      <c r="H5775" s="96"/>
      <c r="J5775" s="1"/>
      <c r="K5775" s="1"/>
      <c r="L5775" s="1"/>
      <c r="O5775" s="475"/>
      <c r="P5775" s="475"/>
      <c r="Q5775" s="475"/>
      <c r="R5775" s="475"/>
      <c r="S5775" s="475"/>
      <c r="T5775" s="475"/>
      <c r="U5775" s="475"/>
      <c r="V5775" s="475"/>
      <c r="W5775" s="475"/>
    </row>
    <row r="5776" spans="2:23" s="97" customFormat="1">
      <c r="B5776" s="96"/>
      <c r="H5776" s="96"/>
      <c r="J5776" s="1"/>
      <c r="K5776" s="1"/>
      <c r="L5776" s="1"/>
      <c r="O5776" s="475"/>
      <c r="P5776" s="475"/>
      <c r="Q5776" s="475"/>
      <c r="R5776" s="475"/>
      <c r="S5776" s="475"/>
      <c r="T5776" s="475"/>
      <c r="U5776" s="475"/>
      <c r="V5776" s="475"/>
      <c r="W5776" s="475"/>
    </row>
    <row r="5777" spans="2:23" s="97" customFormat="1">
      <c r="B5777" s="96"/>
      <c r="H5777" s="96"/>
      <c r="J5777" s="1"/>
      <c r="K5777" s="1"/>
      <c r="L5777" s="1"/>
      <c r="O5777" s="475"/>
      <c r="P5777" s="475"/>
      <c r="Q5777" s="475"/>
      <c r="R5777" s="475"/>
      <c r="S5777" s="475"/>
      <c r="T5777" s="475"/>
      <c r="U5777" s="475"/>
      <c r="V5777" s="475"/>
      <c r="W5777" s="475"/>
    </row>
    <row r="5778" spans="2:23" s="97" customFormat="1">
      <c r="B5778" s="96"/>
      <c r="H5778" s="96"/>
      <c r="J5778" s="1"/>
      <c r="K5778" s="1"/>
      <c r="L5778" s="1"/>
      <c r="O5778" s="475"/>
      <c r="P5778" s="475"/>
      <c r="Q5778" s="475"/>
      <c r="R5778" s="475"/>
      <c r="S5778" s="475"/>
      <c r="T5778" s="475"/>
      <c r="U5778" s="475"/>
      <c r="V5778" s="475"/>
      <c r="W5778" s="475"/>
    </row>
    <row r="5779" spans="2:23" s="97" customFormat="1">
      <c r="B5779" s="96"/>
      <c r="H5779" s="96"/>
      <c r="J5779" s="1"/>
      <c r="K5779" s="1"/>
      <c r="L5779" s="1"/>
      <c r="O5779" s="475"/>
      <c r="P5779" s="475"/>
      <c r="Q5779" s="475"/>
      <c r="R5779" s="475"/>
      <c r="S5779" s="475"/>
      <c r="T5779" s="475"/>
      <c r="U5779" s="475"/>
      <c r="V5779" s="475"/>
      <c r="W5779" s="475"/>
    </row>
    <row r="5780" spans="2:23" s="97" customFormat="1">
      <c r="B5780" s="96"/>
      <c r="H5780" s="96"/>
      <c r="J5780" s="1"/>
      <c r="K5780" s="1"/>
      <c r="L5780" s="1"/>
      <c r="O5780" s="475"/>
      <c r="P5780" s="475"/>
      <c r="Q5780" s="475"/>
      <c r="R5780" s="475"/>
      <c r="S5780" s="475"/>
      <c r="T5780" s="475"/>
      <c r="U5780" s="475"/>
      <c r="V5780" s="475"/>
      <c r="W5780" s="475"/>
    </row>
    <row r="5781" spans="2:23" s="97" customFormat="1">
      <c r="B5781" s="96"/>
      <c r="H5781" s="96"/>
      <c r="J5781" s="1"/>
      <c r="K5781" s="1"/>
      <c r="L5781" s="1"/>
      <c r="O5781" s="475"/>
      <c r="P5781" s="475"/>
      <c r="Q5781" s="475"/>
      <c r="R5781" s="475"/>
      <c r="S5781" s="475"/>
      <c r="T5781" s="475"/>
      <c r="U5781" s="475"/>
      <c r="V5781" s="475"/>
      <c r="W5781" s="475"/>
    </row>
    <row r="5782" spans="2:23" s="97" customFormat="1">
      <c r="B5782" s="96"/>
      <c r="H5782" s="96"/>
      <c r="J5782" s="1"/>
      <c r="K5782" s="1"/>
      <c r="L5782" s="1"/>
      <c r="O5782" s="475"/>
      <c r="P5782" s="475"/>
      <c r="Q5782" s="475"/>
      <c r="R5782" s="475"/>
      <c r="S5782" s="475"/>
      <c r="T5782" s="475"/>
      <c r="U5782" s="475"/>
      <c r="V5782" s="475"/>
      <c r="W5782" s="475"/>
    </row>
    <row r="5783" spans="2:23" s="97" customFormat="1">
      <c r="B5783" s="96"/>
      <c r="H5783" s="96"/>
      <c r="J5783" s="1"/>
      <c r="K5783" s="1"/>
      <c r="L5783" s="1"/>
      <c r="O5783" s="475"/>
      <c r="P5783" s="475"/>
      <c r="Q5783" s="475"/>
      <c r="R5783" s="475"/>
      <c r="S5783" s="475"/>
      <c r="T5783" s="475"/>
      <c r="U5783" s="475"/>
      <c r="V5783" s="475"/>
      <c r="W5783" s="475"/>
    </row>
    <row r="5784" spans="2:23" s="97" customFormat="1">
      <c r="B5784" s="96"/>
      <c r="H5784" s="96"/>
      <c r="J5784" s="1"/>
      <c r="K5784" s="1"/>
      <c r="L5784" s="1"/>
      <c r="O5784" s="475"/>
      <c r="P5784" s="475"/>
      <c r="Q5784" s="475"/>
      <c r="R5784" s="475"/>
      <c r="S5784" s="475"/>
      <c r="T5784" s="475"/>
      <c r="U5784" s="475"/>
      <c r="V5784" s="475"/>
      <c r="W5784" s="475"/>
    </row>
    <row r="5785" spans="2:23" s="97" customFormat="1">
      <c r="B5785" s="96"/>
      <c r="H5785" s="96"/>
      <c r="J5785" s="1"/>
      <c r="K5785" s="1"/>
      <c r="L5785" s="1"/>
      <c r="O5785" s="475"/>
      <c r="P5785" s="475"/>
      <c r="Q5785" s="475"/>
      <c r="R5785" s="475"/>
      <c r="S5785" s="475"/>
      <c r="T5785" s="475"/>
      <c r="U5785" s="475"/>
      <c r="V5785" s="475"/>
      <c r="W5785" s="475"/>
    </row>
    <row r="5786" spans="2:23" s="97" customFormat="1">
      <c r="B5786" s="96"/>
      <c r="H5786" s="96"/>
      <c r="J5786" s="1"/>
      <c r="K5786" s="1"/>
      <c r="L5786" s="1"/>
      <c r="O5786" s="475"/>
      <c r="P5786" s="475"/>
      <c r="Q5786" s="475"/>
      <c r="R5786" s="475"/>
      <c r="S5786" s="475"/>
      <c r="T5786" s="475"/>
      <c r="U5786" s="475"/>
      <c r="V5786" s="475"/>
      <c r="W5786" s="475"/>
    </row>
    <row r="5787" spans="2:23" s="97" customFormat="1">
      <c r="B5787" s="96"/>
      <c r="H5787" s="96"/>
      <c r="J5787" s="1"/>
      <c r="K5787" s="1"/>
      <c r="L5787" s="1"/>
      <c r="O5787" s="475"/>
      <c r="P5787" s="475"/>
      <c r="Q5787" s="475"/>
      <c r="R5787" s="475"/>
      <c r="S5787" s="475"/>
      <c r="T5787" s="475"/>
      <c r="U5787" s="475"/>
      <c r="V5787" s="475"/>
      <c r="W5787" s="475"/>
    </row>
    <row r="5788" spans="2:23" s="97" customFormat="1">
      <c r="B5788" s="96"/>
      <c r="H5788" s="96"/>
      <c r="J5788" s="1"/>
      <c r="K5788" s="1"/>
      <c r="L5788" s="1"/>
      <c r="O5788" s="475"/>
      <c r="P5788" s="475"/>
      <c r="Q5788" s="475"/>
      <c r="R5788" s="475"/>
      <c r="S5788" s="475"/>
      <c r="T5788" s="475"/>
      <c r="U5788" s="475"/>
      <c r="V5788" s="475"/>
      <c r="W5788" s="475"/>
    </row>
    <row r="5789" spans="2:23" s="97" customFormat="1">
      <c r="B5789" s="96"/>
      <c r="H5789" s="96"/>
      <c r="J5789" s="1"/>
      <c r="K5789" s="1"/>
      <c r="L5789" s="1"/>
      <c r="O5789" s="475"/>
      <c r="P5789" s="475"/>
      <c r="Q5789" s="475"/>
      <c r="R5789" s="475"/>
      <c r="S5789" s="475"/>
      <c r="T5789" s="475"/>
      <c r="U5789" s="475"/>
      <c r="V5789" s="475"/>
      <c r="W5789" s="475"/>
    </row>
    <row r="5790" spans="2:23" s="97" customFormat="1">
      <c r="B5790" s="96"/>
      <c r="H5790" s="96"/>
      <c r="J5790" s="1"/>
      <c r="K5790" s="1"/>
      <c r="L5790" s="1"/>
      <c r="O5790" s="475"/>
      <c r="P5790" s="475"/>
      <c r="Q5790" s="475"/>
      <c r="R5790" s="475"/>
      <c r="S5790" s="475"/>
      <c r="T5790" s="475"/>
      <c r="U5790" s="475"/>
      <c r="V5790" s="475"/>
      <c r="W5790" s="475"/>
    </row>
    <row r="5791" spans="2:23" s="97" customFormat="1">
      <c r="B5791" s="96"/>
      <c r="H5791" s="96"/>
      <c r="J5791" s="1"/>
      <c r="K5791" s="1"/>
      <c r="L5791" s="1"/>
      <c r="O5791" s="475"/>
      <c r="P5791" s="475"/>
      <c r="Q5791" s="475"/>
      <c r="R5791" s="475"/>
      <c r="S5791" s="475"/>
      <c r="T5791" s="475"/>
      <c r="U5791" s="475"/>
      <c r="V5791" s="475"/>
      <c r="W5791" s="475"/>
    </row>
    <row r="5792" spans="2:23" s="97" customFormat="1">
      <c r="B5792" s="96"/>
      <c r="H5792" s="96"/>
      <c r="J5792" s="1"/>
      <c r="K5792" s="1"/>
      <c r="L5792" s="1"/>
      <c r="O5792" s="475"/>
      <c r="P5792" s="475"/>
      <c r="Q5792" s="475"/>
      <c r="R5792" s="475"/>
      <c r="S5792" s="475"/>
      <c r="T5792" s="475"/>
      <c r="U5792" s="475"/>
      <c r="V5792" s="475"/>
      <c r="W5792" s="475"/>
    </row>
    <row r="5793" spans="2:23" s="97" customFormat="1">
      <c r="B5793" s="96"/>
      <c r="H5793" s="96"/>
      <c r="J5793" s="1"/>
      <c r="K5793" s="1"/>
      <c r="L5793" s="1"/>
      <c r="O5793" s="475"/>
      <c r="P5793" s="475"/>
      <c r="Q5793" s="475"/>
      <c r="R5793" s="475"/>
      <c r="S5793" s="475"/>
      <c r="T5793" s="475"/>
      <c r="U5793" s="475"/>
      <c r="V5793" s="475"/>
      <c r="W5793" s="475"/>
    </row>
    <row r="5794" spans="2:23" s="97" customFormat="1">
      <c r="B5794" s="96"/>
      <c r="H5794" s="96"/>
      <c r="J5794" s="1"/>
      <c r="K5794" s="1"/>
      <c r="L5794" s="1"/>
      <c r="O5794" s="475"/>
      <c r="P5794" s="475"/>
      <c r="Q5794" s="475"/>
      <c r="R5794" s="475"/>
      <c r="S5794" s="475"/>
      <c r="T5794" s="475"/>
      <c r="U5794" s="475"/>
      <c r="V5794" s="475"/>
      <c r="W5794" s="475"/>
    </row>
    <row r="5795" spans="2:23" s="97" customFormat="1">
      <c r="B5795" s="96"/>
      <c r="H5795" s="96"/>
      <c r="J5795" s="1"/>
      <c r="K5795" s="1"/>
      <c r="L5795" s="1"/>
      <c r="O5795" s="475"/>
      <c r="P5795" s="475"/>
      <c r="Q5795" s="475"/>
      <c r="R5795" s="475"/>
      <c r="S5795" s="475"/>
      <c r="T5795" s="475"/>
      <c r="U5795" s="475"/>
      <c r="V5795" s="475"/>
      <c r="W5795" s="475"/>
    </row>
    <row r="5796" spans="2:23" s="97" customFormat="1">
      <c r="B5796" s="96"/>
      <c r="H5796" s="96"/>
      <c r="J5796" s="1"/>
      <c r="K5796" s="1"/>
      <c r="L5796" s="1"/>
      <c r="O5796" s="475"/>
      <c r="P5796" s="475"/>
      <c r="Q5796" s="475"/>
      <c r="R5796" s="475"/>
      <c r="S5796" s="475"/>
      <c r="T5796" s="475"/>
      <c r="U5796" s="475"/>
      <c r="V5796" s="475"/>
      <c r="W5796" s="475"/>
    </row>
    <row r="5797" spans="2:23" s="97" customFormat="1">
      <c r="B5797" s="96"/>
      <c r="H5797" s="96"/>
      <c r="J5797" s="1"/>
      <c r="K5797" s="1"/>
      <c r="L5797" s="1"/>
      <c r="O5797" s="475"/>
      <c r="P5797" s="475"/>
      <c r="Q5797" s="475"/>
      <c r="R5797" s="475"/>
      <c r="S5797" s="475"/>
      <c r="T5797" s="475"/>
      <c r="U5797" s="475"/>
      <c r="V5797" s="475"/>
      <c r="W5797" s="475"/>
    </row>
    <row r="5798" spans="2:23" s="97" customFormat="1">
      <c r="B5798" s="96"/>
      <c r="H5798" s="96"/>
      <c r="J5798" s="1"/>
      <c r="K5798" s="1"/>
      <c r="L5798" s="1"/>
      <c r="O5798" s="475"/>
      <c r="P5798" s="475"/>
      <c r="Q5798" s="475"/>
      <c r="R5798" s="475"/>
      <c r="S5798" s="475"/>
      <c r="T5798" s="475"/>
      <c r="U5798" s="475"/>
      <c r="V5798" s="475"/>
      <c r="W5798" s="475"/>
    </row>
    <row r="5799" spans="2:23" s="97" customFormat="1">
      <c r="B5799" s="96"/>
      <c r="H5799" s="96"/>
      <c r="J5799" s="1"/>
      <c r="K5799" s="1"/>
      <c r="L5799" s="1"/>
      <c r="O5799" s="475"/>
      <c r="P5799" s="475"/>
      <c r="Q5799" s="475"/>
      <c r="R5799" s="475"/>
      <c r="S5799" s="475"/>
      <c r="T5799" s="475"/>
      <c r="U5799" s="475"/>
      <c r="V5799" s="475"/>
      <c r="W5799" s="475"/>
    </row>
    <row r="5800" spans="2:23" s="97" customFormat="1">
      <c r="B5800" s="96"/>
      <c r="H5800" s="96"/>
      <c r="J5800" s="1"/>
      <c r="K5800" s="1"/>
      <c r="L5800" s="1"/>
      <c r="O5800" s="475"/>
      <c r="P5800" s="475"/>
      <c r="Q5800" s="475"/>
      <c r="R5800" s="475"/>
      <c r="S5800" s="475"/>
      <c r="T5800" s="475"/>
      <c r="U5800" s="475"/>
      <c r="V5800" s="475"/>
      <c r="W5800" s="475"/>
    </row>
    <row r="5801" spans="2:23" s="97" customFormat="1">
      <c r="B5801" s="96"/>
      <c r="H5801" s="96"/>
      <c r="J5801" s="1"/>
      <c r="K5801" s="1"/>
      <c r="L5801" s="1"/>
      <c r="O5801" s="475"/>
      <c r="P5801" s="475"/>
      <c r="Q5801" s="475"/>
      <c r="R5801" s="475"/>
      <c r="S5801" s="475"/>
      <c r="T5801" s="475"/>
      <c r="U5801" s="475"/>
      <c r="V5801" s="475"/>
      <c r="W5801" s="475"/>
    </row>
    <row r="5802" spans="2:23" s="97" customFormat="1">
      <c r="B5802" s="96"/>
      <c r="H5802" s="96"/>
      <c r="J5802" s="1"/>
      <c r="K5802" s="1"/>
      <c r="L5802" s="1"/>
      <c r="O5802" s="475"/>
      <c r="P5802" s="475"/>
      <c r="Q5802" s="475"/>
      <c r="R5802" s="475"/>
      <c r="S5802" s="475"/>
      <c r="T5802" s="475"/>
      <c r="U5802" s="475"/>
      <c r="V5802" s="475"/>
      <c r="W5802" s="475"/>
    </row>
    <row r="5803" spans="2:23" s="97" customFormat="1">
      <c r="B5803" s="96"/>
      <c r="H5803" s="96"/>
      <c r="J5803" s="1"/>
      <c r="K5803" s="1"/>
      <c r="L5803" s="1"/>
      <c r="O5803" s="475"/>
      <c r="P5803" s="475"/>
      <c r="Q5803" s="475"/>
      <c r="R5803" s="475"/>
      <c r="S5803" s="475"/>
      <c r="T5803" s="475"/>
      <c r="U5803" s="475"/>
      <c r="V5803" s="475"/>
      <c r="W5803" s="475"/>
    </row>
    <row r="5804" spans="2:23" s="97" customFormat="1">
      <c r="B5804" s="96"/>
      <c r="H5804" s="96"/>
      <c r="J5804" s="1"/>
      <c r="K5804" s="1"/>
      <c r="L5804" s="1"/>
      <c r="O5804" s="475"/>
      <c r="P5804" s="475"/>
      <c r="Q5804" s="475"/>
      <c r="R5804" s="475"/>
      <c r="S5804" s="475"/>
      <c r="T5804" s="475"/>
      <c r="U5804" s="475"/>
      <c r="V5804" s="475"/>
      <c r="W5804" s="475"/>
    </row>
    <row r="5805" spans="2:23" s="97" customFormat="1">
      <c r="B5805" s="96"/>
      <c r="H5805" s="96"/>
      <c r="J5805" s="1"/>
      <c r="K5805" s="1"/>
      <c r="L5805" s="1"/>
      <c r="O5805" s="475"/>
      <c r="P5805" s="475"/>
      <c r="Q5805" s="475"/>
      <c r="R5805" s="475"/>
      <c r="S5805" s="475"/>
      <c r="T5805" s="475"/>
      <c r="U5805" s="475"/>
      <c r="V5805" s="475"/>
      <c r="W5805" s="475"/>
    </row>
    <row r="5806" spans="2:23" s="97" customFormat="1">
      <c r="B5806" s="96"/>
      <c r="H5806" s="96"/>
      <c r="J5806" s="1"/>
      <c r="K5806" s="1"/>
      <c r="L5806" s="1"/>
      <c r="O5806" s="475"/>
      <c r="P5806" s="475"/>
      <c r="Q5806" s="475"/>
      <c r="R5806" s="475"/>
      <c r="S5806" s="475"/>
      <c r="T5806" s="475"/>
      <c r="U5806" s="475"/>
      <c r="V5806" s="475"/>
      <c r="W5806" s="475"/>
    </row>
    <row r="5807" spans="2:23" s="97" customFormat="1">
      <c r="B5807" s="96"/>
      <c r="H5807" s="96"/>
      <c r="J5807" s="1"/>
      <c r="K5807" s="1"/>
      <c r="L5807" s="1"/>
      <c r="O5807" s="475"/>
      <c r="P5807" s="475"/>
      <c r="Q5807" s="475"/>
      <c r="R5807" s="475"/>
      <c r="S5807" s="475"/>
      <c r="T5807" s="475"/>
      <c r="U5807" s="475"/>
      <c r="V5807" s="475"/>
      <c r="W5807" s="475"/>
    </row>
    <row r="5808" spans="2:23" s="97" customFormat="1">
      <c r="B5808" s="96"/>
      <c r="H5808" s="96"/>
      <c r="J5808" s="1"/>
      <c r="K5808" s="1"/>
      <c r="L5808" s="1"/>
      <c r="O5808" s="475"/>
      <c r="P5808" s="475"/>
      <c r="Q5808" s="475"/>
      <c r="R5808" s="475"/>
      <c r="S5808" s="475"/>
      <c r="T5808" s="475"/>
      <c r="U5808" s="475"/>
      <c r="V5808" s="475"/>
      <c r="W5808" s="475"/>
    </row>
    <row r="5809" spans="2:23" s="97" customFormat="1">
      <c r="B5809" s="96"/>
      <c r="H5809" s="96"/>
      <c r="J5809" s="1"/>
      <c r="K5809" s="1"/>
      <c r="L5809" s="1"/>
      <c r="O5809" s="475"/>
      <c r="P5809" s="475"/>
      <c r="Q5809" s="475"/>
      <c r="R5809" s="475"/>
      <c r="S5809" s="475"/>
      <c r="T5809" s="475"/>
      <c r="U5809" s="475"/>
      <c r="V5809" s="475"/>
      <c r="W5809" s="475"/>
    </row>
    <row r="5810" spans="2:23" s="97" customFormat="1">
      <c r="B5810" s="96"/>
      <c r="H5810" s="96"/>
      <c r="J5810" s="1"/>
      <c r="K5810" s="1"/>
      <c r="L5810" s="1"/>
      <c r="O5810" s="475"/>
      <c r="P5810" s="475"/>
      <c r="Q5810" s="475"/>
      <c r="R5810" s="475"/>
      <c r="S5810" s="475"/>
      <c r="T5810" s="475"/>
      <c r="U5810" s="475"/>
      <c r="V5810" s="475"/>
      <c r="W5810" s="475"/>
    </row>
    <row r="5811" spans="2:23" s="97" customFormat="1">
      <c r="B5811" s="96"/>
      <c r="H5811" s="96"/>
      <c r="J5811" s="1"/>
      <c r="K5811" s="1"/>
      <c r="L5811" s="1"/>
      <c r="O5811" s="475"/>
      <c r="P5811" s="475"/>
      <c r="Q5811" s="475"/>
      <c r="R5811" s="475"/>
      <c r="S5811" s="475"/>
      <c r="T5811" s="475"/>
      <c r="U5811" s="475"/>
      <c r="V5811" s="475"/>
      <c r="W5811" s="475"/>
    </row>
    <row r="5812" spans="2:23" s="97" customFormat="1">
      <c r="B5812" s="96"/>
      <c r="H5812" s="96"/>
      <c r="J5812" s="1"/>
      <c r="K5812" s="1"/>
      <c r="L5812" s="1"/>
      <c r="O5812" s="475"/>
      <c r="P5812" s="475"/>
      <c r="Q5812" s="475"/>
      <c r="R5812" s="475"/>
      <c r="S5812" s="475"/>
      <c r="T5812" s="475"/>
      <c r="U5812" s="475"/>
      <c r="V5812" s="475"/>
      <c r="W5812" s="475"/>
    </row>
    <row r="5813" spans="2:23" s="97" customFormat="1">
      <c r="B5813" s="96"/>
      <c r="H5813" s="96"/>
      <c r="J5813" s="1"/>
      <c r="K5813" s="1"/>
      <c r="L5813" s="1"/>
      <c r="O5813" s="475"/>
      <c r="P5813" s="475"/>
      <c r="Q5813" s="475"/>
      <c r="R5813" s="475"/>
      <c r="S5813" s="475"/>
      <c r="T5813" s="475"/>
      <c r="U5813" s="475"/>
      <c r="V5813" s="475"/>
      <c r="W5813" s="475"/>
    </row>
    <row r="5814" spans="2:23" s="97" customFormat="1">
      <c r="B5814" s="96"/>
      <c r="H5814" s="96"/>
      <c r="J5814" s="1"/>
      <c r="K5814" s="1"/>
      <c r="L5814" s="1"/>
      <c r="O5814" s="475"/>
      <c r="P5814" s="475"/>
      <c r="Q5814" s="475"/>
      <c r="R5814" s="475"/>
      <c r="S5814" s="475"/>
      <c r="T5814" s="475"/>
      <c r="U5814" s="475"/>
      <c r="V5814" s="475"/>
      <c r="W5814" s="475"/>
    </row>
    <row r="5815" spans="2:23" s="97" customFormat="1">
      <c r="B5815" s="96"/>
      <c r="H5815" s="96"/>
      <c r="J5815" s="1"/>
      <c r="K5815" s="1"/>
      <c r="L5815" s="1"/>
      <c r="O5815" s="475"/>
      <c r="P5815" s="475"/>
      <c r="Q5815" s="475"/>
      <c r="R5815" s="475"/>
      <c r="S5815" s="475"/>
      <c r="T5815" s="475"/>
      <c r="U5815" s="475"/>
      <c r="V5815" s="475"/>
      <c r="W5815" s="475"/>
    </row>
    <row r="5816" spans="2:23" s="97" customFormat="1">
      <c r="B5816" s="96"/>
      <c r="H5816" s="96"/>
      <c r="J5816" s="1"/>
      <c r="K5816" s="1"/>
      <c r="L5816" s="1"/>
      <c r="O5816" s="475"/>
      <c r="P5816" s="475"/>
      <c r="Q5816" s="475"/>
      <c r="R5816" s="475"/>
      <c r="S5816" s="475"/>
      <c r="T5816" s="475"/>
      <c r="U5816" s="475"/>
      <c r="V5816" s="475"/>
      <c r="W5816" s="475"/>
    </row>
    <row r="5817" spans="2:23" s="97" customFormat="1">
      <c r="B5817" s="96"/>
      <c r="H5817" s="96"/>
      <c r="J5817" s="1"/>
      <c r="K5817" s="1"/>
      <c r="L5817" s="1"/>
      <c r="O5817" s="475"/>
      <c r="P5817" s="475"/>
      <c r="Q5817" s="475"/>
      <c r="R5817" s="475"/>
      <c r="S5817" s="475"/>
      <c r="T5817" s="475"/>
      <c r="U5817" s="475"/>
      <c r="V5817" s="475"/>
      <c r="W5817" s="475"/>
    </row>
    <row r="5818" spans="2:23" s="97" customFormat="1">
      <c r="B5818" s="96"/>
      <c r="H5818" s="96"/>
      <c r="J5818" s="1"/>
      <c r="K5818" s="1"/>
      <c r="L5818" s="1"/>
      <c r="O5818" s="475"/>
      <c r="P5818" s="475"/>
      <c r="Q5818" s="475"/>
      <c r="R5818" s="475"/>
      <c r="S5818" s="475"/>
      <c r="T5818" s="475"/>
      <c r="U5818" s="475"/>
      <c r="V5818" s="475"/>
      <c r="W5818" s="475"/>
    </row>
    <row r="5819" spans="2:23" s="97" customFormat="1">
      <c r="B5819" s="96"/>
      <c r="H5819" s="96"/>
      <c r="J5819" s="1"/>
      <c r="K5819" s="1"/>
      <c r="L5819" s="1"/>
      <c r="O5819" s="475"/>
      <c r="P5819" s="475"/>
      <c r="Q5819" s="475"/>
      <c r="R5819" s="475"/>
      <c r="S5819" s="475"/>
      <c r="T5819" s="475"/>
      <c r="U5819" s="475"/>
      <c r="V5819" s="475"/>
      <c r="W5819" s="475"/>
    </row>
    <row r="5820" spans="2:23" s="97" customFormat="1">
      <c r="B5820" s="96"/>
      <c r="H5820" s="96"/>
      <c r="J5820" s="1"/>
      <c r="K5820" s="1"/>
      <c r="L5820" s="1"/>
      <c r="O5820" s="475"/>
      <c r="P5820" s="475"/>
      <c r="Q5820" s="475"/>
      <c r="R5820" s="475"/>
      <c r="S5820" s="475"/>
      <c r="T5820" s="475"/>
      <c r="U5820" s="475"/>
      <c r="V5820" s="475"/>
      <c r="W5820" s="475"/>
    </row>
    <row r="5821" spans="2:23" s="97" customFormat="1">
      <c r="B5821" s="96"/>
      <c r="H5821" s="96"/>
      <c r="J5821" s="1"/>
      <c r="K5821" s="1"/>
      <c r="L5821" s="1"/>
      <c r="O5821" s="475"/>
      <c r="P5821" s="475"/>
      <c r="Q5821" s="475"/>
      <c r="R5821" s="475"/>
      <c r="S5821" s="475"/>
      <c r="T5821" s="475"/>
      <c r="U5821" s="475"/>
      <c r="V5821" s="475"/>
      <c r="W5821" s="475"/>
    </row>
    <row r="5822" spans="2:23" s="97" customFormat="1">
      <c r="B5822" s="96"/>
      <c r="H5822" s="96"/>
      <c r="J5822" s="1"/>
      <c r="K5822" s="1"/>
      <c r="L5822" s="1"/>
      <c r="O5822" s="475"/>
      <c r="P5822" s="475"/>
      <c r="Q5822" s="475"/>
      <c r="R5822" s="475"/>
      <c r="S5822" s="475"/>
      <c r="T5822" s="475"/>
      <c r="U5822" s="475"/>
      <c r="V5822" s="475"/>
      <c r="W5822" s="475"/>
    </row>
    <row r="5823" spans="2:23" s="97" customFormat="1">
      <c r="B5823" s="96"/>
      <c r="H5823" s="96"/>
      <c r="J5823" s="1"/>
      <c r="K5823" s="1"/>
      <c r="L5823" s="1"/>
      <c r="O5823" s="475"/>
      <c r="P5823" s="475"/>
      <c r="Q5823" s="475"/>
      <c r="R5823" s="475"/>
      <c r="S5823" s="475"/>
      <c r="T5823" s="475"/>
      <c r="U5823" s="475"/>
      <c r="V5823" s="475"/>
      <c r="W5823" s="475"/>
    </row>
    <row r="5824" spans="2:23" s="97" customFormat="1">
      <c r="B5824" s="96"/>
      <c r="H5824" s="96"/>
      <c r="J5824" s="1"/>
      <c r="K5824" s="1"/>
      <c r="L5824" s="1"/>
      <c r="O5824" s="475"/>
      <c r="P5824" s="475"/>
      <c r="Q5824" s="475"/>
      <c r="R5824" s="475"/>
      <c r="S5824" s="475"/>
      <c r="T5824" s="475"/>
      <c r="U5824" s="475"/>
      <c r="V5824" s="475"/>
      <c r="W5824" s="475"/>
    </row>
    <row r="5825" spans="2:23" s="97" customFormat="1">
      <c r="B5825" s="96"/>
      <c r="H5825" s="96"/>
      <c r="J5825" s="1"/>
      <c r="K5825" s="1"/>
      <c r="L5825" s="1"/>
      <c r="O5825" s="475"/>
      <c r="P5825" s="475"/>
      <c r="Q5825" s="475"/>
      <c r="R5825" s="475"/>
      <c r="S5825" s="475"/>
      <c r="T5825" s="475"/>
      <c r="U5825" s="475"/>
      <c r="V5825" s="475"/>
      <c r="W5825" s="475"/>
    </row>
    <row r="5826" spans="2:23" s="97" customFormat="1">
      <c r="B5826" s="96"/>
      <c r="H5826" s="96"/>
      <c r="J5826" s="1"/>
      <c r="K5826" s="1"/>
      <c r="L5826" s="1"/>
      <c r="O5826" s="475"/>
      <c r="P5826" s="475"/>
      <c r="Q5826" s="475"/>
      <c r="R5826" s="475"/>
      <c r="S5826" s="475"/>
      <c r="T5826" s="475"/>
      <c r="U5826" s="475"/>
      <c r="V5826" s="475"/>
      <c r="W5826" s="475"/>
    </row>
    <row r="5827" spans="2:23" s="97" customFormat="1">
      <c r="B5827" s="96"/>
      <c r="H5827" s="96"/>
      <c r="J5827" s="1"/>
      <c r="K5827" s="1"/>
      <c r="L5827" s="1"/>
      <c r="O5827" s="475"/>
      <c r="P5827" s="475"/>
      <c r="Q5827" s="475"/>
      <c r="R5827" s="475"/>
      <c r="S5827" s="475"/>
      <c r="T5827" s="475"/>
      <c r="U5827" s="475"/>
      <c r="V5827" s="475"/>
      <c r="W5827" s="475"/>
    </row>
    <row r="5828" spans="2:23" s="97" customFormat="1">
      <c r="B5828" s="96"/>
      <c r="H5828" s="96"/>
      <c r="J5828" s="1"/>
      <c r="K5828" s="1"/>
      <c r="L5828" s="1"/>
      <c r="O5828" s="475"/>
      <c r="P5828" s="475"/>
      <c r="Q5828" s="475"/>
      <c r="R5828" s="475"/>
      <c r="S5828" s="475"/>
      <c r="T5828" s="475"/>
      <c r="U5828" s="475"/>
      <c r="V5828" s="475"/>
      <c r="W5828" s="475"/>
    </row>
    <row r="5829" spans="2:23" s="97" customFormat="1">
      <c r="B5829" s="96"/>
      <c r="H5829" s="96"/>
      <c r="J5829" s="1"/>
      <c r="K5829" s="1"/>
      <c r="L5829" s="1"/>
      <c r="O5829" s="475"/>
      <c r="P5829" s="475"/>
      <c r="Q5829" s="475"/>
      <c r="R5829" s="475"/>
      <c r="S5829" s="475"/>
      <c r="T5829" s="475"/>
      <c r="U5829" s="475"/>
      <c r="V5829" s="475"/>
      <c r="W5829" s="475"/>
    </row>
    <row r="5830" spans="2:23" s="97" customFormat="1">
      <c r="B5830" s="96"/>
      <c r="H5830" s="96"/>
      <c r="J5830" s="1"/>
      <c r="K5830" s="1"/>
      <c r="L5830" s="1"/>
      <c r="O5830" s="475"/>
      <c r="P5830" s="475"/>
      <c r="Q5830" s="475"/>
      <c r="R5830" s="475"/>
      <c r="S5830" s="475"/>
      <c r="T5830" s="475"/>
      <c r="U5830" s="475"/>
      <c r="V5830" s="475"/>
      <c r="W5830" s="475"/>
    </row>
    <row r="5831" spans="2:23" s="97" customFormat="1">
      <c r="B5831" s="96"/>
      <c r="H5831" s="96"/>
      <c r="J5831" s="1"/>
      <c r="K5831" s="1"/>
      <c r="L5831" s="1"/>
      <c r="O5831" s="475"/>
      <c r="P5831" s="475"/>
      <c r="Q5831" s="475"/>
      <c r="R5831" s="475"/>
      <c r="S5831" s="475"/>
      <c r="T5831" s="475"/>
      <c r="U5831" s="475"/>
      <c r="V5831" s="475"/>
      <c r="W5831" s="475"/>
    </row>
    <row r="5832" spans="2:23" s="97" customFormat="1">
      <c r="B5832" s="96"/>
      <c r="H5832" s="96"/>
      <c r="J5832" s="1"/>
      <c r="K5832" s="1"/>
      <c r="L5832" s="1"/>
      <c r="O5832" s="475"/>
      <c r="P5832" s="475"/>
      <c r="Q5832" s="475"/>
      <c r="R5832" s="475"/>
      <c r="S5832" s="475"/>
      <c r="T5832" s="475"/>
      <c r="U5832" s="475"/>
      <c r="V5832" s="475"/>
      <c r="W5832" s="475"/>
    </row>
    <row r="5833" spans="2:23" s="97" customFormat="1">
      <c r="B5833" s="96"/>
      <c r="H5833" s="96"/>
      <c r="J5833" s="1"/>
      <c r="K5833" s="1"/>
      <c r="L5833" s="1"/>
      <c r="O5833" s="475"/>
      <c r="P5833" s="475"/>
      <c r="Q5833" s="475"/>
      <c r="R5833" s="475"/>
      <c r="S5833" s="475"/>
      <c r="T5833" s="475"/>
      <c r="U5833" s="475"/>
      <c r="V5833" s="475"/>
      <c r="W5833" s="475"/>
    </row>
    <row r="5834" spans="2:23" s="97" customFormat="1">
      <c r="B5834" s="96"/>
      <c r="H5834" s="96"/>
      <c r="J5834" s="1"/>
      <c r="K5834" s="1"/>
      <c r="L5834" s="1"/>
      <c r="O5834" s="475"/>
      <c r="P5834" s="475"/>
      <c r="Q5834" s="475"/>
      <c r="R5834" s="475"/>
      <c r="S5834" s="475"/>
      <c r="T5834" s="475"/>
      <c r="U5834" s="475"/>
      <c r="V5834" s="475"/>
      <c r="W5834" s="475"/>
    </row>
    <row r="5835" spans="2:23" s="97" customFormat="1">
      <c r="B5835" s="96"/>
      <c r="H5835" s="96"/>
      <c r="J5835" s="1"/>
      <c r="K5835" s="1"/>
      <c r="L5835" s="1"/>
      <c r="O5835" s="475"/>
      <c r="P5835" s="475"/>
      <c r="Q5835" s="475"/>
      <c r="R5835" s="475"/>
      <c r="S5835" s="475"/>
      <c r="T5835" s="475"/>
      <c r="U5835" s="475"/>
      <c r="V5835" s="475"/>
      <c r="W5835" s="475"/>
    </row>
    <row r="5836" spans="2:23" s="97" customFormat="1">
      <c r="B5836" s="96"/>
      <c r="H5836" s="96"/>
      <c r="J5836" s="1"/>
      <c r="K5836" s="1"/>
      <c r="L5836" s="1"/>
      <c r="O5836" s="475"/>
      <c r="P5836" s="475"/>
      <c r="Q5836" s="475"/>
      <c r="R5836" s="475"/>
      <c r="S5836" s="475"/>
      <c r="T5836" s="475"/>
      <c r="U5836" s="475"/>
      <c r="V5836" s="475"/>
      <c r="W5836" s="475"/>
    </row>
    <row r="5837" spans="2:23" s="97" customFormat="1">
      <c r="B5837" s="96"/>
      <c r="H5837" s="96"/>
      <c r="J5837" s="1"/>
      <c r="K5837" s="1"/>
      <c r="L5837" s="1"/>
      <c r="O5837" s="475"/>
      <c r="P5837" s="475"/>
      <c r="Q5837" s="475"/>
      <c r="R5837" s="475"/>
      <c r="S5837" s="475"/>
      <c r="T5837" s="475"/>
      <c r="U5837" s="475"/>
      <c r="V5837" s="475"/>
      <c r="W5837" s="475"/>
    </row>
    <row r="5838" spans="2:23" s="97" customFormat="1">
      <c r="B5838" s="96"/>
      <c r="H5838" s="96"/>
      <c r="J5838" s="1"/>
      <c r="K5838" s="1"/>
      <c r="L5838" s="1"/>
      <c r="O5838" s="475"/>
      <c r="P5838" s="475"/>
      <c r="Q5838" s="475"/>
      <c r="R5838" s="475"/>
      <c r="S5838" s="475"/>
      <c r="T5838" s="475"/>
      <c r="U5838" s="475"/>
      <c r="V5838" s="475"/>
      <c r="W5838" s="475"/>
    </row>
    <row r="5839" spans="2:23" s="97" customFormat="1">
      <c r="B5839" s="96"/>
      <c r="H5839" s="96"/>
      <c r="J5839" s="1"/>
      <c r="K5839" s="1"/>
      <c r="L5839" s="1"/>
      <c r="O5839" s="475"/>
      <c r="P5839" s="475"/>
      <c r="Q5839" s="475"/>
      <c r="R5839" s="475"/>
      <c r="S5839" s="475"/>
      <c r="T5839" s="475"/>
      <c r="U5839" s="475"/>
      <c r="V5839" s="475"/>
      <c r="W5839" s="475"/>
    </row>
    <row r="5840" spans="2:23" s="97" customFormat="1">
      <c r="B5840" s="96"/>
      <c r="H5840" s="96"/>
      <c r="J5840" s="1"/>
      <c r="K5840" s="1"/>
      <c r="L5840" s="1"/>
      <c r="O5840" s="475"/>
      <c r="P5840" s="475"/>
      <c r="Q5840" s="475"/>
      <c r="R5840" s="475"/>
      <c r="S5840" s="475"/>
      <c r="T5840" s="475"/>
      <c r="U5840" s="475"/>
      <c r="V5840" s="475"/>
      <c r="W5840" s="475"/>
    </row>
    <row r="5841" spans="2:23" s="97" customFormat="1">
      <c r="B5841" s="96"/>
      <c r="H5841" s="96"/>
      <c r="J5841" s="1"/>
      <c r="K5841" s="1"/>
      <c r="L5841" s="1"/>
      <c r="O5841" s="475"/>
      <c r="P5841" s="475"/>
      <c r="Q5841" s="475"/>
      <c r="R5841" s="475"/>
      <c r="S5841" s="475"/>
      <c r="T5841" s="475"/>
      <c r="U5841" s="475"/>
      <c r="V5841" s="475"/>
      <c r="W5841" s="475"/>
    </row>
    <row r="5842" spans="2:23" s="97" customFormat="1">
      <c r="B5842" s="96"/>
      <c r="H5842" s="96"/>
      <c r="J5842" s="1"/>
      <c r="K5842" s="1"/>
      <c r="L5842" s="1"/>
      <c r="O5842" s="475"/>
      <c r="P5842" s="475"/>
      <c r="Q5842" s="475"/>
      <c r="R5842" s="475"/>
      <c r="S5842" s="475"/>
      <c r="T5842" s="475"/>
      <c r="U5842" s="475"/>
      <c r="V5842" s="475"/>
      <c r="W5842" s="475"/>
    </row>
    <row r="5843" spans="2:23" s="97" customFormat="1">
      <c r="B5843" s="96"/>
      <c r="H5843" s="96"/>
      <c r="J5843" s="1"/>
      <c r="K5843" s="1"/>
      <c r="L5843" s="1"/>
      <c r="O5843" s="475"/>
      <c r="P5843" s="475"/>
      <c r="Q5843" s="475"/>
      <c r="R5843" s="475"/>
      <c r="S5843" s="475"/>
      <c r="T5843" s="475"/>
      <c r="U5843" s="475"/>
      <c r="V5843" s="475"/>
      <c r="W5843" s="475"/>
    </row>
    <row r="5844" spans="2:23" s="97" customFormat="1">
      <c r="B5844" s="96"/>
      <c r="H5844" s="96"/>
      <c r="J5844" s="1"/>
      <c r="K5844" s="1"/>
      <c r="L5844" s="1"/>
      <c r="O5844" s="475"/>
      <c r="P5844" s="475"/>
      <c r="Q5844" s="475"/>
      <c r="R5844" s="475"/>
      <c r="S5844" s="475"/>
      <c r="T5844" s="475"/>
      <c r="U5844" s="475"/>
      <c r="V5844" s="475"/>
      <c r="W5844" s="475"/>
    </row>
    <row r="5845" spans="2:23" s="97" customFormat="1">
      <c r="B5845" s="96"/>
      <c r="H5845" s="96"/>
      <c r="J5845" s="1"/>
      <c r="K5845" s="1"/>
      <c r="L5845" s="1"/>
      <c r="O5845" s="475"/>
      <c r="P5845" s="475"/>
      <c r="Q5845" s="475"/>
      <c r="R5845" s="475"/>
      <c r="S5845" s="475"/>
      <c r="T5845" s="475"/>
      <c r="U5845" s="475"/>
      <c r="V5845" s="475"/>
      <c r="W5845" s="475"/>
    </row>
    <row r="5846" spans="2:23" s="97" customFormat="1">
      <c r="B5846" s="96"/>
      <c r="H5846" s="96"/>
      <c r="J5846" s="1"/>
      <c r="K5846" s="1"/>
      <c r="L5846" s="1"/>
      <c r="O5846" s="475"/>
      <c r="P5846" s="475"/>
      <c r="Q5846" s="475"/>
      <c r="R5846" s="475"/>
      <c r="S5846" s="475"/>
      <c r="T5846" s="475"/>
      <c r="U5846" s="475"/>
      <c r="V5846" s="475"/>
      <c r="W5846" s="475"/>
    </row>
    <row r="5847" spans="2:23" s="97" customFormat="1">
      <c r="B5847" s="96"/>
      <c r="H5847" s="96"/>
      <c r="J5847" s="1"/>
      <c r="K5847" s="1"/>
      <c r="L5847" s="1"/>
      <c r="O5847" s="475"/>
      <c r="P5847" s="475"/>
      <c r="Q5847" s="475"/>
      <c r="R5847" s="475"/>
      <c r="S5847" s="475"/>
      <c r="T5847" s="475"/>
      <c r="U5847" s="475"/>
      <c r="V5847" s="475"/>
      <c r="W5847" s="475"/>
    </row>
    <row r="5848" spans="2:23" s="97" customFormat="1">
      <c r="B5848" s="96"/>
      <c r="H5848" s="96"/>
      <c r="J5848" s="1"/>
      <c r="K5848" s="1"/>
      <c r="L5848" s="1"/>
      <c r="O5848" s="475"/>
      <c r="P5848" s="475"/>
      <c r="Q5848" s="475"/>
      <c r="R5848" s="475"/>
      <c r="S5848" s="475"/>
      <c r="T5848" s="475"/>
      <c r="U5848" s="475"/>
      <c r="V5848" s="475"/>
      <c r="W5848" s="475"/>
    </row>
    <row r="5849" spans="2:23" s="97" customFormat="1">
      <c r="B5849" s="96"/>
      <c r="H5849" s="96"/>
      <c r="J5849" s="1"/>
      <c r="K5849" s="1"/>
      <c r="L5849" s="1"/>
      <c r="O5849" s="475"/>
      <c r="P5849" s="475"/>
      <c r="Q5849" s="475"/>
      <c r="R5849" s="475"/>
      <c r="S5849" s="475"/>
      <c r="T5849" s="475"/>
      <c r="U5849" s="475"/>
      <c r="V5849" s="475"/>
      <c r="W5849" s="475"/>
    </row>
    <row r="5850" spans="2:23" s="97" customFormat="1">
      <c r="B5850" s="96"/>
      <c r="H5850" s="96"/>
      <c r="J5850" s="1"/>
      <c r="K5850" s="1"/>
      <c r="L5850" s="1"/>
      <c r="O5850" s="475"/>
      <c r="P5850" s="475"/>
      <c r="Q5850" s="475"/>
      <c r="R5850" s="475"/>
      <c r="S5850" s="475"/>
      <c r="T5850" s="475"/>
      <c r="U5850" s="475"/>
      <c r="V5850" s="475"/>
      <c r="W5850" s="475"/>
    </row>
    <row r="5851" spans="2:23" s="97" customFormat="1">
      <c r="B5851" s="96"/>
      <c r="H5851" s="96"/>
      <c r="J5851" s="1"/>
      <c r="K5851" s="1"/>
      <c r="L5851" s="1"/>
      <c r="O5851" s="475"/>
      <c r="P5851" s="475"/>
      <c r="Q5851" s="475"/>
      <c r="R5851" s="475"/>
      <c r="S5851" s="475"/>
      <c r="T5851" s="475"/>
      <c r="U5851" s="475"/>
      <c r="V5851" s="475"/>
      <c r="W5851" s="475"/>
    </row>
    <row r="5852" spans="2:23" s="97" customFormat="1">
      <c r="B5852" s="96"/>
      <c r="H5852" s="96"/>
      <c r="J5852" s="1"/>
      <c r="K5852" s="1"/>
      <c r="L5852" s="1"/>
      <c r="O5852" s="475"/>
      <c r="P5852" s="475"/>
      <c r="Q5852" s="475"/>
      <c r="R5852" s="475"/>
      <c r="S5852" s="475"/>
      <c r="T5852" s="475"/>
      <c r="U5852" s="475"/>
      <c r="V5852" s="475"/>
      <c r="W5852" s="475"/>
    </row>
    <row r="5853" spans="2:23" s="97" customFormat="1">
      <c r="B5853" s="96"/>
      <c r="H5853" s="96"/>
      <c r="J5853" s="1"/>
      <c r="K5853" s="1"/>
      <c r="L5853" s="1"/>
      <c r="O5853" s="475"/>
      <c r="P5853" s="475"/>
      <c r="Q5853" s="475"/>
      <c r="R5853" s="475"/>
      <c r="S5853" s="475"/>
      <c r="T5853" s="475"/>
      <c r="U5853" s="475"/>
      <c r="V5853" s="475"/>
      <c r="W5853" s="475"/>
    </row>
    <row r="5854" spans="2:23" s="97" customFormat="1">
      <c r="B5854" s="96"/>
      <c r="H5854" s="96"/>
      <c r="J5854" s="1"/>
      <c r="K5854" s="1"/>
      <c r="L5854" s="1"/>
      <c r="O5854" s="475"/>
      <c r="P5854" s="475"/>
      <c r="Q5854" s="475"/>
      <c r="R5854" s="475"/>
      <c r="S5854" s="475"/>
      <c r="T5854" s="475"/>
      <c r="U5854" s="475"/>
      <c r="V5854" s="475"/>
      <c r="W5854" s="475"/>
    </row>
    <row r="5855" spans="2:23" s="97" customFormat="1">
      <c r="B5855" s="96"/>
      <c r="H5855" s="96"/>
      <c r="J5855" s="1"/>
      <c r="K5855" s="1"/>
      <c r="L5855" s="1"/>
      <c r="O5855" s="475"/>
      <c r="P5855" s="475"/>
      <c r="Q5855" s="475"/>
      <c r="R5855" s="475"/>
      <c r="S5855" s="475"/>
      <c r="T5855" s="475"/>
      <c r="U5855" s="475"/>
      <c r="V5855" s="475"/>
      <c r="W5855" s="475"/>
    </row>
    <row r="5856" spans="2:23" s="97" customFormat="1">
      <c r="B5856" s="96"/>
      <c r="H5856" s="96"/>
      <c r="J5856" s="1"/>
      <c r="K5856" s="1"/>
      <c r="L5856" s="1"/>
      <c r="O5856" s="475"/>
      <c r="P5856" s="475"/>
      <c r="Q5856" s="475"/>
      <c r="R5856" s="475"/>
      <c r="S5856" s="475"/>
      <c r="T5856" s="475"/>
      <c r="U5856" s="475"/>
      <c r="V5856" s="475"/>
      <c r="W5856" s="475"/>
    </row>
    <row r="5857" spans="2:23" s="97" customFormat="1">
      <c r="B5857" s="96"/>
      <c r="H5857" s="96"/>
      <c r="J5857" s="1"/>
      <c r="K5857" s="1"/>
      <c r="L5857" s="1"/>
      <c r="O5857" s="475"/>
      <c r="P5857" s="475"/>
      <c r="Q5857" s="475"/>
      <c r="R5857" s="475"/>
      <c r="S5857" s="475"/>
      <c r="T5857" s="475"/>
      <c r="U5857" s="475"/>
      <c r="V5857" s="475"/>
      <c r="W5857" s="475"/>
    </row>
    <row r="5858" spans="2:23" s="97" customFormat="1">
      <c r="B5858" s="96"/>
      <c r="H5858" s="96"/>
      <c r="J5858" s="1"/>
      <c r="K5858" s="1"/>
      <c r="L5858" s="1"/>
      <c r="O5858" s="475"/>
      <c r="P5858" s="475"/>
      <c r="Q5858" s="475"/>
      <c r="R5858" s="475"/>
      <c r="S5858" s="475"/>
      <c r="T5858" s="475"/>
      <c r="U5858" s="475"/>
      <c r="V5858" s="475"/>
      <c r="W5858" s="475"/>
    </row>
    <row r="5859" spans="2:23" s="97" customFormat="1">
      <c r="B5859" s="96"/>
      <c r="H5859" s="96"/>
      <c r="J5859" s="1"/>
      <c r="K5859" s="1"/>
      <c r="L5859" s="1"/>
      <c r="O5859" s="475"/>
      <c r="P5859" s="475"/>
      <c r="Q5859" s="475"/>
      <c r="R5859" s="475"/>
      <c r="S5859" s="475"/>
      <c r="T5859" s="475"/>
      <c r="U5859" s="475"/>
      <c r="V5859" s="475"/>
      <c r="W5859" s="475"/>
    </row>
    <row r="5860" spans="2:23" s="97" customFormat="1">
      <c r="B5860" s="96"/>
      <c r="H5860" s="96"/>
      <c r="J5860" s="1"/>
      <c r="K5860" s="1"/>
      <c r="L5860" s="1"/>
      <c r="O5860" s="475"/>
      <c r="P5860" s="475"/>
      <c r="Q5860" s="475"/>
      <c r="R5860" s="475"/>
      <c r="S5860" s="475"/>
      <c r="T5860" s="475"/>
      <c r="U5860" s="475"/>
      <c r="V5860" s="475"/>
      <c r="W5860" s="475"/>
    </row>
    <row r="5861" spans="2:23" s="97" customFormat="1">
      <c r="B5861" s="96"/>
      <c r="H5861" s="96"/>
      <c r="J5861" s="1"/>
      <c r="K5861" s="1"/>
      <c r="L5861" s="1"/>
      <c r="O5861" s="475"/>
      <c r="P5861" s="475"/>
      <c r="Q5861" s="475"/>
      <c r="R5861" s="475"/>
      <c r="S5861" s="475"/>
      <c r="T5861" s="475"/>
      <c r="U5861" s="475"/>
      <c r="V5861" s="475"/>
      <c r="W5861" s="475"/>
    </row>
    <row r="5862" spans="2:23" s="97" customFormat="1">
      <c r="B5862" s="96"/>
      <c r="H5862" s="96"/>
      <c r="J5862" s="1"/>
      <c r="K5862" s="1"/>
      <c r="L5862" s="1"/>
      <c r="O5862" s="475"/>
      <c r="P5862" s="475"/>
      <c r="Q5862" s="475"/>
      <c r="R5862" s="475"/>
      <c r="S5862" s="475"/>
      <c r="T5862" s="475"/>
      <c r="U5862" s="475"/>
      <c r="V5862" s="475"/>
      <c r="W5862" s="475"/>
    </row>
    <row r="5863" spans="2:23" s="97" customFormat="1">
      <c r="B5863" s="96"/>
      <c r="H5863" s="96"/>
      <c r="J5863" s="1"/>
      <c r="K5863" s="1"/>
      <c r="L5863" s="1"/>
      <c r="O5863" s="475"/>
      <c r="P5863" s="475"/>
      <c r="Q5863" s="475"/>
      <c r="R5863" s="475"/>
      <c r="S5863" s="475"/>
      <c r="T5863" s="475"/>
      <c r="U5863" s="475"/>
      <c r="V5863" s="475"/>
      <c r="W5863" s="475"/>
    </row>
    <row r="5864" spans="2:23" s="97" customFormat="1">
      <c r="B5864" s="96"/>
      <c r="H5864" s="96"/>
      <c r="J5864" s="1"/>
      <c r="K5864" s="1"/>
      <c r="L5864" s="1"/>
      <c r="O5864" s="475"/>
      <c r="P5864" s="475"/>
      <c r="Q5864" s="475"/>
      <c r="R5864" s="475"/>
      <c r="S5864" s="475"/>
      <c r="T5864" s="475"/>
      <c r="U5864" s="475"/>
      <c r="V5864" s="475"/>
      <c r="W5864" s="475"/>
    </row>
    <row r="5865" spans="2:23" s="97" customFormat="1">
      <c r="B5865" s="96"/>
      <c r="H5865" s="96"/>
      <c r="J5865" s="1"/>
      <c r="K5865" s="1"/>
      <c r="L5865" s="1"/>
      <c r="O5865" s="475"/>
      <c r="P5865" s="475"/>
      <c r="Q5865" s="475"/>
      <c r="R5865" s="475"/>
      <c r="S5865" s="475"/>
      <c r="T5865" s="475"/>
      <c r="U5865" s="475"/>
      <c r="V5865" s="475"/>
      <c r="W5865" s="475"/>
    </row>
    <row r="5866" spans="2:23" s="97" customFormat="1">
      <c r="B5866" s="96"/>
      <c r="H5866" s="96"/>
      <c r="J5866" s="1"/>
      <c r="K5866" s="1"/>
      <c r="L5866" s="1"/>
      <c r="O5866" s="475"/>
      <c r="P5866" s="475"/>
      <c r="Q5866" s="475"/>
      <c r="R5866" s="475"/>
      <c r="S5866" s="475"/>
      <c r="T5866" s="475"/>
      <c r="U5866" s="475"/>
      <c r="V5866" s="475"/>
      <c r="W5866" s="475"/>
    </row>
    <row r="5867" spans="2:23" s="97" customFormat="1">
      <c r="B5867" s="96"/>
      <c r="H5867" s="96"/>
      <c r="J5867" s="1"/>
      <c r="K5867" s="1"/>
      <c r="L5867" s="1"/>
      <c r="O5867" s="475"/>
      <c r="P5867" s="475"/>
      <c r="Q5867" s="475"/>
      <c r="R5867" s="475"/>
      <c r="S5867" s="475"/>
      <c r="T5867" s="475"/>
      <c r="U5867" s="475"/>
      <c r="V5867" s="475"/>
      <c r="W5867" s="475"/>
    </row>
    <row r="5868" spans="2:23" s="97" customFormat="1">
      <c r="B5868" s="96"/>
      <c r="H5868" s="96"/>
      <c r="J5868" s="1"/>
      <c r="K5868" s="1"/>
      <c r="L5868" s="1"/>
      <c r="O5868" s="475"/>
      <c r="P5868" s="475"/>
      <c r="Q5868" s="475"/>
      <c r="R5868" s="475"/>
      <c r="S5868" s="475"/>
      <c r="T5868" s="475"/>
      <c r="U5868" s="475"/>
      <c r="V5868" s="475"/>
      <c r="W5868" s="475"/>
    </row>
    <row r="5869" spans="2:23" s="97" customFormat="1">
      <c r="B5869" s="96"/>
      <c r="H5869" s="96"/>
      <c r="J5869" s="1"/>
      <c r="K5869" s="1"/>
      <c r="L5869" s="1"/>
      <c r="O5869" s="475"/>
      <c r="P5869" s="475"/>
      <c r="Q5869" s="475"/>
      <c r="R5869" s="475"/>
      <c r="S5869" s="475"/>
      <c r="T5869" s="475"/>
      <c r="U5869" s="475"/>
      <c r="V5869" s="475"/>
      <c r="W5869" s="475"/>
    </row>
    <row r="5870" spans="2:23" s="97" customFormat="1">
      <c r="B5870" s="96"/>
      <c r="H5870" s="96"/>
      <c r="J5870" s="1"/>
      <c r="K5870" s="1"/>
      <c r="L5870" s="1"/>
      <c r="O5870" s="475"/>
      <c r="P5870" s="475"/>
      <c r="Q5870" s="475"/>
      <c r="R5870" s="475"/>
      <c r="S5870" s="475"/>
      <c r="T5870" s="475"/>
      <c r="U5870" s="475"/>
      <c r="V5870" s="475"/>
      <c r="W5870" s="475"/>
    </row>
    <row r="5871" spans="2:23" s="97" customFormat="1">
      <c r="B5871" s="96"/>
      <c r="H5871" s="96"/>
      <c r="J5871" s="1"/>
      <c r="K5871" s="1"/>
      <c r="L5871" s="1"/>
      <c r="O5871" s="475"/>
      <c r="P5871" s="475"/>
      <c r="Q5871" s="475"/>
      <c r="R5871" s="475"/>
      <c r="S5871" s="475"/>
      <c r="T5871" s="475"/>
      <c r="U5871" s="475"/>
      <c r="V5871" s="475"/>
      <c r="W5871" s="475"/>
    </row>
    <row r="5872" spans="2:23" s="97" customFormat="1">
      <c r="B5872" s="96"/>
      <c r="H5872" s="96"/>
      <c r="J5872" s="1"/>
      <c r="K5872" s="1"/>
      <c r="L5872" s="1"/>
      <c r="O5872" s="475"/>
      <c r="P5872" s="475"/>
      <c r="Q5872" s="475"/>
      <c r="R5872" s="475"/>
      <c r="S5872" s="475"/>
      <c r="T5872" s="475"/>
      <c r="U5872" s="475"/>
      <c r="V5872" s="475"/>
      <c r="W5872" s="475"/>
    </row>
    <row r="5873" spans="2:23" s="97" customFormat="1">
      <c r="B5873" s="96"/>
      <c r="H5873" s="96"/>
      <c r="J5873" s="1"/>
      <c r="K5873" s="1"/>
      <c r="L5873" s="1"/>
      <c r="O5873" s="475"/>
      <c r="P5873" s="475"/>
      <c r="Q5873" s="475"/>
      <c r="R5873" s="475"/>
      <c r="S5873" s="475"/>
      <c r="T5873" s="475"/>
      <c r="U5873" s="475"/>
      <c r="V5873" s="475"/>
      <c r="W5873" s="475"/>
    </row>
    <row r="5874" spans="2:23" s="97" customFormat="1">
      <c r="B5874" s="96"/>
      <c r="H5874" s="96"/>
      <c r="J5874" s="1"/>
      <c r="K5874" s="1"/>
      <c r="L5874" s="1"/>
      <c r="O5874" s="475"/>
      <c r="P5874" s="475"/>
      <c r="Q5874" s="475"/>
      <c r="R5874" s="475"/>
      <c r="S5874" s="475"/>
      <c r="T5874" s="475"/>
      <c r="U5874" s="475"/>
      <c r="V5874" s="475"/>
      <c r="W5874" s="475"/>
    </row>
    <row r="5875" spans="2:23" s="97" customFormat="1">
      <c r="B5875" s="96"/>
      <c r="H5875" s="96"/>
      <c r="J5875" s="1"/>
      <c r="K5875" s="1"/>
      <c r="L5875" s="1"/>
      <c r="O5875" s="475"/>
      <c r="P5875" s="475"/>
      <c r="Q5875" s="475"/>
      <c r="R5875" s="475"/>
      <c r="S5875" s="475"/>
      <c r="T5875" s="475"/>
      <c r="U5875" s="475"/>
      <c r="V5875" s="475"/>
      <c r="W5875" s="475"/>
    </row>
    <row r="5876" spans="2:23" s="97" customFormat="1">
      <c r="B5876" s="96"/>
      <c r="H5876" s="96"/>
      <c r="J5876" s="1"/>
      <c r="K5876" s="1"/>
      <c r="L5876" s="1"/>
      <c r="O5876" s="475"/>
      <c r="P5876" s="475"/>
      <c r="Q5876" s="475"/>
      <c r="R5876" s="475"/>
      <c r="S5876" s="475"/>
      <c r="T5876" s="475"/>
      <c r="U5876" s="475"/>
      <c r="V5876" s="475"/>
      <c r="W5876" s="475"/>
    </row>
    <row r="5877" spans="2:23" s="97" customFormat="1">
      <c r="B5877" s="96"/>
      <c r="H5877" s="96"/>
      <c r="J5877" s="1"/>
      <c r="K5877" s="1"/>
      <c r="L5877" s="1"/>
      <c r="O5877" s="475"/>
      <c r="P5877" s="475"/>
      <c r="Q5877" s="475"/>
      <c r="R5877" s="475"/>
      <c r="S5877" s="475"/>
      <c r="T5877" s="475"/>
      <c r="U5877" s="475"/>
      <c r="V5877" s="475"/>
      <c r="W5877" s="475"/>
    </row>
    <row r="5878" spans="2:23" s="97" customFormat="1">
      <c r="B5878" s="96"/>
      <c r="H5878" s="96"/>
      <c r="J5878" s="1"/>
      <c r="K5878" s="1"/>
      <c r="L5878" s="1"/>
      <c r="O5878" s="475"/>
      <c r="P5878" s="475"/>
      <c r="Q5878" s="475"/>
      <c r="R5878" s="475"/>
      <c r="S5878" s="475"/>
      <c r="T5878" s="475"/>
      <c r="U5878" s="475"/>
      <c r="V5878" s="475"/>
      <c r="W5878" s="475"/>
    </row>
    <row r="5879" spans="2:23" s="97" customFormat="1">
      <c r="B5879" s="96"/>
      <c r="H5879" s="96"/>
      <c r="J5879" s="1"/>
      <c r="K5879" s="1"/>
      <c r="L5879" s="1"/>
      <c r="O5879" s="475"/>
      <c r="P5879" s="475"/>
      <c r="Q5879" s="475"/>
      <c r="R5879" s="475"/>
      <c r="S5879" s="475"/>
      <c r="T5879" s="475"/>
      <c r="U5879" s="475"/>
      <c r="V5879" s="475"/>
      <c r="W5879" s="475"/>
    </row>
    <row r="5880" spans="2:23" s="97" customFormat="1">
      <c r="B5880" s="96"/>
      <c r="H5880" s="96"/>
      <c r="J5880" s="1"/>
      <c r="K5880" s="1"/>
      <c r="L5880" s="1"/>
      <c r="O5880" s="475"/>
      <c r="P5880" s="475"/>
      <c r="Q5880" s="475"/>
      <c r="R5880" s="475"/>
      <c r="S5880" s="475"/>
      <c r="T5880" s="475"/>
      <c r="U5880" s="475"/>
      <c r="V5880" s="475"/>
      <c r="W5880" s="475"/>
    </row>
    <row r="5881" spans="2:23" s="97" customFormat="1">
      <c r="B5881" s="96"/>
      <c r="H5881" s="96"/>
      <c r="J5881" s="1"/>
      <c r="K5881" s="1"/>
      <c r="L5881" s="1"/>
      <c r="O5881" s="475"/>
      <c r="P5881" s="475"/>
      <c r="Q5881" s="475"/>
      <c r="R5881" s="475"/>
      <c r="S5881" s="475"/>
      <c r="T5881" s="475"/>
      <c r="U5881" s="475"/>
      <c r="V5881" s="475"/>
      <c r="W5881" s="475"/>
    </row>
    <row r="5882" spans="2:23" s="97" customFormat="1">
      <c r="B5882" s="96"/>
      <c r="H5882" s="96"/>
      <c r="J5882" s="1"/>
      <c r="K5882" s="1"/>
      <c r="L5882" s="1"/>
      <c r="O5882" s="475"/>
      <c r="P5882" s="475"/>
      <c r="Q5882" s="475"/>
      <c r="R5882" s="475"/>
      <c r="S5882" s="475"/>
      <c r="T5882" s="475"/>
      <c r="U5882" s="475"/>
      <c r="V5882" s="475"/>
      <c r="W5882" s="475"/>
    </row>
    <row r="5883" spans="2:23" s="97" customFormat="1">
      <c r="B5883" s="96"/>
      <c r="H5883" s="96"/>
      <c r="J5883" s="1"/>
      <c r="K5883" s="1"/>
      <c r="L5883" s="1"/>
      <c r="O5883" s="475"/>
      <c r="P5883" s="475"/>
      <c r="Q5883" s="475"/>
      <c r="R5883" s="475"/>
      <c r="S5883" s="475"/>
      <c r="T5883" s="475"/>
      <c r="U5883" s="475"/>
      <c r="V5883" s="475"/>
      <c r="W5883" s="475"/>
    </row>
    <row r="5884" spans="2:23" s="97" customFormat="1">
      <c r="B5884" s="96"/>
      <c r="H5884" s="96"/>
      <c r="J5884" s="1"/>
      <c r="K5884" s="1"/>
      <c r="L5884" s="1"/>
      <c r="O5884" s="475"/>
      <c r="P5884" s="475"/>
      <c r="Q5884" s="475"/>
      <c r="R5884" s="475"/>
      <c r="S5884" s="475"/>
      <c r="T5884" s="475"/>
      <c r="U5884" s="475"/>
      <c r="V5884" s="475"/>
      <c r="W5884" s="475"/>
    </row>
    <row r="5885" spans="2:23" s="97" customFormat="1">
      <c r="B5885" s="96"/>
      <c r="H5885" s="96"/>
      <c r="J5885" s="1"/>
      <c r="K5885" s="1"/>
      <c r="L5885" s="1"/>
      <c r="O5885" s="475"/>
      <c r="P5885" s="475"/>
      <c r="Q5885" s="475"/>
      <c r="R5885" s="475"/>
      <c r="S5885" s="475"/>
      <c r="T5885" s="475"/>
      <c r="U5885" s="475"/>
      <c r="V5885" s="475"/>
      <c r="W5885" s="475"/>
    </row>
    <row r="5886" spans="2:23" s="97" customFormat="1">
      <c r="B5886" s="96"/>
      <c r="H5886" s="96"/>
      <c r="J5886" s="1"/>
      <c r="K5886" s="1"/>
      <c r="L5886" s="1"/>
      <c r="O5886" s="475"/>
      <c r="P5886" s="475"/>
      <c r="Q5886" s="475"/>
      <c r="R5886" s="475"/>
      <c r="S5886" s="475"/>
      <c r="T5886" s="475"/>
      <c r="U5886" s="475"/>
      <c r="V5886" s="475"/>
      <c r="W5886" s="475"/>
    </row>
    <row r="5887" spans="2:23" s="97" customFormat="1">
      <c r="B5887" s="96"/>
      <c r="H5887" s="96"/>
      <c r="J5887" s="1"/>
      <c r="K5887" s="1"/>
      <c r="L5887" s="1"/>
      <c r="O5887" s="475"/>
      <c r="P5887" s="475"/>
      <c r="Q5887" s="475"/>
      <c r="R5887" s="475"/>
      <c r="S5887" s="475"/>
      <c r="T5887" s="475"/>
      <c r="U5887" s="475"/>
      <c r="V5887" s="475"/>
      <c r="W5887" s="475"/>
    </row>
    <row r="5888" spans="2:23" s="97" customFormat="1">
      <c r="B5888" s="96"/>
      <c r="H5888" s="96"/>
      <c r="J5888" s="1"/>
      <c r="K5888" s="1"/>
      <c r="L5888" s="1"/>
      <c r="O5888" s="475"/>
      <c r="P5888" s="475"/>
      <c r="Q5888" s="475"/>
      <c r="R5888" s="475"/>
      <c r="S5888" s="475"/>
      <c r="T5888" s="475"/>
      <c r="U5888" s="475"/>
      <c r="V5888" s="475"/>
      <c r="W5888" s="475"/>
    </row>
    <row r="5889" spans="2:23" s="97" customFormat="1">
      <c r="B5889" s="96"/>
      <c r="H5889" s="96"/>
      <c r="J5889" s="1"/>
      <c r="K5889" s="1"/>
      <c r="L5889" s="1"/>
      <c r="O5889" s="475"/>
      <c r="P5889" s="475"/>
      <c r="Q5889" s="475"/>
      <c r="R5889" s="475"/>
      <c r="S5889" s="475"/>
      <c r="T5889" s="475"/>
      <c r="U5889" s="475"/>
      <c r="V5889" s="475"/>
      <c r="W5889" s="475"/>
    </row>
    <row r="5890" spans="2:23" s="97" customFormat="1">
      <c r="B5890" s="96"/>
      <c r="H5890" s="96"/>
      <c r="J5890" s="1"/>
      <c r="K5890" s="1"/>
      <c r="L5890" s="1"/>
      <c r="O5890" s="475"/>
      <c r="P5890" s="475"/>
      <c r="Q5890" s="475"/>
      <c r="R5890" s="475"/>
      <c r="S5890" s="475"/>
      <c r="T5890" s="475"/>
      <c r="U5890" s="475"/>
      <c r="V5890" s="475"/>
      <c r="W5890" s="475"/>
    </row>
    <row r="5891" spans="2:23" s="97" customFormat="1">
      <c r="B5891" s="96"/>
      <c r="H5891" s="96"/>
      <c r="J5891" s="1"/>
      <c r="K5891" s="1"/>
      <c r="L5891" s="1"/>
      <c r="O5891" s="475"/>
      <c r="P5891" s="475"/>
      <c r="Q5891" s="475"/>
      <c r="R5891" s="475"/>
      <c r="S5891" s="475"/>
      <c r="T5891" s="475"/>
      <c r="U5891" s="475"/>
      <c r="V5891" s="475"/>
      <c r="W5891" s="475"/>
    </row>
    <row r="5892" spans="2:23" s="97" customFormat="1">
      <c r="B5892" s="96"/>
      <c r="H5892" s="96"/>
      <c r="J5892" s="1"/>
      <c r="K5892" s="1"/>
      <c r="L5892" s="1"/>
      <c r="O5892" s="475"/>
      <c r="P5892" s="475"/>
      <c r="Q5892" s="475"/>
      <c r="R5892" s="475"/>
      <c r="S5892" s="475"/>
      <c r="T5892" s="475"/>
      <c r="U5892" s="475"/>
      <c r="V5892" s="475"/>
      <c r="W5892" s="475"/>
    </row>
    <row r="5893" spans="2:23" s="97" customFormat="1">
      <c r="B5893" s="96"/>
      <c r="H5893" s="96"/>
      <c r="J5893" s="1"/>
      <c r="K5893" s="1"/>
      <c r="L5893" s="1"/>
      <c r="O5893" s="475"/>
      <c r="P5893" s="475"/>
      <c r="Q5893" s="475"/>
      <c r="R5893" s="475"/>
      <c r="S5893" s="475"/>
      <c r="T5893" s="475"/>
      <c r="U5893" s="475"/>
      <c r="V5893" s="475"/>
      <c r="W5893" s="475"/>
    </row>
    <row r="5894" spans="2:23" s="97" customFormat="1">
      <c r="B5894" s="96"/>
      <c r="H5894" s="96"/>
      <c r="J5894" s="1"/>
      <c r="K5894" s="1"/>
      <c r="L5894" s="1"/>
      <c r="O5894" s="475"/>
      <c r="P5894" s="475"/>
      <c r="Q5894" s="475"/>
      <c r="R5894" s="475"/>
      <c r="S5894" s="475"/>
      <c r="T5894" s="475"/>
      <c r="U5894" s="475"/>
      <c r="V5894" s="475"/>
      <c r="W5894" s="475"/>
    </row>
    <row r="5895" spans="2:23" s="97" customFormat="1">
      <c r="B5895" s="96"/>
      <c r="H5895" s="96"/>
      <c r="J5895" s="1"/>
      <c r="K5895" s="1"/>
      <c r="L5895" s="1"/>
      <c r="O5895" s="475"/>
      <c r="P5895" s="475"/>
      <c r="Q5895" s="475"/>
      <c r="R5895" s="475"/>
      <c r="S5895" s="475"/>
      <c r="T5895" s="475"/>
      <c r="U5895" s="475"/>
      <c r="V5895" s="475"/>
      <c r="W5895" s="475"/>
    </row>
    <row r="5896" spans="2:23" s="97" customFormat="1">
      <c r="B5896" s="96"/>
      <c r="H5896" s="96"/>
      <c r="J5896" s="1"/>
      <c r="K5896" s="1"/>
      <c r="L5896" s="1"/>
      <c r="O5896" s="475"/>
      <c r="P5896" s="475"/>
      <c r="Q5896" s="475"/>
      <c r="R5896" s="475"/>
      <c r="S5896" s="475"/>
      <c r="T5896" s="475"/>
      <c r="U5896" s="475"/>
      <c r="V5896" s="475"/>
      <c r="W5896" s="475"/>
    </row>
    <row r="5897" spans="2:23" s="97" customFormat="1">
      <c r="B5897" s="96"/>
      <c r="H5897" s="96"/>
      <c r="J5897" s="1"/>
      <c r="K5897" s="1"/>
      <c r="L5897" s="1"/>
      <c r="O5897" s="475"/>
      <c r="P5897" s="475"/>
      <c r="Q5897" s="475"/>
      <c r="R5897" s="475"/>
      <c r="S5897" s="475"/>
      <c r="T5897" s="475"/>
      <c r="U5897" s="475"/>
      <c r="V5897" s="475"/>
      <c r="W5897" s="475"/>
    </row>
    <row r="5898" spans="2:23" s="97" customFormat="1">
      <c r="B5898" s="96"/>
      <c r="H5898" s="96"/>
      <c r="J5898" s="1"/>
      <c r="K5898" s="1"/>
      <c r="L5898" s="1"/>
      <c r="O5898" s="475"/>
      <c r="P5898" s="475"/>
      <c r="Q5898" s="475"/>
      <c r="R5898" s="475"/>
      <c r="S5898" s="475"/>
      <c r="T5898" s="475"/>
      <c r="U5898" s="475"/>
      <c r="V5898" s="475"/>
      <c r="W5898" s="475"/>
    </row>
    <row r="5899" spans="2:23" s="97" customFormat="1">
      <c r="B5899" s="96"/>
      <c r="H5899" s="96"/>
      <c r="J5899" s="1"/>
      <c r="K5899" s="1"/>
      <c r="L5899" s="1"/>
      <c r="O5899" s="475"/>
      <c r="P5899" s="475"/>
      <c r="Q5899" s="475"/>
      <c r="R5899" s="475"/>
      <c r="S5899" s="475"/>
      <c r="T5899" s="475"/>
      <c r="U5899" s="475"/>
      <c r="V5899" s="475"/>
      <c r="W5899" s="475"/>
    </row>
    <row r="5900" spans="2:23" s="97" customFormat="1">
      <c r="B5900" s="96"/>
      <c r="H5900" s="96"/>
      <c r="J5900" s="1"/>
      <c r="K5900" s="1"/>
      <c r="L5900" s="1"/>
      <c r="O5900" s="475"/>
      <c r="P5900" s="475"/>
      <c r="Q5900" s="475"/>
      <c r="R5900" s="475"/>
      <c r="S5900" s="475"/>
      <c r="T5900" s="475"/>
      <c r="U5900" s="475"/>
      <c r="V5900" s="475"/>
      <c r="W5900" s="475"/>
    </row>
    <row r="5901" spans="2:23" s="97" customFormat="1">
      <c r="B5901" s="96"/>
      <c r="H5901" s="96"/>
      <c r="J5901" s="1"/>
      <c r="K5901" s="1"/>
      <c r="L5901" s="1"/>
      <c r="O5901" s="475"/>
      <c r="P5901" s="475"/>
      <c r="Q5901" s="475"/>
      <c r="R5901" s="475"/>
      <c r="S5901" s="475"/>
      <c r="T5901" s="475"/>
      <c r="U5901" s="475"/>
      <c r="V5901" s="475"/>
      <c r="W5901" s="475"/>
    </row>
    <row r="5902" spans="2:23" s="97" customFormat="1">
      <c r="B5902" s="96"/>
      <c r="H5902" s="96"/>
      <c r="J5902" s="1"/>
      <c r="K5902" s="1"/>
      <c r="L5902" s="1"/>
      <c r="O5902" s="475"/>
      <c r="P5902" s="475"/>
      <c r="Q5902" s="475"/>
      <c r="R5902" s="475"/>
      <c r="S5902" s="475"/>
      <c r="T5902" s="475"/>
      <c r="U5902" s="475"/>
      <c r="V5902" s="475"/>
      <c r="W5902" s="475"/>
    </row>
    <row r="5903" spans="2:23" s="97" customFormat="1">
      <c r="B5903" s="96"/>
      <c r="H5903" s="96"/>
      <c r="J5903" s="1"/>
      <c r="K5903" s="1"/>
      <c r="L5903" s="1"/>
      <c r="O5903" s="475"/>
      <c r="P5903" s="475"/>
      <c r="Q5903" s="475"/>
      <c r="R5903" s="475"/>
      <c r="S5903" s="475"/>
      <c r="T5903" s="475"/>
      <c r="U5903" s="475"/>
      <c r="V5903" s="475"/>
      <c r="W5903" s="475"/>
    </row>
    <row r="5904" spans="2:23" s="97" customFormat="1">
      <c r="B5904" s="96"/>
      <c r="H5904" s="96"/>
      <c r="J5904" s="1"/>
      <c r="K5904" s="1"/>
      <c r="L5904" s="1"/>
      <c r="O5904" s="475"/>
      <c r="P5904" s="475"/>
      <c r="Q5904" s="475"/>
      <c r="R5904" s="475"/>
      <c r="S5904" s="475"/>
      <c r="T5904" s="475"/>
      <c r="U5904" s="475"/>
      <c r="V5904" s="475"/>
      <c r="W5904" s="475"/>
    </row>
    <row r="5905" spans="2:23" s="97" customFormat="1">
      <c r="B5905" s="96"/>
      <c r="H5905" s="96"/>
      <c r="J5905" s="1"/>
      <c r="K5905" s="1"/>
      <c r="L5905" s="1"/>
      <c r="O5905" s="475"/>
      <c r="P5905" s="475"/>
      <c r="Q5905" s="475"/>
      <c r="R5905" s="475"/>
      <c r="S5905" s="475"/>
      <c r="T5905" s="475"/>
      <c r="U5905" s="475"/>
      <c r="V5905" s="475"/>
      <c r="W5905" s="475"/>
    </row>
    <row r="5906" spans="2:23" s="97" customFormat="1">
      <c r="B5906" s="96"/>
      <c r="H5906" s="96"/>
      <c r="J5906" s="1"/>
      <c r="K5906" s="1"/>
      <c r="L5906" s="1"/>
      <c r="O5906" s="475"/>
      <c r="P5906" s="475"/>
      <c r="Q5906" s="475"/>
      <c r="R5906" s="475"/>
      <c r="S5906" s="475"/>
      <c r="T5906" s="475"/>
      <c r="U5906" s="475"/>
      <c r="V5906" s="475"/>
      <c r="W5906" s="475"/>
    </row>
    <row r="5907" spans="2:23" s="97" customFormat="1">
      <c r="B5907" s="96"/>
      <c r="H5907" s="96"/>
      <c r="J5907" s="1"/>
      <c r="K5907" s="1"/>
      <c r="L5907" s="1"/>
      <c r="O5907" s="475"/>
      <c r="P5907" s="475"/>
      <c r="Q5907" s="475"/>
      <c r="R5907" s="475"/>
      <c r="S5907" s="475"/>
      <c r="T5907" s="475"/>
      <c r="U5907" s="475"/>
      <c r="V5907" s="475"/>
      <c r="W5907" s="475"/>
    </row>
    <row r="5908" spans="2:23" s="97" customFormat="1">
      <c r="B5908" s="96"/>
      <c r="H5908" s="96"/>
      <c r="J5908" s="1"/>
      <c r="K5908" s="1"/>
      <c r="L5908" s="1"/>
      <c r="O5908" s="475"/>
      <c r="P5908" s="475"/>
      <c r="Q5908" s="475"/>
      <c r="R5908" s="475"/>
      <c r="S5908" s="475"/>
      <c r="T5908" s="475"/>
      <c r="U5908" s="475"/>
      <c r="V5908" s="475"/>
      <c r="W5908" s="475"/>
    </row>
    <row r="5909" spans="2:23" s="97" customFormat="1">
      <c r="B5909" s="96"/>
      <c r="H5909" s="96"/>
      <c r="J5909" s="1"/>
      <c r="K5909" s="1"/>
      <c r="L5909" s="1"/>
      <c r="O5909" s="475"/>
      <c r="P5909" s="475"/>
      <c r="Q5909" s="475"/>
      <c r="R5909" s="475"/>
      <c r="S5909" s="475"/>
      <c r="T5909" s="475"/>
      <c r="U5909" s="475"/>
      <c r="V5909" s="475"/>
      <c r="W5909" s="475"/>
    </row>
    <row r="5910" spans="2:23" s="97" customFormat="1">
      <c r="B5910" s="96"/>
      <c r="H5910" s="96"/>
      <c r="J5910" s="1"/>
      <c r="K5910" s="1"/>
      <c r="L5910" s="1"/>
      <c r="O5910" s="475"/>
      <c r="P5910" s="475"/>
      <c r="Q5910" s="475"/>
      <c r="R5910" s="475"/>
      <c r="S5910" s="475"/>
      <c r="T5910" s="475"/>
      <c r="U5910" s="475"/>
      <c r="V5910" s="475"/>
      <c r="W5910" s="475"/>
    </row>
    <row r="5911" spans="2:23" s="97" customFormat="1">
      <c r="B5911" s="96"/>
      <c r="H5911" s="96"/>
      <c r="J5911" s="1"/>
      <c r="K5911" s="1"/>
      <c r="L5911" s="1"/>
      <c r="O5911" s="475"/>
      <c r="P5911" s="475"/>
      <c r="Q5911" s="475"/>
      <c r="R5911" s="475"/>
      <c r="S5911" s="475"/>
      <c r="T5911" s="475"/>
      <c r="U5911" s="475"/>
      <c r="V5911" s="475"/>
      <c r="W5911" s="475"/>
    </row>
    <row r="5912" spans="2:23" s="97" customFormat="1">
      <c r="B5912" s="96"/>
      <c r="H5912" s="96"/>
      <c r="J5912" s="1"/>
      <c r="K5912" s="1"/>
      <c r="L5912" s="1"/>
      <c r="O5912" s="475"/>
      <c r="P5912" s="475"/>
      <c r="Q5912" s="475"/>
      <c r="R5912" s="475"/>
      <c r="S5912" s="475"/>
      <c r="T5912" s="475"/>
      <c r="U5912" s="475"/>
      <c r="V5912" s="475"/>
      <c r="W5912" s="475"/>
    </row>
    <row r="5913" spans="2:23" s="97" customFormat="1">
      <c r="B5913" s="96"/>
      <c r="H5913" s="96"/>
      <c r="J5913" s="1"/>
      <c r="K5913" s="1"/>
      <c r="L5913" s="1"/>
      <c r="O5913" s="475"/>
      <c r="P5913" s="475"/>
      <c r="Q5913" s="475"/>
      <c r="R5913" s="475"/>
      <c r="S5913" s="475"/>
      <c r="T5913" s="475"/>
      <c r="U5913" s="475"/>
      <c r="V5913" s="475"/>
      <c r="W5913" s="475"/>
    </row>
    <row r="5914" spans="2:23" s="97" customFormat="1">
      <c r="B5914" s="96"/>
      <c r="H5914" s="96"/>
      <c r="J5914" s="1"/>
      <c r="K5914" s="1"/>
      <c r="L5914" s="1"/>
      <c r="O5914" s="475"/>
      <c r="P5914" s="475"/>
      <c r="Q5914" s="475"/>
      <c r="R5914" s="475"/>
      <c r="S5914" s="475"/>
      <c r="T5914" s="475"/>
      <c r="U5914" s="475"/>
      <c r="V5914" s="475"/>
      <c r="W5914" s="475"/>
    </row>
    <row r="5915" spans="2:23" s="97" customFormat="1">
      <c r="B5915" s="96"/>
      <c r="H5915" s="96"/>
      <c r="J5915" s="1"/>
      <c r="K5915" s="1"/>
      <c r="L5915" s="1"/>
      <c r="O5915" s="475"/>
      <c r="P5915" s="475"/>
      <c r="Q5915" s="475"/>
      <c r="R5915" s="475"/>
      <c r="S5915" s="475"/>
      <c r="T5915" s="475"/>
      <c r="U5915" s="475"/>
      <c r="V5915" s="475"/>
      <c r="W5915" s="475"/>
    </row>
    <row r="5916" spans="2:23" s="97" customFormat="1">
      <c r="B5916" s="96"/>
      <c r="H5916" s="96"/>
      <c r="J5916" s="1"/>
      <c r="K5916" s="1"/>
      <c r="L5916" s="1"/>
      <c r="O5916" s="475"/>
      <c r="P5916" s="475"/>
      <c r="Q5916" s="475"/>
      <c r="R5916" s="475"/>
      <c r="S5916" s="475"/>
      <c r="T5916" s="475"/>
      <c r="U5916" s="475"/>
      <c r="V5916" s="475"/>
      <c r="W5916" s="475"/>
    </row>
    <row r="5917" spans="2:23" s="97" customFormat="1">
      <c r="B5917" s="96"/>
      <c r="H5917" s="96"/>
      <c r="J5917" s="1"/>
      <c r="K5917" s="1"/>
      <c r="L5917" s="1"/>
      <c r="O5917" s="475"/>
      <c r="P5917" s="475"/>
      <c r="Q5917" s="475"/>
      <c r="R5917" s="475"/>
      <c r="S5917" s="475"/>
      <c r="T5917" s="475"/>
      <c r="U5917" s="475"/>
      <c r="V5917" s="475"/>
      <c r="W5917" s="475"/>
    </row>
    <row r="5918" spans="2:23" s="97" customFormat="1">
      <c r="B5918" s="96"/>
      <c r="H5918" s="96"/>
      <c r="J5918" s="1"/>
      <c r="K5918" s="1"/>
      <c r="L5918" s="1"/>
      <c r="O5918" s="475"/>
      <c r="P5918" s="475"/>
      <c r="Q5918" s="475"/>
      <c r="R5918" s="475"/>
      <c r="S5918" s="475"/>
      <c r="T5918" s="475"/>
      <c r="U5918" s="475"/>
      <c r="V5918" s="475"/>
      <c r="W5918" s="475"/>
    </row>
    <row r="5919" spans="2:23" s="97" customFormat="1">
      <c r="B5919" s="96"/>
      <c r="H5919" s="96"/>
      <c r="J5919" s="1"/>
      <c r="K5919" s="1"/>
      <c r="L5919" s="1"/>
      <c r="O5919" s="475"/>
      <c r="P5919" s="475"/>
      <c r="Q5919" s="475"/>
      <c r="R5919" s="475"/>
      <c r="S5919" s="475"/>
      <c r="T5919" s="475"/>
      <c r="U5919" s="475"/>
      <c r="V5919" s="475"/>
      <c r="W5919" s="475"/>
    </row>
    <row r="5920" spans="2:23" s="97" customFormat="1">
      <c r="B5920" s="96"/>
      <c r="H5920" s="96"/>
      <c r="J5920" s="1"/>
      <c r="K5920" s="1"/>
      <c r="L5920" s="1"/>
      <c r="O5920" s="475"/>
      <c r="P5920" s="475"/>
      <c r="Q5920" s="475"/>
      <c r="R5920" s="475"/>
      <c r="S5920" s="475"/>
      <c r="T5920" s="475"/>
      <c r="U5920" s="475"/>
      <c r="V5920" s="475"/>
      <c r="W5920" s="475"/>
    </row>
    <row r="5921" spans="2:23" s="97" customFormat="1">
      <c r="B5921" s="96"/>
      <c r="H5921" s="96"/>
      <c r="J5921" s="1"/>
      <c r="K5921" s="1"/>
      <c r="L5921" s="1"/>
      <c r="O5921" s="475"/>
      <c r="P5921" s="475"/>
      <c r="Q5921" s="475"/>
      <c r="R5921" s="475"/>
      <c r="S5921" s="475"/>
      <c r="T5921" s="475"/>
      <c r="U5921" s="475"/>
      <c r="V5921" s="475"/>
      <c r="W5921" s="475"/>
    </row>
    <row r="5922" spans="2:23" s="97" customFormat="1">
      <c r="B5922" s="96"/>
      <c r="H5922" s="96"/>
      <c r="J5922" s="1"/>
      <c r="K5922" s="1"/>
      <c r="L5922" s="1"/>
      <c r="O5922" s="475"/>
      <c r="P5922" s="475"/>
      <c r="Q5922" s="475"/>
      <c r="R5922" s="475"/>
      <c r="S5922" s="475"/>
      <c r="T5922" s="475"/>
      <c r="U5922" s="475"/>
      <c r="V5922" s="475"/>
      <c r="W5922" s="475"/>
    </row>
    <row r="5923" spans="2:23" s="97" customFormat="1">
      <c r="B5923" s="96"/>
      <c r="H5923" s="96"/>
      <c r="J5923" s="1"/>
      <c r="K5923" s="1"/>
      <c r="L5923" s="1"/>
      <c r="O5923" s="475"/>
      <c r="P5923" s="475"/>
      <c r="Q5923" s="475"/>
      <c r="R5923" s="475"/>
      <c r="S5923" s="475"/>
      <c r="T5923" s="475"/>
      <c r="U5923" s="475"/>
      <c r="V5923" s="475"/>
      <c r="W5923" s="475"/>
    </row>
    <row r="5924" spans="2:23" s="97" customFormat="1">
      <c r="B5924" s="96"/>
      <c r="H5924" s="96"/>
      <c r="J5924" s="1"/>
      <c r="K5924" s="1"/>
      <c r="L5924" s="1"/>
      <c r="O5924" s="475"/>
      <c r="P5924" s="475"/>
      <c r="Q5924" s="475"/>
      <c r="R5924" s="475"/>
      <c r="S5924" s="475"/>
      <c r="T5924" s="475"/>
      <c r="U5924" s="475"/>
      <c r="V5924" s="475"/>
      <c r="W5924" s="475"/>
    </row>
    <row r="5925" spans="2:23" s="97" customFormat="1">
      <c r="B5925" s="96"/>
      <c r="H5925" s="96"/>
      <c r="J5925" s="1"/>
      <c r="K5925" s="1"/>
      <c r="L5925" s="1"/>
      <c r="O5925" s="475"/>
      <c r="P5925" s="475"/>
      <c r="Q5925" s="475"/>
      <c r="R5925" s="475"/>
      <c r="S5925" s="475"/>
      <c r="T5925" s="475"/>
      <c r="U5925" s="475"/>
      <c r="V5925" s="475"/>
      <c r="W5925" s="475"/>
    </row>
    <row r="5926" spans="2:23" s="97" customFormat="1">
      <c r="B5926" s="96"/>
      <c r="H5926" s="96"/>
      <c r="J5926" s="1"/>
      <c r="K5926" s="1"/>
      <c r="L5926" s="1"/>
      <c r="O5926" s="475"/>
      <c r="P5926" s="475"/>
      <c r="Q5926" s="475"/>
      <c r="R5926" s="475"/>
      <c r="S5926" s="475"/>
      <c r="T5926" s="475"/>
      <c r="U5926" s="475"/>
      <c r="V5926" s="475"/>
      <c r="W5926" s="475"/>
    </row>
    <row r="5927" spans="2:23" s="97" customFormat="1">
      <c r="B5927" s="96"/>
      <c r="H5927" s="96"/>
      <c r="J5927" s="1"/>
      <c r="K5927" s="1"/>
      <c r="L5927" s="1"/>
      <c r="O5927" s="475"/>
      <c r="P5927" s="475"/>
      <c r="Q5927" s="475"/>
      <c r="R5927" s="475"/>
      <c r="S5927" s="475"/>
      <c r="T5927" s="475"/>
      <c r="U5927" s="475"/>
      <c r="V5927" s="475"/>
      <c r="W5927" s="475"/>
    </row>
    <row r="5928" spans="2:23" s="97" customFormat="1">
      <c r="B5928" s="96"/>
      <c r="H5928" s="96"/>
      <c r="J5928" s="1"/>
      <c r="K5928" s="1"/>
      <c r="L5928" s="1"/>
      <c r="O5928" s="475"/>
      <c r="P5928" s="475"/>
      <c r="Q5928" s="475"/>
      <c r="R5928" s="475"/>
      <c r="S5928" s="475"/>
      <c r="T5928" s="475"/>
      <c r="U5928" s="475"/>
      <c r="V5928" s="475"/>
      <c r="W5928" s="475"/>
    </row>
    <row r="5929" spans="2:23" s="97" customFormat="1">
      <c r="B5929" s="96"/>
      <c r="H5929" s="96"/>
      <c r="J5929" s="1"/>
      <c r="K5929" s="1"/>
      <c r="L5929" s="1"/>
      <c r="O5929" s="475"/>
      <c r="P5929" s="475"/>
      <c r="Q5929" s="475"/>
      <c r="R5929" s="475"/>
      <c r="S5929" s="475"/>
      <c r="T5929" s="475"/>
      <c r="U5929" s="475"/>
      <c r="V5929" s="475"/>
      <c r="W5929" s="475"/>
    </row>
    <row r="5930" spans="2:23" s="97" customFormat="1">
      <c r="B5930" s="96"/>
      <c r="H5930" s="96"/>
      <c r="J5930" s="1"/>
      <c r="K5930" s="1"/>
      <c r="L5930" s="1"/>
      <c r="O5930" s="475"/>
      <c r="P5930" s="475"/>
      <c r="Q5930" s="475"/>
      <c r="R5930" s="475"/>
      <c r="S5930" s="475"/>
      <c r="T5930" s="475"/>
      <c r="U5930" s="475"/>
      <c r="V5930" s="475"/>
      <c r="W5930" s="475"/>
    </row>
    <row r="5931" spans="2:23" s="97" customFormat="1">
      <c r="B5931" s="96"/>
      <c r="H5931" s="96"/>
      <c r="J5931" s="1"/>
      <c r="K5931" s="1"/>
      <c r="L5931" s="1"/>
      <c r="O5931" s="475"/>
      <c r="P5931" s="475"/>
      <c r="Q5931" s="475"/>
      <c r="R5931" s="475"/>
      <c r="S5931" s="475"/>
      <c r="T5931" s="475"/>
      <c r="U5931" s="475"/>
      <c r="V5931" s="475"/>
      <c r="W5931" s="475"/>
    </row>
    <row r="5932" spans="2:23" s="97" customFormat="1">
      <c r="B5932" s="96"/>
      <c r="H5932" s="96"/>
      <c r="J5932" s="1"/>
      <c r="K5932" s="1"/>
      <c r="L5932" s="1"/>
      <c r="O5932" s="475"/>
      <c r="P5932" s="475"/>
      <c r="Q5932" s="475"/>
      <c r="R5932" s="475"/>
      <c r="S5932" s="475"/>
      <c r="T5932" s="475"/>
      <c r="U5932" s="475"/>
      <c r="V5932" s="475"/>
      <c r="W5932" s="475"/>
    </row>
    <row r="5933" spans="2:23" s="97" customFormat="1">
      <c r="B5933" s="96"/>
      <c r="H5933" s="96"/>
      <c r="J5933" s="1"/>
      <c r="K5933" s="1"/>
      <c r="L5933" s="1"/>
      <c r="O5933" s="475"/>
      <c r="P5933" s="475"/>
      <c r="Q5933" s="475"/>
      <c r="R5933" s="475"/>
      <c r="S5933" s="475"/>
      <c r="T5933" s="475"/>
      <c r="U5933" s="475"/>
      <c r="V5933" s="475"/>
      <c r="W5933" s="475"/>
    </row>
    <row r="5934" spans="2:23" s="97" customFormat="1">
      <c r="B5934" s="96"/>
      <c r="H5934" s="96"/>
      <c r="J5934" s="1"/>
      <c r="K5934" s="1"/>
      <c r="L5934" s="1"/>
      <c r="O5934" s="475"/>
      <c r="P5934" s="475"/>
      <c r="Q5934" s="475"/>
      <c r="R5934" s="475"/>
      <c r="S5934" s="475"/>
      <c r="T5934" s="475"/>
      <c r="U5934" s="475"/>
      <c r="V5934" s="475"/>
      <c r="W5934" s="475"/>
    </row>
    <row r="5935" spans="2:23" s="97" customFormat="1">
      <c r="B5935" s="96"/>
      <c r="H5935" s="96"/>
      <c r="J5935" s="1"/>
      <c r="K5935" s="1"/>
      <c r="L5935" s="1"/>
      <c r="O5935" s="475"/>
      <c r="P5935" s="475"/>
      <c r="Q5935" s="475"/>
      <c r="R5935" s="475"/>
      <c r="S5935" s="475"/>
      <c r="T5935" s="475"/>
      <c r="U5935" s="475"/>
      <c r="V5935" s="475"/>
      <c r="W5935" s="475"/>
    </row>
    <row r="5936" spans="2:23" s="97" customFormat="1">
      <c r="B5936" s="96"/>
      <c r="H5936" s="96"/>
      <c r="J5936" s="1"/>
      <c r="K5936" s="1"/>
      <c r="L5936" s="1"/>
      <c r="O5936" s="475"/>
      <c r="P5936" s="475"/>
      <c r="Q5936" s="475"/>
      <c r="R5936" s="475"/>
      <c r="S5936" s="475"/>
      <c r="T5936" s="475"/>
      <c r="U5936" s="475"/>
      <c r="V5936" s="475"/>
      <c r="W5936" s="475"/>
    </row>
    <row r="5937" spans="2:23" s="97" customFormat="1">
      <c r="B5937" s="96"/>
      <c r="H5937" s="96"/>
      <c r="J5937" s="1"/>
      <c r="K5937" s="1"/>
      <c r="L5937" s="1"/>
      <c r="O5937" s="475"/>
      <c r="P5937" s="475"/>
      <c r="Q5937" s="475"/>
      <c r="R5937" s="475"/>
      <c r="S5937" s="475"/>
      <c r="T5937" s="475"/>
      <c r="U5937" s="475"/>
      <c r="V5937" s="475"/>
      <c r="W5937" s="475"/>
    </row>
    <row r="5938" spans="2:23" s="97" customFormat="1">
      <c r="B5938" s="96"/>
      <c r="H5938" s="96"/>
      <c r="J5938" s="1"/>
      <c r="K5938" s="1"/>
      <c r="L5938" s="1"/>
      <c r="O5938" s="475"/>
      <c r="P5938" s="475"/>
      <c r="Q5938" s="475"/>
      <c r="R5938" s="475"/>
      <c r="S5938" s="475"/>
      <c r="T5938" s="475"/>
      <c r="U5938" s="475"/>
      <c r="V5938" s="475"/>
      <c r="W5938" s="475"/>
    </row>
    <row r="5939" spans="2:23" s="97" customFormat="1">
      <c r="B5939" s="96"/>
      <c r="H5939" s="96"/>
      <c r="J5939" s="1"/>
      <c r="K5939" s="1"/>
      <c r="L5939" s="1"/>
      <c r="O5939" s="475"/>
      <c r="P5939" s="475"/>
      <c r="Q5939" s="475"/>
      <c r="R5939" s="475"/>
      <c r="S5939" s="475"/>
      <c r="T5939" s="475"/>
      <c r="U5939" s="475"/>
      <c r="V5939" s="475"/>
      <c r="W5939" s="475"/>
    </row>
    <row r="5940" spans="2:23" s="97" customFormat="1">
      <c r="B5940" s="96"/>
      <c r="H5940" s="96"/>
      <c r="J5940" s="1"/>
      <c r="K5940" s="1"/>
      <c r="L5940" s="1"/>
      <c r="O5940" s="475"/>
      <c r="P5940" s="475"/>
      <c r="Q5940" s="475"/>
      <c r="R5940" s="475"/>
      <c r="S5940" s="475"/>
      <c r="T5940" s="475"/>
      <c r="U5940" s="475"/>
      <c r="V5940" s="475"/>
      <c r="W5940" s="475"/>
    </row>
    <row r="5941" spans="2:23" s="97" customFormat="1">
      <c r="B5941" s="96"/>
      <c r="H5941" s="96"/>
      <c r="J5941" s="1"/>
      <c r="K5941" s="1"/>
      <c r="L5941" s="1"/>
      <c r="O5941" s="475"/>
      <c r="P5941" s="475"/>
      <c r="Q5941" s="475"/>
      <c r="R5941" s="475"/>
      <c r="S5941" s="475"/>
      <c r="T5941" s="475"/>
      <c r="U5941" s="475"/>
      <c r="V5941" s="475"/>
      <c r="W5941" s="475"/>
    </row>
    <row r="5942" spans="2:23" s="97" customFormat="1">
      <c r="B5942" s="96"/>
      <c r="H5942" s="96"/>
      <c r="J5942" s="1"/>
      <c r="K5942" s="1"/>
      <c r="L5942" s="1"/>
      <c r="O5942" s="475"/>
      <c r="P5942" s="475"/>
      <c r="Q5942" s="475"/>
      <c r="R5942" s="475"/>
      <c r="S5942" s="475"/>
      <c r="T5942" s="475"/>
      <c r="U5942" s="475"/>
      <c r="V5942" s="475"/>
      <c r="W5942" s="475"/>
    </row>
    <row r="5943" spans="2:23" s="97" customFormat="1">
      <c r="B5943" s="96"/>
      <c r="H5943" s="96"/>
      <c r="J5943" s="1"/>
      <c r="K5943" s="1"/>
      <c r="L5943" s="1"/>
      <c r="O5943" s="475"/>
      <c r="P5943" s="475"/>
      <c r="Q5943" s="475"/>
      <c r="R5943" s="475"/>
      <c r="S5943" s="475"/>
      <c r="T5943" s="475"/>
      <c r="U5943" s="475"/>
      <c r="V5943" s="475"/>
      <c r="W5943" s="475"/>
    </row>
    <row r="5944" spans="2:23" s="97" customFormat="1">
      <c r="B5944" s="96"/>
      <c r="H5944" s="96"/>
      <c r="J5944" s="1"/>
      <c r="K5944" s="1"/>
      <c r="L5944" s="1"/>
      <c r="O5944" s="475"/>
      <c r="P5944" s="475"/>
      <c r="Q5944" s="475"/>
      <c r="R5944" s="475"/>
      <c r="S5944" s="475"/>
      <c r="T5944" s="475"/>
      <c r="U5944" s="475"/>
      <c r="V5944" s="475"/>
      <c r="W5944" s="475"/>
    </row>
    <row r="5945" spans="2:23" s="97" customFormat="1">
      <c r="B5945" s="96"/>
      <c r="H5945" s="96"/>
      <c r="J5945" s="1"/>
      <c r="K5945" s="1"/>
      <c r="L5945" s="1"/>
      <c r="O5945" s="475"/>
      <c r="P5945" s="475"/>
      <c r="Q5945" s="475"/>
      <c r="R5945" s="475"/>
      <c r="S5945" s="475"/>
      <c r="T5945" s="475"/>
      <c r="U5945" s="475"/>
      <c r="V5945" s="475"/>
      <c r="W5945" s="475"/>
    </row>
    <row r="5946" spans="2:23" s="97" customFormat="1">
      <c r="B5946" s="96"/>
      <c r="H5946" s="96"/>
      <c r="J5946" s="1"/>
      <c r="K5946" s="1"/>
      <c r="L5946" s="1"/>
      <c r="O5946" s="475"/>
      <c r="P5946" s="475"/>
      <c r="Q5946" s="475"/>
      <c r="R5946" s="475"/>
      <c r="S5946" s="475"/>
      <c r="T5946" s="475"/>
      <c r="U5946" s="475"/>
      <c r="V5946" s="475"/>
      <c r="W5946" s="475"/>
    </row>
    <row r="5947" spans="2:23" s="97" customFormat="1">
      <c r="B5947" s="96"/>
      <c r="H5947" s="96"/>
      <c r="J5947" s="1"/>
      <c r="K5947" s="1"/>
      <c r="L5947" s="1"/>
      <c r="O5947" s="475"/>
      <c r="P5947" s="475"/>
      <c r="Q5947" s="475"/>
      <c r="R5947" s="475"/>
      <c r="S5947" s="475"/>
      <c r="T5947" s="475"/>
      <c r="U5947" s="475"/>
      <c r="V5947" s="475"/>
      <c r="W5947" s="475"/>
    </row>
    <row r="5948" spans="2:23" s="97" customFormat="1">
      <c r="B5948" s="96"/>
      <c r="H5948" s="96"/>
      <c r="J5948" s="1"/>
      <c r="K5948" s="1"/>
      <c r="L5948" s="1"/>
      <c r="O5948" s="475"/>
      <c r="P5948" s="475"/>
      <c r="Q5948" s="475"/>
      <c r="R5948" s="475"/>
      <c r="S5948" s="475"/>
      <c r="T5948" s="475"/>
      <c r="U5948" s="475"/>
      <c r="V5948" s="475"/>
      <c r="W5948" s="475"/>
    </row>
    <row r="5949" spans="2:23" s="97" customFormat="1">
      <c r="B5949" s="96"/>
      <c r="H5949" s="96"/>
      <c r="J5949" s="1"/>
      <c r="K5949" s="1"/>
      <c r="L5949" s="1"/>
      <c r="O5949" s="475"/>
      <c r="P5949" s="475"/>
      <c r="Q5949" s="475"/>
      <c r="R5949" s="475"/>
      <c r="S5949" s="475"/>
      <c r="T5949" s="475"/>
      <c r="U5949" s="475"/>
      <c r="V5949" s="475"/>
      <c r="W5949" s="475"/>
    </row>
    <row r="5950" spans="2:23" s="97" customFormat="1">
      <c r="B5950" s="96"/>
      <c r="H5950" s="96"/>
      <c r="J5950" s="1"/>
      <c r="K5950" s="1"/>
      <c r="L5950" s="1"/>
      <c r="O5950" s="475"/>
      <c r="P5950" s="475"/>
      <c r="Q5950" s="475"/>
      <c r="R5950" s="475"/>
      <c r="S5950" s="475"/>
      <c r="T5950" s="475"/>
      <c r="U5950" s="475"/>
      <c r="V5950" s="475"/>
      <c r="W5950" s="475"/>
    </row>
    <row r="5951" spans="2:23" s="97" customFormat="1">
      <c r="B5951" s="96"/>
      <c r="H5951" s="96"/>
      <c r="J5951" s="1"/>
      <c r="K5951" s="1"/>
      <c r="L5951" s="1"/>
      <c r="O5951" s="475"/>
      <c r="P5951" s="475"/>
      <c r="Q5951" s="475"/>
      <c r="R5951" s="475"/>
      <c r="S5951" s="475"/>
      <c r="T5951" s="475"/>
      <c r="U5951" s="475"/>
      <c r="V5951" s="475"/>
      <c r="W5951" s="475"/>
    </row>
    <row r="5952" spans="2:23" s="97" customFormat="1">
      <c r="B5952" s="96"/>
      <c r="H5952" s="96"/>
      <c r="J5952" s="1"/>
      <c r="K5952" s="1"/>
      <c r="L5952" s="1"/>
      <c r="O5952" s="475"/>
      <c r="P5952" s="475"/>
      <c r="Q5952" s="475"/>
      <c r="R5952" s="475"/>
      <c r="S5952" s="475"/>
      <c r="T5952" s="475"/>
      <c r="U5952" s="475"/>
      <c r="V5952" s="475"/>
      <c r="W5952" s="475"/>
    </row>
    <row r="5953" spans="2:23" s="97" customFormat="1">
      <c r="B5953" s="96"/>
      <c r="H5953" s="96"/>
      <c r="J5953" s="1"/>
      <c r="K5953" s="1"/>
      <c r="L5953" s="1"/>
      <c r="O5953" s="475"/>
      <c r="P5953" s="475"/>
      <c r="Q5953" s="475"/>
      <c r="R5953" s="475"/>
      <c r="S5953" s="475"/>
      <c r="T5953" s="475"/>
      <c r="U5953" s="475"/>
      <c r="V5953" s="475"/>
      <c r="W5953" s="475"/>
    </row>
    <row r="5954" spans="2:23" s="97" customFormat="1">
      <c r="B5954" s="96"/>
      <c r="H5954" s="96"/>
      <c r="J5954" s="1"/>
      <c r="K5954" s="1"/>
      <c r="L5954" s="1"/>
      <c r="O5954" s="475"/>
      <c r="P5954" s="475"/>
      <c r="Q5954" s="475"/>
      <c r="R5954" s="475"/>
      <c r="S5954" s="475"/>
      <c r="T5954" s="475"/>
      <c r="U5954" s="475"/>
      <c r="V5954" s="475"/>
      <c r="W5954" s="475"/>
    </row>
    <row r="5955" spans="2:23" s="97" customFormat="1">
      <c r="B5955" s="96"/>
      <c r="H5955" s="96"/>
      <c r="J5955" s="1"/>
      <c r="K5955" s="1"/>
      <c r="L5955" s="1"/>
      <c r="O5955" s="475"/>
      <c r="P5955" s="475"/>
      <c r="Q5955" s="475"/>
      <c r="R5955" s="475"/>
      <c r="S5955" s="475"/>
      <c r="T5955" s="475"/>
      <c r="U5955" s="475"/>
      <c r="V5955" s="475"/>
      <c r="W5955" s="475"/>
    </row>
    <row r="5956" spans="2:23" s="97" customFormat="1">
      <c r="B5956" s="96"/>
      <c r="H5956" s="96"/>
      <c r="J5956" s="1"/>
      <c r="K5956" s="1"/>
      <c r="L5956" s="1"/>
      <c r="O5956" s="475"/>
      <c r="P5956" s="475"/>
      <c r="Q5956" s="475"/>
      <c r="R5956" s="475"/>
      <c r="S5956" s="475"/>
      <c r="T5956" s="475"/>
      <c r="U5956" s="475"/>
      <c r="V5956" s="475"/>
      <c r="W5956" s="475"/>
    </row>
    <row r="5957" spans="2:23" s="97" customFormat="1">
      <c r="B5957" s="96"/>
      <c r="H5957" s="96"/>
      <c r="J5957" s="1"/>
      <c r="K5957" s="1"/>
      <c r="L5957" s="1"/>
      <c r="O5957" s="475"/>
      <c r="P5957" s="475"/>
      <c r="Q5957" s="475"/>
      <c r="R5957" s="475"/>
      <c r="S5957" s="475"/>
      <c r="T5957" s="475"/>
      <c r="U5957" s="475"/>
      <c r="V5957" s="475"/>
      <c r="W5957" s="475"/>
    </row>
    <row r="5958" spans="2:23" s="97" customFormat="1">
      <c r="B5958" s="96"/>
      <c r="H5958" s="96"/>
      <c r="J5958" s="1"/>
      <c r="K5958" s="1"/>
      <c r="L5958" s="1"/>
      <c r="O5958" s="475"/>
      <c r="P5958" s="475"/>
      <c r="Q5958" s="475"/>
      <c r="R5958" s="475"/>
      <c r="S5958" s="475"/>
      <c r="T5958" s="475"/>
      <c r="U5958" s="475"/>
      <c r="V5958" s="475"/>
      <c r="W5958" s="475"/>
    </row>
    <row r="5959" spans="2:23" s="97" customFormat="1">
      <c r="B5959" s="96"/>
      <c r="H5959" s="96"/>
      <c r="J5959" s="1"/>
      <c r="K5959" s="1"/>
      <c r="L5959" s="1"/>
      <c r="O5959" s="475"/>
      <c r="P5959" s="475"/>
      <c r="Q5959" s="475"/>
      <c r="R5959" s="475"/>
      <c r="S5959" s="475"/>
      <c r="T5959" s="475"/>
      <c r="U5959" s="475"/>
      <c r="V5959" s="475"/>
      <c r="W5959" s="475"/>
    </row>
    <row r="5960" spans="2:23" s="97" customFormat="1">
      <c r="B5960" s="96"/>
      <c r="H5960" s="96"/>
      <c r="J5960" s="1"/>
      <c r="K5960" s="1"/>
      <c r="L5960" s="1"/>
      <c r="O5960" s="475"/>
      <c r="P5960" s="475"/>
      <c r="Q5960" s="475"/>
      <c r="R5960" s="475"/>
      <c r="S5960" s="475"/>
      <c r="T5960" s="475"/>
      <c r="U5960" s="475"/>
      <c r="V5960" s="475"/>
      <c r="W5960" s="475"/>
    </row>
    <row r="5961" spans="2:23" s="97" customFormat="1">
      <c r="B5961" s="96"/>
      <c r="H5961" s="96"/>
      <c r="J5961" s="1"/>
      <c r="K5961" s="1"/>
      <c r="L5961" s="1"/>
      <c r="O5961" s="475"/>
      <c r="P5961" s="475"/>
      <c r="Q5961" s="475"/>
      <c r="R5961" s="475"/>
      <c r="S5961" s="475"/>
      <c r="T5961" s="475"/>
      <c r="U5961" s="475"/>
      <c r="V5961" s="475"/>
      <c r="W5961" s="475"/>
    </row>
    <row r="5962" spans="2:23" s="97" customFormat="1">
      <c r="B5962" s="96"/>
      <c r="H5962" s="96"/>
      <c r="J5962" s="1"/>
      <c r="K5962" s="1"/>
      <c r="L5962" s="1"/>
      <c r="O5962" s="475"/>
      <c r="P5962" s="475"/>
      <c r="Q5962" s="475"/>
      <c r="R5962" s="475"/>
      <c r="S5962" s="475"/>
      <c r="T5962" s="475"/>
      <c r="U5962" s="475"/>
      <c r="V5962" s="475"/>
      <c r="W5962" s="475"/>
    </row>
    <row r="5963" spans="2:23" s="97" customFormat="1">
      <c r="B5963" s="96"/>
      <c r="H5963" s="96"/>
      <c r="J5963" s="1"/>
      <c r="K5963" s="1"/>
      <c r="L5963" s="1"/>
      <c r="O5963" s="475"/>
      <c r="P5963" s="475"/>
      <c r="Q5963" s="475"/>
      <c r="R5963" s="475"/>
      <c r="S5963" s="475"/>
      <c r="T5963" s="475"/>
      <c r="U5963" s="475"/>
      <c r="V5963" s="475"/>
      <c r="W5963" s="475"/>
    </row>
    <row r="5964" spans="2:23" s="97" customFormat="1">
      <c r="B5964" s="96"/>
      <c r="H5964" s="96"/>
      <c r="J5964" s="1"/>
      <c r="K5964" s="1"/>
      <c r="L5964" s="1"/>
      <c r="O5964" s="475"/>
      <c r="P5964" s="475"/>
      <c r="Q5964" s="475"/>
      <c r="R5964" s="475"/>
      <c r="S5964" s="475"/>
      <c r="T5964" s="475"/>
      <c r="U5964" s="475"/>
      <c r="V5964" s="475"/>
      <c r="W5964" s="475"/>
    </row>
    <row r="5965" spans="2:23" s="97" customFormat="1">
      <c r="B5965" s="96"/>
      <c r="H5965" s="96"/>
      <c r="J5965" s="1"/>
      <c r="K5965" s="1"/>
      <c r="L5965" s="1"/>
      <c r="O5965" s="475"/>
      <c r="P5965" s="475"/>
      <c r="Q5965" s="475"/>
      <c r="R5965" s="475"/>
      <c r="S5965" s="475"/>
      <c r="T5965" s="475"/>
      <c r="U5965" s="475"/>
      <c r="V5965" s="475"/>
      <c r="W5965" s="475"/>
    </row>
    <row r="5966" spans="2:23" s="97" customFormat="1">
      <c r="B5966" s="96"/>
      <c r="H5966" s="96"/>
      <c r="J5966" s="1"/>
      <c r="K5966" s="1"/>
      <c r="L5966" s="1"/>
      <c r="O5966" s="475"/>
      <c r="P5966" s="475"/>
      <c r="Q5966" s="475"/>
      <c r="R5966" s="475"/>
      <c r="S5966" s="475"/>
      <c r="T5966" s="475"/>
      <c r="U5966" s="475"/>
      <c r="V5966" s="475"/>
      <c r="W5966" s="475"/>
    </row>
    <row r="5967" spans="2:23" s="97" customFormat="1">
      <c r="B5967" s="96"/>
      <c r="H5967" s="96"/>
      <c r="J5967" s="1"/>
      <c r="K5967" s="1"/>
      <c r="L5967" s="1"/>
      <c r="O5967" s="475"/>
      <c r="P5967" s="475"/>
      <c r="Q5967" s="475"/>
      <c r="R5967" s="475"/>
      <c r="S5967" s="475"/>
      <c r="T5967" s="475"/>
      <c r="U5967" s="475"/>
      <c r="V5967" s="475"/>
      <c r="W5967" s="475"/>
    </row>
    <row r="5968" spans="2:23" s="97" customFormat="1">
      <c r="B5968" s="96"/>
      <c r="H5968" s="96"/>
      <c r="J5968" s="1"/>
      <c r="K5968" s="1"/>
      <c r="L5968" s="1"/>
      <c r="O5968" s="475"/>
      <c r="P5968" s="475"/>
      <c r="Q5968" s="475"/>
      <c r="R5968" s="475"/>
      <c r="S5968" s="475"/>
      <c r="T5968" s="475"/>
      <c r="U5968" s="475"/>
      <c r="V5968" s="475"/>
      <c r="W5968" s="475"/>
    </row>
    <row r="5969" spans="2:23" s="97" customFormat="1">
      <c r="B5969" s="96"/>
      <c r="H5969" s="96"/>
      <c r="J5969" s="1"/>
      <c r="K5969" s="1"/>
      <c r="L5969" s="1"/>
      <c r="O5969" s="475"/>
      <c r="P5969" s="475"/>
      <c r="Q5969" s="475"/>
      <c r="R5969" s="475"/>
      <c r="S5969" s="475"/>
      <c r="T5969" s="475"/>
      <c r="U5969" s="475"/>
      <c r="V5969" s="475"/>
      <c r="W5969" s="475"/>
    </row>
    <row r="5970" spans="2:23" s="97" customFormat="1">
      <c r="B5970" s="96"/>
      <c r="H5970" s="96"/>
      <c r="J5970" s="1"/>
      <c r="K5970" s="1"/>
      <c r="L5970" s="1"/>
      <c r="O5970" s="475"/>
      <c r="P5970" s="475"/>
      <c r="Q5970" s="475"/>
      <c r="R5970" s="475"/>
      <c r="S5970" s="475"/>
      <c r="T5970" s="475"/>
      <c r="U5970" s="475"/>
      <c r="V5970" s="475"/>
      <c r="W5970" s="475"/>
    </row>
    <row r="5971" spans="2:23" s="97" customFormat="1">
      <c r="B5971" s="96"/>
      <c r="H5971" s="96"/>
      <c r="J5971" s="1"/>
      <c r="K5971" s="1"/>
      <c r="L5971" s="1"/>
      <c r="O5971" s="475"/>
      <c r="P5971" s="475"/>
      <c r="Q5971" s="475"/>
      <c r="R5971" s="475"/>
      <c r="S5971" s="475"/>
      <c r="T5971" s="475"/>
      <c r="U5971" s="475"/>
      <c r="V5971" s="475"/>
      <c r="W5971" s="475"/>
    </row>
    <row r="5972" spans="2:23" s="97" customFormat="1">
      <c r="B5972" s="96"/>
      <c r="H5972" s="96"/>
      <c r="J5972" s="1"/>
      <c r="K5972" s="1"/>
      <c r="L5972" s="1"/>
      <c r="O5972" s="475"/>
      <c r="P5972" s="475"/>
      <c r="Q5972" s="475"/>
      <c r="R5972" s="475"/>
      <c r="S5972" s="475"/>
      <c r="T5972" s="475"/>
      <c r="U5972" s="475"/>
      <c r="V5972" s="475"/>
      <c r="W5972" s="475"/>
    </row>
    <row r="5973" spans="2:23" s="97" customFormat="1">
      <c r="B5973" s="96"/>
      <c r="H5973" s="96"/>
      <c r="J5973" s="1"/>
      <c r="K5973" s="1"/>
      <c r="L5973" s="1"/>
      <c r="O5973" s="475"/>
      <c r="P5973" s="475"/>
      <c r="Q5973" s="475"/>
      <c r="R5973" s="475"/>
      <c r="S5973" s="475"/>
      <c r="T5973" s="475"/>
      <c r="U5973" s="475"/>
      <c r="V5973" s="475"/>
      <c r="W5973" s="475"/>
    </row>
    <row r="5974" spans="2:23" s="97" customFormat="1">
      <c r="B5974" s="96"/>
      <c r="H5974" s="96"/>
      <c r="J5974" s="1"/>
      <c r="K5974" s="1"/>
      <c r="L5974" s="1"/>
      <c r="O5974" s="475"/>
      <c r="P5974" s="475"/>
      <c r="Q5974" s="475"/>
      <c r="R5974" s="475"/>
      <c r="S5974" s="475"/>
      <c r="T5974" s="475"/>
      <c r="U5974" s="475"/>
      <c r="V5974" s="475"/>
      <c r="W5974" s="475"/>
    </row>
    <row r="5975" spans="2:23" s="97" customFormat="1">
      <c r="B5975" s="96"/>
      <c r="H5975" s="96"/>
      <c r="J5975" s="1"/>
      <c r="K5975" s="1"/>
      <c r="L5975" s="1"/>
      <c r="O5975" s="475"/>
      <c r="P5975" s="475"/>
      <c r="Q5975" s="475"/>
      <c r="R5975" s="475"/>
      <c r="S5975" s="475"/>
      <c r="T5975" s="475"/>
      <c r="U5975" s="475"/>
      <c r="V5975" s="475"/>
      <c r="W5975" s="475"/>
    </row>
    <row r="5976" spans="2:23" s="97" customFormat="1">
      <c r="B5976" s="96"/>
      <c r="H5976" s="96"/>
      <c r="J5976" s="1"/>
      <c r="K5976" s="1"/>
      <c r="L5976" s="1"/>
      <c r="O5976" s="475"/>
      <c r="P5976" s="475"/>
      <c r="Q5976" s="475"/>
      <c r="R5976" s="475"/>
      <c r="S5976" s="475"/>
      <c r="T5976" s="475"/>
      <c r="U5976" s="475"/>
      <c r="V5976" s="475"/>
      <c r="W5976" s="475"/>
    </row>
    <row r="5977" spans="2:23" s="97" customFormat="1">
      <c r="B5977" s="96"/>
      <c r="H5977" s="96"/>
      <c r="J5977" s="1"/>
      <c r="K5977" s="1"/>
      <c r="L5977" s="1"/>
      <c r="O5977" s="475"/>
      <c r="P5977" s="475"/>
      <c r="Q5977" s="475"/>
      <c r="R5977" s="475"/>
      <c r="S5977" s="475"/>
      <c r="T5977" s="475"/>
      <c r="U5977" s="475"/>
      <c r="V5977" s="475"/>
      <c r="W5977" s="475"/>
    </row>
    <row r="5978" spans="2:23" s="97" customFormat="1">
      <c r="B5978" s="96"/>
      <c r="H5978" s="96"/>
      <c r="J5978" s="1"/>
      <c r="K5978" s="1"/>
      <c r="L5978" s="1"/>
      <c r="O5978" s="475"/>
      <c r="P5978" s="475"/>
      <c r="Q5978" s="475"/>
      <c r="R5978" s="475"/>
      <c r="S5978" s="475"/>
      <c r="T5978" s="475"/>
      <c r="U5978" s="475"/>
      <c r="V5978" s="475"/>
      <c r="W5978" s="475"/>
    </row>
    <row r="5979" spans="2:23" s="97" customFormat="1">
      <c r="B5979" s="96"/>
      <c r="H5979" s="96"/>
      <c r="J5979" s="1"/>
      <c r="K5979" s="1"/>
      <c r="L5979" s="1"/>
      <c r="O5979" s="475"/>
      <c r="P5979" s="475"/>
      <c r="Q5979" s="475"/>
      <c r="R5979" s="475"/>
      <c r="S5979" s="475"/>
      <c r="T5979" s="475"/>
      <c r="U5979" s="475"/>
      <c r="V5979" s="475"/>
      <c r="W5979" s="475"/>
    </row>
    <row r="5980" spans="2:23" s="97" customFormat="1">
      <c r="B5980" s="96"/>
      <c r="H5980" s="96"/>
      <c r="J5980" s="1"/>
      <c r="K5980" s="1"/>
      <c r="L5980" s="1"/>
      <c r="O5980" s="475"/>
      <c r="P5980" s="475"/>
      <c r="Q5980" s="475"/>
      <c r="R5980" s="475"/>
      <c r="S5980" s="475"/>
      <c r="T5980" s="475"/>
      <c r="U5980" s="475"/>
      <c r="V5980" s="475"/>
      <c r="W5980" s="475"/>
    </row>
    <row r="5981" spans="2:23" s="97" customFormat="1">
      <c r="B5981" s="96"/>
      <c r="H5981" s="96"/>
      <c r="J5981" s="1"/>
      <c r="K5981" s="1"/>
      <c r="L5981" s="1"/>
      <c r="O5981" s="475"/>
      <c r="P5981" s="475"/>
      <c r="Q5981" s="475"/>
      <c r="R5981" s="475"/>
      <c r="S5981" s="475"/>
      <c r="T5981" s="475"/>
      <c r="U5981" s="475"/>
      <c r="V5981" s="475"/>
      <c r="W5981" s="475"/>
    </row>
    <row r="5982" spans="2:23" s="97" customFormat="1">
      <c r="B5982" s="96"/>
      <c r="H5982" s="96"/>
      <c r="J5982" s="1"/>
      <c r="K5982" s="1"/>
      <c r="L5982" s="1"/>
      <c r="O5982" s="475"/>
      <c r="P5982" s="475"/>
      <c r="Q5982" s="475"/>
      <c r="R5982" s="475"/>
      <c r="S5982" s="475"/>
      <c r="T5982" s="475"/>
      <c r="U5982" s="475"/>
      <c r="V5982" s="475"/>
      <c r="W5982" s="475"/>
    </row>
    <row r="5983" spans="2:23" s="97" customFormat="1">
      <c r="B5983" s="96"/>
      <c r="H5983" s="96"/>
      <c r="J5983" s="1"/>
      <c r="K5983" s="1"/>
      <c r="L5983" s="1"/>
      <c r="O5983" s="475"/>
      <c r="P5983" s="475"/>
      <c r="Q5983" s="475"/>
      <c r="R5983" s="475"/>
      <c r="S5983" s="475"/>
      <c r="T5983" s="475"/>
      <c r="U5983" s="475"/>
      <c r="V5983" s="475"/>
      <c r="W5983" s="475"/>
    </row>
    <row r="5984" spans="2:23" s="97" customFormat="1">
      <c r="B5984" s="96"/>
      <c r="H5984" s="96"/>
      <c r="J5984" s="1"/>
      <c r="K5984" s="1"/>
      <c r="L5984" s="1"/>
      <c r="O5984" s="475"/>
      <c r="P5984" s="475"/>
      <c r="Q5984" s="475"/>
      <c r="R5984" s="475"/>
      <c r="S5984" s="475"/>
      <c r="T5984" s="475"/>
      <c r="U5984" s="475"/>
      <c r="V5984" s="475"/>
      <c r="W5984" s="475"/>
    </row>
    <row r="5985" spans="2:23" s="97" customFormat="1">
      <c r="B5985" s="96"/>
      <c r="H5985" s="96"/>
      <c r="J5985" s="1"/>
      <c r="K5985" s="1"/>
      <c r="L5985" s="1"/>
      <c r="O5985" s="475"/>
      <c r="P5985" s="475"/>
      <c r="Q5985" s="475"/>
      <c r="R5985" s="475"/>
      <c r="S5985" s="475"/>
      <c r="T5985" s="475"/>
      <c r="U5985" s="475"/>
      <c r="V5985" s="475"/>
      <c r="W5985" s="475"/>
    </row>
    <row r="5986" spans="2:23" s="97" customFormat="1">
      <c r="B5986" s="96"/>
      <c r="H5986" s="96"/>
      <c r="J5986" s="1"/>
      <c r="K5986" s="1"/>
      <c r="L5986" s="1"/>
      <c r="O5986" s="475"/>
      <c r="P5986" s="475"/>
      <c r="Q5986" s="475"/>
      <c r="R5986" s="475"/>
      <c r="S5986" s="475"/>
      <c r="T5986" s="475"/>
      <c r="U5986" s="475"/>
      <c r="V5986" s="475"/>
      <c r="W5986" s="475"/>
    </row>
    <row r="5987" spans="2:23" s="97" customFormat="1">
      <c r="B5987" s="96"/>
      <c r="H5987" s="96"/>
      <c r="J5987" s="1"/>
      <c r="K5987" s="1"/>
      <c r="L5987" s="1"/>
      <c r="O5987" s="475"/>
      <c r="P5987" s="475"/>
      <c r="Q5987" s="475"/>
      <c r="R5987" s="475"/>
      <c r="S5987" s="475"/>
      <c r="T5987" s="475"/>
      <c r="U5987" s="475"/>
      <c r="V5987" s="475"/>
      <c r="W5987" s="475"/>
    </row>
    <row r="5988" spans="2:23" s="97" customFormat="1">
      <c r="B5988" s="96"/>
      <c r="H5988" s="96"/>
      <c r="J5988" s="1"/>
      <c r="K5988" s="1"/>
      <c r="L5988" s="1"/>
      <c r="O5988" s="475"/>
      <c r="P5988" s="475"/>
      <c r="Q5988" s="475"/>
      <c r="R5988" s="475"/>
      <c r="S5988" s="475"/>
      <c r="T5988" s="475"/>
      <c r="U5988" s="475"/>
      <c r="V5988" s="475"/>
      <c r="W5988" s="475"/>
    </row>
    <row r="5989" spans="2:23" s="97" customFormat="1">
      <c r="B5989" s="96"/>
      <c r="H5989" s="96"/>
      <c r="J5989" s="1"/>
      <c r="K5989" s="1"/>
      <c r="L5989" s="1"/>
      <c r="O5989" s="475"/>
      <c r="P5989" s="475"/>
      <c r="Q5989" s="475"/>
      <c r="R5989" s="475"/>
      <c r="S5989" s="475"/>
      <c r="T5989" s="475"/>
      <c r="U5989" s="475"/>
      <c r="V5989" s="475"/>
      <c r="W5989" s="475"/>
    </row>
    <row r="5990" spans="2:23" s="97" customFormat="1">
      <c r="B5990" s="96"/>
      <c r="H5990" s="96"/>
      <c r="J5990" s="1"/>
      <c r="K5990" s="1"/>
      <c r="L5990" s="1"/>
      <c r="O5990" s="475"/>
      <c r="P5990" s="475"/>
      <c r="Q5990" s="475"/>
      <c r="R5990" s="475"/>
      <c r="S5990" s="475"/>
      <c r="T5990" s="475"/>
      <c r="U5990" s="475"/>
      <c r="V5990" s="475"/>
      <c r="W5990" s="475"/>
    </row>
    <row r="5991" spans="2:23" s="97" customFormat="1">
      <c r="B5991" s="96"/>
      <c r="H5991" s="96"/>
      <c r="J5991" s="1"/>
      <c r="K5991" s="1"/>
      <c r="L5991" s="1"/>
      <c r="O5991" s="475"/>
      <c r="P5991" s="475"/>
      <c r="Q5991" s="475"/>
      <c r="R5991" s="475"/>
      <c r="S5991" s="475"/>
      <c r="T5991" s="475"/>
      <c r="U5991" s="475"/>
      <c r="V5991" s="475"/>
      <c r="W5991" s="475"/>
    </row>
    <row r="5992" spans="2:23" s="97" customFormat="1">
      <c r="B5992" s="96"/>
      <c r="H5992" s="96"/>
      <c r="J5992" s="1"/>
      <c r="K5992" s="1"/>
      <c r="L5992" s="1"/>
      <c r="O5992" s="475"/>
      <c r="P5992" s="475"/>
      <c r="Q5992" s="475"/>
      <c r="R5992" s="475"/>
      <c r="S5992" s="475"/>
      <c r="T5992" s="475"/>
      <c r="U5992" s="475"/>
      <c r="V5992" s="475"/>
      <c r="W5992" s="475"/>
    </row>
    <row r="5993" spans="2:23" s="97" customFormat="1">
      <c r="B5993" s="96"/>
      <c r="H5993" s="96"/>
      <c r="J5993" s="1"/>
      <c r="K5993" s="1"/>
      <c r="L5993" s="1"/>
      <c r="O5993" s="475"/>
      <c r="P5993" s="475"/>
      <c r="Q5993" s="475"/>
      <c r="R5993" s="475"/>
      <c r="S5993" s="475"/>
      <c r="T5993" s="475"/>
      <c r="U5993" s="475"/>
      <c r="V5993" s="475"/>
      <c r="W5993" s="475"/>
    </row>
    <row r="5994" spans="2:23" s="97" customFormat="1">
      <c r="B5994" s="96"/>
      <c r="H5994" s="96"/>
      <c r="J5994" s="1"/>
      <c r="K5994" s="1"/>
      <c r="L5994" s="1"/>
      <c r="O5994" s="475"/>
      <c r="P5994" s="475"/>
      <c r="Q5994" s="475"/>
      <c r="R5994" s="475"/>
      <c r="S5994" s="475"/>
      <c r="T5994" s="475"/>
      <c r="U5994" s="475"/>
      <c r="V5994" s="475"/>
      <c r="W5994" s="475"/>
    </row>
    <row r="5995" spans="2:23" s="97" customFormat="1">
      <c r="B5995" s="96"/>
      <c r="H5995" s="96"/>
      <c r="J5995" s="1"/>
      <c r="K5995" s="1"/>
      <c r="L5995" s="1"/>
      <c r="O5995" s="475"/>
      <c r="P5995" s="475"/>
      <c r="Q5995" s="475"/>
      <c r="R5995" s="475"/>
      <c r="S5995" s="475"/>
      <c r="T5995" s="475"/>
      <c r="U5995" s="475"/>
      <c r="V5995" s="475"/>
      <c r="W5995" s="475"/>
    </row>
    <row r="5996" spans="2:23" s="97" customFormat="1">
      <c r="B5996" s="96"/>
      <c r="H5996" s="96"/>
      <c r="J5996" s="1"/>
      <c r="K5996" s="1"/>
      <c r="L5996" s="1"/>
      <c r="O5996" s="475"/>
      <c r="P5996" s="475"/>
      <c r="Q5996" s="475"/>
      <c r="R5996" s="475"/>
      <c r="S5996" s="475"/>
      <c r="T5996" s="475"/>
      <c r="U5996" s="475"/>
      <c r="V5996" s="475"/>
      <c r="W5996" s="475"/>
    </row>
    <row r="5997" spans="2:23" s="97" customFormat="1">
      <c r="B5997" s="96"/>
      <c r="H5997" s="96"/>
      <c r="J5997" s="1"/>
      <c r="K5997" s="1"/>
      <c r="L5997" s="1"/>
      <c r="O5997" s="475"/>
      <c r="P5997" s="475"/>
      <c r="Q5997" s="475"/>
      <c r="R5997" s="475"/>
      <c r="S5997" s="475"/>
      <c r="T5997" s="475"/>
      <c r="U5997" s="475"/>
      <c r="V5997" s="475"/>
      <c r="W5997" s="475"/>
    </row>
    <row r="5998" spans="2:23" s="97" customFormat="1">
      <c r="B5998" s="96"/>
      <c r="H5998" s="96"/>
      <c r="J5998" s="1"/>
      <c r="K5998" s="1"/>
      <c r="L5998" s="1"/>
      <c r="O5998" s="475"/>
      <c r="P5998" s="475"/>
      <c r="Q5998" s="475"/>
      <c r="R5998" s="475"/>
      <c r="S5998" s="475"/>
      <c r="T5998" s="475"/>
      <c r="U5998" s="475"/>
      <c r="V5998" s="475"/>
      <c r="W5998" s="475"/>
    </row>
    <row r="5999" spans="2:23" s="97" customFormat="1">
      <c r="B5999" s="96"/>
      <c r="H5999" s="96"/>
      <c r="J5999" s="1"/>
      <c r="K5999" s="1"/>
      <c r="L5999" s="1"/>
      <c r="O5999" s="475"/>
      <c r="P5999" s="475"/>
      <c r="Q5999" s="475"/>
      <c r="R5999" s="475"/>
      <c r="S5999" s="475"/>
      <c r="T5999" s="475"/>
      <c r="U5999" s="475"/>
      <c r="V5999" s="475"/>
      <c r="W5999" s="475"/>
    </row>
    <row r="6000" spans="2:23" s="97" customFormat="1">
      <c r="B6000" s="96"/>
      <c r="H6000" s="96"/>
      <c r="J6000" s="1"/>
      <c r="K6000" s="1"/>
      <c r="L6000" s="1"/>
      <c r="O6000" s="475"/>
      <c r="P6000" s="475"/>
      <c r="Q6000" s="475"/>
      <c r="R6000" s="475"/>
      <c r="S6000" s="475"/>
      <c r="T6000" s="475"/>
      <c r="U6000" s="475"/>
      <c r="V6000" s="475"/>
      <c r="W6000" s="475"/>
    </row>
    <row r="6001" spans="2:23" s="97" customFormat="1">
      <c r="B6001" s="96"/>
      <c r="H6001" s="96"/>
      <c r="J6001" s="1"/>
      <c r="K6001" s="1"/>
      <c r="L6001" s="1"/>
      <c r="O6001" s="475"/>
      <c r="P6001" s="475"/>
      <c r="Q6001" s="475"/>
      <c r="R6001" s="475"/>
      <c r="S6001" s="475"/>
      <c r="T6001" s="475"/>
      <c r="U6001" s="475"/>
      <c r="V6001" s="475"/>
      <c r="W6001" s="475"/>
    </row>
    <row r="6002" spans="2:23" s="97" customFormat="1">
      <c r="B6002" s="96"/>
      <c r="H6002" s="96"/>
      <c r="J6002" s="1"/>
      <c r="K6002" s="1"/>
      <c r="L6002" s="1"/>
      <c r="O6002" s="475"/>
      <c r="P6002" s="475"/>
      <c r="Q6002" s="475"/>
      <c r="R6002" s="475"/>
      <c r="S6002" s="475"/>
      <c r="T6002" s="475"/>
      <c r="U6002" s="475"/>
      <c r="V6002" s="475"/>
      <c r="W6002" s="475"/>
    </row>
    <row r="6003" spans="2:23" s="97" customFormat="1">
      <c r="B6003" s="96"/>
      <c r="H6003" s="96"/>
      <c r="J6003" s="1"/>
      <c r="K6003" s="1"/>
      <c r="L6003" s="1"/>
      <c r="O6003" s="475"/>
      <c r="P6003" s="475"/>
      <c r="Q6003" s="475"/>
      <c r="R6003" s="475"/>
      <c r="S6003" s="475"/>
      <c r="T6003" s="475"/>
      <c r="U6003" s="475"/>
      <c r="V6003" s="475"/>
      <c r="W6003" s="475"/>
    </row>
    <row r="6004" spans="2:23" s="97" customFormat="1">
      <c r="B6004" s="96"/>
      <c r="H6004" s="96"/>
      <c r="J6004" s="1"/>
      <c r="K6004" s="1"/>
      <c r="L6004" s="1"/>
      <c r="O6004" s="475"/>
      <c r="P6004" s="475"/>
      <c r="Q6004" s="475"/>
      <c r="R6004" s="475"/>
      <c r="S6004" s="475"/>
      <c r="T6004" s="475"/>
      <c r="U6004" s="475"/>
      <c r="V6004" s="475"/>
      <c r="W6004" s="475"/>
    </row>
    <row r="6005" spans="2:23" s="97" customFormat="1">
      <c r="B6005" s="96"/>
      <c r="H6005" s="96"/>
      <c r="J6005" s="1"/>
      <c r="K6005" s="1"/>
      <c r="L6005" s="1"/>
      <c r="O6005" s="475"/>
      <c r="P6005" s="475"/>
      <c r="Q6005" s="475"/>
      <c r="R6005" s="475"/>
      <c r="S6005" s="475"/>
      <c r="T6005" s="475"/>
      <c r="U6005" s="475"/>
      <c r="V6005" s="475"/>
      <c r="W6005" s="475"/>
    </row>
    <row r="6006" spans="2:23" s="97" customFormat="1">
      <c r="B6006" s="96"/>
      <c r="H6006" s="96"/>
      <c r="J6006" s="1"/>
      <c r="K6006" s="1"/>
      <c r="L6006" s="1"/>
      <c r="O6006" s="475"/>
      <c r="P6006" s="475"/>
      <c r="Q6006" s="475"/>
      <c r="R6006" s="475"/>
      <c r="S6006" s="475"/>
      <c r="T6006" s="475"/>
      <c r="U6006" s="475"/>
      <c r="V6006" s="475"/>
      <c r="W6006" s="475"/>
    </row>
    <row r="6007" spans="2:23" s="97" customFormat="1">
      <c r="B6007" s="96"/>
      <c r="H6007" s="96"/>
      <c r="J6007" s="1"/>
      <c r="K6007" s="1"/>
      <c r="L6007" s="1"/>
      <c r="O6007" s="475"/>
      <c r="P6007" s="475"/>
      <c r="Q6007" s="475"/>
      <c r="R6007" s="475"/>
      <c r="S6007" s="475"/>
      <c r="T6007" s="475"/>
      <c r="U6007" s="475"/>
      <c r="V6007" s="475"/>
      <c r="W6007" s="475"/>
    </row>
    <row r="6008" spans="2:23" s="97" customFormat="1">
      <c r="B6008" s="96"/>
      <c r="H6008" s="96"/>
      <c r="J6008" s="1"/>
      <c r="K6008" s="1"/>
      <c r="L6008" s="1"/>
      <c r="O6008" s="475"/>
      <c r="P6008" s="475"/>
      <c r="Q6008" s="475"/>
      <c r="R6008" s="475"/>
      <c r="S6008" s="475"/>
      <c r="T6008" s="475"/>
      <c r="U6008" s="475"/>
      <c r="V6008" s="475"/>
      <c r="W6008" s="475"/>
    </row>
    <row r="6009" spans="2:23" s="97" customFormat="1">
      <c r="B6009" s="96"/>
      <c r="H6009" s="96"/>
      <c r="J6009" s="1"/>
      <c r="K6009" s="1"/>
      <c r="L6009" s="1"/>
      <c r="O6009" s="475"/>
      <c r="P6009" s="475"/>
      <c r="Q6009" s="475"/>
      <c r="R6009" s="475"/>
      <c r="S6009" s="475"/>
      <c r="T6009" s="475"/>
      <c r="U6009" s="475"/>
      <c r="V6009" s="475"/>
      <c r="W6009" s="475"/>
    </row>
    <row r="6010" spans="2:23" s="97" customFormat="1">
      <c r="B6010" s="96"/>
      <c r="H6010" s="96"/>
      <c r="J6010" s="1"/>
      <c r="K6010" s="1"/>
      <c r="L6010" s="1"/>
      <c r="O6010" s="475"/>
      <c r="P6010" s="475"/>
      <c r="Q6010" s="475"/>
      <c r="R6010" s="475"/>
      <c r="S6010" s="475"/>
      <c r="T6010" s="475"/>
      <c r="U6010" s="475"/>
      <c r="V6010" s="475"/>
      <c r="W6010" s="475"/>
    </row>
    <row r="6011" spans="2:23" s="97" customFormat="1">
      <c r="B6011" s="96"/>
      <c r="H6011" s="96"/>
      <c r="J6011" s="1"/>
      <c r="K6011" s="1"/>
      <c r="L6011" s="1"/>
      <c r="O6011" s="475"/>
      <c r="P6011" s="475"/>
      <c r="Q6011" s="475"/>
      <c r="R6011" s="475"/>
      <c r="S6011" s="475"/>
      <c r="T6011" s="475"/>
      <c r="U6011" s="475"/>
      <c r="V6011" s="475"/>
      <c r="W6011" s="475"/>
    </row>
    <row r="6012" spans="2:23" s="97" customFormat="1">
      <c r="B6012" s="96"/>
      <c r="H6012" s="96"/>
      <c r="J6012" s="1"/>
      <c r="K6012" s="1"/>
      <c r="L6012" s="1"/>
      <c r="O6012" s="475"/>
      <c r="P6012" s="475"/>
      <c r="Q6012" s="475"/>
      <c r="R6012" s="475"/>
      <c r="S6012" s="475"/>
      <c r="T6012" s="475"/>
      <c r="U6012" s="475"/>
      <c r="V6012" s="475"/>
      <c r="W6012" s="475"/>
    </row>
    <row r="6013" spans="2:23" s="97" customFormat="1">
      <c r="B6013" s="96"/>
      <c r="H6013" s="96"/>
      <c r="J6013" s="1"/>
      <c r="K6013" s="1"/>
      <c r="L6013" s="1"/>
      <c r="O6013" s="475"/>
      <c r="P6013" s="475"/>
      <c r="Q6013" s="475"/>
      <c r="R6013" s="475"/>
      <c r="S6013" s="475"/>
      <c r="T6013" s="475"/>
      <c r="U6013" s="475"/>
      <c r="V6013" s="475"/>
      <c r="W6013" s="475"/>
    </row>
    <row r="6014" spans="2:23" s="97" customFormat="1">
      <c r="B6014" s="96"/>
      <c r="H6014" s="96"/>
      <c r="J6014" s="1"/>
      <c r="K6014" s="1"/>
      <c r="L6014" s="1"/>
      <c r="O6014" s="475"/>
      <c r="P6014" s="475"/>
      <c r="Q6014" s="475"/>
      <c r="R6014" s="475"/>
      <c r="S6014" s="475"/>
      <c r="T6014" s="475"/>
      <c r="U6014" s="475"/>
      <c r="V6014" s="475"/>
      <c r="W6014" s="475"/>
    </row>
    <row r="6015" spans="2:23" s="97" customFormat="1">
      <c r="B6015" s="96"/>
      <c r="H6015" s="96"/>
      <c r="J6015" s="1"/>
      <c r="K6015" s="1"/>
      <c r="L6015" s="1"/>
      <c r="O6015" s="475"/>
      <c r="P6015" s="475"/>
      <c r="Q6015" s="475"/>
      <c r="R6015" s="475"/>
      <c r="S6015" s="475"/>
      <c r="T6015" s="475"/>
      <c r="U6015" s="475"/>
      <c r="V6015" s="475"/>
      <c r="W6015" s="475"/>
    </row>
    <row r="6016" spans="2:23" s="97" customFormat="1">
      <c r="B6016" s="96"/>
      <c r="H6016" s="96"/>
      <c r="J6016" s="1"/>
      <c r="K6016" s="1"/>
      <c r="L6016" s="1"/>
      <c r="O6016" s="475"/>
      <c r="P6016" s="475"/>
      <c r="Q6016" s="475"/>
      <c r="R6016" s="475"/>
      <c r="S6016" s="475"/>
      <c r="T6016" s="475"/>
      <c r="U6016" s="475"/>
      <c r="V6016" s="475"/>
      <c r="W6016" s="475"/>
    </row>
    <row r="6017" spans="2:23" s="97" customFormat="1">
      <c r="B6017" s="96"/>
      <c r="H6017" s="96"/>
      <c r="J6017" s="1"/>
      <c r="K6017" s="1"/>
      <c r="L6017" s="1"/>
      <c r="O6017" s="475"/>
      <c r="P6017" s="475"/>
      <c r="Q6017" s="475"/>
      <c r="R6017" s="475"/>
      <c r="S6017" s="475"/>
      <c r="T6017" s="475"/>
      <c r="U6017" s="475"/>
      <c r="V6017" s="475"/>
      <c r="W6017" s="475"/>
    </row>
    <row r="6018" spans="2:23" s="97" customFormat="1">
      <c r="B6018" s="96"/>
      <c r="H6018" s="96"/>
      <c r="J6018" s="1"/>
      <c r="K6018" s="1"/>
      <c r="L6018" s="1"/>
      <c r="O6018" s="475"/>
      <c r="P6018" s="475"/>
      <c r="Q6018" s="475"/>
      <c r="R6018" s="475"/>
      <c r="S6018" s="475"/>
      <c r="T6018" s="475"/>
      <c r="U6018" s="475"/>
      <c r="V6018" s="475"/>
      <c r="W6018" s="475"/>
    </row>
    <row r="6019" spans="2:23" s="97" customFormat="1">
      <c r="B6019" s="96"/>
      <c r="H6019" s="96"/>
      <c r="J6019" s="1"/>
      <c r="K6019" s="1"/>
      <c r="L6019" s="1"/>
      <c r="O6019" s="475"/>
      <c r="P6019" s="475"/>
      <c r="Q6019" s="475"/>
      <c r="R6019" s="475"/>
      <c r="S6019" s="475"/>
      <c r="T6019" s="475"/>
      <c r="U6019" s="475"/>
      <c r="V6019" s="475"/>
      <c r="W6019" s="475"/>
    </row>
    <row r="6020" spans="2:23" s="97" customFormat="1">
      <c r="B6020" s="96"/>
      <c r="H6020" s="96"/>
      <c r="J6020" s="1"/>
      <c r="K6020" s="1"/>
      <c r="L6020" s="1"/>
      <c r="O6020" s="475"/>
      <c r="P6020" s="475"/>
      <c r="Q6020" s="475"/>
      <c r="R6020" s="475"/>
      <c r="S6020" s="475"/>
      <c r="T6020" s="475"/>
      <c r="U6020" s="475"/>
      <c r="V6020" s="475"/>
      <c r="W6020" s="475"/>
    </row>
    <row r="6021" spans="2:23" s="97" customFormat="1">
      <c r="B6021" s="96"/>
      <c r="H6021" s="96"/>
      <c r="J6021" s="1"/>
      <c r="K6021" s="1"/>
      <c r="L6021" s="1"/>
      <c r="O6021" s="475"/>
      <c r="P6021" s="475"/>
      <c r="Q6021" s="475"/>
      <c r="R6021" s="475"/>
      <c r="S6021" s="475"/>
      <c r="T6021" s="475"/>
      <c r="U6021" s="475"/>
      <c r="V6021" s="475"/>
      <c r="W6021" s="475"/>
    </row>
    <row r="6022" spans="2:23" s="97" customFormat="1">
      <c r="B6022" s="96"/>
      <c r="H6022" s="96"/>
      <c r="J6022" s="1"/>
      <c r="K6022" s="1"/>
      <c r="L6022" s="1"/>
      <c r="O6022" s="475"/>
      <c r="P6022" s="475"/>
      <c r="Q6022" s="475"/>
      <c r="R6022" s="475"/>
      <c r="S6022" s="475"/>
      <c r="T6022" s="475"/>
      <c r="U6022" s="475"/>
      <c r="V6022" s="475"/>
      <c r="W6022" s="475"/>
    </row>
    <row r="6023" spans="2:23" s="97" customFormat="1">
      <c r="B6023" s="96"/>
      <c r="H6023" s="96"/>
      <c r="J6023" s="1"/>
      <c r="K6023" s="1"/>
      <c r="L6023" s="1"/>
      <c r="O6023" s="475"/>
      <c r="P6023" s="475"/>
      <c r="Q6023" s="475"/>
      <c r="R6023" s="475"/>
      <c r="S6023" s="475"/>
      <c r="T6023" s="475"/>
      <c r="U6023" s="475"/>
      <c r="V6023" s="475"/>
      <c r="W6023" s="475"/>
    </row>
    <row r="6024" spans="2:23" s="97" customFormat="1">
      <c r="B6024" s="96"/>
      <c r="H6024" s="96"/>
      <c r="J6024" s="1"/>
      <c r="K6024" s="1"/>
      <c r="L6024" s="1"/>
      <c r="O6024" s="475"/>
      <c r="P6024" s="475"/>
      <c r="Q6024" s="475"/>
      <c r="R6024" s="475"/>
      <c r="S6024" s="475"/>
      <c r="T6024" s="475"/>
      <c r="U6024" s="475"/>
      <c r="V6024" s="475"/>
      <c r="W6024" s="475"/>
    </row>
    <row r="6025" spans="2:23" s="97" customFormat="1">
      <c r="B6025" s="96"/>
      <c r="H6025" s="96"/>
      <c r="J6025" s="1"/>
      <c r="K6025" s="1"/>
      <c r="L6025" s="1"/>
      <c r="O6025" s="475"/>
      <c r="P6025" s="475"/>
      <c r="Q6025" s="475"/>
      <c r="R6025" s="475"/>
      <c r="S6025" s="475"/>
      <c r="T6025" s="475"/>
      <c r="U6025" s="475"/>
      <c r="V6025" s="475"/>
      <c r="W6025" s="475"/>
    </row>
    <row r="6026" spans="2:23" s="97" customFormat="1">
      <c r="B6026" s="96"/>
      <c r="H6026" s="96"/>
      <c r="J6026" s="1"/>
      <c r="K6026" s="1"/>
      <c r="L6026" s="1"/>
      <c r="O6026" s="475"/>
      <c r="P6026" s="475"/>
      <c r="Q6026" s="475"/>
      <c r="R6026" s="475"/>
      <c r="S6026" s="475"/>
      <c r="T6026" s="475"/>
      <c r="U6026" s="475"/>
      <c r="V6026" s="475"/>
      <c r="W6026" s="475"/>
    </row>
    <row r="6027" spans="2:23" s="97" customFormat="1">
      <c r="B6027" s="96"/>
      <c r="H6027" s="96"/>
      <c r="J6027" s="1"/>
      <c r="K6027" s="1"/>
      <c r="L6027" s="1"/>
      <c r="O6027" s="475"/>
      <c r="P6027" s="475"/>
      <c r="Q6027" s="475"/>
      <c r="R6027" s="475"/>
      <c r="S6027" s="475"/>
      <c r="T6027" s="475"/>
      <c r="U6027" s="475"/>
      <c r="V6027" s="475"/>
      <c r="W6027" s="475"/>
    </row>
    <row r="6028" spans="2:23" s="97" customFormat="1">
      <c r="B6028" s="96"/>
      <c r="H6028" s="96"/>
      <c r="J6028" s="1"/>
      <c r="K6028" s="1"/>
      <c r="L6028" s="1"/>
      <c r="O6028" s="475"/>
      <c r="P6028" s="475"/>
      <c r="Q6028" s="475"/>
      <c r="R6028" s="475"/>
      <c r="S6028" s="475"/>
      <c r="T6028" s="475"/>
      <c r="U6028" s="475"/>
      <c r="V6028" s="475"/>
      <c r="W6028" s="475"/>
    </row>
    <row r="6029" spans="2:23" s="97" customFormat="1">
      <c r="B6029" s="96"/>
      <c r="H6029" s="96"/>
      <c r="J6029" s="1"/>
      <c r="K6029" s="1"/>
      <c r="L6029" s="1"/>
      <c r="O6029" s="475"/>
      <c r="P6029" s="475"/>
      <c r="Q6029" s="475"/>
      <c r="R6029" s="475"/>
      <c r="S6029" s="475"/>
      <c r="T6029" s="475"/>
      <c r="U6029" s="475"/>
      <c r="V6029" s="475"/>
      <c r="W6029" s="475"/>
    </row>
    <row r="6030" spans="2:23" s="97" customFormat="1">
      <c r="B6030" s="96"/>
      <c r="H6030" s="96"/>
      <c r="J6030" s="1"/>
      <c r="K6030" s="1"/>
      <c r="L6030" s="1"/>
      <c r="O6030" s="475"/>
      <c r="P6030" s="475"/>
      <c r="Q6030" s="475"/>
      <c r="R6030" s="475"/>
      <c r="S6030" s="475"/>
      <c r="T6030" s="475"/>
      <c r="U6030" s="475"/>
      <c r="V6030" s="475"/>
      <c r="W6030" s="475"/>
    </row>
    <row r="6031" spans="2:23" s="97" customFormat="1">
      <c r="B6031" s="96"/>
      <c r="H6031" s="96"/>
      <c r="J6031" s="1"/>
      <c r="K6031" s="1"/>
      <c r="L6031" s="1"/>
      <c r="O6031" s="475"/>
      <c r="P6031" s="475"/>
      <c r="Q6031" s="475"/>
      <c r="R6031" s="475"/>
      <c r="S6031" s="475"/>
      <c r="T6031" s="475"/>
      <c r="U6031" s="475"/>
      <c r="V6031" s="475"/>
      <c r="W6031" s="475"/>
    </row>
    <row r="6032" spans="2:23" s="97" customFormat="1">
      <c r="B6032" s="96"/>
      <c r="H6032" s="96"/>
      <c r="J6032" s="1"/>
      <c r="K6032" s="1"/>
      <c r="L6032" s="1"/>
      <c r="O6032" s="475"/>
      <c r="P6032" s="475"/>
      <c r="Q6032" s="475"/>
      <c r="R6032" s="475"/>
      <c r="S6032" s="475"/>
      <c r="T6032" s="475"/>
      <c r="U6032" s="475"/>
      <c r="V6032" s="475"/>
      <c r="W6032" s="475"/>
    </row>
    <row r="6033" spans="2:23" s="97" customFormat="1">
      <c r="B6033" s="96"/>
      <c r="H6033" s="96"/>
      <c r="J6033" s="1"/>
      <c r="K6033" s="1"/>
      <c r="L6033" s="1"/>
      <c r="O6033" s="475"/>
      <c r="P6033" s="475"/>
      <c r="Q6033" s="475"/>
      <c r="R6033" s="475"/>
      <c r="S6033" s="475"/>
      <c r="T6033" s="475"/>
      <c r="U6033" s="475"/>
      <c r="V6033" s="475"/>
      <c r="W6033" s="475"/>
    </row>
    <row r="6034" spans="2:23" s="97" customFormat="1">
      <c r="B6034" s="96"/>
      <c r="H6034" s="96"/>
      <c r="J6034" s="1"/>
      <c r="K6034" s="1"/>
      <c r="L6034" s="1"/>
      <c r="O6034" s="475"/>
      <c r="P6034" s="475"/>
      <c r="Q6034" s="475"/>
      <c r="R6034" s="475"/>
      <c r="S6034" s="475"/>
      <c r="T6034" s="475"/>
      <c r="U6034" s="475"/>
      <c r="V6034" s="475"/>
      <c r="W6034" s="475"/>
    </row>
    <row r="6035" spans="2:23" s="97" customFormat="1">
      <c r="B6035" s="96"/>
      <c r="H6035" s="96"/>
      <c r="J6035" s="1"/>
      <c r="K6035" s="1"/>
      <c r="L6035" s="1"/>
      <c r="O6035" s="475"/>
      <c r="P6035" s="475"/>
      <c r="Q6035" s="475"/>
      <c r="R6035" s="475"/>
      <c r="S6035" s="475"/>
      <c r="T6035" s="475"/>
      <c r="U6035" s="475"/>
      <c r="V6035" s="475"/>
      <c r="W6035" s="475"/>
    </row>
    <row r="6036" spans="2:23" s="97" customFormat="1">
      <c r="B6036" s="96"/>
      <c r="H6036" s="96"/>
      <c r="J6036" s="1"/>
      <c r="K6036" s="1"/>
      <c r="L6036" s="1"/>
      <c r="O6036" s="475"/>
      <c r="P6036" s="475"/>
      <c r="Q6036" s="475"/>
      <c r="R6036" s="475"/>
      <c r="S6036" s="475"/>
      <c r="T6036" s="475"/>
      <c r="U6036" s="475"/>
      <c r="V6036" s="475"/>
      <c r="W6036" s="475"/>
    </row>
    <row r="6037" spans="2:23" s="97" customFormat="1">
      <c r="B6037" s="96"/>
      <c r="H6037" s="96"/>
      <c r="J6037" s="1"/>
      <c r="K6037" s="1"/>
      <c r="L6037" s="1"/>
      <c r="O6037" s="475"/>
      <c r="P6037" s="475"/>
      <c r="Q6037" s="475"/>
      <c r="R6037" s="475"/>
      <c r="S6037" s="475"/>
      <c r="T6037" s="475"/>
      <c r="U6037" s="475"/>
      <c r="V6037" s="475"/>
      <c r="W6037" s="475"/>
    </row>
    <row r="6038" spans="2:23" s="97" customFormat="1">
      <c r="B6038" s="96"/>
      <c r="H6038" s="96"/>
      <c r="J6038" s="1"/>
      <c r="K6038" s="1"/>
      <c r="L6038" s="1"/>
      <c r="O6038" s="475"/>
      <c r="P6038" s="475"/>
      <c r="Q6038" s="475"/>
      <c r="R6038" s="475"/>
      <c r="S6038" s="475"/>
      <c r="T6038" s="475"/>
      <c r="U6038" s="475"/>
      <c r="V6038" s="475"/>
      <c r="W6038" s="475"/>
    </row>
    <row r="6039" spans="2:23" s="97" customFormat="1">
      <c r="B6039" s="96"/>
      <c r="H6039" s="96"/>
      <c r="J6039" s="1"/>
      <c r="K6039" s="1"/>
      <c r="L6039" s="1"/>
      <c r="O6039" s="475"/>
      <c r="P6039" s="475"/>
      <c r="Q6039" s="475"/>
      <c r="R6039" s="475"/>
      <c r="S6039" s="475"/>
      <c r="T6039" s="475"/>
      <c r="U6039" s="475"/>
      <c r="V6039" s="475"/>
      <c r="W6039" s="475"/>
    </row>
    <row r="6040" spans="2:23" s="97" customFormat="1">
      <c r="B6040" s="96"/>
      <c r="H6040" s="96"/>
      <c r="J6040" s="1"/>
      <c r="K6040" s="1"/>
      <c r="L6040" s="1"/>
      <c r="O6040" s="475"/>
      <c r="P6040" s="475"/>
      <c r="Q6040" s="475"/>
      <c r="R6040" s="475"/>
      <c r="S6040" s="475"/>
      <c r="T6040" s="475"/>
      <c r="U6040" s="475"/>
      <c r="V6040" s="475"/>
      <c r="W6040" s="475"/>
    </row>
    <row r="6041" spans="2:23" s="97" customFormat="1">
      <c r="B6041" s="96"/>
      <c r="H6041" s="96"/>
      <c r="J6041" s="1"/>
      <c r="K6041" s="1"/>
      <c r="L6041" s="1"/>
      <c r="O6041" s="475"/>
      <c r="P6041" s="475"/>
      <c r="Q6041" s="475"/>
      <c r="R6041" s="475"/>
      <c r="S6041" s="475"/>
      <c r="T6041" s="475"/>
      <c r="U6041" s="475"/>
      <c r="V6041" s="475"/>
      <c r="W6041" s="475"/>
    </row>
    <row r="6042" spans="2:23" s="97" customFormat="1">
      <c r="B6042" s="96"/>
      <c r="H6042" s="96"/>
      <c r="J6042" s="1"/>
      <c r="K6042" s="1"/>
      <c r="L6042" s="1"/>
      <c r="O6042" s="475"/>
      <c r="P6042" s="475"/>
      <c r="Q6042" s="475"/>
      <c r="R6042" s="475"/>
      <c r="S6042" s="475"/>
      <c r="T6042" s="475"/>
      <c r="U6042" s="475"/>
      <c r="V6042" s="475"/>
      <c r="W6042" s="475"/>
    </row>
    <row r="6043" spans="2:23" s="97" customFormat="1">
      <c r="B6043" s="96"/>
      <c r="H6043" s="96"/>
      <c r="J6043" s="1"/>
      <c r="K6043" s="1"/>
      <c r="L6043" s="1"/>
      <c r="O6043" s="475"/>
      <c r="P6043" s="475"/>
      <c r="Q6043" s="475"/>
      <c r="R6043" s="475"/>
      <c r="S6043" s="475"/>
      <c r="T6043" s="475"/>
      <c r="U6043" s="475"/>
      <c r="V6043" s="475"/>
      <c r="W6043" s="475"/>
    </row>
    <row r="6044" spans="2:23" s="97" customFormat="1">
      <c r="B6044" s="96"/>
      <c r="H6044" s="96"/>
      <c r="J6044" s="1"/>
      <c r="K6044" s="1"/>
      <c r="L6044" s="1"/>
      <c r="O6044" s="475"/>
      <c r="P6044" s="475"/>
      <c r="Q6044" s="475"/>
      <c r="R6044" s="475"/>
      <c r="S6044" s="475"/>
      <c r="T6044" s="475"/>
      <c r="U6044" s="475"/>
      <c r="V6044" s="475"/>
      <c r="W6044" s="475"/>
    </row>
    <row r="6045" spans="2:23" s="97" customFormat="1">
      <c r="B6045" s="96"/>
      <c r="H6045" s="96"/>
      <c r="J6045" s="1"/>
      <c r="K6045" s="1"/>
      <c r="L6045" s="1"/>
      <c r="O6045" s="475"/>
      <c r="P6045" s="475"/>
      <c r="Q6045" s="475"/>
      <c r="R6045" s="475"/>
      <c r="S6045" s="475"/>
      <c r="T6045" s="475"/>
      <c r="U6045" s="475"/>
      <c r="V6045" s="475"/>
      <c r="W6045" s="475"/>
    </row>
    <row r="6046" spans="2:23" s="97" customFormat="1">
      <c r="B6046" s="96"/>
      <c r="H6046" s="96"/>
      <c r="J6046" s="1"/>
      <c r="K6046" s="1"/>
      <c r="L6046" s="1"/>
      <c r="O6046" s="475"/>
      <c r="P6046" s="475"/>
      <c r="Q6046" s="475"/>
      <c r="R6046" s="475"/>
      <c r="S6046" s="475"/>
      <c r="T6046" s="475"/>
      <c r="U6046" s="475"/>
      <c r="V6046" s="475"/>
      <c r="W6046" s="475"/>
    </row>
    <row r="6047" spans="2:23" s="97" customFormat="1">
      <c r="B6047" s="96"/>
      <c r="H6047" s="96"/>
      <c r="J6047" s="1"/>
      <c r="K6047" s="1"/>
      <c r="L6047" s="1"/>
      <c r="O6047" s="475"/>
      <c r="P6047" s="475"/>
      <c r="Q6047" s="475"/>
      <c r="R6047" s="475"/>
      <c r="S6047" s="475"/>
      <c r="T6047" s="475"/>
      <c r="U6047" s="475"/>
      <c r="V6047" s="475"/>
      <c r="W6047" s="475"/>
    </row>
    <row r="6048" spans="2:23" s="97" customFormat="1">
      <c r="B6048" s="96"/>
      <c r="H6048" s="96"/>
      <c r="J6048" s="1"/>
      <c r="K6048" s="1"/>
      <c r="L6048" s="1"/>
      <c r="O6048" s="475"/>
      <c r="P6048" s="475"/>
      <c r="Q6048" s="475"/>
      <c r="R6048" s="475"/>
      <c r="S6048" s="475"/>
      <c r="T6048" s="475"/>
      <c r="U6048" s="475"/>
      <c r="V6048" s="475"/>
      <c r="W6048" s="475"/>
    </row>
    <row r="6049" spans="2:23" s="97" customFormat="1">
      <c r="B6049" s="96"/>
      <c r="H6049" s="96"/>
      <c r="J6049" s="1"/>
      <c r="K6049" s="1"/>
      <c r="L6049" s="1"/>
      <c r="O6049" s="475"/>
      <c r="P6049" s="475"/>
      <c r="Q6049" s="475"/>
      <c r="R6049" s="475"/>
      <c r="S6049" s="475"/>
      <c r="T6049" s="475"/>
      <c r="U6049" s="475"/>
      <c r="V6049" s="475"/>
      <c r="W6049" s="475"/>
    </row>
    <row r="6050" spans="2:23" s="97" customFormat="1">
      <c r="B6050" s="96"/>
      <c r="H6050" s="96"/>
      <c r="J6050" s="1"/>
      <c r="K6050" s="1"/>
      <c r="L6050" s="1"/>
      <c r="O6050" s="475"/>
      <c r="P6050" s="475"/>
      <c r="Q6050" s="475"/>
      <c r="R6050" s="475"/>
      <c r="S6050" s="475"/>
      <c r="T6050" s="475"/>
      <c r="U6050" s="475"/>
      <c r="V6050" s="475"/>
      <c r="W6050" s="475"/>
    </row>
    <row r="6051" spans="2:23" s="97" customFormat="1">
      <c r="B6051" s="96"/>
      <c r="H6051" s="96"/>
      <c r="J6051" s="1"/>
      <c r="K6051" s="1"/>
      <c r="L6051" s="1"/>
      <c r="O6051" s="475"/>
      <c r="P6051" s="475"/>
      <c r="Q6051" s="475"/>
      <c r="R6051" s="475"/>
      <c r="S6051" s="475"/>
      <c r="T6051" s="475"/>
      <c r="U6051" s="475"/>
      <c r="V6051" s="475"/>
      <c r="W6051" s="475"/>
    </row>
    <row r="6052" spans="2:23" s="97" customFormat="1">
      <c r="B6052" s="96"/>
      <c r="H6052" s="96"/>
      <c r="J6052" s="1"/>
      <c r="K6052" s="1"/>
      <c r="L6052" s="1"/>
      <c r="O6052" s="475"/>
      <c r="P6052" s="475"/>
      <c r="Q6052" s="475"/>
      <c r="R6052" s="475"/>
      <c r="S6052" s="475"/>
      <c r="T6052" s="475"/>
      <c r="U6052" s="475"/>
      <c r="V6052" s="475"/>
      <c r="W6052" s="475"/>
    </row>
    <row r="6053" spans="2:23" s="97" customFormat="1">
      <c r="B6053" s="96"/>
      <c r="H6053" s="96"/>
      <c r="J6053" s="1"/>
      <c r="K6053" s="1"/>
      <c r="L6053" s="1"/>
      <c r="O6053" s="475"/>
      <c r="P6053" s="475"/>
      <c r="Q6053" s="475"/>
      <c r="R6053" s="475"/>
      <c r="S6053" s="475"/>
      <c r="T6053" s="475"/>
      <c r="U6053" s="475"/>
      <c r="V6053" s="475"/>
      <c r="W6053" s="475"/>
    </row>
    <row r="6054" spans="2:23" s="97" customFormat="1">
      <c r="B6054" s="96"/>
      <c r="H6054" s="96"/>
      <c r="J6054" s="1"/>
      <c r="K6054" s="1"/>
      <c r="L6054" s="1"/>
      <c r="O6054" s="475"/>
      <c r="P6054" s="475"/>
      <c r="Q6054" s="475"/>
      <c r="R6054" s="475"/>
      <c r="S6054" s="475"/>
      <c r="T6054" s="475"/>
      <c r="U6054" s="475"/>
      <c r="V6054" s="475"/>
      <c r="W6054" s="475"/>
    </row>
    <row r="6055" spans="2:23" s="97" customFormat="1">
      <c r="B6055" s="96"/>
      <c r="H6055" s="96"/>
      <c r="J6055" s="1"/>
      <c r="K6055" s="1"/>
      <c r="L6055" s="1"/>
      <c r="O6055" s="475"/>
      <c r="P6055" s="475"/>
      <c r="Q6055" s="475"/>
      <c r="R6055" s="475"/>
      <c r="S6055" s="475"/>
      <c r="T6055" s="475"/>
      <c r="U6055" s="475"/>
      <c r="V6055" s="475"/>
      <c r="W6055" s="475"/>
    </row>
    <row r="6056" spans="2:23" s="97" customFormat="1">
      <c r="B6056" s="96"/>
      <c r="H6056" s="96"/>
      <c r="J6056" s="1"/>
      <c r="K6056" s="1"/>
      <c r="L6056" s="1"/>
      <c r="O6056" s="475"/>
      <c r="P6056" s="475"/>
      <c r="Q6056" s="475"/>
      <c r="R6056" s="475"/>
      <c r="S6056" s="475"/>
      <c r="T6056" s="475"/>
      <c r="U6056" s="475"/>
      <c r="V6056" s="475"/>
      <c r="W6056" s="475"/>
    </row>
    <row r="6057" spans="2:23" s="97" customFormat="1">
      <c r="B6057" s="96"/>
      <c r="H6057" s="96"/>
      <c r="J6057" s="1"/>
      <c r="K6057" s="1"/>
      <c r="L6057" s="1"/>
      <c r="O6057" s="475"/>
      <c r="P6057" s="475"/>
      <c r="Q6057" s="475"/>
      <c r="R6057" s="475"/>
      <c r="S6057" s="475"/>
      <c r="T6057" s="475"/>
      <c r="U6057" s="475"/>
      <c r="V6057" s="475"/>
      <c r="W6057" s="475"/>
    </row>
    <row r="6058" spans="2:23" s="97" customFormat="1">
      <c r="B6058" s="96"/>
      <c r="H6058" s="96"/>
      <c r="J6058" s="1"/>
      <c r="K6058" s="1"/>
      <c r="L6058" s="1"/>
      <c r="O6058" s="475"/>
      <c r="P6058" s="475"/>
      <c r="Q6058" s="475"/>
      <c r="R6058" s="475"/>
      <c r="S6058" s="475"/>
      <c r="T6058" s="475"/>
      <c r="U6058" s="475"/>
      <c r="V6058" s="475"/>
      <c r="W6058" s="475"/>
    </row>
    <row r="6059" spans="2:23" s="97" customFormat="1">
      <c r="B6059" s="96"/>
      <c r="H6059" s="96"/>
      <c r="J6059" s="1"/>
      <c r="K6059" s="1"/>
      <c r="L6059" s="1"/>
      <c r="O6059" s="475"/>
      <c r="P6059" s="475"/>
      <c r="Q6059" s="475"/>
      <c r="R6059" s="475"/>
      <c r="S6059" s="475"/>
      <c r="T6059" s="475"/>
      <c r="U6059" s="475"/>
      <c r="V6059" s="475"/>
      <c r="W6059" s="475"/>
    </row>
    <row r="6060" spans="2:23" s="97" customFormat="1">
      <c r="B6060" s="96"/>
      <c r="H6060" s="96"/>
      <c r="J6060" s="1"/>
      <c r="K6060" s="1"/>
      <c r="L6060" s="1"/>
      <c r="O6060" s="475"/>
      <c r="P6060" s="475"/>
      <c r="Q6060" s="475"/>
      <c r="R6060" s="475"/>
      <c r="S6060" s="475"/>
      <c r="T6060" s="475"/>
      <c r="U6060" s="475"/>
      <c r="V6060" s="475"/>
      <c r="W6060" s="475"/>
    </row>
    <row r="6061" spans="2:23" s="97" customFormat="1">
      <c r="B6061" s="96"/>
      <c r="H6061" s="96"/>
      <c r="J6061" s="1"/>
      <c r="K6061" s="1"/>
      <c r="L6061" s="1"/>
      <c r="O6061" s="475"/>
      <c r="P6061" s="475"/>
      <c r="Q6061" s="475"/>
      <c r="R6061" s="475"/>
      <c r="S6061" s="475"/>
      <c r="T6061" s="475"/>
      <c r="U6061" s="475"/>
      <c r="V6061" s="475"/>
      <c r="W6061" s="475"/>
    </row>
    <row r="6062" spans="2:23" s="97" customFormat="1">
      <c r="B6062" s="96"/>
      <c r="H6062" s="96"/>
      <c r="J6062" s="1"/>
      <c r="K6062" s="1"/>
      <c r="L6062" s="1"/>
      <c r="O6062" s="475"/>
      <c r="P6062" s="475"/>
      <c r="Q6062" s="475"/>
      <c r="R6062" s="475"/>
      <c r="S6062" s="475"/>
      <c r="T6062" s="475"/>
      <c r="U6062" s="475"/>
      <c r="V6062" s="475"/>
      <c r="W6062" s="475"/>
    </row>
    <row r="6063" spans="2:23" s="97" customFormat="1">
      <c r="B6063" s="96"/>
      <c r="H6063" s="96"/>
      <c r="J6063" s="1"/>
      <c r="K6063" s="1"/>
      <c r="L6063" s="1"/>
      <c r="O6063" s="475"/>
      <c r="P6063" s="475"/>
      <c r="Q6063" s="475"/>
      <c r="R6063" s="475"/>
      <c r="S6063" s="475"/>
      <c r="T6063" s="475"/>
      <c r="U6063" s="475"/>
      <c r="V6063" s="475"/>
      <c r="W6063" s="475"/>
    </row>
    <row r="6064" spans="2:23" s="97" customFormat="1">
      <c r="B6064" s="96"/>
      <c r="H6064" s="96"/>
      <c r="J6064" s="1"/>
      <c r="K6064" s="1"/>
      <c r="L6064" s="1"/>
      <c r="O6064" s="475"/>
      <c r="P6064" s="475"/>
      <c r="Q6064" s="475"/>
      <c r="R6064" s="475"/>
      <c r="S6064" s="475"/>
      <c r="T6064" s="475"/>
      <c r="U6064" s="475"/>
      <c r="V6064" s="475"/>
      <c r="W6064" s="475"/>
    </row>
    <row r="6065" spans="2:23" s="97" customFormat="1">
      <c r="B6065" s="96"/>
      <c r="H6065" s="96"/>
      <c r="J6065" s="1"/>
      <c r="K6065" s="1"/>
      <c r="L6065" s="1"/>
      <c r="O6065" s="475"/>
      <c r="P6065" s="475"/>
      <c r="Q6065" s="475"/>
      <c r="R6065" s="475"/>
      <c r="S6065" s="475"/>
      <c r="T6065" s="475"/>
      <c r="U6065" s="475"/>
      <c r="V6065" s="475"/>
      <c r="W6065" s="475"/>
    </row>
    <row r="6066" spans="2:23" s="97" customFormat="1">
      <c r="B6066" s="96"/>
      <c r="H6066" s="96"/>
      <c r="J6066" s="1"/>
      <c r="K6066" s="1"/>
      <c r="L6066" s="1"/>
      <c r="O6066" s="475"/>
      <c r="P6066" s="475"/>
      <c r="Q6066" s="475"/>
      <c r="R6066" s="475"/>
      <c r="S6066" s="475"/>
      <c r="T6066" s="475"/>
      <c r="U6066" s="475"/>
      <c r="V6066" s="475"/>
      <c r="W6066" s="475"/>
    </row>
    <row r="6067" spans="2:23" s="97" customFormat="1">
      <c r="B6067" s="96"/>
      <c r="H6067" s="96"/>
      <c r="J6067" s="1"/>
      <c r="K6067" s="1"/>
      <c r="L6067" s="1"/>
      <c r="O6067" s="475"/>
      <c r="P6067" s="475"/>
      <c r="Q6067" s="475"/>
      <c r="R6067" s="475"/>
      <c r="S6067" s="475"/>
      <c r="T6067" s="475"/>
      <c r="U6067" s="475"/>
      <c r="V6067" s="475"/>
      <c r="W6067" s="475"/>
    </row>
    <row r="6068" spans="2:23" s="97" customFormat="1">
      <c r="B6068" s="96"/>
      <c r="H6068" s="96"/>
      <c r="J6068" s="1"/>
      <c r="K6068" s="1"/>
      <c r="L6068" s="1"/>
      <c r="O6068" s="475"/>
      <c r="P6068" s="475"/>
      <c r="Q6068" s="475"/>
      <c r="R6068" s="475"/>
      <c r="S6068" s="475"/>
      <c r="T6068" s="475"/>
      <c r="U6068" s="475"/>
      <c r="V6068" s="475"/>
      <c r="W6068" s="475"/>
    </row>
    <row r="6069" spans="2:23" s="97" customFormat="1">
      <c r="B6069" s="96"/>
      <c r="H6069" s="96"/>
      <c r="J6069" s="1"/>
      <c r="K6069" s="1"/>
      <c r="L6069" s="1"/>
      <c r="O6069" s="475"/>
      <c r="P6069" s="475"/>
      <c r="Q6069" s="475"/>
      <c r="R6069" s="475"/>
      <c r="S6069" s="475"/>
      <c r="T6069" s="475"/>
      <c r="U6069" s="475"/>
      <c r="V6069" s="475"/>
      <c r="W6069" s="475"/>
    </row>
    <row r="6070" spans="2:23" s="97" customFormat="1">
      <c r="B6070" s="96"/>
      <c r="H6070" s="96"/>
      <c r="J6070" s="1"/>
      <c r="K6070" s="1"/>
      <c r="L6070" s="1"/>
      <c r="O6070" s="475"/>
      <c r="P6070" s="475"/>
      <c r="Q6070" s="475"/>
      <c r="R6070" s="475"/>
      <c r="S6070" s="475"/>
      <c r="T6070" s="475"/>
      <c r="U6070" s="475"/>
      <c r="V6070" s="475"/>
      <c r="W6070" s="475"/>
    </row>
    <row r="6071" spans="2:23" s="97" customFormat="1">
      <c r="B6071" s="96"/>
      <c r="H6071" s="96"/>
      <c r="J6071" s="1"/>
      <c r="K6071" s="1"/>
      <c r="L6071" s="1"/>
      <c r="O6071" s="475"/>
      <c r="P6071" s="475"/>
      <c r="Q6071" s="475"/>
      <c r="R6071" s="475"/>
      <c r="S6071" s="475"/>
      <c r="T6071" s="475"/>
      <c r="U6071" s="475"/>
      <c r="V6071" s="475"/>
      <c r="W6071" s="475"/>
    </row>
    <row r="6072" spans="2:23" s="97" customFormat="1">
      <c r="B6072" s="96"/>
      <c r="H6072" s="96"/>
      <c r="J6072" s="1"/>
      <c r="K6072" s="1"/>
      <c r="L6072" s="1"/>
      <c r="O6072" s="475"/>
      <c r="P6072" s="475"/>
      <c r="Q6072" s="475"/>
      <c r="R6072" s="475"/>
      <c r="S6072" s="475"/>
      <c r="T6072" s="475"/>
      <c r="U6072" s="475"/>
      <c r="V6072" s="475"/>
      <c r="W6072" s="475"/>
    </row>
    <row r="6073" spans="2:23" s="97" customFormat="1">
      <c r="B6073" s="96"/>
      <c r="H6073" s="96"/>
      <c r="J6073" s="1"/>
      <c r="K6073" s="1"/>
      <c r="L6073" s="1"/>
      <c r="O6073" s="475"/>
      <c r="P6073" s="475"/>
      <c r="Q6073" s="475"/>
      <c r="R6073" s="475"/>
      <c r="S6073" s="475"/>
      <c r="T6073" s="475"/>
      <c r="U6073" s="475"/>
      <c r="V6073" s="475"/>
      <c r="W6073" s="475"/>
    </row>
    <row r="6074" spans="2:23" s="97" customFormat="1">
      <c r="B6074" s="96"/>
      <c r="H6074" s="96"/>
      <c r="J6074" s="1"/>
      <c r="K6074" s="1"/>
      <c r="L6074" s="1"/>
      <c r="O6074" s="475"/>
      <c r="P6074" s="475"/>
      <c r="Q6074" s="475"/>
      <c r="R6074" s="475"/>
      <c r="S6074" s="475"/>
      <c r="T6074" s="475"/>
      <c r="U6074" s="475"/>
      <c r="V6074" s="475"/>
      <c r="W6074" s="475"/>
    </row>
    <row r="6075" spans="2:23" s="97" customFormat="1">
      <c r="B6075" s="96"/>
      <c r="H6075" s="96"/>
      <c r="J6075" s="1"/>
      <c r="K6075" s="1"/>
      <c r="L6075" s="1"/>
      <c r="O6075" s="475"/>
      <c r="P6075" s="475"/>
      <c r="Q6075" s="475"/>
      <c r="R6075" s="475"/>
      <c r="S6075" s="475"/>
      <c r="T6075" s="475"/>
      <c r="U6075" s="475"/>
      <c r="V6075" s="475"/>
      <c r="W6075" s="475"/>
    </row>
    <row r="6076" spans="2:23" s="97" customFormat="1">
      <c r="B6076" s="96"/>
      <c r="H6076" s="96"/>
      <c r="J6076" s="1"/>
      <c r="K6076" s="1"/>
      <c r="L6076" s="1"/>
      <c r="O6076" s="475"/>
      <c r="P6076" s="475"/>
      <c r="Q6076" s="475"/>
      <c r="R6076" s="475"/>
      <c r="S6076" s="475"/>
      <c r="T6076" s="475"/>
      <c r="U6076" s="475"/>
      <c r="V6076" s="475"/>
      <c r="W6076" s="475"/>
    </row>
    <row r="6077" spans="2:23" s="97" customFormat="1">
      <c r="B6077" s="96"/>
      <c r="H6077" s="96"/>
      <c r="J6077" s="1"/>
      <c r="K6077" s="1"/>
      <c r="L6077" s="1"/>
      <c r="O6077" s="475"/>
      <c r="P6077" s="475"/>
      <c r="Q6077" s="475"/>
      <c r="R6077" s="475"/>
      <c r="S6077" s="475"/>
      <c r="T6077" s="475"/>
      <c r="U6077" s="475"/>
      <c r="V6077" s="475"/>
      <c r="W6077" s="475"/>
    </row>
    <row r="6078" spans="2:23" s="97" customFormat="1">
      <c r="B6078" s="96"/>
      <c r="H6078" s="96"/>
      <c r="J6078" s="1"/>
      <c r="K6078" s="1"/>
      <c r="L6078" s="1"/>
      <c r="O6078" s="475"/>
      <c r="P6078" s="475"/>
      <c r="Q6078" s="475"/>
      <c r="R6078" s="475"/>
      <c r="S6078" s="475"/>
      <c r="T6078" s="475"/>
      <c r="U6078" s="475"/>
      <c r="V6078" s="475"/>
      <c r="W6078" s="475"/>
    </row>
    <row r="6079" spans="2:23" s="97" customFormat="1">
      <c r="B6079" s="96"/>
      <c r="H6079" s="96"/>
      <c r="J6079" s="1"/>
      <c r="K6079" s="1"/>
      <c r="L6079" s="1"/>
      <c r="O6079" s="475"/>
      <c r="P6079" s="475"/>
      <c r="Q6079" s="475"/>
      <c r="R6079" s="475"/>
      <c r="S6079" s="475"/>
      <c r="T6079" s="475"/>
      <c r="U6079" s="475"/>
      <c r="V6079" s="475"/>
      <c r="W6079" s="475"/>
    </row>
    <row r="6080" spans="2:23" s="97" customFormat="1">
      <c r="B6080" s="96"/>
      <c r="H6080" s="96"/>
      <c r="J6080" s="1"/>
      <c r="K6080" s="1"/>
      <c r="L6080" s="1"/>
      <c r="O6080" s="475"/>
      <c r="P6080" s="475"/>
      <c r="Q6080" s="475"/>
      <c r="R6080" s="475"/>
      <c r="S6080" s="475"/>
      <c r="T6080" s="475"/>
      <c r="U6080" s="475"/>
      <c r="V6080" s="475"/>
      <c r="W6080" s="475"/>
    </row>
    <row r="6081" spans="2:23" s="97" customFormat="1">
      <c r="B6081" s="96"/>
      <c r="H6081" s="96"/>
      <c r="J6081" s="1"/>
      <c r="K6081" s="1"/>
      <c r="L6081" s="1"/>
      <c r="O6081" s="475"/>
      <c r="P6081" s="475"/>
      <c r="Q6081" s="475"/>
      <c r="R6081" s="475"/>
      <c r="S6081" s="475"/>
      <c r="T6081" s="475"/>
      <c r="U6081" s="475"/>
      <c r="V6081" s="475"/>
      <c r="W6081" s="475"/>
    </row>
    <row r="6082" spans="2:23" s="97" customFormat="1">
      <c r="B6082" s="96"/>
      <c r="H6082" s="96"/>
      <c r="J6082" s="1"/>
      <c r="K6082" s="1"/>
      <c r="L6082" s="1"/>
      <c r="O6082" s="475"/>
      <c r="P6082" s="475"/>
      <c r="Q6082" s="475"/>
      <c r="R6082" s="475"/>
      <c r="S6082" s="475"/>
      <c r="T6082" s="475"/>
      <c r="U6082" s="475"/>
      <c r="V6082" s="475"/>
      <c r="W6082" s="475"/>
    </row>
    <row r="6083" spans="2:23" s="97" customFormat="1">
      <c r="B6083" s="96"/>
      <c r="H6083" s="96"/>
      <c r="J6083" s="1"/>
      <c r="K6083" s="1"/>
      <c r="L6083" s="1"/>
      <c r="O6083" s="475"/>
      <c r="P6083" s="475"/>
      <c r="Q6083" s="475"/>
      <c r="R6083" s="475"/>
      <c r="S6083" s="475"/>
      <c r="T6083" s="475"/>
      <c r="U6083" s="475"/>
      <c r="V6083" s="475"/>
      <c r="W6083" s="475"/>
    </row>
    <row r="6084" spans="2:23" s="97" customFormat="1">
      <c r="B6084" s="96"/>
      <c r="H6084" s="96"/>
      <c r="J6084" s="1"/>
      <c r="K6084" s="1"/>
      <c r="L6084" s="1"/>
      <c r="O6084" s="475"/>
      <c r="P6084" s="475"/>
      <c r="Q6084" s="475"/>
      <c r="R6084" s="475"/>
      <c r="S6084" s="475"/>
      <c r="T6084" s="475"/>
      <c r="U6084" s="475"/>
      <c r="V6084" s="475"/>
      <c r="W6084" s="475"/>
    </row>
    <row r="6085" spans="2:23" s="97" customFormat="1">
      <c r="B6085" s="96"/>
      <c r="H6085" s="96"/>
      <c r="J6085" s="1"/>
      <c r="K6085" s="1"/>
      <c r="L6085" s="1"/>
      <c r="O6085" s="475"/>
      <c r="P6085" s="475"/>
      <c r="Q6085" s="475"/>
      <c r="R6085" s="475"/>
      <c r="S6085" s="475"/>
      <c r="T6085" s="475"/>
      <c r="U6085" s="475"/>
      <c r="V6085" s="475"/>
      <c r="W6085" s="475"/>
    </row>
    <row r="6086" spans="2:23" s="97" customFormat="1">
      <c r="B6086" s="96"/>
      <c r="H6086" s="96"/>
      <c r="J6086" s="1"/>
      <c r="K6086" s="1"/>
      <c r="L6086" s="1"/>
      <c r="O6086" s="475"/>
      <c r="P6086" s="475"/>
      <c r="Q6086" s="475"/>
      <c r="R6086" s="475"/>
      <c r="S6086" s="475"/>
      <c r="T6086" s="475"/>
      <c r="U6086" s="475"/>
      <c r="V6086" s="475"/>
      <c r="W6086" s="475"/>
    </row>
    <row r="6087" spans="2:23" s="97" customFormat="1">
      <c r="B6087" s="96"/>
      <c r="H6087" s="96"/>
      <c r="J6087" s="1"/>
      <c r="K6087" s="1"/>
      <c r="L6087" s="1"/>
      <c r="O6087" s="475"/>
      <c r="P6087" s="475"/>
      <c r="Q6087" s="475"/>
      <c r="R6087" s="475"/>
      <c r="S6087" s="475"/>
      <c r="T6087" s="475"/>
      <c r="U6087" s="475"/>
      <c r="V6087" s="475"/>
      <c r="W6087" s="475"/>
    </row>
    <row r="6088" spans="2:23" s="97" customFormat="1">
      <c r="B6088" s="96"/>
      <c r="H6088" s="96"/>
      <c r="J6088" s="1"/>
      <c r="K6088" s="1"/>
      <c r="L6088" s="1"/>
      <c r="O6088" s="475"/>
      <c r="P6088" s="475"/>
      <c r="Q6088" s="475"/>
      <c r="R6088" s="475"/>
      <c r="S6088" s="475"/>
      <c r="T6088" s="475"/>
      <c r="U6088" s="475"/>
      <c r="V6088" s="475"/>
      <c r="W6088" s="475"/>
    </row>
    <row r="6089" spans="2:23" s="97" customFormat="1">
      <c r="B6089" s="96"/>
      <c r="H6089" s="96"/>
      <c r="J6089" s="1"/>
      <c r="K6089" s="1"/>
      <c r="L6089" s="1"/>
      <c r="O6089" s="475"/>
      <c r="P6089" s="475"/>
      <c r="Q6089" s="475"/>
      <c r="R6089" s="475"/>
      <c r="S6089" s="475"/>
      <c r="T6089" s="475"/>
      <c r="U6089" s="475"/>
      <c r="V6089" s="475"/>
      <c r="W6089" s="475"/>
    </row>
    <row r="6090" spans="2:23" s="97" customFormat="1">
      <c r="B6090" s="96"/>
      <c r="H6090" s="96"/>
      <c r="J6090" s="1"/>
      <c r="K6090" s="1"/>
      <c r="L6090" s="1"/>
      <c r="O6090" s="475"/>
      <c r="P6090" s="475"/>
      <c r="Q6090" s="475"/>
      <c r="R6090" s="475"/>
      <c r="S6090" s="475"/>
      <c r="T6090" s="475"/>
      <c r="U6090" s="475"/>
      <c r="V6090" s="475"/>
      <c r="W6090" s="475"/>
    </row>
    <row r="6091" spans="2:23" s="97" customFormat="1">
      <c r="B6091" s="96"/>
      <c r="H6091" s="96"/>
      <c r="J6091" s="1"/>
      <c r="K6091" s="1"/>
      <c r="L6091" s="1"/>
      <c r="O6091" s="475"/>
      <c r="P6091" s="475"/>
      <c r="Q6091" s="475"/>
      <c r="R6091" s="475"/>
      <c r="S6091" s="475"/>
      <c r="T6091" s="475"/>
      <c r="U6091" s="475"/>
      <c r="V6091" s="475"/>
      <c r="W6091" s="475"/>
    </row>
    <row r="6092" spans="2:23" s="97" customFormat="1">
      <c r="B6092" s="96"/>
      <c r="H6092" s="96"/>
      <c r="J6092" s="1"/>
      <c r="K6092" s="1"/>
      <c r="L6092" s="1"/>
      <c r="O6092" s="475"/>
      <c r="P6092" s="475"/>
      <c r="Q6092" s="475"/>
      <c r="R6092" s="475"/>
      <c r="S6092" s="475"/>
      <c r="T6092" s="475"/>
      <c r="U6092" s="475"/>
      <c r="V6092" s="475"/>
      <c r="W6092" s="475"/>
    </row>
    <row r="6093" spans="2:23" s="97" customFormat="1">
      <c r="B6093" s="96"/>
      <c r="H6093" s="96"/>
      <c r="J6093" s="1"/>
      <c r="K6093" s="1"/>
      <c r="L6093" s="1"/>
      <c r="O6093" s="475"/>
      <c r="P6093" s="475"/>
      <c r="Q6093" s="475"/>
      <c r="R6093" s="475"/>
      <c r="S6093" s="475"/>
      <c r="T6093" s="475"/>
      <c r="U6093" s="475"/>
      <c r="V6093" s="475"/>
      <c r="W6093" s="475"/>
    </row>
    <row r="6094" spans="2:23" s="97" customFormat="1">
      <c r="B6094" s="96"/>
      <c r="H6094" s="96"/>
      <c r="J6094" s="1"/>
      <c r="K6094" s="1"/>
      <c r="L6094" s="1"/>
      <c r="O6094" s="475"/>
      <c r="P6094" s="475"/>
      <c r="Q6094" s="475"/>
      <c r="R6094" s="475"/>
      <c r="S6094" s="475"/>
      <c r="T6094" s="475"/>
      <c r="U6094" s="475"/>
      <c r="V6094" s="475"/>
      <c r="W6094" s="475"/>
    </row>
    <row r="6095" spans="2:23" s="97" customFormat="1">
      <c r="B6095" s="96"/>
      <c r="H6095" s="96"/>
      <c r="J6095" s="1"/>
      <c r="K6095" s="1"/>
      <c r="L6095" s="1"/>
      <c r="O6095" s="475"/>
      <c r="P6095" s="475"/>
      <c r="Q6095" s="475"/>
      <c r="R6095" s="475"/>
      <c r="S6095" s="475"/>
      <c r="T6095" s="475"/>
      <c r="U6095" s="475"/>
      <c r="V6095" s="475"/>
      <c r="W6095" s="475"/>
    </row>
    <row r="6096" spans="2:23" s="97" customFormat="1">
      <c r="B6096" s="96"/>
      <c r="H6096" s="96"/>
      <c r="J6096" s="1"/>
      <c r="K6096" s="1"/>
      <c r="L6096" s="1"/>
      <c r="O6096" s="475"/>
      <c r="P6096" s="475"/>
      <c r="Q6096" s="475"/>
      <c r="R6096" s="475"/>
      <c r="S6096" s="475"/>
      <c r="T6096" s="475"/>
      <c r="U6096" s="475"/>
      <c r="V6096" s="475"/>
      <c r="W6096" s="475"/>
    </row>
    <row r="6097" spans="2:23" s="97" customFormat="1">
      <c r="B6097" s="96"/>
      <c r="H6097" s="96"/>
      <c r="J6097" s="1"/>
      <c r="K6097" s="1"/>
      <c r="L6097" s="1"/>
      <c r="O6097" s="475"/>
      <c r="P6097" s="475"/>
      <c r="Q6097" s="475"/>
      <c r="R6097" s="475"/>
      <c r="S6097" s="475"/>
      <c r="T6097" s="475"/>
      <c r="U6097" s="475"/>
      <c r="V6097" s="475"/>
      <c r="W6097" s="475"/>
    </row>
    <row r="6098" spans="2:23" s="97" customFormat="1">
      <c r="B6098" s="96"/>
      <c r="H6098" s="96"/>
      <c r="J6098" s="1"/>
      <c r="K6098" s="1"/>
      <c r="L6098" s="1"/>
      <c r="O6098" s="475"/>
      <c r="P6098" s="475"/>
      <c r="Q6098" s="475"/>
      <c r="R6098" s="475"/>
      <c r="S6098" s="475"/>
      <c r="T6098" s="475"/>
      <c r="U6098" s="475"/>
      <c r="V6098" s="475"/>
      <c r="W6098" s="475"/>
    </row>
    <row r="6099" spans="2:23" s="97" customFormat="1">
      <c r="B6099" s="96"/>
      <c r="H6099" s="96"/>
      <c r="J6099" s="1"/>
      <c r="K6099" s="1"/>
      <c r="L6099" s="1"/>
      <c r="O6099" s="475"/>
      <c r="P6099" s="475"/>
      <c r="Q6099" s="475"/>
      <c r="R6099" s="475"/>
      <c r="S6099" s="475"/>
      <c r="T6099" s="475"/>
      <c r="U6099" s="475"/>
      <c r="V6099" s="475"/>
      <c r="W6099" s="475"/>
    </row>
    <row r="6100" spans="2:23" s="97" customFormat="1">
      <c r="B6100" s="96"/>
      <c r="H6100" s="96"/>
      <c r="J6100" s="1"/>
      <c r="K6100" s="1"/>
      <c r="L6100" s="1"/>
      <c r="O6100" s="475"/>
      <c r="P6100" s="475"/>
      <c r="Q6100" s="475"/>
      <c r="R6100" s="475"/>
      <c r="S6100" s="475"/>
      <c r="T6100" s="475"/>
      <c r="U6100" s="475"/>
      <c r="V6100" s="475"/>
      <c r="W6100" s="475"/>
    </row>
    <row r="6101" spans="2:23" s="97" customFormat="1">
      <c r="B6101" s="96"/>
      <c r="H6101" s="96"/>
      <c r="J6101" s="1"/>
      <c r="K6101" s="1"/>
      <c r="L6101" s="1"/>
      <c r="O6101" s="475"/>
      <c r="P6101" s="475"/>
      <c r="Q6101" s="475"/>
      <c r="R6101" s="475"/>
      <c r="S6101" s="475"/>
      <c r="T6101" s="475"/>
      <c r="U6101" s="475"/>
      <c r="V6101" s="475"/>
      <c r="W6101" s="475"/>
    </row>
    <row r="6102" spans="2:23" s="97" customFormat="1">
      <c r="B6102" s="96"/>
      <c r="H6102" s="96"/>
      <c r="J6102" s="1"/>
      <c r="K6102" s="1"/>
      <c r="L6102" s="1"/>
      <c r="O6102" s="475"/>
      <c r="P6102" s="475"/>
      <c r="Q6102" s="475"/>
      <c r="R6102" s="475"/>
      <c r="S6102" s="475"/>
      <c r="T6102" s="475"/>
      <c r="U6102" s="475"/>
      <c r="V6102" s="475"/>
      <c r="W6102" s="475"/>
    </row>
    <row r="6103" spans="2:23" s="97" customFormat="1">
      <c r="B6103" s="96"/>
      <c r="H6103" s="96"/>
      <c r="J6103" s="1"/>
      <c r="K6103" s="1"/>
      <c r="L6103" s="1"/>
      <c r="O6103" s="475"/>
      <c r="P6103" s="475"/>
      <c r="Q6103" s="475"/>
      <c r="R6103" s="475"/>
      <c r="S6103" s="475"/>
      <c r="T6103" s="475"/>
      <c r="U6103" s="475"/>
      <c r="V6103" s="475"/>
      <c r="W6103" s="475"/>
    </row>
    <row r="6104" spans="2:23" s="97" customFormat="1">
      <c r="B6104" s="96"/>
      <c r="H6104" s="96"/>
      <c r="J6104" s="1"/>
      <c r="K6104" s="1"/>
      <c r="L6104" s="1"/>
      <c r="O6104" s="475"/>
      <c r="P6104" s="475"/>
      <c r="Q6104" s="475"/>
      <c r="R6104" s="475"/>
      <c r="S6104" s="475"/>
      <c r="T6104" s="475"/>
      <c r="U6104" s="475"/>
      <c r="V6104" s="475"/>
      <c r="W6104" s="475"/>
    </row>
    <row r="6105" spans="2:23" s="97" customFormat="1">
      <c r="B6105" s="96"/>
      <c r="H6105" s="96"/>
      <c r="J6105" s="1"/>
      <c r="K6105" s="1"/>
      <c r="L6105" s="1"/>
      <c r="O6105" s="475"/>
      <c r="P6105" s="475"/>
      <c r="Q6105" s="475"/>
      <c r="R6105" s="475"/>
      <c r="S6105" s="475"/>
      <c r="T6105" s="475"/>
      <c r="U6105" s="475"/>
      <c r="V6105" s="475"/>
      <c r="W6105" s="475"/>
    </row>
    <row r="6106" spans="2:23" s="97" customFormat="1">
      <c r="B6106" s="96"/>
      <c r="H6106" s="96"/>
      <c r="J6106" s="1"/>
      <c r="K6106" s="1"/>
      <c r="L6106" s="1"/>
      <c r="O6106" s="475"/>
      <c r="P6106" s="475"/>
      <c r="Q6106" s="475"/>
      <c r="R6106" s="475"/>
      <c r="S6106" s="475"/>
      <c r="T6106" s="475"/>
      <c r="U6106" s="475"/>
      <c r="V6106" s="475"/>
      <c r="W6106" s="475"/>
    </row>
    <row r="6107" spans="2:23" s="97" customFormat="1">
      <c r="B6107" s="96"/>
      <c r="H6107" s="96"/>
      <c r="J6107" s="1"/>
      <c r="K6107" s="1"/>
      <c r="L6107" s="1"/>
      <c r="O6107" s="475"/>
      <c r="P6107" s="475"/>
      <c r="Q6107" s="475"/>
      <c r="R6107" s="475"/>
      <c r="S6107" s="475"/>
      <c r="T6107" s="475"/>
      <c r="U6107" s="475"/>
      <c r="V6107" s="475"/>
      <c r="W6107" s="475"/>
    </row>
    <row r="6108" spans="2:23" s="97" customFormat="1">
      <c r="B6108" s="96"/>
      <c r="H6108" s="96"/>
      <c r="J6108" s="1"/>
      <c r="K6108" s="1"/>
      <c r="L6108" s="1"/>
      <c r="O6108" s="475"/>
      <c r="P6108" s="475"/>
      <c r="Q6108" s="475"/>
      <c r="R6108" s="475"/>
      <c r="S6108" s="475"/>
      <c r="T6108" s="475"/>
      <c r="U6108" s="475"/>
      <c r="V6108" s="475"/>
      <c r="W6108" s="475"/>
    </row>
    <row r="6109" spans="2:23" s="97" customFormat="1">
      <c r="B6109" s="96"/>
      <c r="H6109" s="96"/>
      <c r="J6109" s="1"/>
      <c r="K6109" s="1"/>
      <c r="L6109" s="1"/>
      <c r="O6109" s="475"/>
      <c r="P6109" s="475"/>
      <c r="Q6109" s="475"/>
      <c r="R6109" s="475"/>
      <c r="S6109" s="475"/>
      <c r="T6109" s="475"/>
      <c r="U6109" s="475"/>
      <c r="V6109" s="475"/>
      <c r="W6109" s="475"/>
    </row>
    <row r="6110" spans="2:23" s="97" customFormat="1">
      <c r="B6110" s="96"/>
      <c r="H6110" s="96"/>
      <c r="J6110" s="1"/>
      <c r="K6110" s="1"/>
      <c r="L6110" s="1"/>
      <c r="O6110" s="475"/>
      <c r="P6110" s="475"/>
      <c r="Q6110" s="475"/>
      <c r="R6110" s="475"/>
      <c r="S6110" s="475"/>
      <c r="T6110" s="475"/>
      <c r="U6110" s="475"/>
      <c r="V6110" s="475"/>
      <c r="W6110" s="475"/>
    </row>
    <row r="6111" spans="2:23" s="97" customFormat="1">
      <c r="B6111" s="96"/>
      <c r="H6111" s="96"/>
      <c r="J6111" s="1"/>
      <c r="K6111" s="1"/>
      <c r="L6111" s="1"/>
      <c r="O6111" s="475"/>
      <c r="P6111" s="475"/>
      <c r="Q6111" s="475"/>
      <c r="R6111" s="475"/>
      <c r="S6111" s="475"/>
      <c r="T6111" s="475"/>
      <c r="U6111" s="475"/>
      <c r="V6111" s="475"/>
      <c r="W6111" s="475"/>
    </row>
    <row r="6112" spans="2:23" s="97" customFormat="1">
      <c r="B6112" s="96"/>
      <c r="H6112" s="96"/>
      <c r="J6112" s="1"/>
      <c r="K6112" s="1"/>
      <c r="L6112" s="1"/>
      <c r="O6112" s="475"/>
      <c r="P6112" s="475"/>
      <c r="Q6112" s="475"/>
      <c r="R6112" s="475"/>
      <c r="S6112" s="475"/>
      <c r="T6112" s="475"/>
      <c r="U6112" s="475"/>
      <c r="V6112" s="475"/>
      <c r="W6112" s="475"/>
    </row>
    <row r="6113" spans="2:23" s="97" customFormat="1">
      <c r="B6113" s="96"/>
      <c r="H6113" s="96"/>
      <c r="J6113" s="1"/>
      <c r="K6113" s="1"/>
      <c r="L6113" s="1"/>
      <c r="O6113" s="475"/>
      <c r="P6113" s="475"/>
      <c r="Q6113" s="475"/>
      <c r="R6113" s="475"/>
      <c r="S6113" s="475"/>
      <c r="T6113" s="475"/>
      <c r="U6113" s="475"/>
      <c r="V6113" s="475"/>
      <c r="W6113" s="475"/>
    </row>
    <row r="6114" spans="2:23" s="97" customFormat="1">
      <c r="B6114" s="96"/>
      <c r="H6114" s="96"/>
      <c r="J6114" s="1"/>
      <c r="K6114" s="1"/>
      <c r="L6114" s="1"/>
      <c r="O6114" s="475"/>
      <c r="P6114" s="475"/>
      <c r="Q6114" s="475"/>
      <c r="R6114" s="475"/>
      <c r="S6114" s="475"/>
      <c r="T6114" s="475"/>
      <c r="U6114" s="475"/>
      <c r="V6114" s="475"/>
      <c r="W6114" s="475"/>
    </row>
    <row r="6115" spans="2:23" s="97" customFormat="1">
      <c r="B6115" s="96"/>
      <c r="H6115" s="96"/>
      <c r="J6115" s="1"/>
      <c r="K6115" s="1"/>
      <c r="L6115" s="1"/>
      <c r="O6115" s="475"/>
      <c r="P6115" s="475"/>
      <c r="Q6115" s="475"/>
      <c r="R6115" s="475"/>
      <c r="S6115" s="475"/>
      <c r="T6115" s="475"/>
      <c r="U6115" s="475"/>
      <c r="V6115" s="475"/>
      <c r="W6115" s="475"/>
    </row>
    <row r="6116" spans="2:23" s="97" customFormat="1">
      <c r="B6116" s="96"/>
      <c r="H6116" s="96"/>
      <c r="J6116" s="1"/>
      <c r="K6116" s="1"/>
      <c r="L6116" s="1"/>
      <c r="O6116" s="475"/>
      <c r="P6116" s="475"/>
      <c r="Q6116" s="475"/>
      <c r="R6116" s="475"/>
      <c r="S6116" s="475"/>
      <c r="T6116" s="475"/>
      <c r="U6116" s="475"/>
      <c r="V6116" s="475"/>
      <c r="W6116" s="475"/>
    </row>
    <row r="6117" spans="2:23" s="97" customFormat="1">
      <c r="B6117" s="96"/>
      <c r="H6117" s="96"/>
      <c r="J6117" s="1"/>
      <c r="K6117" s="1"/>
      <c r="L6117" s="1"/>
      <c r="O6117" s="475"/>
      <c r="P6117" s="475"/>
      <c r="Q6117" s="475"/>
      <c r="R6117" s="475"/>
      <c r="S6117" s="475"/>
      <c r="T6117" s="475"/>
      <c r="U6117" s="475"/>
      <c r="V6117" s="475"/>
      <c r="W6117" s="475"/>
    </row>
    <row r="6118" spans="2:23" s="97" customFormat="1">
      <c r="B6118" s="96"/>
      <c r="H6118" s="96"/>
      <c r="J6118" s="1"/>
      <c r="K6118" s="1"/>
      <c r="L6118" s="1"/>
      <c r="O6118" s="475"/>
      <c r="P6118" s="475"/>
      <c r="Q6118" s="475"/>
      <c r="R6118" s="475"/>
      <c r="S6118" s="475"/>
      <c r="T6118" s="475"/>
      <c r="U6118" s="475"/>
      <c r="V6118" s="475"/>
      <c r="W6118" s="475"/>
    </row>
    <row r="6119" spans="2:23" s="97" customFormat="1">
      <c r="B6119" s="96"/>
      <c r="H6119" s="96"/>
      <c r="J6119" s="1"/>
      <c r="K6119" s="1"/>
      <c r="L6119" s="1"/>
      <c r="O6119" s="475"/>
      <c r="P6119" s="475"/>
      <c r="Q6119" s="475"/>
      <c r="R6119" s="475"/>
      <c r="S6119" s="475"/>
      <c r="T6119" s="475"/>
      <c r="U6119" s="475"/>
      <c r="V6119" s="475"/>
      <c r="W6119" s="475"/>
    </row>
    <row r="6120" spans="2:23" s="97" customFormat="1">
      <c r="B6120" s="96"/>
      <c r="H6120" s="96"/>
      <c r="J6120" s="1"/>
      <c r="K6120" s="1"/>
      <c r="L6120" s="1"/>
      <c r="O6120" s="475"/>
      <c r="P6120" s="475"/>
      <c r="Q6120" s="475"/>
      <c r="R6120" s="475"/>
      <c r="S6120" s="475"/>
      <c r="T6120" s="475"/>
      <c r="U6120" s="475"/>
      <c r="V6120" s="475"/>
      <c r="W6120" s="475"/>
    </row>
    <row r="6121" spans="2:23" s="97" customFormat="1">
      <c r="B6121" s="96"/>
      <c r="H6121" s="96"/>
      <c r="J6121" s="1"/>
      <c r="K6121" s="1"/>
      <c r="L6121" s="1"/>
      <c r="O6121" s="475"/>
      <c r="P6121" s="475"/>
      <c r="Q6121" s="475"/>
      <c r="R6121" s="475"/>
      <c r="S6121" s="475"/>
      <c r="T6121" s="475"/>
      <c r="U6121" s="475"/>
      <c r="V6121" s="475"/>
      <c r="W6121" s="475"/>
    </row>
    <row r="6122" spans="2:23" s="97" customFormat="1">
      <c r="B6122" s="96"/>
      <c r="H6122" s="96"/>
      <c r="J6122" s="1"/>
      <c r="K6122" s="1"/>
      <c r="L6122" s="1"/>
      <c r="O6122" s="475"/>
      <c r="P6122" s="475"/>
      <c r="Q6122" s="475"/>
      <c r="R6122" s="475"/>
      <c r="S6122" s="475"/>
      <c r="T6122" s="475"/>
      <c r="U6122" s="475"/>
      <c r="V6122" s="475"/>
      <c r="W6122" s="475"/>
    </row>
    <row r="6123" spans="2:23" s="97" customFormat="1">
      <c r="B6123" s="96"/>
      <c r="H6123" s="96"/>
      <c r="J6123" s="1"/>
      <c r="K6123" s="1"/>
      <c r="L6123" s="1"/>
      <c r="O6123" s="475"/>
      <c r="P6123" s="475"/>
      <c r="Q6123" s="475"/>
      <c r="R6123" s="475"/>
      <c r="S6123" s="475"/>
      <c r="T6123" s="475"/>
      <c r="U6123" s="475"/>
      <c r="V6123" s="475"/>
      <c r="W6123" s="475"/>
    </row>
    <row r="6124" spans="2:23" s="97" customFormat="1">
      <c r="B6124" s="96"/>
      <c r="H6124" s="96"/>
      <c r="J6124" s="1"/>
      <c r="K6124" s="1"/>
      <c r="L6124" s="1"/>
      <c r="O6124" s="475"/>
      <c r="P6124" s="475"/>
      <c r="Q6124" s="475"/>
      <c r="R6124" s="475"/>
      <c r="S6124" s="475"/>
      <c r="T6124" s="475"/>
      <c r="U6124" s="475"/>
      <c r="V6124" s="475"/>
      <c r="W6124" s="475"/>
    </row>
    <row r="6125" spans="2:23" s="97" customFormat="1">
      <c r="B6125" s="96"/>
      <c r="H6125" s="96"/>
      <c r="J6125" s="1"/>
      <c r="K6125" s="1"/>
      <c r="L6125" s="1"/>
      <c r="O6125" s="475"/>
      <c r="P6125" s="475"/>
      <c r="Q6125" s="475"/>
      <c r="R6125" s="475"/>
      <c r="S6125" s="475"/>
      <c r="T6125" s="475"/>
      <c r="U6125" s="475"/>
      <c r="V6125" s="475"/>
      <c r="W6125" s="475"/>
    </row>
    <row r="6126" spans="2:23" s="97" customFormat="1">
      <c r="B6126" s="96"/>
      <c r="H6126" s="96"/>
      <c r="J6126" s="1"/>
      <c r="K6126" s="1"/>
      <c r="L6126" s="1"/>
      <c r="O6126" s="475"/>
      <c r="P6126" s="475"/>
      <c r="Q6126" s="475"/>
      <c r="R6126" s="475"/>
      <c r="S6126" s="475"/>
      <c r="T6126" s="475"/>
      <c r="U6126" s="475"/>
      <c r="V6126" s="475"/>
      <c r="W6126" s="475"/>
    </row>
    <row r="6127" spans="2:23" s="97" customFormat="1">
      <c r="B6127" s="96"/>
      <c r="H6127" s="96"/>
      <c r="J6127" s="1"/>
      <c r="K6127" s="1"/>
      <c r="L6127" s="1"/>
      <c r="O6127" s="475"/>
      <c r="P6127" s="475"/>
      <c r="Q6127" s="475"/>
      <c r="R6127" s="475"/>
      <c r="S6127" s="475"/>
      <c r="T6127" s="475"/>
      <c r="U6127" s="475"/>
      <c r="V6127" s="475"/>
      <c r="W6127" s="475"/>
    </row>
    <row r="6128" spans="2:23" s="97" customFormat="1">
      <c r="B6128" s="96"/>
      <c r="H6128" s="96"/>
      <c r="J6128" s="1"/>
      <c r="K6128" s="1"/>
      <c r="L6128" s="1"/>
      <c r="O6128" s="475"/>
      <c r="P6128" s="475"/>
      <c r="Q6128" s="475"/>
      <c r="R6128" s="475"/>
      <c r="S6128" s="475"/>
      <c r="T6128" s="475"/>
      <c r="U6128" s="475"/>
      <c r="V6128" s="475"/>
      <c r="W6128" s="475"/>
    </row>
    <row r="6129" spans="2:23" s="97" customFormat="1">
      <c r="B6129" s="96"/>
      <c r="H6129" s="96"/>
      <c r="J6129" s="1"/>
      <c r="K6129" s="1"/>
      <c r="L6129" s="1"/>
      <c r="O6129" s="475"/>
      <c r="P6129" s="475"/>
      <c r="Q6129" s="475"/>
      <c r="R6129" s="475"/>
      <c r="S6129" s="475"/>
      <c r="T6129" s="475"/>
      <c r="U6129" s="475"/>
      <c r="V6129" s="475"/>
      <c r="W6129" s="475"/>
    </row>
    <row r="6130" spans="2:23" s="97" customFormat="1">
      <c r="B6130" s="96"/>
      <c r="H6130" s="96"/>
      <c r="J6130" s="1"/>
      <c r="K6130" s="1"/>
      <c r="L6130" s="1"/>
      <c r="O6130" s="475"/>
      <c r="P6130" s="475"/>
      <c r="Q6130" s="475"/>
      <c r="R6130" s="475"/>
      <c r="S6130" s="475"/>
      <c r="T6130" s="475"/>
      <c r="U6130" s="475"/>
      <c r="V6130" s="475"/>
      <c r="W6130" s="475"/>
    </row>
    <row r="6131" spans="2:23" s="97" customFormat="1">
      <c r="B6131" s="96"/>
      <c r="H6131" s="96"/>
      <c r="J6131" s="1"/>
      <c r="K6131" s="1"/>
      <c r="L6131" s="1"/>
      <c r="O6131" s="475"/>
      <c r="P6131" s="475"/>
      <c r="Q6131" s="475"/>
      <c r="R6131" s="475"/>
      <c r="S6131" s="475"/>
      <c r="T6131" s="475"/>
      <c r="U6131" s="475"/>
      <c r="V6131" s="475"/>
      <c r="W6131" s="475"/>
    </row>
    <row r="6132" spans="2:23" s="97" customFormat="1">
      <c r="B6132" s="96"/>
      <c r="H6132" s="96"/>
      <c r="J6132" s="1"/>
      <c r="K6132" s="1"/>
      <c r="L6132" s="1"/>
      <c r="O6132" s="475"/>
      <c r="P6132" s="475"/>
      <c r="Q6132" s="475"/>
      <c r="R6132" s="475"/>
      <c r="S6132" s="475"/>
      <c r="T6132" s="475"/>
      <c r="U6132" s="475"/>
      <c r="V6132" s="475"/>
      <c r="W6132" s="475"/>
    </row>
    <row r="6133" spans="2:23" s="97" customFormat="1">
      <c r="B6133" s="96"/>
      <c r="H6133" s="96"/>
      <c r="J6133" s="1"/>
      <c r="K6133" s="1"/>
      <c r="L6133" s="1"/>
      <c r="O6133" s="475"/>
      <c r="P6133" s="475"/>
      <c r="Q6133" s="475"/>
      <c r="R6133" s="475"/>
      <c r="S6133" s="475"/>
      <c r="T6133" s="475"/>
      <c r="U6133" s="475"/>
      <c r="V6133" s="475"/>
      <c r="W6133" s="475"/>
    </row>
    <row r="6134" spans="2:23" s="97" customFormat="1">
      <c r="B6134" s="96"/>
      <c r="H6134" s="96"/>
      <c r="J6134" s="1"/>
      <c r="K6134" s="1"/>
      <c r="L6134" s="1"/>
      <c r="O6134" s="475"/>
      <c r="P6134" s="475"/>
      <c r="Q6134" s="475"/>
      <c r="R6134" s="475"/>
      <c r="S6134" s="475"/>
      <c r="T6134" s="475"/>
      <c r="U6134" s="475"/>
      <c r="V6134" s="475"/>
      <c r="W6134" s="475"/>
    </row>
    <row r="6135" spans="2:23" s="97" customFormat="1">
      <c r="B6135" s="96"/>
      <c r="H6135" s="96"/>
      <c r="J6135" s="1"/>
      <c r="K6135" s="1"/>
      <c r="L6135" s="1"/>
      <c r="O6135" s="475"/>
      <c r="P6135" s="475"/>
      <c r="Q6135" s="475"/>
      <c r="R6135" s="475"/>
      <c r="S6135" s="475"/>
      <c r="T6135" s="475"/>
      <c r="U6135" s="475"/>
      <c r="V6135" s="475"/>
      <c r="W6135" s="475"/>
    </row>
    <row r="6136" spans="2:23" s="97" customFormat="1">
      <c r="B6136" s="96"/>
      <c r="H6136" s="96"/>
      <c r="J6136" s="1"/>
      <c r="K6136" s="1"/>
      <c r="L6136" s="1"/>
      <c r="O6136" s="475"/>
      <c r="P6136" s="475"/>
      <c r="Q6136" s="475"/>
      <c r="R6136" s="475"/>
      <c r="S6136" s="475"/>
      <c r="T6136" s="475"/>
      <c r="U6136" s="475"/>
      <c r="V6136" s="475"/>
      <c r="W6136" s="475"/>
    </row>
    <row r="6137" spans="2:23" s="97" customFormat="1">
      <c r="B6137" s="96"/>
      <c r="H6137" s="96"/>
      <c r="J6137" s="1"/>
      <c r="K6137" s="1"/>
      <c r="L6137" s="1"/>
      <c r="O6137" s="475"/>
      <c r="P6137" s="475"/>
      <c r="Q6137" s="475"/>
      <c r="R6137" s="475"/>
      <c r="S6137" s="475"/>
      <c r="T6137" s="475"/>
      <c r="U6137" s="475"/>
      <c r="V6137" s="475"/>
      <c r="W6137" s="475"/>
    </row>
    <row r="6138" spans="2:23" s="97" customFormat="1">
      <c r="B6138" s="96"/>
      <c r="H6138" s="96"/>
      <c r="J6138" s="1"/>
      <c r="K6138" s="1"/>
      <c r="L6138" s="1"/>
      <c r="O6138" s="475"/>
      <c r="P6138" s="475"/>
      <c r="Q6138" s="475"/>
      <c r="R6138" s="475"/>
      <c r="S6138" s="475"/>
      <c r="T6138" s="475"/>
      <c r="U6138" s="475"/>
      <c r="V6138" s="475"/>
      <c r="W6138" s="475"/>
    </row>
    <row r="6139" spans="2:23" s="97" customFormat="1">
      <c r="B6139" s="96"/>
      <c r="H6139" s="96"/>
      <c r="J6139" s="1"/>
      <c r="K6139" s="1"/>
      <c r="L6139" s="1"/>
      <c r="O6139" s="475"/>
      <c r="P6139" s="475"/>
      <c r="Q6139" s="475"/>
      <c r="R6139" s="475"/>
      <c r="S6139" s="475"/>
      <c r="T6139" s="475"/>
      <c r="U6139" s="475"/>
      <c r="V6139" s="475"/>
      <c r="W6139" s="475"/>
    </row>
    <row r="6140" spans="2:23" s="97" customFormat="1">
      <c r="B6140" s="96"/>
      <c r="H6140" s="96"/>
      <c r="J6140" s="1"/>
      <c r="K6140" s="1"/>
      <c r="L6140" s="1"/>
      <c r="O6140" s="475"/>
      <c r="P6140" s="475"/>
      <c r="Q6140" s="475"/>
      <c r="R6140" s="475"/>
      <c r="S6140" s="475"/>
      <c r="T6140" s="475"/>
      <c r="U6140" s="475"/>
      <c r="V6140" s="475"/>
      <c r="W6140" s="475"/>
    </row>
    <row r="6141" spans="2:23" s="97" customFormat="1">
      <c r="B6141" s="96"/>
      <c r="H6141" s="96"/>
      <c r="J6141" s="1"/>
      <c r="K6141" s="1"/>
      <c r="L6141" s="1"/>
      <c r="O6141" s="475"/>
      <c r="P6141" s="475"/>
      <c r="Q6141" s="475"/>
      <c r="R6141" s="475"/>
      <c r="S6141" s="475"/>
      <c r="T6141" s="475"/>
      <c r="U6141" s="475"/>
      <c r="V6141" s="475"/>
      <c r="W6141" s="475"/>
    </row>
    <row r="6142" spans="2:23" s="97" customFormat="1">
      <c r="B6142" s="96"/>
      <c r="H6142" s="96"/>
      <c r="J6142" s="1"/>
      <c r="K6142" s="1"/>
      <c r="L6142" s="1"/>
      <c r="O6142" s="475"/>
      <c r="P6142" s="475"/>
      <c r="Q6142" s="475"/>
      <c r="R6142" s="475"/>
      <c r="S6142" s="475"/>
      <c r="T6142" s="475"/>
      <c r="U6142" s="475"/>
      <c r="V6142" s="475"/>
      <c r="W6142" s="475"/>
    </row>
    <row r="6143" spans="2:23" s="97" customFormat="1">
      <c r="B6143" s="96"/>
      <c r="H6143" s="96"/>
      <c r="J6143" s="1"/>
      <c r="K6143" s="1"/>
      <c r="L6143" s="1"/>
      <c r="O6143" s="475"/>
      <c r="P6143" s="475"/>
      <c r="Q6143" s="475"/>
      <c r="R6143" s="475"/>
      <c r="S6143" s="475"/>
      <c r="T6143" s="475"/>
      <c r="U6143" s="475"/>
      <c r="V6143" s="475"/>
      <c r="W6143" s="475"/>
    </row>
    <row r="6144" spans="2:23" s="97" customFormat="1">
      <c r="B6144" s="96"/>
      <c r="H6144" s="96"/>
      <c r="J6144" s="1"/>
      <c r="K6144" s="1"/>
      <c r="L6144" s="1"/>
      <c r="O6144" s="475"/>
      <c r="P6144" s="475"/>
      <c r="Q6144" s="475"/>
      <c r="R6144" s="475"/>
      <c r="S6144" s="475"/>
      <c r="T6144" s="475"/>
      <c r="U6144" s="475"/>
      <c r="V6144" s="475"/>
      <c r="W6144" s="475"/>
    </row>
    <row r="6145" spans="2:23" s="97" customFormat="1">
      <c r="B6145" s="96"/>
      <c r="H6145" s="96"/>
      <c r="J6145" s="1"/>
      <c r="K6145" s="1"/>
      <c r="L6145" s="1"/>
      <c r="O6145" s="475"/>
      <c r="P6145" s="475"/>
      <c r="Q6145" s="475"/>
      <c r="R6145" s="475"/>
      <c r="S6145" s="475"/>
      <c r="T6145" s="475"/>
      <c r="U6145" s="475"/>
      <c r="V6145" s="475"/>
      <c r="W6145" s="475"/>
    </row>
    <row r="6146" spans="2:23" s="97" customFormat="1">
      <c r="B6146" s="96"/>
      <c r="H6146" s="96"/>
      <c r="J6146" s="1"/>
      <c r="K6146" s="1"/>
      <c r="L6146" s="1"/>
      <c r="O6146" s="475"/>
      <c r="P6146" s="475"/>
      <c r="Q6146" s="475"/>
      <c r="R6146" s="475"/>
      <c r="S6146" s="475"/>
      <c r="T6146" s="475"/>
      <c r="U6146" s="475"/>
      <c r="V6146" s="475"/>
      <c r="W6146" s="475"/>
    </row>
    <row r="6147" spans="2:23" s="97" customFormat="1">
      <c r="B6147" s="96"/>
      <c r="H6147" s="96"/>
      <c r="J6147" s="1"/>
      <c r="K6147" s="1"/>
      <c r="L6147" s="1"/>
      <c r="O6147" s="475"/>
      <c r="P6147" s="475"/>
      <c r="Q6147" s="475"/>
      <c r="R6147" s="475"/>
      <c r="S6147" s="475"/>
      <c r="T6147" s="475"/>
      <c r="U6147" s="475"/>
      <c r="V6147" s="475"/>
      <c r="W6147" s="475"/>
    </row>
    <row r="6148" spans="2:23" s="97" customFormat="1">
      <c r="B6148" s="96"/>
      <c r="H6148" s="96"/>
      <c r="J6148" s="1"/>
      <c r="K6148" s="1"/>
      <c r="L6148" s="1"/>
      <c r="O6148" s="475"/>
      <c r="P6148" s="475"/>
      <c r="Q6148" s="475"/>
      <c r="R6148" s="475"/>
      <c r="S6148" s="475"/>
      <c r="T6148" s="475"/>
      <c r="U6148" s="475"/>
      <c r="V6148" s="475"/>
      <c r="W6148" s="475"/>
    </row>
    <row r="6149" spans="2:23" s="97" customFormat="1">
      <c r="B6149" s="96"/>
      <c r="H6149" s="96"/>
      <c r="J6149" s="1"/>
      <c r="K6149" s="1"/>
      <c r="L6149" s="1"/>
      <c r="O6149" s="475"/>
      <c r="P6149" s="475"/>
      <c r="Q6149" s="475"/>
      <c r="R6149" s="475"/>
      <c r="S6149" s="475"/>
      <c r="T6149" s="475"/>
      <c r="U6149" s="475"/>
      <c r="V6149" s="475"/>
      <c r="W6149" s="475"/>
    </row>
    <row r="6150" spans="2:23" s="97" customFormat="1">
      <c r="B6150" s="96"/>
      <c r="H6150" s="96"/>
      <c r="J6150" s="1"/>
      <c r="K6150" s="1"/>
      <c r="L6150" s="1"/>
      <c r="O6150" s="475"/>
      <c r="P6150" s="475"/>
      <c r="Q6150" s="475"/>
      <c r="R6150" s="475"/>
      <c r="S6150" s="475"/>
      <c r="T6150" s="475"/>
      <c r="U6150" s="475"/>
      <c r="V6150" s="475"/>
      <c r="W6150" s="475"/>
    </row>
    <row r="6151" spans="2:23" s="97" customFormat="1">
      <c r="B6151" s="96"/>
      <c r="H6151" s="96"/>
      <c r="J6151" s="1"/>
      <c r="K6151" s="1"/>
      <c r="L6151" s="1"/>
      <c r="O6151" s="475"/>
      <c r="P6151" s="475"/>
      <c r="Q6151" s="475"/>
      <c r="R6151" s="475"/>
      <c r="S6151" s="475"/>
      <c r="T6151" s="475"/>
      <c r="U6151" s="475"/>
      <c r="V6151" s="475"/>
      <c r="W6151" s="475"/>
    </row>
    <row r="6152" spans="2:23" s="97" customFormat="1">
      <c r="B6152" s="96"/>
      <c r="H6152" s="96"/>
      <c r="J6152" s="1"/>
      <c r="K6152" s="1"/>
      <c r="L6152" s="1"/>
      <c r="O6152" s="475"/>
      <c r="P6152" s="475"/>
      <c r="Q6152" s="475"/>
      <c r="R6152" s="475"/>
      <c r="S6152" s="475"/>
      <c r="T6152" s="475"/>
      <c r="U6152" s="475"/>
      <c r="V6152" s="475"/>
      <c r="W6152" s="475"/>
    </row>
    <row r="6153" spans="2:23" s="97" customFormat="1">
      <c r="B6153" s="96"/>
      <c r="H6153" s="96"/>
      <c r="J6153" s="1"/>
      <c r="K6153" s="1"/>
      <c r="L6153" s="1"/>
      <c r="O6153" s="475"/>
      <c r="P6153" s="475"/>
      <c r="Q6153" s="475"/>
      <c r="R6153" s="475"/>
      <c r="S6153" s="475"/>
      <c r="T6153" s="475"/>
      <c r="U6153" s="475"/>
      <c r="V6153" s="475"/>
      <c r="W6153" s="475"/>
    </row>
    <row r="6154" spans="2:23" s="97" customFormat="1">
      <c r="B6154" s="96"/>
      <c r="H6154" s="96"/>
      <c r="J6154" s="1"/>
      <c r="K6154" s="1"/>
      <c r="L6154" s="1"/>
      <c r="O6154" s="475"/>
      <c r="P6154" s="475"/>
      <c r="Q6154" s="475"/>
      <c r="R6154" s="475"/>
      <c r="S6154" s="475"/>
      <c r="T6154" s="475"/>
      <c r="U6154" s="475"/>
      <c r="V6154" s="475"/>
      <c r="W6154" s="475"/>
    </row>
    <row r="6155" spans="2:23" s="97" customFormat="1">
      <c r="B6155" s="96"/>
      <c r="H6155" s="96"/>
      <c r="J6155" s="1"/>
      <c r="K6155" s="1"/>
      <c r="L6155" s="1"/>
      <c r="O6155" s="475"/>
      <c r="P6155" s="475"/>
      <c r="Q6155" s="475"/>
      <c r="R6155" s="475"/>
      <c r="S6155" s="475"/>
      <c r="T6155" s="475"/>
      <c r="U6155" s="475"/>
      <c r="V6155" s="475"/>
      <c r="W6155" s="475"/>
    </row>
    <row r="6156" spans="2:23" s="97" customFormat="1">
      <c r="B6156" s="96"/>
      <c r="H6156" s="96"/>
      <c r="J6156" s="1"/>
      <c r="K6156" s="1"/>
      <c r="L6156" s="1"/>
      <c r="O6156" s="475"/>
      <c r="P6156" s="475"/>
      <c r="Q6156" s="475"/>
      <c r="R6156" s="475"/>
      <c r="S6156" s="475"/>
      <c r="T6156" s="475"/>
      <c r="U6156" s="475"/>
      <c r="V6156" s="475"/>
      <c r="W6156" s="475"/>
    </row>
    <row r="6157" spans="2:23" s="97" customFormat="1">
      <c r="B6157" s="96"/>
      <c r="H6157" s="96"/>
      <c r="J6157" s="1"/>
      <c r="K6157" s="1"/>
      <c r="L6157" s="1"/>
      <c r="O6157" s="475"/>
      <c r="P6157" s="475"/>
      <c r="Q6157" s="475"/>
      <c r="R6157" s="475"/>
      <c r="S6157" s="475"/>
      <c r="T6157" s="475"/>
      <c r="U6157" s="475"/>
      <c r="V6157" s="475"/>
      <c r="W6157" s="475"/>
    </row>
    <row r="6158" spans="2:23" s="97" customFormat="1">
      <c r="B6158" s="96"/>
      <c r="H6158" s="96"/>
      <c r="J6158" s="1"/>
      <c r="K6158" s="1"/>
      <c r="L6158" s="1"/>
      <c r="O6158" s="475"/>
      <c r="P6158" s="475"/>
      <c r="Q6158" s="475"/>
      <c r="R6158" s="475"/>
      <c r="S6158" s="475"/>
      <c r="T6158" s="475"/>
      <c r="U6158" s="475"/>
      <c r="V6158" s="475"/>
      <c r="W6158" s="475"/>
    </row>
    <row r="6159" spans="2:23" s="97" customFormat="1">
      <c r="B6159" s="96"/>
      <c r="H6159" s="96"/>
      <c r="J6159" s="1"/>
      <c r="K6159" s="1"/>
      <c r="L6159" s="1"/>
      <c r="O6159" s="475"/>
      <c r="P6159" s="475"/>
      <c r="Q6159" s="475"/>
      <c r="R6159" s="475"/>
      <c r="S6159" s="475"/>
      <c r="T6159" s="475"/>
      <c r="U6159" s="475"/>
      <c r="V6159" s="475"/>
      <c r="W6159" s="475"/>
    </row>
    <row r="6160" spans="2:23" s="97" customFormat="1">
      <c r="B6160" s="96"/>
      <c r="H6160" s="96"/>
      <c r="J6160" s="1"/>
      <c r="K6160" s="1"/>
      <c r="L6160" s="1"/>
      <c r="O6160" s="475"/>
      <c r="P6160" s="475"/>
      <c r="Q6160" s="475"/>
      <c r="R6160" s="475"/>
      <c r="S6160" s="475"/>
      <c r="T6160" s="475"/>
      <c r="U6160" s="475"/>
      <c r="V6160" s="475"/>
      <c r="W6160" s="475"/>
    </row>
    <row r="6161" spans="2:23" s="97" customFormat="1">
      <c r="B6161" s="96"/>
      <c r="H6161" s="96"/>
      <c r="J6161" s="1"/>
      <c r="K6161" s="1"/>
      <c r="L6161" s="1"/>
      <c r="O6161" s="475"/>
      <c r="P6161" s="475"/>
      <c r="Q6161" s="475"/>
      <c r="R6161" s="475"/>
      <c r="S6161" s="475"/>
      <c r="T6161" s="475"/>
      <c r="U6161" s="475"/>
      <c r="V6161" s="475"/>
      <c r="W6161" s="475"/>
    </row>
    <row r="6162" spans="2:23" s="97" customFormat="1">
      <c r="B6162" s="96"/>
      <c r="H6162" s="96"/>
      <c r="J6162" s="1"/>
      <c r="K6162" s="1"/>
      <c r="L6162" s="1"/>
      <c r="O6162" s="475"/>
      <c r="P6162" s="475"/>
      <c r="Q6162" s="475"/>
      <c r="R6162" s="475"/>
      <c r="S6162" s="475"/>
      <c r="T6162" s="475"/>
      <c r="U6162" s="475"/>
      <c r="V6162" s="475"/>
      <c r="W6162" s="475"/>
    </row>
    <row r="6163" spans="2:23" s="97" customFormat="1">
      <c r="B6163" s="96"/>
      <c r="H6163" s="96"/>
      <c r="J6163" s="1"/>
      <c r="K6163" s="1"/>
      <c r="L6163" s="1"/>
      <c r="O6163" s="475"/>
      <c r="P6163" s="475"/>
      <c r="Q6163" s="475"/>
      <c r="R6163" s="475"/>
      <c r="S6163" s="475"/>
      <c r="T6163" s="475"/>
      <c r="U6163" s="475"/>
      <c r="V6163" s="475"/>
      <c r="W6163" s="475"/>
    </row>
    <row r="6164" spans="2:23" s="97" customFormat="1">
      <c r="B6164" s="96"/>
      <c r="H6164" s="96"/>
      <c r="J6164" s="1"/>
      <c r="K6164" s="1"/>
      <c r="L6164" s="1"/>
      <c r="O6164" s="475"/>
      <c r="P6164" s="475"/>
      <c r="Q6164" s="475"/>
      <c r="R6164" s="475"/>
      <c r="S6164" s="475"/>
      <c r="T6164" s="475"/>
      <c r="U6164" s="475"/>
      <c r="V6164" s="475"/>
      <c r="W6164" s="475"/>
    </row>
    <row r="6165" spans="2:23" s="97" customFormat="1">
      <c r="B6165" s="96"/>
      <c r="H6165" s="96"/>
      <c r="J6165" s="1"/>
      <c r="K6165" s="1"/>
      <c r="L6165" s="1"/>
      <c r="O6165" s="475"/>
      <c r="P6165" s="475"/>
      <c r="Q6165" s="475"/>
      <c r="R6165" s="475"/>
      <c r="S6165" s="475"/>
      <c r="T6165" s="475"/>
      <c r="U6165" s="475"/>
      <c r="V6165" s="475"/>
      <c r="W6165" s="475"/>
    </row>
    <row r="6166" spans="2:23" s="97" customFormat="1">
      <c r="B6166" s="96"/>
      <c r="H6166" s="96"/>
      <c r="J6166" s="1"/>
      <c r="K6166" s="1"/>
      <c r="L6166" s="1"/>
      <c r="O6166" s="475"/>
      <c r="P6166" s="475"/>
      <c r="Q6166" s="475"/>
      <c r="R6166" s="475"/>
      <c r="S6166" s="475"/>
      <c r="T6166" s="475"/>
      <c r="U6166" s="475"/>
      <c r="V6166" s="475"/>
      <c r="W6166" s="475"/>
    </row>
    <row r="6167" spans="2:23" s="97" customFormat="1">
      <c r="B6167" s="96"/>
      <c r="H6167" s="96"/>
      <c r="J6167" s="1"/>
      <c r="K6167" s="1"/>
      <c r="L6167" s="1"/>
      <c r="O6167" s="475"/>
      <c r="P6167" s="475"/>
      <c r="Q6167" s="475"/>
      <c r="R6167" s="475"/>
      <c r="S6167" s="475"/>
      <c r="T6167" s="475"/>
      <c r="U6167" s="475"/>
      <c r="V6167" s="475"/>
      <c r="W6167" s="475"/>
    </row>
    <row r="6168" spans="2:23" s="97" customFormat="1">
      <c r="B6168" s="96"/>
      <c r="H6168" s="96"/>
      <c r="J6168" s="1"/>
      <c r="K6168" s="1"/>
      <c r="L6168" s="1"/>
      <c r="O6168" s="475"/>
      <c r="P6168" s="475"/>
      <c r="Q6168" s="475"/>
      <c r="R6168" s="475"/>
      <c r="S6168" s="475"/>
      <c r="T6168" s="475"/>
      <c r="U6168" s="475"/>
      <c r="V6168" s="475"/>
      <c r="W6168" s="475"/>
    </row>
    <row r="6169" spans="2:23" s="97" customFormat="1">
      <c r="B6169" s="96"/>
      <c r="H6169" s="96"/>
      <c r="J6169" s="1"/>
      <c r="K6169" s="1"/>
      <c r="L6169" s="1"/>
      <c r="O6169" s="475"/>
      <c r="P6169" s="475"/>
      <c r="Q6169" s="475"/>
      <c r="R6169" s="475"/>
      <c r="S6169" s="475"/>
      <c r="T6169" s="475"/>
      <c r="U6169" s="475"/>
      <c r="V6169" s="475"/>
      <c r="W6169" s="475"/>
    </row>
    <row r="6170" spans="2:23" s="97" customFormat="1">
      <c r="B6170" s="96"/>
      <c r="H6170" s="96"/>
      <c r="J6170" s="1"/>
      <c r="K6170" s="1"/>
      <c r="L6170" s="1"/>
      <c r="O6170" s="475"/>
      <c r="P6170" s="475"/>
      <c r="Q6170" s="475"/>
      <c r="R6170" s="475"/>
      <c r="S6170" s="475"/>
      <c r="T6170" s="475"/>
      <c r="U6170" s="475"/>
      <c r="V6170" s="475"/>
      <c r="W6170" s="475"/>
    </row>
    <row r="6171" spans="2:23" s="97" customFormat="1">
      <c r="B6171" s="96"/>
      <c r="H6171" s="96"/>
      <c r="J6171" s="1"/>
      <c r="K6171" s="1"/>
      <c r="L6171" s="1"/>
      <c r="O6171" s="475"/>
      <c r="P6171" s="475"/>
      <c r="Q6171" s="475"/>
      <c r="R6171" s="475"/>
      <c r="S6171" s="475"/>
      <c r="T6171" s="475"/>
      <c r="U6171" s="475"/>
      <c r="V6171" s="475"/>
      <c r="W6171" s="475"/>
    </row>
    <row r="6172" spans="2:23" s="97" customFormat="1">
      <c r="B6172" s="96"/>
      <c r="H6172" s="96"/>
      <c r="J6172" s="1"/>
      <c r="K6172" s="1"/>
      <c r="L6172" s="1"/>
      <c r="O6172" s="475"/>
      <c r="P6172" s="475"/>
      <c r="Q6172" s="475"/>
      <c r="R6172" s="475"/>
      <c r="S6172" s="475"/>
      <c r="T6172" s="475"/>
      <c r="U6172" s="475"/>
      <c r="V6172" s="475"/>
      <c r="W6172" s="475"/>
    </row>
    <row r="6173" spans="2:23" s="97" customFormat="1">
      <c r="B6173" s="96"/>
      <c r="H6173" s="96"/>
      <c r="J6173" s="1"/>
      <c r="K6173" s="1"/>
      <c r="L6173" s="1"/>
      <c r="O6173" s="475"/>
      <c r="P6173" s="475"/>
      <c r="Q6173" s="475"/>
      <c r="R6173" s="475"/>
      <c r="S6173" s="475"/>
      <c r="T6173" s="475"/>
      <c r="U6173" s="475"/>
      <c r="V6173" s="475"/>
      <c r="W6173" s="475"/>
    </row>
    <row r="6174" spans="2:23" s="97" customFormat="1">
      <c r="B6174" s="96"/>
      <c r="H6174" s="96"/>
      <c r="J6174" s="1"/>
      <c r="K6174" s="1"/>
      <c r="L6174" s="1"/>
      <c r="O6174" s="475"/>
      <c r="P6174" s="475"/>
      <c r="Q6174" s="475"/>
      <c r="R6174" s="475"/>
      <c r="S6174" s="475"/>
      <c r="T6174" s="475"/>
      <c r="U6174" s="475"/>
      <c r="V6174" s="475"/>
      <c r="W6174" s="475"/>
    </row>
    <row r="6175" spans="2:23" s="97" customFormat="1">
      <c r="B6175" s="96"/>
      <c r="H6175" s="96"/>
      <c r="J6175" s="1"/>
      <c r="K6175" s="1"/>
      <c r="L6175" s="1"/>
      <c r="O6175" s="475"/>
      <c r="P6175" s="475"/>
      <c r="Q6175" s="475"/>
      <c r="R6175" s="475"/>
      <c r="S6175" s="475"/>
      <c r="T6175" s="475"/>
      <c r="U6175" s="475"/>
      <c r="V6175" s="475"/>
      <c r="W6175" s="475"/>
    </row>
    <row r="6176" spans="2:23" s="97" customFormat="1">
      <c r="B6176" s="96"/>
      <c r="H6176" s="96"/>
      <c r="J6176" s="1"/>
      <c r="K6176" s="1"/>
      <c r="L6176" s="1"/>
      <c r="O6176" s="475"/>
      <c r="P6176" s="475"/>
      <c r="Q6176" s="475"/>
      <c r="R6176" s="475"/>
      <c r="S6176" s="475"/>
      <c r="T6176" s="475"/>
      <c r="U6176" s="475"/>
      <c r="V6176" s="475"/>
      <c r="W6176" s="475"/>
    </row>
    <row r="6177" spans="2:23" s="97" customFormat="1">
      <c r="B6177" s="96"/>
      <c r="H6177" s="96"/>
      <c r="J6177" s="1"/>
      <c r="K6177" s="1"/>
      <c r="L6177" s="1"/>
      <c r="O6177" s="475"/>
      <c r="P6177" s="475"/>
      <c r="Q6177" s="475"/>
      <c r="R6177" s="475"/>
      <c r="S6177" s="475"/>
      <c r="T6177" s="475"/>
      <c r="U6177" s="475"/>
      <c r="V6177" s="475"/>
      <c r="W6177" s="475"/>
    </row>
    <row r="6178" spans="2:23" s="97" customFormat="1">
      <c r="B6178" s="96"/>
      <c r="H6178" s="96"/>
      <c r="J6178" s="1"/>
      <c r="K6178" s="1"/>
      <c r="L6178" s="1"/>
      <c r="O6178" s="475"/>
      <c r="P6178" s="475"/>
      <c r="Q6178" s="475"/>
      <c r="R6178" s="475"/>
      <c r="S6178" s="475"/>
      <c r="T6178" s="475"/>
      <c r="U6178" s="475"/>
      <c r="V6178" s="475"/>
      <c r="W6178" s="475"/>
    </row>
    <row r="6179" spans="2:23" s="97" customFormat="1">
      <c r="B6179" s="96"/>
      <c r="H6179" s="96"/>
      <c r="J6179" s="1"/>
      <c r="K6179" s="1"/>
      <c r="L6179" s="1"/>
      <c r="O6179" s="475"/>
      <c r="P6179" s="475"/>
      <c r="Q6179" s="475"/>
      <c r="R6179" s="475"/>
      <c r="S6179" s="475"/>
      <c r="T6179" s="475"/>
      <c r="U6179" s="475"/>
      <c r="V6179" s="475"/>
      <c r="W6179" s="475"/>
    </row>
    <row r="6180" spans="2:23" s="97" customFormat="1">
      <c r="B6180" s="96"/>
      <c r="H6180" s="96"/>
      <c r="J6180" s="1"/>
      <c r="K6180" s="1"/>
      <c r="L6180" s="1"/>
      <c r="O6180" s="475"/>
      <c r="P6180" s="475"/>
      <c r="Q6180" s="475"/>
      <c r="R6180" s="475"/>
      <c r="S6180" s="475"/>
      <c r="T6180" s="475"/>
      <c r="U6180" s="475"/>
      <c r="V6180" s="475"/>
      <c r="W6180" s="475"/>
    </row>
    <row r="6181" spans="2:23" s="97" customFormat="1">
      <c r="B6181" s="96"/>
      <c r="H6181" s="96"/>
      <c r="J6181" s="1"/>
      <c r="K6181" s="1"/>
      <c r="L6181" s="1"/>
      <c r="O6181" s="475"/>
      <c r="P6181" s="475"/>
      <c r="Q6181" s="475"/>
      <c r="R6181" s="475"/>
      <c r="S6181" s="475"/>
      <c r="T6181" s="475"/>
      <c r="U6181" s="475"/>
      <c r="V6181" s="475"/>
      <c r="W6181" s="475"/>
    </row>
    <row r="6182" spans="2:23" s="97" customFormat="1">
      <c r="B6182" s="96"/>
      <c r="H6182" s="96"/>
      <c r="J6182" s="1"/>
      <c r="K6182" s="1"/>
      <c r="L6182" s="1"/>
      <c r="O6182" s="475"/>
      <c r="P6182" s="475"/>
      <c r="Q6182" s="475"/>
      <c r="R6182" s="475"/>
      <c r="S6182" s="475"/>
      <c r="T6182" s="475"/>
      <c r="U6182" s="475"/>
      <c r="V6182" s="475"/>
      <c r="W6182" s="475"/>
    </row>
    <row r="6183" spans="2:23" s="97" customFormat="1">
      <c r="B6183" s="96"/>
      <c r="H6183" s="96"/>
      <c r="J6183" s="1"/>
      <c r="K6183" s="1"/>
      <c r="L6183" s="1"/>
      <c r="O6183" s="475"/>
      <c r="P6183" s="475"/>
      <c r="Q6183" s="475"/>
      <c r="R6183" s="475"/>
      <c r="S6183" s="475"/>
      <c r="T6183" s="475"/>
      <c r="U6183" s="475"/>
      <c r="V6183" s="475"/>
      <c r="W6183" s="475"/>
    </row>
    <row r="6184" spans="2:23" s="97" customFormat="1">
      <c r="B6184" s="96"/>
      <c r="H6184" s="96"/>
      <c r="J6184" s="1"/>
      <c r="K6184" s="1"/>
      <c r="L6184" s="1"/>
      <c r="O6184" s="475"/>
      <c r="P6184" s="475"/>
      <c r="Q6184" s="475"/>
      <c r="R6184" s="475"/>
      <c r="S6184" s="475"/>
      <c r="T6184" s="475"/>
      <c r="U6184" s="475"/>
      <c r="V6184" s="475"/>
      <c r="W6184" s="475"/>
    </row>
    <row r="6185" spans="2:23" s="97" customFormat="1">
      <c r="B6185" s="96"/>
      <c r="H6185" s="96"/>
      <c r="J6185" s="1"/>
      <c r="K6185" s="1"/>
      <c r="L6185" s="1"/>
      <c r="O6185" s="475"/>
      <c r="P6185" s="475"/>
      <c r="Q6185" s="475"/>
      <c r="R6185" s="475"/>
      <c r="S6185" s="475"/>
      <c r="T6185" s="475"/>
      <c r="U6185" s="475"/>
      <c r="V6185" s="475"/>
      <c r="W6185" s="475"/>
    </row>
    <row r="6186" spans="2:23" s="97" customFormat="1">
      <c r="B6186" s="96"/>
      <c r="H6186" s="96"/>
      <c r="J6186" s="1"/>
      <c r="K6186" s="1"/>
      <c r="L6186" s="1"/>
      <c r="O6186" s="475"/>
      <c r="P6186" s="475"/>
      <c r="Q6186" s="475"/>
      <c r="R6186" s="475"/>
      <c r="S6186" s="475"/>
      <c r="T6186" s="475"/>
      <c r="U6186" s="475"/>
      <c r="V6186" s="475"/>
      <c r="W6186" s="475"/>
    </row>
    <row r="6187" spans="2:23" s="97" customFormat="1">
      <c r="B6187" s="96"/>
      <c r="H6187" s="96"/>
      <c r="J6187" s="1"/>
      <c r="K6187" s="1"/>
      <c r="L6187" s="1"/>
      <c r="O6187" s="475"/>
      <c r="P6187" s="475"/>
      <c r="Q6187" s="475"/>
      <c r="R6187" s="475"/>
      <c r="S6187" s="475"/>
      <c r="T6187" s="475"/>
      <c r="U6187" s="475"/>
      <c r="V6187" s="475"/>
      <c r="W6187" s="475"/>
    </row>
    <row r="6188" spans="2:23" s="97" customFormat="1">
      <c r="B6188" s="96"/>
      <c r="H6188" s="96"/>
      <c r="J6188" s="1"/>
      <c r="K6188" s="1"/>
      <c r="L6188" s="1"/>
      <c r="O6188" s="475"/>
      <c r="P6188" s="475"/>
      <c r="Q6188" s="475"/>
      <c r="R6188" s="475"/>
      <c r="S6188" s="475"/>
      <c r="T6188" s="475"/>
      <c r="U6188" s="475"/>
      <c r="V6188" s="475"/>
      <c r="W6188" s="475"/>
    </row>
    <row r="6189" spans="2:23" s="97" customFormat="1">
      <c r="B6189" s="96"/>
      <c r="H6189" s="96"/>
      <c r="J6189" s="1"/>
      <c r="K6189" s="1"/>
      <c r="L6189" s="1"/>
      <c r="O6189" s="475"/>
      <c r="P6189" s="475"/>
      <c r="Q6189" s="475"/>
      <c r="R6189" s="475"/>
      <c r="S6189" s="475"/>
      <c r="T6189" s="475"/>
      <c r="U6189" s="475"/>
      <c r="V6189" s="475"/>
      <c r="W6189" s="475"/>
    </row>
    <row r="6190" spans="2:23" s="97" customFormat="1">
      <c r="B6190" s="96"/>
      <c r="H6190" s="96"/>
      <c r="J6190" s="1"/>
      <c r="K6190" s="1"/>
      <c r="L6190" s="1"/>
      <c r="O6190" s="475"/>
      <c r="P6190" s="475"/>
      <c r="Q6190" s="475"/>
      <c r="R6190" s="475"/>
      <c r="S6190" s="475"/>
      <c r="T6190" s="475"/>
      <c r="U6190" s="475"/>
      <c r="V6190" s="475"/>
      <c r="W6190" s="475"/>
    </row>
    <row r="6191" spans="2:23" s="97" customFormat="1">
      <c r="B6191" s="96"/>
      <c r="H6191" s="96"/>
      <c r="J6191" s="1"/>
      <c r="K6191" s="1"/>
      <c r="L6191" s="1"/>
      <c r="O6191" s="475"/>
      <c r="P6191" s="475"/>
      <c r="Q6191" s="475"/>
      <c r="R6191" s="475"/>
      <c r="S6191" s="475"/>
      <c r="T6191" s="475"/>
      <c r="U6191" s="475"/>
      <c r="V6191" s="475"/>
      <c r="W6191" s="475"/>
    </row>
    <row r="6192" spans="2:23" s="97" customFormat="1">
      <c r="B6192" s="96"/>
      <c r="H6192" s="96"/>
      <c r="J6192" s="1"/>
      <c r="K6192" s="1"/>
      <c r="L6192" s="1"/>
      <c r="O6192" s="475"/>
      <c r="P6192" s="475"/>
      <c r="Q6192" s="475"/>
      <c r="R6192" s="475"/>
      <c r="S6192" s="475"/>
      <c r="T6192" s="475"/>
      <c r="U6192" s="475"/>
      <c r="V6192" s="475"/>
      <c r="W6192" s="475"/>
    </row>
    <row r="6193" spans="2:23" s="97" customFormat="1">
      <c r="B6193" s="96"/>
      <c r="H6193" s="96"/>
      <c r="J6193" s="1"/>
      <c r="K6193" s="1"/>
      <c r="L6193" s="1"/>
      <c r="O6193" s="475"/>
      <c r="P6193" s="475"/>
      <c r="Q6193" s="475"/>
      <c r="R6193" s="475"/>
      <c r="S6193" s="475"/>
      <c r="T6193" s="475"/>
      <c r="U6193" s="475"/>
      <c r="V6193" s="475"/>
      <c r="W6193" s="475"/>
    </row>
    <row r="6194" spans="2:23" s="97" customFormat="1">
      <c r="B6194" s="96"/>
      <c r="H6194" s="96"/>
      <c r="J6194" s="1"/>
      <c r="K6194" s="1"/>
      <c r="L6194" s="1"/>
      <c r="O6194" s="475"/>
      <c r="P6194" s="475"/>
      <c r="Q6194" s="475"/>
      <c r="R6194" s="475"/>
      <c r="S6194" s="475"/>
      <c r="T6194" s="475"/>
      <c r="U6194" s="475"/>
      <c r="V6194" s="475"/>
      <c r="W6194" s="475"/>
    </row>
    <row r="6195" spans="2:23" s="97" customFormat="1">
      <c r="B6195" s="96"/>
      <c r="H6195" s="96"/>
      <c r="J6195" s="1"/>
      <c r="K6195" s="1"/>
      <c r="L6195" s="1"/>
      <c r="O6195" s="475"/>
      <c r="P6195" s="475"/>
      <c r="Q6195" s="475"/>
      <c r="R6195" s="475"/>
      <c r="S6195" s="475"/>
      <c r="T6195" s="475"/>
      <c r="U6195" s="475"/>
      <c r="V6195" s="475"/>
      <c r="W6195" s="475"/>
    </row>
    <row r="6196" spans="2:23" s="97" customFormat="1">
      <c r="B6196" s="96"/>
      <c r="H6196" s="96"/>
      <c r="J6196" s="1"/>
      <c r="K6196" s="1"/>
      <c r="L6196" s="1"/>
      <c r="O6196" s="475"/>
      <c r="P6196" s="475"/>
      <c r="Q6196" s="475"/>
      <c r="R6196" s="475"/>
      <c r="S6196" s="475"/>
      <c r="T6196" s="475"/>
      <c r="U6196" s="475"/>
      <c r="V6196" s="475"/>
      <c r="W6196" s="475"/>
    </row>
    <row r="6197" spans="2:23" s="97" customFormat="1">
      <c r="B6197" s="96"/>
      <c r="H6197" s="96"/>
      <c r="J6197" s="1"/>
      <c r="K6197" s="1"/>
      <c r="L6197" s="1"/>
      <c r="O6197" s="475"/>
      <c r="P6197" s="475"/>
      <c r="Q6197" s="475"/>
      <c r="R6197" s="475"/>
      <c r="S6197" s="475"/>
      <c r="T6197" s="475"/>
      <c r="U6197" s="475"/>
      <c r="V6197" s="475"/>
      <c r="W6197" s="475"/>
    </row>
    <row r="6198" spans="2:23" s="97" customFormat="1">
      <c r="B6198" s="96"/>
      <c r="H6198" s="96"/>
      <c r="J6198" s="1"/>
      <c r="K6198" s="1"/>
      <c r="L6198" s="1"/>
      <c r="O6198" s="475"/>
      <c r="P6198" s="475"/>
      <c r="Q6198" s="475"/>
      <c r="R6198" s="475"/>
      <c r="S6198" s="475"/>
      <c r="T6198" s="475"/>
      <c r="U6198" s="475"/>
      <c r="V6198" s="475"/>
      <c r="W6198" s="475"/>
    </row>
    <row r="6199" spans="2:23" s="97" customFormat="1">
      <c r="B6199" s="96"/>
      <c r="H6199" s="96"/>
      <c r="J6199" s="1"/>
      <c r="K6199" s="1"/>
      <c r="L6199" s="1"/>
      <c r="O6199" s="475"/>
      <c r="P6199" s="475"/>
      <c r="Q6199" s="475"/>
      <c r="R6199" s="475"/>
      <c r="S6199" s="475"/>
      <c r="T6199" s="475"/>
      <c r="U6199" s="475"/>
      <c r="V6199" s="475"/>
      <c r="W6199" s="475"/>
    </row>
    <row r="6200" spans="2:23" s="97" customFormat="1">
      <c r="B6200" s="96"/>
      <c r="H6200" s="96"/>
      <c r="J6200" s="1"/>
      <c r="K6200" s="1"/>
      <c r="L6200" s="1"/>
      <c r="O6200" s="475"/>
      <c r="P6200" s="475"/>
      <c r="Q6200" s="475"/>
      <c r="R6200" s="475"/>
      <c r="S6200" s="475"/>
      <c r="T6200" s="475"/>
      <c r="U6200" s="475"/>
      <c r="V6200" s="475"/>
      <c r="W6200" s="475"/>
    </row>
    <row r="6201" spans="2:23" s="97" customFormat="1">
      <c r="B6201" s="96"/>
      <c r="H6201" s="96"/>
      <c r="J6201" s="1"/>
      <c r="K6201" s="1"/>
      <c r="L6201" s="1"/>
      <c r="O6201" s="475"/>
      <c r="P6201" s="475"/>
      <c r="Q6201" s="475"/>
      <c r="R6201" s="475"/>
      <c r="S6201" s="475"/>
      <c r="T6201" s="475"/>
      <c r="U6201" s="475"/>
      <c r="V6201" s="475"/>
      <c r="W6201" s="475"/>
    </row>
    <row r="6202" spans="2:23" s="97" customFormat="1">
      <c r="B6202" s="96"/>
      <c r="H6202" s="96"/>
      <c r="J6202" s="1"/>
      <c r="K6202" s="1"/>
      <c r="L6202" s="1"/>
      <c r="O6202" s="475"/>
      <c r="P6202" s="475"/>
      <c r="Q6202" s="475"/>
      <c r="R6202" s="475"/>
      <c r="S6202" s="475"/>
      <c r="T6202" s="475"/>
      <c r="U6202" s="475"/>
      <c r="V6202" s="475"/>
      <c r="W6202" s="475"/>
    </row>
    <row r="6203" spans="2:23" s="97" customFormat="1">
      <c r="B6203" s="96"/>
      <c r="H6203" s="96"/>
      <c r="J6203" s="1"/>
      <c r="K6203" s="1"/>
      <c r="L6203" s="1"/>
      <c r="O6203" s="475"/>
      <c r="P6203" s="475"/>
      <c r="Q6203" s="475"/>
      <c r="R6203" s="475"/>
      <c r="S6203" s="475"/>
      <c r="T6203" s="475"/>
      <c r="U6203" s="475"/>
      <c r="V6203" s="475"/>
      <c r="W6203" s="475"/>
    </row>
    <row r="6204" spans="2:23" s="97" customFormat="1">
      <c r="B6204" s="96"/>
      <c r="H6204" s="96"/>
      <c r="J6204" s="1"/>
      <c r="K6204" s="1"/>
      <c r="L6204" s="1"/>
      <c r="O6204" s="475"/>
      <c r="P6204" s="475"/>
      <c r="Q6204" s="475"/>
      <c r="R6204" s="475"/>
      <c r="S6204" s="475"/>
      <c r="T6204" s="475"/>
      <c r="U6204" s="475"/>
      <c r="V6204" s="475"/>
      <c r="W6204" s="475"/>
    </row>
    <row r="6205" spans="2:23" s="97" customFormat="1">
      <c r="B6205" s="96"/>
      <c r="H6205" s="96"/>
      <c r="J6205" s="1"/>
      <c r="K6205" s="1"/>
      <c r="L6205" s="1"/>
      <c r="O6205" s="475"/>
      <c r="P6205" s="475"/>
      <c r="Q6205" s="475"/>
      <c r="R6205" s="475"/>
      <c r="S6205" s="475"/>
      <c r="T6205" s="475"/>
      <c r="U6205" s="475"/>
      <c r="V6205" s="475"/>
      <c r="W6205" s="475"/>
    </row>
    <row r="6206" spans="2:23" s="97" customFormat="1">
      <c r="B6206" s="96"/>
      <c r="H6206" s="96"/>
      <c r="J6206" s="1"/>
      <c r="K6206" s="1"/>
      <c r="L6206" s="1"/>
      <c r="O6206" s="475"/>
      <c r="P6206" s="475"/>
      <c r="Q6206" s="475"/>
      <c r="R6206" s="475"/>
      <c r="S6206" s="475"/>
      <c r="T6206" s="475"/>
      <c r="U6206" s="475"/>
      <c r="V6206" s="475"/>
      <c r="W6206" s="475"/>
    </row>
    <row r="6207" spans="2:23" s="97" customFormat="1">
      <c r="B6207" s="96"/>
      <c r="H6207" s="96"/>
      <c r="J6207" s="1"/>
      <c r="K6207" s="1"/>
      <c r="L6207" s="1"/>
      <c r="O6207" s="475"/>
      <c r="P6207" s="475"/>
      <c r="Q6207" s="475"/>
      <c r="R6207" s="475"/>
      <c r="S6207" s="475"/>
      <c r="T6207" s="475"/>
      <c r="U6207" s="475"/>
      <c r="V6207" s="475"/>
      <c r="W6207" s="475"/>
    </row>
    <row r="6208" spans="2:23" s="97" customFormat="1">
      <c r="B6208" s="96"/>
      <c r="H6208" s="96"/>
      <c r="J6208" s="1"/>
      <c r="K6208" s="1"/>
      <c r="L6208" s="1"/>
      <c r="O6208" s="475"/>
      <c r="P6208" s="475"/>
      <c r="Q6208" s="475"/>
      <c r="R6208" s="475"/>
      <c r="S6208" s="475"/>
      <c r="T6208" s="475"/>
      <c r="U6208" s="475"/>
      <c r="V6208" s="475"/>
      <c r="W6208" s="475"/>
    </row>
    <row r="6209" spans="2:23" s="97" customFormat="1">
      <c r="B6209" s="96"/>
      <c r="H6209" s="96"/>
      <c r="J6209" s="1"/>
      <c r="K6209" s="1"/>
      <c r="L6209" s="1"/>
      <c r="O6209" s="475"/>
      <c r="P6209" s="475"/>
      <c r="Q6209" s="475"/>
      <c r="R6209" s="475"/>
      <c r="S6209" s="475"/>
      <c r="T6209" s="475"/>
      <c r="U6209" s="475"/>
      <c r="V6209" s="475"/>
      <c r="W6209" s="475"/>
    </row>
    <row r="6210" spans="2:23" s="97" customFormat="1">
      <c r="B6210" s="96"/>
      <c r="H6210" s="96"/>
      <c r="J6210" s="1"/>
      <c r="K6210" s="1"/>
      <c r="L6210" s="1"/>
      <c r="O6210" s="475"/>
      <c r="P6210" s="475"/>
      <c r="Q6210" s="475"/>
      <c r="R6210" s="475"/>
      <c r="S6210" s="475"/>
      <c r="T6210" s="475"/>
      <c r="U6210" s="475"/>
      <c r="V6210" s="475"/>
      <c r="W6210" s="475"/>
    </row>
    <row r="6211" spans="2:23" s="97" customFormat="1">
      <c r="B6211" s="96"/>
      <c r="H6211" s="96"/>
      <c r="J6211" s="1"/>
      <c r="K6211" s="1"/>
      <c r="L6211" s="1"/>
      <c r="O6211" s="475"/>
      <c r="P6211" s="475"/>
      <c r="Q6211" s="475"/>
      <c r="R6211" s="475"/>
      <c r="S6211" s="475"/>
      <c r="T6211" s="475"/>
      <c r="U6211" s="475"/>
      <c r="V6211" s="475"/>
      <c r="W6211" s="475"/>
    </row>
    <row r="6212" spans="2:23" s="97" customFormat="1">
      <c r="B6212" s="96"/>
      <c r="H6212" s="96"/>
      <c r="J6212" s="1"/>
      <c r="K6212" s="1"/>
      <c r="L6212" s="1"/>
      <c r="O6212" s="475"/>
      <c r="P6212" s="475"/>
      <c r="Q6212" s="475"/>
      <c r="R6212" s="475"/>
      <c r="S6212" s="475"/>
      <c r="T6212" s="475"/>
      <c r="U6212" s="475"/>
      <c r="V6212" s="475"/>
      <c r="W6212" s="475"/>
    </row>
    <row r="6213" spans="2:23" s="97" customFormat="1">
      <c r="B6213" s="96"/>
      <c r="H6213" s="96"/>
      <c r="J6213" s="1"/>
      <c r="K6213" s="1"/>
      <c r="L6213" s="1"/>
      <c r="O6213" s="475"/>
      <c r="P6213" s="475"/>
      <c r="Q6213" s="475"/>
      <c r="R6213" s="475"/>
      <c r="S6213" s="475"/>
      <c r="T6213" s="475"/>
      <c r="U6213" s="475"/>
      <c r="V6213" s="475"/>
      <c r="W6213" s="475"/>
    </row>
    <row r="6214" spans="2:23" s="97" customFormat="1">
      <c r="B6214" s="96"/>
      <c r="H6214" s="96"/>
      <c r="J6214" s="1"/>
      <c r="K6214" s="1"/>
      <c r="L6214" s="1"/>
      <c r="O6214" s="475"/>
      <c r="P6214" s="475"/>
      <c r="Q6214" s="475"/>
      <c r="R6214" s="475"/>
      <c r="S6214" s="475"/>
      <c r="T6214" s="475"/>
      <c r="U6214" s="475"/>
      <c r="V6214" s="475"/>
      <c r="W6214" s="475"/>
    </row>
    <row r="6215" spans="2:23" s="97" customFormat="1">
      <c r="B6215" s="96"/>
      <c r="H6215" s="96"/>
      <c r="J6215" s="1"/>
      <c r="K6215" s="1"/>
      <c r="L6215" s="1"/>
      <c r="O6215" s="475"/>
      <c r="P6215" s="475"/>
      <c r="Q6215" s="475"/>
      <c r="R6215" s="475"/>
      <c r="S6215" s="475"/>
      <c r="T6215" s="475"/>
      <c r="U6215" s="475"/>
      <c r="V6215" s="475"/>
      <c r="W6215" s="475"/>
    </row>
    <row r="6216" spans="2:23" s="97" customFormat="1">
      <c r="B6216" s="96"/>
      <c r="H6216" s="96"/>
      <c r="J6216" s="1"/>
      <c r="K6216" s="1"/>
      <c r="L6216" s="1"/>
      <c r="O6216" s="475"/>
      <c r="P6216" s="475"/>
      <c r="Q6216" s="475"/>
      <c r="R6216" s="475"/>
      <c r="S6216" s="475"/>
      <c r="T6216" s="475"/>
      <c r="U6216" s="475"/>
      <c r="V6216" s="475"/>
      <c r="W6216" s="475"/>
    </row>
    <row r="6217" spans="2:23" s="97" customFormat="1">
      <c r="B6217" s="96"/>
      <c r="H6217" s="96"/>
      <c r="J6217" s="1"/>
      <c r="K6217" s="1"/>
      <c r="L6217" s="1"/>
      <c r="O6217" s="475"/>
      <c r="P6217" s="475"/>
      <c r="Q6217" s="475"/>
      <c r="R6217" s="475"/>
      <c r="S6217" s="475"/>
      <c r="T6217" s="475"/>
      <c r="U6217" s="475"/>
      <c r="V6217" s="475"/>
      <c r="W6217" s="475"/>
    </row>
    <row r="6218" spans="2:23" s="97" customFormat="1">
      <c r="B6218" s="96"/>
      <c r="H6218" s="96"/>
      <c r="J6218" s="1"/>
      <c r="K6218" s="1"/>
      <c r="L6218" s="1"/>
      <c r="O6218" s="475"/>
      <c r="P6218" s="475"/>
      <c r="Q6218" s="475"/>
      <c r="R6218" s="475"/>
      <c r="S6218" s="475"/>
      <c r="T6218" s="475"/>
      <c r="U6218" s="475"/>
      <c r="V6218" s="475"/>
      <c r="W6218" s="475"/>
    </row>
    <row r="6219" spans="2:23" s="97" customFormat="1">
      <c r="B6219" s="96"/>
      <c r="H6219" s="96"/>
      <c r="J6219" s="1"/>
      <c r="K6219" s="1"/>
      <c r="L6219" s="1"/>
      <c r="O6219" s="475"/>
      <c r="P6219" s="475"/>
      <c r="Q6219" s="475"/>
      <c r="R6219" s="475"/>
      <c r="S6219" s="475"/>
      <c r="T6219" s="475"/>
      <c r="U6219" s="475"/>
      <c r="V6219" s="475"/>
      <c r="W6219" s="475"/>
    </row>
    <row r="6220" spans="2:23" s="97" customFormat="1">
      <c r="B6220" s="96"/>
      <c r="H6220" s="96"/>
      <c r="J6220" s="1"/>
      <c r="K6220" s="1"/>
      <c r="L6220" s="1"/>
      <c r="O6220" s="475"/>
      <c r="P6220" s="475"/>
      <c r="Q6220" s="475"/>
      <c r="R6220" s="475"/>
      <c r="S6220" s="475"/>
      <c r="T6220" s="475"/>
      <c r="U6220" s="475"/>
      <c r="V6220" s="475"/>
      <c r="W6220" s="475"/>
    </row>
    <row r="6221" spans="2:23" s="97" customFormat="1">
      <c r="B6221" s="96"/>
      <c r="H6221" s="96"/>
      <c r="J6221" s="1"/>
      <c r="K6221" s="1"/>
      <c r="L6221" s="1"/>
      <c r="O6221" s="475"/>
      <c r="P6221" s="475"/>
      <c r="Q6221" s="475"/>
      <c r="R6221" s="475"/>
      <c r="S6221" s="475"/>
      <c r="T6221" s="475"/>
      <c r="U6221" s="475"/>
      <c r="V6221" s="475"/>
      <c r="W6221" s="475"/>
    </row>
    <row r="6222" spans="2:23" s="97" customFormat="1">
      <c r="B6222" s="96"/>
      <c r="H6222" s="96"/>
      <c r="J6222" s="1"/>
      <c r="K6222" s="1"/>
      <c r="L6222" s="1"/>
      <c r="O6222" s="475"/>
      <c r="P6222" s="475"/>
      <c r="Q6222" s="475"/>
      <c r="R6222" s="475"/>
      <c r="S6222" s="475"/>
      <c r="T6222" s="475"/>
      <c r="U6222" s="475"/>
      <c r="V6222" s="475"/>
      <c r="W6222" s="475"/>
    </row>
    <row r="6223" spans="2:23" s="97" customFormat="1">
      <c r="B6223" s="96"/>
      <c r="H6223" s="96"/>
      <c r="J6223" s="1"/>
      <c r="K6223" s="1"/>
      <c r="L6223" s="1"/>
      <c r="O6223" s="475"/>
      <c r="P6223" s="475"/>
      <c r="Q6223" s="475"/>
      <c r="R6223" s="475"/>
      <c r="S6223" s="475"/>
      <c r="T6223" s="475"/>
      <c r="U6223" s="475"/>
      <c r="V6223" s="475"/>
      <c r="W6223" s="475"/>
    </row>
    <row r="6224" spans="2:23" s="97" customFormat="1">
      <c r="B6224" s="96"/>
      <c r="H6224" s="96"/>
      <c r="J6224" s="1"/>
      <c r="K6224" s="1"/>
      <c r="L6224" s="1"/>
      <c r="O6224" s="475"/>
      <c r="P6224" s="475"/>
      <c r="Q6224" s="475"/>
      <c r="R6224" s="475"/>
      <c r="S6224" s="475"/>
      <c r="T6224" s="475"/>
      <c r="U6224" s="475"/>
      <c r="V6224" s="475"/>
      <c r="W6224" s="475"/>
    </row>
    <row r="6225" spans="2:23" s="97" customFormat="1">
      <c r="B6225" s="96"/>
      <c r="H6225" s="96"/>
      <c r="J6225" s="1"/>
      <c r="K6225" s="1"/>
      <c r="L6225" s="1"/>
      <c r="O6225" s="475"/>
      <c r="P6225" s="475"/>
      <c r="Q6225" s="475"/>
      <c r="R6225" s="475"/>
      <c r="S6225" s="475"/>
      <c r="T6225" s="475"/>
      <c r="U6225" s="475"/>
      <c r="V6225" s="475"/>
      <c r="W6225" s="475"/>
    </row>
    <row r="6226" spans="2:23" s="97" customFormat="1">
      <c r="B6226" s="96"/>
      <c r="H6226" s="96"/>
      <c r="J6226" s="1"/>
      <c r="K6226" s="1"/>
      <c r="L6226" s="1"/>
      <c r="O6226" s="475"/>
      <c r="P6226" s="475"/>
      <c r="Q6226" s="475"/>
      <c r="R6226" s="475"/>
      <c r="S6226" s="475"/>
      <c r="T6226" s="475"/>
      <c r="U6226" s="475"/>
      <c r="V6226" s="475"/>
      <c r="W6226" s="475"/>
    </row>
    <row r="6227" spans="2:23" s="97" customFormat="1">
      <c r="B6227" s="96"/>
      <c r="H6227" s="96"/>
      <c r="J6227" s="1"/>
      <c r="K6227" s="1"/>
      <c r="L6227" s="1"/>
      <c r="O6227" s="475"/>
      <c r="P6227" s="475"/>
      <c r="Q6227" s="475"/>
      <c r="R6227" s="475"/>
      <c r="S6227" s="475"/>
      <c r="T6227" s="475"/>
      <c r="U6227" s="475"/>
      <c r="V6227" s="475"/>
      <c r="W6227" s="475"/>
    </row>
    <row r="6228" spans="2:23" s="97" customFormat="1">
      <c r="B6228" s="96"/>
      <c r="H6228" s="96"/>
      <c r="J6228" s="1"/>
      <c r="K6228" s="1"/>
      <c r="L6228" s="1"/>
      <c r="O6228" s="475"/>
      <c r="P6228" s="475"/>
      <c r="Q6228" s="475"/>
      <c r="R6228" s="475"/>
      <c r="S6228" s="475"/>
      <c r="T6228" s="475"/>
      <c r="U6228" s="475"/>
      <c r="V6228" s="475"/>
      <c r="W6228" s="475"/>
    </row>
    <row r="6229" spans="2:23" s="97" customFormat="1">
      <c r="B6229" s="96"/>
      <c r="H6229" s="96"/>
      <c r="J6229" s="1"/>
      <c r="K6229" s="1"/>
      <c r="L6229" s="1"/>
      <c r="O6229" s="475"/>
      <c r="P6229" s="475"/>
      <c r="Q6229" s="475"/>
      <c r="R6229" s="475"/>
      <c r="S6229" s="475"/>
      <c r="T6229" s="475"/>
      <c r="U6229" s="475"/>
      <c r="V6229" s="475"/>
      <c r="W6229" s="475"/>
    </row>
    <row r="6230" spans="2:23" s="97" customFormat="1">
      <c r="B6230" s="96"/>
      <c r="H6230" s="96"/>
      <c r="J6230" s="1"/>
      <c r="K6230" s="1"/>
      <c r="L6230" s="1"/>
      <c r="O6230" s="475"/>
      <c r="P6230" s="475"/>
      <c r="Q6230" s="475"/>
      <c r="R6230" s="475"/>
      <c r="S6230" s="475"/>
      <c r="T6230" s="475"/>
      <c r="U6230" s="475"/>
      <c r="V6230" s="475"/>
      <c r="W6230" s="475"/>
    </row>
    <row r="6231" spans="2:23" s="97" customFormat="1">
      <c r="B6231" s="96"/>
      <c r="H6231" s="96"/>
      <c r="J6231" s="1"/>
      <c r="K6231" s="1"/>
      <c r="L6231" s="1"/>
      <c r="O6231" s="475"/>
      <c r="P6231" s="475"/>
      <c r="Q6231" s="475"/>
      <c r="R6231" s="475"/>
      <c r="S6231" s="475"/>
      <c r="T6231" s="475"/>
      <c r="U6231" s="475"/>
      <c r="V6231" s="475"/>
      <c r="W6231" s="475"/>
    </row>
    <row r="6232" spans="2:23" s="97" customFormat="1">
      <c r="B6232" s="96"/>
      <c r="H6232" s="96"/>
      <c r="J6232" s="1"/>
      <c r="K6232" s="1"/>
      <c r="L6232" s="1"/>
      <c r="O6232" s="475"/>
      <c r="P6232" s="475"/>
      <c r="Q6232" s="475"/>
      <c r="R6232" s="475"/>
      <c r="S6232" s="475"/>
      <c r="T6232" s="475"/>
      <c r="U6232" s="475"/>
      <c r="V6232" s="475"/>
      <c r="W6232" s="475"/>
    </row>
    <row r="6233" spans="2:23" s="97" customFormat="1">
      <c r="B6233" s="96"/>
      <c r="H6233" s="96"/>
      <c r="J6233" s="1"/>
      <c r="K6233" s="1"/>
      <c r="L6233" s="1"/>
      <c r="O6233" s="475"/>
      <c r="P6233" s="475"/>
      <c r="Q6233" s="475"/>
      <c r="R6233" s="475"/>
      <c r="S6233" s="475"/>
      <c r="T6233" s="475"/>
      <c r="U6233" s="475"/>
      <c r="V6233" s="475"/>
      <c r="W6233" s="475"/>
    </row>
    <row r="6234" spans="2:23" s="97" customFormat="1">
      <c r="B6234" s="96"/>
      <c r="H6234" s="96"/>
      <c r="J6234" s="1"/>
      <c r="K6234" s="1"/>
      <c r="L6234" s="1"/>
      <c r="O6234" s="475"/>
      <c r="P6234" s="475"/>
      <c r="Q6234" s="475"/>
      <c r="R6234" s="475"/>
      <c r="S6234" s="475"/>
      <c r="T6234" s="475"/>
      <c r="U6234" s="475"/>
      <c r="V6234" s="475"/>
      <c r="W6234" s="475"/>
    </row>
    <row r="6235" spans="2:23" s="97" customFormat="1">
      <c r="B6235" s="96"/>
      <c r="H6235" s="96"/>
      <c r="J6235" s="1"/>
      <c r="K6235" s="1"/>
      <c r="L6235" s="1"/>
      <c r="O6235" s="475"/>
      <c r="P6235" s="475"/>
      <c r="Q6235" s="475"/>
      <c r="R6235" s="475"/>
      <c r="S6235" s="475"/>
      <c r="T6235" s="475"/>
      <c r="U6235" s="475"/>
      <c r="V6235" s="475"/>
      <c r="W6235" s="475"/>
    </row>
    <row r="6236" spans="2:23" s="97" customFormat="1">
      <c r="B6236" s="96"/>
      <c r="H6236" s="96"/>
      <c r="J6236" s="1"/>
      <c r="K6236" s="1"/>
      <c r="L6236" s="1"/>
      <c r="O6236" s="475"/>
      <c r="P6236" s="475"/>
      <c r="Q6236" s="475"/>
      <c r="R6236" s="475"/>
      <c r="S6236" s="475"/>
      <c r="T6236" s="475"/>
      <c r="U6236" s="475"/>
      <c r="V6236" s="475"/>
      <c r="W6236" s="475"/>
    </row>
    <row r="6237" spans="2:23" s="97" customFormat="1">
      <c r="B6237" s="96"/>
      <c r="H6237" s="96"/>
      <c r="J6237" s="1"/>
      <c r="K6237" s="1"/>
      <c r="L6237" s="1"/>
      <c r="O6237" s="475"/>
      <c r="P6237" s="475"/>
      <c r="Q6237" s="475"/>
      <c r="R6237" s="475"/>
      <c r="S6237" s="475"/>
      <c r="T6237" s="475"/>
      <c r="U6237" s="475"/>
      <c r="V6237" s="475"/>
      <c r="W6237" s="475"/>
    </row>
    <row r="6238" spans="2:23" s="97" customFormat="1">
      <c r="B6238" s="96"/>
      <c r="H6238" s="96"/>
      <c r="J6238" s="1"/>
      <c r="K6238" s="1"/>
      <c r="L6238" s="1"/>
      <c r="O6238" s="475"/>
      <c r="P6238" s="475"/>
      <c r="Q6238" s="475"/>
      <c r="R6238" s="475"/>
      <c r="S6238" s="475"/>
      <c r="T6238" s="475"/>
      <c r="U6238" s="475"/>
      <c r="V6238" s="475"/>
      <c r="W6238" s="475"/>
    </row>
    <row r="6239" spans="2:23" s="97" customFormat="1">
      <c r="B6239" s="96"/>
      <c r="H6239" s="96"/>
      <c r="J6239" s="1"/>
      <c r="K6239" s="1"/>
      <c r="L6239" s="1"/>
      <c r="O6239" s="475"/>
      <c r="P6239" s="475"/>
      <c r="Q6239" s="475"/>
      <c r="R6239" s="475"/>
      <c r="S6239" s="475"/>
      <c r="T6239" s="475"/>
      <c r="U6239" s="475"/>
      <c r="V6239" s="475"/>
      <c r="W6239" s="475"/>
    </row>
    <row r="6240" spans="2:23" s="97" customFormat="1">
      <c r="B6240" s="96"/>
      <c r="H6240" s="96"/>
      <c r="J6240" s="1"/>
      <c r="K6240" s="1"/>
      <c r="L6240" s="1"/>
      <c r="O6240" s="475"/>
      <c r="P6240" s="475"/>
      <c r="Q6240" s="475"/>
      <c r="R6240" s="475"/>
      <c r="S6240" s="475"/>
      <c r="T6240" s="475"/>
      <c r="U6240" s="475"/>
      <c r="V6240" s="475"/>
      <c r="W6240" s="475"/>
    </row>
    <row r="6241" spans="2:23" s="97" customFormat="1">
      <c r="B6241" s="96"/>
      <c r="H6241" s="96"/>
      <c r="J6241" s="1"/>
      <c r="K6241" s="1"/>
      <c r="L6241" s="1"/>
      <c r="O6241" s="475"/>
      <c r="P6241" s="475"/>
      <c r="Q6241" s="475"/>
      <c r="R6241" s="475"/>
      <c r="S6241" s="475"/>
      <c r="T6241" s="475"/>
      <c r="U6241" s="475"/>
      <c r="V6241" s="475"/>
      <c r="W6241" s="475"/>
    </row>
    <row r="6242" spans="2:23" s="97" customFormat="1">
      <c r="B6242" s="96"/>
      <c r="H6242" s="96"/>
      <c r="J6242" s="1"/>
      <c r="K6242" s="1"/>
      <c r="L6242" s="1"/>
      <c r="O6242" s="475"/>
      <c r="P6242" s="475"/>
      <c r="Q6242" s="475"/>
      <c r="R6242" s="475"/>
      <c r="S6242" s="475"/>
      <c r="T6242" s="475"/>
      <c r="U6242" s="475"/>
      <c r="V6242" s="475"/>
      <c r="W6242" s="475"/>
    </row>
    <row r="6243" spans="2:23" s="97" customFormat="1">
      <c r="B6243" s="96"/>
      <c r="H6243" s="96"/>
      <c r="J6243" s="1"/>
      <c r="K6243" s="1"/>
      <c r="L6243" s="1"/>
      <c r="O6243" s="475"/>
      <c r="P6243" s="475"/>
      <c r="Q6243" s="475"/>
      <c r="R6243" s="475"/>
      <c r="S6243" s="475"/>
      <c r="T6243" s="475"/>
      <c r="U6243" s="475"/>
      <c r="V6243" s="475"/>
      <c r="W6243" s="475"/>
    </row>
    <row r="6244" spans="2:23" s="97" customFormat="1">
      <c r="B6244" s="96"/>
      <c r="H6244" s="96"/>
      <c r="J6244" s="1"/>
      <c r="K6244" s="1"/>
      <c r="L6244" s="1"/>
      <c r="O6244" s="475"/>
      <c r="P6244" s="475"/>
      <c r="Q6244" s="475"/>
      <c r="R6244" s="475"/>
      <c r="S6244" s="475"/>
      <c r="T6244" s="475"/>
      <c r="U6244" s="475"/>
      <c r="V6244" s="475"/>
      <c r="W6244" s="475"/>
    </row>
    <row r="6245" spans="2:23" s="97" customFormat="1">
      <c r="B6245" s="96"/>
      <c r="H6245" s="96"/>
      <c r="J6245" s="1"/>
      <c r="K6245" s="1"/>
      <c r="L6245" s="1"/>
      <c r="O6245" s="475"/>
      <c r="P6245" s="475"/>
      <c r="Q6245" s="475"/>
      <c r="R6245" s="475"/>
      <c r="S6245" s="475"/>
      <c r="T6245" s="475"/>
      <c r="U6245" s="475"/>
      <c r="V6245" s="475"/>
      <c r="W6245" s="475"/>
    </row>
    <row r="6246" spans="2:23" s="97" customFormat="1">
      <c r="B6246" s="96"/>
      <c r="H6246" s="96"/>
      <c r="J6246" s="1"/>
      <c r="K6246" s="1"/>
      <c r="L6246" s="1"/>
      <c r="O6246" s="475"/>
      <c r="P6246" s="475"/>
      <c r="Q6246" s="475"/>
      <c r="R6246" s="475"/>
      <c r="S6246" s="475"/>
      <c r="T6246" s="475"/>
      <c r="U6246" s="475"/>
      <c r="V6246" s="475"/>
      <c r="W6246" s="475"/>
    </row>
    <row r="6247" spans="2:23" s="97" customFormat="1">
      <c r="B6247" s="96"/>
      <c r="H6247" s="96"/>
      <c r="J6247" s="1"/>
      <c r="K6247" s="1"/>
      <c r="L6247" s="1"/>
      <c r="O6247" s="475"/>
      <c r="P6247" s="475"/>
      <c r="Q6247" s="475"/>
      <c r="R6247" s="475"/>
      <c r="S6247" s="475"/>
      <c r="T6247" s="475"/>
      <c r="U6247" s="475"/>
      <c r="V6247" s="475"/>
      <c r="W6247" s="475"/>
    </row>
    <row r="6248" spans="2:23" s="97" customFormat="1">
      <c r="B6248" s="96"/>
      <c r="H6248" s="96"/>
      <c r="J6248" s="1"/>
      <c r="K6248" s="1"/>
      <c r="L6248" s="1"/>
      <c r="O6248" s="475"/>
      <c r="P6248" s="475"/>
      <c r="Q6248" s="475"/>
      <c r="R6248" s="475"/>
      <c r="S6248" s="475"/>
      <c r="T6248" s="475"/>
      <c r="U6248" s="475"/>
      <c r="V6248" s="475"/>
      <c r="W6248" s="475"/>
    </row>
    <row r="6249" spans="2:23" s="97" customFormat="1">
      <c r="B6249" s="96"/>
      <c r="H6249" s="96"/>
      <c r="J6249" s="1"/>
      <c r="K6249" s="1"/>
      <c r="L6249" s="1"/>
      <c r="O6249" s="475"/>
      <c r="P6249" s="475"/>
      <c r="Q6249" s="475"/>
      <c r="R6249" s="475"/>
      <c r="S6249" s="475"/>
      <c r="T6249" s="475"/>
      <c r="U6249" s="475"/>
      <c r="V6249" s="475"/>
      <c r="W6249" s="475"/>
    </row>
    <row r="6250" spans="2:23" s="97" customFormat="1">
      <c r="B6250" s="96"/>
      <c r="H6250" s="96"/>
      <c r="J6250" s="1"/>
      <c r="K6250" s="1"/>
      <c r="L6250" s="1"/>
      <c r="O6250" s="475"/>
      <c r="P6250" s="475"/>
      <c r="Q6250" s="475"/>
      <c r="R6250" s="475"/>
      <c r="S6250" s="475"/>
      <c r="T6250" s="475"/>
      <c r="U6250" s="475"/>
      <c r="V6250" s="475"/>
      <c r="W6250" s="475"/>
    </row>
    <row r="6251" spans="2:23" s="97" customFormat="1">
      <c r="B6251" s="96"/>
      <c r="H6251" s="96"/>
      <c r="J6251" s="1"/>
      <c r="K6251" s="1"/>
      <c r="L6251" s="1"/>
      <c r="O6251" s="475"/>
      <c r="P6251" s="475"/>
      <c r="Q6251" s="475"/>
      <c r="R6251" s="475"/>
      <c r="S6251" s="475"/>
      <c r="T6251" s="475"/>
      <c r="U6251" s="475"/>
      <c r="V6251" s="475"/>
      <c r="W6251" s="475"/>
    </row>
    <row r="6252" spans="2:23" s="97" customFormat="1">
      <c r="B6252" s="96"/>
      <c r="H6252" s="96"/>
      <c r="J6252" s="1"/>
      <c r="K6252" s="1"/>
      <c r="L6252" s="1"/>
      <c r="O6252" s="475"/>
      <c r="P6252" s="475"/>
      <c r="Q6252" s="475"/>
      <c r="R6252" s="475"/>
      <c r="S6252" s="475"/>
      <c r="T6252" s="475"/>
      <c r="U6252" s="475"/>
      <c r="V6252" s="475"/>
      <c r="W6252" s="475"/>
    </row>
    <row r="6253" spans="2:23" s="97" customFormat="1">
      <c r="B6253" s="96"/>
      <c r="H6253" s="96"/>
      <c r="J6253" s="1"/>
      <c r="K6253" s="1"/>
      <c r="L6253" s="1"/>
      <c r="O6253" s="475"/>
      <c r="P6253" s="475"/>
      <c r="Q6253" s="475"/>
      <c r="R6253" s="475"/>
      <c r="S6253" s="475"/>
      <c r="T6253" s="475"/>
      <c r="U6253" s="475"/>
      <c r="V6253" s="475"/>
      <c r="W6253" s="475"/>
    </row>
    <row r="6254" spans="2:23" s="97" customFormat="1">
      <c r="B6254" s="96"/>
      <c r="H6254" s="96"/>
      <c r="J6254" s="1"/>
      <c r="K6254" s="1"/>
      <c r="L6254" s="1"/>
      <c r="O6254" s="475"/>
      <c r="P6254" s="475"/>
      <c r="Q6254" s="475"/>
      <c r="R6254" s="475"/>
      <c r="S6254" s="475"/>
      <c r="T6254" s="475"/>
      <c r="U6254" s="475"/>
      <c r="V6254" s="475"/>
      <c r="W6254" s="475"/>
    </row>
    <row r="6255" spans="2:23" s="97" customFormat="1">
      <c r="B6255" s="96"/>
      <c r="H6255" s="96"/>
      <c r="J6255" s="1"/>
      <c r="K6255" s="1"/>
      <c r="L6255" s="1"/>
      <c r="O6255" s="475"/>
      <c r="P6255" s="475"/>
      <c r="Q6255" s="475"/>
      <c r="R6255" s="475"/>
      <c r="S6255" s="475"/>
      <c r="T6255" s="475"/>
      <c r="U6255" s="475"/>
      <c r="V6255" s="475"/>
      <c r="W6255" s="475"/>
    </row>
    <row r="6256" spans="2:23" s="97" customFormat="1">
      <c r="B6256" s="96"/>
      <c r="H6256" s="96"/>
      <c r="J6256" s="1"/>
      <c r="K6256" s="1"/>
      <c r="L6256" s="1"/>
      <c r="O6256" s="475"/>
      <c r="P6256" s="475"/>
      <c r="Q6256" s="475"/>
      <c r="R6256" s="475"/>
      <c r="S6256" s="475"/>
      <c r="T6256" s="475"/>
      <c r="U6256" s="475"/>
      <c r="V6256" s="475"/>
      <c r="W6256" s="475"/>
    </row>
    <row r="6257" spans="2:23" s="97" customFormat="1">
      <c r="B6257" s="96"/>
      <c r="H6257" s="96"/>
      <c r="J6257" s="1"/>
      <c r="K6257" s="1"/>
      <c r="L6257" s="1"/>
      <c r="O6257" s="475"/>
      <c r="P6257" s="475"/>
      <c r="Q6257" s="475"/>
      <c r="R6257" s="475"/>
      <c r="S6257" s="475"/>
      <c r="T6257" s="475"/>
      <c r="U6257" s="475"/>
      <c r="V6257" s="475"/>
      <c r="W6257" s="475"/>
    </row>
    <row r="6258" spans="2:23" s="97" customFormat="1">
      <c r="B6258" s="96"/>
      <c r="H6258" s="96"/>
      <c r="J6258" s="1"/>
      <c r="K6258" s="1"/>
      <c r="L6258" s="1"/>
      <c r="O6258" s="475"/>
      <c r="P6258" s="475"/>
      <c r="Q6258" s="475"/>
      <c r="R6258" s="475"/>
      <c r="S6258" s="475"/>
      <c r="T6258" s="475"/>
      <c r="U6258" s="475"/>
      <c r="V6258" s="475"/>
      <c r="W6258" s="475"/>
    </row>
    <row r="6259" spans="2:23" s="97" customFormat="1">
      <c r="B6259" s="96"/>
      <c r="H6259" s="96"/>
      <c r="J6259" s="1"/>
      <c r="K6259" s="1"/>
      <c r="L6259" s="1"/>
      <c r="O6259" s="475"/>
      <c r="P6259" s="475"/>
      <c r="Q6259" s="475"/>
      <c r="R6259" s="475"/>
      <c r="S6259" s="475"/>
      <c r="T6259" s="475"/>
      <c r="U6259" s="475"/>
      <c r="V6259" s="475"/>
      <c r="W6259" s="475"/>
    </row>
    <row r="6260" spans="2:23" s="97" customFormat="1">
      <c r="B6260" s="96"/>
      <c r="H6260" s="96"/>
      <c r="J6260" s="1"/>
      <c r="K6260" s="1"/>
      <c r="L6260" s="1"/>
      <c r="O6260" s="475"/>
      <c r="P6260" s="475"/>
      <c r="Q6260" s="475"/>
      <c r="R6260" s="475"/>
      <c r="S6260" s="475"/>
      <c r="T6260" s="475"/>
      <c r="U6260" s="475"/>
      <c r="V6260" s="475"/>
      <c r="W6260" s="475"/>
    </row>
    <row r="6261" spans="2:23" s="97" customFormat="1">
      <c r="B6261" s="96"/>
      <c r="H6261" s="96"/>
      <c r="J6261" s="1"/>
      <c r="K6261" s="1"/>
      <c r="L6261" s="1"/>
      <c r="O6261" s="475"/>
      <c r="P6261" s="475"/>
      <c r="Q6261" s="475"/>
      <c r="R6261" s="475"/>
      <c r="S6261" s="475"/>
      <c r="T6261" s="475"/>
      <c r="U6261" s="475"/>
      <c r="V6261" s="475"/>
      <c r="W6261" s="475"/>
    </row>
    <row r="6262" spans="2:23" s="97" customFormat="1">
      <c r="B6262" s="96"/>
      <c r="H6262" s="96"/>
      <c r="J6262" s="1"/>
      <c r="K6262" s="1"/>
      <c r="L6262" s="1"/>
      <c r="O6262" s="475"/>
      <c r="P6262" s="475"/>
      <c r="Q6262" s="475"/>
      <c r="R6262" s="475"/>
      <c r="S6262" s="475"/>
      <c r="T6262" s="475"/>
      <c r="U6262" s="475"/>
      <c r="V6262" s="475"/>
      <c r="W6262" s="475"/>
    </row>
    <row r="6263" spans="2:23" s="97" customFormat="1">
      <c r="B6263" s="96"/>
      <c r="H6263" s="96"/>
      <c r="J6263" s="1"/>
      <c r="K6263" s="1"/>
      <c r="L6263" s="1"/>
      <c r="O6263" s="475"/>
      <c r="P6263" s="475"/>
      <c r="Q6263" s="475"/>
      <c r="R6263" s="475"/>
      <c r="S6263" s="475"/>
      <c r="T6263" s="475"/>
      <c r="U6263" s="475"/>
      <c r="V6263" s="475"/>
      <c r="W6263" s="475"/>
    </row>
    <row r="6264" spans="2:23" s="97" customFormat="1">
      <c r="B6264" s="96"/>
      <c r="H6264" s="96"/>
      <c r="J6264" s="1"/>
      <c r="K6264" s="1"/>
      <c r="L6264" s="1"/>
      <c r="O6264" s="475"/>
      <c r="P6264" s="475"/>
      <c r="Q6264" s="475"/>
      <c r="R6264" s="475"/>
      <c r="S6264" s="475"/>
      <c r="T6264" s="475"/>
      <c r="U6264" s="475"/>
      <c r="V6264" s="475"/>
      <c r="W6264" s="475"/>
    </row>
    <row r="6265" spans="2:23" s="97" customFormat="1">
      <c r="B6265" s="96"/>
      <c r="H6265" s="96"/>
      <c r="J6265" s="1"/>
      <c r="K6265" s="1"/>
      <c r="L6265" s="1"/>
      <c r="O6265" s="475"/>
      <c r="P6265" s="475"/>
      <c r="Q6265" s="475"/>
      <c r="R6265" s="475"/>
      <c r="S6265" s="475"/>
      <c r="T6265" s="475"/>
      <c r="U6265" s="475"/>
      <c r="V6265" s="475"/>
      <c r="W6265" s="475"/>
    </row>
    <row r="6266" spans="2:23" s="97" customFormat="1">
      <c r="B6266" s="96"/>
      <c r="H6266" s="96"/>
      <c r="J6266" s="1"/>
      <c r="K6266" s="1"/>
      <c r="L6266" s="1"/>
      <c r="O6266" s="475"/>
      <c r="P6266" s="475"/>
      <c r="Q6266" s="475"/>
      <c r="R6266" s="475"/>
      <c r="S6266" s="475"/>
      <c r="T6266" s="475"/>
      <c r="U6266" s="475"/>
      <c r="V6266" s="475"/>
      <c r="W6266" s="475"/>
    </row>
    <row r="6267" spans="2:23" s="97" customFormat="1">
      <c r="B6267" s="96"/>
      <c r="H6267" s="96"/>
      <c r="J6267" s="1"/>
      <c r="K6267" s="1"/>
      <c r="L6267" s="1"/>
      <c r="O6267" s="475"/>
      <c r="P6267" s="475"/>
      <c r="Q6267" s="475"/>
      <c r="R6267" s="475"/>
      <c r="S6267" s="475"/>
      <c r="T6267" s="475"/>
      <c r="U6267" s="475"/>
      <c r="V6267" s="475"/>
      <c r="W6267" s="475"/>
    </row>
    <row r="6268" spans="2:23" s="97" customFormat="1">
      <c r="B6268" s="96"/>
      <c r="H6268" s="96"/>
      <c r="J6268" s="1"/>
      <c r="K6268" s="1"/>
      <c r="L6268" s="1"/>
      <c r="O6268" s="475"/>
      <c r="P6268" s="475"/>
      <c r="Q6268" s="475"/>
      <c r="R6268" s="475"/>
      <c r="S6268" s="475"/>
      <c r="T6268" s="475"/>
      <c r="U6268" s="475"/>
      <c r="V6268" s="475"/>
      <c r="W6268" s="475"/>
    </row>
    <row r="6269" spans="2:23" s="97" customFormat="1">
      <c r="B6269" s="96"/>
      <c r="H6269" s="96"/>
      <c r="J6269" s="1"/>
      <c r="K6269" s="1"/>
      <c r="L6269" s="1"/>
      <c r="O6269" s="475"/>
      <c r="P6269" s="475"/>
      <c r="Q6269" s="475"/>
      <c r="R6269" s="475"/>
      <c r="S6269" s="475"/>
      <c r="T6269" s="475"/>
      <c r="U6269" s="475"/>
      <c r="V6269" s="475"/>
      <c r="W6269" s="475"/>
    </row>
    <row r="6270" spans="2:23" s="97" customFormat="1">
      <c r="B6270" s="96"/>
      <c r="H6270" s="96"/>
      <c r="J6270" s="1"/>
      <c r="K6270" s="1"/>
      <c r="L6270" s="1"/>
      <c r="O6270" s="475"/>
      <c r="P6270" s="475"/>
      <c r="Q6270" s="475"/>
      <c r="R6270" s="475"/>
      <c r="S6270" s="475"/>
      <c r="T6270" s="475"/>
      <c r="U6270" s="475"/>
      <c r="V6270" s="475"/>
      <c r="W6270" s="475"/>
    </row>
    <row r="6271" spans="2:23" s="97" customFormat="1">
      <c r="B6271" s="96"/>
      <c r="H6271" s="96"/>
      <c r="J6271" s="1"/>
      <c r="K6271" s="1"/>
      <c r="L6271" s="1"/>
      <c r="O6271" s="475"/>
      <c r="P6271" s="475"/>
      <c r="Q6271" s="475"/>
      <c r="R6271" s="475"/>
      <c r="S6271" s="475"/>
      <c r="T6271" s="475"/>
      <c r="U6271" s="475"/>
      <c r="V6271" s="475"/>
      <c r="W6271" s="475"/>
    </row>
    <row r="6272" spans="2:23" s="97" customFormat="1">
      <c r="B6272" s="96"/>
      <c r="H6272" s="96"/>
      <c r="J6272" s="1"/>
      <c r="K6272" s="1"/>
      <c r="L6272" s="1"/>
      <c r="O6272" s="475"/>
      <c r="P6272" s="475"/>
      <c r="Q6272" s="475"/>
      <c r="R6272" s="475"/>
      <c r="S6272" s="475"/>
      <c r="T6272" s="475"/>
      <c r="U6272" s="475"/>
      <c r="V6272" s="475"/>
      <c r="W6272" s="475"/>
    </row>
    <row r="6273" spans="2:23" s="97" customFormat="1">
      <c r="B6273" s="96"/>
      <c r="H6273" s="96"/>
      <c r="J6273" s="1"/>
      <c r="K6273" s="1"/>
      <c r="L6273" s="1"/>
      <c r="O6273" s="475"/>
      <c r="P6273" s="475"/>
      <c r="Q6273" s="475"/>
      <c r="R6273" s="475"/>
      <c r="S6273" s="475"/>
      <c r="T6273" s="475"/>
      <c r="U6273" s="475"/>
      <c r="V6273" s="475"/>
      <c r="W6273" s="475"/>
    </row>
    <row r="6274" spans="2:23" s="97" customFormat="1">
      <c r="B6274" s="96"/>
      <c r="H6274" s="96"/>
      <c r="J6274" s="1"/>
      <c r="K6274" s="1"/>
      <c r="L6274" s="1"/>
      <c r="O6274" s="475"/>
      <c r="P6274" s="475"/>
      <c r="Q6274" s="475"/>
      <c r="R6274" s="475"/>
      <c r="S6274" s="475"/>
      <c r="T6274" s="475"/>
      <c r="U6274" s="475"/>
      <c r="V6274" s="475"/>
      <c r="W6274" s="475"/>
    </row>
    <row r="6275" spans="2:23" s="97" customFormat="1">
      <c r="B6275" s="96"/>
      <c r="H6275" s="96"/>
      <c r="J6275" s="1"/>
      <c r="K6275" s="1"/>
      <c r="L6275" s="1"/>
      <c r="O6275" s="475"/>
      <c r="P6275" s="475"/>
      <c r="Q6275" s="475"/>
      <c r="R6275" s="475"/>
      <c r="S6275" s="475"/>
      <c r="T6275" s="475"/>
      <c r="U6275" s="475"/>
      <c r="V6275" s="475"/>
      <c r="W6275" s="475"/>
    </row>
    <row r="6276" spans="2:23" s="97" customFormat="1">
      <c r="B6276" s="96"/>
      <c r="H6276" s="96"/>
      <c r="J6276" s="1"/>
      <c r="K6276" s="1"/>
      <c r="L6276" s="1"/>
      <c r="O6276" s="475"/>
      <c r="P6276" s="475"/>
      <c r="Q6276" s="475"/>
      <c r="R6276" s="475"/>
      <c r="S6276" s="475"/>
      <c r="T6276" s="475"/>
      <c r="U6276" s="475"/>
      <c r="V6276" s="475"/>
      <c r="W6276" s="475"/>
    </row>
    <row r="6277" spans="2:23" s="97" customFormat="1">
      <c r="B6277" s="96"/>
      <c r="H6277" s="96"/>
      <c r="J6277" s="1"/>
      <c r="K6277" s="1"/>
      <c r="L6277" s="1"/>
      <c r="O6277" s="475"/>
      <c r="P6277" s="475"/>
      <c r="Q6277" s="475"/>
      <c r="R6277" s="475"/>
      <c r="S6277" s="475"/>
      <c r="T6277" s="475"/>
      <c r="U6277" s="475"/>
      <c r="V6277" s="475"/>
      <c r="W6277" s="475"/>
    </row>
    <row r="6278" spans="2:23" s="97" customFormat="1">
      <c r="B6278" s="96"/>
      <c r="H6278" s="96"/>
      <c r="J6278" s="1"/>
      <c r="K6278" s="1"/>
      <c r="L6278" s="1"/>
      <c r="O6278" s="475"/>
      <c r="P6278" s="475"/>
      <c r="Q6278" s="475"/>
      <c r="R6278" s="475"/>
      <c r="S6278" s="475"/>
      <c r="T6278" s="475"/>
      <c r="U6278" s="475"/>
      <c r="V6278" s="475"/>
      <c r="W6278" s="475"/>
    </row>
    <row r="6279" spans="2:23" s="97" customFormat="1">
      <c r="B6279" s="96"/>
      <c r="H6279" s="96"/>
      <c r="J6279" s="1"/>
      <c r="K6279" s="1"/>
      <c r="L6279" s="1"/>
      <c r="O6279" s="475"/>
      <c r="P6279" s="475"/>
      <c r="Q6279" s="475"/>
      <c r="R6279" s="475"/>
      <c r="S6279" s="475"/>
      <c r="T6279" s="475"/>
      <c r="U6279" s="475"/>
      <c r="V6279" s="475"/>
      <c r="W6279" s="475"/>
    </row>
    <row r="6280" spans="2:23" s="97" customFormat="1">
      <c r="B6280" s="96"/>
      <c r="H6280" s="96"/>
      <c r="J6280" s="1"/>
      <c r="K6280" s="1"/>
      <c r="L6280" s="1"/>
      <c r="O6280" s="475"/>
      <c r="P6280" s="475"/>
      <c r="Q6280" s="475"/>
      <c r="R6280" s="475"/>
      <c r="S6280" s="475"/>
      <c r="T6280" s="475"/>
      <c r="U6280" s="475"/>
      <c r="V6280" s="475"/>
      <c r="W6280" s="475"/>
    </row>
    <row r="6281" spans="2:23" s="97" customFormat="1">
      <c r="B6281" s="96"/>
      <c r="H6281" s="96"/>
      <c r="J6281" s="1"/>
      <c r="K6281" s="1"/>
      <c r="L6281" s="1"/>
      <c r="O6281" s="475"/>
      <c r="P6281" s="475"/>
      <c r="Q6281" s="475"/>
      <c r="R6281" s="475"/>
      <c r="S6281" s="475"/>
      <c r="T6281" s="475"/>
      <c r="U6281" s="475"/>
      <c r="V6281" s="475"/>
      <c r="W6281" s="475"/>
    </row>
    <row r="6282" spans="2:23" s="97" customFormat="1">
      <c r="B6282" s="96"/>
      <c r="H6282" s="96"/>
      <c r="J6282" s="1"/>
      <c r="K6282" s="1"/>
      <c r="L6282" s="1"/>
      <c r="O6282" s="475"/>
      <c r="P6282" s="475"/>
      <c r="Q6282" s="475"/>
      <c r="R6282" s="475"/>
      <c r="S6282" s="475"/>
      <c r="T6282" s="475"/>
      <c r="U6282" s="475"/>
      <c r="V6282" s="475"/>
      <c r="W6282" s="475"/>
    </row>
    <row r="6283" spans="2:23" s="97" customFormat="1">
      <c r="B6283" s="96"/>
      <c r="H6283" s="96"/>
      <c r="J6283" s="1"/>
      <c r="K6283" s="1"/>
      <c r="L6283" s="1"/>
      <c r="O6283" s="475"/>
      <c r="P6283" s="475"/>
      <c r="Q6283" s="475"/>
      <c r="R6283" s="475"/>
      <c r="S6283" s="475"/>
      <c r="T6283" s="475"/>
      <c r="U6283" s="475"/>
      <c r="V6283" s="475"/>
      <c r="W6283" s="475"/>
    </row>
    <row r="6284" spans="2:23" s="97" customFormat="1">
      <c r="B6284" s="96"/>
      <c r="H6284" s="96"/>
      <c r="J6284" s="1"/>
      <c r="K6284" s="1"/>
      <c r="L6284" s="1"/>
      <c r="O6284" s="475"/>
      <c r="P6284" s="475"/>
      <c r="Q6284" s="475"/>
      <c r="R6284" s="475"/>
      <c r="S6284" s="475"/>
      <c r="T6284" s="475"/>
      <c r="U6284" s="475"/>
      <c r="V6284" s="475"/>
      <c r="W6284" s="475"/>
    </row>
    <row r="6285" spans="2:23" s="97" customFormat="1">
      <c r="B6285" s="96"/>
      <c r="H6285" s="96"/>
      <c r="J6285" s="1"/>
      <c r="K6285" s="1"/>
      <c r="L6285" s="1"/>
      <c r="O6285" s="475"/>
      <c r="P6285" s="475"/>
      <c r="Q6285" s="475"/>
      <c r="R6285" s="475"/>
      <c r="S6285" s="475"/>
      <c r="T6285" s="475"/>
      <c r="U6285" s="475"/>
      <c r="V6285" s="475"/>
      <c r="W6285" s="475"/>
    </row>
    <row r="6286" spans="2:23" s="97" customFormat="1">
      <c r="B6286" s="96"/>
      <c r="H6286" s="96"/>
      <c r="J6286" s="1"/>
      <c r="K6286" s="1"/>
      <c r="L6286" s="1"/>
      <c r="O6286" s="475"/>
      <c r="P6286" s="475"/>
      <c r="Q6286" s="475"/>
      <c r="R6286" s="475"/>
      <c r="S6286" s="475"/>
      <c r="T6286" s="475"/>
      <c r="U6286" s="475"/>
      <c r="V6286" s="475"/>
      <c r="W6286" s="475"/>
    </row>
    <row r="6287" spans="2:23" s="97" customFormat="1">
      <c r="B6287" s="96"/>
      <c r="H6287" s="96"/>
      <c r="J6287" s="1"/>
      <c r="K6287" s="1"/>
      <c r="L6287" s="1"/>
      <c r="O6287" s="475"/>
      <c r="P6287" s="475"/>
      <c r="Q6287" s="475"/>
      <c r="R6287" s="475"/>
      <c r="S6287" s="475"/>
      <c r="T6287" s="475"/>
      <c r="U6287" s="475"/>
      <c r="V6287" s="475"/>
      <c r="W6287" s="475"/>
    </row>
    <row r="6288" spans="2:23" s="97" customFormat="1">
      <c r="B6288" s="96"/>
      <c r="H6288" s="96"/>
      <c r="J6288" s="1"/>
      <c r="K6288" s="1"/>
      <c r="L6288" s="1"/>
      <c r="O6288" s="475"/>
      <c r="P6288" s="475"/>
      <c r="Q6288" s="475"/>
      <c r="R6288" s="475"/>
      <c r="S6288" s="475"/>
      <c r="T6288" s="475"/>
      <c r="U6288" s="475"/>
      <c r="V6288" s="475"/>
      <c r="W6288" s="475"/>
    </row>
    <row r="6289" spans="2:23" s="97" customFormat="1">
      <c r="B6289" s="96"/>
      <c r="H6289" s="96"/>
      <c r="J6289" s="1"/>
      <c r="K6289" s="1"/>
      <c r="L6289" s="1"/>
      <c r="O6289" s="475"/>
      <c r="P6289" s="475"/>
      <c r="Q6289" s="475"/>
      <c r="R6289" s="475"/>
      <c r="S6289" s="475"/>
      <c r="T6289" s="475"/>
      <c r="U6289" s="475"/>
      <c r="V6289" s="475"/>
      <c r="W6289" s="475"/>
    </row>
    <row r="6290" spans="2:23" s="97" customFormat="1">
      <c r="B6290" s="96"/>
      <c r="H6290" s="96"/>
      <c r="J6290" s="1"/>
      <c r="K6290" s="1"/>
      <c r="L6290" s="1"/>
      <c r="O6290" s="475"/>
      <c r="P6290" s="475"/>
      <c r="Q6290" s="475"/>
      <c r="R6290" s="475"/>
      <c r="S6290" s="475"/>
      <c r="T6290" s="475"/>
      <c r="U6290" s="475"/>
      <c r="V6290" s="475"/>
      <c r="W6290" s="475"/>
    </row>
    <row r="6291" spans="2:23" s="97" customFormat="1">
      <c r="B6291" s="96"/>
      <c r="H6291" s="96"/>
      <c r="J6291" s="1"/>
      <c r="K6291" s="1"/>
      <c r="L6291" s="1"/>
      <c r="O6291" s="475"/>
      <c r="P6291" s="475"/>
      <c r="Q6291" s="475"/>
      <c r="R6291" s="475"/>
      <c r="S6291" s="475"/>
      <c r="T6291" s="475"/>
      <c r="U6291" s="475"/>
      <c r="V6291" s="475"/>
      <c r="W6291" s="475"/>
    </row>
    <row r="6292" spans="2:23" s="97" customFormat="1">
      <c r="B6292" s="96"/>
      <c r="H6292" s="96"/>
      <c r="J6292" s="1"/>
      <c r="K6292" s="1"/>
      <c r="L6292" s="1"/>
      <c r="O6292" s="475"/>
      <c r="P6292" s="475"/>
      <c r="Q6292" s="475"/>
      <c r="R6292" s="475"/>
      <c r="S6292" s="475"/>
      <c r="T6292" s="475"/>
      <c r="U6292" s="475"/>
      <c r="V6292" s="475"/>
      <c r="W6292" s="475"/>
    </row>
    <row r="6293" spans="2:23" s="97" customFormat="1">
      <c r="B6293" s="96"/>
      <c r="H6293" s="96"/>
      <c r="J6293" s="1"/>
      <c r="K6293" s="1"/>
      <c r="L6293" s="1"/>
      <c r="O6293" s="475"/>
      <c r="P6293" s="475"/>
      <c r="Q6293" s="475"/>
      <c r="R6293" s="475"/>
      <c r="S6293" s="475"/>
      <c r="T6293" s="475"/>
      <c r="U6293" s="475"/>
      <c r="V6293" s="475"/>
      <c r="W6293" s="475"/>
    </row>
    <row r="6294" spans="2:23" s="97" customFormat="1">
      <c r="B6294" s="96"/>
      <c r="H6294" s="96"/>
      <c r="J6294" s="1"/>
      <c r="K6294" s="1"/>
      <c r="L6294" s="1"/>
      <c r="O6294" s="475"/>
      <c r="P6294" s="475"/>
      <c r="Q6294" s="475"/>
      <c r="R6294" s="475"/>
      <c r="S6294" s="475"/>
      <c r="T6294" s="475"/>
      <c r="U6294" s="475"/>
      <c r="V6294" s="475"/>
      <c r="W6294" s="475"/>
    </row>
    <row r="6295" spans="2:23" s="97" customFormat="1">
      <c r="B6295" s="96"/>
      <c r="H6295" s="96"/>
      <c r="J6295" s="1"/>
      <c r="K6295" s="1"/>
      <c r="L6295" s="1"/>
      <c r="O6295" s="475"/>
      <c r="P6295" s="475"/>
      <c r="Q6295" s="475"/>
      <c r="R6295" s="475"/>
      <c r="S6295" s="475"/>
      <c r="T6295" s="475"/>
      <c r="U6295" s="475"/>
      <c r="V6295" s="475"/>
      <c r="W6295" s="475"/>
    </row>
    <row r="6296" spans="2:23" s="97" customFormat="1">
      <c r="B6296" s="96"/>
      <c r="H6296" s="96"/>
      <c r="J6296" s="1"/>
      <c r="K6296" s="1"/>
      <c r="L6296" s="1"/>
      <c r="O6296" s="475"/>
      <c r="P6296" s="475"/>
      <c r="Q6296" s="475"/>
      <c r="R6296" s="475"/>
      <c r="S6296" s="475"/>
      <c r="T6296" s="475"/>
      <c r="U6296" s="475"/>
      <c r="V6296" s="475"/>
      <c r="W6296" s="475"/>
    </row>
    <row r="6297" spans="2:23" s="97" customFormat="1">
      <c r="B6297" s="96"/>
      <c r="H6297" s="96"/>
      <c r="J6297" s="1"/>
      <c r="K6297" s="1"/>
      <c r="L6297" s="1"/>
      <c r="O6297" s="475"/>
      <c r="P6297" s="475"/>
      <c r="Q6297" s="475"/>
      <c r="R6297" s="475"/>
      <c r="S6297" s="475"/>
      <c r="T6297" s="475"/>
      <c r="U6297" s="475"/>
      <c r="V6297" s="475"/>
      <c r="W6297" s="475"/>
    </row>
    <row r="6298" spans="2:23" s="97" customFormat="1">
      <c r="B6298" s="96"/>
      <c r="H6298" s="96"/>
      <c r="J6298" s="1"/>
      <c r="K6298" s="1"/>
      <c r="L6298" s="1"/>
      <c r="O6298" s="475"/>
      <c r="P6298" s="475"/>
      <c r="Q6298" s="475"/>
      <c r="R6298" s="475"/>
      <c r="S6298" s="475"/>
      <c r="T6298" s="475"/>
      <c r="U6298" s="475"/>
      <c r="V6298" s="475"/>
      <c r="W6298" s="475"/>
    </row>
    <row r="6299" spans="2:23" s="97" customFormat="1">
      <c r="B6299" s="96"/>
      <c r="H6299" s="96"/>
      <c r="J6299" s="1"/>
      <c r="K6299" s="1"/>
      <c r="L6299" s="1"/>
      <c r="O6299" s="475"/>
      <c r="P6299" s="475"/>
      <c r="Q6299" s="475"/>
      <c r="R6299" s="475"/>
      <c r="S6299" s="475"/>
      <c r="T6299" s="475"/>
      <c r="U6299" s="475"/>
      <c r="V6299" s="475"/>
      <c r="W6299" s="475"/>
    </row>
    <row r="6300" spans="2:23" s="97" customFormat="1">
      <c r="B6300" s="96"/>
      <c r="H6300" s="96"/>
      <c r="J6300" s="1"/>
      <c r="K6300" s="1"/>
      <c r="L6300" s="1"/>
      <c r="O6300" s="475"/>
      <c r="P6300" s="475"/>
      <c r="Q6300" s="475"/>
      <c r="R6300" s="475"/>
      <c r="S6300" s="475"/>
      <c r="T6300" s="475"/>
      <c r="U6300" s="475"/>
      <c r="V6300" s="475"/>
      <c r="W6300" s="475"/>
    </row>
    <row r="6301" spans="2:23" s="97" customFormat="1">
      <c r="B6301" s="96"/>
      <c r="H6301" s="96"/>
      <c r="J6301" s="1"/>
      <c r="K6301" s="1"/>
      <c r="L6301" s="1"/>
      <c r="O6301" s="475"/>
      <c r="P6301" s="475"/>
      <c r="Q6301" s="475"/>
      <c r="R6301" s="475"/>
      <c r="S6301" s="475"/>
      <c r="T6301" s="475"/>
      <c r="U6301" s="475"/>
      <c r="V6301" s="475"/>
      <c r="W6301" s="475"/>
    </row>
    <row r="6302" spans="2:23" s="97" customFormat="1">
      <c r="B6302" s="96"/>
      <c r="H6302" s="96"/>
      <c r="J6302" s="1"/>
      <c r="K6302" s="1"/>
      <c r="L6302" s="1"/>
      <c r="O6302" s="475"/>
      <c r="P6302" s="475"/>
      <c r="Q6302" s="475"/>
      <c r="R6302" s="475"/>
      <c r="S6302" s="475"/>
      <c r="T6302" s="475"/>
      <c r="U6302" s="475"/>
      <c r="V6302" s="475"/>
      <c r="W6302" s="475"/>
    </row>
    <row r="6303" spans="2:23" s="97" customFormat="1">
      <c r="B6303" s="96"/>
      <c r="H6303" s="96"/>
      <c r="J6303" s="1"/>
      <c r="K6303" s="1"/>
      <c r="L6303" s="1"/>
      <c r="O6303" s="475"/>
      <c r="P6303" s="475"/>
      <c r="Q6303" s="475"/>
      <c r="R6303" s="475"/>
      <c r="S6303" s="475"/>
      <c r="T6303" s="475"/>
      <c r="U6303" s="475"/>
      <c r="V6303" s="475"/>
      <c r="W6303" s="475"/>
    </row>
    <row r="6304" spans="2:23" s="97" customFormat="1">
      <c r="B6304" s="96"/>
      <c r="H6304" s="96"/>
      <c r="J6304" s="1"/>
      <c r="K6304" s="1"/>
      <c r="L6304" s="1"/>
      <c r="O6304" s="475"/>
      <c r="P6304" s="475"/>
      <c r="Q6304" s="475"/>
      <c r="R6304" s="475"/>
      <c r="S6304" s="475"/>
      <c r="T6304" s="475"/>
      <c r="U6304" s="475"/>
      <c r="V6304" s="475"/>
      <c r="W6304" s="475"/>
    </row>
    <row r="6305" spans="2:23" s="97" customFormat="1">
      <c r="B6305" s="96"/>
      <c r="H6305" s="96"/>
      <c r="J6305" s="1"/>
      <c r="K6305" s="1"/>
      <c r="L6305" s="1"/>
      <c r="O6305" s="475"/>
      <c r="P6305" s="475"/>
      <c r="Q6305" s="475"/>
      <c r="R6305" s="475"/>
      <c r="S6305" s="475"/>
      <c r="T6305" s="475"/>
      <c r="U6305" s="475"/>
      <c r="V6305" s="475"/>
      <c r="W6305" s="475"/>
    </row>
    <row r="6306" spans="2:23" s="97" customFormat="1">
      <c r="B6306" s="96"/>
      <c r="H6306" s="96"/>
      <c r="J6306" s="1"/>
      <c r="K6306" s="1"/>
      <c r="L6306" s="1"/>
      <c r="O6306" s="475"/>
      <c r="P6306" s="475"/>
      <c r="Q6306" s="475"/>
      <c r="R6306" s="475"/>
      <c r="S6306" s="475"/>
      <c r="T6306" s="475"/>
      <c r="U6306" s="475"/>
      <c r="V6306" s="475"/>
      <c r="W6306" s="475"/>
    </row>
    <row r="6307" spans="2:23" s="97" customFormat="1">
      <c r="B6307" s="96"/>
      <c r="H6307" s="96"/>
      <c r="J6307" s="1"/>
      <c r="K6307" s="1"/>
      <c r="L6307" s="1"/>
      <c r="O6307" s="475"/>
      <c r="P6307" s="475"/>
      <c r="Q6307" s="475"/>
      <c r="R6307" s="475"/>
      <c r="S6307" s="475"/>
      <c r="T6307" s="475"/>
      <c r="U6307" s="475"/>
      <c r="V6307" s="475"/>
      <c r="W6307" s="475"/>
    </row>
    <row r="6308" spans="2:23" s="97" customFormat="1">
      <c r="B6308" s="96"/>
      <c r="H6308" s="96"/>
      <c r="J6308" s="1"/>
      <c r="K6308" s="1"/>
      <c r="L6308" s="1"/>
      <c r="O6308" s="475"/>
      <c r="P6308" s="475"/>
      <c r="Q6308" s="475"/>
      <c r="R6308" s="475"/>
      <c r="S6308" s="475"/>
      <c r="T6308" s="475"/>
      <c r="U6308" s="475"/>
      <c r="V6308" s="475"/>
      <c r="W6308" s="475"/>
    </row>
    <row r="6309" spans="2:23" s="97" customFormat="1">
      <c r="B6309" s="96"/>
      <c r="H6309" s="96"/>
      <c r="J6309" s="1"/>
      <c r="K6309" s="1"/>
      <c r="L6309" s="1"/>
      <c r="O6309" s="475"/>
      <c r="P6309" s="475"/>
      <c r="Q6309" s="475"/>
      <c r="R6309" s="475"/>
      <c r="S6309" s="475"/>
      <c r="T6309" s="475"/>
      <c r="U6309" s="475"/>
      <c r="V6309" s="475"/>
      <c r="W6309" s="475"/>
    </row>
    <row r="6310" spans="2:23" s="97" customFormat="1">
      <c r="B6310" s="96"/>
      <c r="H6310" s="96"/>
      <c r="J6310" s="1"/>
      <c r="K6310" s="1"/>
      <c r="L6310" s="1"/>
      <c r="O6310" s="475"/>
      <c r="P6310" s="475"/>
      <c r="Q6310" s="475"/>
      <c r="R6310" s="475"/>
      <c r="S6310" s="475"/>
      <c r="T6310" s="475"/>
      <c r="U6310" s="475"/>
      <c r="V6310" s="475"/>
      <c r="W6310" s="475"/>
    </row>
    <row r="6311" spans="2:23" s="97" customFormat="1">
      <c r="B6311" s="96"/>
      <c r="H6311" s="96"/>
      <c r="J6311" s="1"/>
      <c r="K6311" s="1"/>
      <c r="L6311" s="1"/>
      <c r="O6311" s="475"/>
      <c r="P6311" s="475"/>
      <c r="Q6311" s="475"/>
      <c r="R6311" s="475"/>
      <c r="S6311" s="475"/>
      <c r="T6311" s="475"/>
      <c r="U6311" s="475"/>
      <c r="V6311" s="475"/>
      <c r="W6311" s="475"/>
    </row>
    <row r="6312" spans="2:23" s="97" customFormat="1">
      <c r="B6312" s="96"/>
      <c r="H6312" s="96"/>
      <c r="J6312" s="1"/>
      <c r="K6312" s="1"/>
      <c r="L6312" s="1"/>
      <c r="O6312" s="475"/>
      <c r="P6312" s="475"/>
      <c r="Q6312" s="475"/>
      <c r="R6312" s="475"/>
      <c r="S6312" s="475"/>
      <c r="T6312" s="475"/>
      <c r="U6312" s="475"/>
      <c r="V6312" s="475"/>
      <c r="W6312" s="475"/>
    </row>
    <row r="6313" spans="2:23" s="97" customFormat="1">
      <c r="B6313" s="96"/>
      <c r="H6313" s="96"/>
      <c r="J6313" s="1"/>
      <c r="K6313" s="1"/>
      <c r="L6313" s="1"/>
      <c r="O6313" s="475"/>
      <c r="P6313" s="475"/>
      <c r="Q6313" s="475"/>
      <c r="R6313" s="475"/>
      <c r="S6313" s="475"/>
      <c r="T6313" s="475"/>
      <c r="U6313" s="475"/>
      <c r="V6313" s="475"/>
      <c r="W6313" s="475"/>
    </row>
    <row r="6314" spans="2:23" s="97" customFormat="1">
      <c r="B6314" s="96"/>
      <c r="H6314" s="96"/>
      <c r="J6314" s="1"/>
      <c r="K6314" s="1"/>
      <c r="L6314" s="1"/>
      <c r="O6314" s="475"/>
      <c r="P6314" s="475"/>
      <c r="Q6314" s="475"/>
      <c r="R6314" s="475"/>
      <c r="S6314" s="475"/>
      <c r="T6314" s="475"/>
      <c r="U6314" s="475"/>
      <c r="V6314" s="475"/>
      <c r="W6314" s="475"/>
    </row>
    <row r="6315" spans="2:23" s="97" customFormat="1">
      <c r="B6315" s="96"/>
      <c r="H6315" s="96"/>
      <c r="J6315" s="1"/>
      <c r="K6315" s="1"/>
      <c r="L6315" s="1"/>
      <c r="O6315" s="475"/>
      <c r="P6315" s="475"/>
      <c r="Q6315" s="475"/>
      <c r="R6315" s="475"/>
      <c r="S6315" s="475"/>
      <c r="T6315" s="475"/>
      <c r="U6315" s="475"/>
      <c r="V6315" s="475"/>
      <c r="W6315" s="475"/>
    </row>
    <row r="6316" spans="2:23" s="97" customFormat="1">
      <c r="B6316" s="96"/>
      <c r="H6316" s="96"/>
      <c r="J6316" s="1"/>
      <c r="K6316" s="1"/>
      <c r="L6316" s="1"/>
      <c r="O6316" s="475"/>
      <c r="P6316" s="475"/>
      <c r="Q6316" s="475"/>
      <c r="R6316" s="475"/>
      <c r="S6316" s="475"/>
      <c r="T6316" s="475"/>
      <c r="U6316" s="475"/>
      <c r="V6316" s="475"/>
      <c r="W6316" s="475"/>
    </row>
    <row r="6317" spans="2:23" s="97" customFormat="1">
      <c r="B6317" s="96"/>
      <c r="H6317" s="96"/>
      <c r="J6317" s="1"/>
      <c r="K6317" s="1"/>
      <c r="L6317" s="1"/>
      <c r="O6317" s="475"/>
      <c r="P6317" s="475"/>
      <c r="Q6317" s="475"/>
      <c r="R6317" s="475"/>
      <c r="S6317" s="475"/>
      <c r="T6317" s="475"/>
      <c r="U6317" s="475"/>
      <c r="V6317" s="475"/>
      <c r="W6317" s="475"/>
    </row>
    <row r="6318" spans="2:23" s="97" customFormat="1">
      <c r="B6318" s="96"/>
      <c r="H6318" s="96"/>
      <c r="J6318" s="1"/>
      <c r="K6318" s="1"/>
      <c r="L6318" s="1"/>
      <c r="O6318" s="475"/>
      <c r="P6318" s="475"/>
      <c r="Q6318" s="475"/>
      <c r="R6318" s="475"/>
      <c r="S6318" s="475"/>
      <c r="T6318" s="475"/>
      <c r="U6318" s="475"/>
      <c r="V6318" s="475"/>
      <c r="W6318" s="475"/>
    </row>
    <row r="6319" spans="2:23" s="97" customFormat="1">
      <c r="B6319" s="96"/>
      <c r="H6319" s="96"/>
      <c r="J6319" s="1"/>
      <c r="K6319" s="1"/>
      <c r="L6319" s="1"/>
      <c r="O6319" s="475"/>
      <c r="P6319" s="475"/>
      <c r="Q6319" s="475"/>
      <c r="R6319" s="475"/>
      <c r="S6319" s="475"/>
      <c r="T6319" s="475"/>
      <c r="U6319" s="475"/>
      <c r="V6319" s="475"/>
      <c r="W6319" s="475"/>
    </row>
    <row r="6320" spans="2:23" s="97" customFormat="1">
      <c r="B6320" s="96"/>
      <c r="H6320" s="96"/>
      <c r="J6320" s="1"/>
      <c r="K6320" s="1"/>
      <c r="L6320" s="1"/>
      <c r="O6320" s="475"/>
      <c r="P6320" s="475"/>
      <c r="Q6320" s="475"/>
      <c r="R6320" s="475"/>
      <c r="S6320" s="475"/>
      <c r="T6320" s="475"/>
      <c r="U6320" s="475"/>
      <c r="V6320" s="475"/>
      <c r="W6320" s="475"/>
    </row>
    <row r="6321" spans="2:23" s="97" customFormat="1">
      <c r="B6321" s="96"/>
      <c r="H6321" s="96"/>
      <c r="J6321" s="1"/>
      <c r="K6321" s="1"/>
      <c r="L6321" s="1"/>
      <c r="O6321" s="475"/>
      <c r="P6321" s="475"/>
      <c r="Q6321" s="475"/>
      <c r="R6321" s="475"/>
      <c r="S6321" s="475"/>
      <c r="T6321" s="475"/>
      <c r="U6321" s="475"/>
      <c r="V6321" s="475"/>
      <c r="W6321" s="475"/>
    </row>
    <row r="6322" spans="2:23" s="97" customFormat="1">
      <c r="B6322" s="96"/>
      <c r="H6322" s="96"/>
      <c r="J6322" s="1"/>
      <c r="K6322" s="1"/>
      <c r="L6322" s="1"/>
      <c r="O6322" s="475"/>
      <c r="P6322" s="475"/>
      <c r="Q6322" s="475"/>
      <c r="R6322" s="475"/>
      <c r="S6322" s="475"/>
      <c r="T6322" s="475"/>
      <c r="U6322" s="475"/>
      <c r="V6322" s="475"/>
      <c r="W6322" s="475"/>
    </row>
    <row r="6323" spans="2:23" s="97" customFormat="1">
      <c r="B6323" s="96"/>
      <c r="H6323" s="96"/>
      <c r="J6323" s="1"/>
      <c r="K6323" s="1"/>
      <c r="L6323" s="1"/>
      <c r="O6323" s="475"/>
      <c r="P6323" s="475"/>
      <c r="Q6323" s="475"/>
      <c r="R6323" s="475"/>
      <c r="S6323" s="475"/>
      <c r="T6323" s="475"/>
      <c r="U6323" s="475"/>
      <c r="V6323" s="475"/>
      <c r="W6323" s="475"/>
    </row>
    <row r="6324" spans="2:23" s="97" customFormat="1">
      <c r="B6324" s="96"/>
      <c r="H6324" s="96"/>
      <c r="J6324" s="1"/>
      <c r="K6324" s="1"/>
      <c r="L6324" s="1"/>
      <c r="O6324" s="475"/>
      <c r="P6324" s="475"/>
      <c r="Q6324" s="475"/>
      <c r="R6324" s="475"/>
      <c r="S6324" s="475"/>
      <c r="T6324" s="475"/>
      <c r="U6324" s="475"/>
      <c r="V6324" s="475"/>
      <c r="W6324" s="475"/>
    </row>
    <row r="6325" spans="2:23" s="97" customFormat="1">
      <c r="B6325" s="96"/>
      <c r="H6325" s="96"/>
      <c r="J6325" s="1"/>
      <c r="K6325" s="1"/>
      <c r="L6325" s="1"/>
      <c r="O6325" s="475"/>
      <c r="P6325" s="475"/>
      <c r="Q6325" s="475"/>
      <c r="R6325" s="475"/>
      <c r="S6325" s="475"/>
      <c r="T6325" s="475"/>
      <c r="U6325" s="475"/>
      <c r="V6325" s="475"/>
      <c r="W6325" s="475"/>
    </row>
    <row r="6326" spans="2:23" s="97" customFormat="1">
      <c r="B6326" s="96"/>
      <c r="H6326" s="96"/>
      <c r="J6326" s="1"/>
      <c r="K6326" s="1"/>
      <c r="L6326" s="1"/>
      <c r="O6326" s="475"/>
      <c r="P6326" s="475"/>
      <c r="Q6326" s="475"/>
      <c r="R6326" s="475"/>
      <c r="S6326" s="475"/>
      <c r="T6326" s="475"/>
      <c r="U6326" s="475"/>
      <c r="V6326" s="475"/>
      <c r="W6326" s="475"/>
    </row>
    <row r="6327" spans="2:23" s="97" customFormat="1">
      <c r="B6327" s="96"/>
      <c r="H6327" s="96"/>
      <c r="J6327" s="1"/>
      <c r="K6327" s="1"/>
      <c r="L6327" s="1"/>
      <c r="O6327" s="475"/>
      <c r="P6327" s="475"/>
      <c r="Q6327" s="475"/>
      <c r="R6327" s="475"/>
      <c r="S6327" s="475"/>
      <c r="T6327" s="475"/>
      <c r="U6327" s="475"/>
      <c r="V6327" s="475"/>
      <c r="W6327" s="475"/>
    </row>
    <row r="6328" spans="2:23" s="97" customFormat="1">
      <c r="B6328" s="96"/>
      <c r="H6328" s="96"/>
      <c r="J6328" s="1"/>
      <c r="K6328" s="1"/>
      <c r="L6328" s="1"/>
      <c r="O6328" s="475"/>
      <c r="P6328" s="475"/>
      <c r="Q6328" s="475"/>
      <c r="R6328" s="475"/>
      <c r="S6328" s="475"/>
      <c r="T6328" s="475"/>
      <c r="U6328" s="475"/>
      <c r="V6328" s="475"/>
      <c r="W6328" s="475"/>
    </row>
    <row r="6329" spans="2:23" s="97" customFormat="1">
      <c r="B6329" s="96"/>
      <c r="H6329" s="96"/>
      <c r="J6329" s="1"/>
      <c r="K6329" s="1"/>
      <c r="L6329" s="1"/>
      <c r="O6329" s="475"/>
      <c r="P6329" s="475"/>
      <c r="Q6329" s="475"/>
      <c r="R6329" s="475"/>
      <c r="S6329" s="475"/>
      <c r="T6329" s="475"/>
      <c r="U6329" s="475"/>
      <c r="V6329" s="475"/>
      <c r="W6329" s="475"/>
    </row>
    <row r="6330" spans="2:23" s="97" customFormat="1">
      <c r="B6330" s="96"/>
      <c r="H6330" s="96"/>
      <c r="J6330" s="1"/>
      <c r="K6330" s="1"/>
      <c r="L6330" s="1"/>
      <c r="O6330" s="475"/>
      <c r="P6330" s="475"/>
      <c r="Q6330" s="475"/>
      <c r="R6330" s="475"/>
      <c r="S6330" s="475"/>
      <c r="T6330" s="475"/>
      <c r="U6330" s="475"/>
      <c r="V6330" s="475"/>
      <c r="W6330" s="475"/>
    </row>
    <row r="6331" spans="2:23" s="97" customFormat="1">
      <c r="B6331" s="96"/>
      <c r="H6331" s="96"/>
      <c r="J6331" s="1"/>
      <c r="K6331" s="1"/>
      <c r="L6331" s="1"/>
      <c r="O6331" s="475"/>
      <c r="P6331" s="475"/>
      <c r="Q6331" s="475"/>
      <c r="R6331" s="475"/>
      <c r="S6331" s="475"/>
      <c r="T6331" s="475"/>
      <c r="U6331" s="475"/>
      <c r="V6331" s="475"/>
      <c r="W6331" s="475"/>
    </row>
    <row r="6332" spans="2:23" s="97" customFormat="1">
      <c r="B6332" s="96"/>
      <c r="H6332" s="96"/>
      <c r="J6332" s="1"/>
      <c r="K6332" s="1"/>
      <c r="L6332" s="1"/>
      <c r="O6332" s="475"/>
      <c r="P6332" s="475"/>
      <c r="Q6332" s="475"/>
      <c r="R6332" s="475"/>
      <c r="S6332" s="475"/>
      <c r="T6332" s="475"/>
      <c r="U6332" s="475"/>
      <c r="V6332" s="475"/>
      <c r="W6332" s="475"/>
    </row>
    <row r="6333" spans="2:23" s="97" customFormat="1">
      <c r="B6333" s="96"/>
      <c r="H6333" s="96"/>
      <c r="J6333" s="1"/>
      <c r="K6333" s="1"/>
      <c r="L6333" s="1"/>
      <c r="O6333" s="475"/>
      <c r="P6333" s="475"/>
      <c r="Q6333" s="475"/>
      <c r="R6333" s="475"/>
      <c r="S6333" s="475"/>
      <c r="T6333" s="475"/>
      <c r="U6333" s="475"/>
      <c r="V6333" s="475"/>
      <c r="W6333" s="475"/>
    </row>
    <row r="6334" spans="2:23" s="97" customFormat="1">
      <c r="B6334" s="96"/>
      <c r="H6334" s="96"/>
      <c r="J6334" s="1"/>
      <c r="K6334" s="1"/>
      <c r="L6334" s="1"/>
      <c r="O6334" s="475"/>
      <c r="P6334" s="475"/>
      <c r="Q6334" s="475"/>
      <c r="R6334" s="475"/>
      <c r="S6334" s="475"/>
      <c r="T6334" s="475"/>
      <c r="U6334" s="475"/>
      <c r="V6334" s="475"/>
      <c r="W6334" s="475"/>
    </row>
    <row r="6335" spans="2:23" s="97" customFormat="1">
      <c r="B6335" s="96"/>
      <c r="H6335" s="96"/>
      <c r="J6335" s="1"/>
      <c r="K6335" s="1"/>
      <c r="L6335" s="1"/>
      <c r="O6335" s="475"/>
      <c r="P6335" s="475"/>
      <c r="Q6335" s="475"/>
      <c r="R6335" s="475"/>
      <c r="S6335" s="475"/>
      <c r="T6335" s="475"/>
      <c r="U6335" s="475"/>
      <c r="V6335" s="475"/>
      <c r="W6335" s="475"/>
    </row>
    <row r="6336" spans="2:23" s="97" customFormat="1">
      <c r="B6336" s="96"/>
      <c r="H6336" s="96"/>
      <c r="J6336" s="1"/>
      <c r="K6336" s="1"/>
      <c r="L6336" s="1"/>
      <c r="O6336" s="475"/>
      <c r="P6336" s="475"/>
      <c r="Q6336" s="475"/>
      <c r="R6336" s="475"/>
      <c r="S6336" s="475"/>
      <c r="T6336" s="475"/>
      <c r="U6336" s="475"/>
      <c r="V6336" s="475"/>
      <c r="W6336" s="475"/>
    </row>
    <row r="6337" spans="2:23" s="97" customFormat="1">
      <c r="B6337" s="96"/>
      <c r="H6337" s="96"/>
      <c r="J6337" s="1"/>
      <c r="K6337" s="1"/>
      <c r="L6337" s="1"/>
      <c r="O6337" s="475"/>
      <c r="P6337" s="475"/>
      <c r="Q6337" s="475"/>
      <c r="R6337" s="475"/>
      <c r="S6337" s="475"/>
      <c r="T6337" s="475"/>
      <c r="U6337" s="475"/>
      <c r="V6337" s="475"/>
      <c r="W6337" s="475"/>
    </row>
    <row r="6338" spans="2:23" s="97" customFormat="1">
      <c r="B6338" s="96"/>
      <c r="H6338" s="96"/>
      <c r="J6338" s="1"/>
      <c r="K6338" s="1"/>
      <c r="L6338" s="1"/>
      <c r="O6338" s="475"/>
      <c r="P6338" s="475"/>
      <c r="Q6338" s="475"/>
      <c r="R6338" s="475"/>
      <c r="S6338" s="475"/>
      <c r="T6338" s="475"/>
      <c r="U6338" s="475"/>
      <c r="V6338" s="475"/>
      <c r="W6338" s="475"/>
    </row>
    <row r="6339" spans="2:23" s="97" customFormat="1">
      <c r="B6339" s="96"/>
      <c r="H6339" s="96"/>
      <c r="J6339" s="1"/>
      <c r="K6339" s="1"/>
      <c r="L6339" s="1"/>
      <c r="O6339" s="475"/>
      <c r="P6339" s="475"/>
      <c r="Q6339" s="475"/>
      <c r="R6339" s="475"/>
      <c r="S6339" s="475"/>
      <c r="T6339" s="475"/>
      <c r="U6339" s="475"/>
      <c r="V6339" s="475"/>
      <c r="W6339" s="475"/>
    </row>
    <row r="6340" spans="2:23" s="97" customFormat="1">
      <c r="B6340" s="96"/>
      <c r="H6340" s="96"/>
      <c r="J6340" s="1"/>
      <c r="K6340" s="1"/>
      <c r="L6340" s="1"/>
      <c r="O6340" s="475"/>
      <c r="P6340" s="475"/>
      <c r="Q6340" s="475"/>
      <c r="R6340" s="475"/>
      <c r="S6340" s="475"/>
      <c r="T6340" s="475"/>
      <c r="U6340" s="475"/>
      <c r="V6340" s="475"/>
      <c r="W6340" s="475"/>
    </row>
    <row r="6341" spans="2:23" s="97" customFormat="1">
      <c r="B6341" s="96"/>
      <c r="H6341" s="96"/>
      <c r="J6341" s="1"/>
      <c r="K6341" s="1"/>
      <c r="L6341" s="1"/>
      <c r="O6341" s="475"/>
      <c r="P6341" s="475"/>
      <c r="Q6341" s="475"/>
      <c r="R6341" s="475"/>
      <c r="S6341" s="475"/>
      <c r="T6341" s="475"/>
      <c r="U6341" s="475"/>
      <c r="V6341" s="475"/>
      <c r="W6341" s="475"/>
    </row>
    <row r="6342" spans="2:23" s="97" customFormat="1">
      <c r="B6342" s="96"/>
      <c r="H6342" s="96"/>
      <c r="J6342" s="1"/>
      <c r="K6342" s="1"/>
      <c r="L6342" s="1"/>
      <c r="O6342" s="475"/>
      <c r="P6342" s="475"/>
      <c r="Q6342" s="475"/>
      <c r="R6342" s="475"/>
      <c r="S6342" s="475"/>
      <c r="T6342" s="475"/>
      <c r="U6342" s="475"/>
      <c r="V6342" s="475"/>
      <c r="W6342" s="475"/>
    </row>
    <row r="6343" spans="2:23" s="97" customFormat="1">
      <c r="B6343" s="96"/>
      <c r="H6343" s="96"/>
      <c r="J6343" s="1"/>
      <c r="K6343" s="1"/>
      <c r="L6343" s="1"/>
      <c r="O6343" s="475"/>
      <c r="P6343" s="475"/>
      <c r="Q6343" s="475"/>
      <c r="R6343" s="475"/>
      <c r="S6343" s="475"/>
      <c r="T6343" s="475"/>
      <c r="U6343" s="475"/>
      <c r="V6343" s="475"/>
      <c r="W6343" s="475"/>
    </row>
    <row r="6344" spans="2:23" s="97" customFormat="1">
      <c r="B6344" s="96"/>
      <c r="H6344" s="96"/>
      <c r="J6344" s="1"/>
      <c r="K6344" s="1"/>
      <c r="L6344" s="1"/>
      <c r="O6344" s="475"/>
      <c r="P6344" s="475"/>
      <c r="Q6344" s="475"/>
      <c r="R6344" s="475"/>
      <c r="S6344" s="475"/>
      <c r="T6344" s="475"/>
      <c r="U6344" s="475"/>
      <c r="V6344" s="475"/>
      <c r="W6344" s="475"/>
    </row>
    <row r="6345" spans="2:23" s="97" customFormat="1">
      <c r="B6345" s="96"/>
      <c r="H6345" s="96"/>
      <c r="J6345" s="1"/>
      <c r="K6345" s="1"/>
      <c r="L6345" s="1"/>
      <c r="O6345" s="475"/>
      <c r="P6345" s="475"/>
      <c r="Q6345" s="475"/>
      <c r="R6345" s="475"/>
      <c r="S6345" s="475"/>
      <c r="T6345" s="475"/>
      <c r="U6345" s="475"/>
      <c r="V6345" s="475"/>
      <c r="W6345" s="475"/>
    </row>
    <row r="6346" spans="2:23" s="97" customFormat="1">
      <c r="B6346" s="96"/>
      <c r="H6346" s="96"/>
      <c r="J6346" s="1"/>
      <c r="K6346" s="1"/>
      <c r="L6346" s="1"/>
      <c r="O6346" s="475"/>
      <c r="P6346" s="475"/>
      <c r="Q6346" s="475"/>
      <c r="R6346" s="475"/>
      <c r="S6346" s="475"/>
      <c r="T6346" s="475"/>
      <c r="U6346" s="475"/>
      <c r="V6346" s="475"/>
      <c r="W6346" s="475"/>
    </row>
    <row r="6347" spans="2:23" s="97" customFormat="1">
      <c r="B6347" s="96"/>
      <c r="H6347" s="96"/>
      <c r="J6347" s="1"/>
      <c r="K6347" s="1"/>
      <c r="L6347" s="1"/>
      <c r="O6347" s="475"/>
      <c r="P6347" s="475"/>
      <c r="Q6347" s="475"/>
      <c r="R6347" s="475"/>
      <c r="S6347" s="475"/>
      <c r="T6347" s="475"/>
      <c r="U6347" s="475"/>
      <c r="V6347" s="475"/>
      <c r="W6347" s="475"/>
    </row>
    <row r="6348" spans="2:23" s="97" customFormat="1">
      <c r="B6348" s="96"/>
      <c r="H6348" s="96"/>
      <c r="J6348" s="1"/>
      <c r="K6348" s="1"/>
      <c r="L6348" s="1"/>
      <c r="O6348" s="475"/>
      <c r="P6348" s="475"/>
      <c r="Q6348" s="475"/>
      <c r="R6348" s="475"/>
      <c r="S6348" s="475"/>
      <c r="T6348" s="475"/>
      <c r="U6348" s="475"/>
      <c r="V6348" s="475"/>
      <c r="W6348" s="475"/>
    </row>
    <row r="6349" spans="2:23" s="97" customFormat="1">
      <c r="B6349" s="96"/>
      <c r="H6349" s="96"/>
      <c r="J6349" s="1"/>
      <c r="K6349" s="1"/>
      <c r="L6349" s="1"/>
      <c r="O6349" s="475"/>
      <c r="P6349" s="475"/>
      <c r="Q6349" s="475"/>
      <c r="R6349" s="475"/>
      <c r="S6349" s="475"/>
      <c r="T6349" s="475"/>
      <c r="U6349" s="475"/>
      <c r="V6349" s="475"/>
      <c r="W6349" s="475"/>
    </row>
    <row r="6350" spans="2:23" s="97" customFormat="1">
      <c r="B6350" s="96"/>
      <c r="H6350" s="96"/>
      <c r="J6350" s="1"/>
      <c r="K6350" s="1"/>
      <c r="L6350" s="1"/>
      <c r="O6350" s="475"/>
      <c r="P6350" s="475"/>
      <c r="Q6350" s="475"/>
      <c r="R6350" s="475"/>
      <c r="S6350" s="475"/>
      <c r="T6350" s="475"/>
      <c r="U6350" s="475"/>
      <c r="V6350" s="475"/>
      <c r="W6350" s="475"/>
    </row>
    <row r="6351" spans="2:23" s="97" customFormat="1">
      <c r="B6351" s="96"/>
      <c r="H6351" s="96"/>
      <c r="J6351" s="1"/>
      <c r="K6351" s="1"/>
      <c r="L6351" s="1"/>
      <c r="O6351" s="475"/>
      <c r="P6351" s="475"/>
      <c r="Q6351" s="475"/>
      <c r="R6351" s="475"/>
      <c r="S6351" s="475"/>
      <c r="T6351" s="475"/>
      <c r="U6351" s="475"/>
      <c r="V6351" s="475"/>
      <c r="W6351" s="475"/>
    </row>
    <row r="6352" spans="2:23" s="97" customFormat="1">
      <c r="B6352" s="96"/>
      <c r="H6352" s="96"/>
      <c r="J6352" s="1"/>
      <c r="K6352" s="1"/>
      <c r="L6352" s="1"/>
      <c r="O6352" s="475"/>
      <c r="P6352" s="475"/>
      <c r="Q6352" s="475"/>
      <c r="R6352" s="475"/>
      <c r="S6352" s="475"/>
      <c r="T6352" s="475"/>
      <c r="U6352" s="475"/>
      <c r="V6352" s="475"/>
      <c r="W6352" s="475"/>
    </row>
    <row r="6353" spans="2:23" s="97" customFormat="1">
      <c r="B6353" s="96"/>
      <c r="H6353" s="96"/>
      <c r="J6353" s="1"/>
      <c r="K6353" s="1"/>
      <c r="L6353" s="1"/>
      <c r="O6353" s="475"/>
      <c r="P6353" s="475"/>
      <c r="Q6353" s="475"/>
      <c r="R6353" s="475"/>
      <c r="S6353" s="475"/>
      <c r="T6353" s="475"/>
      <c r="U6353" s="475"/>
      <c r="V6353" s="475"/>
      <c r="W6353" s="475"/>
    </row>
    <row r="6354" spans="2:23" s="97" customFormat="1">
      <c r="B6354" s="96"/>
      <c r="H6354" s="96"/>
      <c r="J6354" s="1"/>
      <c r="K6354" s="1"/>
      <c r="L6354" s="1"/>
      <c r="O6354" s="475"/>
      <c r="P6354" s="475"/>
      <c r="Q6354" s="475"/>
      <c r="R6354" s="475"/>
      <c r="S6354" s="475"/>
      <c r="T6354" s="475"/>
      <c r="U6354" s="475"/>
      <c r="V6354" s="475"/>
      <c r="W6354" s="475"/>
    </row>
    <row r="6355" spans="2:23" s="97" customFormat="1">
      <c r="B6355" s="96"/>
      <c r="H6355" s="96"/>
      <c r="J6355" s="1"/>
      <c r="K6355" s="1"/>
      <c r="L6355" s="1"/>
      <c r="O6355" s="475"/>
      <c r="P6355" s="475"/>
      <c r="Q6355" s="475"/>
      <c r="R6355" s="475"/>
      <c r="S6355" s="475"/>
      <c r="T6355" s="475"/>
      <c r="U6355" s="475"/>
      <c r="V6355" s="475"/>
      <c r="W6355" s="475"/>
    </row>
    <row r="6356" spans="2:23" s="97" customFormat="1">
      <c r="B6356" s="96"/>
      <c r="H6356" s="96"/>
      <c r="J6356" s="1"/>
      <c r="K6356" s="1"/>
      <c r="L6356" s="1"/>
      <c r="O6356" s="475"/>
      <c r="P6356" s="475"/>
      <c r="Q6356" s="475"/>
      <c r="R6356" s="475"/>
      <c r="S6356" s="475"/>
      <c r="T6356" s="475"/>
      <c r="U6356" s="475"/>
      <c r="V6356" s="475"/>
      <c r="W6356" s="475"/>
    </row>
    <row r="6357" spans="2:23" s="97" customFormat="1">
      <c r="B6357" s="96"/>
      <c r="H6357" s="96"/>
      <c r="J6357" s="1"/>
      <c r="K6357" s="1"/>
      <c r="L6357" s="1"/>
      <c r="O6357" s="475"/>
      <c r="P6357" s="475"/>
      <c r="Q6357" s="475"/>
      <c r="R6357" s="475"/>
      <c r="S6357" s="475"/>
      <c r="T6357" s="475"/>
      <c r="U6357" s="475"/>
      <c r="V6357" s="475"/>
      <c r="W6357" s="475"/>
    </row>
    <row r="6358" spans="2:23" s="97" customFormat="1">
      <c r="B6358" s="96"/>
      <c r="H6358" s="96"/>
      <c r="J6358" s="1"/>
      <c r="K6358" s="1"/>
      <c r="L6358" s="1"/>
      <c r="O6358" s="475"/>
      <c r="P6358" s="475"/>
      <c r="Q6358" s="475"/>
      <c r="R6358" s="475"/>
      <c r="S6358" s="475"/>
      <c r="T6358" s="475"/>
      <c r="U6358" s="475"/>
      <c r="V6358" s="475"/>
      <c r="W6358" s="475"/>
    </row>
    <row r="6359" spans="2:23" s="97" customFormat="1">
      <c r="B6359" s="96"/>
      <c r="H6359" s="96"/>
      <c r="J6359" s="1"/>
      <c r="K6359" s="1"/>
      <c r="L6359" s="1"/>
      <c r="O6359" s="475"/>
      <c r="P6359" s="475"/>
      <c r="Q6359" s="475"/>
      <c r="R6359" s="475"/>
      <c r="S6359" s="475"/>
      <c r="T6359" s="475"/>
      <c r="U6359" s="475"/>
      <c r="V6359" s="475"/>
      <c r="W6359" s="475"/>
    </row>
    <row r="6360" spans="2:23" s="97" customFormat="1">
      <c r="B6360" s="96"/>
      <c r="H6360" s="96"/>
      <c r="J6360" s="1"/>
      <c r="K6360" s="1"/>
      <c r="L6360" s="1"/>
      <c r="O6360" s="475"/>
      <c r="P6360" s="475"/>
      <c r="Q6360" s="475"/>
      <c r="R6360" s="475"/>
      <c r="S6360" s="475"/>
      <c r="T6360" s="475"/>
      <c r="U6360" s="475"/>
      <c r="V6360" s="475"/>
      <c r="W6360" s="475"/>
    </row>
    <row r="6361" spans="2:23" s="97" customFormat="1">
      <c r="B6361" s="96"/>
      <c r="H6361" s="96"/>
      <c r="J6361" s="1"/>
      <c r="K6361" s="1"/>
      <c r="L6361" s="1"/>
      <c r="O6361" s="475"/>
      <c r="P6361" s="475"/>
      <c r="Q6361" s="475"/>
      <c r="R6361" s="475"/>
      <c r="S6361" s="475"/>
      <c r="T6361" s="475"/>
      <c r="U6361" s="475"/>
      <c r="V6361" s="475"/>
      <c r="W6361" s="475"/>
    </row>
    <row r="6362" spans="2:23" s="97" customFormat="1">
      <c r="B6362" s="96"/>
      <c r="H6362" s="96"/>
      <c r="J6362" s="1"/>
      <c r="K6362" s="1"/>
      <c r="L6362" s="1"/>
      <c r="O6362" s="475"/>
      <c r="P6362" s="475"/>
      <c r="Q6362" s="475"/>
      <c r="R6362" s="475"/>
      <c r="S6362" s="475"/>
      <c r="T6362" s="475"/>
      <c r="U6362" s="475"/>
      <c r="V6362" s="475"/>
      <c r="W6362" s="475"/>
    </row>
    <row r="6363" spans="2:23" s="97" customFormat="1">
      <c r="B6363" s="96"/>
      <c r="H6363" s="96"/>
      <c r="J6363" s="1"/>
      <c r="K6363" s="1"/>
      <c r="L6363" s="1"/>
      <c r="O6363" s="475"/>
      <c r="P6363" s="475"/>
      <c r="Q6363" s="475"/>
      <c r="R6363" s="475"/>
      <c r="S6363" s="475"/>
      <c r="T6363" s="475"/>
      <c r="U6363" s="475"/>
      <c r="V6363" s="475"/>
      <c r="W6363" s="475"/>
    </row>
    <row r="6364" spans="2:23" s="97" customFormat="1">
      <c r="B6364" s="96"/>
      <c r="H6364" s="96"/>
      <c r="J6364" s="1"/>
      <c r="K6364" s="1"/>
      <c r="L6364" s="1"/>
      <c r="O6364" s="475"/>
      <c r="P6364" s="475"/>
      <c r="Q6364" s="475"/>
      <c r="R6364" s="475"/>
      <c r="S6364" s="475"/>
      <c r="T6364" s="475"/>
      <c r="U6364" s="475"/>
      <c r="V6364" s="475"/>
      <c r="W6364" s="475"/>
    </row>
    <row r="6365" spans="2:23" s="97" customFormat="1">
      <c r="B6365" s="96"/>
      <c r="H6365" s="96"/>
      <c r="J6365" s="1"/>
      <c r="K6365" s="1"/>
      <c r="L6365" s="1"/>
      <c r="O6365" s="475"/>
      <c r="P6365" s="475"/>
      <c r="Q6365" s="475"/>
      <c r="R6365" s="475"/>
      <c r="S6365" s="475"/>
      <c r="T6365" s="475"/>
      <c r="U6365" s="475"/>
      <c r="V6365" s="475"/>
      <c r="W6365" s="475"/>
    </row>
    <row r="6366" spans="2:23" s="97" customFormat="1">
      <c r="B6366" s="96"/>
      <c r="H6366" s="96"/>
      <c r="J6366" s="1"/>
      <c r="K6366" s="1"/>
      <c r="L6366" s="1"/>
      <c r="O6366" s="475"/>
      <c r="P6366" s="475"/>
      <c r="Q6366" s="475"/>
      <c r="R6366" s="475"/>
      <c r="S6366" s="475"/>
      <c r="T6366" s="475"/>
      <c r="U6366" s="475"/>
      <c r="V6366" s="475"/>
      <c r="W6366" s="475"/>
    </row>
    <row r="6367" spans="2:23" s="97" customFormat="1">
      <c r="B6367" s="96"/>
      <c r="H6367" s="96"/>
      <c r="J6367" s="1"/>
      <c r="K6367" s="1"/>
      <c r="L6367" s="1"/>
      <c r="O6367" s="475"/>
      <c r="P6367" s="475"/>
      <c r="Q6367" s="475"/>
      <c r="R6367" s="475"/>
      <c r="S6367" s="475"/>
      <c r="T6367" s="475"/>
      <c r="U6367" s="475"/>
      <c r="V6367" s="475"/>
      <c r="W6367" s="475"/>
    </row>
    <row r="6368" spans="2:23" s="97" customFormat="1">
      <c r="B6368" s="96"/>
      <c r="H6368" s="96"/>
      <c r="J6368" s="1"/>
      <c r="K6368" s="1"/>
      <c r="L6368" s="1"/>
      <c r="O6368" s="475"/>
      <c r="P6368" s="475"/>
      <c r="Q6368" s="475"/>
      <c r="R6368" s="475"/>
      <c r="S6368" s="475"/>
      <c r="T6368" s="475"/>
      <c r="U6368" s="475"/>
      <c r="V6368" s="475"/>
      <c r="W6368" s="475"/>
    </row>
    <row r="6369" spans="2:23" s="97" customFormat="1">
      <c r="B6369" s="96"/>
      <c r="H6369" s="96"/>
      <c r="J6369" s="1"/>
      <c r="K6369" s="1"/>
      <c r="L6369" s="1"/>
      <c r="O6369" s="475"/>
      <c r="P6369" s="475"/>
      <c r="Q6369" s="475"/>
      <c r="R6369" s="475"/>
      <c r="S6369" s="475"/>
      <c r="T6369" s="475"/>
      <c r="U6369" s="475"/>
      <c r="V6369" s="475"/>
      <c r="W6369" s="475"/>
    </row>
    <row r="6370" spans="2:23" s="97" customFormat="1">
      <c r="B6370" s="96"/>
      <c r="H6370" s="96"/>
      <c r="J6370" s="1"/>
      <c r="K6370" s="1"/>
      <c r="L6370" s="1"/>
      <c r="O6370" s="475"/>
      <c r="P6370" s="475"/>
      <c r="Q6370" s="475"/>
      <c r="R6370" s="475"/>
      <c r="S6370" s="475"/>
      <c r="T6370" s="475"/>
      <c r="U6370" s="475"/>
      <c r="V6370" s="475"/>
      <c r="W6370" s="475"/>
    </row>
    <row r="6371" spans="2:23" s="97" customFormat="1">
      <c r="B6371" s="96"/>
      <c r="H6371" s="96"/>
      <c r="J6371" s="1"/>
      <c r="K6371" s="1"/>
      <c r="L6371" s="1"/>
      <c r="O6371" s="475"/>
      <c r="P6371" s="475"/>
      <c r="Q6371" s="475"/>
      <c r="R6371" s="475"/>
      <c r="S6371" s="475"/>
      <c r="T6371" s="475"/>
      <c r="U6371" s="475"/>
      <c r="V6371" s="475"/>
      <c r="W6371" s="475"/>
    </row>
    <row r="6372" spans="2:23" s="97" customFormat="1">
      <c r="B6372" s="96"/>
      <c r="H6372" s="96"/>
      <c r="J6372" s="1"/>
      <c r="K6372" s="1"/>
      <c r="L6372" s="1"/>
      <c r="O6372" s="475"/>
      <c r="P6372" s="475"/>
      <c r="Q6372" s="475"/>
      <c r="R6372" s="475"/>
      <c r="S6372" s="475"/>
      <c r="T6372" s="475"/>
      <c r="U6372" s="475"/>
      <c r="V6372" s="475"/>
      <c r="W6372" s="475"/>
    </row>
    <row r="6373" spans="2:23" s="97" customFormat="1">
      <c r="B6373" s="96"/>
      <c r="H6373" s="96"/>
      <c r="J6373" s="1"/>
      <c r="K6373" s="1"/>
      <c r="L6373" s="1"/>
      <c r="O6373" s="475"/>
      <c r="P6373" s="475"/>
      <c r="Q6373" s="475"/>
      <c r="R6373" s="475"/>
      <c r="S6373" s="475"/>
      <c r="T6373" s="475"/>
      <c r="U6373" s="475"/>
      <c r="V6373" s="475"/>
      <c r="W6373" s="475"/>
    </row>
    <row r="6374" spans="2:23" s="97" customFormat="1">
      <c r="B6374" s="96"/>
      <c r="H6374" s="96"/>
      <c r="J6374" s="1"/>
      <c r="K6374" s="1"/>
      <c r="L6374" s="1"/>
      <c r="O6374" s="475"/>
      <c r="P6374" s="475"/>
      <c r="Q6374" s="475"/>
      <c r="R6374" s="475"/>
      <c r="S6374" s="475"/>
      <c r="T6374" s="475"/>
      <c r="U6374" s="475"/>
      <c r="V6374" s="475"/>
      <c r="W6374" s="475"/>
    </row>
    <row r="6375" spans="2:23" s="97" customFormat="1">
      <c r="B6375" s="96"/>
      <c r="H6375" s="96"/>
      <c r="J6375" s="1"/>
      <c r="K6375" s="1"/>
      <c r="L6375" s="1"/>
      <c r="O6375" s="475"/>
      <c r="P6375" s="475"/>
      <c r="Q6375" s="475"/>
      <c r="R6375" s="475"/>
      <c r="S6375" s="475"/>
      <c r="T6375" s="475"/>
      <c r="U6375" s="475"/>
      <c r="V6375" s="475"/>
      <c r="W6375" s="475"/>
    </row>
    <row r="6376" spans="2:23" s="97" customFormat="1">
      <c r="B6376" s="96"/>
      <c r="H6376" s="96"/>
      <c r="J6376" s="1"/>
      <c r="K6376" s="1"/>
      <c r="L6376" s="1"/>
      <c r="O6376" s="475"/>
      <c r="P6376" s="475"/>
      <c r="Q6376" s="475"/>
      <c r="R6376" s="475"/>
      <c r="S6376" s="475"/>
      <c r="T6376" s="475"/>
      <c r="U6376" s="475"/>
      <c r="V6376" s="475"/>
      <c r="W6376" s="475"/>
    </row>
    <row r="6377" spans="2:23" s="97" customFormat="1">
      <c r="B6377" s="96"/>
      <c r="H6377" s="96"/>
      <c r="J6377" s="1"/>
      <c r="K6377" s="1"/>
      <c r="L6377" s="1"/>
      <c r="O6377" s="475"/>
      <c r="P6377" s="475"/>
      <c r="Q6377" s="475"/>
      <c r="R6377" s="475"/>
      <c r="S6377" s="475"/>
      <c r="T6377" s="475"/>
      <c r="U6377" s="475"/>
      <c r="V6377" s="475"/>
      <c r="W6377" s="475"/>
    </row>
    <row r="6378" spans="2:23" s="97" customFormat="1">
      <c r="B6378" s="96"/>
      <c r="H6378" s="96"/>
      <c r="J6378" s="1"/>
      <c r="K6378" s="1"/>
      <c r="L6378" s="1"/>
      <c r="O6378" s="475"/>
      <c r="P6378" s="475"/>
      <c r="Q6378" s="475"/>
      <c r="R6378" s="475"/>
      <c r="S6378" s="475"/>
      <c r="T6378" s="475"/>
      <c r="U6378" s="475"/>
      <c r="V6378" s="475"/>
      <c r="W6378" s="475"/>
    </row>
    <row r="6379" spans="2:23" s="97" customFormat="1">
      <c r="B6379" s="96"/>
      <c r="H6379" s="96"/>
      <c r="J6379" s="1"/>
      <c r="K6379" s="1"/>
      <c r="L6379" s="1"/>
      <c r="O6379" s="475"/>
      <c r="P6379" s="475"/>
      <c r="Q6379" s="475"/>
      <c r="R6379" s="475"/>
      <c r="S6379" s="475"/>
      <c r="T6379" s="475"/>
      <c r="U6379" s="475"/>
      <c r="V6379" s="475"/>
      <c r="W6379" s="475"/>
    </row>
    <row r="6380" spans="2:23" s="97" customFormat="1">
      <c r="B6380" s="96"/>
      <c r="H6380" s="96"/>
      <c r="J6380" s="1"/>
      <c r="K6380" s="1"/>
      <c r="L6380" s="1"/>
      <c r="O6380" s="475"/>
      <c r="P6380" s="475"/>
      <c r="Q6380" s="475"/>
      <c r="R6380" s="475"/>
      <c r="S6380" s="475"/>
      <c r="T6380" s="475"/>
      <c r="U6380" s="475"/>
      <c r="V6380" s="475"/>
      <c r="W6380" s="475"/>
    </row>
    <row r="6381" spans="2:23" s="97" customFormat="1">
      <c r="B6381" s="96"/>
      <c r="H6381" s="96"/>
      <c r="J6381" s="1"/>
      <c r="K6381" s="1"/>
      <c r="L6381" s="1"/>
      <c r="O6381" s="475"/>
      <c r="P6381" s="475"/>
      <c r="Q6381" s="475"/>
      <c r="R6381" s="475"/>
      <c r="S6381" s="475"/>
      <c r="T6381" s="475"/>
      <c r="U6381" s="475"/>
      <c r="V6381" s="475"/>
      <c r="W6381" s="475"/>
    </row>
    <row r="6382" spans="2:23" s="97" customFormat="1">
      <c r="B6382" s="96"/>
      <c r="H6382" s="96"/>
      <c r="J6382" s="1"/>
      <c r="K6382" s="1"/>
      <c r="L6382" s="1"/>
      <c r="O6382" s="475"/>
      <c r="P6382" s="475"/>
      <c r="Q6382" s="475"/>
      <c r="R6382" s="475"/>
      <c r="S6382" s="475"/>
      <c r="T6382" s="475"/>
      <c r="U6382" s="475"/>
      <c r="V6382" s="475"/>
      <c r="W6382" s="475"/>
    </row>
    <row r="6383" spans="2:23" s="97" customFormat="1">
      <c r="B6383" s="96"/>
      <c r="H6383" s="96"/>
      <c r="J6383" s="1"/>
      <c r="K6383" s="1"/>
      <c r="L6383" s="1"/>
      <c r="O6383" s="475"/>
      <c r="P6383" s="475"/>
      <c r="Q6383" s="475"/>
      <c r="R6383" s="475"/>
      <c r="S6383" s="475"/>
      <c r="T6383" s="475"/>
      <c r="U6383" s="475"/>
      <c r="V6383" s="475"/>
      <c r="W6383" s="475"/>
    </row>
    <row r="6384" spans="2:23" s="97" customFormat="1">
      <c r="B6384" s="96"/>
      <c r="H6384" s="96"/>
      <c r="J6384" s="1"/>
      <c r="K6384" s="1"/>
      <c r="L6384" s="1"/>
      <c r="O6384" s="475"/>
      <c r="P6384" s="475"/>
      <c r="Q6384" s="475"/>
      <c r="R6384" s="475"/>
      <c r="S6384" s="475"/>
      <c r="T6384" s="475"/>
      <c r="U6384" s="475"/>
      <c r="V6384" s="475"/>
      <c r="W6384" s="475"/>
    </row>
    <row r="6385" spans="2:23" s="97" customFormat="1">
      <c r="B6385" s="96"/>
      <c r="H6385" s="96"/>
      <c r="J6385" s="1"/>
      <c r="K6385" s="1"/>
      <c r="L6385" s="1"/>
      <c r="O6385" s="475"/>
      <c r="P6385" s="475"/>
      <c r="Q6385" s="475"/>
      <c r="R6385" s="475"/>
      <c r="S6385" s="475"/>
      <c r="T6385" s="475"/>
      <c r="U6385" s="475"/>
      <c r="V6385" s="475"/>
      <c r="W6385" s="475"/>
    </row>
    <row r="6386" spans="2:23" s="97" customFormat="1">
      <c r="B6386" s="96"/>
      <c r="H6386" s="96"/>
      <c r="J6386" s="1"/>
      <c r="K6386" s="1"/>
      <c r="L6386" s="1"/>
      <c r="O6386" s="475"/>
      <c r="P6386" s="475"/>
      <c r="Q6386" s="475"/>
      <c r="R6386" s="475"/>
      <c r="S6386" s="475"/>
      <c r="T6386" s="475"/>
      <c r="U6386" s="475"/>
      <c r="V6386" s="475"/>
      <c r="W6386" s="475"/>
    </row>
    <row r="6387" spans="2:23" s="97" customFormat="1">
      <c r="B6387" s="96"/>
      <c r="H6387" s="96"/>
      <c r="J6387" s="1"/>
      <c r="K6387" s="1"/>
      <c r="L6387" s="1"/>
      <c r="O6387" s="475"/>
      <c r="P6387" s="475"/>
      <c r="Q6387" s="475"/>
      <c r="R6387" s="475"/>
      <c r="S6387" s="475"/>
      <c r="T6387" s="475"/>
      <c r="U6387" s="475"/>
      <c r="V6387" s="475"/>
      <c r="W6387" s="475"/>
    </row>
    <row r="6388" spans="2:23" s="97" customFormat="1">
      <c r="B6388" s="96"/>
      <c r="H6388" s="96"/>
      <c r="J6388" s="1"/>
      <c r="K6388" s="1"/>
      <c r="L6388" s="1"/>
      <c r="O6388" s="475"/>
      <c r="P6388" s="475"/>
      <c r="Q6388" s="475"/>
      <c r="R6388" s="475"/>
      <c r="S6388" s="475"/>
      <c r="T6388" s="475"/>
      <c r="U6388" s="475"/>
      <c r="V6388" s="475"/>
      <c r="W6388" s="475"/>
    </row>
    <row r="6389" spans="2:23" s="97" customFormat="1">
      <c r="B6389" s="96"/>
      <c r="H6389" s="96"/>
      <c r="J6389" s="1"/>
      <c r="K6389" s="1"/>
      <c r="L6389" s="1"/>
      <c r="O6389" s="475"/>
      <c r="P6389" s="475"/>
      <c r="Q6389" s="475"/>
      <c r="R6389" s="475"/>
      <c r="S6389" s="475"/>
      <c r="T6389" s="475"/>
      <c r="U6389" s="475"/>
      <c r="V6389" s="475"/>
      <c r="W6389" s="475"/>
    </row>
    <row r="6390" spans="2:23" s="97" customFormat="1">
      <c r="B6390" s="96"/>
      <c r="H6390" s="96"/>
      <c r="J6390" s="1"/>
      <c r="K6390" s="1"/>
      <c r="L6390" s="1"/>
      <c r="O6390" s="475"/>
      <c r="P6390" s="475"/>
      <c r="Q6390" s="475"/>
      <c r="R6390" s="475"/>
      <c r="S6390" s="475"/>
      <c r="T6390" s="475"/>
      <c r="U6390" s="475"/>
      <c r="V6390" s="475"/>
      <c r="W6390" s="475"/>
    </row>
    <row r="6391" spans="2:23" s="97" customFormat="1">
      <c r="B6391" s="96"/>
      <c r="H6391" s="96"/>
      <c r="J6391" s="1"/>
      <c r="K6391" s="1"/>
      <c r="L6391" s="1"/>
      <c r="O6391" s="475"/>
      <c r="P6391" s="475"/>
      <c r="Q6391" s="475"/>
      <c r="R6391" s="475"/>
      <c r="S6391" s="475"/>
      <c r="T6391" s="475"/>
      <c r="U6391" s="475"/>
      <c r="V6391" s="475"/>
      <c r="W6391" s="475"/>
    </row>
    <row r="6392" spans="2:23" s="97" customFormat="1">
      <c r="B6392" s="96"/>
      <c r="H6392" s="96"/>
      <c r="J6392" s="1"/>
      <c r="K6392" s="1"/>
      <c r="L6392" s="1"/>
      <c r="O6392" s="475"/>
      <c r="P6392" s="475"/>
      <c r="Q6392" s="475"/>
      <c r="R6392" s="475"/>
      <c r="S6392" s="475"/>
      <c r="T6392" s="475"/>
      <c r="U6392" s="475"/>
      <c r="V6392" s="475"/>
      <c r="W6392" s="475"/>
    </row>
    <row r="6393" spans="2:23" s="97" customFormat="1">
      <c r="B6393" s="96"/>
      <c r="H6393" s="96"/>
      <c r="J6393" s="1"/>
      <c r="K6393" s="1"/>
      <c r="L6393" s="1"/>
      <c r="O6393" s="475"/>
      <c r="P6393" s="475"/>
      <c r="Q6393" s="475"/>
      <c r="R6393" s="475"/>
      <c r="S6393" s="475"/>
      <c r="T6393" s="475"/>
      <c r="U6393" s="475"/>
      <c r="V6393" s="475"/>
      <c r="W6393" s="475"/>
    </row>
    <row r="6394" spans="2:23" s="97" customFormat="1">
      <c r="B6394" s="96"/>
      <c r="H6394" s="96"/>
      <c r="J6394" s="1"/>
      <c r="K6394" s="1"/>
      <c r="L6394" s="1"/>
      <c r="O6394" s="475"/>
      <c r="P6394" s="475"/>
      <c r="Q6394" s="475"/>
      <c r="R6394" s="475"/>
      <c r="S6394" s="475"/>
      <c r="T6394" s="475"/>
      <c r="U6394" s="475"/>
      <c r="V6394" s="475"/>
      <c r="W6394" s="475"/>
    </row>
    <row r="6395" spans="2:23" s="97" customFormat="1">
      <c r="B6395" s="96"/>
      <c r="H6395" s="96"/>
      <c r="J6395" s="1"/>
      <c r="K6395" s="1"/>
      <c r="L6395" s="1"/>
      <c r="O6395" s="475"/>
      <c r="P6395" s="475"/>
      <c r="Q6395" s="475"/>
      <c r="R6395" s="475"/>
      <c r="S6395" s="475"/>
      <c r="T6395" s="475"/>
      <c r="U6395" s="475"/>
      <c r="V6395" s="475"/>
      <c r="W6395" s="475"/>
    </row>
    <row r="6396" spans="2:23" s="97" customFormat="1">
      <c r="B6396" s="96"/>
      <c r="H6396" s="96"/>
      <c r="J6396" s="1"/>
      <c r="K6396" s="1"/>
      <c r="L6396" s="1"/>
      <c r="O6396" s="475"/>
      <c r="P6396" s="475"/>
      <c r="Q6396" s="475"/>
      <c r="R6396" s="475"/>
      <c r="S6396" s="475"/>
      <c r="T6396" s="475"/>
      <c r="U6396" s="475"/>
      <c r="V6396" s="475"/>
      <c r="W6396" s="475"/>
    </row>
    <row r="6397" spans="2:23" s="97" customFormat="1">
      <c r="B6397" s="96"/>
      <c r="H6397" s="96"/>
      <c r="J6397" s="1"/>
      <c r="K6397" s="1"/>
      <c r="L6397" s="1"/>
      <c r="O6397" s="475"/>
      <c r="P6397" s="475"/>
      <c r="Q6397" s="475"/>
      <c r="R6397" s="475"/>
      <c r="S6397" s="475"/>
      <c r="T6397" s="475"/>
      <c r="U6397" s="475"/>
      <c r="V6397" s="475"/>
      <c r="W6397" s="475"/>
    </row>
    <row r="6398" spans="2:23" s="97" customFormat="1">
      <c r="B6398" s="96"/>
      <c r="H6398" s="96"/>
      <c r="J6398" s="1"/>
      <c r="K6398" s="1"/>
      <c r="L6398" s="1"/>
      <c r="O6398" s="475"/>
      <c r="P6398" s="475"/>
      <c r="Q6398" s="475"/>
      <c r="R6398" s="475"/>
      <c r="S6398" s="475"/>
      <c r="T6398" s="475"/>
      <c r="U6398" s="475"/>
      <c r="V6398" s="475"/>
      <c r="W6398" s="475"/>
    </row>
    <row r="6399" spans="2:23" s="97" customFormat="1">
      <c r="B6399" s="96"/>
      <c r="H6399" s="96"/>
      <c r="J6399" s="1"/>
      <c r="K6399" s="1"/>
      <c r="L6399" s="1"/>
      <c r="O6399" s="475"/>
      <c r="P6399" s="475"/>
      <c r="Q6399" s="475"/>
      <c r="R6399" s="475"/>
      <c r="S6399" s="475"/>
      <c r="T6399" s="475"/>
      <c r="U6399" s="475"/>
      <c r="V6399" s="475"/>
      <c r="W6399" s="475"/>
    </row>
    <row r="6400" spans="2:23" s="97" customFormat="1">
      <c r="B6400" s="96"/>
      <c r="H6400" s="96"/>
      <c r="J6400" s="1"/>
      <c r="K6400" s="1"/>
      <c r="L6400" s="1"/>
      <c r="O6400" s="475"/>
      <c r="P6400" s="475"/>
      <c r="Q6400" s="475"/>
      <c r="R6400" s="475"/>
      <c r="S6400" s="475"/>
      <c r="T6400" s="475"/>
      <c r="U6400" s="475"/>
      <c r="V6400" s="475"/>
      <c r="W6400" s="475"/>
    </row>
    <row r="6401" spans="2:23" s="97" customFormat="1">
      <c r="B6401" s="96"/>
      <c r="H6401" s="96"/>
      <c r="J6401" s="1"/>
      <c r="K6401" s="1"/>
      <c r="L6401" s="1"/>
      <c r="O6401" s="475"/>
      <c r="P6401" s="475"/>
      <c r="Q6401" s="475"/>
      <c r="R6401" s="475"/>
      <c r="S6401" s="475"/>
      <c r="T6401" s="475"/>
      <c r="U6401" s="475"/>
      <c r="V6401" s="475"/>
      <c r="W6401" s="475"/>
    </row>
    <row r="6402" spans="2:23" s="97" customFormat="1">
      <c r="B6402" s="96"/>
      <c r="H6402" s="96"/>
      <c r="J6402" s="1"/>
      <c r="K6402" s="1"/>
      <c r="L6402" s="1"/>
      <c r="O6402" s="475"/>
      <c r="P6402" s="475"/>
      <c r="Q6402" s="475"/>
      <c r="R6402" s="475"/>
      <c r="S6402" s="475"/>
      <c r="T6402" s="475"/>
      <c r="U6402" s="475"/>
      <c r="V6402" s="475"/>
      <c r="W6402" s="475"/>
    </row>
    <row r="6403" spans="2:23" s="97" customFormat="1">
      <c r="B6403" s="96"/>
      <c r="H6403" s="96"/>
      <c r="J6403" s="1"/>
      <c r="K6403" s="1"/>
      <c r="L6403" s="1"/>
      <c r="O6403" s="475"/>
      <c r="P6403" s="475"/>
      <c r="Q6403" s="475"/>
      <c r="R6403" s="475"/>
      <c r="S6403" s="475"/>
      <c r="T6403" s="475"/>
      <c r="U6403" s="475"/>
      <c r="V6403" s="475"/>
      <c r="W6403" s="475"/>
    </row>
    <row r="6404" spans="2:23" s="97" customFormat="1">
      <c r="B6404" s="96"/>
      <c r="H6404" s="96"/>
      <c r="J6404" s="1"/>
      <c r="K6404" s="1"/>
      <c r="L6404" s="1"/>
      <c r="O6404" s="475"/>
      <c r="P6404" s="475"/>
      <c r="Q6404" s="475"/>
      <c r="R6404" s="475"/>
      <c r="S6404" s="475"/>
      <c r="T6404" s="475"/>
      <c r="U6404" s="475"/>
      <c r="V6404" s="475"/>
      <c r="W6404" s="475"/>
    </row>
    <row r="6405" spans="2:23" s="97" customFormat="1">
      <c r="B6405" s="96"/>
      <c r="H6405" s="96"/>
      <c r="J6405" s="1"/>
      <c r="K6405" s="1"/>
      <c r="L6405" s="1"/>
      <c r="O6405" s="475"/>
      <c r="P6405" s="475"/>
      <c r="Q6405" s="475"/>
      <c r="R6405" s="475"/>
      <c r="S6405" s="475"/>
      <c r="T6405" s="475"/>
      <c r="U6405" s="475"/>
      <c r="V6405" s="475"/>
      <c r="W6405" s="475"/>
    </row>
    <row r="6406" spans="2:23" s="97" customFormat="1">
      <c r="B6406" s="96"/>
      <c r="H6406" s="96"/>
      <c r="J6406" s="1"/>
      <c r="K6406" s="1"/>
      <c r="L6406" s="1"/>
      <c r="O6406" s="475"/>
      <c r="P6406" s="475"/>
      <c r="Q6406" s="475"/>
      <c r="R6406" s="475"/>
      <c r="S6406" s="475"/>
      <c r="T6406" s="475"/>
      <c r="U6406" s="475"/>
      <c r="V6406" s="475"/>
      <c r="W6406" s="475"/>
    </row>
    <row r="6407" spans="2:23" s="97" customFormat="1">
      <c r="B6407" s="96"/>
      <c r="H6407" s="96"/>
      <c r="J6407" s="1"/>
      <c r="K6407" s="1"/>
      <c r="L6407" s="1"/>
      <c r="O6407" s="475"/>
      <c r="P6407" s="475"/>
      <c r="Q6407" s="475"/>
      <c r="R6407" s="475"/>
      <c r="S6407" s="475"/>
      <c r="T6407" s="475"/>
      <c r="U6407" s="475"/>
      <c r="V6407" s="475"/>
      <c r="W6407" s="475"/>
    </row>
    <row r="6408" spans="2:23" s="97" customFormat="1">
      <c r="B6408" s="96"/>
      <c r="H6408" s="96"/>
      <c r="J6408" s="1"/>
      <c r="K6408" s="1"/>
      <c r="L6408" s="1"/>
      <c r="O6408" s="475"/>
      <c r="P6408" s="475"/>
      <c r="Q6408" s="475"/>
      <c r="R6408" s="475"/>
      <c r="S6408" s="475"/>
      <c r="T6408" s="475"/>
      <c r="U6408" s="475"/>
      <c r="V6408" s="475"/>
      <c r="W6408" s="475"/>
    </row>
    <row r="6409" spans="2:23" s="97" customFormat="1">
      <c r="B6409" s="96"/>
      <c r="H6409" s="96"/>
      <c r="J6409" s="1"/>
      <c r="K6409" s="1"/>
      <c r="L6409" s="1"/>
      <c r="O6409" s="475"/>
      <c r="P6409" s="475"/>
      <c r="Q6409" s="475"/>
      <c r="R6409" s="475"/>
      <c r="S6409" s="475"/>
      <c r="T6409" s="475"/>
      <c r="U6409" s="475"/>
      <c r="V6409" s="475"/>
      <c r="W6409" s="475"/>
    </row>
    <row r="6410" spans="2:23" s="97" customFormat="1">
      <c r="B6410" s="96"/>
      <c r="H6410" s="96"/>
      <c r="J6410" s="1"/>
      <c r="K6410" s="1"/>
      <c r="L6410" s="1"/>
      <c r="O6410" s="475"/>
      <c r="P6410" s="475"/>
      <c r="Q6410" s="475"/>
      <c r="R6410" s="475"/>
      <c r="S6410" s="475"/>
      <c r="T6410" s="475"/>
      <c r="U6410" s="475"/>
      <c r="V6410" s="475"/>
      <c r="W6410" s="475"/>
    </row>
    <row r="6411" spans="2:23" s="97" customFormat="1">
      <c r="B6411" s="96"/>
      <c r="H6411" s="96"/>
      <c r="J6411" s="1"/>
      <c r="K6411" s="1"/>
      <c r="L6411" s="1"/>
      <c r="O6411" s="475"/>
      <c r="P6411" s="475"/>
      <c r="Q6411" s="475"/>
      <c r="R6411" s="475"/>
      <c r="S6411" s="475"/>
      <c r="T6411" s="475"/>
      <c r="U6411" s="475"/>
      <c r="V6411" s="475"/>
      <c r="W6411" s="475"/>
    </row>
    <row r="6412" spans="2:23" s="97" customFormat="1">
      <c r="B6412" s="96"/>
      <c r="H6412" s="96"/>
      <c r="J6412" s="1"/>
      <c r="K6412" s="1"/>
      <c r="L6412" s="1"/>
      <c r="O6412" s="475"/>
      <c r="P6412" s="475"/>
      <c r="Q6412" s="475"/>
      <c r="R6412" s="475"/>
      <c r="S6412" s="475"/>
      <c r="T6412" s="475"/>
      <c r="U6412" s="475"/>
      <c r="V6412" s="475"/>
      <c r="W6412" s="475"/>
    </row>
    <row r="6413" spans="2:23" s="97" customFormat="1">
      <c r="B6413" s="96"/>
      <c r="H6413" s="96"/>
      <c r="J6413" s="1"/>
      <c r="K6413" s="1"/>
      <c r="L6413" s="1"/>
      <c r="O6413" s="475"/>
      <c r="P6413" s="475"/>
      <c r="Q6413" s="475"/>
      <c r="R6413" s="475"/>
      <c r="S6413" s="475"/>
      <c r="T6413" s="475"/>
      <c r="U6413" s="475"/>
      <c r="V6413" s="475"/>
      <c r="W6413" s="475"/>
    </row>
    <row r="6414" spans="2:23" s="97" customFormat="1">
      <c r="B6414" s="96"/>
      <c r="H6414" s="96"/>
      <c r="J6414" s="1"/>
      <c r="K6414" s="1"/>
      <c r="L6414" s="1"/>
      <c r="O6414" s="475"/>
      <c r="P6414" s="475"/>
      <c r="Q6414" s="475"/>
      <c r="R6414" s="475"/>
      <c r="S6414" s="475"/>
      <c r="T6414" s="475"/>
      <c r="U6414" s="475"/>
      <c r="V6414" s="475"/>
      <c r="W6414" s="475"/>
    </row>
    <row r="6415" spans="2:23" s="97" customFormat="1">
      <c r="B6415" s="96"/>
      <c r="H6415" s="96"/>
      <c r="J6415" s="1"/>
      <c r="K6415" s="1"/>
      <c r="L6415" s="1"/>
      <c r="O6415" s="475"/>
      <c r="P6415" s="475"/>
      <c r="Q6415" s="475"/>
      <c r="R6415" s="475"/>
      <c r="S6415" s="475"/>
      <c r="T6415" s="475"/>
      <c r="U6415" s="475"/>
      <c r="V6415" s="475"/>
      <c r="W6415" s="475"/>
    </row>
    <row r="6416" spans="2:23" s="97" customFormat="1">
      <c r="B6416" s="96"/>
      <c r="H6416" s="96"/>
      <c r="J6416" s="1"/>
      <c r="K6416" s="1"/>
      <c r="L6416" s="1"/>
      <c r="O6416" s="475"/>
      <c r="P6416" s="475"/>
      <c r="Q6416" s="475"/>
      <c r="R6416" s="475"/>
      <c r="S6416" s="475"/>
      <c r="T6416" s="475"/>
      <c r="U6416" s="475"/>
      <c r="V6416" s="475"/>
      <c r="W6416" s="475"/>
    </row>
    <row r="6417" spans="2:23" s="97" customFormat="1">
      <c r="B6417" s="96"/>
      <c r="H6417" s="96"/>
      <c r="J6417" s="1"/>
      <c r="K6417" s="1"/>
      <c r="L6417" s="1"/>
      <c r="O6417" s="475"/>
      <c r="P6417" s="475"/>
      <c r="Q6417" s="475"/>
      <c r="R6417" s="475"/>
      <c r="S6417" s="475"/>
      <c r="T6417" s="475"/>
      <c r="U6417" s="475"/>
      <c r="V6417" s="475"/>
      <c r="W6417" s="475"/>
    </row>
    <row r="6418" spans="2:23" s="97" customFormat="1">
      <c r="B6418" s="96"/>
      <c r="H6418" s="96"/>
      <c r="J6418" s="1"/>
      <c r="K6418" s="1"/>
      <c r="L6418" s="1"/>
      <c r="O6418" s="475"/>
      <c r="P6418" s="475"/>
      <c r="Q6418" s="475"/>
      <c r="R6418" s="475"/>
      <c r="S6418" s="475"/>
      <c r="T6418" s="475"/>
      <c r="U6418" s="475"/>
      <c r="V6418" s="475"/>
      <c r="W6418" s="475"/>
    </row>
    <row r="6419" spans="2:23" s="97" customFormat="1">
      <c r="B6419" s="96"/>
      <c r="H6419" s="96"/>
      <c r="J6419" s="1"/>
      <c r="K6419" s="1"/>
      <c r="L6419" s="1"/>
      <c r="O6419" s="475"/>
      <c r="P6419" s="475"/>
      <c r="Q6419" s="475"/>
      <c r="R6419" s="475"/>
      <c r="S6419" s="475"/>
      <c r="T6419" s="475"/>
      <c r="U6419" s="475"/>
      <c r="V6419" s="475"/>
      <c r="W6419" s="475"/>
    </row>
    <row r="6420" spans="2:23" s="97" customFormat="1">
      <c r="B6420" s="96"/>
      <c r="H6420" s="96"/>
      <c r="J6420" s="1"/>
      <c r="K6420" s="1"/>
      <c r="L6420" s="1"/>
      <c r="O6420" s="475"/>
      <c r="P6420" s="475"/>
      <c r="Q6420" s="475"/>
      <c r="R6420" s="475"/>
      <c r="S6420" s="475"/>
      <c r="T6420" s="475"/>
      <c r="U6420" s="475"/>
      <c r="V6420" s="475"/>
      <c r="W6420" s="475"/>
    </row>
    <row r="6421" spans="2:23" s="97" customFormat="1">
      <c r="B6421" s="96"/>
      <c r="H6421" s="96"/>
      <c r="J6421" s="1"/>
      <c r="K6421" s="1"/>
      <c r="L6421" s="1"/>
      <c r="O6421" s="475"/>
      <c r="P6421" s="475"/>
      <c r="Q6421" s="475"/>
      <c r="R6421" s="475"/>
      <c r="S6421" s="475"/>
      <c r="T6421" s="475"/>
      <c r="U6421" s="475"/>
      <c r="V6421" s="475"/>
      <c r="W6421" s="475"/>
    </row>
    <row r="6422" spans="2:23" s="97" customFormat="1">
      <c r="B6422" s="96"/>
      <c r="H6422" s="96"/>
      <c r="J6422" s="1"/>
      <c r="K6422" s="1"/>
      <c r="L6422" s="1"/>
      <c r="O6422" s="475"/>
      <c r="P6422" s="475"/>
      <c r="Q6422" s="475"/>
      <c r="R6422" s="475"/>
      <c r="S6422" s="475"/>
      <c r="T6422" s="475"/>
      <c r="U6422" s="475"/>
      <c r="V6422" s="475"/>
      <c r="W6422" s="475"/>
    </row>
    <row r="6423" spans="2:23" s="97" customFormat="1">
      <c r="B6423" s="96"/>
      <c r="H6423" s="96"/>
      <c r="J6423" s="1"/>
      <c r="K6423" s="1"/>
      <c r="L6423" s="1"/>
      <c r="O6423" s="475"/>
      <c r="P6423" s="475"/>
      <c r="Q6423" s="475"/>
      <c r="R6423" s="475"/>
      <c r="S6423" s="475"/>
      <c r="T6423" s="475"/>
      <c r="U6423" s="475"/>
      <c r="V6423" s="475"/>
      <c r="W6423" s="475"/>
    </row>
    <row r="6424" spans="2:23" s="97" customFormat="1">
      <c r="B6424" s="96"/>
      <c r="H6424" s="96"/>
      <c r="J6424" s="1"/>
      <c r="K6424" s="1"/>
      <c r="L6424" s="1"/>
      <c r="O6424" s="475"/>
      <c r="P6424" s="475"/>
      <c r="Q6424" s="475"/>
      <c r="R6424" s="475"/>
      <c r="S6424" s="475"/>
      <c r="T6424" s="475"/>
      <c r="U6424" s="475"/>
      <c r="V6424" s="475"/>
      <c r="W6424" s="475"/>
    </row>
    <row r="6425" spans="2:23" s="97" customFormat="1">
      <c r="B6425" s="96"/>
      <c r="H6425" s="96"/>
      <c r="J6425" s="1"/>
      <c r="K6425" s="1"/>
      <c r="L6425" s="1"/>
      <c r="O6425" s="475"/>
      <c r="P6425" s="475"/>
      <c r="Q6425" s="475"/>
      <c r="R6425" s="475"/>
      <c r="S6425" s="475"/>
      <c r="T6425" s="475"/>
      <c r="U6425" s="475"/>
      <c r="V6425" s="475"/>
      <c r="W6425" s="475"/>
    </row>
    <row r="6426" spans="2:23" s="97" customFormat="1">
      <c r="B6426" s="96"/>
      <c r="H6426" s="96"/>
      <c r="J6426" s="1"/>
      <c r="K6426" s="1"/>
      <c r="L6426" s="1"/>
      <c r="O6426" s="475"/>
      <c r="P6426" s="475"/>
      <c r="Q6426" s="475"/>
      <c r="R6426" s="475"/>
      <c r="S6426" s="475"/>
      <c r="T6426" s="475"/>
      <c r="U6426" s="475"/>
      <c r="V6426" s="475"/>
      <c r="W6426" s="475"/>
    </row>
    <row r="6427" spans="2:23" s="97" customFormat="1">
      <c r="B6427" s="96"/>
      <c r="H6427" s="96"/>
      <c r="J6427" s="1"/>
      <c r="K6427" s="1"/>
      <c r="L6427" s="1"/>
      <c r="O6427" s="475"/>
      <c r="P6427" s="475"/>
      <c r="Q6427" s="475"/>
      <c r="R6427" s="475"/>
      <c r="S6427" s="475"/>
      <c r="T6427" s="475"/>
      <c r="U6427" s="475"/>
      <c r="V6427" s="475"/>
      <c r="W6427" s="475"/>
    </row>
    <row r="6428" spans="2:23" s="97" customFormat="1">
      <c r="B6428" s="96"/>
      <c r="H6428" s="96"/>
      <c r="J6428" s="1"/>
      <c r="K6428" s="1"/>
      <c r="L6428" s="1"/>
      <c r="O6428" s="475"/>
      <c r="P6428" s="475"/>
      <c r="Q6428" s="475"/>
      <c r="R6428" s="475"/>
      <c r="S6428" s="475"/>
      <c r="T6428" s="475"/>
      <c r="U6428" s="475"/>
      <c r="V6428" s="475"/>
      <c r="W6428" s="475"/>
    </row>
    <row r="6429" spans="2:23" s="97" customFormat="1">
      <c r="B6429" s="96"/>
      <c r="H6429" s="96"/>
      <c r="J6429" s="1"/>
      <c r="K6429" s="1"/>
      <c r="L6429" s="1"/>
      <c r="O6429" s="475"/>
      <c r="P6429" s="475"/>
      <c r="Q6429" s="475"/>
      <c r="R6429" s="475"/>
      <c r="S6429" s="475"/>
      <c r="T6429" s="475"/>
      <c r="U6429" s="475"/>
      <c r="V6429" s="475"/>
      <c r="W6429" s="475"/>
    </row>
    <row r="6430" spans="2:23" s="97" customFormat="1">
      <c r="B6430" s="96"/>
      <c r="H6430" s="96"/>
      <c r="J6430" s="1"/>
      <c r="K6430" s="1"/>
      <c r="L6430" s="1"/>
      <c r="O6430" s="475"/>
      <c r="P6430" s="475"/>
      <c r="Q6430" s="475"/>
      <c r="R6430" s="475"/>
      <c r="S6430" s="475"/>
      <c r="T6430" s="475"/>
      <c r="U6430" s="475"/>
      <c r="V6430" s="475"/>
      <c r="W6430" s="475"/>
    </row>
    <row r="6431" spans="2:23" s="97" customFormat="1">
      <c r="B6431" s="96"/>
      <c r="H6431" s="96"/>
      <c r="J6431" s="1"/>
      <c r="K6431" s="1"/>
      <c r="L6431" s="1"/>
      <c r="O6431" s="475"/>
      <c r="P6431" s="475"/>
      <c r="Q6431" s="475"/>
      <c r="R6431" s="475"/>
      <c r="S6431" s="475"/>
      <c r="T6431" s="475"/>
      <c r="U6431" s="475"/>
      <c r="V6431" s="475"/>
      <c r="W6431" s="475"/>
    </row>
    <row r="6432" spans="2:23" s="97" customFormat="1">
      <c r="B6432" s="96"/>
      <c r="H6432" s="96"/>
      <c r="J6432" s="1"/>
      <c r="K6432" s="1"/>
      <c r="L6432" s="1"/>
      <c r="O6432" s="475"/>
      <c r="P6432" s="475"/>
      <c r="Q6432" s="475"/>
      <c r="R6432" s="475"/>
      <c r="S6432" s="475"/>
      <c r="T6432" s="475"/>
      <c r="U6432" s="475"/>
      <c r="V6432" s="475"/>
      <c r="W6432" s="475"/>
    </row>
    <row r="6433" spans="2:23" s="97" customFormat="1">
      <c r="B6433" s="96"/>
      <c r="H6433" s="96"/>
      <c r="J6433" s="1"/>
      <c r="K6433" s="1"/>
      <c r="L6433" s="1"/>
      <c r="O6433" s="475"/>
      <c r="P6433" s="475"/>
      <c r="Q6433" s="475"/>
      <c r="R6433" s="475"/>
      <c r="S6433" s="475"/>
      <c r="T6433" s="475"/>
      <c r="U6433" s="475"/>
      <c r="V6433" s="475"/>
      <c r="W6433" s="475"/>
    </row>
    <row r="6434" spans="2:23" s="97" customFormat="1">
      <c r="B6434" s="96"/>
      <c r="H6434" s="96"/>
      <c r="J6434" s="1"/>
      <c r="K6434" s="1"/>
      <c r="L6434" s="1"/>
      <c r="O6434" s="475"/>
      <c r="P6434" s="475"/>
      <c r="Q6434" s="475"/>
      <c r="R6434" s="475"/>
      <c r="S6434" s="475"/>
      <c r="T6434" s="475"/>
      <c r="U6434" s="475"/>
      <c r="V6434" s="475"/>
      <c r="W6434" s="475"/>
    </row>
    <row r="6435" spans="2:23" s="97" customFormat="1">
      <c r="B6435" s="96"/>
      <c r="H6435" s="96"/>
      <c r="J6435" s="1"/>
      <c r="K6435" s="1"/>
      <c r="L6435" s="1"/>
      <c r="O6435" s="475"/>
      <c r="P6435" s="475"/>
      <c r="Q6435" s="475"/>
      <c r="R6435" s="475"/>
      <c r="S6435" s="475"/>
      <c r="T6435" s="475"/>
      <c r="U6435" s="475"/>
      <c r="V6435" s="475"/>
      <c r="W6435" s="475"/>
    </row>
    <row r="6436" spans="2:23" s="97" customFormat="1">
      <c r="B6436" s="96"/>
      <c r="H6436" s="96"/>
      <c r="J6436" s="1"/>
      <c r="K6436" s="1"/>
      <c r="L6436" s="1"/>
      <c r="O6436" s="475"/>
      <c r="P6436" s="475"/>
      <c r="Q6436" s="475"/>
      <c r="R6436" s="475"/>
      <c r="S6436" s="475"/>
      <c r="T6436" s="475"/>
      <c r="U6436" s="475"/>
      <c r="V6436" s="475"/>
      <c r="W6436" s="475"/>
    </row>
    <row r="6437" spans="2:23" s="97" customFormat="1">
      <c r="B6437" s="96"/>
      <c r="H6437" s="96"/>
      <c r="J6437" s="1"/>
      <c r="K6437" s="1"/>
      <c r="L6437" s="1"/>
      <c r="O6437" s="475"/>
      <c r="P6437" s="475"/>
      <c r="Q6437" s="475"/>
      <c r="R6437" s="475"/>
      <c r="S6437" s="475"/>
      <c r="T6437" s="475"/>
      <c r="U6437" s="475"/>
      <c r="V6437" s="475"/>
      <c r="W6437" s="475"/>
    </row>
    <row r="6438" spans="2:23" s="97" customFormat="1">
      <c r="B6438" s="96"/>
      <c r="H6438" s="96"/>
      <c r="J6438" s="1"/>
      <c r="K6438" s="1"/>
      <c r="L6438" s="1"/>
      <c r="O6438" s="475"/>
      <c r="P6438" s="475"/>
      <c r="Q6438" s="475"/>
      <c r="R6438" s="475"/>
      <c r="S6438" s="475"/>
      <c r="T6438" s="475"/>
      <c r="U6438" s="475"/>
      <c r="V6438" s="475"/>
      <c r="W6438" s="475"/>
    </row>
    <row r="6439" spans="2:23" s="97" customFormat="1">
      <c r="B6439" s="96"/>
      <c r="H6439" s="96"/>
      <c r="J6439" s="1"/>
      <c r="K6439" s="1"/>
      <c r="L6439" s="1"/>
      <c r="O6439" s="475"/>
      <c r="P6439" s="475"/>
      <c r="Q6439" s="475"/>
      <c r="R6439" s="475"/>
      <c r="S6439" s="475"/>
      <c r="T6439" s="475"/>
      <c r="U6439" s="475"/>
      <c r="V6439" s="475"/>
      <c r="W6439" s="475"/>
    </row>
    <row r="6440" spans="2:23" s="97" customFormat="1">
      <c r="B6440" s="96"/>
      <c r="H6440" s="96"/>
      <c r="J6440" s="1"/>
      <c r="K6440" s="1"/>
      <c r="L6440" s="1"/>
      <c r="O6440" s="475"/>
      <c r="P6440" s="475"/>
      <c r="Q6440" s="475"/>
      <c r="R6440" s="475"/>
      <c r="S6440" s="475"/>
      <c r="T6440" s="475"/>
      <c r="U6440" s="475"/>
      <c r="V6440" s="475"/>
      <c r="W6440" s="475"/>
    </row>
    <row r="6441" spans="2:23" s="97" customFormat="1">
      <c r="B6441" s="96"/>
      <c r="H6441" s="96"/>
      <c r="J6441" s="1"/>
      <c r="K6441" s="1"/>
      <c r="L6441" s="1"/>
      <c r="O6441" s="475"/>
      <c r="P6441" s="475"/>
      <c r="Q6441" s="475"/>
      <c r="R6441" s="475"/>
      <c r="S6441" s="475"/>
      <c r="T6441" s="475"/>
      <c r="U6441" s="475"/>
      <c r="V6441" s="475"/>
      <c r="W6441" s="475"/>
    </row>
    <row r="6442" spans="2:23" s="97" customFormat="1">
      <c r="B6442" s="96"/>
      <c r="H6442" s="96"/>
      <c r="J6442" s="1"/>
      <c r="K6442" s="1"/>
      <c r="L6442" s="1"/>
      <c r="O6442" s="475"/>
      <c r="P6442" s="475"/>
      <c r="Q6442" s="475"/>
      <c r="R6442" s="475"/>
      <c r="S6442" s="475"/>
      <c r="T6442" s="475"/>
      <c r="U6442" s="475"/>
      <c r="V6442" s="475"/>
      <c r="W6442" s="475"/>
    </row>
    <row r="6443" spans="2:23" s="97" customFormat="1">
      <c r="B6443" s="96"/>
      <c r="H6443" s="96"/>
      <c r="J6443" s="1"/>
      <c r="K6443" s="1"/>
      <c r="L6443" s="1"/>
      <c r="O6443" s="475"/>
      <c r="P6443" s="475"/>
      <c r="Q6443" s="475"/>
      <c r="R6443" s="475"/>
      <c r="S6443" s="475"/>
      <c r="T6443" s="475"/>
      <c r="U6443" s="475"/>
      <c r="V6443" s="475"/>
      <c r="W6443" s="475"/>
    </row>
    <row r="6444" spans="2:23" s="97" customFormat="1">
      <c r="B6444" s="96"/>
      <c r="H6444" s="96"/>
      <c r="J6444" s="1"/>
      <c r="K6444" s="1"/>
      <c r="L6444" s="1"/>
      <c r="O6444" s="475"/>
      <c r="P6444" s="475"/>
      <c r="Q6444" s="475"/>
      <c r="R6444" s="475"/>
      <c r="S6444" s="475"/>
      <c r="T6444" s="475"/>
      <c r="U6444" s="475"/>
      <c r="V6444" s="475"/>
      <c r="W6444" s="475"/>
    </row>
    <row r="6445" spans="2:23" s="97" customFormat="1">
      <c r="B6445" s="96"/>
      <c r="H6445" s="96"/>
      <c r="J6445" s="1"/>
      <c r="K6445" s="1"/>
      <c r="L6445" s="1"/>
      <c r="O6445" s="475"/>
      <c r="P6445" s="475"/>
      <c r="Q6445" s="475"/>
      <c r="R6445" s="475"/>
      <c r="S6445" s="475"/>
      <c r="T6445" s="475"/>
      <c r="U6445" s="475"/>
      <c r="V6445" s="475"/>
      <c r="W6445" s="475"/>
    </row>
    <row r="6446" spans="2:23" s="97" customFormat="1">
      <c r="B6446" s="96"/>
      <c r="H6446" s="96"/>
      <c r="J6446" s="1"/>
      <c r="K6446" s="1"/>
      <c r="L6446" s="1"/>
      <c r="O6446" s="475"/>
      <c r="P6446" s="475"/>
      <c r="Q6446" s="475"/>
      <c r="R6446" s="475"/>
      <c r="S6446" s="475"/>
      <c r="T6446" s="475"/>
      <c r="U6446" s="475"/>
      <c r="V6446" s="475"/>
      <c r="W6446" s="475"/>
    </row>
    <row r="6447" spans="2:23" s="97" customFormat="1">
      <c r="B6447" s="96"/>
      <c r="H6447" s="96"/>
      <c r="J6447" s="1"/>
      <c r="K6447" s="1"/>
      <c r="L6447" s="1"/>
      <c r="O6447" s="475"/>
      <c r="P6447" s="475"/>
      <c r="Q6447" s="475"/>
      <c r="R6447" s="475"/>
      <c r="S6447" s="475"/>
      <c r="T6447" s="475"/>
      <c r="U6447" s="475"/>
      <c r="V6447" s="475"/>
      <c r="W6447" s="475"/>
    </row>
    <row r="6448" spans="2:23" s="97" customFormat="1">
      <c r="B6448" s="96"/>
      <c r="H6448" s="96"/>
      <c r="J6448" s="1"/>
      <c r="K6448" s="1"/>
      <c r="L6448" s="1"/>
      <c r="O6448" s="475"/>
      <c r="P6448" s="475"/>
      <c r="Q6448" s="475"/>
      <c r="R6448" s="475"/>
      <c r="S6448" s="475"/>
      <c r="T6448" s="475"/>
      <c r="U6448" s="475"/>
      <c r="V6448" s="475"/>
      <c r="W6448" s="475"/>
    </row>
    <row r="6449" spans="2:23" s="97" customFormat="1">
      <c r="B6449" s="96"/>
      <c r="H6449" s="96"/>
      <c r="J6449" s="1"/>
      <c r="K6449" s="1"/>
      <c r="L6449" s="1"/>
      <c r="O6449" s="475"/>
      <c r="P6449" s="475"/>
      <c r="Q6449" s="475"/>
      <c r="R6449" s="475"/>
      <c r="S6449" s="475"/>
      <c r="T6449" s="475"/>
      <c r="U6449" s="475"/>
      <c r="V6449" s="475"/>
      <c r="W6449" s="475"/>
    </row>
    <row r="6450" spans="2:23" s="97" customFormat="1">
      <c r="B6450" s="96"/>
      <c r="H6450" s="96"/>
      <c r="J6450" s="1"/>
      <c r="K6450" s="1"/>
      <c r="L6450" s="1"/>
      <c r="O6450" s="475"/>
      <c r="P6450" s="475"/>
      <c r="Q6450" s="475"/>
      <c r="R6450" s="475"/>
      <c r="S6450" s="475"/>
      <c r="T6450" s="475"/>
      <c r="U6450" s="475"/>
      <c r="V6450" s="475"/>
      <c r="W6450" s="475"/>
    </row>
    <row r="6451" spans="2:23" s="97" customFormat="1">
      <c r="B6451" s="96"/>
      <c r="H6451" s="96"/>
      <c r="J6451" s="1"/>
      <c r="K6451" s="1"/>
      <c r="L6451" s="1"/>
      <c r="O6451" s="475"/>
      <c r="P6451" s="475"/>
      <c r="Q6451" s="475"/>
      <c r="R6451" s="475"/>
      <c r="S6451" s="475"/>
      <c r="T6451" s="475"/>
      <c r="U6451" s="475"/>
      <c r="V6451" s="475"/>
      <c r="W6451" s="475"/>
    </row>
    <row r="6452" spans="2:23" s="97" customFormat="1">
      <c r="B6452" s="96"/>
      <c r="H6452" s="96"/>
      <c r="J6452" s="1"/>
      <c r="K6452" s="1"/>
      <c r="L6452" s="1"/>
      <c r="O6452" s="475"/>
      <c r="P6452" s="475"/>
      <c r="Q6452" s="475"/>
      <c r="R6452" s="475"/>
      <c r="S6452" s="475"/>
      <c r="T6452" s="475"/>
      <c r="U6452" s="475"/>
      <c r="V6452" s="475"/>
      <c r="W6452" s="475"/>
    </row>
    <row r="6453" spans="2:23" s="97" customFormat="1">
      <c r="B6453" s="96"/>
      <c r="H6453" s="96"/>
      <c r="J6453" s="1"/>
      <c r="K6453" s="1"/>
      <c r="L6453" s="1"/>
      <c r="O6453" s="475"/>
      <c r="P6453" s="475"/>
      <c r="Q6453" s="475"/>
      <c r="R6453" s="475"/>
      <c r="S6453" s="475"/>
      <c r="T6453" s="475"/>
      <c r="U6453" s="475"/>
      <c r="V6453" s="475"/>
      <c r="W6453" s="475"/>
    </row>
    <row r="6454" spans="2:23" s="97" customFormat="1">
      <c r="B6454" s="96"/>
      <c r="H6454" s="96"/>
      <c r="J6454" s="1"/>
      <c r="K6454" s="1"/>
      <c r="L6454" s="1"/>
      <c r="O6454" s="475"/>
      <c r="P6454" s="475"/>
      <c r="Q6454" s="475"/>
      <c r="R6454" s="475"/>
      <c r="S6454" s="475"/>
      <c r="T6454" s="475"/>
      <c r="U6454" s="475"/>
      <c r="V6454" s="475"/>
      <c r="W6454" s="475"/>
    </row>
    <row r="6455" spans="2:23" s="97" customFormat="1">
      <c r="B6455" s="96"/>
      <c r="H6455" s="96"/>
      <c r="J6455" s="1"/>
      <c r="K6455" s="1"/>
      <c r="L6455" s="1"/>
      <c r="O6455" s="475"/>
      <c r="P6455" s="475"/>
      <c r="Q6455" s="475"/>
      <c r="R6455" s="475"/>
      <c r="S6455" s="475"/>
      <c r="T6455" s="475"/>
      <c r="U6455" s="475"/>
      <c r="V6455" s="475"/>
      <c r="W6455" s="475"/>
    </row>
    <row r="6456" spans="2:23" s="97" customFormat="1">
      <c r="B6456" s="96"/>
      <c r="H6456" s="96"/>
      <c r="J6456" s="1"/>
      <c r="K6456" s="1"/>
      <c r="L6456" s="1"/>
      <c r="O6456" s="475"/>
      <c r="P6456" s="475"/>
      <c r="Q6456" s="475"/>
      <c r="R6456" s="475"/>
      <c r="S6456" s="475"/>
      <c r="T6456" s="475"/>
      <c r="U6456" s="475"/>
      <c r="V6456" s="475"/>
      <c r="W6456" s="475"/>
    </row>
    <row r="6457" spans="2:23" s="97" customFormat="1">
      <c r="B6457" s="96"/>
      <c r="H6457" s="96"/>
      <c r="J6457" s="1"/>
      <c r="K6457" s="1"/>
      <c r="L6457" s="1"/>
      <c r="O6457" s="475"/>
      <c r="P6457" s="475"/>
      <c r="Q6457" s="475"/>
      <c r="R6457" s="475"/>
      <c r="S6457" s="475"/>
      <c r="T6457" s="475"/>
      <c r="U6457" s="475"/>
      <c r="V6457" s="475"/>
      <c r="W6457" s="475"/>
    </row>
    <row r="6458" spans="2:23" s="97" customFormat="1">
      <c r="B6458" s="96"/>
      <c r="H6458" s="96"/>
      <c r="J6458" s="1"/>
      <c r="K6458" s="1"/>
      <c r="L6458" s="1"/>
      <c r="O6458" s="475"/>
      <c r="P6458" s="475"/>
      <c r="Q6458" s="475"/>
      <c r="R6458" s="475"/>
      <c r="S6458" s="475"/>
      <c r="T6458" s="475"/>
      <c r="U6458" s="475"/>
      <c r="V6458" s="475"/>
      <c r="W6458" s="475"/>
    </row>
    <row r="6459" spans="2:23" s="97" customFormat="1">
      <c r="B6459" s="96"/>
      <c r="H6459" s="96"/>
      <c r="J6459" s="1"/>
      <c r="K6459" s="1"/>
      <c r="L6459" s="1"/>
      <c r="O6459" s="475"/>
      <c r="P6459" s="475"/>
      <c r="Q6459" s="475"/>
      <c r="R6459" s="475"/>
      <c r="S6459" s="475"/>
      <c r="T6459" s="475"/>
      <c r="U6459" s="475"/>
      <c r="V6459" s="475"/>
      <c r="W6459" s="475"/>
    </row>
    <row r="6460" spans="2:23" s="97" customFormat="1">
      <c r="B6460" s="96"/>
      <c r="H6460" s="96"/>
      <c r="J6460" s="1"/>
      <c r="K6460" s="1"/>
      <c r="L6460" s="1"/>
      <c r="O6460" s="475"/>
      <c r="P6460" s="475"/>
      <c r="Q6460" s="475"/>
      <c r="R6460" s="475"/>
      <c r="S6460" s="475"/>
      <c r="T6460" s="475"/>
      <c r="U6460" s="475"/>
      <c r="V6460" s="475"/>
      <c r="W6460" s="475"/>
    </row>
    <row r="6461" spans="2:23" s="97" customFormat="1">
      <c r="B6461" s="96"/>
      <c r="H6461" s="96"/>
      <c r="J6461" s="1"/>
      <c r="K6461" s="1"/>
      <c r="L6461" s="1"/>
      <c r="O6461" s="475"/>
      <c r="P6461" s="475"/>
      <c r="Q6461" s="475"/>
      <c r="R6461" s="475"/>
      <c r="S6461" s="475"/>
      <c r="T6461" s="475"/>
      <c r="U6461" s="475"/>
      <c r="V6461" s="475"/>
      <c r="W6461" s="475"/>
    </row>
    <row r="6462" spans="2:23" s="97" customFormat="1">
      <c r="B6462" s="96"/>
      <c r="H6462" s="96"/>
      <c r="J6462" s="1"/>
      <c r="K6462" s="1"/>
      <c r="L6462" s="1"/>
      <c r="O6462" s="475"/>
      <c r="P6462" s="475"/>
      <c r="Q6462" s="475"/>
      <c r="R6462" s="475"/>
      <c r="S6462" s="475"/>
      <c r="T6462" s="475"/>
      <c r="U6462" s="475"/>
      <c r="V6462" s="475"/>
      <c r="W6462" s="475"/>
    </row>
    <row r="6463" spans="2:23" s="97" customFormat="1">
      <c r="B6463" s="96"/>
      <c r="H6463" s="96"/>
      <c r="J6463" s="1"/>
      <c r="K6463" s="1"/>
      <c r="L6463" s="1"/>
      <c r="O6463" s="475"/>
      <c r="P6463" s="475"/>
      <c r="Q6463" s="475"/>
      <c r="R6463" s="475"/>
      <c r="S6463" s="475"/>
      <c r="T6463" s="475"/>
      <c r="U6463" s="475"/>
      <c r="V6463" s="475"/>
      <c r="W6463" s="475"/>
    </row>
    <row r="6464" spans="2:23" s="97" customFormat="1">
      <c r="B6464" s="96"/>
      <c r="H6464" s="96"/>
      <c r="J6464" s="1"/>
      <c r="K6464" s="1"/>
      <c r="L6464" s="1"/>
      <c r="O6464" s="475"/>
      <c r="P6464" s="475"/>
      <c r="Q6464" s="475"/>
      <c r="R6464" s="475"/>
      <c r="S6464" s="475"/>
      <c r="T6464" s="475"/>
      <c r="U6464" s="475"/>
      <c r="V6464" s="475"/>
      <c r="W6464" s="475"/>
    </row>
    <row r="6465" spans="2:23" s="97" customFormat="1">
      <c r="B6465" s="96"/>
      <c r="H6465" s="96"/>
      <c r="J6465" s="1"/>
      <c r="K6465" s="1"/>
      <c r="L6465" s="1"/>
      <c r="O6465" s="475"/>
      <c r="P6465" s="475"/>
      <c r="Q6465" s="475"/>
      <c r="R6465" s="475"/>
      <c r="S6465" s="475"/>
      <c r="T6465" s="475"/>
      <c r="U6465" s="475"/>
      <c r="V6465" s="475"/>
      <c r="W6465" s="475"/>
    </row>
    <row r="6466" spans="2:23" s="97" customFormat="1">
      <c r="B6466" s="96"/>
      <c r="H6466" s="96"/>
      <c r="J6466" s="1"/>
      <c r="K6466" s="1"/>
      <c r="L6466" s="1"/>
      <c r="O6466" s="475"/>
      <c r="P6466" s="475"/>
      <c r="Q6466" s="475"/>
      <c r="R6466" s="475"/>
      <c r="S6466" s="475"/>
      <c r="T6466" s="475"/>
      <c r="U6466" s="475"/>
      <c r="V6466" s="475"/>
      <c r="W6466" s="475"/>
    </row>
    <row r="6467" spans="2:23" s="97" customFormat="1">
      <c r="B6467" s="96"/>
      <c r="H6467" s="96"/>
      <c r="J6467" s="1"/>
      <c r="K6467" s="1"/>
      <c r="L6467" s="1"/>
      <c r="O6467" s="475"/>
      <c r="P6467" s="475"/>
      <c r="Q6467" s="475"/>
      <c r="R6467" s="475"/>
      <c r="S6467" s="475"/>
      <c r="T6467" s="475"/>
      <c r="U6467" s="475"/>
      <c r="V6467" s="475"/>
      <c r="W6467" s="475"/>
    </row>
    <row r="6468" spans="2:23" s="97" customFormat="1">
      <c r="B6468" s="96"/>
      <c r="H6468" s="96"/>
      <c r="J6468" s="1"/>
      <c r="K6468" s="1"/>
      <c r="L6468" s="1"/>
      <c r="O6468" s="475"/>
      <c r="P6468" s="475"/>
      <c r="Q6468" s="475"/>
      <c r="R6468" s="475"/>
      <c r="S6468" s="475"/>
      <c r="T6468" s="475"/>
      <c r="U6468" s="475"/>
      <c r="V6468" s="475"/>
      <c r="W6468" s="475"/>
    </row>
    <row r="6469" spans="2:23" s="97" customFormat="1">
      <c r="B6469" s="96"/>
      <c r="H6469" s="96"/>
      <c r="J6469" s="1"/>
      <c r="K6469" s="1"/>
      <c r="L6469" s="1"/>
      <c r="O6469" s="475"/>
      <c r="P6469" s="475"/>
      <c r="Q6469" s="475"/>
      <c r="R6469" s="475"/>
      <c r="S6469" s="475"/>
      <c r="T6469" s="475"/>
      <c r="U6469" s="475"/>
      <c r="V6469" s="475"/>
      <c r="W6469" s="475"/>
    </row>
    <row r="6470" spans="2:23" s="97" customFormat="1">
      <c r="B6470" s="96"/>
      <c r="H6470" s="96"/>
      <c r="J6470" s="1"/>
      <c r="K6470" s="1"/>
      <c r="L6470" s="1"/>
      <c r="O6470" s="475"/>
      <c r="P6470" s="475"/>
      <c r="Q6470" s="475"/>
      <c r="R6470" s="475"/>
      <c r="S6470" s="475"/>
      <c r="T6470" s="475"/>
      <c r="U6470" s="475"/>
      <c r="V6470" s="475"/>
      <c r="W6470" s="475"/>
    </row>
    <row r="6471" spans="2:23" s="97" customFormat="1">
      <c r="B6471" s="96"/>
      <c r="H6471" s="96"/>
      <c r="J6471" s="1"/>
      <c r="K6471" s="1"/>
      <c r="L6471" s="1"/>
      <c r="O6471" s="475"/>
      <c r="P6471" s="475"/>
      <c r="Q6471" s="475"/>
      <c r="R6471" s="475"/>
      <c r="S6471" s="475"/>
      <c r="T6471" s="475"/>
      <c r="U6471" s="475"/>
      <c r="V6471" s="475"/>
      <c r="W6471" s="475"/>
    </row>
    <row r="6472" spans="2:23" s="97" customFormat="1">
      <c r="B6472" s="96"/>
      <c r="H6472" s="96"/>
      <c r="J6472" s="1"/>
      <c r="K6472" s="1"/>
      <c r="L6472" s="1"/>
      <c r="O6472" s="475"/>
      <c r="P6472" s="475"/>
      <c r="Q6472" s="475"/>
      <c r="R6472" s="475"/>
      <c r="S6472" s="475"/>
      <c r="T6472" s="475"/>
      <c r="U6472" s="475"/>
      <c r="V6472" s="475"/>
      <c r="W6472" s="475"/>
    </row>
    <row r="6473" spans="2:23" s="97" customFormat="1">
      <c r="B6473" s="96"/>
      <c r="H6473" s="96"/>
      <c r="J6473" s="1"/>
      <c r="K6473" s="1"/>
      <c r="L6473" s="1"/>
      <c r="O6473" s="475"/>
      <c r="P6473" s="475"/>
      <c r="Q6473" s="475"/>
      <c r="R6473" s="475"/>
      <c r="S6473" s="475"/>
      <c r="T6473" s="475"/>
      <c r="U6473" s="475"/>
      <c r="V6473" s="475"/>
      <c r="W6473" s="475"/>
    </row>
    <row r="6474" spans="2:23" s="97" customFormat="1">
      <c r="B6474" s="96"/>
      <c r="H6474" s="96"/>
      <c r="J6474" s="1"/>
      <c r="K6474" s="1"/>
      <c r="L6474" s="1"/>
      <c r="O6474" s="475"/>
      <c r="P6474" s="475"/>
      <c r="Q6474" s="475"/>
      <c r="R6474" s="475"/>
      <c r="S6474" s="475"/>
      <c r="T6474" s="475"/>
      <c r="U6474" s="475"/>
      <c r="V6474" s="475"/>
      <c r="W6474" s="475"/>
    </row>
    <row r="6475" spans="2:23" s="97" customFormat="1">
      <c r="B6475" s="96"/>
      <c r="H6475" s="96"/>
      <c r="J6475" s="1"/>
      <c r="K6475" s="1"/>
      <c r="L6475" s="1"/>
      <c r="O6475" s="475"/>
      <c r="P6475" s="475"/>
      <c r="Q6475" s="475"/>
      <c r="R6475" s="475"/>
      <c r="S6475" s="475"/>
      <c r="T6475" s="475"/>
      <c r="U6475" s="475"/>
      <c r="V6475" s="475"/>
      <c r="W6475" s="475"/>
    </row>
    <row r="6476" spans="2:23" s="97" customFormat="1">
      <c r="B6476" s="96"/>
      <c r="H6476" s="96"/>
      <c r="J6476" s="1"/>
      <c r="K6476" s="1"/>
      <c r="L6476" s="1"/>
      <c r="O6476" s="475"/>
      <c r="P6476" s="475"/>
      <c r="Q6476" s="475"/>
      <c r="R6476" s="475"/>
      <c r="S6476" s="475"/>
      <c r="T6476" s="475"/>
      <c r="U6476" s="475"/>
      <c r="V6476" s="475"/>
      <c r="W6476" s="475"/>
    </row>
    <row r="6477" spans="2:23" s="97" customFormat="1">
      <c r="B6477" s="96"/>
      <c r="H6477" s="96"/>
      <c r="J6477" s="1"/>
      <c r="K6477" s="1"/>
      <c r="L6477" s="1"/>
      <c r="O6477" s="475"/>
      <c r="P6477" s="475"/>
      <c r="Q6477" s="475"/>
      <c r="R6477" s="475"/>
      <c r="S6477" s="475"/>
      <c r="T6477" s="475"/>
      <c r="U6477" s="475"/>
      <c r="V6477" s="475"/>
      <c r="W6477" s="475"/>
    </row>
    <row r="6478" spans="2:23" s="97" customFormat="1">
      <c r="B6478" s="96"/>
      <c r="H6478" s="96"/>
      <c r="J6478" s="1"/>
      <c r="K6478" s="1"/>
      <c r="L6478" s="1"/>
      <c r="O6478" s="475"/>
      <c r="P6478" s="475"/>
      <c r="Q6478" s="475"/>
      <c r="R6478" s="475"/>
      <c r="S6478" s="475"/>
      <c r="T6478" s="475"/>
      <c r="U6478" s="475"/>
      <c r="V6478" s="475"/>
      <c r="W6478" s="475"/>
    </row>
    <row r="6479" spans="2:23" s="97" customFormat="1">
      <c r="B6479" s="96"/>
      <c r="H6479" s="96"/>
      <c r="J6479" s="1"/>
      <c r="K6479" s="1"/>
      <c r="L6479" s="1"/>
      <c r="O6479" s="475"/>
      <c r="P6479" s="475"/>
      <c r="Q6479" s="475"/>
      <c r="R6479" s="475"/>
      <c r="S6479" s="475"/>
      <c r="T6479" s="475"/>
      <c r="U6479" s="475"/>
      <c r="V6479" s="475"/>
      <c r="W6479" s="475"/>
    </row>
    <row r="6480" spans="2:23" s="97" customFormat="1">
      <c r="B6480" s="96"/>
      <c r="H6480" s="96"/>
      <c r="J6480" s="1"/>
      <c r="K6480" s="1"/>
      <c r="L6480" s="1"/>
      <c r="O6480" s="475"/>
      <c r="P6480" s="475"/>
      <c r="Q6480" s="475"/>
      <c r="R6480" s="475"/>
      <c r="S6480" s="475"/>
      <c r="T6480" s="475"/>
      <c r="U6480" s="475"/>
      <c r="V6480" s="475"/>
      <c r="W6480" s="475"/>
    </row>
    <row r="6481" spans="2:23" s="97" customFormat="1">
      <c r="B6481" s="96"/>
      <c r="H6481" s="96"/>
      <c r="J6481" s="1"/>
      <c r="K6481" s="1"/>
      <c r="L6481" s="1"/>
      <c r="O6481" s="475"/>
      <c r="P6481" s="475"/>
      <c r="Q6481" s="475"/>
      <c r="R6481" s="475"/>
      <c r="S6481" s="475"/>
      <c r="T6481" s="475"/>
      <c r="U6481" s="475"/>
      <c r="V6481" s="475"/>
      <c r="W6481" s="475"/>
    </row>
    <row r="6482" spans="2:23" s="97" customFormat="1">
      <c r="B6482" s="96"/>
      <c r="H6482" s="96"/>
      <c r="J6482" s="1"/>
      <c r="K6482" s="1"/>
      <c r="L6482" s="1"/>
      <c r="O6482" s="475"/>
      <c r="P6482" s="475"/>
      <c r="Q6482" s="475"/>
      <c r="R6482" s="475"/>
      <c r="S6482" s="475"/>
      <c r="T6482" s="475"/>
      <c r="U6482" s="475"/>
      <c r="V6482" s="475"/>
      <c r="W6482" s="475"/>
    </row>
    <row r="6483" spans="2:23" s="97" customFormat="1">
      <c r="B6483" s="96"/>
      <c r="H6483" s="96"/>
      <c r="J6483" s="1"/>
      <c r="K6483" s="1"/>
      <c r="L6483" s="1"/>
      <c r="O6483" s="475"/>
      <c r="P6483" s="475"/>
      <c r="Q6483" s="475"/>
      <c r="R6483" s="475"/>
      <c r="S6483" s="475"/>
      <c r="T6483" s="475"/>
      <c r="U6483" s="475"/>
      <c r="V6483" s="475"/>
      <c r="W6483" s="475"/>
    </row>
    <row r="6484" spans="2:23" s="97" customFormat="1">
      <c r="B6484" s="96"/>
      <c r="H6484" s="96"/>
      <c r="J6484" s="1"/>
      <c r="K6484" s="1"/>
      <c r="L6484" s="1"/>
      <c r="O6484" s="475"/>
      <c r="P6484" s="475"/>
      <c r="Q6484" s="475"/>
      <c r="R6484" s="475"/>
      <c r="S6484" s="475"/>
      <c r="T6484" s="475"/>
      <c r="U6484" s="475"/>
      <c r="V6484" s="475"/>
      <c r="W6484" s="475"/>
    </row>
    <row r="6485" spans="2:23" s="97" customFormat="1">
      <c r="B6485" s="96"/>
      <c r="H6485" s="96"/>
      <c r="J6485" s="1"/>
      <c r="K6485" s="1"/>
      <c r="L6485" s="1"/>
      <c r="O6485" s="475"/>
      <c r="P6485" s="475"/>
      <c r="Q6485" s="475"/>
      <c r="R6485" s="475"/>
      <c r="S6485" s="475"/>
      <c r="T6485" s="475"/>
      <c r="U6485" s="475"/>
      <c r="V6485" s="475"/>
      <c r="W6485" s="475"/>
    </row>
    <row r="6486" spans="2:23" s="97" customFormat="1">
      <c r="B6486" s="96"/>
      <c r="H6486" s="96"/>
      <c r="J6486" s="1"/>
      <c r="K6486" s="1"/>
      <c r="L6486" s="1"/>
      <c r="O6486" s="475"/>
      <c r="P6486" s="475"/>
      <c r="Q6486" s="475"/>
      <c r="R6486" s="475"/>
      <c r="S6486" s="475"/>
      <c r="T6486" s="475"/>
      <c r="U6486" s="475"/>
      <c r="V6486" s="475"/>
      <c r="W6486" s="475"/>
    </row>
    <row r="6487" spans="2:23" s="97" customFormat="1">
      <c r="B6487" s="96"/>
      <c r="H6487" s="96"/>
      <c r="J6487" s="1"/>
      <c r="K6487" s="1"/>
      <c r="L6487" s="1"/>
      <c r="O6487" s="475"/>
      <c r="P6487" s="475"/>
      <c r="Q6487" s="475"/>
      <c r="R6487" s="475"/>
      <c r="S6487" s="475"/>
      <c r="T6487" s="475"/>
      <c r="U6487" s="475"/>
      <c r="V6487" s="475"/>
      <c r="W6487" s="475"/>
    </row>
    <row r="6488" spans="2:23" s="97" customFormat="1">
      <c r="B6488" s="96"/>
      <c r="H6488" s="96"/>
      <c r="J6488" s="1"/>
      <c r="K6488" s="1"/>
      <c r="L6488" s="1"/>
      <c r="O6488" s="475"/>
      <c r="P6488" s="475"/>
      <c r="Q6488" s="475"/>
      <c r="R6488" s="475"/>
      <c r="S6488" s="475"/>
      <c r="T6488" s="475"/>
      <c r="U6488" s="475"/>
      <c r="V6488" s="475"/>
      <c r="W6488" s="475"/>
    </row>
    <row r="6489" spans="2:23" s="97" customFormat="1">
      <c r="B6489" s="96"/>
      <c r="H6489" s="96"/>
      <c r="J6489" s="1"/>
      <c r="K6489" s="1"/>
      <c r="L6489" s="1"/>
      <c r="O6489" s="475"/>
      <c r="P6489" s="475"/>
      <c r="Q6489" s="475"/>
      <c r="R6489" s="475"/>
      <c r="S6489" s="475"/>
      <c r="T6489" s="475"/>
      <c r="U6489" s="475"/>
      <c r="V6489" s="475"/>
      <c r="W6489" s="475"/>
    </row>
    <row r="6490" spans="2:23" s="97" customFormat="1">
      <c r="B6490" s="96"/>
      <c r="H6490" s="96"/>
      <c r="J6490" s="1"/>
      <c r="K6490" s="1"/>
      <c r="L6490" s="1"/>
      <c r="O6490" s="475"/>
      <c r="P6490" s="475"/>
      <c r="Q6490" s="475"/>
      <c r="R6490" s="475"/>
      <c r="S6490" s="475"/>
      <c r="T6490" s="475"/>
      <c r="U6490" s="475"/>
      <c r="V6490" s="475"/>
      <c r="W6490" s="475"/>
    </row>
    <row r="6491" spans="2:23" s="97" customFormat="1">
      <c r="B6491" s="96"/>
      <c r="H6491" s="96"/>
      <c r="J6491" s="1"/>
      <c r="K6491" s="1"/>
      <c r="L6491" s="1"/>
      <c r="O6491" s="475"/>
      <c r="P6491" s="475"/>
      <c r="Q6491" s="475"/>
      <c r="R6491" s="475"/>
      <c r="S6491" s="475"/>
      <c r="T6491" s="475"/>
      <c r="U6491" s="475"/>
      <c r="V6491" s="475"/>
      <c r="W6491" s="475"/>
    </row>
    <row r="6492" spans="2:23" s="97" customFormat="1">
      <c r="B6492" s="96"/>
      <c r="H6492" s="96"/>
      <c r="J6492" s="1"/>
      <c r="K6492" s="1"/>
      <c r="L6492" s="1"/>
      <c r="O6492" s="475"/>
      <c r="P6492" s="475"/>
      <c r="Q6492" s="475"/>
      <c r="R6492" s="475"/>
      <c r="S6492" s="475"/>
      <c r="T6492" s="475"/>
      <c r="U6492" s="475"/>
      <c r="V6492" s="475"/>
      <c r="W6492" s="475"/>
    </row>
    <row r="6493" spans="2:23" s="97" customFormat="1">
      <c r="B6493" s="96"/>
      <c r="H6493" s="96"/>
      <c r="J6493" s="1"/>
      <c r="K6493" s="1"/>
      <c r="L6493" s="1"/>
      <c r="O6493" s="475"/>
      <c r="P6493" s="475"/>
      <c r="Q6493" s="475"/>
      <c r="R6493" s="475"/>
      <c r="S6493" s="475"/>
      <c r="T6493" s="475"/>
      <c r="U6493" s="475"/>
      <c r="V6493" s="475"/>
      <c r="W6493" s="475"/>
    </row>
    <row r="6494" spans="2:23" s="97" customFormat="1">
      <c r="B6494" s="96"/>
      <c r="H6494" s="96"/>
      <c r="J6494" s="1"/>
      <c r="K6494" s="1"/>
      <c r="L6494" s="1"/>
      <c r="O6494" s="475"/>
      <c r="P6494" s="475"/>
      <c r="Q6494" s="475"/>
      <c r="R6494" s="475"/>
      <c r="S6494" s="475"/>
      <c r="T6494" s="475"/>
      <c r="U6494" s="475"/>
      <c r="V6494" s="475"/>
      <c r="W6494" s="475"/>
    </row>
    <row r="6495" spans="2:23" s="97" customFormat="1">
      <c r="B6495" s="96"/>
      <c r="H6495" s="96"/>
      <c r="J6495" s="1"/>
      <c r="K6495" s="1"/>
      <c r="L6495" s="1"/>
      <c r="O6495" s="475"/>
      <c r="P6495" s="475"/>
      <c r="Q6495" s="475"/>
      <c r="R6495" s="475"/>
      <c r="S6495" s="475"/>
      <c r="T6495" s="475"/>
      <c r="U6495" s="475"/>
      <c r="V6495" s="475"/>
      <c r="W6495" s="475"/>
    </row>
    <row r="6496" spans="2:23" s="97" customFormat="1">
      <c r="B6496" s="96"/>
      <c r="H6496" s="96"/>
      <c r="J6496" s="1"/>
      <c r="K6496" s="1"/>
      <c r="L6496" s="1"/>
      <c r="O6496" s="475"/>
      <c r="P6496" s="475"/>
      <c r="Q6496" s="475"/>
      <c r="R6496" s="475"/>
      <c r="S6496" s="475"/>
      <c r="T6496" s="475"/>
      <c r="U6496" s="475"/>
      <c r="V6496" s="475"/>
      <c r="W6496" s="475"/>
    </row>
    <row r="6497" spans="2:23" s="97" customFormat="1">
      <c r="B6497" s="96"/>
      <c r="H6497" s="96"/>
      <c r="J6497" s="1"/>
      <c r="K6497" s="1"/>
      <c r="L6497" s="1"/>
      <c r="O6497" s="475"/>
      <c r="P6497" s="475"/>
      <c r="Q6497" s="475"/>
      <c r="R6497" s="475"/>
      <c r="S6497" s="475"/>
      <c r="T6497" s="475"/>
      <c r="U6497" s="475"/>
      <c r="V6497" s="475"/>
      <c r="W6497" s="475"/>
    </row>
    <row r="6498" spans="2:23" s="97" customFormat="1">
      <c r="B6498" s="96"/>
      <c r="H6498" s="96"/>
      <c r="J6498" s="1"/>
      <c r="K6498" s="1"/>
      <c r="L6498" s="1"/>
      <c r="O6498" s="475"/>
      <c r="P6498" s="475"/>
      <c r="Q6498" s="475"/>
      <c r="R6498" s="475"/>
      <c r="S6498" s="475"/>
      <c r="T6498" s="475"/>
      <c r="U6498" s="475"/>
      <c r="V6498" s="475"/>
      <c r="W6498" s="475"/>
    </row>
    <row r="6499" spans="2:23" s="97" customFormat="1">
      <c r="B6499" s="96"/>
      <c r="H6499" s="96"/>
      <c r="J6499" s="1"/>
      <c r="K6499" s="1"/>
      <c r="L6499" s="1"/>
      <c r="O6499" s="475"/>
      <c r="P6499" s="475"/>
      <c r="Q6499" s="475"/>
      <c r="R6499" s="475"/>
      <c r="S6499" s="475"/>
      <c r="T6499" s="475"/>
      <c r="U6499" s="475"/>
      <c r="V6499" s="475"/>
      <c r="W6499" s="475"/>
    </row>
    <row r="6500" spans="2:23" s="97" customFormat="1">
      <c r="B6500" s="96"/>
      <c r="H6500" s="96"/>
      <c r="J6500" s="1"/>
      <c r="K6500" s="1"/>
      <c r="L6500" s="1"/>
      <c r="O6500" s="475"/>
      <c r="P6500" s="475"/>
      <c r="Q6500" s="475"/>
      <c r="R6500" s="475"/>
      <c r="S6500" s="475"/>
      <c r="T6500" s="475"/>
      <c r="U6500" s="475"/>
      <c r="V6500" s="475"/>
      <c r="W6500" s="475"/>
    </row>
    <row r="6501" spans="2:23" s="97" customFormat="1">
      <c r="B6501" s="96"/>
      <c r="H6501" s="96"/>
      <c r="J6501" s="1"/>
      <c r="K6501" s="1"/>
      <c r="L6501" s="1"/>
      <c r="O6501" s="475"/>
      <c r="P6501" s="475"/>
      <c r="Q6501" s="475"/>
      <c r="R6501" s="475"/>
      <c r="S6501" s="475"/>
      <c r="T6501" s="475"/>
      <c r="U6501" s="475"/>
      <c r="V6501" s="475"/>
      <c r="W6501" s="475"/>
    </row>
    <row r="6502" spans="2:23" s="97" customFormat="1">
      <c r="B6502" s="96"/>
      <c r="H6502" s="96"/>
      <c r="J6502" s="1"/>
      <c r="K6502" s="1"/>
      <c r="L6502" s="1"/>
      <c r="O6502" s="475"/>
      <c r="P6502" s="475"/>
      <c r="Q6502" s="475"/>
      <c r="R6502" s="475"/>
      <c r="S6502" s="475"/>
      <c r="T6502" s="475"/>
      <c r="U6502" s="475"/>
      <c r="V6502" s="475"/>
      <c r="W6502" s="475"/>
    </row>
    <row r="6503" spans="2:23" s="97" customFormat="1">
      <c r="B6503" s="96"/>
      <c r="H6503" s="96"/>
      <c r="J6503" s="1"/>
      <c r="K6503" s="1"/>
      <c r="L6503" s="1"/>
      <c r="O6503" s="475"/>
      <c r="P6503" s="475"/>
      <c r="Q6503" s="475"/>
      <c r="R6503" s="475"/>
      <c r="S6503" s="475"/>
      <c r="T6503" s="475"/>
      <c r="U6503" s="475"/>
      <c r="V6503" s="475"/>
      <c r="W6503" s="475"/>
    </row>
    <row r="6504" spans="2:23" s="97" customFormat="1">
      <c r="B6504" s="96"/>
      <c r="H6504" s="96"/>
      <c r="J6504" s="1"/>
      <c r="K6504" s="1"/>
      <c r="L6504" s="1"/>
      <c r="O6504" s="475"/>
      <c r="P6504" s="475"/>
      <c r="Q6504" s="475"/>
      <c r="R6504" s="475"/>
      <c r="S6504" s="475"/>
      <c r="T6504" s="475"/>
      <c r="U6504" s="475"/>
      <c r="V6504" s="475"/>
      <c r="W6504" s="475"/>
    </row>
    <row r="6505" spans="2:23" s="97" customFormat="1">
      <c r="B6505" s="96"/>
      <c r="H6505" s="96"/>
      <c r="J6505" s="1"/>
      <c r="K6505" s="1"/>
      <c r="L6505" s="1"/>
      <c r="O6505" s="475"/>
      <c r="P6505" s="475"/>
      <c r="Q6505" s="475"/>
      <c r="R6505" s="475"/>
      <c r="S6505" s="475"/>
      <c r="T6505" s="475"/>
      <c r="U6505" s="475"/>
      <c r="V6505" s="475"/>
      <c r="W6505" s="475"/>
    </row>
    <row r="6506" spans="2:23" s="97" customFormat="1">
      <c r="B6506" s="96"/>
      <c r="H6506" s="96"/>
      <c r="J6506" s="1"/>
      <c r="K6506" s="1"/>
      <c r="L6506" s="1"/>
      <c r="O6506" s="475"/>
      <c r="P6506" s="475"/>
      <c r="Q6506" s="475"/>
      <c r="R6506" s="475"/>
      <c r="S6506" s="475"/>
      <c r="T6506" s="475"/>
      <c r="U6506" s="475"/>
      <c r="V6506" s="475"/>
      <c r="W6506" s="475"/>
    </row>
    <row r="6507" spans="2:23" s="97" customFormat="1">
      <c r="B6507" s="96"/>
      <c r="H6507" s="96"/>
      <c r="J6507" s="1"/>
      <c r="K6507" s="1"/>
      <c r="L6507" s="1"/>
      <c r="O6507" s="475"/>
      <c r="P6507" s="475"/>
      <c r="Q6507" s="475"/>
      <c r="R6507" s="475"/>
      <c r="S6507" s="475"/>
      <c r="T6507" s="475"/>
      <c r="U6507" s="475"/>
      <c r="V6507" s="475"/>
      <c r="W6507" s="475"/>
    </row>
    <row r="6508" spans="2:23" s="97" customFormat="1">
      <c r="B6508" s="96"/>
      <c r="H6508" s="96"/>
      <c r="J6508" s="1"/>
      <c r="K6508" s="1"/>
      <c r="L6508" s="1"/>
      <c r="O6508" s="475"/>
      <c r="P6508" s="475"/>
      <c r="Q6508" s="475"/>
      <c r="R6508" s="475"/>
      <c r="S6508" s="475"/>
      <c r="T6508" s="475"/>
      <c r="U6508" s="475"/>
      <c r="V6508" s="475"/>
      <c r="W6508" s="475"/>
    </row>
    <row r="6509" spans="2:23" s="97" customFormat="1">
      <c r="B6509" s="96"/>
      <c r="H6509" s="96"/>
      <c r="J6509" s="1"/>
      <c r="K6509" s="1"/>
      <c r="L6509" s="1"/>
      <c r="O6509" s="475"/>
      <c r="P6509" s="475"/>
      <c r="Q6509" s="475"/>
      <c r="R6509" s="475"/>
      <c r="S6509" s="475"/>
      <c r="T6509" s="475"/>
      <c r="U6509" s="475"/>
      <c r="V6509" s="475"/>
      <c r="W6509" s="475"/>
    </row>
    <row r="6510" spans="2:23" s="97" customFormat="1">
      <c r="B6510" s="96"/>
      <c r="H6510" s="96"/>
      <c r="J6510" s="1"/>
      <c r="K6510" s="1"/>
      <c r="L6510" s="1"/>
      <c r="O6510" s="475"/>
      <c r="P6510" s="475"/>
      <c r="Q6510" s="475"/>
      <c r="R6510" s="475"/>
      <c r="S6510" s="475"/>
      <c r="T6510" s="475"/>
      <c r="U6510" s="475"/>
      <c r="V6510" s="475"/>
      <c r="W6510" s="475"/>
    </row>
    <row r="6511" spans="2:23" s="97" customFormat="1">
      <c r="B6511" s="96"/>
      <c r="H6511" s="96"/>
      <c r="J6511" s="1"/>
      <c r="K6511" s="1"/>
      <c r="L6511" s="1"/>
      <c r="O6511" s="475"/>
      <c r="P6511" s="475"/>
      <c r="Q6511" s="475"/>
      <c r="R6511" s="475"/>
      <c r="S6511" s="475"/>
      <c r="T6511" s="475"/>
      <c r="U6511" s="475"/>
      <c r="V6511" s="475"/>
      <c r="W6511" s="475"/>
    </row>
    <row r="6512" spans="2:23" s="97" customFormat="1">
      <c r="B6512" s="96"/>
      <c r="H6512" s="96"/>
      <c r="J6512" s="1"/>
      <c r="K6512" s="1"/>
      <c r="L6512" s="1"/>
      <c r="O6512" s="475"/>
      <c r="P6512" s="475"/>
      <c r="Q6512" s="475"/>
      <c r="R6512" s="475"/>
      <c r="S6512" s="475"/>
      <c r="T6512" s="475"/>
      <c r="U6512" s="475"/>
      <c r="V6512" s="475"/>
      <c r="W6512" s="475"/>
    </row>
    <row r="6513" spans="2:23" s="97" customFormat="1">
      <c r="B6513" s="96"/>
      <c r="H6513" s="96"/>
      <c r="J6513" s="1"/>
      <c r="K6513" s="1"/>
      <c r="L6513" s="1"/>
      <c r="O6513" s="475"/>
      <c r="P6513" s="475"/>
      <c r="Q6513" s="475"/>
      <c r="R6513" s="475"/>
      <c r="S6513" s="475"/>
      <c r="T6513" s="475"/>
      <c r="U6513" s="475"/>
      <c r="V6513" s="475"/>
      <c r="W6513" s="475"/>
    </row>
    <row r="6514" spans="2:23" s="97" customFormat="1">
      <c r="B6514" s="96"/>
      <c r="H6514" s="96"/>
      <c r="J6514" s="1"/>
      <c r="K6514" s="1"/>
      <c r="L6514" s="1"/>
      <c r="O6514" s="475"/>
      <c r="P6514" s="475"/>
      <c r="Q6514" s="475"/>
      <c r="R6514" s="475"/>
      <c r="S6514" s="475"/>
      <c r="T6514" s="475"/>
      <c r="U6514" s="475"/>
      <c r="V6514" s="475"/>
      <c r="W6514" s="475"/>
    </row>
    <row r="6515" spans="2:23" s="97" customFormat="1">
      <c r="B6515" s="96"/>
      <c r="H6515" s="96"/>
      <c r="J6515" s="1"/>
      <c r="K6515" s="1"/>
      <c r="L6515" s="1"/>
      <c r="O6515" s="475"/>
      <c r="P6515" s="475"/>
      <c r="Q6515" s="475"/>
      <c r="R6515" s="475"/>
      <c r="S6515" s="475"/>
      <c r="T6515" s="475"/>
      <c r="U6515" s="475"/>
      <c r="V6515" s="475"/>
      <c r="W6515" s="475"/>
    </row>
    <row r="6516" spans="2:23" s="97" customFormat="1">
      <c r="B6516" s="96"/>
      <c r="H6516" s="96"/>
      <c r="J6516" s="1"/>
      <c r="K6516" s="1"/>
      <c r="L6516" s="1"/>
      <c r="O6516" s="475"/>
      <c r="P6516" s="475"/>
      <c r="Q6516" s="475"/>
      <c r="R6516" s="475"/>
      <c r="S6516" s="475"/>
      <c r="T6516" s="475"/>
      <c r="U6516" s="475"/>
      <c r="V6516" s="475"/>
      <c r="W6516" s="475"/>
    </row>
    <row r="6517" spans="2:23" s="97" customFormat="1">
      <c r="B6517" s="96"/>
      <c r="H6517" s="96"/>
      <c r="J6517" s="1"/>
      <c r="K6517" s="1"/>
      <c r="L6517" s="1"/>
      <c r="O6517" s="475"/>
      <c r="P6517" s="475"/>
      <c r="Q6517" s="475"/>
      <c r="R6517" s="475"/>
      <c r="S6517" s="475"/>
      <c r="T6517" s="475"/>
      <c r="U6517" s="475"/>
      <c r="V6517" s="475"/>
      <c r="W6517" s="475"/>
    </row>
    <row r="6518" spans="2:23" s="97" customFormat="1">
      <c r="B6518" s="96"/>
      <c r="H6518" s="96"/>
      <c r="J6518" s="1"/>
      <c r="K6518" s="1"/>
      <c r="L6518" s="1"/>
      <c r="O6518" s="475"/>
      <c r="P6518" s="475"/>
      <c r="Q6518" s="475"/>
      <c r="R6518" s="475"/>
      <c r="S6518" s="475"/>
      <c r="T6518" s="475"/>
      <c r="U6518" s="475"/>
      <c r="V6518" s="475"/>
      <c r="W6518" s="475"/>
    </row>
    <row r="6519" spans="2:23" s="97" customFormat="1">
      <c r="B6519" s="96"/>
      <c r="H6519" s="96"/>
      <c r="J6519" s="1"/>
      <c r="K6519" s="1"/>
      <c r="L6519" s="1"/>
      <c r="O6519" s="475"/>
      <c r="P6519" s="475"/>
      <c r="Q6519" s="475"/>
      <c r="R6519" s="475"/>
      <c r="S6519" s="475"/>
      <c r="T6519" s="475"/>
      <c r="U6519" s="475"/>
      <c r="V6519" s="475"/>
      <c r="W6519" s="475"/>
    </row>
    <row r="6520" spans="2:23" s="97" customFormat="1">
      <c r="B6520" s="96"/>
      <c r="H6520" s="96"/>
      <c r="J6520" s="1"/>
      <c r="K6520" s="1"/>
      <c r="L6520" s="1"/>
      <c r="O6520" s="475"/>
      <c r="P6520" s="475"/>
      <c r="Q6520" s="475"/>
      <c r="R6520" s="475"/>
      <c r="S6520" s="475"/>
      <c r="T6520" s="475"/>
      <c r="U6520" s="475"/>
      <c r="V6520" s="475"/>
      <c r="W6520" s="475"/>
    </row>
    <row r="6521" spans="2:23" s="97" customFormat="1">
      <c r="B6521" s="96"/>
      <c r="H6521" s="96"/>
      <c r="J6521" s="1"/>
      <c r="K6521" s="1"/>
      <c r="L6521" s="1"/>
      <c r="O6521" s="475"/>
      <c r="P6521" s="475"/>
      <c r="Q6521" s="475"/>
      <c r="R6521" s="475"/>
      <c r="S6521" s="475"/>
      <c r="T6521" s="475"/>
      <c r="U6521" s="475"/>
      <c r="V6521" s="475"/>
      <c r="W6521" s="475"/>
    </row>
    <row r="6522" spans="2:23" s="97" customFormat="1">
      <c r="B6522" s="96"/>
      <c r="H6522" s="96"/>
      <c r="J6522" s="1"/>
      <c r="K6522" s="1"/>
      <c r="L6522" s="1"/>
      <c r="O6522" s="475"/>
      <c r="P6522" s="475"/>
      <c r="Q6522" s="475"/>
      <c r="R6522" s="475"/>
      <c r="S6522" s="475"/>
      <c r="T6522" s="475"/>
      <c r="U6522" s="475"/>
      <c r="V6522" s="475"/>
      <c r="W6522" s="475"/>
    </row>
    <row r="6523" spans="2:23" s="97" customFormat="1">
      <c r="B6523" s="96"/>
      <c r="H6523" s="96"/>
      <c r="J6523" s="1"/>
      <c r="K6523" s="1"/>
      <c r="L6523" s="1"/>
      <c r="O6523" s="475"/>
      <c r="P6523" s="475"/>
      <c r="Q6523" s="475"/>
      <c r="R6523" s="475"/>
      <c r="S6523" s="475"/>
      <c r="T6523" s="475"/>
      <c r="U6523" s="475"/>
      <c r="V6523" s="475"/>
      <c r="W6523" s="475"/>
    </row>
    <row r="6524" spans="2:23" s="97" customFormat="1">
      <c r="B6524" s="96"/>
      <c r="H6524" s="96"/>
      <c r="J6524" s="1"/>
      <c r="K6524" s="1"/>
      <c r="L6524" s="1"/>
      <c r="O6524" s="475"/>
      <c r="P6524" s="475"/>
      <c r="Q6524" s="475"/>
      <c r="R6524" s="475"/>
      <c r="S6524" s="475"/>
      <c r="T6524" s="475"/>
      <c r="U6524" s="475"/>
      <c r="V6524" s="475"/>
      <c r="W6524" s="475"/>
    </row>
    <row r="6525" spans="2:23" s="97" customFormat="1">
      <c r="B6525" s="96"/>
      <c r="H6525" s="96"/>
      <c r="J6525" s="1"/>
      <c r="K6525" s="1"/>
      <c r="L6525" s="1"/>
      <c r="O6525" s="475"/>
      <c r="P6525" s="475"/>
      <c r="Q6525" s="475"/>
      <c r="R6525" s="475"/>
      <c r="S6525" s="475"/>
      <c r="T6525" s="475"/>
      <c r="U6525" s="475"/>
      <c r="V6525" s="475"/>
      <c r="W6525" s="475"/>
    </row>
    <row r="6526" spans="2:23" s="97" customFormat="1">
      <c r="B6526" s="96"/>
      <c r="H6526" s="96"/>
      <c r="J6526" s="1"/>
      <c r="K6526" s="1"/>
      <c r="L6526" s="1"/>
      <c r="O6526" s="475"/>
      <c r="P6526" s="475"/>
      <c r="Q6526" s="475"/>
      <c r="R6526" s="475"/>
      <c r="S6526" s="475"/>
      <c r="T6526" s="475"/>
      <c r="U6526" s="475"/>
      <c r="V6526" s="475"/>
      <c r="W6526" s="475"/>
    </row>
    <row r="6527" spans="2:23" s="97" customFormat="1">
      <c r="B6527" s="96"/>
      <c r="H6527" s="96"/>
      <c r="J6527" s="1"/>
      <c r="K6527" s="1"/>
      <c r="L6527" s="1"/>
      <c r="O6527" s="475"/>
      <c r="P6527" s="475"/>
      <c r="Q6527" s="475"/>
      <c r="R6527" s="475"/>
      <c r="S6527" s="475"/>
      <c r="T6527" s="475"/>
      <c r="U6527" s="475"/>
      <c r="V6527" s="475"/>
      <c r="W6527" s="475"/>
    </row>
    <row r="6528" spans="2:23" s="97" customFormat="1">
      <c r="B6528" s="96"/>
      <c r="H6528" s="96"/>
      <c r="J6528" s="1"/>
      <c r="K6528" s="1"/>
      <c r="L6528" s="1"/>
      <c r="O6528" s="475"/>
      <c r="P6528" s="475"/>
      <c r="Q6528" s="475"/>
      <c r="R6528" s="475"/>
      <c r="S6528" s="475"/>
      <c r="T6528" s="475"/>
      <c r="U6528" s="475"/>
      <c r="V6528" s="475"/>
      <c r="W6528" s="475"/>
    </row>
    <row r="6529" spans="2:23" s="97" customFormat="1">
      <c r="B6529" s="96"/>
      <c r="H6529" s="96"/>
      <c r="J6529" s="1"/>
      <c r="K6529" s="1"/>
      <c r="L6529" s="1"/>
      <c r="O6529" s="475"/>
      <c r="P6529" s="475"/>
      <c r="Q6529" s="475"/>
      <c r="R6529" s="475"/>
      <c r="S6529" s="475"/>
      <c r="T6529" s="475"/>
      <c r="U6529" s="475"/>
      <c r="V6529" s="475"/>
      <c r="W6529" s="475"/>
    </row>
    <row r="6530" spans="2:23" s="97" customFormat="1">
      <c r="B6530" s="96"/>
      <c r="H6530" s="96"/>
      <c r="J6530" s="1"/>
      <c r="K6530" s="1"/>
      <c r="L6530" s="1"/>
      <c r="O6530" s="475"/>
      <c r="P6530" s="475"/>
      <c r="Q6530" s="475"/>
      <c r="R6530" s="475"/>
      <c r="S6530" s="475"/>
      <c r="T6530" s="475"/>
      <c r="U6530" s="475"/>
      <c r="V6530" s="475"/>
      <c r="W6530" s="475"/>
    </row>
    <row r="6531" spans="2:23" s="97" customFormat="1">
      <c r="B6531" s="96"/>
      <c r="H6531" s="96"/>
      <c r="J6531" s="1"/>
      <c r="K6531" s="1"/>
      <c r="L6531" s="1"/>
      <c r="O6531" s="475"/>
      <c r="P6531" s="475"/>
      <c r="Q6531" s="475"/>
      <c r="R6531" s="475"/>
      <c r="S6531" s="475"/>
      <c r="T6531" s="475"/>
      <c r="U6531" s="475"/>
      <c r="V6531" s="475"/>
      <c r="W6531" s="475"/>
    </row>
    <row r="6532" spans="2:23" s="97" customFormat="1">
      <c r="B6532" s="96"/>
      <c r="H6532" s="96"/>
      <c r="J6532" s="1"/>
      <c r="K6532" s="1"/>
      <c r="L6532" s="1"/>
      <c r="O6532" s="475"/>
      <c r="P6532" s="475"/>
      <c r="Q6532" s="475"/>
      <c r="R6532" s="475"/>
      <c r="S6532" s="475"/>
      <c r="T6532" s="475"/>
      <c r="U6532" s="475"/>
      <c r="V6532" s="475"/>
      <c r="W6532" s="475"/>
    </row>
    <row r="6533" spans="2:23" s="97" customFormat="1">
      <c r="B6533" s="96"/>
      <c r="H6533" s="96"/>
      <c r="J6533" s="1"/>
      <c r="K6533" s="1"/>
      <c r="L6533" s="1"/>
      <c r="O6533" s="475"/>
      <c r="P6533" s="475"/>
      <c r="Q6533" s="475"/>
      <c r="R6533" s="475"/>
      <c r="S6533" s="475"/>
      <c r="T6533" s="475"/>
      <c r="U6533" s="475"/>
      <c r="V6533" s="475"/>
      <c r="W6533" s="475"/>
    </row>
    <row r="6534" spans="2:23" s="97" customFormat="1">
      <c r="B6534" s="96"/>
      <c r="H6534" s="96"/>
      <c r="J6534" s="1"/>
      <c r="K6534" s="1"/>
      <c r="L6534" s="1"/>
      <c r="O6534" s="475"/>
      <c r="P6534" s="475"/>
      <c r="Q6534" s="475"/>
      <c r="R6534" s="475"/>
      <c r="S6534" s="475"/>
      <c r="T6534" s="475"/>
      <c r="U6534" s="475"/>
      <c r="V6534" s="475"/>
      <c r="W6534" s="475"/>
    </row>
    <row r="6535" spans="2:23" s="97" customFormat="1">
      <c r="B6535" s="96"/>
      <c r="H6535" s="96"/>
      <c r="J6535" s="1"/>
      <c r="K6535" s="1"/>
      <c r="L6535" s="1"/>
      <c r="O6535" s="475"/>
      <c r="P6535" s="475"/>
      <c r="Q6535" s="475"/>
      <c r="R6535" s="475"/>
      <c r="S6535" s="475"/>
      <c r="T6535" s="475"/>
      <c r="U6535" s="475"/>
      <c r="V6535" s="475"/>
      <c r="W6535" s="475"/>
    </row>
    <row r="6536" spans="2:23" s="97" customFormat="1">
      <c r="B6536" s="96"/>
      <c r="H6536" s="96"/>
      <c r="J6536" s="1"/>
      <c r="K6536" s="1"/>
      <c r="L6536" s="1"/>
      <c r="O6536" s="475"/>
      <c r="P6536" s="475"/>
      <c r="Q6536" s="475"/>
      <c r="R6536" s="475"/>
      <c r="S6536" s="475"/>
      <c r="T6536" s="475"/>
      <c r="U6536" s="475"/>
      <c r="V6536" s="475"/>
      <c r="W6536" s="475"/>
    </row>
    <row r="6537" spans="2:23" s="97" customFormat="1">
      <c r="B6537" s="96"/>
      <c r="H6537" s="96"/>
      <c r="J6537" s="1"/>
      <c r="K6537" s="1"/>
      <c r="L6537" s="1"/>
      <c r="O6537" s="475"/>
      <c r="P6537" s="475"/>
      <c r="Q6537" s="475"/>
      <c r="R6537" s="475"/>
      <c r="S6537" s="475"/>
      <c r="T6537" s="475"/>
      <c r="U6537" s="475"/>
      <c r="V6537" s="475"/>
      <c r="W6537" s="475"/>
    </row>
    <row r="6538" spans="2:23" s="97" customFormat="1">
      <c r="B6538" s="96"/>
      <c r="H6538" s="96"/>
      <c r="J6538" s="1"/>
      <c r="K6538" s="1"/>
      <c r="L6538" s="1"/>
      <c r="O6538" s="475"/>
      <c r="P6538" s="475"/>
      <c r="Q6538" s="475"/>
      <c r="R6538" s="475"/>
      <c r="S6538" s="475"/>
      <c r="T6538" s="475"/>
      <c r="U6538" s="475"/>
      <c r="V6538" s="475"/>
      <c r="W6538" s="475"/>
    </row>
    <row r="6539" spans="2:23" s="97" customFormat="1">
      <c r="B6539" s="96"/>
      <c r="H6539" s="96"/>
      <c r="J6539" s="1"/>
      <c r="K6539" s="1"/>
      <c r="L6539" s="1"/>
      <c r="O6539" s="475"/>
      <c r="P6539" s="475"/>
      <c r="Q6539" s="475"/>
      <c r="R6539" s="475"/>
      <c r="S6539" s="475"/>
      <c r="T6539" s="475"/>
      <c r="U6539" s="475"/>
      <c r="V6539" s="475"/>
      <c r="W6539" s="475"/>
    </row>
    <row r="6540" spans="2:23" s="97" customFormat="1">
      <c r="B6540" s="96"/>
      <c r="H6540" s="96"/>
      <c r="J6540" s="1"/>
      <c r="K6540" s="1"/>
      <c r="L6540" s="1"/>
      <c r="O6540" s="475"/>
      <c r="P6540" s="475"/>
      <c r="Q6540" s="475"/>
      <c r="R6540" s="475"/>
      <c r="S6540" s="475"/>
      <c r="T6540" s="475"/>
      <c r="U6540" s="475"/>
      <c r="V6540" s="475"/>
      <c r="W6540" s="475"/>
    </row>
    <row r="6541" spans="2:23" s="97" customFormat="1">
      <c r="B6541" s="96"/>
      <c r="H6541" s="96"/>
      <c r="J6541" s="1"/>
      <c r="K6541" s="1"/>
      <c r="L6541" s="1"/>
      <c r="O6541" s="475"/>
      <c r="P6541" s="475"/>
      <c r="Q6541" s="475"/>
      <c r="R6541" s="475"/>
      <c r="S6541" s="475"/>
      <c r="T6541" s="475"/>
      <c r="U6541" s="475"/>
      <c r="V6541" s="475"/>
      <c r="W6541" s="475"/>
    </row>
    <row r="6542" spans="2:23" s="97" customFormat="1">
      <c r="B6542" s="96"/>
      <c r="H6542" s="96"/>
      <c r="J6542" s="1"/>
      <c r="K6542" s="1"/>
      <c r="L6542" s="1"/>
      <c r="O6542" s="475"/>
      <c r="P6542" s="475"/>
      <c r="Q6542" s="475"/>
      <c r="R6542" s="475"/>
      <c r="S6542" s="475"/>
      <c r="T6542" s="475"/>
      <c r="U6542" s="475"/>
      <c r="V6542" s="475"/>
      <c r="W6542" s="475"/>
    </row>
    <row r="6543" spans="2:23" s="97" customFormat="1">
      <c r="B6543" s="96"/>
      <c r="H6543" s="96"/>
      <c r="J6543" s="1"/>
      <c r="K6543" s="1"/>
      <c r="L6543" s="1"/>
      <c r="O6543" s="475"/>
      <c r="P6543" s="475"/>
      <c r="Q6543" s="475"/>
      <c r="R6543" s="475"/>
      <c r="S6543" s="475"/>
      <c r="T6543" s="475"/>
      <c r="U6543" s="475"/>
      <c r="V6543" s="475"/>
      <c r="W6543" s="475"/>
    </row>
    <row r="6544" spans="2:23" s="97" customFormat="1">
      <c r="B6544" s="96"/>
      <c r="H6544" s="96"/>
      <c r="J6544" s="1"/>
      <c r="K6544" s="1"/>
      <c r="L6544" s="1"/>
      <c r="O6544" s="475"/>
      <c r="P6544" s="475"/>
      <c r="Q6544" s="475"/>
      <c r="R6544" s="475"/>
      <c r="S6544" s="475"/>
      <c r="T6544" s="475"/>
      <c r="U6544" s="475"/>
      <c r="V6544" s="475"/>
      <c r="W6544" s="475"/>
    </row>
    <row r="6545" spans="2:23" s="97" customFormat="1">
      <c r="B6545" s="96"/>
      <c r="H6545" s="96"/>
      <c r="J6545" s="1"/>
      <c r="K6545" s="1"/>
      <c r="L6545" s="1"/>
      <c r="O6545" s="475"/>
      <c r="P6545" s="475"/>
      <c r="Q6545" s="475"/>
      <c r="R6545" s="475"/>
      <c r="S6545" s="475"/>
      <c r="T6545" s="475"/>
      <c r="U6545" s="475"/>
      <c r="V6545" s="475"/>
      <c r="W6545" s="475"/>
    </row>
    <row r="6546" spans="2:23" s="97" customFormat="1">
      <c r="B6546" s="96"/>
      <c r="H6546" s="96"/>
      <c r="J6546" s="1"/>
      <c r="K6546" s="1"/>
      <c r="L6546" s="1"/>
      <c r="O6546" s="475"/>
      <c r="P6546" s="475"/>
      <c r="Q6546" s="475"/>
      <c r="R6546" s="475"/>
      <c r="S6546" s="475"/>
      <c r="T6546" s="475"/>
      <c r="U6546" s="475"/>
      <c r="V6546" s="475"/>
      <c r="W6546" s="475"/>
    </row>
    <row r="6547" spans="2:23" s="97" customFormat="1">
      <c r="B6547" s="96"/>
      <c r="H6547" s="96"/>
      <c r="J6547" s="1"/>
      <c r="K6547" s="1"/>
      <c r="L6547" s="1"/>
      <c r="O6547" s="475"/>
      <c r="P6547" s="475"/>
      <c r="Q6547" s="475"/>
      <c r="R6547" s="475"/>
      <c r="S6547" s="475"/>
      <c r="T6547" s="475"/>
      <c r="U6547" s="475"/>
      <c r="V6547" s="475"/>
      <c r="W6547" s="475"/>
    </row>
    <row r="6548" spans="2:23" s="97" customFormat="1">
      <c r="B6548" s="96"/>
      <c r="H6548" s="96"/>
      <c r="J6548" s="1"/>
      <c r="K6548" s="1"/>
      <c r="L6548" s="1"/>
      <c r="O6548" s="475"/>
      <c r="P6548" s="475"/>
      <c r="Q6548" s="475"/>
      <c r="R6548" s="475"/>
      <c r="S6548" s="475"/>
      <c r="T6548" s="475"/>
      <c r="U6548" s="475"/>
      <c r="V6548" s="475"/>
      <c r="W6548" s="475"/>
    </row>
    <row r="6549" spans="2:23" s="97" customFormat="1">
      <c r="B6549" s="96"/>
      <c r="H6549" s="96"/>
      <c r="J6549" s="1"/>
      <c r="K6549" s="1"/>
      <c r="L6549" s="1"/>
      <c r="O6549" s="475"/>
      <c r="P6549" s="475"/>
      <c r="Q6549" s="475"/>
      <c r="R6549" s="475"/>
      <c r="S6549" s="475"/>
      <c r="T6549" s="475"/>
      <c r="U6549" s="475"/>
      <c r="V6549" s="475"/>
      <c r="W6549" s="475"/>
    </row>
    <row r="6550" spans="2:23" s="97" customFormat="1">
      <c r="B6550" s="96"/>
      <c r="H6550" s="96"/>
      <c r="J6550" s="1"/>
      <c r="K6550" s="1"/>
      <c r="L6550" s="1"/>
      <c r="O6550" s="475"/>
      <c r="P6550" s="475"/>
      <c r="Q6550" s="475"/>
      <c r="R6550" s="475"/>
      <c r="S6550" s="475"/>
      <c r="T6550" s="475"/>
      <c r="U6550" s="475"/>
      <c r="V6550" s="475"/>
      <c r="W6550" s="475"/>
    </row>
    <row r="6551" spans="2:23" s="97" customFormat="1">
      <c r="B6551" s="96"/>
      <c r="H6551" s="96"/>
      <c r="J6551" s="1"/>
      <c r="K6551" s="1"/>
      <c r="L6551" s="1"/>
      <c r="O6551" s="475"/>
      <c r="P6551" s="475"/>
      <c r="Q6551" s="475"/>
      <c r="R6551" s="475"/>
      <c r="S6551" s="475"/>
      <c r="T6551" s="475"/>
      <c r="U6551" s="475"/>
      <c r="V6551" s="475"/>
      <c r="W6551" s="475"/>
    </row>
    <row r="6552" spans="2:23" s="97" customFormat="1">
      <c r="B6552" s="96"/>
      <c r="H6552" s="96"/>
      <c r="J6552" s="1"/>
      <c r="K6552" s="1"/>
      <c r="L6552" s="1"/>
      <c r="O6552" s="475"/>
      <c r="P6552" s="475"/>
      <c r="Q6552" s="475"/>
      <c r="R6552" s="475"/>
      <c r="S6552" s="475"/>
      <c r="T6552" s="475"/>
      <c r="U6552" s="475"/>
      <c r="V6552" s="475"/>
      <c r="W6552" s="475"/>
    </row>
    <row r="6553" spans="2:23" s="97" customFormat="1">
      <c r="B6553" s="96"/>
      <c r="H6553" s="96"/>
      <c r="J6553" s="1"/>
      <c r="K6553" s="1"/>
      <c r="L6553" s="1"/>
      <c r="O6553" s="475"/>
      <c r="P6553" s="475"/>
      <c r="Q6553" s="475"/>
      <c r="R6553" s="475"/>
      <c r="S6553" s="475"/>
      <c r="T6553" s="475"/>
      <c r="U6553" s="475"/>
      <c r="V6553" s="475"/>
      <c r="W6553" s="475"/>
    </row>
    <row r="6554" spans="2:23" s="97" customFormat="1">
      <c r="B6554" s="96"/>
      <c r="H6554" s="96"/>
      <c r="J6554" s="1"/>
      <c r="K6554" s="1"/>
      <c r="L6554" s="1"/>
      <c r="O6554" s="475"/>
      <c r="P6554" s="475"/>
      <c r="Q6554" s="475"/>
      <c r="R6554" s="475"/>
      <c r="S6554" s="475"/>
      <c r="T6554" s="475"/>
      <c r="U6554" s="475"/>
      <c r="V6554" s="475"/>
      <c r="W6554" s="475"/>
    </row>
    <row r="6555" spans="2:23" s="97" customFormat="1">
      <c r="B6555" s="96"/>
      <c r="H6555" s="96"/>
      <c r="J6555" s="1"/>
      <c r="K6555" s="1"/>
      <c r="L6555" s="1"/>
      <c r="O6555" s="475"/>
      <c r="P6555" s="475"/>
      <c r="Q6555" s="475"/>
      <c r="R6555" s="475"/>
      <c r="S6555" s="475"/>
      <c r="T6555" s="475"/>
      <c r="U6555" s="475"/>
      <c r="V6555" s="475"/>
      <c r="W6555" s="475"/>
    </row>
    <row r="6556" spans="2:23" s="97" customFormat="1">
      <c r="B6556" s="96"/>
      <c r="H6556" s="96"/>
      <c r="J6556" s="1"/>
      <c r="K6556" s="1"/>
      <c r="L6556" s="1"/>
      <c r="O6556" s="475"/>
      <c r="P6556" s="475"/>
      <c r="Q6556" s="475"/>
      <c r="R6556" s="475"/>
      <c r="S6556" s="475"/>
      <c r="T6556" s="475"/>
      <c r="U6556" s="475"/>
      <c r="V6556" s="475"/>
      <c r="W6556" s="475"/>
    </row>
    <row r="6557" spans="2:23" s="97" customFormat="1">
      <c r="B6557" s="96"/>
      <c r="H6557" s="96"/>
      <c r="J6557" s="1"/>
      <c r="K6557" s="1"/>
      <c r="L6557" s="1"/>
      <c r="O6557" s="475"/>
      <c r="P6557" s="475"/>
      <c r="Q6557" s="475"/>
      <c r="R6557" s="475"/>
      <c r="S6557" s="475"/>
      <c r="T6557" s="475"/>
      <c r="U6557" s="475"/>
      <c r="V6557" s="475"/>
      <c r="W6557" s="475"/>
    </row>
    <row r="6558" spans="2:23" s="97" customFormat="1">
      <c r="B6558" s="96"/>
      <c r="H6558" s="96"/>
      <c r="J6558" s="1"/>
      <c r="K6558" s="1"/>
      <c r="L6558" s="1"/>
      <c r="O6558" s="475"/>
      <c r="P6558" s="475"/>
      <c r="Q6558" s="475"/>
      <c r="R6558" s="475"/>
      <c r="S6558" s="475"/>
      <c r="T6558" s="475"/>
      <c r="U6558" s="475"/>
      <c r="V6558" s="475"/>
      <c r="W6558" s="475"/>
    </row>
    <row r="6559" spans="2:23" s="97" customFormat="1">
      <c r="B6559" s="96"/>
      <c r="H6559" s="96"/>
      <c r="J6559" s="1"/>
      <c r="K6559" s="1"/>
      <c r="L6559" s="1"/>
      <c r="O6559" s="475"/>
      <c r="P6559" s="475"/>
      <c r="Q6559" s="475"/>
      <c r="R6559" s="475"/>
      <c r="S6559" s="475"/>
      <c r="T6559" s="475"/>
      <c r="U6559" s="475"/>
      <c r="V6559" s="475"/>
      <c r="W6559" s="475"/>
    </row>
    <row r="6560" spans="2:23" s="97" customFormat="1">
      <c r="B6560" s="96"/>
      <c r="H6560" s="96"/>
      <c r="J6560" s="1"/>
      <c r="K6560" s="1"/>
      <c r="L6560" s="1"/>
      <c r="O6560" s="475"/>
      <c r="P6560" s="475"/>
      <c r="Q6560" s="475"/>
      <c r="R6560" s="475"/>
      <c r="S6560" s="475"/>
      <c r="T6560" s="475"/>
      <c r="U6560" s="475"/>
      <c r="V6560" s="475"/>
      <c r="W6560" s="475"/>
    </row>
    <row r="6561" spans="2:23" s="97" customFormat="1">
      <c r="B6561" s="96"/>
      <c r="H6561" s="96"/>
      <c r="J6561" s="1"/>
      <c r="K6561" s="1"/>
      <c r="L6561" s="1"/>
      <c r="O6561" s="475"/>
      <c r="P6561" s="475"/>
      <c r="Q6561" s="475"/>
      <c r="R6561" s="475"/>
      <c r="S6561" s="475"/>
      <c r="T6561" s="475"/>
      <c r="U6561" s="475"/>
      <c r="V6561" s="475"/>
      <c r="W6561" s="475"/>
    </row>
    <row r="6562" spans="2:23" s="97" customFormat="1">
      <c r="B6562" s="96"/>
      <c r="H6562" s="96"/>
      <c r="J6562" s="1"/>
      <c r="K6562" s="1"/>
      <c r="L6562" s="1"/>
      <c r="O6562" s="475"/>
      <c r="P6562" s="475"/>
      <c r="Q6562" s="475"/>
      <c r="R6562" s="475"/>
      <c r="S6562" s="475"/>
      <c r="T6562" s="475"/>
      <c r="U6562" s="475"/>
      <c r="V6562" s="475"/>
      <c r="W6562" s="475"/>
    </row>
    <row r="6563" spans="2:23" s="97" customFormat="1">
      <c r="B6563" s="96"/>
      <c r="H6563" s="96"/>
      <c r="J6563" s="1"/>
      <c r="K6563" s="1"/>
      <c r="L6563" s="1"/>
      <c r="O6563" s="475"/>
      <c r="P6563" s="475"/>
      <c r="Q6563" s="475"/>
      <c r="R6563" s="475"/>
      <c r="S6563" s="475"/>
      <c r="T6563" s="475"/>
      <c r="U6563" s="475"/>
      <c r="V6563" s="475"/>
      <c r="W6563" s="475"/>
    </row>
    <row r="6564" spans="2:23" s="97" customFormat="1">
      <c r="B6564" s="96"/>
      <c r="H6564" s="96"/>
      <c r="J6564" s="1"/>
      <c r="K6564" s="1"/>
      <c r="L6564" s="1"/>
      <c r="O6564" s="475"/>
      <c r="P6564" s="475"/>
      <c r="Q6564" s="475"/>
      <c r="R6564" s="475"/>
      <c r="S6564" s="475"/>
      <c r="T6564" s="475"/>
      <c r="U6564" s="475"/>
      <c r="V6564" s="475"/>
      <c r="W6564" s="475"/>
    </row>
    <row r="6565" spans="2:23" s="97" customFormat="1">
      <c r="B6565" s="96"/>
      <c r="H6565" s="96"/>
      <c r="J6565" s="1"/>
      <c r="K6565" s="1"/>
      <c r="L6565" s="1"/>
      <c r="O6565" s="475"/>
      <c r="P6565" s="475"/>
      <c r="Q6565" s="475"/>
      <c r="R6565" s="475"/>
      <c r="S6565" s="475"/>
      <c r="T6565" s="475"/>
      <c r="U6565" s="475"/>
      <c r="V6565" s="475"/>
      <c r="W6565" s="475"/>
    </row>
    <row r="6566" spans="2:23" s="97" customFormat="1">
      <c r="B6566" s="96"/>
      <c r="H6566" s="96"/>
      <c r="J6566" s="1"/>
      <c r="K6566" s="1"/>
      <c r="L6566" s="1"/>
      <c r="O6566" s="475"/>
      <c r="P6566" s="475"/>
      <c r="Q6566" s="475"/>
      <c r="R6566" s="475"/>
      <c r="S6566" s="475"/>
      <c r="T6566" s="475"/>
      <c r="U6566" s="475"/>
      <c r="V6566" s="475"/>
      <c r="W6566" s="475"/>
    </row>
    <row r="6567" spans="2:23" s="97" customFormat="1">
      <c r="B6567" s="96"/>
      <c r="H6567" s="96"/>
      <c r="J6567" s="1"/>
      <c r="K6567" s="1"/>
      <c r="L6567" s="1"/>
      <c r="O6567" s="475"/>
      <c r="P6567" s="475"/>
      <c r="Q6567" s="475"/>
      <c r="R6567" s="475"/>
      <c r="S6567" s="475"/>
      <c r="T6567" s="475"/>
      <c r="U6567" s="475"/>
      <c r="V6567" s="475"/>
      <c r="W6567" s="475"/>
    </row>
    <row r="6568" spans="2:23" s="97" customFormat="1">
      <c r="B6568" s="96"/>
      <c r="H6568" s="96"/>
      <c r="J6568" s="1"/>
      <c r="K6568" s="1"/>
      <c r="L6568" s="1"/>
      <c r="O6568" s="475"/>
      <c r="P6568" s="475"/>
      <c r="Q6568" s="475"/>
      <c r="R6568" s="475"/>
      <c r="S6568" s="475"/>
      <c r="T6568" s="475"/>
      <c r="U6568" s="475"/>
      <c r="V6568" s="475"/>
      <c r="W6568" s="475"/>
    </row>
    <row r="6569" spans="2:23" s="97" customFormat="1">
      <c r="B6569" s="96"/>
      <c r="H6569" s="96"/>
      <c r="J6569" s="1"/>
      <c r="K6569" s="1"/>
      <c r="L6569" s="1"/>
      <c r="O6569" s="475"/>
      <c r="P6569" s="475"/>
      <c r="Q6569" s="475"/>
      <c r="R6569" s="475"/>
      <c r="S6569" s="475"/>
      <c r="T6569" s="475"/>
      <c r="U6569" s="475"/>
      <c r="V6569" s="475"/>
      <c r="W6569" s="475"/>
    </row>
    <row r="6570" spans="2:23" s="97" customFormat="1">
      <c r="B6570" s="96"/>
      <c r="H6570" s="96"/>
      <c r="J6570" s="1"/>
      <c r="K6570" s="1"/>
      <c r="L6570" s="1"/>
      <c r="O6570" s="475"/>
      <c r="P6570" s="475"/>
      <c r="Q6570" s="475"/>
      <c r="R6570" s="475"/>
      <c r="S6570" s="475"/>
      <c r="T6570" s="475"/>
      <c r="U6570" s="475"/>
      <c r="V6570" s="475"/>
      <c r="W6570" s="475"/>
    </row>
    <row r="6571" spans="2:23" s="97" customFormat="1">
      <c r="B6571" s="96"/>
      <c r="H6571" s="96"/>
      <c r="J6571" s="1"/>
      <c r="K6571" s="1"/>
      <c r="L6571" s="1"/>
      <c r="O6571" s="475"/>
      <c r="P6571" s="475"/>
      <c r="Q6571" s="475"/>
      <c r="R6571" s="475"/>
      <c r="S6571" s="475"/>
      <c r="T6571" s="475"/>
      <c r="U6571" s="475"/>
      <c r="V6571" s="475"/>
      <c r="W6571" s="475"/>
    </row>
    <row r="6572" spans="2:23" s="97" customFormat="1">
      <c r="B6572" s="96"/>
      <c r="H6572" s="96"/>
      <c r="J6572" s="1"/>
      <c r="K6572" s="1"/>
      <c r="L6572" s="1"/>
      <c r="O6572" s="475"/>
      <c r="P6572" s="475"/>
      <c r="Q6572" s="475"/>
      <c r="R6572" s="475"/>
      <c r="S6572" s="475"/>
      <c r="T6572" s="475"/>
      <c r="U6572" s="475"/>
      <c r="V6572" s="475"/>
      <c r="W6572" s="475"/>
    </row>
    <row r="6573" spans="2:23" s="97" customFormat="1">
      <c r="B6573" s="96"/>
      <c r="H6573" s="96"/>
      <c r="J6573" s="1"/>
      <c r="K6573" s="1"/>
      <c r="L6573" s="1"/>
      <c r="O6573" s="475"/>
      <c r="P6573" s="475"/>
      <c r="Q6573" s="475"/>
      <c r="R6573" s="475"/>
      <c r="S6573" s="475"/>
      <c r="T6573" s="475"/>
      <c r="U6573" s="475"/>
      <c r="V6573" s="475"/>
      <c r="W6573" s="475"/>
    </row>
    <row r="6574" spans="2:23" s="97" customFormat="1">
      <c r="B6574" s="96"/>
      <c r="H6574" s="96"/>
      <c r="J6574" s="1"/>
      <c r="K6574" s="1"/>
      <c r="L6574" s="1"/>
      <c r="O6574" s="475"/>
      <c r="P6574" s="475"/>
      <c r="Q6574" s="475"/>
      <c r="R6574" s="475"/>
      <c r="S6574" s="475"/>
      <c r="T6574" s="475"/>
      <c r="U6574" s="475"/>
      <c r="V6574" s="475"/>
      <c r="W6574" s="475"/>
    </row>
    <row r="6575" spans="2:23" s="97" customFormat="1">
      <c r="B6575" s="96"/>
      <c r="H6575" s="96"/>
      <c r="J6575" s="1"/>
      <c r="K6575" s="1"/>
      <c r="L6575" s="1"/>
      <c r="O6575" s="475"/>
      <c r="P6575" s="475"/>
      <c r="Q6575" s="475"/>
      <c r="R6575" s="475"/>
      <c r="S6575" s="475"/>
      <c r="T6575" s="475"/>
      <c r="U6575" s="475"/>
      <c r="V6575" s="475"/>
      <c r="W6575" s="475"/>
    </row>
    <row r="6576" spans="2:23" s="97" customFormat="1">
      <c r="B6576" s="96"/>
      <c r="H6576" s="96"/>
      <c r="J6576" s="1"/>
      <c r="K6576" s="1"/>
      <c r="L6576" s="1"/>
      <c r="O6576" s="475"/>
      <c r="P6576" s="475"/>
      <c r="Q6576" s="475"/>
      <c r="R6576" s="475"/>
      <c r="S6576" s="475"/>
      <c r="T6576" s="475"/>
      <c r="U6576" s="475"/>
      <c r="V6576" s="475"/>
      <c r="W6576" s="475"/>
    </row>
    <row r="6577" spans="2:23" s="97" customFormat="1">
      <c r="B6577" s="96"/>
      <c r="H6577" s="96"/>
      <c r="J6577" s="1"/>
      <c r="K6577" s="1"/>
      <c r="L6577" s="1"/>
      <c r="O6577" s="475"/>
      <c r="P6577" s="475"/>
      <c r="Q6577" s="475"/>
      <c r="R6577" s="475"/>
      <c r="S6577" s="475"/>
      <c r="T6577" s="475"/>
      <c r="U6577" s="475"/>
      <c r="V6577" s="475"/>
      <c r="W6577" s="475"/>
    </row>
    <row r="6578" spans="2:23" s="97" customFormat="1">
      <c r="B6578" s="96"/>
      <c r="H6578" s="96"/>
      <c r="J6578" s="1"/>
      <c r="K6578" s="1"/>
      <c r="L6578" s="1"/>
      <c r="O6578" s="475"/>
      <c r="P6578" s="475"/>
      <c r="Q6578" s="475"/>
      <c r="R6578" s="475"/>
      <c r="S6578" s="475"/>
      <c r="T6578" s="475"/>
      <c r="U6578" s="475"/>
      <c r="V6578" s="475"/>
      <c r="W6578" s="475"/>
    </row>
    <row r="6579" spans="2:23" s="97" customFormat="1">
      <c r="B6579" s="96"/>
      <c r="H6579" s="96"/>
      <c r="J6579" s="1"/>
      <c r="K6579" s="1"/>
      <c r="L6579" s="1"/>
      <c r="O6579" s="475"/>
      <c r="P6579" s="475"/>
      <c r="Q6579" s="475"/>
      <c r="R6579" s="475"/>
      <c r="S6579" s="475"/>
      <c r="T6579" s="475"/>
      <c r="U6579" s="475"/>
      <c r="V6579" s="475"/>
      <c r="W6579" s="475"/>
    </row>
    <row r="6580" spans="2:23" s="97" customFormat="1">
      <c r="B6580" s="96"/>
      <c r="H6580" s="96"/>
      <c r="J6580" s="1"/>
      <c r="K6580" s="1"/>
      <c r="L6580" s="1"/>
      <c r="O6580" s="475"/>
      <c r="P6580" s="475"/>
      <c r="Q6580" s="475"/>
      <c r="R6580" s="475"/>
      <c r="S6580" s="475"/>
      <c r="T6580" s="475"/>
      <c r="U6580" s="475"/>
      <c r="V6580" s="475"/>
      <c r="W6580" s="475"/>
    </row>
    <row r="6581" spans="2:23" s="97" customFormat="1">
      <c r="B6581" s="96"/>
      <c r="H6581" s="96"/>
      <c r="J6581" s="1"/>
      <c r="K6581" s="1"/>
      <c r="L6581" s="1"/>
      <c r="O6581" s="475"/>
      <c r="P6581" s="475"/>
      <c r="Q6581" s="475"/>
      <c r="R6581" s="475"/>
      <c r="S6581" s="475"/>
      <c r="T6581" s="475"/>
      <c r="U6581" s="475"/>
      <c r="V6581" s="475"/>
      <c r="W6581" s="475"/>
    </row>
    <row r="6582" spans="2:23" s="97" customFormat="1">
      <c r="B6582" s="96"/>
      <c r="H6582" s="96"/>
      <c r="J6582" s="1"/>
      <c r="K6582" s="1"/>
      <c r="L6582" s="1"/>
      <c r="O6582" s="475"/>
      <c r="P6582" s="475"/>
      <c r="Q6582" s="475"/>
      <c r="R6582" s="475"/>
      <c r="S6582" s="475"/>
      <c r="T6582" s="475"/>
      <c r="U6582" s="475"/>
      <c r="V6582" s="475"/>
      <c r="W6582" s="475"/>
    </row>
    <row r="6583" spans="2:23" s="97" customFormat="1">
      <c r="B6583" s="96"/>
      <c r="H6583" s="96"/>
      <c r="J6583" s="1"/>
      <c r="K6583" s="1"/>
      <c r="L6583" s="1"/>
      <c r="O6583" s="475"/>
      <c r="P6583" s="475"/>
      <c r="Q6583" s="475"/>
      <c r="R6583" s="475"/>
      <c r="S6583" s="475"/>
      <c r="T6583" s="475"/>
      <c r="U6583" s="475"/>
      <c r="V6583" s="475"/>
      <c r="W6583" s="475"/>
    </row>
    <row r="6584" spans="2:23" s="97" customFormat="1">
      <c r="B6584" s="96"/>
      <c r="H6584" s="96"/>
      <c r="J6584" s="1"/>
      <c r="K6584" s="1"/>
      <c r="L6584" s="1"/>
      <c r="O6584" s="475"/>
      <c r="P6584" s="475"/>
      <c r="Q6584" s="475"/>
      <c r="R6584" s="475"/>
      <c r="S6584" s="475"/>
      <c r="T6584" s="475"/>
      <c r="U6584" s="475"/>
      <c r="V6584" s="475"/>
      <c r="W6584" s="475"/>
    </row>
    <row r="6585" spans="2:23" s="97" customFormat="1">
      <c r="B6585" s="96"/>
      <c r="H6585" s="96"/>
      <c r="J6585" s="1"/>
      <c r="K6585" s="1"/>
      <c r="L6585" s="1"/>
      <c r="O6585" s="475"/>
      <c r="P6585" s="475"/>
      <c r="Q6585" s="475"/>
      <c r="R6585" s="475"/>
      <c r="S6585" s="475"/>
      <c r="T6585" s="475"/>
      <c r="U6585" s="475"/>
      <c r="V6585" s="475"/>
      <c r="W6585" s="475"/>
    </row>
    <row r="6586" spans="2:23" s="97" customFormat="1">
      <c r="B6586" s="96"/>
      <c r="H6586" s="96"/>
      <c r="J6586" s="1"/>
      <c r="K6586" s="1"/>
      <c r="L6586" s="1"/>
      <c r="O6586" s="475"/>
      <c r="P6586" s="475"/>
      <c r="Q6586" s="475"/>
      <c r="R6586" s="475"/>
      <c r="S6586" s="475"/>
      <c r="T6586" s="475"/>
      <c r="U6586" s="475"/>
      <c r="V6586" s="475"/>
      <c r="W6586" s="475"/>
    </row>
    <row r="6587" spans="2:23" s="97" customFormat="1">
      <c r="B6587" s="96"/>
      <c r="H6587" s="96"/>
      <c r="J6587" s="1"/>
      <c r="K6587" s="1"/>
      <c r="L6587" s="1"/>
      <c r="O6587" s="475"/>
      <c r="P6587" s="475"/>
      <c r="Q6587" s="475"/>
      <c r="R6587" s="475"/>
      <c r="S6587" s="475"/>
      <c r="T6587" s="475"/>
      <c r="U6587" s="475"/>
      <c r="V6587" s="475"/>
      <c r="W6587" s="475"/>
    </row>
    <row r="6588" spans="2:23" s="97" customFormat="1">
      <c r="B6588" s="96"/>
      <c r="H6588" s="96"/>
      <c r="J6588" s="1"/>
      <c r="K6588" s="1"/>
      <c r="L6588" s="1"/>
      <c r="O6588" s="475"/>
      <c r="P6588" s="475"/>
      <c r="Q6588" s="475"/>
      <c r="R6588" s="475"/>
      <c r="S6588" s="475"/>
      <c r="T6588" s="475"/>
      <c r="U6588" s="475"/>
      <c r="V6588" s="475"/>
      <c r="W6588" s="475"/>
    </row>
    <row r="6589" spans="2:23" s="97" customFormat="1">
      <c r="B6589" s="96"/>
      <c r="H6589" s="96"/>
      <c r="J6589" s="1"/>
      <c r="K6589" s="1"/>
      <c r="L6589" s="1"/>
      <c r="O6589" s="475"/>
      <c r="P6589" s="475"/>
      <c r="Q6589" s="475"/>
      <c r="R6589" s="475"/>
      <c r="S6589" s="475"/>
      <c r="T6589" s="475"/>
      <c r="U6589" s="475"/>
      <c r="V6589" s="475"/>
      <c r="W6589" s="475"/>
    </row>
    <row r="6590" spans="2:23" s="97" customFormat="1">
      <c r="B6590" s="96"/>
      <c r="H6590" s="96"/>
      <c r="J6590" s="1"/>
      <c r="K6590" s="1"/>
      <c r="L6590" s="1"/>
      <c r="O6590" s="475"/>
      <c r="P6590" s="475"/>
      <c r="Q6590" s="475"/>
      <c r="R6590" s="475"/>
      <c r="S6590" s="475"/>
      <c r="T6590" s="475"/>
      <c r="U6590" s="475"/>
      <c r="V6590" s="475"/>
      <c r="W6590" s="475"/>
    </row>
    <row r="6591" spans="2:23" s="97" customFormat="1">
      <c r="B6591" s="96"/>
      <c r="H6591" s="96"/>
      <c r="J6591" s="1"/>
      <c r="K6591" s="1"/>
      <c r="L6591" s="1"/>
      <c r="O6591" s="475"/>
      <c r="P6591" s="475"/>
      <c r="Q6591" s="475"/>
      <c r="R6591" s="475"/>
      <c r="S6591" s="475"/>
      <c r="T6591" s="475"/>
      <c r="U6591" s="475"/>
      <c r="V6591" s="475"/>
      <c r="W6591" s="475"/>
    </row>
    <row r="6592" spans="2:23" s="97" customFormat="1">
      <c r="B6592" s="96"/>
      <c r="H6592" s="96"/>
      <c r="J6592" s="1"/>
      <c r="K6592" s="1"/>
      <c r="L6592" s="1"/>
      <c r="O6592" s="475"/>
      <c r="P6592" s="475"/>
      <c r="Q6592" s="475"/>
      <c r="R6592" s="475"/>
      <c r="S6592" s="475"/>
      <c r="T6592" s="475"/>
      <c r="U6592" s="475"/>
      <c r="V6592" s="475"/>
      <c r="W6592" s="475"/>
    </row>
    <row r="6593" spans="2:23" s="97" customFormat="1">
      <c r="B6593" s="96"/>
      <c r="H6593" s="96"/>
      <c r="J6593" s="1"/>
      <c r="K6593" s="1"/>
      <c r="L6593" s="1"/>
      <c r="O6593" s="475"/>
      <c r="P6593" s="475"/>
      <c r="Q6593" s="475"/>
      <c r="R6593" s="475"/>
      <c r="S6593" s="475"/>
      <c r="T6593" s="475"/>
      <c r="U6593" s="475"/>
      <c r="V6593" s="475"/>
      <c r="W6593" s="475"/>
    </row>
    <row r="6594" spans="2:23" s="97" customFormat="1">
      <c r="B6594" s="96"/>
      <c r="H6594" s="96"/>
      <c r="J6594" s="1"/>
      <c r="K6594" s="1"/>
      <c r="L6594" s="1"/>
      <c r="O6594" s="475"/>
      <c r="P6594" s="475"/>
      <c r="Q6594" s="475"/>
      <c r="R6594" s="475"/>
      <c r="S6594" s="475"/>
      <c r="T6594" s="475"/>
      <c r="U6594" s="475"/>
      <c r="V6594" s="475"/>
      <c r="W6594" s="475"/>
    </row>
    <row r="6595" spans="2:23" s="97" customFormat="1">
      <c r="B6595" s="96"/>
      <c r="H6595" s="96"/>
      <c r="J6595" s="1"/>
      <c r="K6595" s="1"/>
      <c r="L6595" s="1"/>
      <c r="O6595" s="475"/>
      <c r="P6595" s="475"/>
      <c r="Q6595" s="475"/>
      <c r="R6595" s="475"/>
      <c r="S6595" s="475"/>
      <c r="T6595" s="475"/>
      <c r="U6595" s="475"/>
      <c r="V6595" s="475"/>
      <c r="W6595" s="475"/>
    </row>
    <row r="6596" spans="2:23" s="97" customFormat="1">
      <c r="B6596" s="96"/>
      <c r="H6596" s="96"/>
      <c r="J6596" s="1"/>
      <c r="K6596" s="1"/>
      <c r="L6596" s="1"/>
      <c r="O6596" s="475"/>
      <c r="P6596" s="475"/>
      <c r="Q6596" s="475"/>
      <c r="R6596" s="475"/>
      <c r="S6596" s="475"/>
      <c r="T6596" s="475"/>
      <c r="U6596" s="475"/>
      <c r="V6596" s="475"/>
      <c r="W6596" s="475"/>
    </row>
    <row r="6597" spans="2:23" s="97" customFormat="1">
      <c r="B6597" s="96"/>
      <c r="H6597" s="96"/>
      <c r="J6597" s="1"/>
      <c r="K6597" s="1"/>
      <c r="L6597" s="1"/>
      <c r="O6597" s="475"/>
      <c r="P6597" s="475"/>
      <c r="Q6597" s="475"/>
      <c r="R6597" s="475"/>
      <c r="S6597" s="475"/>
      <c r="T6597" s="475"/>
      <c r="U6597" s="475"/>
      <c r="V6597" s="475"/>
      <c r="W6597" s="475"/>
    </row>
    <row r="6598" spans="2:23" s="97" customFormat="1">
      <c r="B6598" s="96"/>
      <c r="H6598" s="96"/>
      <c r="J6598" s="1"/>
      <c r="K6598" s="1"/>
      <c r="L6598" s="1"/>
      <c r="O6598" s="475"/>
      <c r="P6598" s="475"/>
      <c r="Q6598" s="475"/>
      <c r="R6598" s="475"/>
      <c r="S6598" s="475"/>
      <c r="T6598" s="475"/>
      <c r="U6598" s="475"/>
      <c r="V6598" s="475"/>
      <c r="W6598" s="475"/>
    </row>
    <row r="6599" spans="2:23" s="97" customFormat="1">
      <c r="B6599" s="96"/>
      <c r="H6599" s="96"/>
      <c r="J6599" s="1"/>
      <c r="K6599" s="1"/>
      <c r="L6599" s="1"/>
      <c r="O6599" s="475"/>
      <c r="P6599" s="475"/>
      <c r="Q6599" s="475"/>
      <c r="R6599" s="475"/>
      <c r="S6599" s="475"/>
      <c r="T6599" s="475"/>
      <c r="U6599" s="475"/>
      <c r="V6599" s="475"/>
      <c r="W6599" s="475"/>
    </row>
    <row r="6600" spans="2:23" s="97" customFormat="1">
      <c r="B6600" s="96"/>
      <c r="H6600" s="96"/>
      <c r="J6600" s="1"/>
      <c r="K6600" s="1"/>
      <c r="L6600" s="1"/>
      <c r="O6600" s="475"/>
      <c r="P6600" s="475"/>
      <c r="Q6600" s="475"/>
      <c r="R6600" s="475"/>
      <c r="S6600" s="475"/>
      <c r="T6600" s="475"/>
      <c r="U6600" s="475"/>
      <c r="V6600" s="475"/>
      <c r="W6600" s="475"/>
    </row>
    <row r="6601" spans="2:23" s="97" customFormat="1">
      <c r="B6601" s="96"/>
      <c r="H6601" s="96"/>
      <c r="J6601" s="1"/>
      <c r="K6601" s="1"/>
      <c r="L6601" s="1"/>
      <c r="O6601" s="475"/>
      <c r="P6601" s="475"/>
      <c r="Q6601" s="475"/>
      <c r="R6601" s="475"/>
      <c r="S6601" s="475"/>
      <c r="T6601" s="475"/>
      <c r="U6601" s="475"/>
      <c r="V6601" s="475"/>
      <c r="W6601" s="475"/>
    </row>
    <row r="6602" spans="2:23" s="97" customFormat="1">
      <c r="B6602" s="96"/>
      <c r="H6602" s="96"/>
      <c r="J6602" s="1"/>
      <c r="K6602" s="1"/>
      <c r="L6602" s="1"/>
      <c r="O6602" s="475"/>
      <c r="P6602" s="475"/>
      <c r="Q6602" s="475"/>
      <c r="R6602" s="475"/>
      <c r="S6602" s="475"/>
      <c r="T6602" s="475"/>
      <c r="U6602" s="475"/>
      <c r="V6602" s="475"/>
      <c r="W6602" s="475"/>
    </row>
    <row r="6603" spans="2:23" s="97" customFormat="1">
      <c r="B6603" s="96"/>
      <c r="H6603" s="96"/>
      <c r="J6603" s="1"/>
      <c r="K6603" s="1"/>
      <c r="L6603" s="1"/>
      <c r="O6603" s="475"/>
      <c r="P6603" s="475"/>
      <c r="Q6603" s="475"/>
      <c r="R6603" s="475"/>
      <c r="S6603" s="475"/>
      <c r="T6603" s="475"/>
      <c r="U6603" s="475"/>
      <c r="V6603" s="475"/>
      <c r="W6603" s="475"/>
    </row>
    <row r="6604" spans="2:23" s="97" customFormat="1">
      <c r="B6604" s="96"/>
      <c r="H6604" s="96"/>
      <c r="J6604" s="1"/>
      <c r="K6604" s="1"/>
      <c r="L6604" s="1"/>
      <c r="O6604" s="475"/>
      <c r="P6604" s="475"/>
      <c r="Q6604" s="475"/>
      <c r="R6604" s="475"/>
      <c r="S6604" s="475"/>
      <c r="T6604" s="475"/>
      <c r="U6604" s="475"/>
      <c r="V6604" s="475"/>
      <c r="W6604" s="475"/>
    </row>
    <row r="6605" spans="2:23" s="97" customFormat="1">
      <c r="B6605" s="96"/>
      <c r="H6605" s="96"/>
      <c r="J6605" s="1"/>
      <c r="K6605" s="1"/>
      <c r="L6605" s="1"/>
      <c r="O6605" s="475"/>
      <c r="P6605" s="475"/>
      <c r="Q6605" s="475"/>
      <c r="R6605" s="475"/>
      <c r="S6605" s="475"/>
      <c r="T6605" s="475"/>
      <c r="U6605" s="475"/>
      <c r="V6605" s="475"/>
      <c r="W6605" s="475"/>
    </row>
    <row r="6606" spans="2:23" s="97" customFormat="1">
      <c r="B6606" s="96"/>
      <c r="H6606" s="96"/>
      <c r="J6606" s="1"/>
      <c r="K6606" s="1"/>
      <c r="L6606" s="1"/>
      <c r="O6606" s="475"/>
      <c r="P6606" s="475"/>
      <c r="Q6606" s="475"/>
      <c r="R6606" s="475"/>
      <c r="S6606" s="475"/>
      <c r="T6606" s="475"/>
      <c r="U6606" s="475"/>
      <c r="V6606" s="475"/>
      <c r="W6606" s="475"/>
    </row>
    <row r="6607" spans="2:23" s="97" customFormat="1">
      <c r="B6607" s="96"/>
      <c r="H6607" s="96"/>
      <c r="J6607" s="1"/>
      <c r="K6607" s="1"/>
      <c r="L6607" s="1"/>
      <c r="O6607" s="475"/>
      <c r="P6607" s="475"/>
      <c r="Q6607" s="475"/>
      <c r="R6607" s="475"/>
      <c r="S6607" s="475"/>
      <c r="T6607" s="475"/>
      <c r="U6607" s="475"/>
      <c r="V6607" s="475"/>
      <c r="W6607" s="475"/>
    </row>
    <row r="6608" spans="2:23" s="97" customFormat="1">
      <c r="B6608" s="96"/>
      <c r="H6608" s="96"/>
      <c r="J6608" s="1"/>
      <c r="K6608" s="1"/>
      <c r="L6608" s="1"/>
      <c r="O6608" s="475"/>
      <c r="P6608" s="475"/>
      <c r="Q6608" s="475"/>
      <c r="R6608" s="475"/>
      <c r="S6608" s="475"/>
      <c r="T6608" s="475"/>
      <c r="U6608" s="475"/>
      <c r="V6608" s="475"/>
      <c r="W6608" s="475"/>
    </row>
    <row r="6609" spans="2:23" s="97" customFormat="1">
      <c r="B6609" s="96"/>
      <c r="H6609" s="96"/>
      <c r="J6609" s="1"/>
      <c r="K6609" s="1"/>
      <c r="L6609" s="1"/>
      <c r="O6609" s="475"/>
      <c r="P6609" s="475"/>
      <c r="Q6609" s="475"/>
      <c r="R6609" s="475"/>
      <c r="S6609" s="475"/>
      <c r="T6609" s="475"/>
      <c r="U6609" s="475"/>
      <c r="V6609" s="475"/>
      <c r="W6609" s="475"/>
    </row>
    <row r="6610" spans="2:23" s="97" customFormat="1">
      <c r="B6610" s="96"/>
      <c r="H6610" s="96"/>
      <c r="J6610" s="1"/>
      <c r="K6610" s="1"/>
      <c r="L6610" s="1"/>
      <c r="O6610" s="475"/>
      <c r="P6610" s="475"/>
      <c r="Q6610" s="475"/>
      <c r="R6610" s="475"/>
      <c r="S6610" s="475"/>
      <c r="T6610" s="475"/>
      <c r="U6610" s="475"/>
      <c r="V6610" s="475"/>
      <c r="W6610" s="475"/>
    </row>
    <row r="6611" spans="2:23" s="97" customFormat="1">
      <c r="B6611" s="96"/>
      <c r="H6611" s="96"/>
      <c r="J6611" s="1"/>
      <c r="K6611" s="1"/>
      <c r="L6611" s="1"/>
      <c r="O6611" s="475"/>
      <c r="P6611" s="475"/>
      <c r="Q6611" s="475"/>
      <c r="R6611" s="475"/>
      <c r="S6611" s="475"/>
      <c r="T6611" s="475"/>
      <c r="U6611" s="475"/>
      <c r="V6611" s="475"/>
      <c r="W6611" s="475"/>
    </row>
    <row r="6612" spans="2:23" s="97" customFormat="1">
      <c r="B6612" s="96"/>
      <c r="H6612" s="96"/>
      <c r="J6612" s="1"/>
      <c r="K6612" s="1"/>
      <c r="L6612" s="1"/>
      <c r="O6612" s="475"/>
      <c r="P6612" s="475"/>
      <c r="Q6612" s="475"/>
      <c r="R6612" s="475"/>
      <c r="S6612" s="475"/>
      <c r="T6612" s="475"/>
      <c r="U6612" s="475"/>
      <c r="V6612" s="475"/>
      <c r="W6612" s="475"/>
    </row>
    <row r="6613" spans="2:23" s="97" customFormat="1">
      <c r="B6613" s="96"/>
      <c r="H6613" s="96"/>
      <c r="J6613" s="1"/>
      <c r="K6613" s="1"/>
      <c r="L6613" s="1"/>
      <c r="O6613" s="475"/>
      <c r="P6613" s="475"/>
      <c r="Q6613" s="475"/>
      <c r="R6613" s="475"/>
      <c r="S6613" s="475"/>
      <c r="T6613" s="475"/>
      <c r="U6613" s="475"/>
      <c r="V6613" s="475"/>
      <c r="W6613" s="475"/>
    </row>
    <row r="6614" spans="2:23" s="97" customFormat="1">
      <c r="B6614" s="96"/>
      <c r="H6614" s="96"/>
      <c r="J6614" s="1"/>
      <c r="K6614" s="1"/>
      <c r="L6614" s="1"/>
      <c r="O6614" s="475"/>
      <c r="P6614" s="475"/>
      <c r="Q6614" s="475"/>
      <c r="R6614" s="475"/>
      <c r="S6614" s="475"/>
      <c r="T6614" s="475"/>
      <c r="U6614" s="475"/>
      <c r="V6614" s="475"/>
      <c r="W6614" s="475"/>
    </row>
    <row r="6615" spans="2:23" s="97" customFormat="1">
      <c r="B6615" s="96"/>
      <c r="H6615" s="96"/>
      <c r="J6615" s="1"/>
      <c r="K6615" s="1"/>
      <c r="L6615" s="1"/>
      <c r="O6615" s="475"/>
      <c r="P6615" s="475"/>
      <c r="Q6615" s="475"/>
      <c r="R6615" s="475"/>
      <c r="S6615" s="475"/>
      <c r="T6615" s="475"/>
      <c r="U6615" s="475"/>
      <c r="V6615" s="475"/>
      <c r="W6615" s="475"/>
    </row>
    <row r="6616" spans="2:23" s="97" customFormat="1">
      <c r="B6616" s="96"/>
      <c r="H6616" s="96"/>
      <c r="J6616" s="1"/>
      <c r="K6616" s="1"/>
      <c r="L6616" s="1"/>
      <c r="O6616" s="475"/>
      <c r="P6616" s="475"/>
      <c r="Q6616" s="475"/>
      <c r="R6616" s="475"/>
      <c r="S6616" s="475"/>
      <c r="T6616" s="475"/>
      <c r="U6616" s="475"/>
      <c r="V6616" s="475"/>
      <c r="W6616" s="475"/>
    </row>
    <row r="6617" spans="2:23" s="97" customFormat="1">
      <c r="B6617" s="96"/>
      <c r="H6617" s="96"/>
      <c r="J6617" s="1"/>
      <c r="K6617" s="1"/>
      <c r="L6617" s="1"/>
      <c r="O6617" s="475"/>
      <c r="P6617" s="475"/>
      <c r="Q6617" s="475"/>
      <c r="R6617" s="475"/>
      <c r="S6617" s="475"/>
      <c r="T6617" s="475"/>
      <c r="U6617" s="475"/>
      <c r="V6617" s="475"/>
      <c r="W6617" s="475"/>
    </row>
    <row r="6618" spans="2:23" s="97" customFormat="1">
      <c r="B6618" s="96"/>
      <c r="H6618" s="96"/>
      <c r="J6618" s="1"/>
      <c r="K6618" s="1"/>
      <c r="L6618" s="1"/>
      <c r="O6618" s="475"/>
      <c r="P6618" s="475"/>
      <c r="Q6618" s="475"/>
      <c r="R6618" s="475"/>
      <c r="S6618" s="475"/>
      <c r="T6618" s="475"/>
      <c r="U6618" s="475"/>
      <c r="V6618" s="475"/>
      <c r="W6618" s="475"/>
    </row>
    <row r="6619" spans="2:23" s="97" customFormat="1">
      <c r="B6619" s="96"/>
      <c r="H6619" s="96"/>
      <c r="J6619" s="1"/>
      <c r="K6619" s="1"/>
      <c r="L6619" s="1"/>
      <c r="O6619" s="475"/>
      <c r="P6619" s="475"/>
      <c r="Q6619" s="475"/>
      <c r="R6619" s="475"/>
      <c r="S6619" s="475"/>
      <c r="T6619" s="475"/>
      <c r="U6619" s="475"/>
      <c r="V6619" s="475"/>
      <c r="W6619" s="475"/>
    </row>
    <row r="6620" spans="2:23" s="97" customFormat="1">
      <c r="B6620" s="96"/>
      <c r="H6620" s="96"/>
      <c r="J6620" s="1"/>
      <c r="K6620" s="1"/>
      <c r="L6620" s="1"/>
      <c r="O6620" s="475"/>
      <c r="P6620" s="475"/>
      <c r="Q6620" s="475"/>
      <c r="R6620" s="475"/>
      <c r="S6620" s="475"/>
      <c r="T6620" s="475"/>
      <c r="U6620" s="475"/>
      <c r="V6620" s="475"/>
      <c r="W6620" s="475"/>
    </row>
    <row r="6621" spans="2:23" s="97" customFormat="1">
      <c r="B6621" s="96"/>
      <c r="H6621" s="96"/>
      <c r="J6621" s="1"/>
      <c r="K6621" s="1"/>
      <c r="L6621" s="1"/>
      <c r="O6621" s="475"/>
      <c r="P6621" s="475"/>
      <c r="Q6621" s="475"/>
      <c r="R6621" s="475"/>
      <c r="S6621" s="475"/>
      <c r="T6621" s="475"/>
      <c r="U6621" s="475"/>
      <c r="V6621" s="475"/>
      <c r="W6621" s="475"/>
    </row>
    <row r="6622" spans="2:23" s="97" customFormat="1">
      <c r="B6622" s="96"/>
      <c r="H6622" s="96"/>
      <c r="J6622" s="1"/>
      <c r="K6622" s="1"/>
      <c r="L6622" s="1"/>
      <c r="O6622" s="475"/>
      <c r="P6622" s="475"/>
      <c r="Q6622" s="475"/>
      <c r="R6622" s="475"/>
      <c r="S6622" s="475"/>
      <c r="T6622" s="475"/>
      <c r="U6622" s="475"/>
      <c r="V6622" s="475"/>
      <c r="W6622" s="475"/>
    </row>
    <row r="6623" spans="2:23" s="97" customFormat="1">
      <c r="B6623" s="96"/>
      <c r="H6623" s="96"/>
      <c r="J6623" s="1"/>
      <c r="K6623" s="1"/>
      <c r="L6623" s="1"/>
      <c r="O6623" s="475"/>
      <c r="P6623" s="475"/>
      <c r="Q6623" s="475"/>
      <c r="R6623" s="475"/>
      <c r="S6623" s="475"/>
      <c r="T6623" s="475"/>
      <c r="U6623" s="475"/>
      <c r="V6623" s="475"/>
      <c r="W6623" s="475"/>
    </row>
    <row r="6624" spans="2:23" s="97" customFormat="1">
      <c r="B6624" s="96"/>
      <c r="H6624" s="96"/>
      <c r="J6624" s="1"/>
      <c r="K6624" s="1"/>
      <c r="L6624" s="1"/>
      <c r="O6624" s="475"/>
      <c r="P6624" s="475"/>
      <c r="Q6624" s="475"/>
      <c r="R6624" s="475"/>
      <c r="S6624" s="475"/>
      <c r="T6624" s="475"/>
      <c r="U6624" s="475"/>
      <c r="V6624" s="475"/>
      <c r="W6624" s="475"/>
    </row>
    <row r="6625" spans="2:23" s="97" customFormat="1">
      <c r="B6625" s="96"/>
      <c r="H6625" s="96"/>
      <c r="J6625" s="1"/>
      <c r="K6625" s="1"/>
      <c r="L6625" s="1"/>
      <c r="O6625" s="475"/>
      <c r="P6625" s="475"/>
      <c r="Q6625" s="475"/>
      <c r="R6625" s="475"/>
      <c r="S6625" s="475"/>
      <c r="T6625" s="475"/>
      <c r="U6625" s="475"/>
      <c r="V6625" s="475"/>
      <c r="W6625" s="475"/>
    </row>
    <row r="6626" spans="2:23" s="97" customFormat="1">
      <c r="B6626" s="96"/>
      <c r="H6626" s="96"/>
      <c r="J6626" s="1"/>
      <c r="K6626" s="1"/>
      <c r="L6626" s="1"/>
      <c r="O6626" s="475"/>
      <c r="P6626" s="475"/>
      <c r="Q6626" s="475"/>
      <c r="R6626" s="475"/>
      <c r="S6626" s="475"/>
      <c r="T6626" s="475"/>
      <c r="U6626" s="475"/>
      <c r="V6626" s="475"/>
      <c r="W6626" s="475"/>
    </row>
    <row r="6627" spans="2:23" s="97" customFormat="1">
      <c r="B6627" s="96"/>
      <c r="H6627" s="96"/>
      <c r="J6627" s="1"/>
      <c r="K6627" s="1"/>
      <c r="L6627" s="1"/>
      <c r="O6627" s="475"/>
      <c r="P6627" s="475"/>
      <c r="Q6627" s="475"/>
      <c r="R6627" s="475"/>
      <c r="S6627" s="475"/>
      <c r="T6627" s="475"/>
      <c r="U6627" s="475"/>
      <c r="V6627" s="475"/>
      <c r="W6627" s="475"/>
    </row>
    <row r="6628" spans="2:23" s="97" customFormat="1">
      <c r="B6628" s="96"/>
      <c r="H6628" s="96"/>
      <c r="J6628" s="1"/>
      <c r="K6628" s="1"/>
      <c r="L6628" s="1"/>
      <c r="O6628" s="475"/>
      <c r="P6628" s="475"/>
      <c r="Q6628" s="475"/>
      <c r="R6628" s="475"/>
      <c r="S6628" s="475"/>
      <c r="T6628" s="475"/>
      <c r="U6628" s="475"/>
      <c r="V6628" s="475"/>
      <c r="W6628" s="475"/>
    </row>
    <row r="6629" spans="2:23" s="97" customFormat="1">
      <c r="B6629" s="96"/>
      <c r="H6629" s="96"/>
      <c r="J6629" s="1"/>
      <c r="K6629" s="1"/>
      <c r="L6629" s="1"/>
      <c r="O6629" s="475"/>
      <c r="P6629" s="475"/>
      <c r="Q6629" s="475"/>
      <c r="R6629" s="475"/>
      <c r="S6629" s="475"/>
      <c r="T6629" s="475"/>
      <c r="U6629" s="475"/>
      <c r="V6629" s="475"/>
      <c r="W6629" s="475"/>
    </row>
    <row r="6630" spans="2:23" s="97" customFormat="1">
      <c r="B6630" s="96"/>
      <c r="H6630" s="96"/>
      <c r="J6630" s="1"/>
      <c r="K6630" s="1"/>
      <c r="L6630" s="1"/>
      <c r="O6630" s="475"/>
      <c r="P6630" s="475"/>
      <c r="Q6630" s="475"/>
      <c r="R6630" s="475"/>
      <c r="S6630" s="475"/>
      <c r="T6630" s="475"/>
      <c r="U6630" s="475"/>
      <c r="V6630" s="475"/>
      <c r="W6630" s="475"/>
    </row>
    <row r="6631" spans="2:23" s="97" customFormat="1">
      <c r="B6631" s="96"/>
      <c r="H6631" s="96"/>
      <c r="J6631" s="1"/>
      <c r="K6631" s="1"/>
      <c r="L6631" s="1"/>
      <c r="O6631" s="475"/>
      <c r="P6631" s="475"/>
      <c r="Q6631" s="475"/>
      <c r="R6631" s="475"/>
      <c r="S6631" s="475"/>
      <c r="T6631" s="475"/>
      <c r="U6631" s="475"/>
      <c r="V6631" s="475"/>
      <c r="W6631" s="475"/>
    </row>
    <row r="6632" spans="2:23" s="97" customFormat="1">
      <c r="B6632" s="96"/>
      <c r="H6632" s="96"/>
      <c r="J6632" s="1"/>
      <c r="K6632" s="1"/>
      <c r="L6632" s="1"/>
      <c r="O6632" s="475"/>
      <c r="P6632" s="475"/>
      <c r="Q6632" s="475"/>
      <c r="R6632" s="475"/>
      <c r="S6632" s="475"/>
      <c r="T6632" s="475"/>
      <c r="U6632" s="475"/>
      <c r="V6632" s="475"/>
      <c r="W6632" s="475"/>
    </row>
    <row r="6633" spans="2:23" s="97" customFormat="1">
      <c r="B6633" s="96"/>
      <c r="H6633" s="96"/>
      <c r="J6633" s="1"/>
      <c r="K6633" s="1"/>
      <c r="L6633" s="1"/>
      <c r="O6633" s="475"/>
      <c r="P6633" s="475"/>
      <c r="Q6633" s="475"/>
      <c r="R6633" s="475"/>
      <c r="S6633" s="475"/>
      <c r="T6633" s="475"/>
      <c r="U6633" s="475"/>
      <c r="V6633" s="475"/>
      <c r="W6633" s="475"/>
    </row>
    <row r="6634" spans="2:23" s="97" customFormat="1">
      <c r="B6634" s="96"/>
      <c r="H6634" s="96"/>
      <c r="J6634" s="1"/>
      <c r="K6634" s="1"/>
      <c r="L6634" s="1"/>
      <c r="O6634" s="475"/>
      <c r="P6634" s="475"/>
      <c r="Q6634" s="475"/>
      <c r="R6634" s="475"/>
      <c r="S6634" s="475"/>
      <c r="T6634" s="475"/>
      <c r="U6634" s="475"/>
      <c r="V6634" s="475"/>
      <c r="W6634" s="475"/>
    </row>
    <row r="6635" spans="2:23" s="97" customFormat="1">
      <c r="B6635" s="96"/>
      <c r="H6635" s="96"/>
      <c r="J6635" s="1"/>
      <c r="K6635" s="1"/>
      <c r="L6635" s="1"/>
      <c r="O6635" s="475"/>
      <c r="P6635" s="475"/>
      <c r="Q6635" s="475"/>
      <c r="R6635" s="475"/>
      <c r="S6635" s="475"/>
      <c r="T6635" s="475"/>
      <c r="U6635" s="475"/>
      <c r="V6635" s="475"/>
      <c r="W6635" s="475"/>
    </row>
    <row r="6636" spans="2:23" s="97" customFormat="1">
      <c r="B6636" s="96"/>
      <c r="H6636" s="96"/>
      <c r="J6636" s="1"/>
      <c r="K6636" s="1"/>
      <c r="L6636" s="1"/>
      <c r="O6636" s="475"/>
      <c r="P6636" s="475"/>
      <c r="Q6636" s="475"/>
      <c r="R6636" s="475"/>
      <c r="S6636" s="475"/>
      <c r="T6636" s="475"/>
      <c r="U6636" s="475"/>
      <c r="V6636" s="475"/>
      <c r="W6636" s="475"/>
    </row>
    <row r="6637" spans="2:23" s="97" customFormat="1">
      <c r="B6637" s="96"/>
      <c r="H6637" s="96"/>
      <c r="J6637" s="1"/>
      <c r="K6637" s="1"/>
      <c r="L6637" s="1"/>
      <c r="O6637" s="475"/>
      <c r="P6637" s="475"/>
      <c r="Q6637" s="475"/>
      <c r="R6637" s="475"/>
      <c r="S6637" s="475"/>
      <c r="T6637" s="475"/>
      <c r="U6637" s="475"/>
      <c r="V6637" s="475"/>
      <c r="W6637" s="475"/>
    </row>
    <row r="6638" spans="2:23" s="97" customFormat="1">
      <c r="B6638" s="96"/>
      <c r="H6638" s="96"/>
      <c r="J6638" s="1"/>
      <c r="K6638" s="1"/>
      <c r="L6638" s="1"/>
      <c r="O6638" s="475"/>
      <c r="P6638" s="475"/>
      <c r="Q6638" s="475"/>
      <c r="R6638" s="475"/>
      <c r="S6638" s="475"/>
      <c r="T6638" s="475"/>
      <c r="U6638" s="475"/>
      <c r="V6638" s="475"/>
      <c r="W6638" s="475"/>
    </row>
    <row r="6639" spans="2:23" s="97" customFormat="1">
      <c r="B6639" s="96"/>
      <c r="H6639" s="96"/>
      <c r="J6639" s="1"/>
      <c r="K6639" s="1"/>
      <c r="L6639" s="1"/>
      <c r="O6639" s="475"/>
      <c r="P6639" s="475"/>
      <c r="Q6639" s="475"/>
      <c r="R6639" s="475"/>
      <c r="S6639" s="475"/>
      <c r="T6639" s="475"/>
      <c r="U6639" s="475"/>
      <c r="V6639" s="475"/>
      <c r="W6639" s="475"/>
    </row>
    <row r="6640" spans="2:23" s="97" customFormat="1">
      <c r="B6640" s="96"/>
      <c r="H6640" s="96"/>
      <c r="J6640" s="1"/>
      <c r="K6640" s="1"/>
      <c r="L6640" s="1"/>
      <c r="O6640" s="475"/>
      <c r="P6640" s="475"/>
      <c r="Q6640" s="475"/>
      <c r="R6640" s="475"/>
      <c r="S6640" s="475"/>
      <c r="T6640" s="475"/>
      <c r="U6640" s="475"/>
      <c r="V6640" s="475"/>
      <c r="W6640" s="475"/>
    </row>
    <row r="6641" spans="2:23" s="97" customFormat="1">
      <c r="B6641" s="96"/>
      <c r="H6641" s="96"/>
      <c r="J6641" s="1"/>
      <c r="K6641" s="1"/>
      <c r="L6641" s="1"/>
      <c r="O6641" s="475"/>
      <c r="P6641" s="475"/>
      <c r="Q6641" s="475"/>
      <c r="R6641" s="475"/>
      <c r="S6641" s="475"/>
      <c r="T6641" s="475"/>
      <c r="U6641" s="475"/>
      <c r="V6641" s="475"/>
      <c r="W6641" s="475"/>
    </row>
    <row r="6642" spans="2:23" s="97" customFormat="1">
      <c r="B6642" s="96"/>
      <c r="H6642" s="96"/>
      <c r="J6642" s="1"/>
      <c r="K6642" s="1"/>
      <c r="L6642" s="1"/>
      <c r="O6642" s="475"/>
      <c r="P6642" s="475"/>
      <c r="Q6642" s="475"/>
      <c r="R6642" s="475"/>
      <c r="S6642" s="475"/>
      <c r="T6642" s="475"/>
      <c r="U6642" s="475"/>
      <c r="V6642" s="475"/>
      <c r="W6642" s="475"/>
    </row>
    <row r="6643" spans="2:23" s="97" customFormat="1">
      <c r="B6643" s="96"/>
      <c r="H6643" s="96"/>
      <c r="J6643" s="1"/>
      <c r="K6643" s="1"/>
      <c r="L6643" s="1"/>
      <c r="O6643" s="475"/>
      <c r="P6643" s="475"/>
      <c r="Q6643" s="475"/>
      <c r="R6643" s="475"/>
      <c r="S6643" s="475"/>
      <c r="T6643" s="475"/>
      <c r="U6643" s="475"/>
      <c r="V6643" s="475"/>
      <c r="W6643" s="475"/>
    </row>
    <row r="6644" spans="2:23" s="97" customFormat="1">
      <c r="B6644" s="96"/>
      <c r="H6644" s="96"/>
      <c r="J6644" s="1"/>
      <c r="K6644" s="1"/>
      <c r="L6644" s="1"/>
      <c r="O6644" s="475"/>
      <c r="P6644" s="475"/>
      <c r="Q6644" s="475"/>
      <c r="R6644" s="475"/>
      <c r="S6644" s="475"/>
      <c r="T6644" s="475"/>
      <c r="U6644" s="475"/>
      <c r="V6644" s="475"/>
      <c r="W6644" s="475"/>
    </row>
    <row r="6645" spans="2:23" s="97" customFormat="1">
      <c r="B6645" s="96"/>
      <c r="H6645" s="96"/>
      <c r="J6645" s="1"/>
      <c r="K6645" s="1"/>
      <c r="L6645" s="1"/>
      <c r="O6645" s="475"/>
      <c r="P6645" s="475"/>
      <c r="Q6645" s="475"/>
      <c r="R6645" s="475"/>
      <c r="S6645" s="475"/>
      <c r="T6645" s="475"/>
      <c r="U6645" s="475"/>
      <c r="V6645" s="475"/>
      <c r="W6645" s="475"/>
    </row>
    <row r="6646" spans="2:23" s="97" customFormat="1">
      <c r="B6646" s="96"/>
      <c r="H6646" s="96"/>
      <c r="J6646" s="1"/>
      <c r="K6646" s="1"/>
      <c r="L6646" s="1"/>
      <c r="O6646" s="475"/>
      <c r="P6646" s="475"/>
      <c r="Q6646" s="475"/>
      <c r="R6646" s="475"/>
      <c r="S6646" s="475"/>
      <c r="T6646" s="475"/>
      <c r="U6646" s="475"/>
      <c r="V6646" s="475"/>
      <c r="W6646" s="475"/>
    </row>
    <row r="6647" spans="2:23" s="97" customFormat="1">
      <c r="B6647" s="96"/>
      <c r="H6647" s="96"/>
      <c r="J6647" s="1"/>
      <c r="K6647" s="1"/>
      <c r="L6647" s="1"/>
      <c r="O6647" s="475"/>
      <c r="P6647" s="475"/>
      <c r="Q6647" s="475"/>
      <c r="R6647" s="475"/>
      <c r="S6647" s="475"/>
      <c r="T6647" s="475"/>
      <c r="U6647" s="475"/>
      <c r="V6647" s="475"/>
      <c r="W6647" s="475"/>
    </row>
    <row r="6648" spans="2:23" s="97" customFormat="1">
      <c r="B6648" s="96"/>
      <c r="H6648" s="96"/>
      <c r="J6648" s="1"/>
      <c r="K6648" s="1"/>
      <c r="L6648" s="1"/>
      <c r="O6648" s="475"/>
      <c r="P6648" s="475"/>
      <c r="Q6648" s="475"/>
      <c r="R6648" s="475"/>
      <c r="S6648" s="475"/>
      <c r="T6648" s="475"/>
      <c r="U6648" s="475"/>
      <c r="V6648" s="475"/>
      <c r="W6648" s="475"/>
    </row>
    <row r="6649" spans="2:23" s="97" customFormat="1">
      <c r="B6649" s="96"/>
      <c r="H6649" s="96"/>
      <c r="J6649" s="1"/>
      <c r="K6649" s="1"/>
      <c r="L6649" s="1"/>
      <c r="O6649" s="475"/>
      <c r="P6649" s="475"/>
      <c r="Q6649" s="475"/>
      <c r="R6649" s="475"/>
      <c r="S6649" s="475"/>
      <c r="T6649" s="475"/>
      <c r="U6649" s="475"/>
      <c r="V6649" s="475"/>
      <c r="W6649" s="475"/>
    </row>
    <row r="6650" spans="2:23" s="97" customFormat="1">
      <c r="B6650" s="96"/>
      <c r="H6650" s="96"/>
      <c r="J6650" s="1"/>
      <c r="K6650" s="1"/>
      <c r="L6650" s="1"/>
      <c r="O6650" s="475"/>
      <c r="P6650" s="475"/>
      <c r="Q6650" s="475"/>
      <c r="R6650" s="475"/>
      <c r="S6650" s="475"/>
      <c r="T6650" s="475"/>
      <c r="U6650" s="475"/>
      <c r="V6650" s="475"/>
      <c r="W6650" s="475"/>
    </row>
    <row r="6651" spans="2:23" s="97" customFormat="1">
      <c r="B6651" s="96"/>
      <c r="H6651" s="96"/>
      <c r="J6651" s="1"/>
      <c r="K6651" s="1"/>
      <c r="L6651" s="1"/>
      <c r="O6651" s="475"/>
      <c r="P6651" s="475"/>
      <c r="Q6651" s="475"/>
      <c r="R6651" s="475"/>
      <c r="S6651" s="475"/>
      <c r="T6651" s="475"/>
      <c r="U6651" s="475"/>
      <c r="V6651" s="475"/>
      <c r="W6651" s="475"/>
    </row>
    <row r="6652" spans="2:23" s="97" customFormat="1">
      <c r="B6652" s="96"/>
      <c r="H6652" s="96"/>
      <c r="J6652" s="1"/>
      <c r="K6652" s="1"/>
      <c r="L6652" s="1"/>
      <c r="O6652" s="475"/>
      <c r="P6652" s="475"/>
      <c r="Q6652" s="475"/>
      <c r="R6652" s="475"/>
      <c r="S6652" s="475"/>
      <c r="T6652" s="475"/>
      <c r="U6652" s="475"/>
      <c r="V6652" s="475"/>
      <c r="W6652" s="475"/>
    </row>
    <row r="6653" spans="2:23" s="97" customFormat="1">
      <c r="B6653" s="96"/>
      <c r="H6653" s="96"/>
      <c r="J6653" s="1"/>
      <c r="K6653" s="1"/>
      <c r="L6653" s="1"/>
      <c r="O6653" s="475"/>
      <c r="P6653" s="475"/>
      <c r="Q6653" s="475"/>
      <c r="R6653" s="475"/>
      <c r="S6653" s="475"/>
      <c r="T6653" s="475"/>
      <c r="U6653" s="475"/>
      <c r="V6653" s="475"/>
      <c r="W6653" s="475"/>
    </row>
    <row r="6654" spans="2:23" s="97" customFormat="1">
      <c r="B6654" s="96"/>
      <c r="H6654" s="96"/>
      <c r="J6654" s="1"/>
      <c r="K6654" s="1"/>
      <c r="L6654" s="1"/>
      <c r="O6654" s="475"/>
      <c r="P6654" s="475"/>
      <c r="Q6654" s="475"/>
      <c r="R6654" s="475"/>
      <c r="S6654" s="475"/>
      <c r="T6654" s="475"/>
      <c r="U6654" s="475"/>
      <c r="V6654" s="475"/>
      <c r="W6654" s="475"/>
    </row>
    <row r="6655" spans="2:23" s="97" customFormat="1">
      <c r="B6655" s="96"/>
      <c r="H6655" s="96"/>
      <c r="J6655" s="1"/>
      <c r="K6655" s="1"/>
      <c r="L6655" s="1"/>
      <c r="O6655" s="475"/>
      <c r="P6655" s="475"/>
      <c r="Q6655" s="475"/>
      <c r="R6655" s="475"/>
      <c r="S6655" s="475"/>
      <c r="T6655" s="475"/>
      <c r="U6655" s="475"/>
      <c r="V6655" s="475"/>
      <c r="W6655" s="475"/>
    </row>
    <row r="6656" spans="2:23" s="97" customFormat="1">
      <c r="B6656" s="96"/>
      <c r="H6656" s="96"/>
      <c r="J6656" s="1"/>
      <c r="K6656" s="1"/>
      <c r="L6656" s="1"/>
      <c r="O6656" s="475"/>
      <c r="P6656" s="475"/>
      <c r="Q6656" s="475"/>
      <c r="R6656" s="475"/>
      <c r="S6656" s="475"/>
      <c r="T6656" s="475"/>
      <c r="U6656" s="475"/>
      <c r="V6656" s="475"/>
      <c r="W6656" s="475"/>
    </row>
    <row r="6657" spans="2:23" s="97" customFormat="1">
      <c r="B6657" s="96"/>
      <c r="H6657" s="96"/>
      <c r="J6657" s="1"/>
      <c r="K6657" s="1"/>
      <c r="L6657" s="1"/>
      <c r="O6657" s="475"/>
      <c r="P6657" s="475"/>
      <c r="Q6657" s="475"/>
      <c r="R6657" s="475"/>
      <c r="S6657" s="475"/>
      <c r="T6657" s="475"/>
      <c r="U6657" s="475"/>
      <c r="V6657" s="475"/>
      <c r="W6657" s="475"/>
    </row>
    <row r="6658" spans="2:23" s="97" customFormat="1">
      <c r="B6658" s="96"/>
      <c r="H6658" s="96"/>
      <c r="J6658" s="1"/>
      <c r="K6658" s="1"/>
      <c r="L6658" s="1"/>
      <c r="O6658" s="475"/>
      <c r="P6658" s="475"/>
      <c r="Q6658" s="475"/>
      <c r="R6658" s="475"/>
      <c r="S6658" s="475"/>
      <c r="T6658" s="475"/>
      <c r="U6658" s="475"/>
      <c r="V6658" s="475"/>
      <c r="W6658" s="475"/>
    </row>
    <row r="6659" spans="2:23" s="97" customFormat="1">
      <c r="B6659" s="96"/>
      <c r="H6659" s="96"/>
      <c r="J6659" s="1"/>
      <c r="K6659" s="1"/>
      <c r="L6659" s="1"/>
      <c r="O6659" s="475"/>
      <c r="P6659" s="475"/>
      <c r="Q6659" s="475"/>
      <c r="R6659" s="475"/>
      <c r="S6659" s="475"/>
      <c r="T6659" s="475"/>
      <c r="U6659" s="475"/>
      <c r="V6659" s="475"/>
      <c r="W6659" s="475"/>
    </row>
    <row r="6660" spans="2:23" s="97" customFormat="1">
      <c r="B6660" s="96"/>
      <c r="H6660" s="96"/>
      <c r="J6660" s="1"/>
      <c r="K6660" s="1"/>
      <c r="L6660" s="1"/>
      <c r="O6660" s="475"/>
      <c r="P6660" s="475"/>
      <c r="Q6660" s="475"/>
      <c r="R6660" s="475"/>
      <c r="S6660" s="475"/>
      <c r="T6660" s="475"/>
      <c r="U6660" s="475"/>
      <c r="V6660" s="475"/>
      <c r="W6660" s="475"/>
    </row>
    <row r="6661" spans="2:23" s="97" customFormat="1">
      <c r="B6661" s="96"/>
      <c r="H6661" s="96"/>
      <c r="J6661" s="1"/>
      <c r="K6661" s="1"/>
      <c r="L6661" s="1"/>
      <c r="O6661" s="475"/>
      <c r="P6661" s="475"/>
      <c r="Q6661" s="475"/>
      <c r="R6661" s="475"/>
      <c r="S6661" s="475"/>
      <c r="T6661" s="475"/>
      <c r="U6661" s="475"/>
      <c r="V6661" s="475"/>
      <c r="W6661" s="475"/>
    </row>
    <row r="6662" spans="2:23" s="97" customFormat="1">
      <c r="B6662" s="96"/>
      <c r="H6662" s="96"/>
      <c r="J6662" s="1"/>
      <c r="K6662" s="1"/>
      <c r="L6662" s="1"/>
      <c r="O6662" s="475"/>
      <c r="P6662" s="475"/>
      <c r="Q6662" s="475"/>
      <c r="R6662" s="475"/>
      <c r="S6662" s="475"/>
      <c r="T6662" s="475"/>
      <c r="U6662" s="475"/>
      <c r="V6662" s="475"/>
      <c r="W6662" s="475"/>
    </row>
    <row r="6663" spans="2:23" s="97" customFormat="1">
      <c r="B6663" s="96"/>
      <c r="H6663" s="96"/>
      <c r="J6663" s="1"/>
      <c r="K6663" s="1"/>
      <c r="L6663" s="1"/>
      <c r="O6663" s="475"/>
      <c r="P6663" s="475"/>
      <c r="Q6663" s="475"/>
      <c r="R6663" s="475"/>
      <c r="S6663" s="475"/>
      <c r="T6663" s="475"/>
      <c r="U6663" s="475"/>
      <c r="V6663" s="475"/>
      <c r="W6663" s="475"/>
    </row>
    <row r="6664" spans="2:23" s="97" customFormat="1">
      <c r="B6664" s="96"/>
      <c r="H6664" s="96"/>
      <c r="J6664" s="1"/>
      <c r="K6664" s="1"/>
      <c r="L6664" s="1"/>
      <c r="O6664" s="475"/>
      <c r="P6664" s="475"/>
      <c r="Q6664" s="475"/>
      <c r="R6664" s="475"/>
      <c r="S6664" s="475"/>
      <c r="T6664" s="475"/>
      <c r="U6664" s="475"/>
      <c r="V6664" s="475"/>
      <c r="W6664" s="475"/>
    </row>
    <row r="6665" spans="2:23" s="97" customFormat="1">
      <c r="B6665" s="96"/>
      <c r="H6665" s="96"/>
      <c r="J6665" s="1"/>
      <c r="K6665" s="1"/>
      <c r="L6665" s="1"/>
      <c r="O6665" s="475"/>
      <c r="P6665" s="475"/>
      <c r="Q6665" s="475"/>
      <c r="R6665" s="475"/>
      <c r="S6665" s="475"/>
      <c r="T6665" s="475"/>
      <c r="U6665" s="475"/>
      <c r="V6665" s="475"/>
      <c r="W6665" s="475"/>
    </row>
    <row r="6666" spans="2:23" s="97" customFormat="1">
      <c r="B6666" s="96"/>
      <c r="H6666" s="96"/>
      <c r="J6666" s="1"/>
      <c r="K6666" s="1"/>
      <c r="L6666" s="1"/>
      <c r="O6666" s="475"/>
      <c r="P6666" s="475"/>
      <c r="Q6666" s="475"/>
      <c r="R6666" s="475"/>
      <c r="S6666" s="475"/>
      <c r="T6666" s="475"/>
      <c r="U6666" s="475"/>
      <c r="V6666" s="475"/>
      <c r="W6666" s="475"/>
    </row>
    <row r="6667" spans="2:23" s="97" customFormat="1">
      <c r="B6667" s="96"/>
      <c r="H6667" s="96"/>
      <c r="J6667" s="1"/>
      <c r="K6667" s="1"/>
      <c r="L6667" s="1"/>
      <c r="O6667" s="475"/>
      <c r="P6667" s="475"/>
      <c r="Q6667" s="475"/>
      <c r="R6667" s="475"/>
      <c r="S6667" s="475"/>
      <c r="T6667" s="475"/>
      <c r="U6667" s="475"/>
      <c r="V6667" s="475"/>
      <c r="W6667" s="475"/>
    </row>
    <row r="6668" spans="2:23" s="97" customFormat="1">
      <c r="B6668" s="96"/>
      <c r="H6668" s="96"/>
      <c r="J6668" s="1"/>
      <c r="K6668" s="1"/>
      <c r="L6668" s="1"/>
      <c r="O6668" s="475"/>
      <c r="P6668" s="475"/>
      <c r="Q6668" s="475"/>
      <c r="R6668" s="475"/>
      <c r="S6668" s="475"/>
      <c r="T6668" s="475"/>
      <c r="U6668" s="475"/>
      <c r="V6668" s="475"/>
      <c r="W6668" s="475"/>
    </row>
    <row r="6669" spans="2:23" s="97" customFormat="1">
      <c r="B6669" s="96"/>
      <c r="H6669" s="96"/>
      <c r="J6669" s="1"/>
      <c r="K6669" s="1"/>
      <c r="L6669" s="1"/>
      <c r="O6669" s="475"/>
      <c r="P6669" s="475"/>
      <c r="Q6669" s="475"/>
      <c r="R6669" s="475"/>
      <c r="S6669" s="475"/>
      <c r="T6669" s="475"/>
      <c r="U6669" s="475"/>
      <c r="V6669" s="475"/>
      <c r="W6669" s="475"/>
    </row>
    <row r="6670" spans="2:23" s="97" customFormat="1">
      <c r="B6670" s="96"/>
      <c r="H6670" s="96"/>
      <c r="J6670" s="1"/>
      <c r="K6670" s="1"/>
      <c r="L6670" s="1"/>
      <c r="O6670" s="475"/>
      <c r="P6670" s="475"/>
      <c r="Q6670" s="475"/>
      <c r="R6670" s="475"/>
      <c r="S6670" s="475"/>
      <c r="T6670" s="475"/>
      <c r="U6670" s="475"/>
      <c r="V6670" s="475"/>
      <c r="W6670" s="475"/>
    </row>
    <row r="6671" spans="2:23" s="97" customFormat="1">
      <c r="B6671" s="96"/>
      <c r="H6671" s="96"/>
      <c r="J6671" s="1"/>
      <c r="K6671" s="1"/>
      <c r="L6671" s="1"/>
      <c r="O6671" s="475"/>
      <c r="P6671" s="475"/>
      <c r="Q6671" s="475"/>
      <c r="R6671" s="475"/>
      <c r="S6671" s="475"/>
      <c r="T6671" s="475"/>
      <c r="U6671" s="475"/>
      <c r="V6671" s="475"/>
      <c r="W6671" s="475"/>
    </row>
    <row r="6672" spans="2:23" s="97" customFormat="1">
      <c r="B6672" s="96"/>
      <c r="H6672" s="96"/>
      <c r="J6672" s="1"/>
      <c r="K6672" s="1"/>
      <c r="L6672" s="1"/>
      <c r="O6672" s="475"/>
      <c r="P6672" s="475"/>
      <c r="Q6672" s="475"/>
      <c r="R6672" s="475"/>
      <c r="S6672" s="475"/>
      <c r="T6672" s="475"/>
      <c r="U6672" s="475"/>
      <c r="V6672" s="475"/>
      <c r="W6672" s="475"/>
    </row>
    <row r="6673" spans="2:23" s="97" customFormat="1">
      <c r="B6673" s="96"/>
      <c r="H6673" s="96"/>
      <c r="J6673" s="1"/>
      <c r="K6673" s="1"/>
      <c r="L6673" s="1"/>
      <c r="O6673" s="475"/>
      <c r="P6673" s="475"/>
      <c r="Q6673" s="475"/>
      <c r="R6673" s="475"/>
      <c r="S6673" s="475"/>
      <c r="T6673" s="475"/>
      <c r="U6673" s="475"/>
      <c r="V6673" s="475"/>
      <c r="W6673" s="475"/>
    </row>
    <row r="6674" spans="2:23" s="97" customFormat="1">
      <c r="B6674" s="96"/>
      <c r="H6674" s="96"/>
      <c r="J6674" s="1"/>
      <c r="K6674" s="1"/>
      <c r="L6674" s="1"/>
      <c r="O6674" s="475"/>
      <c r="P6674" s="475"/>
      <c r="Q6674" s="475"/>
      <c r="R6674" s="475"/>
      <c r="S6674" s="475"/>
      <c r="T6674" s="475"/>
      <c r="U6674" s="475"/>
      <c r="V6674" s="475"/>
      <c r="W6674" s="475"/>
    </row>
    <row r="6675" spans="2:23" s="97" customFormat="1">
      <c r="B6675" s="96"/>
      <c r="H6675" s="96"/>
      <c r="J6675" s="1"/>
      <c r="K6675" s="1"/>
      <c r="L6675" s="1"/>
      <c r="O6675" s="475"/>
      <c r="P6675" s="475"/>
      <c r="Q6675" s="475"/>
      <c r="R6675" s="475"/>
      <c r="S6675" s="475"/>
      <c r="T6675" s="475"/>
      <c r="U6675" s="475"/>
      <c r="V6675" s="475"/>
      <c r="W6675" s="475"/>
    </row>
    <row r="6676" spans="2:23" s="97" customFormat="1">
      <c r="B6676" s="96"/>
      <c r="H6676" s="96"/>
      <c r="J6676" s="1"/>
      <c r="K6676" s="1"/>
      <c r="L6676" s="1"/>
      <c r="O6676" s="475"/>
      <c r="P6676" s="475"/>
      <c r="Q6676" s="475"/>
      <c r="R6676" s="475"/>
      <c r="S6676" s="475"/>
      <c r="T6676" s="475"/>
      <c r="U6676" s="475"/>
      <c r="V6676" s="475"/>
      <c r="W6676" s="475"/>
    </row>
    <row r="6677" spans="2:23" s="97" customFormat="1">
      <c r="B6677" s="96"/>
      <c r="H6677" s="96"/>
      <c r="J6677" s="1"/>
      <c r="K6677" s="1"/>
      <c r="L6677" s="1"/>
      <c r="O6677" s="475"/>
      <c r="P6677" s="475"/>
      <c r="Q6677" s="475"/>
      <c r="R6677" s="475"/>
      <c r="S6677" s="475"/>
      <c r="T6677" s="475"/>
      <c r="U6677" s="475"/>
      <c r="V6677" s="475"/>
      <c r="W6677" s="475"/>
    </row>
    <row r="6678" spans="2:23" s="97" customFormat="1">
      <c r="B6678" s="96"/>
      <c r="H6678" s="96"/>
      <c r="J6678" s="1"/>
      <c r="K6678" s="1"/>
      <c r="L6678" s="1"/>
      <c r="O6678" s="475"/>
      <c r="P6678" s="475"/>
      <c r="Q6678" s="475"/>
      <c r="R6678" s="475"/>
      <c r="S6678" s="475"/>
      <c r="T6678" s="475"/>
      <c r="U6678" s="475"/>
      <c r="V6678" s="475"/>
      <c r="W6678" s="475"/>
    </row>
    <row r="6679" spans="2:23" s="97" customFormat="1">
      <c r="B6679" s="96"/>
      <c r="H6679" s="96"/>
      <c r="J6679" s="1"/>
      <c r="K6679" s="1"/>
      <c r="L6679" s="1"/>
      <c r="O6679" s="475"/>
      <c r="P6679" s="475"/>
      <c r="Q6679" s="475"/>
      <c r="R6679" s="475"/>
      <c r="S6679" s="475"/>
      <c r="T6679" s="475"/>
      <c r="U6679" s="475"/>
      <c r="V6679" s="475"/>
      <c r="W6679" s="475"/>
    </row>
    <row r="6680" spans="2:23" s="97" customFormat="1">
      <c r="B6680" s="96"/>
      <c r="H6680" s="96"/>
      <c r="J6680" s="1"/>
      <c r="K6680" s="1"/>
      <c r="L6680" s="1"/>
      <c r="O6680" s="475"/>
      <c r="P6680" s="475"/>
      <c r="Q6680" s="475"/>
      <c r="R6680" s="475"/>
      <c r="S6680" s="475"/>
      <c r="T6680" s="475"/>
      <c r="U6680" s="475"/>
      <c r="V6680" s="475"/>
      <c r="W6680" s="475"/>
    </row>
    <row r="6681" spans="2:23" s="97" customFormat="1">
      <c r="B6681" s="96"/>
      <c r="H6681" s="96"/>
      <c r="J6681" s="1"/>
      <c r="K6681" s="1"/>
      <c r="L6681" s="1"/>
      <c r="O6681" s="475"/>
      <c r="P6681" s="475"/>
      <c r="Q6681" s="475"/>
      <c r="R6681" s="475"/>
      <c r="S6681" s="475"/>
      <c r="T6681" s="475"/>
      <c r="U6681" s="475"/>
      <c r="V6681" s="475"/>
      <c r="W6681" s="475"/>
    </row>
    <row r="6682" spans="2:23" s="97" customFormat="1">
      <c r="B6682" s="96"/>
      <c r="H6682" s="96"/>
      <c r="J6682" s="1"/>
      <c r="K6682" s="1"/>
      <c r="L6682" s="1"/>
      <c r="O6682" s="475"/>
      <c r="P6682" s="475"/>
      <c r="Q6682" s="475"/>
      <c r="R6682" s="475"/>
      <c r="S6682" s="475"/>
      <c r="T6682" s="475"/>
      <c r="U6682" s="475"/>
      <c r="V6682" s="475"/>
      <c r="W6682" s="475"/>
    </row>
    <row r="6683" spans="2:23" s="97" customFormat="1">
      <c r="B6683" s="96"/>
      <c r="H6683" s="96"/>
      <c r="J6683" s="1"/>
      <c r="K6683" s="1"/>
      <c r="L6683" s="1"/>
      <c r="O6683" s="475"/>
      <c r="P6683" s="475"/>
      <c r="Q6683" s="475"/>
      <c r="R6683" s="475"/>
      <c r="S6683" s="475"/>
      <c r="T6683" s="475"/>
      <c r="U6683" s="475"/>
      <c r="V6683" s="475"/>
      <c r="W6683" s="475"/>
    </row>
    <row r="6684" spans="2:23" s="97" customFormat="1">
      <c r="B6684" s="96"/>
      <c r="H6684" s="96"/>
      <c r="J6684" s="1"/>
      <c r="K6684" s="1"/>
      <c r="L6684" s="1"/>
      <c r="O6684" s="475"/>
      <c r="P6684" s="475"/>
      <c r="Q6684" s="475"/>
      <c r="R6684" s="475"/>
      <c r="S6684" s="475"/>
      <c r="T6684" s="475"/>
      <c r="U6684" s="475"/>
      <c r="V6684" s="475"/>
      <c r="W6684" s="475"/>
    </row>
    <row r="6685" spans="2:23" s="97" customFormat="1">
      <c r="B6685" s="96"/>
      <c r="H6685" s="96"/>
      <c r="J6685" s="1"/>
      <c r="K6685" s="1"/>
      <c r="L6685" s="1"/>
      <c r="O6685" s="475"/>
      <c r="P6685" s="475"/>
      <c r="Q6685" s="475"/>
      <c r="R6685" s="475"/>
      <c r="S6685" s="475"/>
      <c r="T6685" s="475"/>
      <c r="U6685" s="475"/>
      <c r="V6685" s="475"/>
      <c r="W6685" s="475"/>
    </row>
    <row r="6686" spans="2:23" s="97" customFormat="1">
      <c r="B6686" s="96"/>
      <c r="H6686" s="96"/>
      <c r="J6686" s="1"/>
      <c r="K6686" s="1"/>
      <c r="L6686" s="1"/>
      <c r="O6686" s="475"/>
      <c r="P6686" s="475"/>
      <c r="Q6686" s="475"/>
      <c r="R6686" s="475"/>
      <c r="S6686" s="475"/>
      <c r="T6686" s="475"/>
      <c r="U6686" s="475"/>
      <c r="V6686" s="475"/>
      <c r="W6686" s="475"/>
    </row>
    <row r="6687" spans="2:23" s="97" customFormat="1">
      <c r="B6687" s="96"/>
      <c r="H6687" s="96"/>
      <c r="J6687" s="1"/>
      <c r="K6687" s="1"/>
      <c r="L6687" s="1"/>
      <c r="O6687" s="475"/>
      <c r="P6687" s="475"/>
      <c r="Q6687" s="475"/>
      <c r="R6687" s="475"/>
      <c r="S6687" s="475"/>
      <c r="T6687" s="475"/>
      <c r="U6687" s="475"/>
      <c r="V6687" s="475"/>
      <c r="W6687" s="475"/>
    </row>
    <row r="6688" spans="2:23" s="97" customFormat="1">
      <c r="B6688" s="96"/>
      <c r="H6688" s="96"/>
      <c r="J6688" s="1"/>
      <c r="K6688" s="1"/>
      <c r="L6688" s="1"/>
      <c r="O6688" s="475"/>
      <c r="P6688" s="475"/>
      <c r="Q6688" s="475"/>
      <c r="R6688" s="475"/>
      <c r="S6688" s="475"/>
      <c r="T6688" s="475"/>
      <c r="U6688" s="475"/>
      <c r="V6688" s="475"/>
      <c r="W6688" s="475"/>
    </row>
    <row r="6689" spans="2:23" s="97" customFormat="1">
      <c r="B6689" s="96"/>
      <c r="H6689" s="96"/>
      <c r="J6689" s="1"/>
      <c r="K6689" s="1"/>
      <c r="L6689" s="1"/>
      <c r="O6689" s="475"/>
      <c r="P6689" s="475"/>
      <c r="Q6689" s="475"/>
      <c r="R6689" s="475"/>
      <c r="S6689" s="475"/>
      <c r="T6689" s="475"/>
      <c r="U6689" s="475"/>
      <c r="V6689" s="475"/>
      <c r="W6689" s="475"/>
    </row>
    <row r="6690" spans="2:23" s="97" customFormat="1">
      <c r="B6690" s="96"/>
      <c r="H6690" s="96"/>
      <c r="J6690" s="1"/>
      <c r="K6690" s="1"/>
      <c r="L6690" s="1"/>
      <c r="O6690" s="475"/>
      <c r="P6690" s="475"/>
      <c r="Q6690" s="475"/>
      <c r="R6690" s="475"/>
      <c r="S6690" s="475"/>
      <c r="T6690" s="475"/>
      <c r="U6690" s="475"/>
      <c r="V6690" s="475"/>
      <c r="W6690" s="475"/>
    </row>
    <row r="6691" spans="2:23" s="97" customFormat="1">
      <c r="B6691" s="96"/>
      <c r="H6691" s="96"/>
      <c r="J6691" s="1"/>
      <c r="K6691" s="1"/>
      <c r="L6691" s="1"/>
      <c r="O6691" s="475"/>
      <c r="P6691" s="475"/>
      <c r="Q6691" s="475"/>
      <c r="R6691" s="475"/>
      <c r="S6691" s="475"/>
      <c r="T6691" s="475"/>
      <c r="U6691" s="475"/>
      <c r="V6691" s="475"/>
      <c r="W6691" s="475"/>
    </row>
    <row r="6692" spans="2:23" s="97" customFormat="1">
      <c r="B6692" s="96"/>
      <c r="H6692" s="96"/>
      <c r="J6692" s="1"/>
      <c r="K6692" s="1"/>
      <c r="L6692" s="1"/>
      <c r="O6692" s="475"/>
      <c r="P6692" s="475"/>
      <c r="Q6692" s="475"/>
      <c r="R6692" s="475"/>
      <c r="S6692" s="475"/>
      <c r="T6692" s="475"/>
      <c r="U6692" s="475"/>
      <c r="V6692" s="475"/>
      <c r="W6692" s="475"/>
    </row>
    <row r="6693" spans="2:23" s="97" customFormat="1">
      <c r="B6693" s="96"/>
      <c r="H6693" s="96"/>
      <c r="J6693" s="1"/>
      <c r="K6693" s="1"/>
      <c r="L6693" s="1"/>
      <c r="O6693" s="475"/>
      <c r="P6693" s="475"/>
      <c r="Q6693" s="475"/>
      <c r="R6693" s="475"/>
      <c r="S6693" s="475"/>
      <c r="T6693" s="475"/>
      <c r="U6693" s="475"/>
      <c r="V6693" s="475"/>
      <c r="W6693" s="475"/>
    </row>
    <row r="6694" spans="2:23" s="97" customFormat="1">
      <c r="B6694" s="96"/>
      <c r="H6694" s="96"/>
      <c r="J6694" s="1"/>
      <c r="K6694" s="1"/>
      <c r="L6694" s="1"/>
      <c r="O6694" s="475"/>
      <c r="P6694" s="475"/>
      <c r="Q6694" s="475"/>
      <c r="R6694" s="475"/>
      <c r="S6694" s="475"/>
      <c r="T6694" s="475"/>
      <c r="U6694" s="475"/>
      <c r="V6694" s="475"/>
      <c r="W6694" s="475"/>
    </row>
    <row r="6695" spans="2:23" s="97" customFormat="1">
      <c r="B6695" s="96"/>
      <c r="H6695" s="96"/>
      <c r="J6695" s="1"/>
      <c r="K6695" s="1"/>
      <c r="L6695" s="1"/>
      <c r="O6695" s="475"/>
      <c r="P6695" s="475"/>
      <c r="Q6695" s="475"/>
      <c r="R6695" s="475"/>
      <c r="S6695" s="475"/>
      <c r="T6695" s="475"/>
      <c r="U6695" s="475"/>
      <c r="V6695" s="475"/>
      <c r="W6695" s="475"/>
    </row>
    <row r="6696" spans="2:23" s="97" customFormat="1">
      <c r="B6696" s="96"/>
      <c r="H6696" s="96"/>
      <c r="J6696" s="1"/>
      <c r="K6696" s="1"/>
      <c r="L6696" s="1"/>
      <c r="O6696" s="475"/>
      <c r="P6696" s="475"/>
      <c r="Q6696" s="475"/>
      <c r="R6696" s="475"/>
      <c r="S6696" s="475"/>
      <c r="T6696" s="475"/>
      <c r="U6696" s="475"/>
      <c r="V6696" s="475"/>
      <c r="W6696" s="475"/>
    </row>
    <row r="6697" spans="2:23" s="97" customFormat="1">
      <c r="B6697" s="96"/>
      <c r="H6697" s="96"/>
      <c r="J6697" s="1"/>
      <c r="K6697" s="1"/>
      <c r="L6697" s="1"/>
      <c r="O6697" s="475"/>
      <c r="P6697" s="475"/>
      <c r="Q6697" s="475"/>
      <c r="R6697" s="475"/>
      <c r="S6697" s="475"/>
      <c r="T6697" s="475"/>
      <c r="U6697" s="475"/>
      <c r="V6697" s="475"/>
      <c r="W6697" s="475"/>
    </row>
    <row r="6698" spans="2:23" s="97" customFormat="1">
      <c r="B6698" s="96"/>
      <c r="H6698" s="96"/>
      <c r="J6698" s="1"/>
      <c r="K6698" s="1"/>
      <c r="L6698" s="1"/>
      <c r="O6698" s="475"/>
      <c r="P6698" s="475"/>
      <c r="Q6698" s="475"/>
      <c r="R6698" s="475"/>
      <c r="S6698" s="475"/>
      <c r="T6698" s="475"/>
      <c r="U6698" s="475"/>
      <c r="V6698" s="475"/>
      <c r="W6698" s="475"/>
    </row>
    <row r="6699" spans="2:23" s="97" customFormat="1">
      <c r="B6699" s="96"/>
      <c r="H6699" s="96"/>
      <c r="J6699" s="1"/>
      <c r="K6699" s="1"/>
      <c r="L6699" s="1"/>
      <c r="O6699" s="475"/>
      <c r="P6699" s="475"/>
      <c r="Q6699" s="475"/>
      <c r="R6699" s="475"/>
      <c r="S6699" s="475"/>
      <c r="T6699" s="475"/>
      <c r="U6699" s="475"/>
      <c r="V6699" s="475"/>
      <c r="W6699" s="475"/>
    </row>
    <row r="6700" spans="2:23" s="97" customFormat="1">
      <c r="B6700" s="96"/>
      <c r="H6700" s="96"/>
      <c r="J6700" s="1"/>
      <c r="K6700" s="1"/>
      <c r="L6700" s="1"/>
      <c r="O6700" s="475"/>
      <c r="P6700" s="475"/>
      <c r="Q6700" s="475"/>
      <c r="R6700" s="475"/>
      <c r="S6700" s="475"/>
      <c r="T6700" s="475"/>
      <c r="U6700" s="475"/>
      <c r="V6700" s="475"/>
      <c r="W6700" s="475"/>
    </row>
    <row r="6701" spans="2:23" s="97" customFormat="1">
      <c r="B6701" s="96"/>
      <c r="H6701" s="96"/>
      <c r="J6701" s="1"/>
      <c r="K6701" s="1"/>
      <c r="L6701" s="1"/>
      <c r="O6701" s="475"/>
      <c r="P6701" s="475"/>
      <c r="Q6701" s="475"/>
      <c r="R6701" s="475"/>
      <c r="S6701" s="475"/>
      <c r="T6701" s="475"/>
      <c r="U6701" s="475"/>
      <c r="V6701" s="475"/>
      <c r="W6701" s="475"/>
    </row>
    <row r="6702" spans="2:23" s="97" customFormat="1">
      <c r="B6702" s="96"/>
      <c r="H6702" s="96"/>
      <c r="J6702" s="1"/>
      <c r="K6702" s="1"/>
      <c r="L6702" s="1"/>
      <c r="O6702" s="475"/>
      <c r="P6702" s="475"/>
      <c r="Q6702" s="475"/>
      <c r="R6702" s="475"/>
      <c r="S6702" s="475"/>
      <c r="T6702" s="475"/>
      <c r="U6702" s="475"/>
      <c r="V6702" s="475"/>
      <c r="W6702" s="475"/>
    </row>
    <row r="6703" spans="2:23" s="97" customFormat="1">
      <c r="B6703" s="96"/>
      <c r="H6703" s="96"/>
      <c r="J6703" s="1"/>
      <c r="K6703" s="1"/>
      <c r="L6703" s="1"/>
      <c r="O6703" s="475"/>
      <c r="P6703" s="475"/>
      <c r="Q6703" s="475"/>
      <c r="R6703" s="475"/>
      <c r="S6703" s="475"/>
      <c r="T6703" s="475"/>
      <c r="U6703" s="475"/>
      <c r="V6703" s="475"/>
      <c r="W6703" s="475"/>
    </row>
    <row r="6704" spans="2:23" s="97" customFormat="1">
      <c r="B6704" s="96"/>
      <c r="H6704" s="96"/>
      <c r="J6704" s="1"/>
      <c r="K6704" s="1"/>
      <c r="L6704" s="1"/>
      <c r="O6704" s="475"/>
      <c r="P6704" s="475"/>
      <c r="Q6704" s="475"/>
      <c r="R6704" s="475"/>
      <c r="S6704" s="475"/>
      <c r="T6704" s="475"/>
      <c r="U6704" s="475"/>
      <c r="V6704" s="475"/>
      <c r="W6704" s="475"/>
    </row>
    <row r="6705" spans="2:23" s="97" customFormat="1">
      <c r="B6705" s="96"/>
      <c r="H6705" s="96"/>
      <c r="J6705" s="1"/>
      <c r="K6705" s="1"/>
      <c r="L6705" s="1"/>
      <c r="O6705" s="475"/>
      <c r="P6705" s="475"/>
      <c r="Q6705" s="475"/>
      <c r="R6705" s="475"/>
      <c r="S6705" s="475"/>
      <c r="T6705" s="475"/>
      <c r="U6705" s="475"/>
      <c r="V6705" s="475"/>
      <c r="W6705" s="475"/>
    </row>
    <row r="6706" spans="2:23" s="97" customFormat="1">
      <c r="B6706" s="96"/>
      <c r="H6706" s="96"/>
      <c r="J6706" s="1"/>
      <c r="K6706" s="1"/>
      <c r="L6706" s="1"/>
      <c r="O6706" s="475"/>
      <c r="P6706" s="475"/>
      <c r="Q6706" s="475"/>
      <c r="R6706" s="475"/>
      <c r="S6706" s="475"/>
      <c r="T6706" s="475"/>
      <c r="U6706" s="475"/>
      <c r="V6706" s="475"/>
      <c r="W6706" s="475"/>
    </row>
    <row r="6707" spans="2:23" s="97" customFormat="1">
      <c r="B6707" s="96"/>
      <c r="H6707" s="96"/>
      <c r="J6707" s="1"/>
      <c r="K6707" s="1"/>
      <c r="L6707" s="1"/>
      <c r="O6707" s="475"/>
      <c r="P6707" s="475"/>
      <c r="Q6707" s="475"/>
      <c r="R6707" s="475"/>
      <c r="S6707" s="475"/>
      <c r="T6707" s="475"/>
      <c r="U6707" s="475"/>
      <c r="V6707" s="475"/>
      <c r="W6707" s="475"/>
    </row>
    <row r="6708" spans="2:23" s="97" customFormat="1">
      <c r="B6708" s="96"/>
      <c r="H6708" s="96"/>
      <c r="J6708" s="1"/>
      <c r="K6708" s="1"/>
      <c r="L6708" s="1"/>
      <c r="O6708" s="475"/>
      <c r="P6708" s="475"/>
      <c r="Q6708" s="475"/>
      <c r="R6708" s="475"/>
      <c r="S6708" s="475"/>
      <c r="T6708" s="475"/>
      <c r="U6708" s="475"/>
      <c r="V6708" s="475"/>
      <c r="W6708" s="475"/>
    </row>
    <row r="6709" spans="2:23" s="97" customFormat="1">
      <c r="B6709" s="96"/>
      <c r="H6709" s="96"/>
      <c r="J6709" s="1"/>
      <c r="K6709" s="1"/>
      <c r="L6709" s="1"/>
      <c r="O6709" s="475"/>
      <c r="P6709" s="475"/>
      <c r="Q6709" s="475"/>
      <c r="R6709" s="475"/>
      <c r="S6709" s="475"/>
      <c r="T6709" s="475"/>
      <c r="U6709" s="475"/>
      <c r="V6709" s="475"/>
      <c r="W6709" s="475"/>
    </row>
    <row r="6710" spans="2:23" s="97" customFormat="1">
      <c r="B6710" s="96"/>
      <c r="H6710" s="96"/>
      <c r="J6710" s="1"/>
      <c r="K6710" s="1"/>
      <c r="L6710" s="1"/>
      <c r="O6710" s="475"/>
      <c r="P6710" s="475"/>
      <c r="Q6710" s="475"/>
      <c r="R6710" s="475"/>
      <c r="S6710" s="475"/>
      <c r="T6710" s="475"/>
      <c r="U6710" s="475"/>
      <c r="V6710" s="475"/>
      <c r="W6710" s="475"/>
    </row>
    <row r="6711" spans="2:23" s="97" customFormat="1">
      <c r="B6711" s="96"/>
      <c r="H6711" s="96"/>
      <c r="J6711" s="1"/>
      <c r="K6711" s="1"/>
      <c r="L6711" s="1"/>
      <c r="O6711" s="475"/>
      <c r="P6711" s="475"/>
      <c r="Q6711" s="475"/>
      <c r="R6711" s="475"/>
      <c r="S6711" s="475"/>
      <c r="T6711" s="475"/>
      <c r="U6711" s="475"/>
      <c r="V6711" s="475"/>
      <c r="W6711" s="475"/>
    </row>
    <row r="6712" spans="2:23" s="97" customFormat="1">
      <c r="B6712" s="96"/>
      <c r="H6712" s="96"/>
      <c r="J6712" s="1"/>
      <c r="K6712" s="1"/>
      <c r="L6712" s="1"/>
      <c r="O6712" s="475"/>
      <c r="P6712" s="475"/>
      <c r="Q6712" s="475"/>
      <c r="R6712" s="475"/>
      <c r="S6712" s="475"/>
      <c r="T6712" s="475"/>
      <c r="U6712" s="475"/>
      <c r="V6712" s="475"/>
      <c r="W6712" s="475"/>
    </row>
    <row r="6713" spans="2:23" s="97" customFormat="1">
      <c r="B6713" s="96"/>
      <c r="H6713" s="96"/>
      <c r="J6713" s="1"/>
      <c r="K6713" s="1"/>
      <c r="L6713" s="1"/>
      <c r="O6713" s="475"/>
      <c r="P6713" s="475"/>
      <c r="Q6713" s="475"/>
      <c r="R6713" s="475"/>
      <c r="S6713" s="475"/>
      <c r="T6713" s="475"/>
      <c r="U6713" s="475"/>
      <c r="V6713" s="475"/>
      <c r="W6713" s="475"/>
    </row>
    <row r="6714" spans="2:23" s="97" customFormat="1">
      <c r="B6714" s="96"/>
      <c r="H6714" s="96"/>
      <c r="J6714" s="1"/>
      <c r="K6714" s="1"/>
      <c r="L6714" s="1"/>
      <c r="O6714" s="475"/>
      <c r="P6714" s="475"/>
      <c r="Q6714" s="475"/>
      <c r="R6714" s="475"/>
      <c r="S6714" s="475"/>
      <c r="T6714" s="475"/>
      <c r="U6714" s="475"/>
      <c r="V6714" s="475"/>
      <c r="W6714" s="475"/>
    </row>
    <row r="6715" spans="2:23" s="97" customFormat="1">
      <c r="B6715" s="96"/>
      <c r="H6715" s="96"/>
      <c r="J6715" s="1"/>
      <c r="K6715" s="1"/>
      <c r="L6715" s="1"/>
      <c r="O6715" s="475"/>
      <c r="P6715" s="475"/>
      <c r="Q6715" s="475"/>
      <c r="R6715" s="475"/>
      <c r="S6715" s="475"/>
      <c r="T6715" s="475"/>
      <c r="U6715" s="475"/>
      <c r="V6715" s="475"/>
      <c r="W6715" s="475"/>
    </row>
    <row r="6716" spans="2:23" s="97" customFormat="1">
      <c r="B6716" s="96"/>
      <c r="H6716" s="96"/>
      <c r="J6716" s="1"/>
      <c r="K6716" s="1"/>
      <c r="L6716" s="1"/>
      <c r="O6716" s="475"/>
      <c r="P6716" s="475"/>
      <c r="Q6716" s="475"/>
      <c r="R6716" s="475"/>
      <c r="S6716" s="475"/>
      <c r="T6716" s="475"/>
      <c r="U6716" s="475"/>
      <c r="V6716" s="475"/>
      <c r="W6716" s="475"/>
    </row>
    <row r="6717" spans="2:23" s="97" customFormat="1">
      <c r="B6717" s="96"/>
      <c r="H6717" s="96"/>
      <c r="J6717" s="1"/>
      <c r="K6717" s="1"/>
      <c r="L6717" s="1"/>
      <c r="O6717" s="475"/>
      <c r="P6717" s="475"/>
      <c r="Q6717" s="475"/>
      <c r="R6717" s="475"/>
      <c r="S6717" s="475"/>
      <c r="T6717" s="475"/>
      <c r="U6717" s="475"/>
      <c r="V6717" s="475"/>
      <c r="W6717" s="475"/>
    </row>
    <row r="6718" spans="2:23" s="97" customFormat="1">
      <c r="B6718" s="96"/>
      <c r="H6718" s="96"/>
      <c r="J6718" s="1"/>
      <c r="K6718" s="1"/>
      <c r="L6718" s="1"/>
      <c r="O6718" s="475"/>
      <c r="P6718" s="475"/>
      <c r="Q6718" s="475"/>
      <c r="R6718" s="475"/>
      <c r="S6718" s="475"/>
      <c r="T6718" s="475"/>
      <c r="U6718" s="475"/>
      <c r="V6718" s="475"/>
      <c r="W6718" s="475"/>
    </row>
    <row r="6719" spans="2:23" s="97" customFormat="1">
      <c r="B6719" s="96"/>
      <c r="H6719" s="96"/>
      <c r="J6719" s="1"/>
      <c r="K6719" s="1"/>
      <c r="L6719" s="1"/>
      <c r="O6719" s="475"/>
      <c r="P6719" s="475"/>
      <c r="Q6719" s="475"/>
      <c r="R6719" s="475"/>
      <c r="S6719" s="475"/>
      <c r="T6719" s="475"/>
      <c r="U6719" s="475"/>
      <c r="V6719" s="475"/>
      <c r="W6719" s="475"/>
    </row>
    <row r="6720" spans="2:23" s="97" customFormat="1">
      <c r="B6720" s="96"/>
      <c r="H6720" s="96"/>
      <c r="J6720" s="1"/>
      <c r="K6720" s="1"/>
      <c r="L6720" s="1"/>
      <c r="O6720" s="475"/>
      <c r="P6720" s="475"/>
      <c r="Q6720" s="475"/>
      <c r="R6720" s="475"/>
      <c r="S6720" s="475"/>
      <c r="T6720" s="475"/>
      <c r="U6720" s="475"/>
      <c r="V6720" s="475"/>
      <c r="W6720" s="475"/>
    </row>
    <row r="6721" spans="2:23" s="97" customFormat="1">
      <c r="B6721" s="96"/>
      <c r="H6721" s="96"/>
      <c r="J6721" s="1"/>
      <c r="K6721" s="1"/>
      <c r="L6721" s="1"/>
      <c r="O6721" s="475"/>
      <c r="P6721" s="475"/>
      <c r="Q6721" s="475"/>
      <c r="R6721" s="475"/>
      <c r="S6721" s="475"/>
      <c r="T6721" s="475"/>
      <c r="U6721" s="475"/>
      <c r="V6721" s="475"/>
      <c r="W6721" s="475"/>
    </row>
    <row r="6722" spans="2:23" s="97" customFormat="1">
      <c r="B6722" s="96"/>
      <c r="H6722" s="96"/>
      <c r="J6722" s="1"/>
      <c r="K6722" s="1"/>
      <c r="L6722" s="1"/>
      <c r="O6722" s="475"/>
      <c r="P6722" s="475"/>
      <c r="Q6722" s="475"/>
      <c r="R6722" s="475"/>
      <c r="S6722" s="475"/>
      <c r="T6722" s="475"/>
      <c r="U6722" s="475"/>
      <c r="V6722" s="475"/>
      <c r="W6722" s="475"/>
    </row>
    <row r="6723" spans="2:23" s="97" customFormat="1">
      <c r="B6723" s="96"/>
      <c r="H6723" s="96"/>
      <c r="J6723" s="1"/>
      <c r="K6723" s="1"/>
      <c r="L6723" s="1"/>
      <c r="O6723" s="475"/>
      <c r="P6723" s="475"/>
      <c r="Q6723" s="475"/>
      <c r="R6723" s="475"/>
      <c r="S6723" s="475"/>
      <c r="T6723" s="475"/>
      <c r="U6723" s="475"/>
      <c r="V6723" s="475"/>
      <c r="W6723" s="475"/>
    </row>
    <row r="6724" spans="2:23" s="97" customFormat="1">
      <c r="B6724" s="96"/>
      <c r="H6724" s="96"/>
      <c r="J6724" s="1"/>
      <c r="K6724" s="1"/>
      <c r="L6724" s="1"/>
      <c r="O6724" s="475"/>
      <c r="P6724" s="475"/>
      <c r="Q6724" s="475"/>
      <c r="R6724" s="475"/>
      <c r="S6724" s="475"/>
      <c r="T6724" s="475"/>
      <c r="U6724" s="475"/>
      <c r="V6724" s="475"/>
      <c r="W6724" s="475"/>
    </row>
    <row r="6725" spans="2:23" s="97" customFormat="1">
      <c r="B6725" s="96"/>
      <c r="H6725" s="96"/>
      <c r="J6725" s="1"/>
      <c r="K6725" s="1"/>
      <c r="L6725" s="1"/>
      <c r="O6725" s="475"/>
      <c r="P6725" s="475"/>
      <c r="Q6725" s="475"/>
      <c r="R6725" s="475"/>
      <c r="S6725" s="475"/>
      <c r="T6725" s="475"/>
      <c r="U6725" s="475"/>
      <c r="V6725" s="475"/>
      <c r="W6725" s="475"/>
    </row>
    <row r="6726" spans="2:23" s="97" customFormat="1">
      <c r="B6726" s="96"/>
      <c r="H6726" s="96"/>
      <c r="J6726" s="1"/>
      <c r="K6726" s="1"/>
      <c r="L6726" s="1"/>
      <c r="O6726" s="475"/>
      <c r="P6726" s="475"/>
      <c r="Q6726" s="475"/>
      <c r="R6726" s="475"/>
      <c r="S6726" s="475"/>
      <c r="T6726" s="475"/>
      <c r="U6726" s="475"/>
      <c r="V6726" s="475"/>
      <c r="W6726" s="475"/>
    </row>
    <row r="6727" spans="2:23" s="97" customFormat="1">
      <c r="B6727" s="96"/>
      <c r="H6727" s="96"/>
      <c r="J6727" s="1"/>
      <c r="K6727" s="1"/>
      <c r="L6727" s="1"/>
      <c r="O6727" s="475"/>
      <c r="P6727" s="475"/>
      <c r="Q6727" s="475"/>
      <c r="R6727" s="475"/>
      <c r="S6727" s="475"/>
      <c r="T6727" s="475"/>
      <c r="U6727" s="475"/>
      <c r="V6727" s="475"/>
      <c r="W6727" s="475"/>
    </row>
    <row r="6728" spans="2:23" s="97" customFormat="1">
      <c r="B6728" s="96"/>
      <c r="H6728" s="96"/>
      <c r="J6728" s="1"/>
      <c r="K6728" s="1"/>
      <c r="L6728" s="1"/>
      <c r="O6728" s="475"/>
      <c r="P6728" s="475"/>
      <c r="Q6728" s="475"/>
      <c r="R6728" s="475"/>
      <c r="S6728" s="475"/>
      <c r="T6728" s="475"/>
      <c r="U6728" s="475"/>
      <c r="V6728" s="475"/>
      <c r="W6728" s="475"/>
    </row>
    <row r="6729" spans="2:23" s="97" customFormat="1">
      <c r="B6729" s="96"/>
      <c r="H6729" s="96"/>
      <c r="J6729" s="1"/>
      <c r="K6729" s="1"/>
      <c r="L6729" s="1"/>
      <c r="O6729" s="475"/>
      <c r="P6729" s="475"/>
      <c r="Q6729" s="475"/>
      <c r="R6729" s="475"/>
      <c r="S6729" s="475"/>
      <c r="T6729" s="475"/>
      <c r="U6729" s="475"/>
      <c r="V6729" s="475"/>
      <c r="W6729" s="475"/>
    </row>
    <row r="6730" spans="2:23" s="97" customFormat="1">
      <c r="B6730" s="96"/>
      <c r="H6730" s="96"/>
      <c r="J6730" s="1"/>
      <c r="K6730" s="1"/>
      <c r="L6730" s="1"/>
      <c r="O6730" s="475"/>
      <c r="P6730" s="475"/>
      <c r="Q6730" s="475"/>
      <c r="R6730" s="475"/>
      <c r="S6730" s="475"/>
      <c r="T6730" s="475"/>
      <c r="U6730" s="475"/>
      <c r="V6730" s="475"/>
      <c r="W6730" s="475"/>
    </row>
    <row r="6731" spans="2:23" s="97" customFormat="1">
      <c r="B6731" s="96"/>
      <c r="H6731" s="96"/>
      <c r="J6731" s="1"/>
      <c r="K6731" s="1"/>
      <c r="L6731" s="1"/>
      <c r="O6731" s="475"/>
      <c r="P6731" s="475"/>
      <c r="Q6731" s="475"/>
      <c r="R6731" s="475"/>
      <c r="S6731" s="475"/>
      <c r="T6731" s="475"/>
      <c r="U6731" s="475"/>
      <c r="V6731" s="475"/>
      <c r="W6731" s="475"/>
    </row>
    <row r="6732" spans="2:23" s="97" customFormat="1">
      <c r="B6732" s="96"/>
      <c r="H6732" s="96"/>
      <c r="J6732" s="1"/>
      <c r="K6732" s="1"/>
      <c r="L6732" s="1"/>
      <c r="O6732" s="475"/>
      <c r="P6732" s="475"/>
      <c r="Q6732" s="475"/>
      <c r="R6732" s="475"/>
      <c r="S6732" s="475"/>
      <c r="T6732" s="475"/>
      <c r="U6732" s="475"/>
      <c r="V6732" s="475"/>
      <c r="W6732" s="475"/>
    </row>
    <row r="6733" spans="2:23" s="97" customFormat="1">
      <c r="B6733" s="96"/>
      <c r="H6733" s="96"/>
      <c r="J6733" s="1"/>
      <c r="K6733" s="1"/>
      <c r="L6733" s="1"/>
      <c r="O6733" s="475"/>
      <c r="P6733" s="475"/>
      <c r="Q6733" s="475"/>
      <c r="R6733" s="475"/>
      <c r="S6733" s="475"/>
      <c r="T6733" s="475"/>
      <c r="U6733" s="475"/>
      <c r="V6733" s="475"/>
      <c r="W6733" s="475"/>
    </row>
    <row r="6734" spans="2:23" s="97" customFormat="1">
      <c r="B6734" s="96"/>
      <c r="H6734" s="96"/>
      <c r="J6734" s="1"/>
      <c r="K6734" s="1"/>
      <c r="L6734" s="1"/>
      <c r="O6734" s="475"/>
      <c r="P6734" s="475"/>
      <c r="Q6734" s="475"/>
      <c r="R6734" s="475"/>
      <c r="S6734" s="475"/>
      <c r="T6734" s="475"/>
      <c r="U6734" s="475"/>
      <c r="V6734" s="475"/>
      <c r="W6734" s="475"/>
    </row>
    <row r="6735" spans="2:23" s="97" customFormat="1">
      <c r="B6735" s="96"/>
      <c r="H6735" s="96"/>
      <c r="J6735" s="1"/>
      <c r="K6735" s="1"/>
      <c r="L6735" s="1"/>
      <c r="O6735" s="475"/>
      <c r="P6735" s="475"/>
      <c r="Q6735" s="475"/>
      <c r="R6735" s="475"/>
      <c r="S6735" s="475"/>
      <c r="T6735" s="475"/>
      <c r="U6735" s="475"/>
      <c r="V6735" s="475"/>
      <c r="W6735" s="475"/>
    </row>
    <row r="6736" spans="2:23" s="97" customFormat="1">
      <c r="B6736" s="96"/>
      <c r="H6736" s="96"/>
      <c r="J6736" s="1"/>
      <c r="K6736" s="1"/>
      <c r="L6736" s="1"/>
      <c r="O6736" s="475"/>
      <c r="P6736" s="475"/>
      <c r="Q6736" s="475"/>
      <c r="R6736" s="475"/>
      <c r="S6736" s="475"/>
      <c r="T6736" s="475"/>
      <c r="U6736" s="475"/>
      <c r="V6736" s="475"/>
      <c r="W6736" s="475"/>
    </row>
    <row r="6737" spans="2:23" s="97" customFormat="1">
      <c r="B6737" s="96"/>
      <c r="H6737" s="96"/>
      <c r="J6737" s="1"/>
      <c r="K6737" s="1"/>
      <c r="L6737" s="1"/>
      <c r="O6737" s="475"/>
      <c r="P6737" s="475"/>
      <c r="Q6737" s="475"/>
      <c r="R6737" s="475"/>
      <c r="S6737" s="475"/>
      <c r="T6737" s="475"/>
      <c r="U6737" s="475"/>
      <c r="V6737" s="475"/>
      <c r="W6737" s="475"/>
    </row>
    <row r="6738" spans="2:23" s="97" customFormat="1">
      <c r="B6738" s="96"/>
      <c r="H6738" s="96"/>
      <c r="J6738" s="1"/>
      <c r="K6738" s="1"/>
      <c r="L6738" s="1"/>
      <c r="O6738" s="475"/>
      <c r="P6738" s="475"/>
      <c r="Q6738" s="475"/>
      <c r="R6738" s="475"/>
      <c r="S6738" s="475"/>
      <c r="T6738" s="475"/>
      <c r="U6738" s="475"/>
      <c r="V6738" s="475"/>
      <c r="W6738" s="475"/>
    </row>
    <row r="6739" spans="2:23" s="97" customFormat="1">
      <c r="B6739" s="96"/>
      <c r="H6739" s="96"/>
      <c r="J6739" s="1"/>
      <c r="K6739" s="1"/>
      <c r="L6739" s="1"/>
      <c r="O6739" s="475"/>
      <c r="P6739" s="475"/>
      <c r="Q6739" s="475"/>
      <c r="R6739" s="475"/>
      <c r="S6739" s="475"/>
      <c r="T6739" s="475"/>
      <c r="U6739" s="475"/>
      <c r="V6739" s="475"/>
      <c r="W6739" s="475"/>
    </row>
    <row r="6740" spans="2:23" s="97" customFormat="1">
      <c r="B6740" s="96"/>
      <c r="H6740" s="96"/>
      <c r="J6740" s="1"/>
      <c r="K6740" s="1"/>
      <c r="L6740" s="1"/>
      <c r="O6740" s="475"/>
      <c r="P6740" s="475"/>
      <c r="Q6740" s="475"/>
      <c r="R6740" s="475"/>
      <c r="S6740" s="475"/>
      <c r="T6740" s="475"/>
      <c r="U6740" s="475"/>
      <c r="V6740" s="475"/>
      <c r="W6740" s="475"/>
    </row>
    <row r="6741" spans="2:23" s="97" customFormat="1">
      <c r="B6741" s="96"/>
      <c r="H6741" s="96"/>
      <c r="J6741" s="1"/>
      <c r="K6741" s="1"/>
      <c r="L6741" s="1"/>
      <c r="O6741" s="475"/>
      <c r="P6741" s="475"/>
      <c r="Q6741" s="475"/>
      <c r="R6741" s="475"/>
      <c r="S6741" s="475"/>
      <c r="T6741" s="475"/>
      <c r="U6741" s="475"/>
      <c r="V6741" s="475"/>
      <c r="W6741" s="475"/>
    </row>
    <row r="6742" spans="2:23" s="97" customFormat="1">
      <c r="B6742" s="96"/>
      <c r="H6742" s="96"/>
      <c r="J6742" s="1"/>
      <c r="K6742" s="1"/>
      <c r="L6742" s="1"/>
      <c r="O6742" s="475"/>
      <c r="P6742" s="475"/>
      <c r="Q6742" s="475"/>
      <c r="R6742" s="475"/>
      <c r="S6742" s="475"/>
      <c r="T6742" s="475"/>
      <c r="U6742" s="475"/>
      <c r="V6742" s="475"/>
      <c r="W6742" s="475"/>
    </row>
    <row r="6743" spans="2:23" s="97" customFormat="1">
      <c r="B6743" s="96"/>
      <c r="H6743" s="96"/>
      <c r="J6743" s="1"/>
      <c r="K6743" s="1"/>
      <c r="L6743" s="1"/>
      <c r="O6743" s="475"/>
      <c r="P6743" s="475"/>
      <c r="Q6743" s="475"/>
      <c r="R6743" s="475"/>
      <c r="S6743" s="475"/>
      <c r="T6743" s="475"/>
      <c r="U6743" s="475"/>
      <c r="V6743" s="475"/>
      <c r="W6743" s="475"/>
    </row>
    <row r="6744" spans="2:23" s="97" customFormat="1">
      <c r="B6744" s="96"/>
      <c r="H6744" s="96"/>
      <c r="J6744" s="1"/>
      <c r="K6744" s="1"/>
      <c r="L6744" s="1"/>
      <c r="O6744" s="475"/>
      <c r="P6744" s="475"/>
      <c r="Q6744" s="475"/>
      <c r="R6744" s="475"/>
      <c r="S6744" s="475"/>
      <c r="T6744" s="475"/>
      <c r="U6744" s="475"/>
      <c r="V6744" s="475"/>
      <c r="W6744" s="475"/>
    </row>
    <row r="6745" spans="2:23" s="97" customFormat="1">
      <c r="B6745" s="96"/>
      <c r="H6745" s="96"/>
      <c r="J6745" s="1"/>
      <c r="K6745" s="1"/>
      <c r="L6745" s="1"/>
      <c r="O6745" s="475"/>
      <c r="P6745" s="475"/>
      <c r="Q6745" s="475"/>
      <c r="R6745" s="475"/>
      <c r="S6745" s="475"/>
      <c r="T6745" s="475"/>
      <c r="U6745" s="475"/>
      <c r="V6745" s="475"/>
      <c r="W6745" s="475"/>
    </row>
    <row r="6746" spans="2:23" s="97" customFormat="1">
      <c r="B6746" s="96"/>
      <c r="H6746" s="96"/>
      <c r="J6746" s="1"/>
      <c r="K6746" s="1"/>
      <c r="L6746" s="1"/>
      <c r="O6746" s="475"/>
      <c r="P6746" s="475"/>
      <c r="Q6746" s="475"/>
      <c r="R6746" s="475"/>
      <c r="S6746" s="475"/>
      <c r="T6746" s="475"/>
      <c r="U6746" s="475"/>
      <c r="V6746" s="475"/>
      <c r="W6746" s="475"/>
    </row>
    <row r="6747" spans="2:23" s="97" customFormat="1">
      <c r="B6747" s="96"/>
      <c r="H6747" s="96"/>
      <c r="J6747" s="1"/>
      <c r="K6747" s="1"/>
      <c r="L6747" s="1"/>
      <c r="O6747" s="475"/>
      <c r="P6747" s="475"/>
      <c r="Q6747" s="475"/>
      <c r="R6747" s="475"/>
      <c r="S6747" s="475"/>
      <c r="T6747" s="475"/>
      <c r="U6747" s="475"/>
      <c r="V6747" s="475"/>
      <c r="W6747" s="475"/>
    </row>
    <row r="6748" spans="2:23" s="97" customFormat="1">
      <c r="B6748" s="96"/>
      <c r="H6748" s="96"/>
      <c r="J6748" s="1"/>
      <c r="K6748" s="1"/>
      <c r="L6748" s="1"/>
      <c r="O6748" s="475"/>
      <c r="P6748" s="475"/>
      <c r="Q6748" s="475"/>
      <c r="R6748" s="475"/>
      <c r="S6748" s="475"/>
      <c r="T6748" s="475"/>
      <c r="U6748" s="475"/>
      <c r="V6748" s="475"/>
      <c r="W6748" s="475"/>
    </row>
    <row r="6749" spans="2:23" s="97" customFormat="1">
      <c r="B6749" s="96"/>
      <c r="H6749" s="96"/>
      <c r="J6749" s="1"/>
      <c r="K6749" s="1"/>
      <c r="L6749" s="1"/>
      <c r="O6749" s="475"/>
      <c r="P6749" s="475"/>
      <c r="Q6749" s="475"/>
      <c r="R6749" s="475"/>
      <c r="S6749" s="475"/>
      <c r="T6749" s="475"/>
      <c r="U6749" s="475"/>
      <c r="V6749" s="475"/>
      <c r="W6749" s="475"/>
    </row>
    <row r="6750" spans="2:23" s="97" customFormat="1">
      <c r="B6750" s="96"/>
      <c r="H6750" s="96"/>
      <c r="J6750" s="1"/>
      <c r="K6750" s="1"/>
      <c r="L6750" s="1"/>
      <c r="O6750" s="475"/>
      <c r="P6750" s="475"/>
      <c r="Q6750" s="475"/>
      <c r="R6750" s="475"/>
      <c r="S6750" s="475"/>
      <c r="T6750" s="475"/>
      <c r="U6750" s="475"/>
      <c r="V6750" s="475"/>
      <c r="W6750" s="475"/>
    </row>
    <row r="6751" spans="2:23" s="97" customFormat="1">
      <c r="B6751" s="96"/>
      <c r="H6751" s="96"/>
      <c r="J6751" s="1"/>
      <c r="K6751" s="1"/>
      <c r="L6751" s="1"/>
      <c r="O6751" s="475"/>
      <c r="P6751" s="475"/>
      <c r="Q6751" s="475"/>
      <c r="R6751" s="475"/>
      <c r="S6751" s="475"/>
      <c r="T6751" s="475"/>
      <c r="U6751" s="475"/>
      <c r="V6751" s="475"/>
      <c r="W6751" s="475"/>
    </row>
    <row r="6752" spans="2:23" s="97" customFormat="1">
      <c r="B6752" s="96"/>
      <c r="H6752" s="96"/>
      <c r="J6752" s="1"/>
      <c r="K6752" s="1"/>
      <c r="L6752" s="1"/>
      <c r="O6752" s="475"/>
      <c r="P6752" s="475"/>
      <c r="Q6752" s="475"/>
      <c r="R6752" s="475"/>
      <c r="S6752" s="475"/>
      <c r="T6752" s="475"/>
      <c r="U6752" s="475"/>
      <c r="V6752" s="475"/>
      <c r="W6752" s="475"/>
    </row>
    <row r="6753" spans="2:23" s="97" customFormat="1">
      <c r="B6753" s="96"/>
      <c r="H6753" s="96"/>
      <c r="J6753" s="1"/>
      <c r="K6753" s="1"/>
      <c r="L6753" s="1"/>
      <c r="O6753" s="475"/>
      <c r="P6753" s="475"/>
      <c r="Q6753" s="475"/>
      <c r="R6753" s="475"/>
      <c r="S6753" s="475"/>
      <c r="T6753" s="475"/>
      <c r="U6753" s="475"/>
      <c r="V6753" s="475"/>
      <c r="W6753" s="475"/>
    </row>
    <row r="6754" spans="2:23" s="97" customFormat="1">
      <c r="B6754" s="96"/>
      <c r="H6754" s="96"/>
      <c r="J6754" s="1"/>
      <c r="K6754" s="1"/>
      <c r="L6754" s="1"/>
      <c r="O6754" s="475"/>
      <c r="P6754" s="475"/>
      <c r="Q6754" s="475"/>
      <c r="R6754" s="475"/>
      <c r="S6754" s="475"/>
      <c r="T6754" s="475"/>
      <c r="U6754" s="475"/>
      <c r="V6754" s="475"/>
      <c r="W6754" s="475"/>
    </row>
    <row r="6755" spans="2:23" s="97" customFormat="1">
      <c r="B6755" s="96"/>
      <c r="H6755" s="96"/>
      <c r="J6755" s="1"/>
      <c r="K6755" s="1"/>
      <c r="L6755" s="1"/>
      <c r="O6755" s="475"/>
      <c r="P6755" s="475"/>
      <c r="Q6755" s="475"/>
      <c r="R6755" s="475"/>
      <c r="S6755" s="475"/>
      <c r="T6755" s="475"/>
      <c r="U6755" s="475"/>
      <c r="V6755" s="475"/>
      <c r="W6755" s="475"/>
    </row>
    <row r="6756" spans="2:23" s="97" customFormat="1">
      <c r="B6756" s="96"/>
      <c r="H6756" s="96"/>
      <c r="J6756" s="1"/>
      <c r="K6756" s="1"/>
      <c r="L6756" s="1"/>
      <c r="O6756" s="475"/>
      <c r="P6756" s="475"/>
      <c r="Q6756" s="475"/>
      <c r="R6756" s="475"/>
      <c r="S6756" s="475"/>
      <c r="T6756" s="475"/>
      <c r="U6756" s="475"/>
      <c r="V6756" s="475"/>
      <c r="W6756" s="475"/>
    </row>
    <row r="6757" spans="2:23" s="97" customFormat="1">
      <c r="B6757" s="96"/>
      <c r="H6757" s="96"/>
      <c r="J6757" s="1"/>
      <c r="K6757" s="1"/>
      <c r="L6757" s="1"/>
      <c r="O6757" s="475"/>
      <c r="P6757" s="475"/>
      <c r="Q6757" s="475"/>
      <c r="R6757" s="475"/>
      <c r="S6757" s="475"/>
      <c r="T6757" s="475"/>
      <c r="U6757" s="475"/>
      <c r="V6757" s="475"/>
      <c r="W6757" s="475"/>
    </row>
    <row r="6758" spans="2:23" s="97" customFormat="1">
      <c r="B6758" s="96"/>
      <c r="H6758" s="96"/>
      <c r="J6758" s="1"/>
      <c r="K6758" s="1"/>
      <c r="L6758" s="1"/>
      <c r="O6758" s="475"/>
      <c r="P6758" s="475"/>
      <c r="Q6758" s="475"/>
      <c r="R6758" s="475"/>
      <c r="S6758" s="475"/>
      <c r="T6758" s="475"/>
      <c r="U6758" s="475"/>
      <c r="V6758" s="475"/>
      <c r="W6758" s="475"/>
    </row>
    <row r="6759" spans="2:23" s="97" customFormat="1">
      <c r="B6759" s="96"/>
      <c r="H6759" s="96"/>
      <c r="J6759" s="1"/>
      <c r="K6759" s="1"/>
      <c r="L6759" s="1"/>
      <c r="O6759" s="475"/>
      <c r="P6759" s="475"/>
      <c r="Q6759" s="475"/>
      <c r="R6759" s="475"/>
      <c r="S6759" s="475"/>
      <c r="T6759" s="475"/>
      <c r="U6759" s="475"/>
      <c r="V6759" s="475"/>
      <c r="W6759" s="475"/>
    </row>
    <row r="6760" spans="2:23" s="97" customFormat="1">
      <c r="B6760" s="96"/>
      <c r="H6760" s="96"/>
      <c r="J6760" s="1"/>
      <c r="K6760" s="1"/>
      <c r="L6760" s="1"/>
      <c r="O6760" s="475"/>
      <c r="P6760" s="475"/>
      <c r="Q6760" s="475"/>
      <c r="R6760" s="475"/>
      <c r="S6760" s="475"/>
      <c r="T6760" s="475"/>
      <c r="U6760" s="475"/>
      <c r="V6760" s="475"/>
      <c r="W6760" s="475"/>
    </row>
    <row r="6761" spans="2:23" s="97" customFormat="1">
      <c r="B6761" s="96"/>
      <c r="H6761" s="96"/>
      <c r="J6761" s="1"/>
      <c r="K6761" s="1"/>
      <c r="L6761" s="1"/>
      <c r="O6761" s="475"/>
      <c r="P6761" s="475"/>
      <c r="Q6761" s="475"/>
      <c r="R6761" s="475"/>
      <c r="S6761" s="475"/>
      <c r="T6761" s="475"/>
      <c r="U6761" s="475"/>
      <c r="V6761" s="475"/>
      <c r="W6761" s="475"/>
    </row>
    <row r="6762" spans="2:23" s="97" customFormat="1">
      <c r="B6762" s="96"/>
      <c r="H6762" s="96"/>
      <c r="J6762" s="1"/>
      <c r="K6762" s="1"/>
      <c r="L6762" s="1"/>
      <c r="O6762" s="475"/>
      <c r="P6762" s="475"/>
      <c r="Q6762" s="475"/>
      <c r="R6762" s="475"/>
      <c r="S6762" s="475"/>
      <c r="T6762" s="475"/>
      <c r="U6762" s="475"/>
      <c r="V6762" s="475"/>
      <c r="W6762" s="475"/>
    </row>
    <row r="6763" spans="2:23" s="97" customFormat="1">
      <c r="B6763" s="96"/>
      <c r="H6763" s="96"/>
      <c r="J6763" s="1"/>
      <c r="K6763" s="1"/>
      <c r="L6763" s="1"/>
      <c r="O6763" s="475"/>
      <c r="P6763" s="475"/>
      <c r="Q6763" s="475"/>
      <c r="R6763" s="475"/>
      <c r="S6763" s="475"/>
      <c r="T6763" s="475"/>
      <c r="U6763" s="475"/>
      <c r="V6763" s="475"/>
      <c r="W6763" s="475"/>
    </row>
    <row r="6764" spans="2:23" s="97" customFormat="1">
      <c r="B6764" s="96"/>
      <c r="H6764" s="96"/>
      <c r="J6764" s="1"/>
      <c r="K6764" s="1"/>
      <c r="L6764" s="1"/>
      <c r="O6764" s="475"/>
      <c r="P6764" s="475"/>
      <c r="Q6764" s="475"/>
      <c r="R6764" s="475"/>
      <c r="S6764" s="475"/>
      <c r="T6764" s="475"/>
      <c r="U6764" s="475"/>
      <c r="V6764" s="475"/>
      <c r="W6764" s="475"/>
    </row>
    <row r="6765" spans="2:23" s="97" customFormat="1">
      <c r="B6765" s="96"/>
      <c r="H6765" s="96"/>
      <c r="J6765" s="1"/>
      <c r="K6765" s="1"/>
      <c r="L6765" s="1"/>
      <c r="O6765" s="475"/>
      <c r="P6765" s="475"/>
      <c r="Q6765" s="475"/>
      <c r="R6765" s="475"/>
      <c r="S6765" s="475"/>
      <c r="T6765" s="475"/>
      <c r="U6765" s="475"/>
      <c r="V6765" s="475"/>
      <c r="W6765" s="475"/>
    </row>
    <row r="6766" spans="2:23" s="97" customFormat="1">
      <c r="B6766" s="96"/>
      <c r="H6766" s="96"/>
      <c r="J6766" s="1"/>
      <c r="K6766" s="1"/>
      <c r="L6766" s="1"/>
      <c r="O6766" s="475"/>
      <c r="P6766" s="475"/>
      <c r="Q6766" s="475"/>
      <c r="R6766" s="475"/>
      <c r="S6766" s="475"/>
      <c r="T6766" s="475"/>
      <c r="U6766" s="475"/>
      <c r="V6766" s="475"/>
      <c r="W6766" s="475"/>
    </row>
    <row r="6767" spans="2:23" s="97" customFormat="1">
      <c r="B6767" s="96"/>
      <c r="H6767" s="96"/>
      <c r="J6767" s="1"/>
      <c r="K6767" s="1"/>
      <c r="L6767" s="1"/>
      <c r="O6767" s="475"/>
      <c r="P6767" s="475"/>
      <c r="Q6767" s="475"/>
      <c r="R6767" s="475"/>
      <c r="S6767" s="475"/>
      <c r="T6767" s="475"/>
      <c r="U6767" s="475"/>
      <c r="V6767" s="475"/>
      <c r="W6767" s="475"/>
    </row>
    <row r="6768" spans="2:23" s="97" customFormat="1">
      <c r="B6768" s="96"/>
      <c r="H6768" s="96"/>
      <c r="J6768" s="1"/>
      <c r="K6768" s="1"/>
      <c r="L6768" s="1"/>
      <c r="O6768" s="475"/>
      <c r="P6768" s="475"/>
      <c r="Q6768" s="475"/>
      <c r="R6768" s="475"/>
      <c r="S6768" s="475"/>
      <c r="T6768" s="475"/>
      <c r="U6768" s="475"/>
      <c r="V6768" s="475"/>
      <c r="W6768" s="475"/>
    </row>
    <row r="6769" spans="2:23" s="97" customFormat="1">
      <c r="B6769" s="96"/>
      <c r="H6769" s="96"/>
      <c r="J6769" s="1"/>
      <c r="K6769" s="1"/>
      <c r="L6769" s="1"/>
      <c r="O6769" s="475"/>
      <c r="P6769" s="475"/>
      <c r="Q6769" s="475"/>
      <c r="R6769" s="475"/>
      <c r="S6769" s="475"/>
      <c r="T6769" s="475"/>
      <c r="U6769" s="475"/>
      <c r="V6769" s="475"/>
      <c r="W6769" s="475"/>
    </row>
    <row r="6770" spans="2:23" s="97" customFormat="1">
      <c r="B6770" s="96"/>
      <c r="H6770" s="96"/>
      <c r="J6770" s="1"/>
      <c r="K6770" s="1"/>
      <c r="L6770" s="1"/>
      <c r="O6770" s="475"/>
      <c r="P6770" s="475"/>
      <c r="Q6770" s="475"/>
      <c r="R6770" s="475"/>
      <c r="S6770" s="475"/>
      <c r="T6770" s="475"/>
      <c r="U6770" s="475"/>
      <c r="V6770" s="475"/>
      <c r="W6770" s="475"/>
    </row>
    <row r="6771" spans="2:23" s="97" customFormat="1">
      <c r="B6771" s="96"/>
      <c r="H6771" s="96"/>
      <c r="J6771" s="1"/>
      <c r="K6771" s="1"/>
      <c r="L6771" s="1"/>
      <c r="O6771" s="475"/>
      <c r="P6771" s="475"/>
      <c r="Q6771" s="475"/>
      <c r="R6771" s="475"/>
      <c r="S6771" s="475"/>
      <c r="T6771" s="475"/>
      <c r="U6771" s="475"/>
      <c r="V6771" s="475"/>
      <c r="W6771" s="475"/>
    </row>
    <row r="6772" spans="2:23" s="97" customFormat="1">
      <c r="B6772" s="96"/>
      <c r="H6772" s="96"/>
      <c r="J6772" s="1"/>
      <c r="K6772" s="1"/>
      <c r="L6772" s="1"/>
      <c r="O6772" s="475"/>
      <c r="P6772" s="475"/>
      <c r="Q6772" s="475"/>
      <c r="R6772" s="475"/>
      <c r="S6772" s="475"/>
      <c r="T6772" s="475"/>
      <c r="U6772" s="475"/>
      <c r="V6772" s="475"/>
      <c r="W6772" s="475"/>
    </row>
    <row r="6773" spans="2:23" s="97" customFormat="1">
      <c r="B6773" s="96"/>
      <c r="H6773" s="96"/>
      <c r="J6773" s="1"/>
      <c r="K6773" s="1"/>
      <c r="L6773" s="1"/>
      <c r="O6773" s="475"/>
      <c r="P6773" s="475"/>
      <c r="Q6773" s="475"/>
      <c r="R6773" s="475"/>
      <c r="S6773" s="475"/>
      <c r="T6773" s="475"/>
      <c r="U6773" s="475"/>
      <c r="V6773" s="475"/>
      <c r="W6773" s="475"/>
    </row>
    <row r="6774" spans="2:23" s="97" customFormat="1">
      <c r="B6774" s="96"/>
      <c r="H6774" s="96"/>
      <c r="J6774" s="1"/>
      <c r="K6774" s="1"/>
      <c r="L6774" s="1"/>
      <c r="O6774" s="475"/>
      <c r="P6774" s="475"/>
      <c r="Q6774" s="475"/>
      <c r="R6774" s="475"/>
      <c r="S6774" s="475"/>
      <c r="T6774" s="475"/>
      <c r="U6774" s="475"/>
      <c r="V6774" s="475"/>
      <c r="W6774" s="475"/>
    </row>
    <row r="6775" spans="2:23" s="97" customFormat="1">
      <c r="B6775" s="96"/>
      <c r="H6775" s="96"/>
      <c r="J6775" s="1"/>
      <c r="K6775" s="1"/>
      <c r="L6775" s="1"/>
      <c r="O6775" s="475"/>
      <c r="P6775" s="475"/>
      <c r="Q6775" s="475"/>
      <c r="R6775" s="475"/>
      <c r="S6775" s="475"/>
      <c r="T6775" s="475"/>
      <c r="U6775" s="475"/>
      <c r="V6775" s="475"/>
      <c r="W6775" s="475"/>
    </row>
    <row r="6776" spans="2:23" s="97" customFormat="1">
      <c r="B6776" s="96"/>
      <c r="H6776" s="96"/>
      <c r="J6776" s="1"/>
      <c r="K6776" s="1"/>
      <c r="L6776" s="1"/>
      <c r="O6776" s="475"/>
      <c r="P6776" s="475"/>
      <c r="Q6776" s="475"/>
      <c r="R6776" s="475"/>
      <c r="S6776" s="475"/>
      <c r="T6776" s="475"/>
      <c r="U6776" s="475"/>
      <c r="V6776" s="475"/>
      <c r="W6776" s="475"/>
    </row>
    <row r="6777" spans="2:23" s="97" customFormat="1">
      <c r="B6777" s="96"/>
      <c r="H6777" s="96"/>
      <c r="J6777" s="1"/>
      <c r="K6777" s="1"/>
      <c r="L6777" s="1"/>
      <c r="O6777" s="475"/>
      <c r="P6777" s="475"/>
      <c r="Q6777" s="475"/>
      <c r="R6777" s="475"/>
      <c r="S6777" s="475"/>
      <c r="T6777" s="475"/>
      <c r="U6777" s="475"/>
      <c r="V6777" s="475"/>
      <c r="W6777" s="475"/>
    </row>
    <row r="6778" spans="2:23" s="97" customFormat="1">
      <c r="B6778" s="96"/>
      <c r="H6778" s="96"/>
      <c r="J6778" s="1"/>
      <c r="K6778" s="1"/>
      <c r="L6778" s="1"/>
      <c r="O6778" s="475"/>
      <c r="P6778" s="475"/>
      <c r="Q6778" s="475"/>
      <c r="R6778" s="475"/>
      <c r="S6778" s="475"/>
      <c r="T6778" s="475"/>
      <c r="U6778" s="475"/>
      <c r="V6778" s="475"/>
      <c r="W6778" s="475"/>
    </row>
    <row r="6779" spans="2:23" s="97" customFormat="1">
      <c r="B6779" s="96"/>
      <c r="H6779" s="96"/>
      <c r="J6779" s="1"/>
      <c r="K6779" s="1"/>
      <c r="L6779" s="1"/>
      <c r="O6779" s="475"/>
      <c r="P6779" s="475"/>
      <c r="Q6779" s="475"/>
      <c r="R6779" s="475"/>
      <c r="S6779" s="475"/>
      <c r="T6779" s="475"/>
      <c r="U6779" s="475"/>
      <c r="V6779" s="475"/>
      <c r="W6779" s="475"/>
    </row>
    <row r="6780" spans="2:23" s="97" customFormat="1">
      <c r="B6780" s="96"/>
      <c r="H6780" s="96"/>
      <c r="J6780" s="1"/>
      <c r="K6780" s="1"/>
      <c r="L6780" s="1"/>
      <c r="O6780" s="475"/>
      <c r="P6780" s="475"/>
      <c r="Q6780" s="475"/>
      <c r="R6780" s="475"/>
      <c r="S6780" s="475"/>
      <c r="T6780" s="475"/>
      <c r="U6780" s="475"/>
      <c r="V6780" s="475"/>
      <c r="W6780" s="475"/>
    </row>
    <row r="6781" spans="2:23" s="97" customFormat="1">
      <c r="B6781" s="96"/>
      <c r="H6781" s="96"/>
      <c r="J6781" s="1"/>
      <c r="K6781" s="1"/>
      <c r="L6781" s="1"/>
      <c r="O6781" s="475"/>
      <c r="P6781" s="475"/>
      <c r="Q6781" s="475"/>
      <c r="R6781" s="475"/>
      <c r="S6781" s="475"/>
      <c r="T6781" s="475"/>
      <c r="U6781" s="475"/>
      <c r="V6781" s="475"/>
      <c r="W6781" s="475"/>
    </row>
    <row r="6782" spans="2:23" s="97" customFormat="1">
      <c r="B6782" s="96"/>
      <c r="H6782" s="96"/>
      <c r="J6782" s="1"/>
      <c r="K6782" s="1"/>
      <c r="L6782" s="1"/>
      <c r="O6782" s="475"/>
      <c r="P6782" s="475"/>
      <c r="Q6782" s="475"/>
      <c r="R6782" s="475"/>
      <c r="S6782" s="475"/>
      <c r="T6782" s="475"/>
      <c r="U6782" s="475"/>
      <c r="V6782" s="475"/>
      <c r="W6782" s="475"/>
    </row>
    <row r="6783" spans="2:23" s="97" customFormat="1">
      <c r="B6783" s="96"/>
      <c r="H6783" s="96"/>
      <c r="J6783" s="1"/>
      <c r="K6783" s="1"/>
      <c r="L6783" s="1"/>
      <c r="O6783" s="475"/>
      <c r="P6783" s="475"/>
      <c r="Q6783" s="475"/>
      <c r="R6783" s="475"/>
      <c r="S6783" s="475"/>
      <c r="T6783" s="475"/>
      <c r="U6783" s="475"/>
      <c r="V6783" s="475"/>
      <c r="W6783" s="475"/>
    </row>
    <row r="6784" spans="2:23" s="97" customFormat="1">
      <c r="B6784" s="96"/>
      <c r="H6784" s="96"/>
      <c r="J6784" s="1"/>
      <c r="K6784" s="1"/>
      <c r="L6784" s="1"/>
      <c r="O6784" s="475"/>
      <c r="P6784" s="475"/>
      <c r="Q6784" s="475"/>
      <c r="R6784" s="475"/>
      <c r="S6784" s="475"/>
      <c r="T6784" s="475"/>
      <c r="U6784" s="475"/>
      <c r="V6784" s="475"/>
      <c r="W6784" s="475"/>
    </row>
    <row r="6785" spans="2:23" s="97" customFormat="1">
      <c r="B6785" s="96"/>
      <c r="H6785" s="96"/>
      <c r="J6785" s="1"/>
      <c r="K6785" s="1"/>
      <c r="L6785" s="1"/>
      <c r="O6785" s="475"/>
      <c r="P6785" s="475"/>
      <c r="Q6785" s="475"/>
      <c r="R6785" s="475"/>
      <c r="S6785" s="475"/>
      <c r="T6785" s="475"/>
      <c r="U6785" s="475"/>
      <c r="V6785" s="475"/>
      <c r="W6785" s="475"/>
    </row>
    <row r="6786" spans="2:23" s="97" customFormat="1">
      <c r="B6786" s="96"/>
      <c r="H6786" s="96"/>
      <c r="J6786" s="1"/>
      <c r="K6786" s="1"/>
      <c r="L6786" s="1"/>
      <c r="O6786" s="475"/>
      <c r="P6786" s="475"/>
      <c r="Q6786" s="475"/>
      <c r="R6786" s="475"/>
      <c r="S6786" s="475"/>
      <c r="T6786" s="475"/>
      <c r="U6786" s="475"/>
      <c r="V6786" s="475"/>
      <c r="W6786" s="475"/>
    </row>
    <row r="6787" spans="2:23" s="97" customFormat="1">
      <c r="B6787" s="96"/>
      <c r="H6787" s="96"/>
      <c r="J6787" s="1"/>
      <c r="K6787" s="1"/>
      <c r="L6787" s="1"/>
      <c r="O6787" s="475"/>
      <c r="P6787" s="475"/>
      <c r="Q6787" s="475"/>
      <c r="R6787" s="475"/>
      <c r="S6787" s="475"/>
      <c r="T6787" s="475"/>
      <c r="U6787" s="475"/>
      <c r="V6787" s="475"/>
      <c r="W6787" s="475"/>
    </row>
    <row r="6788" spans="2:23" s="97" customFormat="1">
      <c r="B6788" s="96"/>
      <c r="H6788" s="96"/>
      <c r="J6788" s="1"/>
      <c r="K6788" s="1"/>
      <c r="L6788" s="1"/>
      <c r="O6788" s="475"/>
      <c r="P6788" s="475"/>
      <c r="Q6788" s="475"/>
      <c r="R6788" s="475"/>
      <c r="S6788" s="475"/>
      <c r="T6788" s="475"/>
      <c r="U6788" s="475"/>
      <c r="V6788" s="475"/>
      <c r="W6788" s="475"/>
    </row>
    <row r="6789" spans="2:23" s="97" customFormat="1">
      <c r="B6789" s="96"/>
      <c r="H6789" s="96"/>
      <c r="J6789" s="1"/>
      <c r="K6789" s="1"/>
      <c r="L6789" s="1"/>
      <c r="O6789" s="475"/>
      <c r="P6789" s="475"/>
      <c r="Q6789" s="475"/>
      <c r="R6789" s="475"/>
      <c r="S6789" s="475"/>
      <c r="T6789" s="475"/>
      <c r="U6789" s="475"/>
      <c r="V6789" s="475"/>
      <c r="W6789" s="475"/>
    </row>
    <row r="6790" spans="2:23" s="97" customFormat="1">
      <c r="B6790" s="96"/>
      <c r="H6790" s="96"/>
      <c r="J6790" s="1"/>
      <c r="K6790" s="1"/>
      <c r="L6790" s="1"/>
      <c r="O6790" s="475"/>
      <c r="P6790" s="475"/>
      <c r="Q6790" s="475"/>
      <c r="R6790" s="475"/>
      <c r="S6790" s="475"/>
      <c r="T6790" s="475"/>
      <c r="U6790" s="475"/>
      <c r="V6790" s="475"/>
      <c r="W6790" s="475"/>
    </row>
    <row r="6791" spans="2:23" s="97" customFormat="1">
      <c r="B6791" s="96"/>
      <c r="H6791" s="96"/>
      <c r="J6791" s="1"/>
      <c r="K6791" s="1"/>
      <c r="L6791" s="1"/>
      <c r="O6791" s="475"/>
      <c r="P6791" s="475"/>
      <c r="Q6791" s="475"/>
      <c r="R6791" s="475"/>
      <c r="S6791" s="475"/>
      <c r="T6791" s="475"/>
      <c r="U6791" s="475"/>
      <c r="V6791" s="475"/>
      <c r="W6791" s="475"/>
    </row>
    <row r="6792" spans="2:23" s="97" customFormat="1">
      <c r="B6792" s="96"/>
      <c r="H6792" s="96"/>
      <c r="J6792" s="1"/>
      <c r="K6792" s="1"/>
      <c r="L6792" s="1"/>
      <c r="O6792" s="475"/>
      <c r="P6792" s="475"/>
      <c r="Q6792" s="475"/>
      <c r="R6792" s="475"/>
      <c r="S6792" s="475"/>
      <c r="T6792" s="475"/>
      <c r="U6792" s="475"/>
      <c r="V6792" s="475"/>
      <c r="W6792" s="475"/>
    </row>
    <row r="6793" spans="2:23" s="97" customFormat="1">
      <c r="B6793" s="96"/>
      <c r="H6793" s="96"/>
      <c r="J6793" s="1"/>
      <c r="K6793" s="1"/>
      <c r="L6793" s="1"/>
      <c r="O6793" s="475"/>
      <c r="P6793" s="475"/>
      <c r="Q6793" s="475"/>
      <c r="R6793" s="475"/>
      <c r="S6793" s="475"/>
      <c r="T6793" s="475"/>
      <c r="U6793" s="475"/>
      <c r="V6793" s="475"/>
      <c r="W6793" s="475"/>
    </row>
    <row r="6794" spans="2:23" s="97" customFormat="1">
      <c r="B6794" s="96"/>
      <c r="H6794" s="96"/>
      <c r="J6794" s="1"/>
      <c r="K6794" s="1"/>
      <c r="L6794" s="1"/>
      <c r="O6794" s="475"/>
      <c r="P6794" s="475"/>
      <c r="Q6794" s="475"/>
      <c r="R6794" s="475"/>
      <c r="S6794" s="475"/>
      <c r="T6794" s="475"/>
      <c r="U6794" s="475"/>
      <c r="V6794" s="475"/>
      <c r="W6794" s="475"/>
    </row>
    <row r="6795" spans="2:23" s="97" customFormat="1">
      <c r="B6795" s="96"/>
      <c r="H6795" s="96"/>
      <c r="J6795" s="1"/>
      <c r="K6795" s="1"/>
      <c r="L6795" s="1"/>
      <c r="O6795" s="475"/>
      <c r="P6795" s="475"/>
      <c r="Q6795" s="475"/>
      <c r="R6795" s="475"/>
      <c r="S6795" s="475"/>
      <c r="T6795" s="475"/>
      <c r="U6795" s="475"/>
      <c r="V6795" s="475"/>
      <c r="W6795" s="475"/>
    </row>
    <row r="6796" spans="2:23" s="97" customFormat="1">
      <c r="B6796" s="96"/>
      <c r="H6796" s="96"/>
      <c r="J6796" s="1"/>
      <c r="K6796" s="1"/>
      <c r="L6796" s="1"/>
      <c r="O6796" s="475"/>
      <c r="P6796" s="475"/>
      <c r="Q6796" s="475"/>
      <c r="R6796" s="475"/>
      <c r="S6796" s="475"/>
      <c r="T6796" s="475"/>
      <c r="U6796" s="475"/>
      <c r="V6796" s="475"/>
      <c r="W6796" s="475"/>
    </row>
    <row r="6797" spans="2:23" s="97" customFormat="1">
      <c r="B6797" s="96"/>
      <c r="H6797" s="96"/>
      <c r="J6797" s="1"/>
      <c r="K6797" s="1"/>
      <c r="L6797" s="1"/>
      <c r="O6797" s="475"/>
      <c r="P6797" s="475"/>
      <c r="Q6797" s="475"/>
      <c r="R6797" s="475"/>
      <c r="S6797" s="475"/>
      <c r="T6797" s="475"/>
      <c r="U6797" s="475"/>
      <c r="V6797" s="475"/>
      <c r="W6797" s="475"/>
    </row>
    <row r="6798" spans="2:23" s="97" customFormat="1">
      <c r="B6798" s="96"/>
      <c r="H6798" s="96"/>
      <c r="J6798" s="1"/>
      <c r="K6798" s="1"/>
      <c r="L6798" s="1"/>
      <c r="O6798" s="475"/>
      <c r="P6798" s="475"/>
      <c r="Q6798" s="475"/>
      <c r="R6798" s="475"/>
      <c r="S6798" s="475"/>
      <c r="T6798" s="475"/>
      <c r="U6798" s="475"/>
      <c r="V6798" s="475"/>
      <c r="W6798" s="475"/>
    </row>
    <row r="6799" spans="2:23" s="97" customFormat="1">
      <c r="B6799" s="96"/>
      <c r="H6799" s="96"/>
      <c r="J6799" s="1"/>
      <c r="K6799" s="1"/>
      <c r="L6799" s="1"/>
      <c r="O6799" s="475"/>
      <c r="P6799" s="475"/>
      <c r="Q6799" s="475"/>
      <c r="R6799" s="475"/>
      <c r="S6799" s="475"/>
      <c r="T6799" s="475"/>
      <c r="U6799" s="475"/>
      <c r="V6799" s="475"/>
      <c r="W6799" s="475"/>
    </row>
    <row r="6800" spans="2:23" s="97" customFormat="1">
      <c r="B6800" s="96"/>
      <c r="H6800" s="96"/>
      <c r="J6800" s="1"/>
      <c r="K6800" s="1"/>
      <c r="L6800" s="1"/>
      <c r="O6800" s="475"/>
      <c r="P6800" s="475"/>
      <c r="Q6800" s="475"/>
      <c r="R6800" s="475"/>
      <c r="S6800" s="475"/>
      <c r="T6800" s="475"/>
      <c r="U6800" s="475"/>
      <c r="V6800" s="475"/>
      <c r="W6800" s="475"/>
    </row>
    <row r="6801" spans="2:23" s="97" customFormat="1">
      <c r="B6801" s="96"/>
      <c r="H6801" s="96"/>
      <c r="J6801" s="1"/>
      <c r="K6801" s="1"/>
      <c r="L6801" s="1"/>
      <c r="O6801" s="475"/>
      <c r="P6801" s="475"/>
      <c r="Q6801" s="475"/>
      <c r="R6801" s="475"/>
      <c r="S6801" s="475"/>
      <c r="T6801" s="475"/>
      <c r="U6801" s="475"/>
      <c r="V6801" s="475"/>
      <c r="W6801" s="475"/>
    </row>
    <row r="6802" spans="2:23" s="97" customFormat="1">
      <c r="B6802" s="96"/>
      <c r="H6802" s="96"/>
      <c r="J6802" s="1"/>
      <c r="K6802" s="1"/>
      <c r="L6802" s="1"/>
      <c r="O6802" s="475"/>
      <c r="P6802" s="475"/>
      <c r="Q6802" s="475"/>
      <c r="R6802" s="475"/>
      <c r="S6802" s="475"/>
      <c r="T6802" s="475"/>
      <c r="U6802" s="475"/>
      <c r="V6802" s="475"/>
      <c r="W6802" s="475"/>
    </row>
    <row r="6803" spans="2:23" s="97" customFormat="1">
      <c r="B6803" s="96"/>
      <c r="H6803" s="96"/>
      <c r="J6803" s="1"/>
      <c r="K6803" s="1"/>
      <c r="L6803" s="1"/>
      <c r="O6803" s="475"/>
      <c r="P6803" s="475"/>
      <c r="Q6803" s="475"/>
      <c r="R6803" s="475"/>
      <c r="S6803" s="475"/>
      <c r="T6803" s="475"/>
      <c r="U6803" s="475"/>
      <c r="V6803" s="475"/>
      <c r="W6803" s="475"/>
    </row>
    <row r="6804" spans="2:23" s="97" customFormat="1">
      <c r="B6804" s="96"/>
      <c r="H6804" s="96"/>
      <c r="J6804" s="1"/>
      <c r="K6804" s="1"/>
      <c r="L6804" s="1"/>
      <c r="O6804" s="475"/>
      <c r="P6804" s="475"/>
      <c r="Q6804" s="475"/>
      <c r="R6804" s="475"/>
      <c r="S6804" s="475"/>
      <c r="T6804" s="475"/>
      <c r="U6804" s="475"/>
      <c r="V6804" s="475"/>
      <c r="W6804" s="475"/>
    </row>
    <row r="6805" spans="2:23" s="97" customFormat="1">
      <c r="B6805" s="96"/>
      <c r="H6805" s="96"/>
      <c r="J6805" s="1"/>
      <c r="K6805" s="1"/>
      <c r="L6805" s="1"/>
      <c r="O6805" s="475"/>
      <c r="P6805" s="475"/>
      <c r="Q6805" s="475"/>
      <c r="R6805" s="475"/>
      <c r="S6805" s="475"/>
      <c r="T6805" s="475"/>
      <c r="U6805" s="475"/>
      <c r="V6805" s="475"/>
      <c r="W6805" s="475"/>
    </row>
    <row r="6806" spans="2:23" s="97" customFormat="1">
      <c r="B6806" s="96"/>
      <c r="H6806" s="96"/>
      <c r="J6806" s="1"/>
      <c r="K6806" s="1"/>
      <c r="L6806" s="1"/>
      <c r="O6806" s="475"/>
      <c r="P6806" s="475"/>
      <c r="Q6806" s="475"/>
      <c r="R6806" s="475"/>
      <c r="S6806" s="475"/>
      <c r="T6806" s="475"/>
      <c r="U6806" s="475"/>
      <c r="V6806" s="475"/>
      <c r="W6806" s="475"/>
    </row>
    <row r="6807" spans="2:23" s="97" customFormat="1">
      <c r="B6807" s="96"/>
      <c r="H6807" s="96"/>
      <c r="J6807" s="1"/>
      <c r="K6807" s="1"/>
      <c r="L6807" s="1"/>
      <c r="O6807" s="475"/>
      <c r="P6807" s="475"/>
      <c r="Q6807" s="475"/>
      <c r="R6807" s="475"/>
      <c r="S6807" s="475"/>
      <c r="T6807" s="475"/>
      <c r="U6807" s="475"/>
      <c r="V6807" s="475"/>
      <c r="W6807" s="475"/>
    </row>
    <row r="6808" spans="2:23" s="97" customFormat="1">
      <c r="B6808" s="96"/>
      <c r="H6808" s="96"/>
      <c r="J6808" s="1"/>
      <c r="K6808" s="1"/>
      <c r="L6808" s="1"/>
      <c r="O6808" s="475"/>
      <c r="P6808" s="475"/>
      <c r="Q6808" s="475"/>
      <c r="R6808" s="475"/>
      <c r="S6808" s="475"/>
      <c r="T6808" s="475"/>
      <c r="U6808" s="475"/>
      <c r="V6808" s="475"/>
      <c r="W6808" s="475"/>
    </row>
    <row r="6809" spans="2:23" s="97" customFormat="1">
      <c r="B6809" s="96"/>
      <c r="H6809" s="96"/>
      <c r="J6809" s="1"/>
      <c r="K6809" s="1"/>
      <c r="L6809" s="1"/>
      <c r="O6809" s="475"/>
      <c r="P6809" s="475"/>
      <c r="Q6809" s="475"/>
      <c r="R6809" s="475"/>
      <c r="S6809" s="475"/>
      <c r="T6809" s="475"/>
      <c r="U6809" s="475"/>
      <c r="V6809" s="475"/>
      <c r="W6809" s="475"/>
    </row>
    <row r="6810" spans="2:23" s="97" customFormat="1">
      <c r="B6810" s="96"/>
      <c r="H6810" s="96"/>
      <c r="J6810" s="1"/>
      <c r="K6810" s="1"/>
      <c r="L6810" s="1"/>
      <c r="O6810" s="475"/>
      <c r="P6810" s="475"/>
      <c r="Q6810" s="475"/>
      <c r="R6810" s="475"/>
      <c r="S6810" s="475"/>
      <c r="T6810" s="475"/>
      <c r="U6810" s="475"/>
      <c r="V6810" s="475"/>
      <c r="W6810" s="475"/>
    </row>
    <row r="6811" spans="2:23" s="97" customFormat="1">
      <c r="B6811" s="96"/>
      <c r="H6811" s="96"/>
      <c r="J6811" s="1"/>
      <c r="K6811" s="1"/>
      <c r="L6811" s="1"/>
      <c r="O6811" s="475"/>
      <c r="P6811" s="475"/>
      <c r="Q6811" s="475"/>
      <c r="R6811" s="475"/>
      <c r="S6811" s="475"/>
      <c r="T6811" s="475"/>
      <c r="U6811" s="475"/>
      <c r="V6811" s="475"/>
      <c r="W6811" s="475"/>
    </row>
    <row r="6812" spans="2:23" s="97" customFormat="1">
      <c r="B6812" s="96"/>
      <c r="H6812" s="96"/>
      <c r="J6812" s="1"/>
      <c r="K6812" s="1"/>
      <c r="L6812" s="1"/>
      <c r="O6812" s="475"/>
      <c r="P6812" s="475"/>
      <c r="Q6812" s="475"/>
      <c r="R6812" s="475"/>
      <c r="S6812" s="475"/>
      <c r="T6812" s="475"/>
      <c r="U6812" s="475"/>
      <c r="V6812" s="475"/>
      <c r="W6812" s="475"/>
    </row>
    <row r="6813" spans="2:23" s="97" customFormat="1">
      <c r="B6813" s="96"/>
      <c r="H6813" s="96"/>
      <c r="J6813" s="1"/>
      <c r="K6813" s="1"/>
      <c r="L6813" s="1"/>
      <c r="O6813" s="475"/>
      <c r="P6813" s="475"/>
      <c r="Q6813" s="475"/>
      <c r="R6813" s="475"/>
      <c r="S6813" s="475"/>
      <c r="T6813" s="475"/>
      <c r="U6813" s="475"/>
      <c r="V6813" s="475"/>
      <c r="W6813" s="475"/>
    </row>
    <row r="6814" spans="2:23" s="97" customFormat="1">
      <c r="B6814" s="96"/>
      <c r="H6814" s="96"/>
      <c r="J6814" s="1"/>
      <c r="K6814" s="1"/>
      <c r="L6814" s="1"/>
      <c r="O6814" s="475"/>
      <c r="P6814" s="475"/>
      <c r="Q6814" s="475"/>
      <c r="R6814" s="475"/>
      <c r="S6814" s="475"/>
      <c r="T6814" s="475"/>
      <c r="U6814" s="475"/>
      <c r="V6814" s="475"/>
      <c r="W6814" s="475"/>
    </row>
    <row r="6815" spans="2:23" s="97" customFormat="1">
      <c r="B6815" s="96"/>
      <c r="H6815" s="96"/>
      <c r="J6815" s="1"/>
      <c r="K6815" s="1"/>
      <c r="L6815" s="1"/>
      <c r="O6815" s="475"/>
      <c r="P6815" s="475"/>
      <c r="Q6815" s="475"/>
      <c r="R6815" s="475"/>
      <c r="S6815" s="475"/>
      <c r="T6815" s="475"/>
      <c r="U6815" s="475"/>
      <c r="V6815" s="475"/>
      <c r="W6815" s="475"/>
    </row>
    <row r="6816" spans="2:23" s="97" customFormat="1">
      <c r="B6816" s="96"/>
      <c r="H6816" s="96"/>
      <c r="J6816" s="1"/>
      <c r="K6816" s="1"/>
      <c r="L6816" s="1"/>
      <c r="O6816" s="475"/>
      <c r="P6816" s="475"/>
      <c r="Q6816" s="475"/>
      <c r="R6816" s="475"/>
      <c r="S6816" s="475"/>
      <c r="T6816" s="475"/>
      <c r="U6816" s="475"/>
      <c r="V6816" s="475"/>
      <c r="W6816" s="475"/>
    </row>
    <row r="6817" spans="2:23" s="97" customFormat="1">
      <c r="B6817" s="96"/>
      <c r="H6817" s="96"/>
      <c r="J6817" s="1"/>
      <c r="K6817" s="1"/>
      <c r="L6817" s="1"/>
      <c r="O6817" s="475"/>
      <c r="P6817" s="475"/>
      <c r="Q6817" s="475"/>
      <c r="R6817" s="475"/>
      <c r="S6817" s="475"/>
      <c r="T6817" s="475"/>
      <c r="U6817" s="475"/>
      <c r="V6817" s="475"/>
      <c r="W6817" s="475"/>
    </row>
    <row r="6818" spans="2:23" s="97" customFormat="1">
      <c r="B6818" s="96"/>
      <c r="H6818" s="96"/>
      <c r="J6818" s="1"/>
      <c r="K6818" s="1"/>
      <c r="L6818" s="1"/>
      <c r="O6818" s="475"/>
      <c r="P6818" s="475"/>
      <c r="Q6818" s="475"/>
      <c r="R6818" s="475"/>
      <c r="S6818" s="475"/>
      <c r="T6818" s="475"/>
      <c r="U6818" s="475"/>
      <c r="V6818" s="475"/>
      <c r="W6818" s="475"/>
    </row>
    <row r="6819" spans="2:23" s="97" customFormat="1">
      <c r="B6819" s="96"/>
      <c r="H6819" s="96"/>
      <c r="J6819" s="1"/>
      <c r="K6819" s="1"/>
      <c r="L6819" s="1"/>
      <c r="O6819" s="475"/>
      <c r="P6819" s="475"/>
      <c r="Q6819" s="475"/>
      <c r="R6819" s="475"/>
      <c r="S6819" s="475"/>
      <c r="T6819" s="475"/>
      <c r="U6819" s="475"/>
      <c r="V6819" s="475"/>
      <c r="W6819" s="475"/>
    </row>
    <row r="6820" spans="2:23" s="97" customFormat="1">
      <c r="B6820" s="96"/>
      <c r="H6820" s="96"/>
      <c r="J6820" s="1"/>
      <c r="K6820" s="1"/>
      <c r="L6820" s="1"/>
      <c r="O6820" s="475"/>
      <c r="P6820" s="475"/>
      <c r="Q6820" s="475"/>
      <c r="R6820" s="475"/>
      <c r="S6820" s="475"/>
      <c r="T6820" s="475"/>
      <c r="U6820" s="475"/>
      <c r="V6820" s="475"/>
      <c r="W6820" s="475"/>
    </row>
    <row r="6821" spans="2:23" s="97" customFormat="1">
      <c r="B6821" s="96"/>
      <c r="H6821" s="96"/>
      <c r="J6821" s="1"/>
      <c r="K6821" s="1"/>
      <c r="L6821" s="1"/>
      <c r="O6821" s="475"/>
      <c r="P6821" s="475"/>
      <c r="Q6821" s="475"/>
      <c r="R6821" s="475"/>
      <c r="S6821" s="475"/>
      <c r="T6821" s="475"/>
      <c r="U6821" s="475"/>
      <c r="V6821" s="475"/>
      <c r="W6821" s="475"/>
    </row>
    <row r="6822" spans="2:23" s="97" customFormat="1">
      <c r="B6822" s="96"/>
      <c r="H6822" s="96"/>
      <c r="J6822" s="1"/>
      <c r="K6822" s="1"/>
      <c r="L6822" s="1"/>
      <c r="O6822" s="475"/>
      <c r="P6822" s="475"/>
      <c r="Q6822" s="475"/>
      <c r="R6822" s="475"/>
      <c r="S6822" s="475"/>
      <c r="T6822" s="475"/>
      <c r="U6822" s="475"/>
      <c r="V6822" s="475"/>
      <c r="W6822" s="475"/>
    </row>
    <row r="6823" spans="2:23" s="97" customFormat="1">
      <c r="B6823" s="96"/>
      <c r="H6823" s="96"/>
      <c r="J6823" s="1"/>
      <c r="K6823" s="1"/>
      <c r="L6823" s="1"/>
      <c r="O6823" s="475"/>
      <c r="P6823" s="475"/>
      <c r="Q6823" s="475"/>
      <c r="R6823" s="475"/>
      <c r="S6823" s="475"/>
      <c r="T6823" s="475"/>
      <c r="U6823" s="475"/>
      <c r="V6823" s="475"/>
      <c r="W6823" s="475"/>
    </row>
    <row r="6824" spans="2:23" s="97" customFormat="1">
      <c r="B6824" s="96"/>
      <c r="H6824" s="96"/>
      <c r="J6824" s="1"/>
      <c r="K6824" s="1"/>
      <c r="L6824" s="1"/>
      <c r="O6824" s="475"/>
      <c r="P6824" s="475"/>
      <c r="Q6824" s="475"/>
      <c r="R6824" s="475"/>
      <c r="S6824" s="475"/>
      <c r="T6824" s="475"/>
      <c r="U6824" s="475"/>
      <c r="V6824" s="475"/>
      <c r="W6824" s="475"/>
    </row>
    <row r="6825" spans="2:23" s="97" customFormat="1">
      <c r="B6825" s="96"/>
      <c r="H6825" s="96"/>
      <c r="J6825" s="1"/>
      <c r="K6825" s="1"/>
      <c r="L6825" s="1"/>
      <c r="O6825" s="475"/>
      <c r="P6825" s="475"/>
      <c r="Q6825" s="475"/>
      <c r="R6825" s="475"/>
      <c r="S6825" s="475"/>
      <c r="T6825" s="475"/>
      <c r="U6825" s="475"/>
      <c r="V6825" s="475"/>
      <c r="W6825" s="475"/>
    </row>
    <row r="6826" spans="2:23" s="97" customFormat="1">
      <c r="B6826" s="96"/>
      <c r="H6826" s="96"/>
      <c r="J6826" s="1"/>
      <c r="K6826" s="1"/>
      <c r="L6826" s="1"/>
      <c r="O6826" s="475"/>
      <c r="P6826" s="475"/>
      <c r="Q6826" s="475"/>
      <c r="R6826" s="475"/>
      <c r="S6826" s="475"/>
      <c r="T6826" s="475"/>
      <c r="U6826" s="475"/>
      <c r="V6826" s="475"/>
      <c r="W6826" s="475"/>
    </row>
    <row r="6827" spans="2:23" s="97" customFormat="1">
      <c r="B6827" s="96"/>
      <c r="H6827" s="96"/>
      <c r="J6827" s="1"/>
      <c r="K6827" s="1"/>
      <c r="L6827" s="1"/>
      <c r="O6827" s="475"/>
      <c r="P6827" s="475"/>
      <c r="Q6827" s="475"/>
      <c r="R6827" s="475"/>
      <c r="S6827" s="475"/>
      <c r="T6827" s="475"/>
      <c r="U6827" s="475"/>
      <c r="V6827" s="475"/>
      <c r="W6827" s="475"/>
    </row>
    <row r="6828" spans="2:23" s="97" customFormat="1">
      <c r="B6828" s="96"/>
      <c r="H6828" s="96"/>
      <c r="J6828" s="1"/>
      <c r="K6828" s="1"/>
      <c r="L6828" s="1"/>
      <c r="O6828" s="475"/>
      <c r="P6828" s="475"/>
      <c r="Q6828" s="475"/>
      <c r="R6828" s="475"/>
      <c r="S6828" s="475"/>
      <c r="T6828" s="475"/>
      <c r="U6828" s="475"/>
      <c r="V6828" s="475"/>
      <c r="W6828" s="475"/>
    </row>
    <row r="6829" spans="2:23" s="97" customFormat="1">
      <c r="B6829" s="96"/>
      <c r="H6829" s="96"/>
      <c r="J6829" s="1"/>
      <c r="K6829" s="1"/>
      <c r="L6829" s="1"/>
      <c r="O6829" s="475"/>
      <c r="P6829" s="475"/>
      <c r="Q6829" s="475"/>
      <c r="R6829" s="475"/>
      <c r="S6829" s="475"/>
      <c r="T6829" s="475"/>
      <c r="U6829" s="475"/>
      <c r="V6829" s="475"/>
      <c r="W6829" s="475"/>
    </row>
    <row r="6830" spans="2:23" s="97" customFormat="1">
      <c r="B6830" s="96"/>
      <c r="H6830" s="96"/>
      <c r="J6830" s="1"/>
      <c r="K6830" s="1"/>
      <c r="L6830" s="1"/>
      <c r="O6830" s="475"/>
      <c r="P6830" s="475"/>
      <c r="Q6830" s="475"/>
      <c r="R6830" s="475"/>
      <c r="S6830" s="475"/>
      <c r="T6830" s="475"/>
      <c r="U6830" s="475"/>
      <c r="V6830" s="475"/>
      <c r="W6830" s="475"/>
    </row>
    <row r="6831" spans="2:23" s="97" customFormat="1">
      <c r="B6831" s="96"/>
      <c r="H6831" s="96"/>
      <c r="J6831" s="1"/>
      <c r="K6831" s="1"/>
      <c r="L6831" s="1"/>
      <c r="O6831" s="475"/>
      <c r="P6831" s="475"/>
      <c r="Q6831" s="475"/>
      <c r="R6831" s="475"/>
      <c r="S6831" s="475"/>
      <c r="T6831" s="475"/>
      <c r="U6831" s="475"/>
      <c r="V6831" s="475"/>
      <c r="W6831" s="475"/>
    </row>
    <row r="6832" spans="2:23" s="97" customFormat="1">
      <c r="B6832" s="96"/>
      <c r="H6832" s="96"/>
      <c r="J6832" s="1"/>
      <c r="K6832" s="1"/>
      <c r="L6832" s="1"/>
      <c r="O6832" s="475"/>
      <c r="P6832" s="475"/>
      <c r="Q6832" s="475"/>
      <c r="R6832" s="475"/>
      <c r="S6832" s="475"/>
      <c r="T6832" s="475"/>
      <c r="U6832" s="475"/>
      <c r="V6832" s="475"/>
      <c r="W6832" s="475"/>
    </row>
    <row r="6833" spans="2:23" s="97" customFormat="1">
      <c r="B6833" s="96"/>
      <c r="H6833" s="96"/>
      <c r="J6833" s="1"/>
      <c r="K6833" s="1"/>
      <c r="L6833" s="1"/>
      <c r="O6833" s="475"/>
      <c r="P6833" s="475"/>
      <c r="Q6833" s="475"/>
      <c r="R6833" s="475"/>
      <c r="S6833" s="475"/>
      <c r="T6833" s="475"/>
      <c r="U6833" s="475"/>
      <c r="V6833" s="475"/>
      <c r="W6833" s="475"/>
    </row>
    <row r="6834" spans="2:23" s="97" customFormat="1">
      <c r="B6834" s="96"/>
      <c r="H6834" s="96"/>
      <c r="J6834" s="1"/>
      <c r="K6834" s="1"/>
      <c r="L6834" s="1"/>
      <c r="O6834" s="475"/>
      <c r="P6834" s="475"/>
      <c r="Q6834" s="475"/>
      <c r="R6834" s="475"/>
      <c r="S6834" s="475"/>
      <c r="T6834" s="475"/>
      <c r="U6834" s="475"/>
      <c r="V6834" s="475"/>
      <c r="W6834" s="475"/>
    </row>
    <row r="6835" spans="2:23" s="97" customFormat="1">
      <c r="B6835" s="96"/>
      <c r="H6835" s="96"/>
      <c r="J6835" s="1"/>
      <c r="K6835" s="1"/>
      <c r="L6835" s="1"/>
      <c r="O6835" s="475"/>
      <c r="P6835" s="475"/>
      <c r="Q6835" s="475"/>
      <c r="R6835" s="475"/>
      <c r="S6835" s="475"/>
      <c r="T6835" s="475"/>
      <c r="U6835" s="475"/>
      <c r="V6835" s="475"/>
      <c r="W6835" s="475"/>
    </row>
    <row r="6836" spans="2:23" s="97" customFormat="1">
      <c r="B6836" s="96"/>
      <c r="H6836" s="96"/>
      <c r="J6836" s="1"/>
      <c r="K6836" s="1"/>
      <c r="L6836" s="1"/>
      <c r="O6836" s="475"/>
      <c r="P6836" s="475"/>
      <c r="Q6836" s="475"/>
      <c r="R6836" s="475"/>
      <c r="S6836" s="475"/>
      <c r="T6836" s="475"/>
      <c r="U6836" s="475"/>
      <c r="V6836" s="475"/>
      <c r="W6836" s="475"/>
    </row>
    <row r="6837" spans="2:23" s="97" customFormat="1">
      <c r="B6837" s="96"/>
      <c r="H6837" s="96"/>
      <c r="J6837" s="1"/>
      <c r="K6837" s="1"/>
      <c r="L6837" s="1"/>
      <c r="O6837" s="475"/>
      <c r="P6837" s="475"/>
      <c r="Q6837" s="475"/>
      <c r="R6837" s="475"/>
      <c r="S6837" s="475"/>
      <c r="T6837" s="475"/>
      <c r="U6837" s="475"/>
      <c r="V6837" s="475"/>
      <c r="W6837" s="475"/>
    </row>
    <row r="6838" spans="2:23" s="97" customFormat="1">
      <c r="B6838" s="96"/>
      <c r="H6838" s="96"/>
      <c r="J6838" s="1"/>
      <c r="K6838" s="1"/>
      <c r="L6838" s="1"/>
      <c r="O6838" s="475"/>
      <c r="P6838" s="475"/>
      <c r="Q6838" s="475"/>
      <c r="R6838" s="475"/>
      <c r="S6838" s="475"/>
      <c r="T6838" s="475"/>
      <c r="U6838" s="475"/>
      <c r="V6838" s="475"/>
      <c r="W6838" s="475"/>
    </row>
    <row r="6839" spans="2:23" s="97" customFormat="1">
      <c r="B6839" s="96"/>
      <c r="H6839" s="96"/>
      <c r="J6839" s="1"/>
      <c r="K6839" s="1"/>
      <c r="L6839" s="1"/>
      <c r="O6839" s="475"/>
      <c r="P6839" s="475"/>
      <c r="Q6839" s="475"/>
      <c r="R6839" s="475"/>
      <c r="S6839" s="475"/>
      <c r="T6839" s="475"/>
      <c r="U6839" s="475"/>
      <c r="V6839" s="475"/>
      <c r="W6839" s="475"/>
    </row>
    <row r="6840" spans="2:23" s="97" customFormat="1">
      <c r="B6840" s="96"/>
      <c r="H6840" s="96"/>
      <c r="J6840" s="1"/>
      <c r="K6840" s="1"/>
      <c r="L6840" s="1"/>
      <c r="O6840" s="475"/>
      <c r="P6840" s="475"/>
      <c r="Q6840" s="475"/>
      <c r="R6840" s="475"/>
      <c r="S6840" s="475"/>
      <c r="T6840" s="475"/>
      <c r="U6840" s="475"/>
      <c r="V6840" s="475"/>
      <c r="W6840" s="475"/>
    </row>
    <row r="6841" spans="2:23" s="97" customFormat="1">
      <c r="B6841" s="96"/>
      <c r="H6841" s="96"/>
      <c r="J6841" s="1"/>
      <c r="K6841" s="1"/>
      <c r="L6841" s="1"/>
      <c r="O6841" s="475"/>
      <c r="P6841" s="475"/>
      <c r="Q6841" s="475"/>
      <c r="R6841" s="475"/>
      <c r="S6841" s="475"/>
      <c r="T6841" s="475"/>
      <c r="U6841" s="475"/>
      <c r="V6841" s="475"/>
      <c r="W6841" s="475"/>
    </row>
    <row r="6842" spans="2:23" s="97" customFormat="1">
      <c r="B6842" s="96"/>
      <c r="H6842" s="96"/>
      <c r="J6842" s="1"/>
      <c r="K6842" s="1"/>
      <c r="L6842" s="1"/>
      <c r="O6842" s="475"/>
      <c r="P6842" s="475"/>
      <c r="Q6842" s="475"/>
      <c r="R6842" s="475"/>
      <c r="S6842" s="475"/>
      <c r="T6842" s="475"/>
      <c r="U6842" s="475"/>
      <c r="V6842" s="475"/>
      <c r="W6842" s="475"/>
    </row>
    <row r="6843" spans="2:23" s="97" customFormat="1">
      <c r="B6843" s="96"/>
      <c r="H6843" s="96"/>
      <c r="J6843" s="1"/>
      <c r="K6843" s="1"/>
      <c r="L6843" s="1"/>
      <c r="O6843" s="475"/>
      <c r="P6843" s="475"/>
      <c r="Q6843" s="475"/>
      <c r="R6843" s="475"/>
      <c r="S6843" s="475"/>
      <c r="T6843" s="475"/>
      <c r="U6843" s="475"/>
      <c r="V6843" s="475"/>
      <c r="W6843" s="475"/>
    </row>
    <row r="6844" spans="2:23" s="97" customFormat="1">
      <c r="B6844" s="96"/>
      <c r="H6844" s="96"/>
      <c r="J6844" s="1"/>
      <c r="K6844" s="1"/>
      <c r="L6844" s="1"/>
      <c r="O6844" s="475"/>
      <c r="P6844" s="475"/>
      <c r="Q6844" s="475"/>
      <c r="R6844" s="475"/>
      <c r="S6844" s="475"/>
      <c r="T6844" s="475"/>
      <c r="U6844" s="475"/>
      <c r="V6844" s="475"/>
      <c r="W6844" s="475"/>
    </row>
    <row r="6845" spans="2:23" s="97" customFormat="1">
      <c r="B6845" s="96"/>
      <c r="H6845" s="96"/>
      <c r="J6845" s="1"/>
      <c r="K6845" s="1"/>
      <c r="L6845" s="1"/>
      <c r="O6845" s="475"/>
      <c r="P6845" s="475"/>
      <c r="Q6845" s="475"/>
      <c r="R6845" s="475"/>
      <c r="S6845" s="475"/>
      <c r="T6845" s="475"/>
      <c r="U6845" s="475"/>
      <c r="V6845" s="475"/>
      <c r="W6845" s="475"/>
    </row>
    <row r="6846" spans="2:23" s="97" customFormat="1">
      <c r="B6846" s="96"/>
      <c r="H6846" s="96"/>
      <c r="J6846" s="1"/>
      <c r="K6846" s="1"/>
      <c r="L6846" s="1"/>
      <c r="O6846" s="475"/>
      <c r="P6846" s="475"/>
      <c r="Q6846" s="475"/>
      <c r="R6846" s="475"/>
      <c r="S6846" s="475"/>
      <c r="T6846" s="475"/>
      <c r="U6846" s="475"/>
      <c r="V6846" s="475"/>
      <c r="W6846" s="475"/>
    </row>
    <row r="6847" spans="2:23" s="97" customFormat="1">
      <c r="B6847" s="96"/>
      <c r="H6847" s="96"/>
      <c r="J6847" s="1"/>
      <c r="K6847" s="1"/>
      <c r="L6847" s="1"/>
      <c r="O6847" s="475"/>
      <c r="P6847" s="475"/>
      <c r="Q6847" s="475"/>
      <c r="R6847" s="475"/>
      <c r="S6847" s="475"/>
      <c r="T6847" s="475"/>
      <c r="U6847" s="475"/>
      <c r="V6847" s="475"/>
      <c r="W6847" s="475"/>
    </row>
    <row r="6848" spans="2:23" s="97" customFormat="1">
      <c r="B6848" s="96"/>
      <c r="H6848" s="96"/>
      <c r="J6848" s="1"/>
      <c r="K6848" s="1"/>
      <c r="L6848" s="1"/>
      <c r="O6848" s="475"/>
      <c r="P6848" s="475"/>
      <c r="Q6848" s="475"/>
      <c r="R6848" s="475"/>
      <c r="S6848" s="475"/>
      <c r="T6848" s="475"/>
      <c r="U6848" s="475"/>
      <c r="V6848" s="475"/>
      <c r="W6848" s="475"/>
    </row>
    <row r="6849" spans="2:23" s="97" customFormat="1">
      <c r="B6849" s="96"/>
      <c r="H6849" s="96"/>
      <c r="J6849" s="1"/>
      <c r="K6849" s="1"/>
      <c r="L6849" s="1"/>
      <c r="O6849" s="475"/>
      <c r="P6849" s="475"/>
      <c r="Q6849" s="475"/>
      <c r="R6849" s="475"/>
      <c r="S6849" s="475"/>
      <c r="T6849" s="475"/>
      <c r="U6849" s="475"/>
      <c r="V6849" s="475"/>
      <c r="W6849" s="475"/>
    </row>
    <row r="6850" spans="2:23" s="97" customFormat="1">
      <c r="B6850" s="96"/>
      <c r="H6850" s="96"/>
      <c r="J6850" s="1"/>
      <c r="K6850" s="1"/>
      <c r="L6850" s="1"/>
      <c r="O6850" s="475"/>
      <c r="P6850" s="475"/>
      <c r="Q6850" s="475"/>
      <c r="R6850" s="475"/>
      <c r="S6850" s="475"/>
      <c r="T6850" s="475"/>
      <c r="U6850" s="475"/>
      <c r="V6850" s="475"/>
      <c r="W6850" s="475"/>
    </row>
    <row r="6851" spans="2:23" s="97" customFormat="1">
      <c r="B6851" s="96"/>
      <c r="H6851" s="96"/>
      <c r="J6851" s="1"/>
      <c r="K6851" s="1"/>
      <c r="L6851" s="1"/>
      <c r="O6851" s="475"/>
      <c r="P6851" s="475"/>
      <c r="Q6851" s="475"/>
      <c r="R6851" s="475"/>
      <c r="S6851" s="475"/>
      <c r="T6851" s="475"/>
      <c r="U6851" s="475"/>
      <c r="V6851" s="475"/>
      <c r="W6851" s="475"/>
    </row>
    <row r="6852" spans="2:23" s="97" customFormat="1">
      <c r="B6852" s="96"/>
      <c r="H6852" s="96"/>
      <c r="J6852" s="1"/>
      <c r="K6852" s="1"/>
      <c r="L6852" s="1"/>
      <c r="O6852" s="475"/>
      <c r="P6852" s="475"/>
      <c r="Q6852" s="475"/>
      <c r="R6852" s="475"/>
      <c r="S6852" s="475"/>
      <c r="T6852" s="475"/>
      <c r="U6852" s="475"/>
      <c r="V6852" s="475"/>
      <c r="W6852" s="475"/>
    </row>
    <row r="6853" spans="2:23" s="97" customFormat="1">
      <c r="B6853" s="96"/>
      <c r="H6853" s="96"/>
      <c r="J6853" s="1"/>
      <c r="K6853" s="1"/>
      <c r="L6853" s="1"/>
      <c r="O6853" s="475"/>
      <c r="P6853" s="475"/>
      <c r="Q6853" s="475"/>
      <c r="R6853" s="475"/>
      <c r="S6853" s="475"/>
      <c r="T6853" s="475"/>
      <c r="U6853" s="475"/>
      <c r="V6853" s="475"/>
      <c r="W6853" s="475"/>
    </row>
    <row r="6854" spans="2:23" s="97" customFormat="1">
      <c r="B6854" s="96"/>
      <c r="H6854" s="96"/>
      <c r="J6854" s="1"/>
      <c r="K6854" s="1"/>
      <c r="L6854" s="1"/>
      <c r="O6854" s="475"/>
      <c r="P6854" s="475"/>
      <c r="Q6854" s="475"/>
      <c r="R6854" s="475"/>
      <c r="S6854" s="475"/>
      <c r="T6854" s="475"/>
      <c r="U6854" s="475"/>
      <c r="V6854" s="475"/>
      <c r="W6854" s="475"/>
    </row>
    <row r="6855" spans="2:23" s="97" customFormat="1">
      <c r="B6855" s="96"/>
      <c r="H6855" s="96"/>
      <c r="J6855" s="1"/>
      <c r="K6855" s="1"/>
      <c r="L6855" s="1"/>
      <c r="O6855" s="475"/>
      <c r="P6855" s="475"/>
      <c r="Q6855" s="475"/>
      <c r="R6855" s="475"/>
      <c r="S6855" s="475"/>
      <c r="T6855" s="475"/>
      <c r="U6855" s="475"/>
      <c r="V6855" s="475"/>
      <c r="W6855" s="475"/>
    </row>
    <row r="6856" spans="2:23" s="97" customFormat="1">
      <c r="B6856" s="96"/>
      <c r="H6856" s="96"/>
      <c r="J6856" s="1"/>
      <c r="K6856" s="1"/>
      <c r="L6856" s="1"/>
      <c r="O6856" s="475"/>
      <c r="P6856" s="475"/>
      <c r="Q6856" s="475"/>
      <c r="R6856" s="475"/>
      <c r="S6856" s="475"/>
      <c r="T6856" s="475"/>
      <c r="U6856" s="475"/>
      <c r="V6856" s="475"/>
      <c r="W6856" s="475"/>
    </row>
    <row r="6857" spans="2:23" s="97" customFormat="1">
      <c r="B6857" s="96"/>
      <c r="H6857" s="96"/>
      <c r="J6857" s="1"/>
      <c r="K6857" s="1"/>
      <c r="L6857" s="1"/>
      <c r="O6857" s="475"/>
      <c r="P6857" s="475"/>
      <c r="Q6857" s="475"/>
      <c r="R6857" s="475"/>
      <c r="S6857" s="475"/>
      <c r="T6857" s="475"/>
      <c r="U6857" s="475"/>
      <c r="V6857" s="475"/>
      <c r="W6857" s="475"/>
    </row>
    <row r="6858" spans="2:23" s="97" customFormat="1">
      <c r="B6858" s="96"/>
      <c r="H6858" s="96"/>
      <c r="J6858" s="1"/>
      <c r="K6858" s="1"/>
      <c r="L6858" s="1"/>
      <c r="O6858" s="475"/>
      <c r="P6858" s="475"/>
      <c r="Q6858" s="475"/>
      <c r="R6858" s="475"/>
      <c r="S6858" s="475"/>
      <c r="T6858" s="475"/>
      <c r="U6858" s="475"/>
      <c r="V6858" s="475"/>
      <c r="W6858" s="475"/>
    </row>
    <row r="6859" spans="2:23" s="97" customFormat="1">
      <c r="B6859" s="96"/>
      <c r="H6859" s="96"/>
      <c r="J6859" s="1"/>
      <c r="K6859" s="1"/>
      <c r="L6859" s="1"/>
      <c r="O6859" s="475"/>
      <c r="P6859" s="475"/>
      <c r="Q6859" s="475"/>
      <c r="R6859" s="475"/>
      <c r="S6859" s="475"/>
      <c r="T6859" s="475"/>
      <c r="U6859" s="475"/>
      <c r="V6859" s="475"/>
      <c r="W6859" s="475"/>
    </row>
    <row r="6860" spans="2:23" s="97" customFormat="1">
      <c r="B6860" s="96"/>
      <c r="H6860" s="96"/>
      <c r="J6860" s="1"/>
      <c r="K6860" s="1"/>
      <c r="L6860" s="1"/>
      <c r="O6860" s="475"/>
      <c r="P6860" s="475"/>
      <c r="Q6860" s="475"/>
      <c r="R6860" s="475"/>
      <c r="S6860" s="475"/>
      <c r="T6860" s="475"/>
      <c r="U6860" s="475"/>
      <c r="V6860" s="475"/>
      <c r="W6860" s="475"/>
    </row>
    <row r="6861" spans="2:23" s="97" customFormat="1">
      <c r="B6861" s="96"/>
      <c r="H6861" s="96"/>
      <c r="J6861" s="1"/>
      <c r="K6861" s="1"/>
      <c r="L6861" s="1"/>
      <c r="O6861" s="475"/>
      <c r="P6861" s="475"/>
      <c r="Q6861" s="475"/>
      <c r="R6861" s="475"/>
      <c r="S6861" s="475"/>
      <c r="T6861" s="475"/>
      <c r="U6861" s="475"/>
      <c r="V6861" s="475"/>
      <c r="W6861" s="475"/>
    </row>
    <row r="6862" spans="2:23" s="97" customFormat="1">
      <c r="B6862" s="96"/>
      <c r="H6862" s="96"/>
      <c r="J6862" s="1"/>
      <c r="K6862" s="1"/>
      <c r="L6862" s="1"/>
      <c r="O6862" s="475"/>
      <c r="P6862" s="475"/>
      <c r="Q6862" s="475"/>
      <c r="R6862" s="475"/>
      <c r="S6862" s="475"/>
      <c r="T6862" s="475"/>
      <c r="U6862" s="475"/>
      <c r="V6862" s="475"/>
      <c r="W6862" s="475"/>
    </row>
    <row r="6863" spans="2:23" s="97" customFormat="1">
      <c r="B6863" s="96"/>
      <c r="H6863" s="96"/>
      <c r="J6863" s="1"/>
      <c r="K6863" s="1"/>
      <c r="L6863" s="1"/>
      <c r="O6863" s="475"/>
      <c r="P6863" s="475"/>
      <c r="Q6863" s="475"/>
      <c r="R6863" s="475"/>
      <c r="S6863" s="475"/>
      <c r="T6863" s="475"/>
      <c r="U6863" s="475"/>
      <c r="V6863" s="475"/>
      <c r="W6863" s="475"/>
    </row>
    <row r="6864" spans="2:23" s="97" customFormat="1">
      <c r="B6864" s="96"/>
      <c r="H6864" s="96"/>
      <c r="J6864" s="1"/>
      <c r="K6864" s="1"/>
      <c r="L6864" s="1"/>
      <c r="O6864" s="475"/>
      <c r="P6864" s="475"/>
      <c r="Q6864" s="475"/>
      <c r="R6864" s="475"/>
      <c r="S6864" s="475"/>
      <c r="T6864" s="475"/>
      <c r="U6864" s="475"/>
      <c r="V6864" s="475"/>
      <c r="W6864" s="475"/>
    </row>
    <row r="6865" spans="2:23" s="97" customFormat="1">
      <c r="B6865" s="96"/>
      <c r="H6865" s="96"/>
      <c r="J6865" s="1"/>
      <c r="K6865" s="1"/>
      <c r="L6865" s="1"/>
      <c r="O6865" s="475"/>
      <c r="P6865" s="475"/>
      <c r="Q6865" s="475"/>
      <c r="R6865" s="475"/>
      <c r="S6865" s="475"/>
      <c r="T6865" s="475"/>
      <c r="U6865" s="475"/>
      <c r="V6865" s="475"/>
      <c r="W6865" s="475"/>
    </row>
    <row r="6866" spans="2:23" s="97" customFormat="1">
      <c r="B6866" s="96"/>
      <c r="H6866" s="96"/>
      <c r="J6866" s="1"/>
      <c r="K6866" s="1"/>
      <c r="L6866" s="1"/>
      <c r="O6866" s="475"/>
      <c r="P6866" s="475"/>
      <c r="Q6866" s="475"/>
      <c r="R6866" s="475"/>
      <c r="S6866" s="475"/>
      <c r="T6866" s="475"/>
      <c r="U6866" s="475"/>
      <c r="V6866" s="475"/>
      <c r="W6866" s="475"/>
    </row>
    <row r="6867" spans="2:23" s="97" customFormat="1">
      <c r="B6867" s="96"/>
      <c r="H6867" s="96"/>
      <c r="J6867" s="1"/>
      <c r="K6867" s="1"/>
      <c r="L6867" s="1"/>
      <c r="O6867" s="475"/>
      <c r="P6867" s="475"/>
      <c r="Q6867" s="475"/>
      <c r="R6867" s="475"/>
      <c r="S6867" s="475"/>
      <c r="T6867" s="475"/>
      <c r="U6867" s="475"/>
      <c r="V6867" s="475"/>
      <c r="W6867" s="475"/>
    </row>
    <row r="6868" spans="2:23" s="97" customFormat="1">
      <c r="B6868" s="96"/>
      <c r="H6868" s="96"/>
      <c r="J6868" s="1"/>
      <c r="K6868" s="1"/>
      <c r="L6868" s="1"/>
      <c r="O6868" s="475"/>
      <c r="P6868" s="475"/>
      <c r="Q6868" s="475"/>
      <c r="R6868" s="475"/>
      <c r="S6868" s="475"/>
      <c r="T6868" s="475"/>
      <c r="U6868" s="475"/>
      <c r="V6868" s="475"/>
      <c r="W6868" s="475"/>
    </row>
    <row r="6869" spans="2:23" s="97" customFormat="1">
      <c r="B6869" s="96"/>
      <c r="H6869" s="96"/>
      <c r="J6869" s="1"/>
      <c r="K6869" s="1"/>
      <c r="L6869" s="1"/>
      <c r="O6869" s="475"/>
      <c r="P6869" s="475"/>
      <c r="Q6869" s="475"/>
      <c r="R6869" s="475"/>
      <c r="S6869" s="475"/>
      <c r="T6869" s="475"/>
      <c r="U6869" s="475"/>
      <c r="V6869" s="475"/>
      <c r="W6869" s="475"/>
    </row>
    <row r="6870" spans="2:23" s="97" customFormat="1">
      <c r="B6870" s="96"/>
      <c r="H6870" s="96"/>
      <c r="J6870" s="1"/>
      <c r="K6870" s="1"/>
      <c r="L6870" s="1"/>
      <c r="O6870" s="475"/>
      <c r="P6870" s="475"/>
      <c r="Q6870" s="475"/>
      <c r="R6870" s="475"/>
      <c r="S6870" s="475"/>
      <c r="T6870" s="475"/>
      <c r="U6870" s="475"/>
      <c r="V6870" s="475"/>
      <c r="W6870" s="475"/>
    </row>
    <row r="6871" spans="2:23" s="97" customFormat="1">
      <c r="B6871" s="96"/>
      <c r="H6871" s="96"/>
      <c r="J6871" s="1"/>
      <c r="K6871" s="1"/>
      <c r="L6871" s="1"/>
      <c r="O6871" s="475"/>
      <c r="P6871" s="475"/>
      <c r="Q6871" s="475"/>
      <c r="R6871" s="475"/>
      <c r="S6871" s="475"/>
      <c r="T6871" s="475"/>
      <c r="U6871" s="475"/>
      <c r="V6871" s="475"/>
      <c r="W6871" s="475"/>
    </row>
    <row r="6872" spans="2:23" s="97" customFormat="1">
      <c r="B6872" s="96"/>
      <c r="H6872" s="96"/>
      <c r="J6872" s="1"/>
      <c r="K6872" s="1"/>
      <c r="L6872" s="1"/>
      <c r="O6872" s="475"/>
      <c r="P6872" s="475"/>
      <c r="Q6872" s="475"/>
      <c r="R6872" s="475"/>
      <c r="S6872" s="475"/>
      <c r="T6872" s="475"/>
      <c r="U6872" s="475"/>
      <c r="V6872" s="475"/>
      <c r="W6872" s="475"/>
    </row>
    <row r="6873" spans="2:23" s="97" customFormat="1">
      <c r="B6873" s="96"/>
      <c r="H6873" s="96"/>
      <c r="J6873" s="1"/>
      <c r="K6873" s="1"/>
      <c r="L6873" s="1"/>
      <c r="O6873" s="475"/>
      <c r="P6873" s="475"/>
      <c r="Q6873" s="475"/>
      <c r="R6873" s="475"/>
      <c r="S6873" s="475"/>
      <c r="T6873" s="475"/>
      <c r="U6873" s="475"/>
      <c r="V6873" s="475"/>
      <c r="W6873" s="475"/>
    </row>
    <row r="6874" spans="2:23" s="97" customFormat="1">
      <c r="B6874" s="96"/>
      <c r="H6874" s="96"/>
      <c r="J6874" s="1"/>
      <c r="K6874" s="1"/>
      <c r="L6874" s="1"/>
      <c r="O6874" s="475"/>
      <c r="P6874" s="475"/>
      <c r="Q6874" s="475"/>
      <c r="R6874" s="475"/>
      <c r="S6874" s="475"/>
      <c r="T6874" s="475"/>
      <c r="U6874" s="475"/>
      <c r="V6874" s="475"/>
      <c r="W6874" s="475"/>
    </row>
    <row r="6875" spans="2:23" s="97" customFormat="1">
      <c r="B6875" s="96"/>
      <c r="H6875" s="96"/>
      <c r="J6875" s="1"/>
      <c r="K6875" s="1"/>
      <c r="L6875" s="1"/>
      <c r="O6875" s="475"/>
      <c r="P6875" s="475"/>
      <c r="Q6875" s="475"/>
      <c r="R6875" s="475"/>
      <c r="S6875" s="475"/>
      <c r="T6875" s="475"/>
      <c r="U6875" s="475"/>
      <c r="V6875" s="475"/>
      <c r="W6875" s="475"/>
    </row>
    <row r="6876" spans="2:23" s="97" customFormat="1">
      <c r="B6876" s="96"/>
      <c r="H6876" s="96"/>
      <c r="J6876" s="1"/>
      <c r="K6876" s="1"/>
      <c r="L6876" s="1"/>
      <c r="O6876" s="475"/>
      <c r="P6876" s="475"/>
      <c r="Q6876" s="475"/>
      <c r="R6876" s="475"/>
      <c r="S6876" s="475"/>
      <c r="T6876" s="475"/>
      <c r="U6876" s="475"/>
      <c r="V6876" s="475"/>
      <c r="W6876" s="475"/>
    </row>
    <row r="6877" spans="2:23" s="97" customFormat="1">
      <c r="B6877" s="96"/>
      <c r="H6877" s="96"/>
      <c r="J6877" s="1"/>
      <c r="K6877" s="1"/>
      <c r="L6877" s="1"/>
      <c r="O6877" s="475"/>
      <c r="P6877" s="475"/>
      <c r="Q6877" s="475"/>
      <c r="R6877" s="475"/>
      <c r="S6877" s="475"/>
      <c r="T6877" s="475"/>
      <c r="U6877" s="475"/>
      <c r="V6877" s="475"/>
      <c r="W6877" s="475"/>
    </row>
    <row r="6878" spans="2:23" s="97" customFormat="1">
      <c r="B6878" s="96"/>
      <c r="H6878" s="96"/>
      <c r="J6878" s="1"/>
      <c r="K6878" s="1"/>
      <c r="L6878" s="1"/>
      <c r="O6878" s="475"/>
      <c r="P6878" s="475"/>
      <c r="Q6878" s="475"/>
      <c r="R6878" s="475"/>
      <c r="S6878" s="475"/>
      <c r="T6878" s="475"/>
      <c r="U6878" s="475"/>
      <c r="V6878" s="475"/>
      <c r="W6878" s="475"/>
    </row>
    <row r="6879" spans="2:23" s="97" customFormat="1">
      <c r="B6879" s="96"/>
      <c r="H6879" s="96"/>
      <c r="J6879" s="1"/>
      <c r="K6879" s="1"/>
      <c r="L6879" s="1"/>
      <c r="O6879" s="475"/>
      <c r="P6879" s="475"/>
      <c r="Q6879" s="475"/>
      <c r="R6879" s="475"/>
      <c r="S6879" s="475"/>
      <c r="T6879" s="475"/>
      <c r="U6879" s="475"/>
      <c r="V6879" s="475"/>
      <c r="W6879" s="475"/>
    </row>
    <row r="6880" spans="2:23" s="97" customFormat="1">
      <c r="B6880" s="96"/>
      <c r="H6880" s="96"/>
      <c r="J6880" s="1"/>
      <c r="K6880" s="1"/>
      <c r="L6880" s="1"/>
      <c r="O6880" s="475"/>
      <c r="P6880" s="475"/>
      <c r="Q6880" s="475"/>
      <c r="R6880" s="475"/>
      <c r="S6880" s="475"/>
      <c r="T6880" s="475"/>
      <c r="U6880" s="475"/>
      <c r="V6880" s="475"/>
      <c r="W6880" s="475"/>
    </row>
    <row r="6881" spans="2:23" s="97" customFormat="1">
      <c r="B6881" s="96"/>
      <c r="H6881" s="96"/>
      <c r="J6881" s="1"/>
      <c r="K6881" s="1"/>
      <c r="L6881" s="1"/>
      <c r="O6881" s="475"/>
      <c r="P6881" s="475"/>
      <c r="Q6881" s="475"/>
      <c r="R6881" s="475"/>
      <c r="S6881" s="475"/>
      <c r="T6881" s="475"/>
      <c r="U6881" s="475"/>
      <c r="V6881" s="475"/>
      <c r="W6881" s="475"/>
    </row>
    <row r="6882" spans="2:23" s="97" customFormat="1">
      <c r="B6882" s="96"/>
      <c r="H6882" s="96"/>
      <c r="J6882" s="1"/>
      <c r="K6882" s="1"/>
      <c r="L6882" s="1"/>
      <c r="O6882" s="475"/>
      <c r="P6882" s="475"/>
      <c r="Q6882" s="475"/>
      <c r="R6882" s="475"/>
      <c r="S6882" s="475"/>
      <c r="T6882" s="475"/>
      <c r="U6882" s="475"/>
      <c r="V6882" s="475"/>
      <c r="W6882" s="475"/>
    </row>
    <row r="6883" spans="2:23" s="97" customFormat="1">
      <c r="B6883" s="96"/>
      <c r="H6883" s="96"/>
      <c r="J6883" s="1"/>
      <c r="K6883" s="1"/>
      <c r="L6883" s="1"/>
      <c r="O6883" s="475"/>
      <c r="P6883" s="475"/>
      <c r="Q6883" s="475"/>
      <c r="R6883" s="475"/>
      <c r="S6883" s="475"/>
      <c r="T6883" s="475"/>
      <c r="U6883" s="475"/>
      <c r="V6883" s="475"/>
      <c r="W6883" s="475"/>
    </row>
    <row r="6884" spans="2:23" s="97" customFormat="1">
      <c r="B6884" s="96"/>
      <c r="H6884" s="96"/>
      <c r="J6884" s="1"/>
      <c r="K6884" s="1"/>
      <c r="L6884" s="1"/>
      <c r="O6884" s="475"/>
      <c r="P6884" s="475"/>
      <c r="Q6884" s="475"/>
      <c r="R6884" s="475"/>
      <c r="S6884" s="475"/>
      <c r="T6884" s="475"/>
      <c r="U6884" s="475"/>
      <c r="V6884" s="475"/>
      <c r="W6884" s="475"/>
    </row>
    <row r="6885" spans="2:23" s="97" customFormat="1">
      <c r="B6885" s="96"/>
      <c r="H6885" s="96"/>
      <c r="J6885" s="1"/>
      <c r="K6885" s="1"/>
      <c r="L6885" s="1"/>
      <c r="O6885" s="475"/>
      <c r="P6885" s="475"/>
      <c r="Q6885" s="475"/>
      <c r="R6885" s="475"/>
      <c r="S6885" s="475"/>
      <c r="T6885" s="475"/>
      <c r="U6885" s="475"/>
      <c r="V6885" s="475"/>
      <c r="W6885" s="475"/>
    </row>
    <row r="6886" spans="2:23" s="97" customFormat="1">
      <c r="B6886" s="96"/>
      <c r="H6886" s="96"/>
      <c r="J6886" s="1"/>
      <c r="K6886" s="1"/>
      <c r="L6886" s="1"/>
      <c r="O6886" s="475"/>
      <c r="P6886" s="475"/>
      <c r="Q6886" s="475"/>
      <c r="R6886" s="475"/>
      <c r="S6886" s="475"/>
      <c r="T6886" s="475"/>
      <c r="U6886" s="475"/>
      <c r="V6886" s="475"/>
      <c r="W6886" s="475"/>
    </row>
    <row r="6887" spans="2:23" s="97" customFormat="1">
      <c r="B6887" s="96"/>
      <c r="H6887" s="96"/>
      <c r="J6887" s="1"/>
      <c r="K6887" s="1"/>
      <c r="L6887" s="1"/>
      <c r="O6887" s="475"/>
      <c r="P6887" s="475"/>
      <c r="Q6887" s="475"/>
      <c r="R6887" s="475"/>
      <c r="S6887" s="475"/>
      <c r="T6887" s="475"/>
      <c r="U6887" s="475"/>
      <c r="V6887" s="475"/>
      <c r="W6887" s="475"/>
    </row>
    <row r="6888" spans="2:23" s="97" customFormat="1">
      <c r="B6888" s="96"/>
      <c r="H6888" s="96"/>
      <c r="J6888" s="1"/>
      <c r="K6888" s="1"/>
      <c r="L6888" s="1"/>
      <c r="O6888" s="475"/>
      <c r="P6888" s="475"/>
      <c r="Q6888" s="475"/>
      <c r="R6888" s="475"/>
      <c r="S6888" s="475"/>
      <c r="T6888" s="475"/>
      <c r="U6888" s="475"/>
      <c r="V6888" s="475"/>
      <c r="W6888" s="475"/>
    </row>
    <row r="6889" spans="2:23" s="97" customFormat="1">
      <c r="B6889" s="96"/>
      <c r="H6889" s="96"/>
      <c r="J6889" s="1"/>
      <c r="K6889" s="1"/>
      <c r="L6889" s="1"/>
      <c r="O6889" s="475"/>
      <c r="P6889" s="475"/>
      <c r="Q6889" s="475"/>
      <c r="R6889" s="475"/>
      <c r="S6889" s="475"/>
      <c r="T6889" s="475"/>
      <c r="U6889" s="475"/>
      <c r="V6889" s="475"/>
      <c r="W6889" s="475"/>
    </row>
    <row r="6890" spans="2:23" s="97" customFormat="1">
      <c r="B6890" s="96"/>
      <c r="H6890" s="96"/>
      <c r="J6890" s="1"/>
      <c r="K6890" s="1"/>
      <c r="L6890" s="1"/>
      <c r="O6890" s="475"/>
      <c r="P6890" s="475"/>
      <c r="Q6890" s="475"/>
      <c r="R6890" s="475"/>
      <c r="S6890" s="475"/>
      <c r="T6890" s="475"/>
      <c r="U6890" s="475"/>
      <c r="V6890" s="475"/>
      <c r="W6890" s="475"/>
    </row>
    <row r="6891" spans="2:23" s="97" customFormat="1">
      <c r="B6891" s="96"/>
      <c r="H6891" s="96"/>
      <c r="J6891" s="1"/>
      <c r="K6891" s="1"/>
      <c r="L6891" s="1"/>
      <c r="O6891" s="475"/>
      <c r="P6891" s="475"/>
      <c r="Q6891" s="475"/>
      <c r="R6891" s="475"/>
      <c r="S6891" s="475"/>
      <c r="T6891" s="475"/>
      <c r="U6891" s="475"/>
      <c r="V6891" s="475"/>
      <c r="W6891" s="475"/>
    </row>
    <row r="6892" spans="2:23" s="97" customFormat="1">
      <c r="B6892" s="96"/>
      <c r="H6892" s="96"/>
      <c r="J6892" s="1"/>
      <c r="K6892" s="1"/>
      <c r="L6892" s="1"/>
      <c r="O6892" s="475"/>
      <c r="P6892" s="475"/>
      <c r="Q6892" s="475"/>
      <c r="R6892" s="475"/>
      <c r="S6892" s="475"/>
      <c r="T6892" s="475"/>
      <c r="U6892" s="475"/>
      <c r="V6892" s="475"/>
      <c r="W6892" s="475"/>
    </row>
    <row r="6893" spans="2:23" s="97" customFormat="1">
      <c r="B6893" s="96"/>
      <c r="H6893" s="96"/>
      <c r="J6893" s="1"/>
      <c r="K6893" s="1"/>
      <c r="L6893" s="1"/>
      <c r="O6893" s="475"/>
      <c r="P6893" s="475"/>
      <c r="Q6893" s="475"/>
      <c r="R6893" s="475"/>
      <c r="S6893" s="475"/>
      <c r="T6893" s="475"/>
      <c r="U6893" s="475"/>
      <c r="V6893" s="475"/>
      <c r="W6893" s="475"/>
    </row>
    <row r="6894" spans="2:23" s="97" customFormat="1">
      <c r="B6894" s="96"/>
      <c r="H6894" s="96"/>
      <c r="J6894" s="1"/>
      <c r="K6894" s="1"/>
      <c r="L6894" s="1"/>
      <c r="O6894" s="475"/>
      <c r="P6894" s="475"/>
      <c r="Q6894" s="475"/>
      <c r="R6894" s="475"/>
      <c r="S6894" s="475"/>
      <c r="T6894" s="475"/>
      <c r="U6894" s="475"/>
      <c r="V6894" s="475"/>
      <c r="W6894" s="475"/>
    </row>
    <row r="6895" spans="2:23" s="97" customFormat="1">
      <c r="B6895" s="96"/>
      <c r="H6895" s="96"/>
      <c r="J6895" s="1"/>
      <c r="K6895" s="1"/>
      <c r="L6895" s="1"/>
      <c r="O6895" s="475"/>
      <c r="P6895" s="475"/>
      <c r="Q6895" s="475"/>
      <c r="R6895" s="475"/>
      <c r="S6895" s="475"/>
      <c r="T6895" s="475"/>
      <c r="U6895" s="475"/>
      <c r="V6895" s="475"/>
      <c r="W6895" s="475"/>
    </row>
    <row r="6896" spans="2:23" s="97" customFormat="1">
      <c r="B6896" s="96"/>
      <c r="H6896" s="96"/>
      <c r="J6896" s="1"/>
      <c r="K6896" s="1"/>
      <c r="L6896" s="1"/>
      <c r="O6896" s="475"/>
      <c r="P6896" s="475"/>
      <c r="Q6896" s="475"/>
      <c r="R6896" s="475"/>
      <c r="S6896" s="475"/>
      <c r="T6896" s="475"/>
      <c r="U6896" s="475"/>
      <c r="V6896" s="475"/>
      <c r="W6896" s="475"/>
    </row>
    <row r="6897" spans="2:23" s="97" customFormat="1">
      <c r="B6897" s="96"/>
      <c r="H6897" s="96"/>
      <c r="J6897" s="1"/>
      <c r="K6897" s="1"/>
      <c r="L6897" s="1"/>
      <c r="O6897" s="475"/>
      <c r="P6897" s="475"/>
      <c r="Q6897" s="475"/>
      <c r="R6897" s="475"/>
      <c r="S6897" s="475"/>
      <c r="T6897" s="475"/>
      <c r="U6897" s="475"/>
      <c r="V6897" s="475"/>
      <c r="W6897" s="475"/>
    </row>
    <row r="6898" spans="2:23" s="97" customFormat="1">
      <c r="B6898" s="96"/>
      <c r="H6898" s="96"/>
      <c r="J6898" s="1"/>
      <c r="K6898" s="1"/>
      <c r="L6898" s="1"/>
      <c r="O6898" s="475"/>
      <c r="P6898" s="475"/>
      <c r="Q6898" s="475"/>
      <c r="R6898" s="475"/>
      <c r="S6898" s="475"/>
      <c r="T6898" s="475"/>
      <c r="U6898" s="475"/>
      <c r="V6898" s="475"/>
      <c r="W6898" s="475"/>
    </row>
    <row r="6899" spans="2:23" s="97" customFormat="1">
      <c r="B6899" s="96"/>
      <c r="H6899" s="96"/>
      <c r="J6899" s="1"/>
      <c r="K6899" s="1"/>
      <c r="L6899" s="1"/>
      <c r="O6899" s="475"/>
      <c r="P6899" s="475"/>
      <c r="Q6899" s="475"/>
      <c r="R6899" s="475"/>
      <c r="S6899" s="475"/>
      <c r="T6899" s="475"/>
      <c r="U6899" s="475"/>
      <c r="V6899" s="475"/>
      <c r="W6899" s="475"/>
    </row>
    <row r="6900" spans="2:23" s="97" customFormat="1">
      <c r="B6900" s="96"/>
      <c r="H6900" s="96"/>
      <c r="J6900" s="1"/>
      <c r="K6900" s="1"/>
      <c r="L6900" s="1"/>
      <c r="O6900" s="475"/>
      <c r="P6900" s="475"/>
      <c r="Q6900" s="475"/>
      <c r="R6900" s="475"/>
      <c r="S6900" s="475"/>
      <c r="T6900" s="475"/>
      <c r="U6900" s="475"/>
      <c r="V6900" s="475"/>
      <c r="W6900" s="475"/>
    </row>
    <row r="6901" spans="2:23" s="97" customFormat="1">
      <c r="B6901" s="96"/>
      <c r="H6901" s="96"/>
      <c r="J6901" s="1"/>
      <c r="K6901" s="1"/>
      <c r="L6901" s="1"/>
      <c r="O6901" s="475"/>
      <c r="P6901" s="475"/>
      <c r="Q6901" s="475"/>
      <c r="R6901" s="475"/>
      <c r="S6901" s="475"/>
      <c r="T6901" s="475"/>
      <c r="U6901" s="475"/>
      <c r="V6901" s="475"/>
      <c r="W6901" s="475"/>
    </row>
    <row r="6902" spans="2:23" s="97" customFormat="1">
      <c r="B6902" s="96"/>
      <c r="H6902" s="96"/>
      <c r="J6902" s="1"/>
      <c r="K6902" s="1"/>
      <c r="L6902" s="1"/>
      <c r="O6902" s="475"/>
      <c r="P6902" s="475"/>
      <c r="Q6902" s="475"/>
      <c r="R6902" s="475"/>
      <c r="S6902" s="475"/>
      <c r="T6902" s="475"/>
      <c r="U6902" s="475"/>
      <c r="V6902" s="475"/>
      <c r="W6902" s="475"/>
    </row>
    <row r="6903" spans="2:23" s="97" customFormat="1">
      <c r="B6903" s="96"/>
      <c r="H6903" s="96"/>
      <c r="J6903" s="1"/>
      <c r="K6903" s="1"/>
      <c r="L6903" s="1"/>
      <c r="O6903" s="475"/>
      <c r="P6903" s="475"/>
      <c r="Q6903" s="475"/>
      <c r="R6903" s="475"/>
      <c r="S6903" s="475"/>
      <c r="T6903" s="475"/>
      <c r="U6903" s="475"/>
      <c r="V6903" s="475"/>
      <c r="W6903" s="475"/>
    </row>
    <row r="6904" spans="2:23" s="97" customFormat="1">
      <c r="B6904" s="96"/>
      <c r="H6904" s="96"/>
      <c r="J6904" s="1"/>
      <c r="K6904" s="1"/>
      <c r="L6904" s="1"/>
      <c r="O6904" s="475"/>
      <c r="P6904" s="475"/>
      <c r="Q6904" s="475"/>
      <c r="R6904" s="475"/>
      <c r="S6904" s="475"/>
      <c r="T6904" s="475"/>
      <c r="U6904" s="475"/>
      <c r="V6904" s="475"/>
      <c r="W6904" s="475"/>
    </row>
    <row r="6905" spans="2:23" s="97" customFormat="1">
      <c r="B6905" s="96"/>
      <c r="H6905" s="96"/>
      <c r="J6905" s="1"/>
      <c r="K6905" s="1"/>
      <c r="L6905" s="1"/>
      <c r="O6905" s="475"/>
      <c r="P6905" s="475"/>
      <c r="Q6905" s="475"/>
      <c r="R6905" s="475"/>
      <c r="S6905" s="475"/>
      <c r="T6905" s="475"/>
      <c r="U6905" s="475"/>
      <c r="V6905" s="475"/>
      <c r="W6905" s="475"/>
    </row>
    <row r="6906" spans="2:23" s="97" customFormat="1">
      <c r="B6906" s="96"/>
      <c r="H6906" s="96"/>
      <c r="J6906" s="1"/>
      <c r="K6906" s="1"/>
      <c r="L6906" s="1"/>
      <c r="O6906" s="475"/>
      <c r="P6906" s="475"/>
      <c r="Q6906" s="475"/>
      <c r="R6906" s="475"/>
      <c r="S6906" s="475"/>
      <c r="T6906" s="475"/>
      <c r="U6906" s="475"/>
      <c r="V6906" s="475"/>
      <c r="W6906" s="475"/>
    </row>
    <row r="6907" spans="2:23" s="97" customFormat="1">
      <c r="B6907" s="96"/>
      <c r="H6907" s="96"/>
      <c r="J6907" s="1"/>
      <c r="K6907" s="1"/>
      <c r="L6907" s="1"/>
      <c r="O6907" s="475"/>
      <c r="P6907" s="475"/>
      <c r="Q6907" s="475"/>
      <c r="R6907" s="475"/>
      <c r="S6907" s="475"/>
      <c r="T6907" s="475"/>
      <c r="U6907" s="475"/>
      <c r="V6907" s="475"/>
      <c r="W6907" s="475"/>
    </row>
    <row r="6908" spans="2:23" s="97" customFormat="1">
      <c r="B6908" s="96"/>
      <c r="H6908" s="96"/>
      <c r="J6908" s="1"/>
      <c r="K6908" s="1"/>
      <c r="L6908" s="1"/>
      <c r="O6908" s="475"/>
      <c r="P6908" s="475"/>
      <c r="Q6908" s="475"/>
      <c r="R6908" s="475"/>
      <c r="S6908" s="475"/>
      <c r="T6908" s="475"/>
      <c r="U6908" s="475"/>
      <c r="V6908" s="475"/>
      <c r="W6908" s="475"/>
    </row>
    <row r="6909" spans="2:23" s="97" customFormat="1">
      <c r="B6909" s="96"/>
      <c r="H6909" s="96"/>
      <c r="J6909" s="1"/>
      <c r="K6909" s="1"/>
      <c r="L6909" s="1"/>
      <c r="O6909" s="475"/>
      <c r="P6909" s="475"/>
      <c r="Q6909" s="475"/>
      <c r="R6909" s="475"/>
      <c r="S6909" s="475"/>
      <c r="T6909" s="475"/>
      <c r="U6909" s="475"/>
      <c r="V6909" s="475"/>
      <c r="W6909" s="475"/>
    </row>
    <row r="6910" spans="2:23" s="97" customFormat="1">
      <c r="B6910" s="96"/>
      <c r="H6910" s="96"/>
      <c r="J6910" s="1"/>
      <c r="K6910" s="1"/>
      <c r="L6910" s="1"/>
      <c r="O6910" s="475"/>
      <c r="P6910" s="475"/>
      <c r="Q6910" s="475"/>
      <c r="R6910" s="475"/>
      <c r="S6910" s="475"/>
      <c r="T6910" s="475"/>
      <c r="U6910" s="475"/>
      <c r="V6910" s="475"/>
      <c r="W6910" s="475"/>
    </row>
    <row r="6911" spans="2:23" s="97" customFormat="1">
      <c r="B6911" s="96"/>
      <c r="H6911" s="96"/>
      <c r="J6911" s="1"/>
      <c r="K6911" s="1"/>
      <c r="L6911" s="1"/>
      <c r="O6911" s="475"/>
      <c r="P6911" s="475"/>
      <c r="Q6911" s="475"/>
      <c r="R6911" s="475"/>
      <c r="S6911" s="475"/>
      <c r="T6911" s="475"/>
      <c r="U6911" s="475"/>
      <c r="V6911" s="475"/>
      <c r="W6911" s="475"/>
    </row>
    <row r="6912" spans="2:23" s="97" customFormat="1">
      <c r="B6912" s="96"/>
      <c r="H6912" s="96"/>
      <c r="J6912" s="1"/>
      <c r="K6912" s="1"/>
      <c r="L6912" s="1"/>
      <c r="O6912" s="475"/>
      <c r="P6912" s="475"/>
      <c r="Q6912" s="475"/>
      <c r="R6912" s="475"/>
      <c r="S6912" s="475"/>
      <c r="T6912" s="475"/>
      <c r="U6912" s="475"/>
      <c r="V6912" s="475"/>
      <c r="W6912" s="475"/>
    </row>
    <row r="6913" spans="2:23" s="97" customFormat="1">
      <c r="B6913" s="96"/>
      <c r="H6913" s="96"/>
      <c r="J6913" s="1"/>
      <c r="K6913" s="1"/>
      <c r="L6913" s="1"/>
      <c r="O6913" s="475"/>
      <c r="P6913" s="475"/>
      <c r="Q6913" s="475"/>
      <c r="R6913" s="475"/>
      <c r="S6913" s="475"/>
      <c r="T6913" s="475"/>
      <c r="U6913" s="475"/>
      <c r="V6913" s="475"/>
      <c r="W6913" s="475"/>
    </row>
    <row r="6914" spans="2:23" s="97" customFormat="1">
      <c r="B6914" s="96"/>
      <c r="H6914" s="96"/>
      <c r="J6914" s="1"/>
      <c r="K6914" s="1"/>
      <c r="L6914" s="1"/>
      <c r="O6914" s="475"/>
      <c r="P6914" s="475"/>
      <c r="Q6914" s="475"/>
      <c r="R6914" s="475"/>
      <c r="S6914" s="475"/>
      <c r="T6914" s="475"/>
      <c r="U6914" s="475"/>
      <c r="V6914" s="475"/>
      <c r="W6914" s="475"/>
    </row>
    <row r="6915" spans="2:23" s="97" customFormat="1">
      <c r="B6915" s="96"/>
      <c r="H6915" s="96"/>
      <c r="J6915" s="1"/>
      <c r="K6915" s="1"/>
      <c r="L6915" s="1"/>
      <c r="O6915" s="475"/>
      <c r="P6915" s="475"/>
      <c r="Q6915" s="475"/>
      <c r="R6915" s="475"/>
      <c r="S6915" s="475"/>
      <c r="T6915" s="475"/>
      <c r="U6915" s="475"/>
      <c r="V6915" s="475"/>
      <c r="W6915" s="475"/>
    </row>
    <row r="6916" spans="2:23" s="97" customFormat="1">
      <c r="B6916" s="96"/>
      <c r="H6916" s="96"/>
      <c r="J6916" s="1"/>
      <c r="K6916" s="1"/>
      <c r="L6916" s="1"/>
      <c r="O6916" s="475"/>
      <c r="P6916" s="475"/>
      <c r="Q6916" s="475"/>
      <c r="R6916" s="475"/>
      <c r="S6916" s="475"/>
      <c r="T6916" s="475"/>
      <c r="U6916" s="475"/>
      <c r="V6916" s="475"/>
      <c r="W6916" s="475"/>
    </row>
    <row r="6917" spans="2:23" s="97" customFormat="1">
      <c r="B6917" s="96"/>
      <c r="H6917" s="96"/>
      <c r="J6917" s="1"/>
      <c r="K6917" s="1"/>
      <c r="L6917" s="1"/>
      <c r="O6917" s="475"/>
      <c r="P6917" s="475"/>
      <c r="Q6917" s="475"/>
      <c r="R6917" s="475"/>
      <c r="S6917" s="475"/>
      <c r="T6917" s="475"/>
      <c r="U6917" s="475"/>
      <c r="V6917" s="475"/>
      <c r="W6917" s="475"/>
    </row>
    <row r="6918" spans="2:23" s="97" customFormat="1">
      <c r="B6918" s="96"/>
      <c r="H6918" s="96"/>
      <c r="J6918" s="1"/>
      <c r="K6918" s="1"/>
      <c r="L6918" s="1"/>
      <c r="O6918" s="475"/>
      <c r="P6918" s="475"/>
      <c r="Q6918" s="475"/>
      <c r="R6918" s="475"/>
      <c r="S6918" s="475"/>
      <c r="T6918" s="475"/>
      <c r="U6918" s="475"/>
      <c r="V6918" s="475"/>
      <c r="W6918" s="475"/>
    </row>
    <row r="6919" spans="2:23" s="97" customFormat="1">
      <c r="B6919" s="96"/>
      <c r="H6919" s="96"/>
      <c r="J6919" s="1"/>
      <c r="K6919" s="1"/>
      <c r="L6919" s="1"/>
      <c r="O6919" s="475"/>
      <c r="P6919" s="475"/>
      <c r="Q6919" s="475"/>
      <c r="R6919" s="475"/>
      <c r="S6919" s="475"/>
      <c r="T6919" s="475"/>
      <c r="U6919" s="475"/>
      <c r="V6919" s="475"/>
      <c r="W6919" s="475"/>
    </row>
    <row r="6920" spans="2:23" s="97" customFormat="1">
      <c r="B6920" s="96"/>
      <c r="H6920" s="96"/>
      <c r="J6920" s="1"/>
      <c r="K6920" s="1"/>
      <c r="L6920" s="1"/>
      <c r="O6920" s="475"/>
      <c r="P6920" s="475"/>
      <c r="Q6920" s="475"/>
      <c r="R6920" s="475"/>
      <c r="S6920" s="475"/>
      <c r="T6920" s="475"/>
      <c r="U6920" s="475"/>
      <c r="V6920" s="475"/>
      <c r="W6920" s="475"/>
    </row>
    <row r="6921" spans="2:23" s="97" customFormat="1">
      <c r="B6921" s="96"/>
      <c r="H6921" s="96"/>
      <c r="J6921" s="1"/>
      <c r="K6921" s="1"/>
      <c r="L6921" s="1"/>
      <c r="O6921" s="475"/>
      <c r="P6921" s="475"/>
      <c r="Q6921" s="475"/>
      <c r="R6921" s="475"/>
      <c r="S6921" s="475"/>
      <c r="T6921" s="475"/>
      <c r="U6921" s="475"/>
      <c r="V6921" s="475"/>
      <c r="W6921" s="475"/>
    </row>
    <row r="6922" spans="2:23" s="97" customFormat="1">
      <c r="B6922" s="96"/>
      <c r="H6922" s="96"/>
      <c r="J6922" s="1"/>
      <c r="K6922" s="1"/>
      <c r="L6922" s="1"/>
      <c r="O6922" s="475"/>
      <c r="P6922" s="475"/>
      <c r="Q6922" s="475"/>
      <c r="R6922" s="475"/>
      <c r="S6922" s="475"/>
      <c r="T6922" s="475"/>
      <c r="U6922" s="475"/>
      <c r="V6922" s="475"/>
      <c r="W6922" s="475"/>
    </row>
    <row r="6923" spans="2:23" s="97" customFormat="1">
      <c r="B6923" s="96"/>
      <c r="H6923" s="96"/>
      <c r="J6923" s="1"/>
      <c r="K6923" s="1"/>
      <c r="L6923" s="1"/>
      <c r="O6923" s="475"/>
      <c r="P6923" s="475"/>
      <c r="Q6923" s="475"/>
      <c r="R6923" s="475"/>
      <c r="S6923" s="475"/>
      <c r="T6923" s="475"/>
      <c r="U6923" s="475"/>
      <c r="V6923" s="475"/>
      <c r="W6923" s="475"/>
    </row>
    <row r="6924" spans="2:23" s="97" customFormat="1">
      <c r="B6924" s="96"/>
      <c r="H6924" s="96"/>
      <c r="J6924" s="1"/>
      <c r="K6924" s="1"/>
      <c r="L6924" s="1"/>
      <c r="O6924" s="475"/>
      <c r="P6924" s="475"/>
      <c r="Q6924" s="475"/>
      <c r="R6924" s="475"/>
      <c r="S6924" s="475"/>
      <c r="T6924" s="475"/>
      <c r="U6924" s="475"/>
      <c r="V6924" s="475"/>
      <c r="W6924" s="475"/>
    </row>
    <row r="6925" spans="2:23" s="97" customFormat="1">
      <c r="B6925" s="96"/>
      <c r="H6925" s="96"/>
      <c r="J6925" s="1"/>
      <c r="K6925" s="1"/>
      <c r="L6925" s="1"/>
      <c r="O6925" s="475"/>
      <c r="P6925" s="475"/>
      <c r="Q6925" s="475"/>
      <c r="R6925" s="475"/>
      <c r="S6925" s="475"/>
      <c r="T6925" s="475"/>
      <c r="U6925" s="475"/>
      <c r="V6925" s="475"/>
      <c r="W6925" s="475"/>
    </row>
    <row r="6926" spans="2:23" s="97" customFormat="1">
      <c r="B6926" s="96"/>
      <c r="H6926" s="96"/>
      <c r="J6926" s="1"/>
      <c r="K6926" s="1"/>
      <c r="L6926" s="1"/>
      <c r="O6926" s="475"/>
      <c r="P6926" s="475"/>
      <c r="Q6926" s="475"/>
      <c r="R6926" s="475"/>
      <c r="S6926" s="475"/>
      <c r="T6926" s="475"/>
      <c r="U6926" s="475"/>
      <c r="V6926" s="475"/>
      <c r="W6926" s="475"/>
    </row>
    <row r="6927" spans="2:23" s="97" customFormat="1">
      <c r="B6927" s="96"/>
      <c r="H6927" s="96"/>
      <c r="J6927" s="1"/>
      <c r="K6927" s="1"/>
      <c r="L6927" s="1"/>
      <c r="O6927" s="475"/>
      <c r="P6927" s="475"/>
      <c r="Q6927" s="475"/>
      <c r="R6927" s="475"/>
      <c r="S6927" s="475"/>
      <c r="T6927" s="475"/>
      <c r="U6927" s="475"/>
      <c r="V6927" s="475"/>
      <c r="W6927" s="475"/>
    </row>
    <row r="6928" spans="2:23" s="97" customFormat="1">
      <c r="B6928" s="96"/>
      <c r="H6928" s="96"/>
      <c r="J6928" s="1"/>
      <c r="K6928" s="1"/>
      <c r="L6928" s="1"/>
      <c r="O6928" s="475"/>
      <c r="P6928" s="475"/>
      <c r="Q6928" s="475"/>
      <c r="R6928" s="475"/>
      <c r="S6928" s="475"/>
      <c r="T6928" s="475"/>
      <c r="U6928" s="475"/>
      <c r="V6928" s="475"/>
      <c r="W6928" s="475"/>
    </row>
    <row r="6929" spans="2:23" s="97" customFormat="1">
      <c r="B6929" s="96"/>
      <c r="H6929" s="96"/>
      <c r="J6929" s="1"/>
      <c r="K6929" s="1"/>
      <c r="L6929" s="1"/>
      <c r="O6929" s="475"/>
      <c r="P6929" s="475"/>
      <c r="Q6929" s="475"/>
      <c r="R6929" s="475"/>
      <c r="S6929" s="475"/>
      <c r="T6929" s="475"/>
      <c r="U6929" s="475"/>
      <c r="V6929" s="475"/>
      <c r="W6929" s="475"/>
    </row>
    <row r="6930" spans="2:23" s="97" customFormat="1">
      <c r="B6930" s="96"/>
      <c r="H6930" s="96"/>
      <c r="J6930" s="1"/>
      <c r="K6930" s="1"/>
      <c r="L6930" s="1"/>
      <c r="O6930" s="475"/>
      <c r="P6930" s="475"/>
      <c r="Q6930" s="475"/>
      <c r="R6930" s="475"/>
      <c r="S6930" s="475"/>
      <c r="T6930" s="475"/>
      <c r="U6930" s="475"/>
      <c r="V6930" s="475"/>
      <c r="W6930" s="475"/>
    </row>
    <row r="6931" spans="2:23" s="97" customFormat="1">
      <c r="B6931" s="96"/>
      <c r="H6931" s="96"/>
      <c r="J6931" s="1"/>
      <c r="K6931" s="1"/>
      <c r="L6931" s="1"/>
      <c r="O6931" s="475"/>
      <c r="P6931" s="475"/>
      <c r="Q6931" s="475"/>
      <c r="R6931" s="475"/>
      <c r="S6931" s="475"/>
      <c r="T6931" s="475"/>
      <c r="U6931" s="475"/>
      <c r="V6931" s="475"/>
      <c r="W6931" s="475"/>
    </row>
    <row r="6932" spans="2:23" s="97" customFormat="1">
      <c r="B6932" s="96"/>
      <c r="H6932" s="96"/>
      <c r="J6932" s="1"/>
      <c r="K6932" s="1"/>
      <c r="L6932" s="1"/>
      <c r="O6932" s="475"/>
      <c r="P6932" s="475"/>
      <c r="Q6932" s="475"/>
      <c r="R6932" s="475"/>
      <c r="S6932" s="475"/>
      <c r="T6932" s="475"/>
      <c r="U6932" s="475"/>
      <c r="V6932" s="475"/>
      <c r="W6932" s="475"/>
    </row>
    <row r="6933" spans="2:23" s="97" customFormat="1">
      <c r="B6933" s="96"/>
      <c r="H6933" s="96"/>
      <c r="J6933" s="1"/>
      <c r="K6933" s="1"/>
      <c r="L6933" s="1"/>
      <c r="O6933" s="475"/>
      <c r="P6933" s="475"/>
      <c r="Q6933" s="475"/>
      <c r="R6933" s="475"/>
      <c r="S6933" s="475"/>
      <c r="T6933" s="475"/>
      <c r="U6933" s="475"/>
      <c r="V6933" s="475"/>
      <c r="W6933" s="475"/>
    </row>
    <row r="6934" spans="2:23" s="97" customFormat="1">
      <c r="B6934" s="96"/>
      <c r="H6934" s="96"/>
      <c r="J6934" s="1"/>
      <c r="K6934" s="1"/>
      <c r="L6934" s="1"/>
      <c r="O6934" s="475"/>
      <c r="P6934" s="475"/>
      <c r="Q6934" s="475"/>
      <c r="R6934" s="475"/>
      <c r="S6934" s="475"/>
      <c r="T6934" s="475"/>
      <c r="U6934" s="475"/>
      <c r="V6934" s="475"/>
      <c r="W6934" s="475"/>
    </row>
    <row r="6935" spans="2:23" s="97" customFormat="1">
      <c r="B6935" s="96"/>
      <c r="H6935" s="96"/>
      <c r="J6935" s="1"/>
      <c r="K6935" s="1"/>
      <c r="L6935" s="1"/>
      <c r="O6935" s="475"/>
      <c r="P6935" s="475"/>
      <c r="Q6935" s="475"/>
      <c r="R6935" s="475"/>
      <c r="S6935" s="475"/>
      <c r="T6935" s="475"/>
      <c r="U6935" s="475"/>
      <c r="V6935" s="475"/>
      <c r="W6935" s="475"/>
    </row>
    <row r="6936" spans="2:23" s="97" customFormat="1">
      <c r="B6936" s="96"/>
      <c r="H6936" s="96"/>
      <c r="J6936" s="1"/>
      <c r="K6936" s="1"/>
      <c r="L6936" s="1"/>
      <c r="O6936" s="475"/>
      <c r="P6936" s="475"/>
      <c r="Q6936" s="475"/>
      <c r="R6936" s="475"/>
      <c r="S6936" s="475"/>
      <c r="T6936" s="475"/>
      <c r="U6936" s="475"/>
      <c r="V6936" s="475"/>
      <c r="W6936" s="475"/>
    </row>
    <row r="6937" spans="2:23" s="97" customFormat="1">
      <c r="B6937" s="96"/>
      <c r="H6937" s="96"/>
      <c r="J6937" s="1"/>
      <c r="K6937" s="1"/>
      <c r="L6937" s="1"/>
      <c r="O6937" s="475"/>
      <c r="P6937" s="475"/>
      <c r="Q6937" s="475"/>
      <c r="R6937" s="475"/>
      <c r="S6937" s="475"/>
      <c r="T6937" s="475"/>
      <c r="U6937" s="475"/>
      <c r="V6937" s="475"/>
      <c r="W6937" s="475"/>
    </row>
    <row r="6938" spans="2:23" s="97" customFormat="1">
      <c r="B6938" s="96"/>
      <c r="H6938" s="96"/>
      <c r="J6938" s="1"/>
      <c r="K6938" s="1"/>
      <c r="L6938" s="1"/>
      <c r="O6938" s="475"/>
      <c r="P6938" s="475"/>
      <c r="Q6938" s="475"/>
      <c r="R6938" s="475"/>
      <c r="S6938" s="475"/>
      <c r="T6938" s="475"/>
      <c r="U6938" s="475"/>
      <c r="V6938" s="475"/>
      <c r="W6938" s="475"/>
    </row>
    <row r="6939" spans="2:23" s="97" customFormat="1">
      <c r="B6939" s="96"/>
      <c r="H6939" s="96"/>
      <c r="J6939" s="1"/>
      <c r="K6939" s="1"/>
      <c r="L6939" s="1"/>
      <c r="O6939" s="475"/>
      <c r="P6939" s="475"/>
      <c r="Q6939" s="475"/>
      <c r="R6939" s="475"/>
      <c r="S6939" s="475"/>
      <c r="T6939" s="475"/>
      <c r="U6939" s="475"/>
      <c r="V6939" s="475"/>
      <c r="W6939" s="475"/>
    </row>
    <row r="6940" spans="2:23" s="97" customFormat="1">
      <c r="B6940" s="96"/>
      <c r="H6940" s="96"/>
      <c r="J6940" s="1"/>
      <c r="K6940" s="1"/>
      <c r="L6940" s="1"/>
      <c r="O6940" s="475"/>
      <c r="P6940" s="475"/>
      <c r="Q6940" s="475"/>
      <c r="R6940" s="475"/>
      <c r="S6940" s="475"/>
      <c r="T6940" s="475"/>
      <c r="U6940" s="475"/>
      <c r="V6940" s="475"/>
      <c r="W6940" s="475"/>
    </row>
    <row r="6941" spans="2:23" s="97" customFormat="1">
      <c r="B6941" s="96"/>
      <c r="H6941" s="96"/>
      <c r="J6941" s="1"/>
      <c r="K6941" s="1"/>
      <c r="L6941" s="1"/>
      <c r="O6941" s="475"/>
      <c r="P6941" s="475"/>
      <c r="Q6941" s="475"/>
      <c r="R6941" s="475"/>
      <c r="S6941" s="475"/>
      <c r="T6941" s="475"/>
      <c r="U6941" s="475"/>
      <c r="V6941" s="475"/>
      <c r="W6941" s="475"/>
    </row>
    <row r="6942" spans="2:23" s="97" customFormat="1">
      <c r="B6942" s="96"/>
      <c r="H6942" s="96"/>
      <c r="J6942" s="1"/>
      <c r="K6942" s="1"/>
      <c r="L6942" s="1"/>
      <c r="O6942" s="475"/>
      <c r="P6942" s="475"/>
      <c r="Q6942" s="475"/>
      <c r="R6942" s="475"/>
      <c r="S6942" s="475"/>
      <c r="T6942" s="475"/>
      <c r="U6942" s="475"/>
      <c r="V6942" s="475"/>
      <c r="W6942" s="475"/>
    </row>
    <row r="6943" spans="2:23" s="97" customFormat="1">
      <c r="B6943" s="96"/>
      <c r="H6943" s="96"/>
      <c r="J6943" s="1"/>
      <c r="K6943" s="1"/>
      <c r="L6943" s="1"/>
      <c r="O6943" s="475"/>
      <c r="P6943" s="475"/>
      <c r="Q6943" s="475"/>
      <c r="R6943" s="475"/>
      <c r="S6943" s="475"/>
      <c r="T6943" s="475"/>
      <c r="U6943" s="475"/>
      <c r="V6943" s="475"/>
      <c r="W6943" s="475"/>
    </row>
    <row r="6944" spans="2:23" s="97" customFormat="1">
      <c r="B6944" s="96"/>
      <c r="H6944" s="96"/>
      <c r="J6944" s="1"/>
      <c r="K6944" s="1"/>
      <c r="L6944" s="1"/>
      <c r="O6944" s="475"/>
      <c r="P6944" s="475"/>
      <c r="Q6944" s="475"/>
      <c r="R6944" s="475"/>
      <c r="S6944" s="475"/>
      <c r="T6944" s="475"/>
      <c r="U6944" s="475"/>
      <c r="V6944" s="475"/>
      <c r="W6944" s="475"/>
    </row>
    <row r="6945" spans="2:23" s="97" customFormat="1">
      <c r="B6945" s="96"/>
      <c r="H6945" s="96"/>
      <c r="J6945" s="1"/>
      <c r="K6945" s="1"/>
      <c r="L6945" s="1"/>
      <c r="O6945" s="475"/>
      <c r="P6945" s="475"/>
      <c r="Q6945" s="475"/>
      <c r="R6945" s="475"/>
      <c r="S6945" s="475"/>
      <c r="T6945" s="475"/>
      <c r="U6945" s="475"/>
      <c r="V6945" s="475"/>
      <c r="W6945" s="475"/>
    </row>
    <row r="6946" spans="2:23" s="97" customFormat="1">
      <c r="B6946" s="96"/>
      <c r="H6946" s="96"/>
      <c r="J6946" s="1"/>
      <c r="K6946" s="1"/>
      <c r="L6946" s="1"/>
      <c r="O6946" s="475"/>
      <c r="P6946" s="475"/>
      <c r="Q6946" s="475"/>
      <c r="R6946" s="475"/>
      <c r="S6946" s="475"/>
      <c r="T6946" s="475"/>
      <c r="U6946" s="475"/>
      <c r="V6946" s="475"/>
      <c r="W6946" s="475"/>
    </row>
    <row r="6947" spans="2:23" s="97" customFormat="1">
      <c r="B6947" s="96"/>
      <c r="H6947" s="96"/>
      <c r="J6947" s="1"/>
      <c r="K6947" s="1"/>
      <c r="L6947" s="1"/>
      <c r="O6947" s="475"/>
      <c r="P6947" s="475"/>
      <c r="Q6947" s="475"/>
      <c r="R6947" s="475"/>
      <c r="S6947" s="475"/>
      <c r="T6947" s="475"/>
      <c r="U6947" s="475"/>
      <c r="V6947" s="475"/>
      <c r="W6947" s="475"/>
    </row>
    <row r="6948" spans="2:23" s="97" customFormat="1">
      <c r="B6948" s="96"/>
      <c r="H6948" s="96"/>
      <c r="J6948" s="1"/>
      <c r="K6948" s="1"/>
      <c r="L6948" s="1"/>
      <c r="O6948" s="475"/>
      <c r="P6948" s="475"/>
      <c r="Q6948" s="475"/>
      <c r="R6948" s="475"/>
      <c r="S6948" s="475"/>
      <c r="T6948" s="475"/>
      <c r="U6948" s="475"/>
      <c r="V6948" s="475"/>
      <c r="W6948" s="475"/>
    </row>
    <row r="6949" spans="2:23" s="97" customFormat="1">
      <c r="B6949" s="96"/>
      <c r="H6949" s="96"/>
      <c r="J6949" s="1"/>
      <c r="K6949" s="1"/>
      <c r="L6949" s="1"/>
      <c r="O6949" s="475"/>
      <c r="P6949" s="475"/>
      <c r="Q6949" s="475"/>
      <c r="R6949" s="475"/>
      <c r="S6949" s="475"/>
      <c r="T6949" s="475"/>
      <c r="U6949" s="475"/>
      <c r="V6949" s="475"/>
      <c r="W6949" s="475"/>
    </row>
    <row r="6950" spans="2:23" s="97" customFormat="1">
      <c r="B6950" s="96"/>
      <c r="H6950" s="96"/>
      <c r="J6950" s="1"/>
      <c r="K6950" s="1"/>
      <c r="L6950" s="1"/>
      <c r="O6950" s="475"/>
      <c r="P6950" s="475"/>
      <c r="Q6950" s="475"/>
      <c r="R6950" s="475"/>
      <c r="S6950" s="475"/>
      <c r="T6950" s="475"/>
      <c r="U6950" s="475"/>
      <c r="V6950" s="475"/>
      <c r="W6950" s="475"/>
    </row>
    <row r="6951" spans="2:23" s="97" customFormat="1">
      <c r="B6951" s="96"/>
      <c r="H6951" s="96"/>
      <c r="J6951" s="1"/>
      <c r="K6951" s="1"/>
      <c r="L6951" s="1"/>
      <c r="O6951" s="475"/>
      <c r="P6951" s="475"/>
      <c r="Q6951" s="475"/>
      <c r="R6951" s="475"/>
      <c r="S6951" s="475"/>
      <c r="T6951" s="475"/>
      <c r="U6951" s="475"/>
      <c r="V6951" s="475"/>
      <c r="W6951" s="475"/>
    </row>
    <row r="6952" spans="2:23" s="97" customFormat="1">
      <c r="B6952" s="96"/>
      <c r="H6952" s="96"/>
      <c r="J6952" s="1"/>
      <c r="K6952" s="1"/>
      <c r="L6952" s="1"/>
      <c r="O6952" s="475"/>
      <c r="P6952" s="475"/>
      <c r="Q6952" s="475"/>
      <c r="R6952" s="475"/>
      <c r="S6952" s="475"/>
      <c r="T6952" s="475"/>
      <c r="U6952" s="475"/>
      <c r="V6952" s="475"/>
      <c r="W6952" s="475"/>
    </row>
    <row r="6953" spans="2:23" s="97" customFormat="1">
      <c r="B6953" s="96"/>
      <c r="H6953" s="96"/>
      <c r="J6953" s="1"/>
      <c r="K6953" s="1"/>
      <c r="L6953" s="1"/>
      <c r="O6953" s="475"/>
      <c r="P6953" s="475"/>
      <c r="Q6953" s="475"/>
      <c r="R6953" s="475"/>
      <c r="S6953" s="475"/>
      <c r="T6953" s="475"/>
      <c r="U6953" s="475"/>
      <c r="V6953" s="475"/>
      <c r="W6953" s="475"/>
    </row>
    <row r="6954" spans="2:23" s="97" customFormat="1">
      <c r="B6954" s="96"/>
      <c r="H6954" s="96"/>
      <c r="J6954" s="1"/>
      <c r="K6954" s="1"/>
      <c r="L6954" s="1"/>
      <c r="O6954" s="475"/>
      <c r="P6954" s="475"/>
      <c r="Q6954" s="475"/>
      <c r="R6954" s="475"/>
      <c r="S6954" s="475"/>
      <c r="T6954" s="475"/>
      <c r="U6954" s="475"/>
      <c r="V6954" s="475"/>
      <c r="W6954" s="475"/>
    </row>
    <row r="6955" spans="2:23" s="97" customFormat="1">
      <c r="B6955" s="96"/>
      <c r="H6955" s="96"/>
      <c r="J6955" s="1"/>
      <c r="K6955" s="1"/>
      <c r="L6955" s="1"/>
      <c r="O6955" s="475"/>
      <c r="P6955" s="475"/>
      <c r="Q6955" s="475"/>
      <c r="R6955" s="475"/>
      <c r="S6955" s="475"/>
      <c r="T6955" s="475"/>
      <c r="U6955" s="475"/>
      <c r="V6955" s="475"/>
      <c r="W6955" s="475"/>
    </row>
    <row r="6956" spans="2:23" s="97" customFormat="1">
      <c r="B6956" s="96"/>
      <c r="H6956" s="96"/>
      <c r="J6956" s="1"/>
      <c r="K6956" s="1"/>
      <c r="L6956" s="1"/>
      <c r="O6956" s="475"/>
      <c r="P6956" s="475"/>
      <c r="Q6956" s="475"/>
      <c r="R6956" s="475"/>
      <c r="S6956" s="475"/>
      <c r="T6956" s="475"/>
      <c r="U6956" s="475"/>
      <c r="V6956" s="475"/>
      <c r="W6956" s="475"/>
    </row>
    <row r="6957" spans="2:23" s="97" customFormat="1">
      <c r="B6957" s="96"/>
      <c r="H6957" s="96"/>
      <c r="J6957" s="1"/>
      <c r="K6957" s="1"/>
      <c r="L6957" s="1"/>
      <c r="O6957" s="475"/>
      <c r="P6957" s="475"/>
      <c r="Q6957" s="475"/>
      <c r="R6957" s="475"/>
      <c r="S6957" s="475"/>
      <c r="T6957" s="475"/>
      <c r="U6957" s="475"/>
      <c r="V6957" s="475"/>
      <c r="W6957" s="475"/>
    </row>
    <row r="6958" spans="2:23" s="97" customFormat="1">
      <c r="B6958" s="96"/>
      <c r="H6958" s="96"/>
      <c r="J6958" s="1"/>
      <c r="K6958" s="1"/>
      <c r="L6958" s="1"/>
      <c r="O6958" s="475"/>
      <c r="P6958" s="475"/>
      <c r="Q6958" s="475"/>
      <c r="R6958" s="475"/>
      <c r="S6958" s="475"/>
      <c r="T6958" s="475"/>
      <c r="U6958" s="475"/>
      <c r="V6958" s="475"/>
      <c r="W6958" s="475"/>
    </row>
    <row r="6959" spans="2:23" s="97" customFormat="1">
      <c r="B6959" s="96"/>
      <c r="H6959" s="96"/>
      <c r="J6959" s="1"/>
      <c r="K6959" s="1"/>
      <c r="L6959" s="1"/>
      <c r="O6959" s="475"/>
      <c r="P6959" s="475"/>
      <c r="Q6959" s="475"/>
      <c r="R6959" s="475"/>
      <c r="S6959" s="475"/>
      <c r="T6959" s="475"/>
      <c r="U6959" s="475"/>
      <c r="V6959" s="475"/>
      <c r="W6959" s="475"/>
    </row>
    <row r="6960" spans="2:23" s="97" customFormat="1">
      <c r="B6960" s="96"/>
      <c r="H6960" s="96"/>
      <c r="J6960" s="1"/>
      <c r="K6960" s="1"/>
      <c r="L6960" s="1"/>
      <c r="O6960" s="475"/>
      <c r="P6960" s="475"/>
      <c r="Q6960" s="475"/>
      <c r="R6960" s="475"/>
      <c r="S6960" s="475"/>
      <c r="T6960" s="475"/>
      <c r="U6960" s="475"/>
      <c r="V6960" s="475"/>
      <c r="W6960" s="475"/>
    </row>
    <row r="6961" spans="2:23" s="97" customFormat="1">
      <c r="B6961" s="96"/>
      <c r="H6961" s="96"/>
      <c r="J6961" s="1"/>
      <c r="K6961" s="1"/>
      <c r="L6961" s="1"/>
      <c r="O6961" s="475"/>
      <c r="P6961" s="475"/>
      <c r="Q6961" s="475"/>
      <c r="R6961" s="475"/>
      <c r="S6961" s="475"/>
      <c r="T6961" s="475"/>
      <c r="U6961" s="475"/>
      <c r="V6961" s="475"/>
      <c r="W6961" s="475"/>
    </row>
    <row r="6962" spans="2:23" s="97" customFormat="1">
      <c r="B6962" s="96"/>
      <c r="H6962" s="96"/>
      <c r="J6962" s="1"/>
      <c r="K6962" s="1"/>
      <c r="L6962" s="1"/>
      <c r="O6962" s="475"/>
      <c r="P6962" s="475"/>
      <c r="Q6962" s="475"/>
      <c r="R6962" s="475"/>
      <c r="S6962" s="475"/>
      <c r="T6962" s="475"/>
      <c r="U6962" s="475"/>
      <c r="V6962" s="475"/>
      <c r="W6962" s="475"/>
    </row>
    <row r="6963" spans="2:23" s="97" customFormat="1">
      <c r="B6963" s="96"/>
      <c r="H6963" s="96"/>
      <c r="J6963" s="1"/>
      <c r="K6963" s="1"/>
      <c r="L6963" s="1"/>
      <c r="O6963" s="475"/>
      <c r="P6963" s="475"/>
      <c r="Q6963" s="475"/>
      <c r="R6963" s="475"/>
      <c r="S6963" s="475"/>
      <c r="T6963" s="475"/>
      <c r="U6963" s="475"/>
      <c r="V6963" s="475"/>
      <c r="W6963" s="475"/>
    </row>
    <row r="6964" spans="2:23" s="97" customFormat="1">
      <c r="B6964" s="96"/>
      <c r="H6964" s="96"/>
      <c r="J6964" s="1"/>
      <c r="K6964" s="1"/>
      <c r="L6964" s="1"/>
      <c r="O6964" s="475"/>
      <c r="P6964" s="475"/>
      <c r="Q6964" s="475"/>
      <c r="R6964" s="475"/>
      <c r="S6964" s="475"/>
      <c r="T6964" s="475"/>
      <c r="U6964" s="475"/>
      <c r="V6964" s="475"/>
      <c r="W6964" s="475"/>
    </row>
    <row r="6965" spans="2:23" s="97" customFormat="1">
      <c r="B6965" s="96"/>
      <c r="H6965" s="96"/>
      <c r="J6965" s="1"/>
      <c r="K6965" s="1"/>
      <c r="L6965" s="1"/>
      <c r="O6965" s="475"/>
      <c r="P6965" s="475"/>
      <c r="Q6965" s="475"/>
      <c r="R6965" s="475"/>
      <c r="S6965" s="475"/>
      <c r="T6965" s="475"/>
      <c r="U6965" s="475"/>
      <c r="V6965" s="475"/>
      <c r="W6965" s="475"/>
    </row>
    <row r="6966" spans="2:23" s="97" customFormat="1">
      <c r="B6966" s="96"/>
      <c r="H6966" s="96"/>
      <c r="J6966" s="1"/>
      <c r="K6966" s="1"/>
      <c r="L6966" s="1"/>
      <c r="O6966" s="475"/>
      <c r="P6966" s="475"/>
      <c r="Q6966" s="475"/>
      <c r="R6966" s="475"/>
      <c r="S6966" s="475"/>
      <c r="T6966" s="475"/>
      <c r="U6966" s="475"/>
      <c r="V6966" s="475"/>
      <c r="W6966" s="475"/>
    </row>
    <row r="6967" spans="2:23" s="97" customFormat="1">
      <c r="B6967" s="96"/>
      <c r="H6967" s="96"/>
      <c r="J6967" s="1"/>
      <c r="K6967" s="1"/>
      <c r="L6967" s="1"/>
      <c r="O6967" s="475"/>
      <c r="P6967" s="475"/>
      <c r="Q6967" s="475"/>
      <c r="R6967" s="475"/>
      <c r="S6967" s="475"/>
      <c r="T6967" s="475"/>
      <c r="U6967" s="475"/>
      <c r="V6967" s="475"/>
      <c r="W6967" s="475"/>
    </row>
    <row r="6968" spans="2:23" s="97" customFormat="1">
      <c r="B6968" s="96"/>
      <c r="H6968" s="96"/>
      <c r="J6968" s="1"/>
      <c r="K6968" s="1"/>
      <c r="L6968" s="1"/>
      <c r="O6968" s="475"/>
      <c r="P6968" s="475"/>
      <c r="Q6968" s="475"/>
      <c r="R6968" s="475"/>
      <c r="S6968" s="475"/>
      <c r="T6968" s="475"/>
      <c r="U6968" s="475"/>
      <c r="V6968" s="475"/>
      <c r="W6968" s="475"/>
    </row>
    <row r="6969" spans="2:23" s="97" customFormat="1">
      <c r="B6969" s="96"/>
      <c r="H6969" s="96"/>
      <c r="J6969" s="1"/>
      <c r="K6969" s="1"/>
      <c r="L6969" s="1"/>
      <c r="O6969" s="475"/>
      <c r="P6969" s="475"/>
      <c r="Q6969" s="475"/>
      <c r="R6969" s="475"/>
      <c r="S6969" s="475"/>
      <c r="T6969" s="475"/>
      <c r="U6969" s="475"/>
      <c r="V6969" s="475"/>
      <c r="W6969" s="475"/>
    </row>
    <row r="6970" spans="2:23" s="97" customFormat="1">
      <c r="B6970" s="96"/>
      <c r="H6970" s="96"/>
      <c r="J6970" s="1"/>
      <c r="K6970" s="1"/>
      <c r="L6970" s="1"/>
      <c r="O6970" s="475"/>
      <c r="P6970" s="475"/>
      <c r="Q6970" s="475"/>
      <c r="R6970" s="475"/>
      <c r="S6970" s="475"/>
      <c r="T6970" s="475"/>
      <c r="U6970" s="475"/>
      <c r="V6970" s="475"/>
      <c r="W6970" s="475"/>
    </row>
    <row r="6971" spans="2:23" s="97" customFormat="1">
      <c r="B6971" s="96"/>
      <c r="H6971" s="96"/>
      <c r="J6971" s="1"/>
      <c r="K6971" s="1"/>
      <c r="L6971" s="1"/>
      <c r="O6971" s="475"/>
      <c r="P6971" s="475"/>
      <c r="Q6971" s="475"/>
      <c r="R6971" s="475"/>
      <c r="S6971" s="475"/>
      <c r="T6971" s="475"/>
      <c r="U6971" s="475"/>
      <c r="V6971" s="475"/>
      <c r="W6971" s="475"/>
    </row>
    <row r="6972" spans="2:23" s="97" customFormat="1">
      <c r="B6972" s="96"/>
      <c r="H6972" s="96"/>
      <c r="J6972" s="1"/>
      <c r="K6972" s="1"/>
      <c r="L6972" s="1"/>
      <c r="O6972" s="475"/>
      <c r="P6972" s="475"/>
      <c r="Q6972" s="475"/>
      <c r="R6972" s="475"/>
      <c r="S6972" s="475"/>
      <c r="T6972" s="475"/>
      <c r="U6972" s="475"/>
      <c r="V6972" s="475"/>
      <c r="W6972" s="475"/>
    </row>
    <row r="6973" spans="2:23" s="97" customFormat="1">
      <c r="B6973" s="96"/>
      <c r="H6973" s="96"/>
      <c r="J6973" s="1"/>
      <c r="K6973" s="1"/>
      <c r="L6973" s="1"/>
      <c r="O6973" s="475"/>
      <c r="P6973" s="475"/>
      <c r="Q6973" s="475"/>
      <c r="R6973" s="475"/>
      <c r="S6973" s="475"/>
      <c r="T6973" s="475"/>
      <c r="U6973" s="475"/>
      <c r="V6973" s="475"/>
      <c r="W6973" s="475"/>
    </row>
    <row r="6974" spans="2:23" s="97" customFormat="1">
      <c r="B6974" s="96"/>
      <c r="H6974" s="96"/>
      <c r="J6974" s="1"/>
      <c r="K6974" s="1"/>
      <c r="L6974" s="1"/>
      <c r="O6974" s="475"/>
      <c r="P6974" s="475"/>
      <c r="Q6974" s="475"/>
      <c r="R6974" s="475"/>
      <c r="S6974" s="475"/>
      <c r="T6974" s="475"/>
      <c r="U6974" s="475"/>
      <c r="V6974" s="475"/>
      <c r="W6974" s="475"/>
    </row>
    <row r="6975" spans="2:23" s="97" customFormat="1">
      <c r="B6975" s="96"/>
      <c r="H6975" s="96"/>
      <c r="J6975" s="1"/>
      <c r="K6975" s="1"/>
      <c r="L6975" s="1"/>
      <c r="O6975" s="475"/>
      <c r="P6975" s="475"/>
      <c r="Q6975" s="475"/>
      <c r="R6975" s="475"/>
      <c r="S6975" s="475"/>
      <c r="T6975" s="475"/>
      <c r="U6975" s="475"/>
      <c r="V6975" s="475"/>
      <c r="W6975" s="475"/>
    </row>
    <row r="6976" spans="2:23" s="97" customFormat="1">
      <c r="B6976" s="96"/>
      <c r="H6976" s="96"/>
      <c r="J6976" s="1"/>
      <c r="K6976" s="1"/>
      <c r="L6976" s="1"/>
      <c r="O6976" s="475"/>
      <c r="P6976" s="475"/>
      <c r="Q6976" s="475"/>
      <c r="R6976" s="475"/>
      <c r="S6976" s="475"/>
      <c r="T6976" s="475"/>
      <c r="U6976" s="475"/>
      <c r="V6976" s="475"/>
      <c r="W6976" s="475"/>
    </row>
    <row r="6977" spans="2:23" s="97" customFormat="1">
      <c r="B6977" s="96"/>
      <c r="H6977" s="96"/>
      <c r="J6977" s="1"/>
      <c r="K6977" s="1"/>
      <c r="L6977" s="1"/>
      <c r="O6977" s="475"/>
      <c r="P6977" s="475"/>
      <c r="Q6977" s="475"/>
      <c r="R6977" s="475"/>
      <c r="S6977" s="475"/>
      <c r="T6977" s="475"/>
      <c r="U6977" s="475"/>
      <c r="V6977" s="475"/>
      <c r="W6977" s="475"/>
    </row>
    <row r="6978" spans="2:23" s="97" customFormat="1">
      <c r="B6978" s="96"/>
      <c r="H6978" s="96"/>
      <c r="J6978" s="1"/>
      <c r="K6978" s="1"/>
      <c r="L6978" s="1"/>
      <c r="O6978" s="475"/>
      <c r="P6978" s="475"/>
      <c r="Q6978" s="475"/>
      <c r="R6978" s="475"/>
      <c r="S6978" s="475"/>
      <c r="T6978" s="475"/>
      <c r="U6978" s="475"/>
      <c r="V6978" s="475"/>
      <c r="W6978" s="475"/>
    </row>
    <row r="6979" spans="2:23" s="97" customFormat="1">
      <c r="B6979" s="96"/>
      <c r="H6979" s="96"/>
      <c r="J6979" s="1"/>
      <c r="K6979" s="1"/>
      <c r="L6979" s="1"/>
      <c r="O6979" s="475"/>
      <c r="P6979" s="475"/>
      <c r="Q6979" s="475"/>
      <c r="R6979" s="475"/>
      <c r="S6979" s="475"/>
      <c r="T6979" s="475"/>
      <c r="U6979" s="475"/>
      <c r="V6979" s="475"/>
      <c r="W6979" s="475"/>
    </row>
    <row r="6980" spans="2:23" s="97" customFormat="1">
      <c r="B6980" s="96"/>
      <c r="H6980" s="96"/>
      <c r="J6980" s="1"/>
      <c r="K6980" s="1"/>
      <c r="L6980" s="1"/>
      <c r="O6980" s="475"/>
      <c r="P6980" s="475"/>
      <c r="Q6980" s="475"/>
      <c r="R6980" s="475"/>
      <c r="S6980" s="475"/>
      <c r="T6980" s="475"/>
      <c r="U6980" s="475"/>
      <c r="V6980" s="475"/>
      <c r="W6980" s="475"/>
    </row>
    <row r="6981" spans="2:23" s="97" customFormat="1">
      <c r="B6981" s="96"/>
      <c r="H6981" s="96"/>
      <c r="J6981" s="1"/>
      <c r="K6981" s="1"/>
      <c r="L6981" s="1"/>
      <c r="O6981" s="475"/>
      <c r="P6981" s="475"/>
      <c r="Q6981" s="475"/>
      <c r="R6981" s="475"/>
      <c r="S6981" s="475"/>
      <c r="T6981" s="475"/>
      <c r="U6981" s="475"/>
      <c r="V6981" s="475"/>
      <c r="W6981" s="475"/>
    </row>
    <row r="6982" spans="2:23" s="97" customFormat="1">
      <c r="B6982" s="96"/>
      <c r="H6982" s="96"/>
      <c r="J6982" s="1"/>
      <c r="K6982" s="1"/>
      <c r="L6982" s="1"/>
      <c r="O6982" s="475"/>
      <c r="P6982" s="475"/>
      <c r="Q6982" s="475"/>
      <c r="R6982" s="475"/>
      <c r="S6982" s="475"/>
      <c r="T6982" s="475"/>
      <c r="U6982" s="475"/>
      <c r="V6982" s="475"/>
      <c r="W6982" s="475"/>
    </row>
    <row r="6983" spans="2:23" s="97" customFormat="1">
      <c r="B6983" s="96"/>
      <c r="H6983" s="96"/>
      <c r="J6983" s="1"/>
      <c r="K6983" s="1"/>
      <c r="L6983" s="1"/>
      <c r="O6983" s="475"/>
      <c r="P6983" s="475"/>
      <c r="Q6983" s="475"/>
      <c r="R6983" s="475"/>
      <c r="S6983" s="475"/>
      <c r="T6983" s="475"/>
      <c r="U6983" s="475"/>
      <c r="V6983" s="475"/>
      <c r="W6983" s="475"/>
    </row>
    <row r="6984" spans="2:23" s="97" customFormat="1">
      <c r="B6984" s="96"/>
      <c r="H6984" s="96"/>
      <c r="J6984" s="1"/>
      <c r="K6984" s="1"/>
      <c r="L6984" s="1"/>
      <c r="O6984" s="475"/>
      <c r="P6984" s="475"/>
      <c r="Q6984" s="475"/>
      <c r="R6984" s="475"/>
      <c r="S6984" s="475"/>
      <c r="T6984" s="475"/>
      <c r="U6984" s="475"/>
      <c r="V6984" s="475"/>
      <c r="W6984" s="475"/>
    </row>
    <row r="6985" spans="2:23" s="97" customFormat="1">
      <c r="B6985" s="96"/>
      <c r="H6985" s="96"/>
      <c r="J6985" s="1"/>
      <c r="K6985" s="1"/>
      <c r="L6985" s="1"/>
      <c r="O6985" s="475"/>
      <c r="P6985" s="475"/>
      <c r="Q6985" s="475"/>
      <c r="R6985" s="475"/>
      <c r="S6985" s="475"/>
      <c r="T6985" s="475"/>
      <c r="U6985" s="475"/>
      <c r="V6985" s="475"/>
      <c r="W6985" s="475"/>
    </row>
    <row r="6986" spans="2:23" s="97" customFormat="1">
      <c r="B6986" s="96"/>
      <c r="H6986" s="96"/>
      <c r="J6986" s="1"/>
      <c r="K6986" s="1"/>
      <c r="L6986" s="1"/>
      <c r="O6986" s="475"/>
      <c r="P6986" s="475"/>
      <c r="Q6986" s="475"/>
      <c r="R6986" s="475"/>
      <c r="S6986" s="475"/>
      <c r="T6986" s="475"/>
      <c r="U6986" s="475"/>
      <c r="V6986" s="475"/>
      <c r="W6986" s="475"/>
    </row>
    <row r="6987" spans="2:23" s="97" customFormat="1">
      <c r="B6987" s="96"/>
      <c r="H6987" s="96"/>
      <c r="J6987" s="1"/>
      <c r="K6987" s="1"/>
      <c r="L6987" s="1"/>
      <c r="O6987" s="475"/>
      <c r="P6987" s="475"/>
      <c r="Q6987" s="475"/>
      <c r="R6987" s="475"/>
      <c r="S6987" s="475"/>
      <c r="T6987" s="475"/>
      <c r="U6987" s="475"/>
      <c r="V6987" s="475"/>
      <c r="W6987" s="475"/>
    </row>
    <row r="6988" spans="2:23" s="97" customFormat="1">
      <c r="B6988" s="96"/>
      <c r="H6988" s="96"/>
      <c r="J6988" s="1"/>
      <c r="K6988" s="1"/>
      <c r="L6988" s="1"/>
      <c r="O6988" s="475"/>
      <c r="P6988" s="475"/>
      <c r="Q6988" s="475"/>
      <c r="R6988" s="475"/>
      <c r="S6988" s="475"/>
      <c r="T6988" s="475"/>
      <c r="U6988" s="475"/>
      <c r="V6988" s="475"/>
      <c r="W6988" s="475"/>
    </row>
    <row r="6989" spans="2:23" s="97" customFormat="1">
      <c r="B6989" s="96"/>
      <c r="H6989" s="96"/>
      <c r="J6989" s="1"/>
      <c r="K6989" s="1"/>
      <c r="L6989" s="1"/>
      <c r="O6989" s="475"/>
      <c r="P6989" s="475"/>
      <c r="Q6989" s="475"/>
      <c r="R6989" s="475"/>
      <c r="S6989" s="475"/>
      <c r="T6989" s="475"/>
      <c r="U6989" s="475"/>
      <c r="V6989" s="475"/>
      <c r="W6989" s="475"/>
    </row>
    <row r="6990" spans="2:23" s="97" customFormat="1">
      <c r="B6990" s="96"/>
      <c r="H6990" s="96"/>
      <c r="J6990" s="1"/>
      <c r="K6990" s="1"/>
      <c r="L6990" s="1"/>
      <c r="O6990" s="475"/>
      <c r="P6990" s="475"/>
      <c r="Q6990" s="475"/>
      <c r="R6990" s="475"/>
      <c r="S6990" s="475"/>
      <c r="T6990" s="475"/>
      <c r="U6990" s="475"/>
      <c r="V6990" s="475"/>
      <c r="W6990" s="475"/>
    </row>
    <row r="6991" spans="2:23" s="97" customFormat="1">
      <c r="B6991" s="96"/>
      <c r="H6991" s="96"/>
      <c r="J6991" s="1"/>
      <c r="K6991" s="1"/>
      <c r="L6991" s="1"/>
      <c r="O6991" s="475"/>
      <c r="P6991" s="475"/>
      <c r="Q6991" s="475"/>
      <c r="R6991" s="475"/>
      <c r="S6991" s="475"/>
      <c r="T6991" s="475"/>
      <c r="U6991" s="475"/>
      <c r="V6991" s="475"/>
      <c r="W6991" s="475"/>
    </row>
    <row r="6992" spans="2:23" s="97" customFormat="1">
      <c r="B6992" s="96"/>
      <c r="H6992" s="96"/>
      <c r="J6992" s="1"/>
      <c r="K6992" s="1"/>
      <c r="L6992" s="1"/>
      <c r="O6992" s="475"/>
      <c r="P6992" s="475"/>
      <c r="Q6992" s="475"/>
      <c r="R6992" s="475"/>
      <c r="S6992" s="475"/>
      <c r="T6992" s="475"/>
      <c r="U6992" s="475"/>
      <c r="V6992" s="475"/>
      <c r="W6992" s="475"/>
    </row>
    <row r="6993" spans="2:23" s="97" customFormat="1">
      <c r="B6993" s="96"/>
      <c r="H6993" s="96"/>
      <c r="J6993" s="1"/>
      <c r="K6993" s="1"/>
      <c r="L6993" s="1"/>
      <c r="O6993" s="475"/>
      <c r="P6993" s="475"/>
      <c r="Q6993" s="475"/>
      <c r="R6993" s="475"/>
      <c r="S6993" s="475"/>
      <c r="T6993" s="475"/>
      <c r="U6993" s="475"/>
      <c r="V6993" s="475"/>
      <c r="W6993" s="475"/>
    </row>
    <row r="6994" spans="2:23" s="97" customFormat="1">
      <c r="B6994" s="96"/>
      <c r="H6994" s="96"/>
      <c r="J6994" s="1"/>
      <c r="K6994" s="1"/>
      <c r="L6994" s="1"/>
      <c r="O6994" s="475"/>
      <c r="P6994" s="475"/>
      <c r="Q6994" s="475"/>
      <c r="R6994" s="475"/>
      <c r="S6994" s="475"/>
      <c r="T6994" s="475"/>
      <c r="U6994" s="475"/>
      <c r="V6994" s="475"/>
      <c r="W6994" s="475"/>
    </row>
    <row r="6995" spans="2:23" s="97" customFormat="1">
      <c r="B6995" s="96"/>
      <c r="H6995" s="96"/>
      <c r="J6995" s="1"/>
      <c r="K6995" s="1"/>
      <c r="L6995" s="1"/>
      <c r="O6995" s="475"/>
      <c r="P6995" s="475"/>
      <c r="Q6995" s="475"/>
      <c r="R6995" s="475"/>
      <c r="S6995" s="475"/>
      <c r="T6995" s="475"/>
      <c r="U6995" s="475"/>
      <c r="V6995" s="475"/>
      <c r="W6995" s="475"/>
    </row>
    <row r="6996" spans="2:23" s="97" customFormat="1">
      <c r="B6996" s="96"/>
      <c r="H6996" s="96"/>
      <c r="J6996" s="1"/>
      <c r="K6996" s="1"/>
      <c r="L6996" s="1"/>
      <c r="O6996" s="475"/>
      <c r="P6996" s="475"/>
      <c r="Q6996" s="475"/>
      <c r="R6996" s="475"/>
      <c r="S6996" s="475"/>
      <c r="T6996" s="475"/>
      <c r="U6996" s="475"/>
      <c r="V6996" s="475"/>
      <c r="W6996" s="475"/>
    </row>
    <row r="6997" spans="2:23" s="97" customFormat="1">
      <c r="B6997" s="96"/>
      <c r="H6997" s="96"/>
      <c r="J6997" s="1"/>
      <c r="K6997" s="1"/>
      <c r="L6997" s="1"/>
      <c r="O6997" s="475"/>
      <c r="P6997" s="475"/>
      <c r="Q6997" s="475"/>
      <c r="R6997" s="475"/>
      <c r="S6997" s="475"/>
      <c r="T6997" s="475"/>
      <c r="U6997" s="475"/>
      <c r="V6997" s="475"/>
      <c r="W6997" s="475"/>
    </row>
    <row r="6998" spans="2:23" s="97" customFormat="1">
      <c r="B6998" s="96"/>
      <c r="H6998" s="96"/>
      <c r="J6998" s="1"/>
      <c r="K6998" s="1"/>
      <c r="L6998" s="1"/>
      <c r="O6998" s="475"/>
      <c r="P6998" s="475"/>
      <c r="Q6998" s="475"/>
      <c r="R6998" s="475"/>
      <c r="S6998" s="475"/>
      <c r="T6998" s="475"/>
      <c r="U6998" s="475"/>
      <c r="V6998" s="475"/>
      <c r="W6998" s="475"/>
    </row>
    <row r="6999" spans="2:23" s="97" customFormat="1">
      <c r="B6999" s="96"/>
      <c r="H6999" s="96"/>
      <c r="J6999" s="1"/>
      <c r="K6999" s="1"/>
      <c r="L6999" s="1"/>
      <c r="O6999" s="475"/>
      <c r="P6999" s="475"/>
      <c r="Q6999" s="475"/>
      <c r="R6999" s="475"/>
      <c r="S6999" s="475"/>
      <c r="T6999" s="475"/>
      <c r="U6999" s="475"/>
      <c r="V6999" s="475"/>
      <c r="W6999" s="475"/>
    </row>
    <row r="7000" spans="2:23" s="97" customFormat="1">
      <c r="B7000" s="96"/>
      <c r="H7000" s="96"/>
      <c r="J7000" s="1"/>
      <c r="K7000" s="1"/>
      <c r="L7000" s="1"/>
      <c r="O7000" s="475"/>
      <c r="P7000" s="475"/>
      <c r="Q7000" s="475"/>
      <c r="R7000" s="475"/>
      <c r="S7000" s="475"/>
      <c r="T7000" s="475"/>
      <c r="U7000" s="475"/>
      <c r="V7000" s="475"/>
      <c r="W7000" s="475"/>
    </row>
    <row r="7001" spans="2:23" s="97" customFormat="1">
      <c r="B7001" s="96"/>
      <c r="H7001" s="96"/>
      <c r="J7001" s="1"/>
      <c r="K7001" s="1"/>
      <c r="L7001" s="1"/>
      <c r="O7001" s="475"/>
      <c r="P7001" s="475"/>
      <c r="Q7001" s="475"/>
      <c r="R7001" s="475"/>
      <c r="S7001" s="475"/>
      <c r="T7001" s="475"/>
      <c r="U7001" s="475"/>
      <c r="V7001" s="475"/>
      <c r="W7001" s="475"/>
    </row>
    <row r="7002" spans="2:23" s="97" customFormat="1">
      <c r="B7002" s="96"/>
      <c r="H7002" s="96"/>
      <c r="J7002" s="1"/>
      <c r="K7002" s="1"/>
      <c r="L7002" s="1"/>
      <c r="O7002" s="475"/>
      <c r="P7002" s="475"/>
      <c r="Q7002" s="475"/>
      <c r="R7002" s="475"/>
      <c r="S7002" s="475"/>
      <c r="T7002" s="475"/>
      <c r="U7002" s="475"/>
      <c r="V7002" s="475"/>
      <c r="W7002" s="475"/>
    </row>
    <row r="7003" spans="2:23" s="97" customFormat="1">
      <c r="B7003" s="96"/>
      <c r="H7003" s="96"/>
      <c r="J7003" s="1"/>
      <c r="K7003" s="1"/>
      <c r="L7003" s="1"/>
      <c r="O7003" s="475"/>
      <c r="P7003" s="475"/>
      <c r="Q7003" s="475"/>
      <c r="R7003" s="475"/>
      <c r="S7003" s="475"/>
      <c r="T7003" s="475"/>
      <c r="U7003" s="475"/>
      <c r="V7003" s="475"/>
      <c r="W7003" s="475"/>
    </row>
    <row r="7004" spans="2:23" s="97" customFormat="1">
      <c r="B7004" s="96"/>
      <c r="H7004" s="96"/>
      <c r="J7004" s="1"/>
      <c r="K7004" s="1"/>
      <c r="L7004" s="1"/>
      <c r="O7004" s="475"/>
      <c r="P7004" s="475"/>
      <c r="Q7004" s="475"/>
      <c r="R7004" s="475"/>
      <c r="S7004" s="475"/>
      <c r="T7004" s="475"/>
      <c r="U7004" s="475"/>
      <c r="V7004" s="475"/>
      <c r="W7004" s="475"/>
    </row>
    <row r="7005" spans="2:23" s="97" customFormat="1">
      <c r="B7005" s="96"/>
      <c r="H7005" s="96"/>
      <c r="J7005" s="1"/>
      <c r="K7005" s="1"/>
      <c r="L7005" s="1"/>
      <c r="O7005" s="475"/>
      <c r="P7005" s="475"/>
      <c r="Q7005" s="475"/>
      <c r="R7005" s="475"/>
      <c r="S7005" s="475"/>
      <c r="T7005" s="475"/>
      <c r="U7005" s="475"/>
      <c r="V7005" s="475"/>
      <c r="W7005" s="475"/>
    </row>
    <row r="7006" spans="2:23" s="97" customFormat="1">
      <c r="B7006" s="96"/>
      <c r="H7006" s="96"/>
      <c r="J7006" s="1"/>
      <c r="K7006" s="1"/>
      <c r="L7006" s="1"/>
      <c r="O7006" s="475"/>
      <c r="P7006" s="475"/>
      <c r="Q7006" s="475"/>
      <c r="R7006" s="475"/>
      <c r="S7006" s="475"/>
      <c r="T7006" s="475"/>
      <c r="U7006" s="475"/>
      <c r="V7006" s="475"/>
      <c r="W7006" s="475"/>
    </row>
    <row r="7007" spans="2:23" s="97" customFormat="1">
      <c r="B7007" s="96"/>
      <c r="H7007" s="96"/>
      <c r="J7007" s="1"/>
      <c r="K7007" s="1"/>
      <c r="L7007" s="1"/>
      <c r="O7007" s="475"/>
      <c r="P7007" s="475"/>
      <c r="Q7007" s="475"/>
      <c r="R7007" s="475"/>
      <c r="S7007" s="475"/>
      <c r="T7007" s="475"/>
      <c r="U7007" s="475"/>
      <c r="V7007" s="475"/>
      <c r="W7007" s="475"/>
    </row>
    <row r="7008" spans="2:23" s="97" customFormat="1">
      <c r="B7008" s="96"/>
      <c r="H7008" s="96"/>
      <c r="J7008" s="1"/>
      <c r="K7008" s="1"/>
      <c r="L7008" s="1"/>
      <c r="O7008" s="475"/>
      <c r="P7008" s="475"/>
      <c r="Q7008" s="475"/>
      <c r="R7008" s="475"/>
      <c r="S7008" s="475"/>
      <c r="T7008" s="475"/>
      <c r="U7008" s="475"/>
      <c r="V7008" s="475"/>
      <c r="W7008" s="475"/>
    </row>
    <row r="7009" spans="2:23" s="97" customFormat="1">
      <c r="B7009" s="96"/>
      <c r="H7009" s="96"/>
      <c r="J7009" s="1"/>
      <c r="K7009" s="1"/>
      <c r="L7009" s="1"/>
      <c r="O7009" s="475"/>
      <c r="P7009" s="475"/>
      <c r="Q7009" s="475"/>
      <c r="R7009" s="475"/>
      <c r="S7009" s="475"/>
      <c r="T7009" s="475"/>
      <c r="U7009" s="475"/>
      <c r="V7009" s="475"/>
      <c r="W7009" s="475"/>
    </row>
    <row r="7010" spans="2:23" s="97" customFormat="1">
      <c r="B7010" s="96"/>
      <c r="H7010" s="96"/>
      <c r="J7010" s="1"/>
      <c r="K7010" s="1"/>
      <c r="L7010" s="1"/>
      <c r="O7010" s="475"/>
      <c r="P7010" s="475"/>
      <c r="Q7010" s="475"/>
      <c r="R7010" s="475"/>
      <c r="S7010" s="475"/>
      <c r="T7010" s="475"/>
      <c r="U7010" s="475"/>
      <c r="V7010" s="475"/>
      <c r="W7010" s="475"/>
    </row>
    <row r="7011" spans="2:23" s="97" customFormat="1">
      <c r="B7011" s="96"/>
      <c r="H7011" s="96"/>
      <c r="J7011" s="1"/>
      <c r="K7011" s="1"/>
      <c r="L7011" s="1"/>
      <c r="O7011" s="475"/>
      <c r="P7011" s="475"/>
      <c r="Q7011" s="475"/>
      <c r="R7011" s="475"/>
      <c r="S7011" s="475"/>
      <c r="T7011" s="475"/>
      <c r="U7011" s="475"/>
      <c r="V7011" s="475"/>
      <c r="W7011" s="475"/>
    </row>
    <row r="7012" spans="2:23" s="97" customFormat="1">
      <c r="B7012" s="96"/>
      <c r="H7012" s="96"/>
      <c r="J7012" s="1"/>
      <c r="K7012" s="1"/>
      <c r="L7012" s="1"/>
      <c r="O7012" s="475"/>
      <c r="P7012" s="475"/>
      <c r="Q7012" s="475"/>
      <c r="R7012" s="475"/>
      <c r="S7012" s="475"/>
      <c r="T7012" s="475"/>
      <c r="U7012" s="475"/>
      <c r="V7012" s="475"/>
      <c r="W7012" s="475"/>
    </row>
    <row r="7013" spans="2:23" s="97" customFormat="1">
      <c r="B7013" s="96"/>
      <c r="H7013" s="96"/>
      <c r="J7013" s="1"/>
      <c r="K7013" s="1"/>
      <c r="L7013" s="1"/>
      <c r="O7013" s="475"/>
      <c r="P7013" s="475"/>
      <c r="Q7013" s="475"/>
      <c r="R7013" s="475"/>
      <c r="S7013" s="475"/>
      <c r="T7013" s="475"/>
      <c r="U7013" s="475"/>
      <c r="V7013" s="475"/>
      <c r="W7013" s="475"/>
    </row>
    <row r="7014" spans="2:23" s="97" customFormat="1">
      <c r="B7014" s="96"/>
      <c r="H7014" s="96"/>
      <c r="J7014" s="1"/>
      <c r="K7014" s="1"/>
      <c r="L7014" s="1"/>
      <c r="O7014" s="475"/>
      <c r="P7014" s="475"/>
      <c r="Q7014" s="475"/>
      <c r="R7014" s="475"/>
      <c r="S7014" s="475"/>
      <c r="T7014" s="475"/>
      <c r="U7014" s="475"/>
      <c r="V7014" s="475"/>
      <c r="W7014" s="475"/>
    </row>
    <row r="7015" spans="2:23" s="97" customFormat="1">
      <c r="B7015" s="96"/>
      <c r="H7015" s="96"/>
      <c r="J7015" s="1"/>
      <c r="K7015" s="1"/>
      <c r="L7015" s="1"/>
      <c r="O7015" s="475"/>
      <c r="P7015" s="475"/>
      <c r="Q7015" s="475"/>
      <c r="R7015" s="475"/>
      <c r="S7015" s="475"/>
      <c r="T7015" s="475"/>
      <c r="U7015" s="475"/>
      <c r="V7015" s="475"/>
      <c r="W7015" s="475"/>
    </row>
    <row r="7016" spans="2:23" s="97" customFormat="1">
      <c r="B7016" s="96"/>
      <c r="H7016" s="96"/>
      <c r="J7016" s="1"/>
      <c r="K7016" s="1"/>
      <c r="L7016" s="1"/>
      <c r="O7016" s="475"/>
      <c r="P7016" s="475"/>
      <c r="Q7016" s="475"/>
      <c r="R7016" s="475"/>
      <c r="S7016" s="475"/>
      <c r="T7016" s="475"/>
      <c r="U7016" s="475"/>
      <c r="V7016" s="475"/>
      <c r="W7016" s="475"/>
    </row>
    <row r="7017" spans="2:23" s="97" customFormat="1">
      <c r="B7017" s="96"/>
      <c r="H7017" s="96"/>
      <c r="J7017" s="1"/>
      <c r="K7017" s="1"/>
      <c r="L7017" s="1"/>
      <c r="O7017" s="475"/>
      <c r="P7017" s="475"/>
      <c r="Q7017" s="475"/>
      <c r="R7017" s="475"/>
      <c r="S7017" s="475"/>
      <c r="T7017" s="475"/>
      <c r="U7017" s="475"/>
      <c r="V7017" s="475"/>
      <c r="W7017" s="475"/>
    </row>
    <row r="7018" spans="2:23" s="97" customFormat="1">
      <c r="B7018" s="96"/>
      <c r="H7018" s="96"/>
      <c r="J7018" s="1"/>
      <c r="K7018" s="1"/>
      <c r="L7018" s="1"/>
      <c r="O7018" s="475"/>
      <c r="P7018" s="475"/>
      <c r="Q7018" s="475"/>
      <c r="R7018" s="475"/>
      <c r="S7018" s="475"/>
      <c r="T7018" s="475"/>
      <c r="U7018" s="475"/>
      <c r="V7018" s="475"/>
      <c r="W7018" s="475"/>
    </row>
    <row r="7019" spans="2:23" s="97" customFormat="1">
      <c r="B7019" s="96"/>
      <c r="H7019" s="96"/>
      <c r="J7019" s="1"/>
      <c r="K7019" s="1"/>
      <c r="L7019" s="1"/>
      <c r="O7019" s="475"/>
      <c r="P7019" s="475"/>
      <c r="Q7019" s="475"/>
      <c r="R7019" s="475"/>
      <c r="S7019" s="475"/>
      <c r="T7019" s="475"/>
      <c r="U7019" s="475"/>
      <c r="V7019" s="475"/>
      <c r="W7019" s="475"/>
    </row>
    <row r="7020" spans="2:23" s="97" customFormat="1">
      <c r="B7020" s="96"/>
      <c r="H7020" s="96"/>
      <c r="J7020" s="1"/>
      <c r="K7020" s="1"/>
      <c r="L7020" s="1"/>
      <c r="O7020" s="475"/>
      <c r="P7020" s="475"/>
      <c r="Q7020" s="475"/>
      <c r="R7020" s="475"/>
      <c r="S7020" s="475"/>
      <c r="T7020" s="475"/>
      <c r="U7020" s="475"/>
      <c r="V7020" s="475"/>
      <c r="W7020" s="475"/>
    </row>
    <row r="7021" spans="2:23" s="97" customFormat="1">
      <c r="B7021" s="96"/>
      <c r="H7021" s="96"/>
      <c r="J7021" s="1"/>
      <c r="K7021" s="1"/>
      <c r="L7021" s="1"/>
      <c r="O7021" s="475"/>
      <c r="P7021" s="475"/>
      <c r="Q7021" s="475"/>
      <c r="R7021" s="475"/>
      <c r="S7021" s="475"/>
      <c r="T7021" s="475"/>
      <c r="U7021" s="475"/>
      <c r="V7021" s="475"/>
      <c r="W7021" s="475"/>
    </row>
    <row r="7022" spans="2:23" s="97" customFormat="1">
      <c r="B7022" s="96"/>
      <c r="H7022" s="96"/>
      <c r="J7022" s="1"/>
      <c r="K7022" s="1"/>
      <c r="L7022" s="1"/>
      <c r="O7022" s="475"/>
      <c r="P7022" s="475"/>
      <c r="Q7022" s="475"/>
      <c r="R7022" s="475"/>
      <c r="S7022" s="475"/>
      <c r="T7022" s="475"/>
      <c r="U7022" s="475"/>
      <c r="V7022" s="475"/>
      <c r="W7022" s="475"/>
    </row>
    <row r="7023" spans="2:23" s="97" customFormat="1">
      <c r="B7023" s="96"/>
      <c r="H7023" s="96"/>
      <c r="J7023" s="1"/>
      <c r="K7023" s="1"/>
      <c r="L7023" s="1"/>
      <c r="O7023" s="475"/>
      <c r="P7023" s="475"/>
      <c r="Q7023" s="475"/>
      <c r="R7023" s="475"/>
      <c r="S7023" s="475"/>
      <c r="T7023" s="475"/>
      <c r="U7023" s="475"/>
      <c r="V7023" s="475"/>
      <c r="W7023" s="475"/>
    </row>
    <row r="7024" spans="2:23" s="97" customFormat="1">
      <c r="B7024" s="96"/>
      <c r="H7024" s="96"/>
      <c r="J7024" s="1"/>
      <c r="K7024" s="1"/>
      <c r="L7024" s="1"/>
      <c r="O7024" s="475"/>
      <c r="P7024" s="475"/>
      <c r="Q7024" s="475"/>
      <c r="R7024" s="475"/>
      <c r="S7024" s="475"/>
      <c r="T7024" s="475"/>
      <c r="U7024" s="475"/>
      <c r="V7024" s="475"/>
      <c r="W7024" s="475"/>
    </row>
    <row r="7025" spans="2:23" s="97" customFormat="1">
      <c r="B7025" s="96"/>
      <c r="H7025" s="96"/>
      <c r="J7025" s="1"/>
      <c r="K7025" s="1"/>
      <c r="L7025" s="1"/>
      <c r="O7025" s="475"/>
      <c r="P7025" s="475"/>
      <c r="Q7025" s="475"/>
      <c r="R7025" s="475"/>
      <c r="S7025" s="475"/>
      <c r="T7025" s="475"/>
      <c r="U7025" s="475"/>
      <c r="V7025" s="475"/>
      <c r="W7025" s="475"/>
    </row>
    <row r="7026" spans="2:23" s="97" customFormat="1">
      <c r="B7026" s="96"/>
      <c r="H7026" s="96"/>
      <c r="J7026" s="1"/>
      <c r="K7026" s="1"/>
      <c r="L7026" s="1"/>
      <c r="O7026" s="475"/>
      <c r="P7026" s="475"/>
      <c r="Q7026" s="475"/>
      <c r="R7026" s="475"/>
      <c r="S7026" s="475"/>
      <c r="T7026" s="475"/>
      <c r="U7026" s="475"/>
      <c r="V7026" s="475"/>
      <c r="W7026" s="475"/>
    </row>
    <row r="7027" spans="2:23" s="97" customFormat="1">
      <c r="B7027" s="96"/>
      <c r="H7027" s="96"/>
      <c r="J7027" s="1"/>
      <c r="K7027" s="1"/>
      <c r="L7027" s="1"/>
      <c r="O7027" s="475"/>
      <c r="P7027" s="475"/>
      <c r="Q7027" s="475"/>
      <c r="R7027" s="475"/>
      <c r="S7027" s="475"/>
      <c r="T7027" s="475"/>
      <c r="U7027" s="475"/>
      <c r="V7027" s="475"/>
      <c r="W7027" s="475"/>
    </row>
    <row r="7028" spans="2:23" s="97" customFormat="1">
      <c r="B7028" s="96"/>
      <c r="H7028" s="96"/>
      <c r="J7028" s="1"/>
      <c r="K7028" s="1"/>
      <c r="L7028" s="1"/>
      <c r="O7028" s="475"/>
      <c r="P7028" s="475"/>
      <c r="Q7028" s="475"/>
      <c r="R7028" s="475"/>
      <c r="S7028" s="475"/>
      <c r="T7028" s="475"/>
      <c r="U7028" s="475"/>
      <c r="V7028" s="475"/>
      <c r="W7028" s="475"/>
    </row>
    <row r="7029" spans="2:23" s="97" customFormat="1">
      <c r="B7029" s="96"/>
      <c r="H7029" s="96"/>
      <c r="J7029" s="1"/>
      <c r="K7029" s="1"/>
      <c r="L7029" s="1"/>
      <c r="O7029" s="475"/>
      <c r="P7029" s="475"/>
      <c r="Q7029" s="475"/>
      <c r="R7029" s="475"/>
      <c r="S7029" s="475"/>
      <c r="T7029" s="475"/>
      <c r="U7029" s="475"/>
      <c r="V7029" s="475"/>
      <c r="W7029" s="475"/>
    </row>
    <row r="7030" spans="2:23" s="97" customFormat="1">
      <c r="B7030" s="96"/>
      <c r="H7030" s="96"/>
      <c r="J7030" s="1"/>
      <c r="K7030" s="1"/>
      <c r="L7030" s="1"/>
      <c r="O7030" s="475"/>
      <c r="P7030" s="475"/>
      <c r="Q7030" s="475"/>
      <c r="R7030" s="475"/>
      <c r="S7030" s="475"/>
      <c r="T7030" s="475"/>
      <c r="U7030" s="475"/>
      <c r="V7030" s="475"/>
      <c r="W7030" s="475"/>
    </row>
    <row r="7031" spans="2:23" s="97" customFormat="1">
      <c r="B7031" s="96"/>
      <c r="H7031" s="96"/>
      <c r="J7031" s="1"/>
      <c r="K7031" s="1"/>
      <c r="L7031" s="1"/>
      <c r="O7031" s="475"/>
      <c r="P7031" s="475"/>
      <c r="Q7031" s="475"/>
      <c r="R7031" s="475"/>
      <c r="S7031" s="475"/>
      <c r="T7031" s="475"/>
      <c r="U7031" s="475"/>
      <c r="V7031" s="475"/>
      <c r="W7031" s="475"/>
    </row>
    <row r="7032" spans="2:23" s="97" customFormat="1">
      <c r="B7032" s="96"/>
      <c r="H7032" s="96"/>
      <c r="J7032" s="1"/>
      <c r="K7032" s="1"/>
      <c r="L7032" s="1"/>
      <c r="O7032" s="475"/>
      <c r="P7032" s="475"/>
      <c r="Q7032" s="475"/>
      <c r="R7032" s="475"/>
      <c r="S7032" s="475"/>
      <c r="T7032" s="475"/>
      <c r="U7032" s="475"/>
      <c r="V7032" s="475"/>
      <c r="W7032" s="475"/>
    </row>
    <row r="7033" spans="2:23" s="97" customFormat="1">
      <c r="B7033" s="96"/>
      <c r="H7033" s="96"/>
      <c r="J7033" s="1"/>
      <c r="K7033" s="1"/>
      <c r="L7033" s="1"/>
      <c r="O7033" s="475"/>
      <c r="P7033" s="475"/>
      <c r="Q7033" s="475"/>
      <c r="R7033" s="475"/>
      <c r="S7033" s="475"/>
      <c r="T7033" s="475"/>
      <c r="U7033" s="475"/>
      <c r="V7033" s="475"/>
      <c r="W7033" s="475"/>
    </row>
    <row r="7034" spans="2:23" s="97" customFormat="1">
      <c r="B7034" s="96"/>
      <c r="H7034" s="96"/>
      <c r="J7034" s="1"/>
      <c r="K7034" s="1"/>
      <c r="L7034" s="1"/>
      <c r="O7034" s="475"/>
      <c r="P7034" s="475"/>
      <c r="Q7034" s="475"/>
      <c r="R7034" s="475"/>
      <c r="S7034" s="475"/>
      <c r="T7034" s="475"/>
      <c r="U7034" s="475"/>
      <c r="V7034" s="475"/>
      <c r="W7034" s="475"/>
    </row>
    <row r="7035" spans="2:23" s="97" customFormat="1">
      <c r="B7035" s="96"/>
      <c r="H7035" s="96"/>
      <c r="J7035" s="1"/>
      <c r="K7035" s="1"/>
      <c r="L7035" s="1"/>
      <c r="O7035" s="475"/>
      <c r="P7035" s="475"/>
      <c r="Q7035" s="475"/>
      <c r="R7035" s="475"/>
      <c r="S7035" s="475"/>
      <c r="T7035" s="475"/>
      <c r="U7035" s="475"/>
      <c r="V7035" s="475"/>
      <c r="W7035" s="475"/>
    </row>
    <row r="7036" spans="2:23" s="97" customFormat="1">
      <c r="B7036" s="96"/>
      <c r="H7036" s="96"/>
      <c r="J7036" s="1"/>
      <c r="K7036" s="1"/>
      <c r="L7036" s="1"/>
      <c r="O7036" s="475"/>
      <c r="P7036" s="475"/>
      <c r="Q7036" s="475"/>
      <c r="R7036" s="475"/>
      <c r="S7036" s="475"/>
      <c r="T7036" s="475"/>
      <c r="U7036" s="475"/>
      <c r="V7036" s="475"/>
      <c r="W7036" s="475"/>
    </row>
    <row r="7037" spans="2:23" s="97" customFormat="1">
      <c r="B7037" s="96"/>
      <c r="H7037" s="96"/>
      <c r="J7037" s="1"/>
      <c r="K7037" s="1"/>
      <c r="L7037" s="1"/>
      <c r="O7037" s="475"/>
      <c r="P7037" s="475"/>
      <c r="Q7037" s="475"/>
      <c r="R7037" s="475"/>
      <c r="S7037" s="475"/>
      <c r="T7037" s="475"/>
      <c r="U7037" s="475"/>
      <c r="V7037" s="475"/>
      <c r="W7037" s="475"/>
    </row>
    <row r="7038" spans="2:23" s="97" customFormat="1">
      <c r="B7038" s="96"/>
      <c r="H7038" s="96"/>
      <c r="J7038" s="1"/>
      <c r="K7038" s="1"/>
      <c r="L7038" s="1"/>
      <c r="O7038" s="475"/>
      <c r="P7038" s="475"/>
      <c r="Q7038" s="475"/>
      <c r="R7038" s="475"/>
      <c r="S7038" s="475"/>
      <c r="T7038" s="475"/>
      <c r="U7038" s="475"/>
      <c r="V7038" s="475"/>
      <c r="W7038" s="475"/>
    </row>
    <row r="7039" spans="2:23" s="97" customFormat="1">
      <c r="B7039" s="96"/>
      <c r="H7039" s="96"/>
      <c r="J7039" s="1"/>
      <c r="K7039" s="1"/>
      <c r="L7039" s="1"/>
      <c r="O7039" s="475"/>
      <c r="P7039" s="475"/>
      <c r="Q7039" s="475"/>
      <c r="R7039" s="475"/>
      <c r="S7039" s="475"/>
      <c r="T7039" s="475"/>
      <c r="U7039" s="475"/>
      <c r="V7039" s="475"/>
      <c r="W7039" s="475"/>
    </row>
    <row r="7040" spans="2:23" s="97" customFormat="1">
      <c r="B7040" s="96"/>
      <c r="H7040" s="96"/>
      <c r="J7040" s="1"/>
      <c r="K7040" s="1"/>
      <c r="L7040" s="1"/>
      <c r="O7040" s="475"/>
      <c r="P7040" s="475"/>
      <c r="Q7040" s="475"/>
      <c r="R7040" s="475"/>
      <c r="S7040" s="475"/>
      <c r="T7040" s="475"/>
      <c r="U7040" s="475"/>
      <c r="V7040" s="475"/>
      <c r="W7040" s="475"/>
    </row>
    <row r="7041" spans="2:23" s="97" customFormat="1">
      <c r="B7041" s="96"/>
      <c r="H7041" s="96"/>
      <c r="J7041" s="1"/>
      <c r="K7041" s="1"/>
      <c r="L7041" s="1"/>
      <c r="O7041" s="475"/>
      <c r="P7041" s="475"/>
      <c r="Q7041" s="475"/>
      <c r="R7041" s="475"/>
      <c r="S7041" s="475"/>
      <c r="T7041" s="475"/>
      <c r="U7041" s="475"/>
      <c r="V7041" s="475"/>
      <c r="W7041" s="475"/>
    </row>
    <row r="7042" spans="2:23" s="97" customFormat="1">
      <c r="B7042" s="96"/>
      <c r="H7042" s="96"/>
      <c r="J7042" s="1"/>
      <c r="K7042" s="1"/>
      <c r="L7042" s="1"/>
      <c r="O7042" s="475"/>
      <c r="P7042" s="475"/>
      <c r="Q7042" s="475"/>
      <c r="R7042" s="475"/>
      <c r="S7042" s="475"/>
      <c r="T7042" s="475"/>
      <c r="U7042" s="475"/>
      <c r="V7042" s="475"/>
      <c r="W7042" s="475"/>
    </row>
    <row r="7043" spans="2:23" s="97" customFormat="1">
      <c r="B7043" s="96"/>
      <c r="H7043" s="96"/>
      <c r="J7043" s="1"/>
      <c r="K7043" s="1"/>
      <c r="L7043" s="1"/>
      <c r="O7043" s="475"/>
      <c r="P7043" s="475"/>
      <c r="Q7043" s="475"/>
      <c r="R7043" s="475"/>
      <c r="S7043" s="475"/>
      <c r="T7043" s="475"/>
      <c r="U7043" s="475"/>
      <c r="V7043" s="475"/>
      <c r="W7043" s="475"/>
    </row>
    <row r="7044" spans="2:23" s="97" customFormat="1">
      <c r="B7044" s="96"/>
      <c r="H7044" s="96"/>
      <c r="J7044" s="1"/>
      <c r="K7044" s="1"/>
      <c r="L7044" s="1"/>
      <c r="O7044" s="475"/>
      <c r="P7044" s="475"/>
      <c r="Q7044" s="475"/>
      <c r="R7044" s="475"/>
      <c r="S7044" s="475"/>
      <c r="T7044" s="475"/>
      <c r="U7044" s="475"/>
      <c r="V7044" s="475"/>
      <c r="W7044" s="475"/>
    </row>
    <row r="7045" spans="2:23" s="97" customFormat="1">
      <c r="B7045" s="96"/>
      <c r="H7045" s="96"/>
      <c r="J7045" s="1"/>
      <c r="K7045" s="1"/>
      <c r="L7045" s="1"/>
      <c r="O7045" s="475"/>
      <c r="P7045" s="475"/>
      <c r="Q7045" s="475"/>
      <c r="R7045" s="475"/>
      <c r="S7045" s="475"/>
      <c r="T7045" s="475"/>
      <c r="U7045" s="475"/>
      <c r="V7045" s="475"/>
      <c r="W7045" s="475"/>
    </row>
    <row r="7046" spans="2:23" s="97" customFormat="1">
      <c r="B7046" s="96"/>
      <c r="H7046" s="96"/>
      <c r="J7046" s="1"/>
      <c r="K7046" s="1"/>
      <c r="L7046" s="1"/>
      <c r="O7046" s="475"/>
      <c r="P7046" s="475"/>
      <c r="Q7046" s="475"/>
      <c r="R7046" s="475"/>
      <c r="S7046" s="475"/>
      <c r="T7046" s="475"/>
      <c r="U7046" s="475"/>
      <c r="V7046" s="475"/>
      <c r="W7046" s="475"/>
    </row>
    <row r="7047" spans="2:23" s="97" customFormat="1">
      <c r="B7047" s="96"/>
      <c r="H7047" s="96"/>
      <c r="J7047" s="1"/>
      <c r="K7047" s="1"/>
      <c r="L7047" s="1"/>
      <c r="O7047" s="475"/>
      <c r="P7047" s="475"/>
      <c r="Q7047" s="475"/>
      <c r="R7047" s="475"/>
      <c r="S7047" s="475"/>
      <c r="T7047" s="475"/>
      <c r="U7047" s="475"/>
      <c r="V7047" s="475"/>
      <c r="W7047" s="475"/>
    </row>
    <row r="7048" spans="2:23" s="97" customFormat="1">
      <c r="B7048" s="96"/>
      <c r="H7048" s="96"/>
      <c r="J7048" s="1"/>
      <c r="K7048" s="1"/>
      <c r="L7048" s="1"/>
      <c r="O7048" s="475"/>
      <c r="P7048" s="475"/>
      <c r="Q7048" s="475"/>
      <c r="R7048" s="475"/>
      <c r="S7048" s="475"/>
      <c r="T7048" s="475"/>
      <c r="U7048" s="475"/>
      <c r="V7048" s="475"/>
      <c r="W7048" s="475"/>
    </row>
    <row r="7049" spans="2:23" s="97" customFormat="1">
      <c r="B7049" s="96"/>
      <c r="H7049" s="96"/>
      <c r="J7049" s="1"/>
      <c r="K7049" s="1"/>
      <c r="L7049" s="1"/>
      <c r="O7049" s="475"/>
      <c r="P7049" s="475"/>
      <c r="Q7049" s="475"/>
      <c r="R7049" s="475"/>
      <c r="S7049" s="475"/>
      <c r="T7049" s="475"/>
      <c r="U7049" s="475"/>
      <c r="V7049" s="475"/>
      <c r="W7049" s="475"/>
    </row>
    <row r="7050" spans="2:23" s="97" customFormat="1">
      <c r="B7050" s="96"/>
      <c r="H7050" s="96"/>
      <c r="J7050" s="1"/>
      <c r="K7050" s="1"/>
      <c r="L7050" s="1"/>
      <c r="O7050" s="475"/>
      <c r="P7050" s="475"/>
      <c r="Q7050" s="475"/>
      <c r="R7050" s="475"/>
      <c r="S7050" s="475"/>
      <c r="T7050" s="475"/>
      <c r="U7050" s="475"/>
      <c r="V7050" s="475"/>
      <c r="W7050" s="475"/>
    </row>
    <row r="7051" spans="2:23" s="97" customFormat="1">
      <c r="B7051" s="96"/>
      <c r="H7051" s="96"/>
      <c r="J7051" s="1"/>
      <c r="K7051" s="1"/>
      <c r="L7051" s="1"/>
      <c r="O7051" s="475"/>
      <c r="P7051" s="475"/>
      <c r="Q7051" s="475"/>
      <c r="R7051" s="475"/>
      <c r="S7051" s="475"/>
      <c r="T7051" s="475"/>
      <c r="U7051" s="475"/>
      <c r="V7051" s="475"/>
      <c r="W7051" s="475"/>
    </row>
    <row r="7052" spans="2:23" s="97" customFormat="1">
      <c r="B7052" s="96"/>
      <c r="H7052" s="96"/>
      <c r="J7052" s="1"/>
      <c r="K7052" s="1"/>
      <c r="L7052" s="1"/>
      <c r="O7052" s="475"/>
      <c r="P7052" s="475"/>
      <c r="Q7052" s="475"/>
      <c r="R7052" s="475"/>
      <c r="S7052" s="475"/>
      <c r="T7052" s="475"/>
      <c r="U7052" s="475"/>
      <c r="V7052" s="475"/>
      <c r="W7052" s="475"/>
    </row>
    <row r="7053" spans="2:23" s="97" customFormat="1">
      <c r="B7053" s="96"/>
      <c r="H7053" s="96"/>
      <c r="J7053" s="1"/>
      <c r="K7053" s="1"/>
      <c r="L7053" s="1"/>
      <c r="O7053" s="475"/>
      <c r="P7053" s="475"/>
      <c r="Q7053" s="475"/>
      <c r="R7053" s="475"/>
      <c r="S7053" s="475"/>
      <c r="T7053" s="475"/>
      <c r="U7053" s="475"/>
      <c r="V7053" s="475"/>
      <c r="W7053" s="475"/>
    </row>
    <row r="7054" spans="2:23" s="97" customFormat="1">
      <c r="B7054" s="96"/>
      <c r="H7054" s="96"/>
      <c r="J7054" s="1"/>
      <c r="K7054" s="1"/>
      <c r="L7054" s="1"/>
      <c r="O7054" s="475"/>
      <c r="P7054" s="475"/>
      <c r="Q7054" s="475"/>
      <c r="R7054" s="475"/>
      <c r="S7054" s="475"/>
      <c r="T7054" s="475"/>
      <c r="U7054" s="475"/>
      <c r="V7054" s="475"/>
      <c r="W7054" s="475"/>
    </row>
    <row r="7055" spans="2:23" s="97" customFormat="1">
      <c r="B7055" s="96"/>
      <c r="H7055" s="96"/>
      <c r="J7055" s="1"/>
      <c r="K7055" s="1"/>
      <c r="L7055" s="1"/>
      <c r="O7055" s="475"/>
      <c r="P7055" s="475"/>
      <c r="Q7055" s="475"/>
      <c r="R7055" s="475"/>
      <c r="S7055" s="475"/>
      <c r="T7055" s="475"/>
      <c r="U7055" s="475"/>
      <c r="V7055" s="475"/>
      <c r="W7055" s="475"/>
    </row>
    <row r="7056" spans="2:23" s="97" customFormat="1">
      <c r="B7056" s="96"/>
      <c r="H7056" s="96"/>
      <c r="J7056" s="1"/>
      <c r="K7056" s="1"/>
      <c r="L7056" s="1"/>
      <c r="O7056" s="475"/>
      <c r="P7056" s="475"/>
      <c r="Q7056" s="475"/>
      <c r="R7056" s="475"/>
      <c r="S7056" s="475"/>
      <c r="T7056" s="475"/>
      <c r="U7056" s="475"/>
      <c r="V7056" s="475"/>
      <c r="W7056" s="475"/>
    </row>
    <row r="7057" spans="2:23" s="97" customFormat="1">
      <c r="B7057" s="96"/>
      <c r="H7057" s="96"/>
      <c r="J7057" s="1"/>
      <c r="K7057" s="1"/>
      <c r="L7057" s="1"/>
      <c r="O7057" s="475"/>
      <c r="P7057" s="475"/>
      <c r="Q7057" s="475"/>
      <c r="R7057" s="475"/>
      <c r="S7057" s="475"/>
      <c r="T7057" s="475"/>
      <c r="U7057" s="475"/>
      <c r="V7057" s="475"/>
      <c r="W7057" s="475"/>
    </row>
    <row r="7058" spans="2:23" s="97" customFormat="1">
      <c r="B7058" s="96"/>
      <c r="H7058" s="96"/>
      <c r="J7058" s="1"/>
      <c r="K7058" s="1"/>
      <c r="L7058" s="1"/>
      <c r="O7058" s="475"/>
      <c r="P7058" s="475"/>
      <c r="Q7058" s="475"/>
      <c r="R7058" s="475"/>
      <c r="S7058" s="475"/>
      <c r="T7058" s="475"/>
      <c r="U7058" s="475"/>
      <c r="V7058" s="475"/>
      <c r="W7058" s="475"/>
    </row>
    <row r="7059" spans="2:23" s="97" customFormat="1">
      <c r="B7059" s="96"/>
      <c r="H7059" s="96"/>
      <c r="J7059" s="1"/>
      <c r="K7059" s="1"/>
      <c r="L7059" s="1"/>
      <c r="O7059" s="475"/>
      <c r="P7059" s="475"/>
      <c r="Q7059" s="475"/>
      <c r="R7059" s="475"/>
      <c r="S7059" s="475"/>
      <c r="T7059" s="475"/>
      <c r="U7059" s="475"/>
      <c r="V7059" s="475"/>
      <c r="W7059" s="475"/>
    </row>
    <row r="7060" spans="2:23" s="97" customFormat="1">
      <c r="B7060" s="96"/>
      <c r="H7060" s="96"/>
      <c r="J7060" s="1"/>
      <c r="K7060" s="1"/>
      <c r="L7060" s="1"/>
      <c r="O7060" s="475"/>
      <c r="P7060" s="475"/>
      <c r="Q7060" s="475"/>
      <c r="R7060" s="475"/>
      <c r="S7060" s="475"/>
      <c r="T7060" s="475"/>
      <c r="U7060" s="475"/>
      <c r="V7060" s="475"/>
      <c r="W7060" s="475"/>
    </row>
    <row r="7061" spans="2:23" s="97" customFormat="1">
      <c r="B7061" s="96"/>
      <c r="H7061" s="96"/>
      <c r="J7061" s="1"/>
      <c r="K7061" s="1"/>
      <c r="L7061" s="1"/>
      <c r="O7061" s="475"/>
      <c r="P7061" s="475"/>
      <c r="Q7061" s="475"/>
      <c r="R7061" s="475"/>
      <c r="S7061" s="475"/>
      <c r="T7061" s="475"/>
      <c r="U7061" s="475"/>
      <c r="V7061" s="475"/>
      <c r="W7061" s="475"/>
    </row>
    <row r="7062" spans="2:23" s="97" customFormat="1">
      <c r="B7062" s="96"/>
      <c r="H7062" s="96"/>
      <c r="J7062" s="1"/>
      <c r="K7062" s="1"/>
      <c r="L7062" s="1"/>
      <c r="O7062" s="475"/>
      <c r="P7062" s="475"/>
      <c r="Q7062" s="475"/>
      <c r="R7062" s="475"/>
      <c r="S7062" s="475"/>
      <c r="T7062" s="475"/>
      <c r="U7062" s="475"/>
      <c r="V7062" s="475"/>
      <c r="W7062" s="475"/>
    </row>
    <row r="7063" spans="2:23" s="97" customFormat="1">
      <c r="B7063" s="96"/>
      <c r="H7063" s="96"/>
      <c r="J7063" s="1"/>
      <c r="K7063" s="1"/>
      <c r="L7063" s="1"/>
      <c r="O7063" s="475"/>
      <c r="P7063" s="475"/>
      <c r="Q7063" s="475"/>
      <c r="R7063" s="475"/>
      <c r="S7063" s="475"/>
      <c r="T7063" s="475"/>
      <c r="U7063" s="475"/>
      <c r="V7063" s="475"/>
      <c r="W7063" s="475"/>
    </row>
    <row r="7064" spans="2:23" s="97" customFormat="1">
      <c r="B7064" s="96"/>
      <c r="H7064" s="96"/>
      <c r="J7064" s="1"/>
      <c r="K7064" s="1"/>
      <c r="L7064" s="1"/>
      <c r="O7064" s="475"/>
      <c r="P7064" s="475"/>
      <c r="Q7064" s="475"/>
      <c r="R7064" s="475"/>
      <c r="S7064" s="475"/>
      <c r="T7064" s="475"/>
      <c r="U7064" s="475"/>
      <c r="V7064" s="475"/>
      <c r="W7064" s="475"/>
    </row>
    <row r="7065" spans="2:23" s="97" customFormat="1">
      <c r="B7065" s="96"/>
      <c r="H7065" s="96"/>
      <c r="J7065" s="1"/>
      <c r="K7065" s="1"/>
      <c r="L7065" s="1"/>
      <c r="O7065" s="475"/>
      <c r="P7065" s="475"/>
      <c r="Q7065" s="475"/>
      <c r="R7065" s="475"/>
      <c r="S7065" s="475"/>
      <c r="T7065" s="475"/>
      <c r="U7065" s="475"/>
      <c r="V7065" s="475"/>
      <c r="W7065" s="475"/>
    </row>
    <row r="7066" spans="2:23" s="97" customFormat="1">
      <c r="B7066" s="96"/>
      <c r="H7066" s="96"/>
      <c r="J7066" s="1"/>
      <c r="K7066" s="1"/>
      <c r="L7066" s="1"/>
      <c r="O7066" s="475"/>
      <c r="P7066" s="475"/>
      <c r="Q7066" s="475"/>
      <c r="R7066" s="475"/>
      <c r="S7066" s="475"/>
      <c r="T7066" s="475"/>
      <c r="U7066" s="475"/>
      <c r="V7066" s="475"/>
      <c r="W7066" s="475"/>
    </row>
    <row r="7067" spans="2:23" s="97" customFormat="1">
      <c r="B7067" s="96"/>
      <c r="H7067" s="96"/>
      <c r="J7067" s="1"/>
      <c r="K7067" s="1"/>
      <c r="L7067" s="1"/>
      <c r="O7067" s="475"/>
      <c r="P7067" s="475"/>
      <c r="Q7067" s="475"/>
      <c r="R7067" s="475"/>
      <c r="S7067" s="475"/>
      <c r="T7067" s="475"/>
      <c r="U7067" s="475"/>
      <c r="V7067" s="475"/>
      <c r="W7067" s="475"/>
    </row>
    <row r="7068" spans="2:23" s="97" customFormat="1">
      <c r="B7068" s="96"/>
      <c r="H7068" s="96"/>
      <c r="J7068" s="1"/>
      <c r="K7068" s="1"/>
      <c r="L7068" s="1"/>
      <c r="O7068" s="475"/>
      <c r="P7068" s="475"/>
      <c r="Q7068" s="475"/>
      <c r="R7068" s="475"/>
      <c r="S7068" s="475"/>
      <c r="T7068" s="475"/>
      <c r="U7068" s="475"/>
      <c r="V7068" s="475"/>
      <c r="W7068" s="475"/>
    </row>
    <row r="7069" spans="2:23" s="97" customFormat="1">
      <c r="B7069" s="96"/>
      <c r="H7069" s="96"/>
      <c r="J7069" s="1"/>
      <c r="K7069" s="1"/>
      <c r="L7069" s="1"/>
      <c r="O7069" s="475"/>
      <c r="P7069" s="475"/>
      <c r="Q7069" s="475"/>
      <c r="R7069" s="475"/>
      <c r="S7069" s="475"/>
      <c r="T7069" s="475"/>
      <c r="U7069" s="475"/>
      <c r="V7069" s="475"/>
      <c r="W7069" s="475"/>
    </row>
    <row r="7070" spans="2:23" s="97" customFormat="1">
      <c r="B7070" s="96"/>
      <c r="H7070" s="96"/>
      <c r="J7070" s="1"/>
      <c r="K7070" s="1"/>
      <c r="L7070" s="1"/>
      <c r="O7070" s="475"/>
      <c r="P7070" s="475"/>
      <c r="Q7070" s="475"/>
      <c r="R7070" s="475"/>
      <c r="S7070" s="475"/>
      <c r="T7070" s="475"/>
      <c r="U7070" s="475"/>
      <c r="V7070" s="475"/>
      <c r="W7070" s="475"/>
    </row>
    <row r="7071" spans="2:23" s="97" customFormat="1">
      <c r="B7071" s="96"/>
      <c r="H7071" s="96"/>
      <c r="J7071" s="1"/>
      <c r="K7071" s="1"/>
      <c r="L7071" s="1"/>
      <c r="O7071" s="475"/>
      <c r="P7071" s="475"/>
      <c r="Q7071" s="475"/>
      <c r="R7071" s="475"/>
      <c r="S7071" s="475"/>
      <c r="T7071" s="475"/>
      <c r="U7071" s="475"/>
      <c r="V7071" s="475"/>
      <c r="W7071" s="475"/>
    </row>
    <row r="7072" spans="2:23" s="97" customFormat="1">
      <c r="B7072" s="96"/>
      <c r="H7072" s="96"/>
      <c r="J7072" s="1"/>
      <c r="K7072" s="1"/>
      <c r="L7072" s="1"/>
      <c r="O7072" s="475"/>
      <c r="P7072" s="475"/>
      <c r="Q7072" s="475"/>
      <c r="R7072" s="475"/>
      <c r="S7072" s="475"/>
      <c r="T7072" s="475"/>
      <c r="U7072" s="475"/>
      <c r="V7072" s="475"/>
      <c r="W7072" s="475"/>
    </row>
    <row r="7073" spans="2:23" s="97" customFormat="1">
      <c r="B7073" s="96"/>
      <c r="H7073" s="96"/>
      <c r="J7073" s="1"/>
      <c r="K7073" s="1"/>
      <c r="L7073" s="1"/>
      <c r="O7073" s="475"/>
      <c r="P7073" s="475"/>
      <c r="Q7073" s="475"/>
      <c r="R7073" s="475"/>
      <c r="S7073" s="475"/>
      <c r="T7073" s="475"/>
      <c r="U7073" s="475"/>
      <c r="V7073" s="475"/>
      <c r="W7073" s="475"/>
    </row>
    <row r="7074" spans="2:23" s="97" customFormat="1">
      <c r="B7074" s="96"/>
      <c r="H7074" s="96"/>
      <c r="J7074" s="1"/>
      <c r="K7074" s="1"/>
      <c r="L7074" s="1"/>
      <c r="O7074" s="475"/>
      <c r="P7074" s="475"/>
      <c r="Q7074" s="475"/>
      <c r="R7074" s="475"/>
      <c r="S7074" s="475"/>
      <c r="T7074" s="475"/>
      <c r="U7074" s="475"/>
      <c r="V7074" s="475"/>
      <c r="W7074" s="475"/>
    </row>
    <row r="7075" spans="2:23" s="97" customFormat="1">
      <c r="B7075" s="96"/>
      <c r="H7075" s="96"/>
      <c r="J7075" s="1"/>
      <c r="K7075" s="1"/>
      <c r="L7075" s="1"/>
      <c r="O7075" s="475"/>
      <c r="P7075" s="475"/>
      <c r="Q7075" s="475"/>
      <c r="R7075" s="475"/>
      <c r="S7075" s="475"/>
      <c r="T7075" s="475"/>
      <c r="U7075" s="475"/>
      <c r="V7075" s="475"/>
      <c r="W7075" s="475"/>
    </row>
    <row r="7076" spans="2:23" s="97" customFormat="1">
      <c r="B7076" s="96"/>
      <c r="H7076" s="96"/>
      <c r="J7076" s="1"/>
      <c r="K7076" s="1"/>
      <c r="L7076" s="1"/>
      <c r="O7076" s="475"/>
      <c r="P7076" s="475"/>
      <c r="Q7076" s="475"/>
      <c r="R7076" s="475"/>
      <c r="S7076" s="475"/>
      <c r="T7076" s="475"/>
      <c r="U7076" s="475"/>
      <c r="V7076" s="475"/>
      <c r="W7076" s="475"/>
    </row>
    <row r="7077" spans="2:23" s="97" customFormat="1">
      <c r="B7077" s="96"/>
      <c r="H7077" s="96"/>
      <c r="J7077" s="1"/>
      <c r="K7077" s="1"/>
      <c r="L7077" s="1"/>
      <c r="O7077" s="475"/>
      <c r="P7077" s="475"/>
      <c r="Q7077" s="475"/>
      <c r="R7077" s="475"/>
      <c r="S7077" s="475"/>
      <c r="T7077" s="475"/>
      <c r="U7077" s="475"/>
      <c r="V7077" s="475"/>
      <c r="W7077" s="475"/>
    </row>
    <row r="7078" spans="2:23" s="97" customFormat="1">
      <c r="B7078" s="96"/>
      <c r="H7078" s="96"/>
      <c r="J7078" s="1"/>
      <c r="K7078" s="1"/>
      <c r="L7078" s="1"/>
      <c r="O7078" s="475"/>
      <c r="P7078" s="475"/>
      <c r="Q7078" s="475"/>
      <c r="R7078" s="475"/>
      <c r="S7078" s="475"/>
      <c r="T7078" s="475"/>
      <c r="U7078" s="475"/>
      <c r="V7078" s="475"/>
      <c r="W7078" s="475"/>
    </row>
    <row r="7079" spans="2:23" s="97" customFormat="1">
      <c r="B7079" s="96"/>
      <c r="H7079" s="96"/>
      <c r="J7079" s="1"/>
      <c r="K7079" s="1"/>
      <c r="L7079" s="1"/>
      <c r="O7079" s="475"/>
      <c r="P7079" s="475"/>
      <c r="Q7079" s="475"/>
      <c r="R7079" s="475"/>
      <c r="S7079" s="475"/>
      <c r="T7079" s="475"/>
      <c r="U7079" s="475"/>
      <c r="V7079" s="475"/>
      <c r="W7079" s="475"/>
    </row>
    <row r="7080" spans="2:23" s="97" customFormat="1">
      <c r="B7080" s="96"/>
      <c r="H7080" s="96"/>
      <c r="J7080" s="1"/>
      <c r="K7080" s="1"/>
      <c r="L7080" s="1"/>
      <c r="O7080" s="475"/>
      <c r="P7080" s="475"/>
      <c r="Q7080" s="475"/>
      <c r="R7080" s="475"/>
      <c r="S7080" s="475"/>
      <c r="T7080" s="475"/>
      <c r="U7080" s="475"/>
      <c r="V7080" s="475"/>
      <c r="W7080" s="475"/>
    </row>
    <row r="7081" spans="2:23" s="97" customFormat="1">
      <c r="B7081" s="96"/>
      <c r="H7081" s="96"/>
      <c r="J7081" s="1"/>
      <c r="K7081" s="1"/>
      <c r="L7081" s="1"/>
      <c r="O7081" s="475"/>
      <c r="P7081" s="475"/>
      <c r="Q7081" s="475"/>
      <c r="R7081" s="475"/>
      <c r="S7081" s="475"/>
      <c r="T7081" s="475"/>
      <c r="U7081" s="475"/>
      <c r="V7081" s="475"/>
      <c r="W7081" s="475"/>
    </row>
    <row r="7082" spans="2:23" s="97" customFormat="1">
      <c r="B7082" s="96"/>
      <c r="H7082" s="96"/>
      <c r="J7082" s="1"/>
      <c r="K7082" s="1"/>
      <c r="L7082" s="1"/>
      <c r="O7082" s="475"/>
      <c r="P7082" s="475"/>
      <c r="Q7082" s="475"/>
      <c r="R7082" s="475"/>
      <c r="S7082" s="475"/>
      <c r="T7082" s="475"/>
      <c r="U7082" s="475"/>
      <c r="V7082" s="475"/>
      <c r="W7082" s="475"/>
    </row>
    <row r="7083" spans="2:23" s="97" customFormat="1">
      <c r="B7083" s="96"/>
      <c r="H7083" s="96"/>
      <c r="J7083" s="1"/>
      <c r="K7083" s="1"/>
      <c r="L7083" s="1"/>
      <c r="O7083" s="475"/>
      <c r="P7083" s="475"/>
      <c r="Q7083" s="475"/>
      <c r="R7083" s="475"/>
      <c r="S7083" s="475"/>
      <c r="T7083" s="475"/>
      <c r="U7083" s="475"/>
      <c r="V7083" s="475"/>
      <c r="W7083" s="475"/>
    </row>
    <row r="7084" spans="2:23" s="97" customFormat="1">
      <c r="B7084" s="96"/>
      <c r="H7084" s="96"/>
      <c r="J7084" s="1"/>
      <c r="K7084" s="1"/>
      <c r="L7084" s="1"/>
      <c r="O7084" s="475"/>
      <c r="P7084" s="475"/>
      <c r="Q7084" s="475"/>
      <c r="R7084" s="475"/>
      <c r="S7084" s="475"/>
      <c r="T7084" s="475"/>
      <c r="U7084" s="475"/>
      <c r="V7084" s="475"/>
      <c r="W7084" s="475"/>
    </row>
    <row r="7085" spans="2:23" s="97" customFormat="1">
      <c r="B7085" s="96"/>
      <c r="H7085" s="96"/>
      <c r="J7085" s="1"/>
      <c r="K7085" s="1"/>
      <c r="L7085" s="1"/>
      <c r="O7085" s="475"/>
      <c r="P7085" s="475"/>
      <c r="Q7085" s="475"/>
      <c r="R7085" s="475"/>
      <c r="S7085" s="475"/>
      <c r="T7085" s="475"/>
      <c r="U7085" s="475"/>
      <c r="V7085" s="475"/>
      <c r="W7085" s="475"/>
    </row>
    <row r="7086" spans="2:23" s="97" customFormat="1">
      <c r="B7086" s="96"/>
      <c r="H7086" s="96"/>
      <c r="J7086" s="1"/>
      <c r="K7086" s="1"/>
      <c r="L7086" s="1"/>
      <c r="O7086" s="475"/>
      <c r="P7086" s="475"/>
      <c r="Q7086" s="475"/>
      <c r="R7086" s="475"/>
      <c r="S7086" s="475"/>
      <c r="T7086" s="475"/>
      <c r="U7086" s="475"/>
      <c r="V7086" s="475"/>
      <c r="W7086" s="475"/>
    </row>
    <row r="7087" spans="2:23" s="97" customFormat="1">
      <c r="B7087" s="96"/>
      <c r="H7087" s="96"/>
      <c r="J7087" s="1"/>
      <c r="K7087" s="1"/>
      <c r="L7087" s="1"/>
      <c r="O7087" s="475"/>
      <c r="P7087" s="475"/>
      <c r="Q7087" s="475"/>
      <c r="R7087" s="475"/>
      <c r="S7087" s="475"/>
      <c r="T7087" s="475"/>
      <c r="U7087" s="475"/>
      <c r="V7087" s="475"/>
      <c r="W7087" s="475"/>
    </row>
    <row r="7088" spans="2:23" s="97" customFormat="1">
      <c r="B7088" s="96"/>
      <c r="H7088" s="96"/>
      <c r="J7088" s="1"/>
      <c r="K7088" s="1"/>
      <c r="L7088" s="1"/>
      <c r="O7088" s="475"/>
      <c r="P7088" s="475"/>
      <c r="Q7088" s="475"/>
      <c r="R7088" s="475"/>
      <c r="S7088" s="475"/>
      <c r="T7088" s="475"/>
      <c r="U7088" s="475"/>
      <c r="V7088" s="475"/>
      <c r="W7088" s="475"/>
    </row>
    <row r="7089" spans="2:23" s="97" customFormat="1">
      <c r="B7089" s="96"/>
      <c r="H7089" s="96"/>
      <c r="J7089" s="1"/>
      <c r="K7089" s="1"/>
      <c r="L7089" s="1"/>
      <c r="O7089" s="475"/>
      <c r="P7089" s="475"/>
      <c r="Q7089" s="475"/>
      <c r="R7089" s="475"/>
      <c r="S7089" s="475"/>
      <c r="T7089" s="475"/>
      <c r="U7089" s="475"/>
      <c r="V7089" s="475"/>
      <c r="W7089" s="475"/>
    </row>
    <row r="7090" spans="2:23" s="97" customFormat="1">
      <c r="B7090" s="96"/>
      <c r="H7090" s="96"/>
      <c r="J7090" s="1"/>
      <c r="K7090" s="1"/>
      <c r="L7090" s="1"/>
      <c r="O7090" s="475"/>
      <c r="P7090" s="475"/>
      <c r="Q7090" s="475"/>
      <c r="R7090" s="475"/>
      <c r="S7090" s="475"/>
      <c r="T7090" s="475"/>
      <c r="U7090" s="475"/>
      <c r="V7090" s="475"/>
      <c r="W7090" s="475"/>
    </row>
    <row r="7091" spans="2:23" s="97" customFormat="1">
      <c r="B7091" s="96"/>
      <c r="H7091" s="96"/>
      <c r="J7091" s="1"/>
      <c r="K7091" s="1"/>
      <c r="L7091" s="1"/>
      <c r="O7091" s="475"/>
      <c r="P7091" s="475"/>
      <c r="Q7091" s="475"/>
      <c r="R7091" s="475"/>
      <c r="S7091" s="475"/>
      <c r="T7091" s="475"/>
      <c r="U7091" s="475"/>
      <c r="V7091" s="475"/>
      <c r="W7091" s="475"/>
    </row>
    <row r="7092" spans="2:23" s="97" customFormat="1">
      <c r="B7092" s="96"/>
      <c r="H7092" s="96"/>
      <c r="J7092" s="1"/>
      <c r="K7092" s="1"/>
      <c r="L7092" s="1"/>
      <c r="O7092" s="475"/>
      <c r="P7092" s="475"/>
      <c r="Q7092" s="475"/>
      <c r="R7092" s="475"/>
      <c r="S7092" s="475"/>
      <c r="T7092" s="475"/>
      <c r="U7092" s="475"/>
      <c r="V7092" s="475"/>
      <c r="W7092" s="475"/>
    </row>
    <row r="7093" spans="2:23" s="97" customFormat="1">
      <c r="B7093" s="96"/>
      <c r="H7093" s="96"/>
      <c r="J7093" s="1"/>
      <c r="K7093" s="1"/>
      <c r="L7093" s="1"/>
      <c r="O7093" s="475"/>
      <c r="P7093" s="475"/>
      <c r="Q7093" s="475"/>
      <c r="R7093" s="475"/>
      <c r="S7093" s="475"/>
      <c r="T7093" s="475"/>
      <c r="U7093" s="475"/>
      <c r="V7093" s="475"/>
      <c r="W7093" s="475"/>
    </row>
    <row r="7094" spans="2:23" s="97" customFormat="1">
      <c r="B7094" s="96"/>
      <c r="H7094" s="96"/>
      <c r="J7094" s="1"/>
      <c r="K7094" s="1"/>
      <c r="L7094" s="1"/>
      <c r="O7094" s="475"/>
      <c r="P7094" s="475"/>
      <c r="Q7094" s="475"/>
      <c r="R7094" s="475"/>
      <c r="S7094" s="475"/>
      <c r="T7094" s="475"/>
      <c r="U7094" s="475"/>
      <c r="V7094" s="475"/>
      <c r="W7094" s="475"/>
    </row>
    <row r="7095" spans="2:23" s="97" customFormat="1">
      <c r="B7095" s="96"/>
      <c r="H7095" s="96"/>
      <c r="J7095" s="1"/>
      <c r="K7095" s="1"/>
      <c r="L7095" s="1"/>
      <c r="O7095" s="475"/>
      <c r="P7095" s="475"/>
      <c r="Q7095" s="475"/>
      <c r="R7095" s="475"/>
      <c r="S7095" s="475"/>
      <c r="T7095" s="475"/>
      <c r="U7095" s="475"/>
      <c r="V7095" s="475"/>
      <c r="W7095" s="475"/>
    </row>
    <row r="7096" spans="2:23" s="97" customFormat="1">
      <c r="B7096" s="96"/>
      <c r="H7096" s="96"/>
      <c r="J7096" s="1"/>
      <c r="K7096" s="1"/>
      <c r="L7096" s="1"/>
      <c r="O7096" s="475"/>
      <c r="P7096" s="475"/>
      <c r="Q7096" s="475"/>
      <c r="R7096" s="475"/>
      <c r="S7096" s="475"/>
      <c r="T7096" s="475"/>
      <c r="U7096" s="475"/>
      <c r="V7096" s="475"/>
      <c r="W7096" s="475"/>
    </row>
    <row r="7097" spans="2:23" s="97" customFormat="1">
      <c r="B7097" s="96"/>
      <c r="H7097" s="96"/>
      <c r="J7097" s="1"/>
      <c r="K7097" s="1"/>
      <c r="L7097" s="1"/>
      <c r="O7097" s="475"/>
      <c r="P7097" s="475"/>
      <c r="Q7097" s="475"/>
      <c r="R7097" s="475"/>
      <c r="S7097" s="475"/>
      <c r="T7097" s="475"/>
      <c r="U7097" s="475"/>
      <c r="V7097" s="475"/>
      <c r="W7097" s="475"/>
    </row>
    <row r="7098" spans="2:23" s="97" customFormat="1">
      <c r="B7098" s="96"/>
      <c r="H7098" s="96"/>
      <c r="J7098" s="1"/>
      <c r="K7098" s="1"/>
      <c r="L7098" s="1"/>
      <c r="O7098" s="475"/>
      <c r="P7098" s="475"/>
      <c r="Q7098" s="475"/>
      <c r="R7098" s="475"/>
      <c r="S7098" s="475"/>
      <c r="T7098" s="475"/>
      <c r="U7098" s="475"/>
      <c r="V7098" s="475"/>
      <c r="W7098" s="475"/>
    </row>
    <row r="7099" spans="2:23" s="97" customFormat="1">
      <c r="B7099" s="96"/>
      <c r="H7099" s="96"/>
      <c r="J7099" s="1"/>
      <c r="K7099" s="1"/>
      <c r="L7099" s="1"/>
      <c r="O7099" s="475"/>
      <c r="P7099" s="475"/>
      <c r="Q7099" s="475"/>
      <c r="R7099" s="475"/>
      <c r="S7099" s="475"/>
      <c r="T7099" s="475"/>
      <c r="U7099" s="475"/>
      <c r="V7099" s="475"/>
      <c r="W7099" s="475"/>
    </row>
    <row r="7100" spans="2:23" s="97" customFormat="1">
      <c r="B7100" s="96"/>
      <c r="H7100" s="96"/>
      <c r="J7100" s="1"/>
      <c r="K7100" s="1"/>
      <c r="L7100" s="1"/>
      <c r="O7100" s="475"/>
      <c r="P7100" s="475"/>
      <c r="Q7100" s="475"/>
      <c r="R7100" s="475"/>
      <c r="S7100" s="475"/>
      <c r="T7100" s="475"/>
      <c r="U7100" s="475"/>
      <c r="V7100" s="475"/>
      <c r="W7100" s="475"/>
    </row>
    <row r="7101" spans="2:23" s="97" customFormat="1">
      <c r="B7101" s="96"/>
      <c r="H7101" s="96"/>
      <c r="J7101" s="1"/>
      <c r="K7101" s="1"/>
      <c r="L7101" s="1"/>
      <c r="O7101" s="475"/>
      <c r="P7101" s="475"/>
      <c r="Q7101" s="475"/>
      <c r="R7101" s="475"/>
      <c r="S7101" s="475"/>
      <c r="T7101" s="475"/>
      <c r="U7101" s="475"/>
      <c r="V7101" s="475"/>
      <c r="W7101" s="475"/>
    </row>
    <row r="7102" spans="2:23" s="97" customFormat="1">
      <c r="B7102" s="96"/>
      <c r="H7102" s="96"/>
      <c r="J7102" s="1"/>
      <c r="K7102" s="1"/>
      <c r="L7102" s="1"/>
      <c r="O7102" s="475"/>
      <c r="P7102" s="475"/>
      <c r="Q7102" s="475"/>
      <c r="R7102" s="475"/>
      <c r="S7102" s="475"/>
      <c r="T7102" s="475"/>
      <c r="U7102" s="475"/>
      <c r="V7102" s="475"/>
      <c r="W7102" s="475"/>
    </row>
    <row r="7103" spans="2:23" s="97" customFormat="1">
      <c r="B7103" s="96"/>
      <c r="H7103" s="96"/>
      <c r="J7103" s="1"/>
      <c r="K7103" s="1"/>
      <c r="L7103" s="1"/>
      <c r="O7103" s="475"/>
      <c r="P7103" s="475"/>
      <c r="Q7103" s="475"/>
      <c r="R7103" s="475"/>
      <c r="S7103" s="475"/>
      <c r="T7103" s="475"/>
      <c r="U7103" s="475"/>
      <c r="V7103" s="475"/>
      <c r="W7103" s="475"/>
    </row>
    <row r="7104" spans="2:23" s="97" customFormat="1">
      <c r="B7104" s="96"/>
      <c r="H7104" s="96"/>
      <c r="J7104" s="1"/>
      <c r="K7104" s="1"/>
      <c r="L7104" s="1"/>
      <c r="O7104" s="475"/>
      <c r="P7104" s="475"/>
      <c r="Q7104" s="475"/>
      <c r="R7104" s="475"/>
      <c r="S7104" s="475"/>
      <c r="T7104" s="475"/>
      <c r="U7104" s="475"/>
      <c r="V7104" s="475"/>
      <c r="W7104" s="475"/>
    </row>
    <row r="7105" spans="2:23" s="97" customFormat="1">
      <c r="B7105" s="96"/>
      <c r="H7105" s="96"/>
      <c r="J7105" s="1"/>
      <c r="K7105" s="1"/>
      <c r="L7105" s="1"/>
      <c r="O7105" s="475"/>
      <c r="P7105" s="475"/>
      <c r="Q7105" s="475"/>
      <c r="R7105" s="475"/>
      <c r="S7105" s="475"/>
      <c r="T7105" s="475"/>
      <c r="U7105" s="475"/>
      <c r="V7105" s="475"/>
      <c r="W7105" s="475"/>
    </row>
    <row r="7106" spans="2:23" s="97" customFormat="1">
      <c r="B7106" s="96"/>
      <c r="H7106" s="96"/>
      <c r="J7106" s="1"/>
      <c r="K7106" s="1"/>
      <c r="L7106" s="1"/>
      <c r="O7106" s="475"/>
      <c r="P7106" s="475"/>
      <c r="Q7106" s="475"/>
      <c r="R7106" s="475"/>
      <c r="S7106" s="475"/>
      <c r="T7106" s="475"/>
      <c r="U7106" s="475"/>
      <c r="V7106" s="475"/>
      <c r="W7106" s="475"/>
    </row>
    <row r="7107" spans="2:23" s="97" customFormat="1">
      <c r="B7107" s="96"/>
      <c r="H7107" s="96"/>
      <c r="J7107" s="1"/>
      <c r="K7107" s="1"/>
      <c r="L7107" s="1"/>
      <c r="O7107" s="475"/>
      <c r="P7107" s="475"/>
      <c r="Q7107" s="475"/>
      <c r="R7107" s="475"/>
      <c r="S7107" s="475"/>
      <c r="T7107" s="475"/>
      <c r="U7107" s="475"/>
      <c r="V7107" s="475"/>
      <c r="W7107" s="475"/>
    </row>
    <row r="7108" spans="2:23" s="97" customFormat="1">
      <c r="B7108" s="96"/>
      <c r="H7108" s="96"/>
      <c r="J7108" s="1"/>
      <c r="K7108" s="1"/>
      <c r="L7108" s="1"/>
      <c r="O7108" s="475"/>
      <c r="P7108" s="475"/>
      <c r="Q7108" s="475"/>
      <c r="R7108" s="475"/>
      <c r="S7108" s="475"/>
      <c r="T7108" s="475"/>
      <c r="U7108" s="475"/>
      <c r="V7108" s="475"/>
      <c r="W7108" s="475"/>
    </row>
    <row r="7109" spans="2:23" s="97" customFormat="1">
      <c r="B7109" s="96"/>
      <c r="H7109" s="96"/>
      <c r="J7109" s="1"/>
      <c r="K7109" s="1"/>
      <c r="L7109" s="1"/>
      <c r="O7109" s="475"/>
      <c r="P7109" s="475"/>
      <c r="Q7109" s="475"/>
      <c r="R7109" s="475"/>
      <c r="S7109" s="475"/>
      <c r="T7109" s="475"/>
      <c r="U7109" s="475"/>
      <c r="V7109" s="475"/>
      <c r="W7109" s="475"/>
    </row>
    <row r="7110" spans="2:23" s="97" customFormat="1">
      <c r="B7110" s="96"/>
      <c r="H7110" s="96"/>
      <c r="J7110" s="1"/>
      <c r="K7110" s="1"/>
      <c r="L7110" s="1"/>
      <c r="O7110" s="475"/>
      <c r="P7110" s="475"/>
      <c r="Q7110" s="475"/>
      <c r="R7110" s="475"/>
      <c r="S7110" s="475"/>
      <c r="T7110" s="475"/>
      <c r="U7110" s="475"/>
      <c r="V7110" s="475"/>
      <c r="W7110" s="475"/>
    </row>
    <row r="7111" spans="2:23" s="97" customFormat="1">
      <c r="B7111" s="96"/>
      <c r="H7111" s="96"/>
      <c r="J7111" s="1"/>
      <c r="K7111" s="1"/>
      <c r="L7111" s="1"/>
      <c r="O7111" s="475"/>
      <c r="P7111" s="475"/>
      <c r="Q7111" s="475"/>
      <c r="R7111" s="475"/>
      <c r="S7111" s="475"/>
      <c r="T7111" s="475"/>
      <c r="U7111" s="475"/>
      <c r="V7111" s="475"/>
      <c r="W7111" s="475"/>
    </row>
    <row r="7112" spans="2:23" s="97" customFormat="1">
      <c r="B7112" s="96"/>
      <c r="H7112" s="96"/>
      <c r="J7112" s="1"/>
      <c r="K7112" s="1"/>
      <c r="L7112" s="1"/>
      <c r="O7112" s="475"/>
      <c r="P7112" s="475"/>
      <c r="Q7112" s="475"/>
      <c r="R7112" s="475"/>
      <c r="S7112" s="475"/>
      <c r="T7112" s="475"/>
      <c r="U7112" s="475"/>
      <c r="V7112" s="475"/>
      <c r="W7112" s="475"/>
    </row>
    <row r="7113" spans="2:23" s="97" customFormat="1">
      <c r="B7113" s="96"/>
      <c r="H7113" s="96"/>
      <c r="J7113" s="1"/>
      <c r="K7113" s="1"/>
      <c r="L7113" s="1"/>
      <c r="O7113" s="475"/>
      <c r="P7113" s="475"/>
      <c r="Q7113" s="475"/>
      <c r="R7113" s="475"/>
      <c r="S7113" s="475"/>
      <c r="T7113" s="475"/>
      <c r="U7113" s="475"/>
      <c r="V7113" s="475"/>
      <c r="W7113" s="475"/>
    </row>
    <row r="7114" spans="2:23" s="97" customFormat="1">
      <c r="B7114" s="96"/>
      <c r="H7114" s="96"/>
      <c r="J7114" s="1"/>
      <c r="K7114" s="1"/>
      <c r="L7114" s="1"/>
      <c r="O7114" s="475"/>
      <c r="P7114" s="475"/>
      <c r="Q7114" s="475"/>
      <c r="R7114" s="475"/>
      <c r="S7114" s="475"/>
      <c r="T7114" s="475"/>
      <c r="U7114" s="475"/>
      <c r="V7114" s="475"/>
      <c r="W7114" s="475"/>
    </row>
    <row r="7115" spans="2:23" s="97" customFormat="1">
      <c r="B7115" s="96"/>
      <c r="H7115" s="96"/>
      <c r="J7115" s="1"/>
      <c r="K7115" s="1"/>
      <c r="L7115" s="1"/>
      <c r="O7115" s="475"/>
      <c r="P7115" s="475"/>
      <c r="Q7115" s="475"/>
      <c r="R7115" s="475"/>
      <c r="S7115" s="475"/>
      <c r="T7115" s="475"/>
      <c r="U7115" s="475"/>
      <c r="V7115" s="475"/>
      <c r="W7115" s="475"/>
    </row>
    <row r="7116" spans="2:23" s="97" customFormat="1">
      <c r="B7116" s="96"/>
      <c r="H7116" s="96"/>
      <c r="J7116" s="1"/>
      <c r="K7116" s="1"/>
      <c r="L7116" s="1"/>
      <c r="O7116" s="475"/>
      <c r="P7116" s="475"/>
      <c r="Q7116" s="475"/>
      <c r="R7116" s="475"/>
      <c r="S7116" s="475"/>
      <c r="T7116" s="475"/>
      <c r="U7116" s="475"/>
      <c r="V7116" s="475"/>
      <c r="W7116" s="475"/>
    </row>
    <row r="7117" spans="2:23" s="97" customFormat="1">
      <c r="B7117" s="96"/>
      <c r="H7117" s="96"/>
      <c r="J7117" s="1"/>
      <c r="K7117" s="1"/>
      <c r="L7117" s="1"/>
      <c r="O7117" s="475"/>
      <c r="P7117" s="475"/>
      <c r="Q7117" s="475"/>
      <c r="R7117" s="475"/>
      <c r="S7117" s="475"/>
      <c r="T7117" s="475"/>
      <c r="U7117" s="475"/>
      <c r="V7117" s="475"/>
      <c r="W7117" s="475"/>
    </row>
    <row r="7118" spans="2:23" s="97" customFormat="1">
      <c r="B7118" s="96"/>
      <c r="H7118" s="96"/>
      <c r="J7118" s="1"/>
      <c r="K7118" s="1"/>
      <c r="L7118" s="1"/>
      <c r="O7118" s="475"/>
      <c r="P7118" s="475"/>
      <c r="Q7118" s="475"/>
      <c r="R7118" s="475"/>
      <c r="S7118" s="475"/>
      <c r="T7118" s="475"/>
      <c r="U7118" s="475"/>
      <c r="V7118" s="475"/>
      <c r="W7118" s="475"/>
    </row>
    <row r="7119" spans="2:23" s="97" customFormat="1">
      <c r="B7119" s="96"/>
      <c r="H7119" s="96"/>
      <c r="J7119" s="1"/>
      <c r="K7119" s="1"/>
      <c r="L7119" s="1"/>
      <c r="O7119" s="475"/>
      <c r="P7119" s="475"/>
      <c r="Q7119" s="475"/>
      <c r="R7119" s="475"/>
      <c r="S7119" s="475"/>
      <c r="T7119" s="475"/>
      <c r="U7119" s="475"/>
      <c r="V7119" s="475"/>
      <c r="W7119" s="475"/>
    </row>
  </sheetData>
  <sheetProtection formatCells="0" formatColumns="0" formatRows="0" insertColumns="0" insertRows="0" deleteColumns="0" deleteRows="0"/>
  <mergeCells count="36">
    <mergeCell ref="J88:J94"/>
    <mergeCell ref="K88:K94"/>
    <mergeCell ref="L88:L94"/>
    <mergeCell ref="M88:M94"/>
    <mergeCell ref="J85:J86"/>
    <mergeCell ref="K85:K86"/>
    <mergeCell ref="L85:L86"/>
    <mergeCell ref="M85:M86"/>
    <mergeCell ref="J106:J109"/>
    <mergeCell ref="K106:K109"/>
    <mergeCell ref="L106:L109"/>
    <mergeCell ref="M106:M109"/>
    <mergeCell ref="J96:J98"/>
    <mergeCell ref="K96:K98"/>
    <mergeCell ref="L96:L98"/>
    <mergeCell ref="M96:M98"/>
    <mergeCell ref="X3:X4"/>
    <mergeCell ref="Y3:Y4"/>
    <mergeCell ref="Z3:Z4"/>
    <mergeCell ref="J4:M4"/>
    <mergeCell ref="O3:O4"/>
    <mergeCell ref="P3:Q3"/>
    <mergeCell ref="R3:V3"/>
    <mergeCell ref="J3:M3"/>
    <mergeCell ref="N3:N4"/>
    <mergeCell ref="M64:M70"/>
    <mergeCell ref="M55:M63"/>
    <mergeCell ref="C5:D5"/>
    <mergeCell ref="E5:F5"/>
    <mergeCell ref="J5:M5"/>
    <mergeCell ref="I3:I4"/>
    <mergeCell ref="B3:B4"/>
    <mergeCell ref="C3:D4"/>
    <mergeCell ref="E3:F4"/>
    <mergeCell ref="G3:G4"/>
    <mergeCell ref="H3:H4"/>
  </mergeCells>
  <pageMargins left="0.15" right="0.15" top="1" bottom="0.25" header="0.3" footer="0.05"/>
  <pageSetup paperSize="9" scale="65" orientation="landscape" horizontalDpi="300" verticalDpi="300" r:id="rId1"/>
  <headerFooter>
    <oddFooter>&amp;A&amp;RPage &amp;P</oddFooter>
  </headerFooter>
  <legacyDrawing r:id="rId2"/>
</worksheet>
</file>

<file path=xl/worksheets/sheet8.xml><?xml version="1.0" encoding="utf-8"?>
<worksheet xmlns="http://schemas.openxmlformats.org/spreadsheetml/2006/main" xmlns:r="http://schemas.openxmlformats.org/officeDocument/2006/relationships">
  <sheetPr>
    <tabColor theme="2" tint="-0.749992370372631"/>
  </sheetPr>
  <dimension ref="A2:AA482"/>
  <sheetViews>
    <sheetView zoomScale="118" zoomScaleNormal="118" zoomScaleSheetLayoutView="80" workbookViewId="0">
      <pane xSplit="2" ySplit="4" topLeftCell="E46" activePane="bottomRight" state="frozen"/>
      <selection activeCell="C10" sqref="C10"/>
      <selection pane="topRight" activeCell="C10" sqref="C10"/>
      <selection pane="bottomLeft" activeCell="C10" sqref="C10"/>
      <selection pane="bottomRight" activeCell="A6" sqref="A6:XFD54"/>
    </sheetView>
  </sheetViews>
  <sheetFormatPr defaultRowHeight="15" customHeight="1"/>
  <cols>
    <col min="1" max="1" width="2.7109375" style="28" customWidth="1"/>
    <col min="2" max="2" width="20.7109375" style="116" customWidth="1"/>
    <col min="3" max="3" width="3.7109375" style="28" customWidth="1"/>
    <col min="4" max="4" width="30.7109375" style="28" customWidth="1"/>
    <col min="5" max="5" width="3.7109375" style="28" customWidth="1"/>
    <col min="6" max="6" width="30.7109375" style="28" customWidth="1"/>
    <col min="7" max="7" width="30.7109375" style="27" customWidth="1"/>
    <col min="8" max="8" width="30.7109375" style="28" customWidth="1"/>
    <col min="9" max="9" width="30.7109375" style="27" customWidth="1"/>
    <col min="10" max="10" width="5.7109375" style="27" customWidth="1"/>
    <col min="11" max="11" width="3.7109375" style="117" customWidth="1"/>
    <col min="12" max="12" width="3.7109375" style="24" customWidth="1"/>
    <col min="13" max="13" width="30.7109375" style="24" customWidth="1"/>
    <col min="14" max="14" width="20.7109375" style="28" customWidth="1"/>
    <col min="15" max="15" width="13" style="28" customWidth="1"/>
    <col min="16" max="16" width="10.7109375" style="28" customWidth="1"/>
    <col min="17" max="19" width="10.7109375" style="24" customWidth="1"/>
    <col min="20" max="21" width="10.7109375" style="28" customWidth="1"/>
    <col min="22" max="23" width="10.7109375" style="117" customWidth="1"/>
    <col min="24" max="24" width="21.28515625" style="118" customWidth="1"/>
    <col min="25" max="25" width="24.28515625" style="28" customWidth="1"/>
    <col min="26" max="26" width="20.7109375" style="28" customWidth="1"/>
    <col min="27" max="249" width="9.140625" style="28"/>
    <col min="250" max="250" width="2.7109375" style="28" customWidth="1"/>
    <col min="251" max="251" width="20.7109375" style="28" customWidth="1"/>
    <col min="252" max="268" width="0" style="28" hidden="1" customWidth="1"/>
    <col min="269" max="269" width="20.7109375" style="28" customWidth="1"/>
    <col min="270" max="270" width="13" style="28" customWidth="1"/>
    <col min="271" max="279" width="10.7109375" style="28" customWidth="1"/>
    <col min="280" max="280" width="21.28515625" style="28" customWidth="1"/>
    <col min="281" max="281" width="24.28515625" style="28" customWidth="1"/>
    <col min="282" max="282" width="20.7109375" style="28" customWidth="1"/>
    <col min="283" max="505" width="9.140625" style="28"/>
    <col min="506" max="506" width="2.7109375" style="28" customWidth="1"/>
    <col min="507" max="507" width="20.7109375" style="28" customWidth="1"/>
    <col min="508" max="524" width="0" style="28" hidden="1" customWidth="1"/>
    <col min="525" max="525" width="20.7109375" style="28" customWidth="1"/>
    <col min="526" max="526" width="13" style="28" customWidth="1"/>
    <col min="527" max="535" width="10.7109375" style="28" customWidth="1"/>
    <col min="536" max="536" width="21.28515625" style="28" customWidth="1"/>
    <col min="537" max="537" width="24.28515625" style="28" customWidth="1"/>
    <col min="538" max="538" width="20.7109375" style="28" customWidth="1"/>
    <col min="539" max="761" width="9.140625" style="28"/>
    <col min="762" max="762" width="2.7109375" style="28" customWidth="1"/>
    <col min="763" max="763" width="20.7109375" style="28" customWidth="1"/>
    <col min="764" max="780" width="0" style="28" hidden="1" customWidth="1"/>
    <col min="781" max="781" width="20.7109375" style="28" customWidth="1"/>
    <col min="782" max="782" width="13" style="28" customWidth="1"/>
    <col min="783" max="791" width="10.7109375" style="28" customWidth="1"/>
    <col min="792" max="792" width="21.28515625" style="28" customWidth="1"/>
    <col min="793" max="793" width="24.28515625" style="28" customWidth="1"/>
    <col min="794" max="794" width="20.7109375" style="28" customWidth="1"/>
    <col min="795" max="1017" width="9.140625" style="28"/>
    <col min="1018" max="1018" width="2.7109375" style="28" customWidth="1"/>
    <col min="1019" max="1019" width="20.7109375" style="28" customWidth="1"/>
    <col min="1020" max="1036" width="0" style="28" hidden="1" customWidth="1"/>
    <col min="1037" max="1037" width="20.7109375" style="28" customWidth="1"/>
    <col min="1038" max="1038" width="13" style="28" customWidth="1"/>
    <col min="1039" max="1047" width="10.7109375" style="28" customWidth="1"/>
    <col min="1048" max="1048" width="21.28515625" style="28" customWidth="1"/>
    <col min="1049" max="1049" width="24.28515625" style="28" customWidth="1"/>
    <col min="1050" max="1050" width="20.7109375" style="28" customWidth="1"/>
    <col min="1051" max="1273" width="9.140625" style="28"/>
    <col min="1274" max="1274" width="2.7109375" style="28" customWidth="1"/>
    <col min="1275" max="1275" width="20.7109375" style="28" customWidth="1"/>
    <col min="1276" max="1292" width="0" style="28" hidden="1" customWidth="1"/>
    <col min="1293" max="1293" width="20.7109375" style="28" customWidth="1"/>
    <col min="1294" max="1294" width="13" style="28" customWidth="1"/>
    <col min="1295" max="1303" width="10.7109375" style="28" customWidth="1"/>
    <col min="1304" max="1304" width="21.28515625" style="28" customWidth="1"/>
    <col min="1305" max="1305" width="24.28515625" style="28" customWidth="1"/>
    <col min="1306" max="1306" width="20.7109375" style="28" customWidth="1"/>
    <col min="1307" max="1529" width="9.140625" style="28"/>
    <col min="1530" max="1530" width="2.7109375" style="28" customWidth="1"/>
    <col min="1531" max="1531" width="20.7109375" style="28" customWidth="1"/>
    <col min="1532" max="1548" width="0" style="28" hidden="1" customWidth="1"/>
    <col min="1549" max="1549" width="20.7109375" style="28" customWidth="1"/>
    <col min="1550" max="1550" width="13" style="28" customWidth="1"/>
    <col min="1551" max="1559" width="10.7109375" style="28" customWidth="1"/>
    <col min="1560" max="1560" width="21.28515625" style="28" customWidth="1"/>
    <col min="1561" max="1561" width="24.28515625" style="28" customWidth="1"/>
    <col min="1562" max="1562" width="20.7109375" style="28" customWidth="1"/>
    <col min="1563" max="1785" width="9.140625" style="28"/>
    <col min="1786" max="1786" width="2.7109375" style="28" customWidth="1"/>
    <col min="1787" max="1787" width="20.7109375" style="28" customWidth="1"/>
    <col min="1788" max="1804" width="0" style="28" hidden="1" customWidth="1"/>
    <col min="1805" max="1805" width="20.7109375" style="28" customWidth="1"/>
    <col min="1806" max="1806" width="13" style="28" customWidth="1"/>
    <col min="1807" max="1815" width="10.7109375" style="28" customWidth="1"/>
    <col min="1816" max="1816" width="21.28515625" style="28" customWidth="1"/>
    <col min="1817" max="1817" width="24.28515625" style="28" customWidth="1"/>
    <col min="1818" max="1818" width="20.7109375" style="28" customWidth="1"/>
    <col min="1819" max="2041" width="9.140625" style="28"/>
    <col min="2042" max="2042" width="2.7109375" style="28" customWidth="1"/>
    <col min="2043" max="2043" width="20.7109375" style="28" customWidth="1"/>
    <col min="2044" max="2060" width="0" style="28" hidden="1" customWidth="1"/>
    <col min="2061" max="2061" width="20.7109375" style="28" customWidth="1"/>
    <col min="2062" max="2062" width="13" style="28" customWidth="1"/>
    <col min="2063" max="2071" width="10.7109375" style="28" customWidth="1"/>
    <col min="2072" max="2072" width="21.28515625" style="28" customWidth="1"/>
    <col min="2073" max="2073" width="24.28515625" style="28" customWidth="1"/>
    <col min="2074" max="2074" width="20.7109375" style="28" customWidth="1"/>
    <col min="2075" max="2297" width="9.140625" style="28"/>
    <col min="2298" max="2298" width="2.7109375" style="28" customWidth="1"/>
    <col min="2299" max="2299" width="20.7109375" style="28" customWidth="1"/>
    <col min="2300" max="2316" width="0" style="28" hidden="1" customWidth="1"/>
    <col min="2317" max="2317" width="20.7109375" style="28" customWidth="1"/>
    <col min="2318" max="2318" width="13" style="28" customWidth="1"/>
    <col min="2319" max="2327" width="10.7109375" style="28" customWidth="1"/>
    <col min="2328" max="2328" width="21.28515625" style="28" customWidth="1"/>
    <col min="2329" max="2329" width="24.28515625" style="28" customWidth="1"/>
    <col min="2330" max="2330" width="20.7109375" style="28" customWidth="1"/>
    <col min="2331" max="2553" width="9.140625" style="28"/>
    <col min="2554" max="2554" width="2.7109375" style="28" customWidth="1"/>
    <col min="2555" max="2555" width="20.7109375" style="28" customWidth="1"/>
    <col min="2556" max="2572" width="0" style="28" hidden="1" customWidth="1"/>
    <col min="2573" max="2573" width="20.7109375" style="28" customWidth="1"/>
    <col min="2574" max="2574" width="13" style="28" customWidth="1"/>
    <col min="2575" max="2583" width="10.7109375" style="28" customWidth="1"/>
    <col min="2584" max="2584" width="21.28515625" style="28" customWidth="1"/>
    <col min="2585" max="2585" width="24.28515625" style="28" customWidth="1"/>
    <col min="2586" max="2586" width="20.7109375" style="28" customWidth="1"/>
    <col min="2587" max="2809" width="9.140625" style="28"/>
    <col min="2810" max="2810" width="2.7109375" style="28" customWidth="1"/>
    <col min="2811" max="2811" width="20.7109375" style="28" customWidth="1"/>
    <col min="2812" max="2828" width="0" style="28" hidden="1" customWidth="1"/>
    <col min="2829" max="2829" width="20.7109375" style="28" customWidth="1"/>
    <col min="2830" max="2830" width="13" style="28" customWidth="1"/>
    <col min="2831" max="2839" width="10.7109375" style="28" customWidth="1"/>
    <col min="2840" max="2840" width="21.28515625" style="28" customWidth="1"/>
    <col min="2841" max="2841" width="24.28515625" style="28" customWidth="1"/>
    <col min="2842" max="2842" width="20.7109375" style="28" customWidth="1"/>
    <col min="2843" max="3065" width="9.140625" style="28"/>
    <col min="3066" max="3066" width="2.7109375" style="28" customWidth="1"/>
    <col min="3067" max="3067" width="20.7109375" style="28" customWidth="1"/>
    <col min="3068" max="3084" width="0" style="28" hidden="1" customWidth="1"/>
    <col min="3085" max="3085" width="20.7109375" style="28" customWidth="1"/>
    <col min="3086" max="3086" width="13" style="28" customWidth="1"/>
    <col min="3087" max="3095" width="10.7109375" style="28" customWidth="1"/>
    <col min="3096" max="3096" width="21.28515625" style="28" customWidth="1"/>
    <col min="3097" max="3097" width="24.28515625" style="28" customWidth="1"/>
    <col min="3098" max="3098" width="20.7109375" style="28" customWidth="1"/>
    <col min="3099" max="3321" width="9.140625" style="28"/>
    <col min="3322" max="3322" width="2.7109375" style="28" customWidth="1"/>
    <col min="3323" max="3323" width="20.7109375" style="28" customWidth="1"/>
    <col min="3324" max="3340" width="0" style="28" hidden="1" customWidth="1"/>
    <col min="3341" max="3341" width="20.7109375" style="28" customWidth="1"/>
    <col min="3342" max="3342" width="13" style="28" customWidth="1"/>
    <col min="3343" max="3351" width="10.7109375" style="28" customWidth="1"/>
    <col min="3352" max="3352" width="21.28515625" style="28" customWidth="1"/>
    <col min="3353" max="3353" width="24.28515625" style="28" customWidth="1"/>
    <col min="3354" max="3354" width="20.7109375" style="28" customWidth="1"/>
    <col min="3355" max="3577" width="9.140625" style="28"/>
    <col min="3578" max="3578" width="2.7109375" style="28" customWidth="1"/>
    <col min="3579" max="3579" width="20.7109375" style="28" customWidth="1"/>
    <col min="3580" max="3596" width="0" style="28" hidden="1" customWidth="1"/>
    <col min="3597" max="3597" width="20.7109375" style="28" customWidth="1"/>
    <col min="3598" max="3598" width="13" style="28" customWidth="1"/>
    <col min="3599" max="3607" width="10.7109375" style="28" customWidth="1"/>
    <col min="3608" max="3608" width="21.28515625" style="28" customWidth="1"/>
    <col min="3609" max="3609" width="24.28515625" style="28" customWidth="1"/>
    <col min="3610" max="3610" width="20.7109375" style="28" customWidth="1"/>
    <col min="3611" max="3833" width="9.140625" style="28"/>
    <col min="3834" max="3834" width="2.7109375" style="28" customWidth="1"/>
    <col min="3835" max="3835" width="20.7109375" style="28" customWidth="1"/>
    <col min="3836" max="3852" width="0" style="28" hidden="1" customWidth="1"/>
    <col min="3853" max="3853" width="20.7109375" style="28" customWidth="1"/>
    <col min="3854" max="3854" width="13" style="28" customWidth="1"/>
    <col min="3855" max="3863" width="10.7109375" style="28" customWidth="1"/>
    <col min="3864" max="3864" width="21.28515625" style="28" customWidth="1"/>
    <col min="3865" max="3865" width="24.28515625" style="28" customWidth="1"/>
    <col min="3866" max="3866" width="20.7109375" style="28" customWidth="1"/>
    <col min="3867" max="4089" width="9.140625" style="28"/>
    <col min="4090" max="4090" width="2.7109375" style="28" customWidth="1"/>
    <col min="4091" max="4091" width="20.7109375" style="28" customWidth="1"/>
    <col min="4092" max="4108" width="0" style="28" hidden="1" customWidth="1"/>
    <col min="4109" max="4109" width="20.7109375" style="28" customWidth="1"/>
    <col min="4110" max="4110" width="13" style="28" customWidth="1"/>
    <col min="4111" max="4119" width="10.7109375" style="28" customWidth="1"/>
    <col min="4120" max="4120" width="21.28515625" style="28" customWidth="1"/>
    <col min="4121" max="4121" width="24.28515625" style="28" customWidth="1"/>
    <col min="4122" max="4122" width="20.7109375" style="28" customWidth="1"/>
    <col min="4123" max="4345" width="9.140625" style="28"/>
    <col min="4346" max="4346" width="2.7109375" style="28" customWidth="1"/>
    <col min="4347" max="4347" width="20.7109375" style="28" customWidth="1"/>
    <col min="4348" max="4364" width="0" style="28" hidden="1" customWidth="1"/>
    <col min="4365" max="4365" width="20.7109375" style="28" customWidth="1"/>
    <col min="4366" max="4366" width="13" style="28" customWidth="1"/>
    <col min="4367" max="4375" width="10.7109375" style="28" customWidth="1"/>
    <col min="4376" max="4376" width="21.28515625" style="28" customWidth="1"/>
    <col min="4377" max="4377" width="24.28515625" style="28" customWidth="1"/>
    <col min="4378" max="4378" width="20.7109375" style="28" customWidth="1"/>
    <col min="4379" max="4601" width="9.140625" style="28"/>
    <col min="4602" max="4602" width="2.7109375" style="28" customWidth="1"/>
    <col min="4603" max="4603" width="20.7109375" style="28" customWidth="1"/>
    <col min="4604" max="4620" width="0" style="28" hidden="1" customWidth="1"/>
    <col min="4621" max="4621" width="20.7109375" style="28" customWidth="1"/>
    <col min="4622" max="4622" width="13" style="28" customWidth="1"/>
    <col min="4623" max="4631" width="10.7109375" style="28" customWidth="1"/>
    <col min="4632" max="4632" width="21.28515625" style="28" customWidth="1"/>
    <col min="4633" max="4633" width="24.28515625" style="28" customWidth="1"/>
    <col min="4634" max="4634" width="20.7109375" style="28" customWidth="1"/>
    <col min="4635" max="4857" width="9.140625" style="28"/>
    <col min="4858" max="4858" width="2.7109375" style="28" customWidth="1"/>
    <col min="4859" max="4859" width="20.7109375" style="28" customWidth="1"/>
    <col min="4860" max="4876" width="0" style="28" hidden="1" customWidth="1"/>
    <col min="4877" max="4877" width="20.7109375" style="28" customWidth="1"/>
    <col min="4878" max="4878" width="13" style="28" customWidth="1"/>
    <col min="4879" max="4887" width="10.7109375" style="28" customWidth="1"/>
    <col min="4888" max="4888" width="21.28515625" style="28" customWidth="1"/>
    <col min="4889" max="4889" width="24.28515625" style="28" customWidth="1"/>
    <col min="4890" max="4890" width="20.7109375" style="28" customWidth="1"/>
    <col min="4891" max="5113" width="9.140625" style="28"/>
    <col min="5114" max="5114" width="2.7109375" style="28" customWidth="1"/>
    <col min="5115" max="5115" width="20.7109375" style="28" customWidth="1"/>
    <col min="5116" max="5132" width="0" style="28" hidden="1" customWidth="1"/>
    <col min="5133" max="5133" width="20.7109375" style="28" customWidth="1"/>
    <col min="5134" max="5134" width="13" style="28" customWidth="1"/>
    <col min="5135" max="5143" width="10.7109375" style="28" customWidth="1"/>
    <col min="5144" max="5144" width="21.28515625" style="28" customWidth="1"/>
    <col min="5145" max="5145" width="24.28515625" style="28" customWidth="1"/>
    <col min="5146" max="5146" width="20.7109375" style="28" customWidth="1"/>
    <col min="5147" max="5369" width="9.140625" style="28"/>
    <col min="5370" max="5370" width="2.7109375" style="28" customWidth="1"/>
    <col min="5371" max="5371" width="20.7109375" style="28" customWidth="1"/>
    <col min="5372" max="5388" width="0" style="28" hidden="1" customWidth="1"/>
    <col min="5389" max="5389" width="20.7109375" style="28" customWidth="1"/>
    <col min="5390" max="5390" width="13" style="28" customWidth="1"/>
    <col min="5391" max="5399" width="10.7109375" style="28" customWidth="1"/>
    <col min="5400" max="5400" width="21.28515625" style="28" customWidth="1"/>
    <col min="5401" max="5401" width="24.28515625" style="28" customWidth="1"/>
    <col min="5402" max="5402" width="20.7109375" style="28" customWidth="1"/>
    <col min="5403" max="5625" width="9.140625" style="28"/>
    <col min="5626" max="5626" width="2.7109375" style="28" customWidth="1"/>
    <col min="5627" max="5627" width="20.7109375" style="28" customWidth="1"/>
    <col min="5628" max="5644" width="0" style="28" hidden="1" customWidth="1"/>
    <col min="5645" max="5645" width="20.7109375" style="28" customWidth="1"/>
    <col min="5646" max="5646" width="13" style="28" customWidth="1"/>
    <col min="5647" max="5655" width="10.7109375" style="28" customWidth="1"/>
    <col min="5656" max="5656" width="21.28515625" style="28" customWidth="1"/>
    <col min="5657" max="5657" width="24.28515625" style="28" customWidth="1"/>
    <col min="5658" max="5658" width="20.7109375" style="28" customWidth="1"/>
    <col min="5659" max="5881" width="9.140625" style="28"/>
    <col min="5882" max="5882" width="2.7109375" style="28" customWidth="1"/>
    <col min="5883" max="5883" width="20.7109375" style="28" customWidth="1"/>
    <col min="5884" max="5900" width="0" style="28" hidden="1" customWidth="1"/>
    <col min="5901" max="5901" width="20.7109375" style="28" customWidth="1"/>
    <col min="5902" max="5902" width="13" style="28" customWidth="1"/>
    <col min="5903" max="5911" width="10.7109375" style="28" customWidth="1"/>
    <col min="5912" max="5912" width="21.28515625" style="28" customWidth="1"/>
    <col min="5913" max="5913" width="24.28515625" style="28" customWidth="1"/>
    <col min="5914" max="5914" width="20.7109375" style="28" customWidth="1"/>
    <col min="5915" max="6137" width="9.140625" style="28"/>
    <col min="6138" max="6138" width="2.7109375" style="28" customWidth="1"/>
    <col min="6139" max="6139" width="20.7109375" style="28" customWidth="1"/>
    <col min="6140" max="6156" width="0" style="28" hidden="1" customWidth="1"/>
    <col min="6157" max="6157" width="20.7109375" style="28" customWidth="1"/>
    <col min="6158" max="6158" width="13" style="28" customWidth="1"/>
    <col min="6159" max="6167" width="10.7109375" style="28" customWidth="1"/>
    <col min="6168" max="6168" width="21.28515625" style="28" customWidth="1"/>
    <col min="6169" max="6169" width="24.28515625" style="28" customWidth="1"/>
    <col min="6170" max="6170" width="20.7109375" style="28" customWidth="1"/>
    <col min="6171" max="6393" width="9.140625" style="28"/>
    <col min="6394" max="6394" width="2.7109375" style="28" customWidth="1"/>
    <col min="6395" max="6395" width="20.7109375" style="28" customWidth="1"/>
    <col min="6396" max="6412" width="0" style="28" hidden="1" customWidth="1"/>
    <col min="6413" max="6413" width="20.7109375" style="28" customWidth="1"/>
    <col min="6414" max="6414" width="13" style="28" customWidth="1"/>
    <col min="6415" max="6423" width="10.7109375" style="28" customWidth="1"/>
    <col min="6424" max="6424" width="21.28515625" style="28" customWidth="1"/>
    <col min="6425" max="6425" width="24.28515625" style="28" customWidth="1"/>
    <col min="6426" max="6426" width="20.7109375" style="28" customWidth="1"/>
    <col min="6427" max="6649" width="9.140625" style="28"/>
    <col min="6650" max="6650" width="2.7109375" style="28" customWidth="1"/>
    <col min="6651" max="6651" width="20.7109375" style="28" customWidth="1"/>
    <col min="6652" max="6668" width="0" style="28" hidden="1" customWidth="1"/>
    <col min="6669" max="6669" width="20.7109375" style="28" customWidth="1"/>
    <col min="6670" max="6670" width="13" style="28" customWidth="1"/>
    <col min="6671" max="6679" width="10.7109375" style="28" customWidth="1"/>
    <col min="6680" max="6680" width="21.28515625" style="28" customWidth="1"/>
    <col min="6681" max="6681" width="24.28515625" style="28" customWidth="1"/>
    <col min="6682" max="6682" width="20.7109375" style="28" customWidth="1"/>
    <col min="6683" max="6905" width="9.140625" style="28"/>
    <col min="6906" max="6906" width="2.7109375" style="28" customWidth="1"/>
    <col min="6907" max="6907" width="20.7109375" style="28" customWidth="1"/>
    <col min="6908" max="6924" width="0" style="28" hidden="1" customWidth="1"/>
    <col min="6925" max="6925" width="20.7109375" style="28" customWidth="1"/>
    <col min="6926" max="6926" width="13" style="28" customWidth="1"/>
    <col min="6927" max="6935" width="10.7109375" style="28" customWidth="1"/>
    <col min="6936" max="6936" width="21.28515625" style="28" customWidth="1"/>
    <col min="6937" max="6937" width="24.28515625" style="28" customWidth="1"/>
    <col min="6938" max="6938" width="20.7109375" style="28" customWidth="1"/>
    <col min="6939" max="7161" width="9.140625" style="28"/>
    <col min="7162" max="7162" width="2.7109375" style="28" customWidth="1"/>
    <col min="7163" max="7163" width="20.7109375" style="28" customWidth="1"/>
    <col min="7164" max="7180" width="0" style="28" hidden="1" customWidth="1"/>
    <col min="7181" max="7181" width="20.7109375" style="28" customWidth="1"/>
    <col min="7182" max="7182" width="13" style="28" customWidth="1"/>
    <col min="7183" max="7191" width="10.7109375" style="28" customWidth="1"/>
    <col min="7192" max="7192" width="21.28515625" style="28" customWidth="1"/>
    <col min="7193" max="7193" width="24.28515625" style="28" customWidth="1"/>
    <col min="7194" max="7194" width="20.7109375" style="28" customWidth="1"/>
    <col min="7195" max="7417" width="9.140625" style="28"/>
    <col min="7418" max="7418" width="2.7109375" style="28" customWidth="1"/>
    <col min="7419" max="7419" width="20.7109375" style="28" customWidth="1"/>
    <col min="7420" max="7436" width="0" style="28" hidden="1" customWidth="1"/>
    <col min="7437" max="7437" width="20.7109375" style="28" customWidth="1"/>
    <col min="7438" max="7438" width="13" style="28" customWidth="1"/>
    <col min="7439" max="7447" width="10.7109375" style="28" customWidth="1"/>
    <col min="7448" max="7448" width="21.28515625" style="28" customWidth="1"/>
    <col min="7449" max="7449" width="24.28515625" style="28" customWidth="1"/>
    <col min="7450" max="7450" width="20.7109375" style="28" customWidth="1"/>
    <col min="7451" max="7673" width="9.140625" style="28"/>
    <col min="7674" max="7674" width="2.7109375" style="28" customWidth="1"/>
    <col min="7675" max="7675" width="20.7109375" style="28" customWidth="1"/>
    <col min="7676" max="7692" width="0" style="28" hidden="1" customWidth="1"/>
    <col min="7693" max="7693" width="20.7109375" style="28" customWidth="1"/>
    <col min="7694" max="7694" width="13" style="28" customWidth="1"/>
    <col min="7695" max="7703" width="10.7109375" style="28" customWidth="1"/>
    <col min="7704" max="7704" width="21.28515625" style="28" customWidth="1"/>
    <col min="7705" max="7705" width="24.28515625" style="28" customWidth="1"/>
    <col min="7706" max="7706" width="20.7109375" style="28" customWidth="1"/>
    <col min="7707" max="7929" width="9.140625" style="28"/>
    <col min="7930" max="7930" width="2.7109375" style="28" customWidth="1"/>
    <col min="7931" max="7931" width="20.7109375" style="28" customWidth="1"/>
    <col min="7932" max="7948" width="0" style="28" hidden="1" customWidth="1"/>
    <col min="7949" max="7949" width="20.7109375" style="28" customWidth="1"/>
    <col min="7950" max="7950" width="13" style="28" customWidth="1"/>
    <col min="7951" max="7959" width="10.7109375" style="28" customWidth="1"/>
    <col min="7960" max="7960" width="21.28515625" style="28" customWidth="1"/>
    <col min="7961" max="7961" width="24.28515625" style="28" customWidth="1"/>
    <col min="7962" max="7962" width="20.7109375" style="28" customWidth="1"/>
    <col min="7963" max="8185" width="9.140625" style="28"/>
    <col min="8186" max="8186" width="2.7109375" style="28" customWidth="1"/>
    <col min="8187" max="8187" width="20.7109375" style="28" customWidth="1"/>
    <col min="8188" max="8204" width="0" style="28" hidden="1" customWidth="1"/>
    <col min="8205" max="8205" width="20.7109375" style="28" customWidth="1"/>
    <col min="8206" max="8206" width="13" style="28" customWidth="1"/>
    <col min="8207" max="8215" width="10.7109375" style="28" customWidth="1"/>
    <col min="8216" max="8216" width="21.28515625" style="28" customWidth="1"/>
    <col min="8217" max="8217" width="24.28515625" style="28" customWidth="1"/>
    <col min="8218" max="8218" width="20.7109375" style="28" customWidth="1"/>
    <col min="8219" max="8441" width="9.140625" style="28"/>
    <col min="8442" max="8442" width="2.7109375" style="28" customWidth="1"/>
    <col min="8443" max="8443" width="20.7109375" style="28" customWidth="1"/>
    <col min="8444" max="8460" width="0" style="28" hidden="1" customWidth="1"/>
    <col min="8461" max="8461" width="20.7109375" style="28" customWidth="1"/>
    <col min="8462" max="8462" width="13" style="28" customWidth="1"/>
    <col min="8463" max="8471" width="10.7109375" style="28" customWidth="1"/>
    <col min="8472" max="8472" width="21.28515625" style="28" customWidth="1"/>
    <col min="8473" max="8473" width="24.28515625" style="28" customWidth="1"/>
    <col min="8474" max="8474" width="20.7109375" style="28" customWidth="1"/>
    <col min="8475" max="8697" width="9.140625" style="28"/>
    <col min="8698" max="8698" width="2.7109375" style="28" customWidth="1"/>
    <col min="8699" max="8699" width="20.7109375" style="28" customWidth="1"/>
    <col min="8700" max="8716" width="0" style="28" hidden="1" customWidth="1"/>
    <col min="8717" max="8717" width="20.7109375" style="28" customWidth="1"/>
    <col min="8718" max="8718" width="13" style="28" customWidth="1"/>
    <col min="8719" max="8727" width="10.7109375" style="28" customWidth="1"/>
    <col min="8728" max="8728" width="21.28515625" style="28" customWidth="1"/>
    <col min="8729" max="8729" width="24.28515625" style="28" customWidth="1"/>
    <col min="8730" max="8730" width="20.7109375" style="28" customWidth="1"/>
    <col min="8731" max="8953" width="9.140625" style="28"/>
    <col min="8954" max="8954" width="2.7109375" style="28" customWidth="1"/>
    <col min="8955" max="8955" width="20.7109375" style="28" customWidth="1"/>
    <col min="8956" max="8972" width="0" style="28" hidden="1" customWidth="1"/>
    <col min="8973" max="8973" width="20.7109375" style="28" customWidth="1"/>
    <col min="8974" max="8974" width="13" style="28" customWidth="1"/>
    <col min="8975" max="8983" width="10.7109375" style="28" customWidth="1"/>
    <col min="8984" max="8984" width="21.28515625" style="28" customWidth="1"/>
    <col min="8985" max="8985" width="24.28515625" style="28" customWidth="1"/>
    <col min="8986" max="8986" width="20.7109375" style="28" customWidth="1"/>
    <col min="8987" max="9209" width="9.140625" style="28"/>
    <col min="9210" max="9210" width="2.7109375" style="28" customWidth="1"/>
    <col min="9211" max="9211" width="20.7109375" style="28" customWidth="1"/>
    <col min="9212" max="9228" width="0" style="28" hidden="1" customWidth="1"/>
    <col min="9229" max="9229" width="20.7109375" style="28" customWidth="1"/>
    <col min="9230" max="9230" width="13" style="28" customWidth="1"/>
    <col min="9231" max="9239" width="10.7109375" style="28" customWidth="1"/>
    <col min="9240" max="9240" width="21.28515625" style="28" customWidth="1"/>
    <col min="9241" max="9241" width="24.28515625" style="28" customWidth="1"/>
    <col min="9242" max="9242" width="20.7109375" style="28" customWidth="1"/>
    <col min="9243" max="9465" width="9.140625" style="28"/>
    <col min="9466" max="9466" width="2.7109375" style="28" customWidth="1"/>
    <col min="9467" max="9467" width="20.7109375" style="28" customWidth="1"/>
    <col min="9468" max="9484" width="0" style="28" hidden="1" customWidth="1"/>
    <col min="9485" max="9485" width="20.7109375" style="28" customWidth="1"/>
    <col min="9486" max="9486" width="13" style="28" customWidth="1"/>
    <col min="9487" max="9495" width="10.7109375" style="28" customWidth="1"/>
    <col min="9496" max="9496" width="21.28515625" style="28" customWidth="1"/>
    <col min="9497" max="9497" width="24.28515625" style="28" customWidth="1"/>
    <col min="9498" max="9498" width="20.7109375" style="28" customWidth="1"/>
    <col min="9499" max="9721" width="9.140625" style="28"/>
    <col min="9722" max="9722" width="2.7109375" style="28" customWidth="1"/>
    <col min="9723" max="9723" width="20.7109375" style="28" customWidth="1"/>
    <col min="9724" max="9740" width="0" style="28" hidden="1" customWidth="1"/>
    <col min="9741" max="9741" width="20.7109375" style="28" customWidth="1"/>
    <col min="9742" max="9742" width="13" style="28" customWidth="1"/>
    <col min="9743" max="9751" width="10.7109375" style="28" customWidth="1"/>
    <col min="9752" max="9752" width="21.28515625" style="28" customWidth="1"/>
    <col min="9753" max="9753" width="24.28515625" style="28" customWidth="1"/>
    <col min="9754" max="9754" width="20.7109375" style="28" customWidth="1"/>
    <col min="9755" max="9977" width="9.140625" style="28"/>
    <col min="9978" max="9978" width="2.7109375" style="28" customWidth="1"/>
    <col min="9979" max="9979" width="20.7109375" style="28" customWidth="1"/>
    <col min="9980" max="9996" width="0" style="28" hidden="1" customWidth="1"/>
    <col min="9997" max="9997" width="20.7109375" style="28" customWidth="1"/>
    <col min="9998" max="9998" width="13" style="28" customWidth="1"/>
    <col min="9999" max="10007" width="10.7109375" style="28" customWidth="1"/>
    <col min="10008" max="10008" width="21.28515625" style="28" customWidth="1"/>
    <col min="10009" max="10009" width="24.28515625" style="28" customWidth="1"/>
    <col min="10010" max="10010" width="20.7109375" style="28" customWidth="1"/>
    <col min="10011" max="10233" width="9.140625" style="28"/>
    <col min="10234" max="10234" width="2.7109375" style="28" customWidth="1"/>
    <col min="10235" max="10235" width="20.7109375" style="28" customWidth="1"/>
    <col min="10236" max="10252" width="0" style="28" hidden="1" customWidth="1"/>
    <col min="10253" max="10253" width="20.7109375" style="28" customWidth="1"/>
    <col min="10254" max="10254" width="13" style="28" customWidth="1"/>
    <col min="10255" max="10263" width="10.7109375" style="28" customWidth="1"/>
    <col min="10264" max="10264" width="21.28515625" style="28" customWidth="1"/>
    <col min="10265" max="10265" width="24.28515625" style="28" customWidth="1"/>
    <col min="10266" max="10266" width="20.7109375" style="28" customWidth="1"/>
    <col min="10267" max="10489" width="9.140625" style="28"/>
    <col min="10490" max="10490" width="2.7109375" style="28" customWidth="1"/>
    <col min="10491" max="10491" width="20.7109375" style="28" customWidth="1"/>
    <col min="10492" max="10508" width="0" style="28" hidden="1" customWidth="1"/>
    <col min="10509" max="10509" width="20.7109375" style="28" customWidth="1"/>
    <col min="10510" max="10510" width="13" style="28" customWidth="1"/>
    <col min="10511" max="10519" width="10.7109375" style="28" customWidth="1"/>
    <col min="10520" max="10520" width="21.28515625" style="28" customWidth="1"/>
    <col min="10521" max="10521" width="24.28515625" style="28" customWidth="1"/>
    <col min="10522" max="10522" width="20.7109375" style="28" customWidth="1"/>
    <col min="10523" max="10745" width="9.140625" style="28"/>
    <col min="10746" max="10746" width="2.7109375" style="28" customWidth="1"/>
    <col min="10747" max="10747" width="20.7109375" style="28" customWidth="1"/>
    <col min="10748" max="10764" width="0" style="28" hidden="1" customWidth="1"/>
    <col min="10765" max="10765" width="20.7109375" style="28" customWidth="1"/>
    <col min="10766" max="10766" width="13" style="28" customWidth="1"/>
    <col min="10767" max="10775" width="10.7109375" style="28" customWidth="1"/>
    <col min="10776" max="10776" width="21.28515625" style="28" customWidth="1"/>
    <col min="10777" max="10777" width="24.28515625" style="28" customWidth="1"/>
    <col min="10778" max="10778" width="20.7109375" style="28" customWidth="1"/>
    <col min="10779" max="11001" width="9.140625" style="28"/>
    <col min="11002" max="11002" width="2.7109375" style="28" customWidth="1"/>
    <col min="11003" max="11003" width="20.7109375" style="28" customWidth="1"/>
    <col min="11004" max="11020" width="0" style="28" hidden="1" customWidth="1"/>
    <col min="11021" max="11021" width="20.7109375" style="28" customWidth="1"/>
    <col min="11022" max="11022" width="13" style="28" customWidth="1"/>
    <col min="11023" max="11031" width="10.7109375" style="28" customWidth="1"/>
    <col min="11032" max="11032" width="21.28515625" style="28" customWidth="1"/>
    <col min="11033" max="11033" width="24.28515625" style="28" customWidth="1"/>
    <col min="11034" max="11034" width="20.7109375" style="28" customWidth="1"/>
    <col min="11035" max="11257" width="9.140625" style="28"/>
    <col min="11258" max="11258" width="2.7109375" style="28" customWidth="1"/>
    <col min="11259" max="11259" width="20.7109375" style="28" customWidth="1"/>
    <col min="11260" max="11276" width="0" style="28" hidden="1" customWidth="1"/>
    <col min="11277" max="11277" width="20.7109375" style="28" customWidth="1"/>
    <col min="11278" max="11278" width="13" style="28" customWidth="1"/>
    <col min="11279" max="11287" width="10.7109375" style="28" customWidth="1"/>
    <col min="11288" max="11288" width="21.28515625" style="28" customWidth="1"/>
    <col min="11289" max="11289" width="24.28515625" style="28" customWidth="1"/>
    <col min="11290" max="11290" width="20.7109375" style="28" customWidth="1"/>
    <col min="11291" max="11513" width="9.140625" style="28"/>
    <col min="11514" max="11514" width="2.7109375" style="28" customWidth="1"/>
    <col min="11515" max="11515" width="20.7109375" style="28" customWidth="1"/>
    <col min="11516" max="11532" width="0" style="28" hidden="1" customWidth="1"/>
    <col min="11533" max="11533" width="20.7109375" style="28" customWidth="1"/>
    <col min="11534" max="11534" width="13" style="28" customWidth="1"/>
    <col min="11535" max="11543" width="10.7109375" style="28" customWidth="1"/>
    <col min="11544" max="11544" width="21.28515625" style="28" customWidth="1"/>
    <col min="11545" max="11545" width="24.28515625" style="28" customWidth="1"/>
    <col min="11546" max="11546" width="20.7109375" style="28" customWidth="1"/>
    <col min="11547" max="11769" width="9.140625" style="28"/>
    <col min="11770" max="11770" width="2.7109375" style="28" customWidth="1"/>
    <col min="11771" max="11771" width="20.7109375" style="28" customWidth="1"/>
    <col min="11772" max="11788" width="0" style="28" hidden="1" customWidth="1"/>
    <col min="11789" max="11789" width="20.7109375" style="28" customWidth="1"/>
    <col min="11790" max="11790" width="13" style="28" customWidth="1"/>
    <col min="11791" max="11799" width="10.7109375" style="28" customWidth="1"/>
    <col min="11800" max="11800" width="21.28515625" style="28" customWidth="1"/>
    <col min="11801" max="11801" width="24.28515625" style="28" customWidth="1"/>
    <col min="11802" max="11802" width="20.7109375" style="28" customWidth="1"/>
    <col min="11803" max="12025" width="9.140625" style="28"/>
    <col min="12026" max="12026" width="2.7109375" style="28" customWidth="1"/>
    <col min="12027" max="12027" width="20.7109375" style="28" customWidth="1"/>
    <col min="12028" max="12044" width="0" style="28" hidden="1" customWidth="1"/>
    <col min="12045" max="12045" width="20.7109375" style="28" customWidth="1"/>
    <col min="12046" max="12046" width="13" style="28" customWidth="1"/>
    <col min="12047" max="12055" width="10.7109375" style="28" customWidth="1"/>
    <col min="12056" max="12056" width="21.28515625" style="28" customWidth="1"/>
    <col min="12057" max="12057" width="24.28515625" style="28" customWidth="1"/>
    <col min="12058" max="12058" width="20.7109375" style="28" customWidth="1"/>
    <col min="12059" max="12281" width="9.140625" style="28"/>
    <col min="12282" max="12282" width="2.7109375" style="28" customWidth="1"/>
    <col min="12283" max="12283" width="20.7109375" style="28" customWidth="1"/>
    <col min="12284" max="12300" width="0" style="28" hidden="1" customWidth="1"/>
    <col min="12301" max="12301" width="20.7109375" style="28" customWidth="1"/>
    <col min="12302" max="12302" width="13" style="28" customWidth="1"/>
    <col min="12303" max="12311" width="10.7109375" style="28" customWidth="1"/>
    <col min="12312" max="12312" width="21.28515625" style="28" customWidth="1"/>
    <col min="12313" max="12313" width="24.28515625" style="28" customWidth="1"/>
    <col min="12314" max="12314" width="20.7109375" style="28" customWidth="1"/>
    <col min="12315" max="12537" width="9.140625" style="28"/>
    <col min="12538" max="12538" width="2.7109375" style="28" customWidth="1"/>
    <col min="12539" max="12539" width="20.7109375" style="28" customWidth="1"/>
    <col min="12540" max="12556" width="0" style="28" hidden="1" customWidth="1"/>
    <col min="12557" max="12557" width="20.7109375" style="28" customWidth="1"/>
    <col min="12558" max="12558" width="13" style="28" customWidth="1"/>
    <col min="12559" max="12567" width="10.7109375" style="28" customWidth="1"/>
    <col min="12568" max="12568" width="21.28515625" style="28" customWidth="1"/>
    <col min="12569" max="12569" width="24.28515625" style="28" customWidth="1"/>
    <col min="12570" max="12570" width="20.7109375" style="28" customWidth="1"/>
    <col min="12571" max="12793" width="9.140625" style="28"/>
    <col min="12794" max="12794" width="2.7109375" style="28" customWidth="1"/>
    <col min="12795" max="12795" width="20.7109375" style="28" customWidth="1"/>
    <col min="12796" max="12812" width="0" style="28" hidden="1" customWidth="1"/>
    <col min="12813" max="12813" width="20.7109375" style="28" customWidth="1"/>
    <col min="12814" max="12814" width="13" style="28" customWidth="1"/>
    <col min="12815" max="12823" width="10.7109375" style="28" customWidth="1"/>
    <col min="12824" max="12824" width="21.28515625" style="28" customWidth="1"/>
    <col min="12825" max="12825" width="24.28515625" style="28" customWidth="1"/>
    <col min="12826" max="12826" width="20.7109375" style="28" customWidth="1"/>
    <col min="12827" max="13049" width="9.140625" style="28"/>
    <col min="13050" max="13050" width="2.7109375" style="28" customWidth="1"/>
    <col min="13051" max="13051" width="20.7109375" style="28" customWidth="1"/>
    <col min="13052" max="13068" width="0" style="28" hidden="1" customWidth="1"/>
    <col min="13069" max="13069" width="20.7109375" style="28" customWidth="1"/>
    <col min="13070" max="13070" width="13" style="28" customWidth="1"/>
    <col min="13071" max="13079" width="10.7109375" style="28" customWidth="1"/>
    <col min="13080" max="13080" width="21.28515625" style="28" customWidth="1"/>
    <col min="13081" max="13081" width="24.28515625" style="28" customWidth="1"/>
    <col min="13082" max="13082" width="20.7109375" style="28" customWidth="1"/>
    <col min="13083" max="13305" width="9.140625" style="28"/>
    <col min="13306" max="13306" width="2.7109375" style="28" customWidth="1"/>
    <col min="13307" max="13307" width="20.7109375" style="28" customWidth="1"/>
    <col min="13308" max="13324" width="0" style="28" hidden="1" customWidth="1"/>
    <col min="13325" max="13325" width="20.7109375" style="28" customWidth="1"/>
    <col min="13326" max="13326" width="13" style="28" customWidth="1"/>
    <col min="13327" max="13335" width="10.7109375" style="28" customWidth="1"/>
    <col min="13336" max="13336" width="21.28515625" style="28" customWidth="1"/>
    <col min="13337" max="13337" width="24.28515625" style="28" customWidth="1"/>
    <col min="13338" max="13338" width="20.7109375" style="28" customWidth="1"/>
    <col min="13339" max="13561" width="9.140625" style="28"/>
    <col min="13562" max="13562" width="2.7109375" style="28" customWidth="1"/>
    <col min="13563" max="13563" width="20.7109375" style="28" customWidth="1"/>
    <col min="13564" max="13580" width="0" style="28" hidden="1" customWidth="1"/>
    <col min="13581" max="13581" width="20.7109375" style="28" customWidth="1"/>
    <col min="13582" max="13582" width="13" style="28" customWidth="1"/>
    <col min="13583" max="13591" width="10.7109375" style="28" customWidth="1"/>
    <col min="13592" max="13592" width="21.28515625" style="28" customWidth="1"/>
    <col min="13593" max="13593" width="24.28515625" style="28" customWidth="1"/>
    <col min="13594" max="13594" width="20.7109375" style="28" customWidth="1"/>
    <col min="13595" max="13817" width="9.140625" style="28"/>
    <col min="13818" max="13818" width="2.7109375" style="28" customWidth="1"/>
    <col min="13819" max="13819" width="20.7109375" style="28" customWidth="1"/>
    <col min="13820" max="13836" width="0" style="28" hidden="1" customWidth="1"/>
    <col min="13837" max="13837" width="20.7109375" style="28" customWidth="1"/>
    <col min="13838" max="13838" width="13" style="28" customWidth="1"/>
    <col min="13839" max="13847" width="10.7109375" style="28" customWidth="1"/>
    <col min="13848" max="13848" width="21.28515625" style="28" customWidth="1"/>
    <col min="13849" max="13849" width="24.28515625" style="28" customWidth="1"/>
    <col min="13850" max="13850" width="20.7109375" style="28" customWidth="1"/>
    <col min="13851" max="14073" width="9.140625" style="28"/>
    <col min="14074" max="14074" width="2.7109375" style="28" customWidth="1"/>
    <col min="14075" max="14075" width="20.7109375" style="28" customWidth="1"/>
    <col min="14076" max="14092" width="0" style="28" hidden="1" customWidth="1"/>
    <col min="14093" max="14093" width="20.7109375" style="28" customWidth="1"/>
    <col min="14094" max="14094" width="13" style="28" customWidth="1"/>
    <col min="14095" max="14103" width="10.7109375" style="28" customWidth="1"/>
    <col min="14104" max="14104" width="21.28515625" style="28" customWidth="1"/>
    <col min="14105" max="14105" width="24.28515625" style="28" customWidth="1"/>
    <col min="14106" max="14106" width="20.7109375" style="28" customWidth="1"/>
    <col min="14107" max="14329" width="9.140625" style="28"/>
    <col min="14330" max="14330" width="2.7109375" style="28" customWidth="1"/>
    <col min="14331" max="14331" width="20.7109375" style="28" customWidth="1"/>
    <col min="14332" max="14348" width="0" style="28" hidden="1" customWidth="1"/>
    <col min="14349" max="14349" width="20.7109375" style="28" customWidth="1"/>
    <col min="14350" max="14350" width="13" style="28" customWidth="1"/>
    <col min="14351" max="14359" width="10.7109375" style="28" customWidth="1"/>
    <col min="14360" max="14360" width="21.28515625" style="28" customWidth="1"/>
    <col min="14361" max="14361" width="24.28515625" style="28" customWidth="1"/>
    <col min="14362" max="14362" width="20.7109375" style="28" customWidth="1"/>
    <col min="14363" max="14585" width="9.140625" style="28"/>
    <col min="14586" max="14586" width="2.7109375" style="28" customWidth="1"/>
    <col min="14587" max="14587" width="20.7109375" style="28" customWidth="1"/>
    <col min="14588" max="14604" width="0" style="28" hidden="1" customWidth="1"/>
    <col min="14605" max="14605" width="20.7109375" style="28" customWidth="1"/>
    <col min="14606" max="14606" width="13" style="28" customWidth="1"/>
    <col min="14607" max="14615" width="10.7109375" style="28" customWidth="1"/>
    <col min="14616" max="14616" width="21.28515625" style="28" customWidth="1"/>
    <col min="14617" max="14617" width="24.28515625" style="28" customWidth="1"/>
    <col min="14618" max="14618" width="20.7109375" style="28" customWidth="1"/>
    <col min="14619" max="14841" width="9.140625" style="28"/>
    <col min="14842" max="14842" width="2.7109375" style="28" customWidth="1"/>
    <col min="14843" max="14843" width="20.7109375" style="28" customWidth="1"/>
    <col min="14844" max="14860" width="0" style="28" hidden="1" customWidth="1"/>
    <col min="14861" max="14861" width="20.7109375" style="28" customWidth="1"/>
    <col min="14862" max="14862" width="13" style="28" customWidth="1"/>
    <col min="14863" max="14871" width="10.7109375" style="28" customWidth="1"/>
    <col min="14872" max="14872" width="21.28515625" style="28" customWidth="1"/>
    <col min="14873" max="14873" width="24.28515625" style="28" customWidth="1"/>
    <col min="14874" max="14874" width="20.7109375" style="28" customWidth="1"/>
    <col min="14875" max="15097" width="9.140625" style="28"/>
    <col min="15098" max="15098" width="2.7109375" style="28" customWidth="1"/>
    <col min="15099" max="15099" width="20.7109375" style="28" customWidth="1"/>
    <col min="15100" max="15116" width="0" style="28" hidden="1" customWidth="1"/>
    <col min="15117" max="15117" width="20.7109375" style="28" customWidth="1"/>
    <col min="15118" max="15118" width="13" style="28" customWidth="1"/>
    <col min="15119" max="15127" width="10.7109375" style="28" customWidth="1"/>
    <col min="15128" max="15128" width="21.28515625" style="28" customWidth="1"/>
    <col min="15129" max="15129" width="24.28515625" style="28" customWidth="1"/>
    <col min="15130" max="15130" width="20.7109375" style="28" customWidth="1"/>
    <col min="15131" max="15353" width="9.140625" style="28"/>
    <col min="15354" max="15354" width="2.7109375" style="28" customWidth="1"/>
    <col min="15355" max="15355" width="20.7109375" style="28" customWidth="1"/>
    <col min="15356" max="15372" width="0" style="28" hidden="1" customWidth="1"/>
    <col min="15373" max="15373" width="20.7109375" style="28" customWidth="1"/>
    <col min="15374" max="15374" width="13" style="28" customWidth="1"/>
    <col min="15375" max="15383" width="10.7109375" style="28" customWidth="1"/>
    <col min="15384" max="15384" width="21.28515625" style="28" customWidth="1"/>
    <col min="15385" max="15385" width="24.28515625" style="28" customWidth="1"/>
    <col min="15386" max="15386" width="20.7109375" style="28" customWidth="1"/>
    <col min="15387" max="15609" width="9.140625" style="28"/>
    <col min="15610" max="15610" width="2.7109375" style="28" customWidth="1"/>
    <col min="15611" max="15611" width="20.7109375" style="28" customWidth="1"/>
    <col min="15612" max="15628" width="0" style="28" hidden="1" customWidth="1"/>
    <col min="15629" max="15629" width="20.7109375" style="28" customWidth="1"/>
    <col min="15630" max="15630" width="13" style="28" customWidth="1"/>
    <col min="15631" max="15639" width="10.7109375" style="28" customWidth="1"/>
    <col min="15640" max="15640" width="21.28515625" style="28" customWidth="1"/>
    <col min="15641" max="15641" width="24.28515625" style="28" customWidth="1"/>
    <col min="15642" max="15642" width="20.7109375" style="28" customWidth="1"/>
    <col min="15643" max="15865" width="9.140625" style="28"/>
    <col min="15866" max="15866" width="2.7109375" style="28" customWidth="1"/>
    <col min="15867" max="15867" width="20.7109375" style="28" customWidth="1"/>
    <col min="15868" max="15884" width="0" style="28" hidden="1" customWidth="1"/>
    <col min="15885" max="15885" width="20.7109375" style="28" customWidth="1"/>
    <col min="15886" max="15886" width="13" style="28" customWidth="1"/>
    <col min="15887" max="15895" width="10.7109375" style="28" customWidth="1"/>
    <col min="15896" max="15896" width="21.28515625" style="28" customWidth="1"/>
    <col min="15897" max="15897" width="24.28515625" style="28" customWidth="1"/>
    <col min="15898" max="15898" width="20.7109375" style="28" customWidth="1"/>
    <col min="15899" max="16121" width="9.140625" style="28"/>
    <col min="16122" max="16122" width="2.7109375" style="28" customWidth="1"/>
    <col min="16123" max="16123" width="20.7109375" style="28" customWidth="1"/>
    <col min="16124" max="16140" width="0" style="28" hidden="1" customWidth="1"/>
    <col min="16141" max="16141" width="20.7109375" style="28" customWidth="1"/>
    <col min="16142" max="16142" width="13" style="28" customWidth="1"/>
    <col min="16143" max="16151" width="10.7109375" style="28" customWidth="1"/>
    <col min="16152" max="16152" width="21.28515625" style="28" customWidth="1"/>
    <col min="16153" max="16153" width="24.28515625" style="28" customWidth="1"/>
    <col min="16154" max="16154" width="20.7109375" style="28" customWidth="1"/>
    <col min="16155" max="16384" width="9.140625" style="28"/>
  </cols>
  <sheetData>
    <row r="2" spans="2:26" s="1" customFormat="1" ht="12.75" customHeight="1">
      <c r="B2" s="105"/>
      <c r="C2" s="106"/>
      <c r="D2" s="106"/>
      <c r="H2" s="106"/>
      <c r="X2" s="88"/>
    </row>
    <row r="3" spans="2:26" s="92" customFormat="1" ht="24" customHeight="1">
      <c r="B3" s="1174" t="s">
        <v>6</v>
      </c>
      <c r="C3" s="1175" t="s">
        <v>0</v>
      </c>
      <c r="D3" s="1175"/>
      <c r="E3" s="1175" t="s">
        <v>2</v>
      </c>
      <c r="F3" s="1175"/>
      <c r="G3" s="1175" t="s">
        <v>98</v>
      </c>
      <c r="H3" s="1174" t="s">
        <v>156</v>
      </c>
      <c r="I3" s="1172" t="s">
        <v>157</v>
      </c>
      <c r="J3" s="1183" t="s">
        <v>54</v>
      </c>
      <c r="K3" s="1184"/>
      <c r="L3" s="1184"/>
      <c r="M3" s="1185"/>
      <c r="N3" s="1175" t="s">
        <v>781</v>
      </c>
      <c r="O3" s="1175" t="s">
        <v>132</v>
      </c>
      <c r="P3" s="1175" t="s">
        <v>133</v>
      </c>
      <c r="Q3" s="1175"/>
      <c r="R3" s="1165" t="s">
        <v>2138</v>
      </c>
      <c r="S3" s="1165"/>
      <c r="T3" s="1165"/>
      <c r="U3" s="1165"/>
      <c r="V3" s="1165"/>
      <c r="W3" s="658" t="s">
        <v>136</v>
      </c>
      <c r="X3" s="1182" t="s">
        <v>134</v>
      </c>
      <c r="Y3" s="1182" t="s">
        <v>137</v>
      </c>
      <c r="Z3" s="1174" t="s">
        <v>138</v>
      </c>
    </row>
    <row r="4" spans="2:26" s="92" customFormat="1" ht="20.25" customHeight="1">
      <c r="B4" s="1174"/>
      <c r="C4" s="1175"/>
      <c r="D4" s="1175"/>
      <c r="E4" s="1175"/>
      <c r="F4" s="1175"/>
      <c r="G4" s="1175"/>
      <c r="H4" s="1174"/>
      <c r="I4" s="1173"/>
      <c r="J4" s="1183" t="s">
        <v>135</v>
      </c>
      <c r="K4" s="1184"/>
      <c r="L4" s="1184"/>
      <c r="M4" s="1185"/>
      <c r="N4" s="1175"/>
      <c r="O4" s="1175"/>
      <c r="P4" s="657">
        <v>2012</v>
      </c>
      <c r="Q4" s="657">
        <v>2013</v>
      </c>
      <c r="R4" s="657">
        <v>2014</v>
      </c>
      <c r="S4" s="657">
        <v>2015</v>
      </c>
      <c r="T4" s="657">
        <v>2016</v>
      </c>
      <c r="U4" s="657">
        <v>2017</v>
      </c>
      <c r="V4" s="657">
        <v>2018</v>
      </c>
      <c r="W4" s="659">
        <v>2018</v>
      </c>
      <c r="X4" s="1182"/>
      <c r="Y4" s="1182"/>
      <c r="Z4" s="1174"/>
    </row>
    <row r="5" spans="2:26" s="74" customFormat="1" ht="18" customHeight="1">
      <c r="B5" s="93">
        <v>1</v>
      </c>
      <c r="C5" s="1159">
        <v>2</v>
      </c>
      <c r="D5" s="1160"/>
      <c r="E5" s="1159">
        <v>3</v>
      </c>
      <c r="F5" s="1160"/>
      <c r="G5" s="18">
        <v>4</v>
      </c>
      <c r="H5" s="94">
        <v>5</v>
      </c>
      <c r="I5" s="18">
        <v>6</v>
      </c>
      <c r="J5" s="1159">
        <v>13</v>
      </c>
      <c r="K5" s="1161"/>
      <c r="L5" s="1161"/>
      <c r="M5" s="1160"/>
      <c r="N5" s="18">
        <v>2</v>
      </c>
      <c r="O5" s="18">
        <v>3</v>
      </c>
      <c r="P5" s="18">
        <v>4</v>
      </c>
      <c r="Q5" s="18">
        <v>5</v>
      </c>
      <c r="R5" s="18">
        <v>6</v>
      </c>
      <c r="S5" s="18">
        <v>7</v>
      </c>
      <c r="T5" s="18">
        <v>8</v>
      </c>
      <c r="U5" s="18">
        <v>9</v>
      </c>
      <c r="V5" s="18">
        <v>10</v>
      </c>
      <c r="W5" s="18">
        <v>11</v>
      </c>
      <c r="X5" s="18">
        <v>13</v>
      </c>
      <c r="Y5" s="18">
        <v>26</v>
      </c>
      <c r="Z5" s="18">
        <v>27</v>
      </c>
    </row>
    <row r="6" spans="2:26" s="74" customFormat="1" ht="94.5">
      <c r="B6" s="37" t="s">
        <v>18</v>
      </c>
      <c r="C6" s="652">
        <v>1</v>
      </c>
      <c r="D6" s="652" t="s">
        <v>1028</v>
      </c>
      <c r="E6" s="652">
        <v>1</v>
      </c>
      <c r="F6" s="652" t="s">
        <v>1029</v>
      </c>
      <c r="G6" s="652" t="s">
        <v>1030</v>
      </c>
      <c r="H6" s="652" t="s">
        <v>1031</v>
      </c>
      <c r="I6" s="871" t="s">
        <v>4950</v>
      </c>
      <c r="J6" s="47"/>
      <c r="K6" s="107"/>
      <c r="L6" s="47"/>
      <c r="M6" s="108"/>
      <c r="N6" s="47"/>
      <c r="O6" s="47"/>
      <c r="P6" s="47"/>
      <c r="Q6" s="47"/>
      <c r="R6" s="47"/>
      <c r="S6" s="47"/>
      <c r="T6" s="47"/>
      <c r="U6" s="47"/>
      <c r="V6" s="47"/>
      <c r="W6" s="47"/>
      <c r="X6" s="47"/>
      <c r="Y6" s="47"/>
      <c r="Z6" s="47"/>
    </row>
    <row r="7" spans="2:26" s="109" customFormat="1" ht="79.5" thickBot="1">
      <c r="B7" s="69"/>
      <c r="C7" s="652"/>
      <c r="E7" s="652"/>
      <c r="G7" s="652"/>
      <c r="H7" s="652"/>
      <c r="I7" s="1"/>
      <c r="J7" s="652">
        <v>1.03</v>
      </c>
      <c r="K7" s="652" t="s">
        <v>773</v>
      </c>
      <c r="L7" s="652">
        <v>15</v>
      </c>
      <c r="M7" s="21" t="s">
        <v>112</v>
      </c>
      <c r="N7" s="653" t="s">
        <v>1032</v>
      </c>
      <c r="O7" s="653" t="s">
        <v>701</v>
      </c>
      <c r="P7" s="723">
        <v>74.7</v>
      </c>
      <c r="Q7" s="724">
        <v>69.7</v>
      </c>
      <c r="R7" s="383">
        <v>70</v>
      </c>
      <c r="S7" s="383">
        <v>73</v>
      </c>
      <c r="T7" s="383">
        <v>76</v>
      </c>
      <c r="U7" s="383">
        <v>79</v>
      </c>
      <c r="V7" s="383">
        <v>82</v>
      </c>
      <c r="W7" s="383">
        <f t="shared" ref="W7:W13" si="0">V7</f>
        <v>82</v>
      </c>
      <c r="X7" s="436" t="s">
        <v>4626</v>
      </c>
      <c r="Y7" s="653" t="s">
        <v>4511</v>
      </c>
      <c r="Z7" s="653"/>
    </row>
    <row r="8" spans="2:26" s="109" customFormat="1" ht="79.5" thickBot="1">
      <c r="B8" s="69"/>
      <c r="C8" s="652"/>
      <c r="D8" s="652"/>
      <c r="E8" s="652"/>
      <c r="F8" s="652"/>
      <c r="G8" s="652"/>
      <c r="H8" s="652"/>
      <c r="I8" s="10"/>
      <c r="J8" s="652"/>
      <c r="K8" s="652"/>
      <c r="L8" s="652"/>
      <c r="M8" s="661"/>
      <c r="N8" s="383" t="s">
        <v>1034</v>
      </c>
      <c r="O8" s="83" t="s">
        <v>701</v>
      </c>
      <c r="P8" s="723">
        <v>74.7</v>
      </c>
      <c r="Q8" s="724">
        <v>69.7</v>
      </c>
      <c r="R8" s="383">
        <v>70</v>
      </c>
      <c r="S8" s="383">
        <v>73</v>
      </c>
      <c r="T8" s="383">
        <v>76</v>
      </c>
      <c r="U8" s="383">
        <v>79</v>
      </c>
      <c r="V8" s="383">
        <v>82</v>
      </c>
      <c r="W8" s="383">
        <f>V8</f>
        <v>82</v>
      </c>
      <c r="X8" s="436" t="s">
        <v>4626</v>
      </c>
      <c r="Y8" s="653" t="s">
        <v>4511</v>
      </c>
      <c r="Z8" s="3"/>
    </row>
    <row r="9" spans="2:26" s="109" customFormat="1" ht="79.5" thickBot="1">
      <c r="B9" s="69"/>
      <c r="C9" s="652"/>
      <c r="D9" s="652"/>
      <c r="E9" s="652"/>
      <c r="F9" s="652"/>
      <c r="G9" s="652"/>
      <c r="H9" s="652"/>
      <c r="I9" s="652"/>
      <c r="J9" s="653"/>
      <c r="K9" s="653"/>
      <c r="L9" s="653"/>
      <c r="M9" s="662"/>
      <c r="N9" s="83" t="s">
        <v>1035</v>
      </c>
      <c r="O9" s="83" t="s">
        <v>701</v>
      </c>
      <c r="P9" s="723">
        <v>74.7</v>
      </c>
      <c r="Q9" s="724">
        <v>69.7</v>
      </c>
      <c r="R9" s="383">
        <v>70</v>
      </c>
      <c r="S9" s="383">
        <v>73</v>
      </c>
      <c r="T9" s="383">
        <v>76</v>
      </c>
      <c r="U9" s="383">
        <v>79</v>
      </c>
      <c r="V9" s="383">
        <v>82</v>
      </c>
      <c r="W9" s="383">
        <f>V9</f>
        <v>82</v>
      </c>
      <c r="X9" s="436" t="s">
        <v>4626</v>
      </c>
      <c r="Y9" s="653" t="s">
        <v>4511</v>
      </c>
      <c r="Z9" s="3"/>
    </row>
    <row r="10" spans="2:26" s="109" customFormat="1" ht="63">
      <c r="B10" s="69"/>
      <c r="C10" s="652"/>
      <c r="D10" s="652"/>
      <c r="E10" s="652"/>
      <c r="F10" s="652"/>
      <c r="G10" s="652"/>
      <c r="H10" s="652"/>
      <c r="I10" s="652"/>
      <c r="J10" s="651">
        <v>1.03</v>
      </c>
      <c r="K10" s="651" t="s">
        <v>773</v>
      </c>
      <c r="L10" s="651">
        <v>18</v>
      </c>
      <c r="M10" s="660" t="s">
        <v>1036</v>
      </c>
      <c r="N10" s="83" t="s">
        <v>1037</v>
      </c>
      <c r="O10" s="83" t="s">
        <v>701</v>
      </c>
      <c r="P10" s="83">
        <v>65</v>
      </c>
      <c r="Q10" s="383">
        <v>68</v>
      </c>
      <c r="R10" s="383">
        <v>70</v>
      </c>
      <c r="S10" s="383">
        <v>73</v>
      </c>
      <c r="T10" s="383">
        <v>76</v>
      </c>
      <c r="U10" s="383">
        <v>79</v>
      </c>
      <c r="V10" s="383">
        <v>82</v>
      </c>
      <c r="W10" s="383">
        <f t="shared" si="0"/>
        <v>82</v>
      </c>
      <c r="X10" s="437" t="s">
        <v>1033</v>
      </c>
      <c r="Y10" s="3" t="s">
        <v>4606</v>
      </c>
      <c r="Z10" s="3"/>
    </row>
    <row r="11" spans="2:26" s="109" customFormat="1" ht="47.25">
      <c r="B11" s="69"/>
      <c r="C11" s="652"/>
      <c r="D11" s="652"/>
      <c r="E11" s="652"/>
      <c r="F11" s="652"/>
      <c r="G11" s="652"/>
      <c r="H11" s="652"/>
      <c r="I11" s="653"/>
      <c r="J11" s="653"/>
      <c r="K11" s="653"/>
      <c r="L11" s="653"/>
      <c r="M11" s="662"/>
      <c r="N11" s="83" t="s">
        <v>1039</v>
      </c>
      <c r="O11" s="83" t="s">
        <v>701</v>
      </c>
      <c r="P11" s="83">
        <v>70</v>
      </c>
      <c r="Q11" s="83">
        <v>71</v>
      </c>
      <c r="R11" s="83">
        <f>Q11+5</f>
        <v>76</v>
      </c>
      <c r="S11" s="83">
        <f>R11+5</f>
        <v>81</v>
      </c>
      <c r="T11" s="83">
        <f>S11+3</f>
        <v>84</v>
      </c>
      <c r="U11" s="83">
        <f>T11+3</f>
        <v>87</v>
      </c>
      <c r="V11" s="83">
        <f>U11+3</f>
        <v>90</v>
      </c>
      <c r="W11" s="83">
        <f t="shared" si="0"/>
        <v>90</v>
      </c>
      <c r="X11" s="437" t="s">
        <v>1033</v>
      </c>
      <c r="Y11" s="3" t="s">
        <v>1038</v>
      </c>
      <c r="Z11" s="3"/>
    </row>
    <row r="12" spans="2:26" s="109" customFormat="1" ht="63">
      <c r="B12" s="69"/>
      <c r="C12" s="652"/>
      <c r="D12" s="652"/>
      <c r="E12" s="652"/>
      <c r="F12" s="652"/>
      <c r="G12" s="652"/>
      <c r="H12" s="652"/>
      <c r="I12" s="3" t="s">
        <v>5002</v>
      </c>
      <c r="J12" s="651">
        <v>1.03</v>
      </c>
      <c r="K12" s="651" t="s">
        <v>773</v>
      </c>
      <c r="L12" s="651">
        <v>15</v>
      </c>
      <c r="M12" s="29" t="s">
        <v>112</v>
      </c>
      <c r="N12" s="83" t="s">
        <v>4512</v>
      </c>
      <c r="O12" s="83" t="s">
        <v>4513</v>
      </c>
      <c r="P12" s="83" t="s">
        <v>1040</v>
      </c>
      <c r="Q12" s="83" t="s">
        <v>1040</v>
      </c>
      <c r="R12" s="83" t="s">
        <v>1040</v>
      </c>
      <c r="S12" s="83">
        <v>2</v>
      </c>
      <c r="T12" s="83">
        <v>6</v>
      </c>
      <c r="U12" s="83">
        <v>11</v>
      </c>
      <c r="V12" s="83">
        <v>19</v>
      </c>
      <c r="W12" s="83">
        <f t="shared" si="0"/>
        <v>19</v>
      </c>
      <c r="X12" s="437" t="s">
        <v>4514</v>
      </c>
      <c r="Y12" s="3" t="s">
        <v>4515</v>
      </c>
      <c r="Z12" s="3"/>
    </row>
    <row r="13" spans="2:26" s="109" customFormat="1" ht="47.25">
      <c r="B13" s="69"/>
      <c r="C13" s="652"/>
      <c r="D13" s="652"/>
      <c r="E13" s="652"/>
      <c r="F13" s="652"/>
      <c r="G13" s="652"/>
      <c r="H13" s="652"/>
      <c r="I13" s="652"/>
      <c r="J13" s="652" t="s">
        <v>210</v>
      </c>
      <c r="K13" s="652" t="s">
        <v>773</v>
      </c>
      <c r="L13" s="652">
        <v>23</v>
      </c>
      <c r="M13" s="11" t="s">
        <v>225</v>
      </c>
      <c r="N13" s="83" t="s">
        <v>1042</v>
      </c>
      <c r="O13" s="83" t="s">
        <v>701</v>
      </c>
      <c r="P13" s="83">
        <v>67</v>
      </c>
      <c r="Q13" s="83">
        <v>67</v>
      </c>
      <c r="R13" s="83">
        <v>70</v>
      </c>
      <c r="S13" s="83">
        <v>76</v>
      </c>
      <c r="T13" s="83">
        <v>80</v>
      </c>
      <c r="U13" s="83">
        <v>80</v>
      </c>
      <c r="V13" s="83">
        <v>85</v>
      </c>
      <c r="W13" s="83">
        <f t="shared" si="0"/>
        <v>85</v>
      </c>
      <c r="X13" s="437" t="s">
        <v>1033</v>
      </c>
      <c r="Y13" s="3" t="s">
        <v>4321</v>
      </c>
      <c r="Z13" s="3"/>
    </row>
    <row r="14" spans="2:26" s="109" customFormat="1" ht="78.75">
      <c r="B14" s="69"/>
      <c r="C14" s="652">
        <v>2</v>
      </c>
      <c r="D14" s="652" t="s">
        <v>1043</v>
      </c>
      <c r="E14" s="652">
        <v>2</v>
      </c>
      <c r="F14" s="652" t="s">
        <v>1044</v>
      </c>
      <c r="G14" s="652" t="s">
        <v>1045</v>
      </c>
      <c r="H14" s="652"/>
      <c r="I14" s="871" t="s">
        <v>4951</v>
      </c>
      <c r="J14" s="652" t="s">
        <v>210</v>
      </c>
      <c r="K14" s="652" t="s">
        <v>773</v>
      </c>
      <c r="L14" s="652">
        <v>24</v>
      </c>
      <c r="M14" s="11" t="s">
        <v>227</v>
      </c>
      <c r="N14" s="83" t="s">
        <v>4516</v>
      </c>
      <c r="O14" s="83" t="s">
        <v>701</v>
      </c>
      <c r="P14" s="83">
        <v>68</v>
      </c>
      <c r="Q14" s="83">
        <v>68</v>
      </c>
      <c r="R14" s="83">
        <v>70</v>
      </c>
      <c r="S14" s="83">
        <v>72</v>
      </c>
      <c r="T14" s="83">
        <f>S14+3</f>
        <v>75</v>
      </c>
      <c r="U14" s="83">
        <f>T14+3</f>
        <v>78</v>
      </c>
      <c r="V14" s="83">
        <v>80</v>
      </c>
      <c r="W14" s="83">
        <v>82</v>
      </c>
      <c r="X14" s="437" t="s">
        <v>1033</v>
      </c>
      <c r="Y14" s="3" t="s">
        <v>1046</v>
      </c>
      <c r="Z14" s="3"/>
    </row>
    <row r="15" spans="2:26" s="109" customFormat="1" ht="63">
      <c r="B15" s="69"/>
      <c r="C15" s="652"/>
      <c r="D15" s="652"/>
      <c r="E15" s="652"/>
      <c r="F15" s="652"/>
      <c r="G15" s="652"/>
      <c r="H15" s="652"/>
      <c r="I15" s="652"/>
      <c r="J15" s="652"/>
      <c r="K15" s="652"/>
      <c r="L15" s="652"/>
      <c r="M15" s="662"/>
      <c r="N15" s="3" t="s">
        <v>2116</v>
      </c>
      <c r="O15" s="3" t="s">
        <v>701</v>
      </c>
      <c r="P15" s="110">
        <f>22/630*100</f>
        <v>3.4920634920634921</v>
      </c>
      <c r="Q15" s="110">
        <f>29/630*100</f>
        <v>4.6031746031746037</v>
      </c>
      <c r="R15" s="110">
        <f>31/630*100</f>
        <v>4.9206349206349209</v>
      </c>
      <c r="S15" s="110">
        <f>33/630*100</f>
        <v>5.2380952380952381</v>
      </c>
      <c r="T15" s="110">
        <f>35/630*100</f>
        <v>5.5555555555555554</v>
      </c>
      <c r="U15" s="110">
        <f>37/630*100</f>
        <v>5.8730158730158726</v>
      </c>
      <c r="V15" s="110">
        <f>39/630*100</f>
        <v>6.1904761904761907</v>
      </c>
      <c r="W15" s="110">
        <f>39/630*100</f>
        <v>6.1904761904761907</v>
      </c>
      <c r="X15" s="31" t="s">
        <v>1033</v>
      </c>
      <c r="Y15" s="3" t="s">
        <v>4517</v>
      </c>
      <c r="Z15" s="3"/>
    </row>
    <row r="16" spans="2:26" s="109" customFormat="1" ht="94.5">
      <c r="B16" s="69"/>
      <c r="C16" s="652"/>
      <c r="D16" s="652"/>
      <c r="E16" s="652"/>
      <c r="F16" s="652"/>
      <c r="G16" s="652"/>
      <c r="H16" s="652"/>
      <c r="I16" s="652"/>
      <c r="J16" s="651">
        <v>1.03</v>
      </c>
      <c r="K16" s="651" t="s">
        <v>773</v>
      </c>
      <c r="L16" s="651">
        <v>16</v>
      </c>
      <c r="M16" s="11" t="s">
        <v>113</v>
      </c>
      <c r="N16" s="438" t="s">
        <v>4520</v>
      </c>
      <c r="O16" s="439" t="s">
        <v>701</v>
      </c>
      <c r="P16" s="438">
        <v>30.54</v>
      </c>
      <c r="Q16" s="438">
        <v>30.71</v>
      </c>
      <c r="R16" s="438">
        <v>30.9</v>
      </c>
      <c r="S16" s="438">
        <v>40.1</v>
      </c>
      <c r="T16" s="438">
        <v>40.299999999999997</v>
      </c>
      <c r="U16" s="438">
        <v>40.5</v>
      </c>
      <c r="V16" s="438">
        <v>40.700000000000003</v>
      </c>
      <c r="W16" s="438">
        <v>40.700000000000003</v>
      </c>
      <c r="X16" s="441" t="s">
        <v>1033</v>
      </c>
      <c r="Y16" s="438" t="s">
        <v>4521</v>
      </c>
      <c r="Z16" s="3"/>
    </row>
    <row r="17" spans="2:27" s="109" customFormat="1" ht="78.75">
      <c r="B17" s="69"/>
      <c r="C17" s="109">
        <v>3</v>
      </c>
      <c r="D17" s="871" t="s">
        <v>4952</v>
      </c>
      <c r="E17" s="871">
        <v>2</v>
      </c>
      <c r="F17" s="871" t="s">
        <v>4954</v>
      </c>
      <c r="G17" s="871" t="s">
        <v>4953</v>
      </c>
      <c r="H17" s="652"/>
      <c r="I17" s="870" t="s">
        <v>4955</v>
      </c>
      <c r="J17" s="95" t="s">
        <v>450</v>
      </c>
      <c r="K17" s="3" t="s">
        <v>773</v>
      </c>
      <c r="L17" s="3"/>
      <c r="M17" s="3" t="s">
        <v>1649</v>
      </c>
      <c r="N17" s="438" t="s">
        <v>4518</v>
      </c>
      <c r="O17" s="439" t="s">
        <v>1090</v>
      </c>
      <c r="P17" s="438">
        <v>2</v>
      </c>
      <c r="Q17" s="438" t="s">
        <v>743</v>
      </c>
      <c r="R17" s="438">
        <v>1</v>
      </c>
      <c r="S17" s="440" t="s">
        <v>743</v>
      </c>
      <c r="T17" s="438">
        <v>1</v>
      </c>
      <c r="U17" s="438">
        <v>1</v>
      </c>
      <c r="V17" s="438">
        <v>1</v>
      </c>
      <c r="W17" s="438">
        <v>4</v>
      </c>
      <c r="X17" s="441" t="s">
        <v>4270</v>
      </c>
      <c r="Y17" s="438" t="s">
        <v>4519</v>
      </c>
      <c r="Z17" s="3" t="s">
        <v>4605</v>
      </c>
    </row>
    <row r="18" spans="2:27" s="109" customFormat="1" ht="126">
      <c r="B18" s="37" t="s">
        <v>1047</v>
      </c>
      <c r="C18" s="651">
        <v>3</v>
      </c>
      <c r="D18" s="651" t="s">
        <v>1048</v>
      </c>
      <c r="E18" s="651">
        <v>4</v>
      </c>
      <c r="F18" s="651" t="s">
        <v>1049</v>
      </c>
      <c r="G18" s="651" t="s">
        <v>1050</v>
      </c>
      <c r="H18" s="651" t="s">
        <v>1051</v>
      </c>
      <c r="I18" s="870" t="s">
        <v>4956</v>
      </c>
      <c r="J18" s="651">
        <v>1.04</v>
      </c>
      <c r="K18" s="651" t="s">
        <v>773</v>
      </c>
      <c r="L18" s="651">
        <v>16</v>
      </c>
      <c r="M18" s="660" t="s">
        <v>118</v>
      </c>
      <c r="N18" s="3" t="s">
        <v>1052</v>
      </c>
      <c r="O18" s="3" t="s">
        <v>701</v>
      </c>
      <c r="P18" s="3" t="s">
        <v>4271</v>
      </c>
      <c r="Q18" s="3" t="s">
        <v>4522</v>
      </c>
      <c r="R18" s="3">
        <v>94.92</v>
      </c>
      <c r="S18" s="3">
        <f>R18+0.32</f>
        <v>95.24</v>
      </c>
      <c r="T18" s="3">
        <f>S18+0.32</f>
        <v>95.559999999999988</v>
      </c>
      <c r="U18" s="3">
        <f>T18+0.32</f>
        <v>95.879999999999981</v>
      </c>
      <c r="V18" s="3">
        <f>U18+0.32</f>
        <v>96.199999999999974</v>
      </c>
      <c r="W18" s="3">
        <f>V18</f>
        <v>96.199999999999974</v>
      </c>
      <c r="X18" s="441" t="s">
        <v>4523</v>
      </c>
      <c r="Y18" s="3" t="s">
        <v>4607</v>
      </c>
      <c r="Z18" s="441" t="s">
        <v>4608</v>
      </c>
      <c r="AA18" s="109" t="s">
        <v>4642</v>
      </c>
    </row>
    <row r="19" spans="2:27" s="109" customFormat="1" ht="59.25" customHeight="1">
      <c r="B19" s="69"/>
      <c r="C19" s="652"/>
      <c r="D19" s="652"/>
      <c r="E19" s="652"/>
      <c r="F19" s="652"/>
      <c r="G19" s="652"/>
      <c r="H19" s="652"/>
      <c r="I19" s="652"/>
      <c r="J19" s="651"/>
      <c r="K19" s="651"/>
      <c r="L19" s="651"/>
      <c r="M19" s="661"/>
      <c r="N19" s="3" t="s">
        <v>1053</v>
      </c>
      <c r="O19" s="3" t="s">
        <v>4513</v>
      </c>
      <c r="P19" s="671">
        <v>35.56</v>
      </c>
      <c r="Q19" s="671">
        <v>35.56</v>
      </c>
      <c r="R19" s="83">
        <v>32.36</v>
      </c>
      <c r="S19" s="83">
        <v>28.81</v>
      </c>
      <c r="T19" s="83">
        <v>25.42</v>
      </c>
      <c r="U19" s="83">
        <v>22.3</v>
      </c>
      <c r="V19" s="83">
        <v>19.91</v>
      </c>
      <c r="W19" s="83">
        <v>19.91</v>
      </c>
      <c r="X19" s="441" t="s">
        <v>1033</v>
      </c>
      <c r="Y19" s="3" t="s">
        <v>4524</v>
      </c>
      <c r="Z19" s="3"/>
      <c r="AA19" s="20"/>
    </row>
    <row r="20" spans="2:27" s="109" customFormat="1" ht="63">
      <c r="B20" s="69"/>
      <c r="C20" s="652"/>
      <c r="D20" s="652"/>
      <c r="E20" s="652"/>
      <c r="F20" s="652"/>
      <c r="G20" s="652"/>
      <c r="H20" s="652"/>
      <c r="I20" s="652"/>
      <c r="J20" s="652"/>
      <c r="K20" s="652"/>
      <c r="L20" s="652"/>
      <c r="M20" s="21"/>
      <c r="N20" s="438" t="s">
        <v>4525</v>
      </c>
      <c r="O20" s="442" t="s">
        <v>701</v>
      </c>
      <c r="P20" s="437">
        <v>74.48</v>
      </c>
      <c r="Q20" s="437">
        <v>82.48</v>
      </c>
      <c r="R20" s="443">
        <v>84.5</v>
      </c>
      <c r="S20" s="437">
        <v>86.6</v>
      </c>
      <c r="T20" s="437">
        <v>88.1</v>
      </c>
      <c r="U20" s="437">
        <v>90.2</v>
      </c>
      <c r="V20" s="437">
        <v>91.3</v>
      </c>
      <c r="W20" s="437">
        <f>V20</f>
        <v>91.3</v>
      </c>
      <c r="X20" s="441" t="s">
        <v>1033</v>
      </c>
      <c r="Y20" s="438" t="s">
        <v>4526</v>
      </c>
      <c r="Z20" s="3"/>
      <c r="AA20" s="20"/>
    </row>
    <row r="21" spans="2:27" s="109" customFormat="1" ht="63">
      <c r="B21" s="69"/>
      <c r="C21" s="652"/>
      <c r="D21" s="652"/>
      <c r="E21" s="652"/>
      <c r="F21" s="652"/>
      <c r="G21" s="652"/>
      <c r="H21" s="652"/>
      <c r="I21" s="652"/>
      <c r="J21" s="652"/>
      <c r="K21" s="652"/>
      <c r="L21" s="652"/>
      <c r="M21" s="21"/>
      <c r="N21" s="653" t="s">
        <v>4527</v>
      </c>
      <c r="O21" s="76" t="s">
        <v>701</v>
      </c>
      <c r="P21" s="444">
        <v>70.709999999999994</v>
      </c>
      <c r="Q21" s="444">
        <v>74.28</v>
      </c>
      <c r="R21" s="445">
        <v>74.900000000000006</v>
      </c>
      <c r="S21" s="672">
        <v>75.510000000000005</v>
      </c>
      <c r="T21" s="672">
        <v>76.099999999999994</v>
      </c>
      <c r="U21" s="672">
        <v>77.400000000000006</v>
      </c>
      <c r="V21" s="672">
        <v>78.900000000000006</v>
      </c>
      <c r="W21" s="672">
        <v>78.900000000000006</v>
      </c>
      <c r="X21" s="436" t="s">
        <v>4528</v>
      </c>
      <c r="Y21" s="653" t="s">
        <v>4529</v>
      </c>
      <c r="Z21" s="3"/>
      <c r="AA21" s="20"/>
    </row>
    <row r="22" spans="2:27" s="109" customFormat="1" ht="78.75">
      <c r="B22" s="69"/>
      <c r="C22" s="652"/>
      <c r="D22" s="652"/>
      <c r="E22" s="653"/>
      <c r="F22" s="653"/>
      <c r="G22" s="653"/>
      <c r="H22" s="653"/>
      <c r="I22" s="653"/>
      <c r="J22" s="653"/>
      <c r="K22" s="653"/>
      <c r="L22" s="653"/>
      <c r="M22" s="21"/>
      <c r="N22" s="653" t="s">
        <v>1054</v>
      </c>
      <c r="O22" s="653" t="s">
        <v>701</v>
      </c>
      <c r="P22" s="653">
        <v>3.8</v>
      </c>
      <c r="Q22" s="653">
        <v>5.8</v>
      </c>
      <c r="R22" s="653">
        <v>6</v>
      </c>
      <c r="S22" s="653">
        <v>7</v>
      </c>
      <c r="T22" s="653">
        <v>7.5</v>
      </c>
      <c r="U22" s="653">
        <v>8</v>
      </c>
      <c r="V22" s="653">
        <v>8.1999999999999993</v>
      </c>
      <c r="W22" s="653">
        <v>8.1999999999999993</v>
      </c>
      <c r="X22" s="436" t="s">
        <v>1033</v>
      </c>
      <c r="Y22" s="653" t="s">
        <v>4530</v>
      </c>
      <c r="Z22" s="3"/>
      <c r="AA22" s="20"/>
    </row>
    <row r="23" spans="2:27" s="109" customFormat="1" ht="94.5">
      <c r="B23" s="69"/>
      <c r="C23" s="652"/>
      <c r="D23" s="652"/>
      <c r="E23" s="652"/>
      <c r="F23" s="652"/>
      <c r="G23" s="652"/>
      <c r="H23" s="652"/>
      <c r="I23" s="651"/>
      <c r="J23" s="651"/>
      <c r="K23" s="651"/>
      <c r="L23" s="651"/>
      <c r="M23" s="661"/>
      <c r="N23" s="651" t="s">
        <v>1055</v>
      </c>
      <c r="O23" s="651" t="s">
        <v>701</v>
      </c>
      <c r="P23" s="3" t="s">
        <v>4272</v>
      </c>
      <c r="Q23" s="3" t="s">
        <v>4273</v>
      </c>
      <c r="R23" s="3">
        <v>28</v>
      </c>
      <c r="S23" s="3">
        <v>40</v>
      </c>
      <c r="T23" s="3">
        <v>52</v>
      </c>
      <c r="U23" s="3">
        <v>64</v>
      </c>
      <c r="V23" s="3">
        <v>76</v>
      </c>
      <c r="W23" s="3">
        <v>76</v>
      </c>
      <c r="X23" s="446" t="s">
        <v>1033</v>
      </c>
      <c r="Y23" s="651" t="s">
        <v>1056</v>
      </c>
      <c r="Z23" s="651"/>
      <c r="AA23" s="20"/>
    </row>
    <row r="24" spans="2:27" s="98" customFormat="1" ht="126">
      <c r="B24" s="624"/>
      <c r="C24" s="625">
        <v>4</v>
      </c>
      <c r="D24" s="625" t="s">
        <v>825</v>
      </c>
      <c r="E24" s="651">
        <v>5</v>
      </c>
      <c r="F24" s="625" t="s">
        <v>826</v>
      </c>
      <c r="G24" s="625" t="s">
        <v>827</v>
      </c>
      <c r="H24" s="626"/>
      <c r="I24" s="625" t="s">
        <v>4957</v>
      </c>
      <c r="J24" s="651">
        <v>1.04</v>
      </c>
      <c r="K24" s="651" t="s">
        <v>773</v>
      </c>
      <c r="L24" s="651">
        <v>18</v>
      </c>
      <c r="M24" s="627" t="s">
        <v>119</v>
      </c>
      <c r="N24" s="83" t="s">
        <v>4643</v>
      </c>
      <c r="O24" s="83" t="s">
        <v>701</v>
      </c>
      <c r="P24" s="83">
        <v>20</v>
      </c>
      <c r="Q24" s="83">
        <v>20</v>
      </c>
      <c r="R24" s="83">
        <v>20</v>
      </c>
      <c r="S24" s="83">
        <v>40</v>
      </c>
      <c r="T24" s="83">
        <v>60</v>
      </c>
      <c r="U24" s="83">
        <v>80</v>
      </c>
      <c r="V24" s="83">
        <v>80</v>
      </c>
      <c r="W24" s="83">
        <v>80</v>
      </c>
      <c r="X24" s="628" t="s">
        <v>1033</v>
      </c>
      <c r="Y24" s="725" t="s">
        <v>4644</v>
      </c>
      <c r="Z24" s="629"/>
    </row>
    <row r="25" spans="2:27" s="98" customFormat="1" ht="94.5">
      <c r="B25" s="624"/>
      <c r="C25" s="630"/>
      <c r="D25" s="630"/>
      <c r="E25" s="631"/>
      <c r="F25" s="631"/>
      <c r="G25" s="631"/>
      <c r="H25" s="632"/>
      <c r="I25" s="631"/>
      <c r="J25" s="630"/>
      <c r="K25" s="631"/>
      <c r="L25" s="630"/>
      <c r="M25" s="630"/>
      <c r="N25" s="84" t="s">
        <v>4645</v>
      </c>
      <c r="O25" s="83" t="s">
        <v>701</v>
      </c>
      <c r="P25" s="83">
        <v>39</v>
      </c>
      <c r="Q25" s="83">
        <v>68</v>
      </c>
      <c r="R25" s="83">
        <v>70</v>
      </c>
      <c r="S25" s="83">
        <v>73</v>
      </c>
      <c r="T25" s="83">
        <v>80</v>
      </c>
      <c r="U25" s="83">
        <v>80</v>
      </c>
      <c r="V25" s="83">
        <v>80</v>
      </c>
      <c r="W25" s="83">
        <v>80</v>
      </c>
      <c r="X25" s="628" t="s">
        <v>1033</v>
      </c>
      <c r="Y25" s="3" t="s">
        <v>4646</v>
      </c>
      <c r="Z25" s="83" t="s">
        <v>4647</v>
      </c>
    </row>
    <row r="26" spans="2:27" s="98" customFormat="1" ht="94.5">
      <c r="B26" s="624"/>
      <c r="C26" s="630"/>
      <c r="D26" s="630"/>
      <c r="E26" s="631"/>
      <c r="F26" s="631"/>
      <c r="G26" s="631"/>
      <c r="H26" s="632"/>
      <c r="I26" s="631"/>
      <c r="J26" s="630"/>
      <c r="K26" s="631"/>
      <c r="L26" s="630"/>
      <c r="M26" s="630"/>
      <c r="N26" s="83" t="s">
        <v>4648</v>
      </c>
      <c r="O26" s="83" t="s">
        <v>701</v>
      </c>
      <c r="P26" s="83">
        <v>71</v>
      </c>
      <c r="Q26" s="83">
        <v>83</v>
      </c>
      <c r="R26" s="83">
        <v>85</v>
      </c>
      <c r="S26" s="83">
        <v>87</v>
      </c>
      <c r="T26" s="83">
        <v>90</v>
      </c>
      <c r="U26" s="83">
        <v>93</v>
      </c>
      <c r="V26" s="83">
        <v>95</v>
      </c>
      <c r="W26" s="83">
        <v>95</v>
      </c>
      <c r="X26" s="628" t="s">
        <v>1033</v>
      </c>
      <c r="Y26" s="83" t="s">
        <v>4649</v>
      </c>
      <c r="Z26" s="83"/>
    </row>
    <row r="27" spans="2:27" s="98" customFormat="1" ht="110.25">
      <c r="B27" s="624"/>
      <c r="C27" s="630"/>
      <c r="D27" s="630"/>
      <c r="E27" s="631"/>
      <c r="F27" s="631"/>
      <c r="G27" s="631"/>
      <c r="H27" s="632"/>
      <c r="I27" s="631"/>
      <c r="J27" s="630"/>
      <c r="K27" s="631"/>
      <c r="L27" s="630"/>
      <c r="M27" s="633"/>
      <c r="N27" s="83" t="s">
        <v>4650</v>
      </c>
      <c r="O27" s="83" t="s">
        <v>701</v>
      </c>
      <c r="P27" s="83" t="s">
        <v>4651</v>
      </c>
      <c r="Q27" s="83">
        <v>82</v>
      </c>
      <c r="R27" s="83">
        <v>85</v>
      </c>
      <c r="S27" s="83">
        <v>87</v>
      </c>
      <c r="T27" s="83">
        <v>90</v>
      </c>
      <c r="U27" s="83">
        <v>93</v>
      </c>
      <c r="V27" s="83">
        <v>95</v>
      </c>
      <c r="W27" s="83">
        <v>95</v>
      </c>
      <c r="X27" s="628" t="s">
        <v>1033</v>
      </c>
      <c r="Y27" s="83" t="s">
        <v>4652</v>
      </c>
      <c r="Z27" s="83"/>
    </row>
    <row r="28" spans="2:27" s="109" customFormat="1" ht="110.25">
      <c r="B28" s="37" t="s">
        <v>1057</v>
      </c>
      <c r="C28" s="651">
        <v>5</v>
      </c>
      <c r="D28" s="651" t="s">
        <v>1058</v>
      </c>
      <c r="E28" s="651">
        <v>6</v>
      </c>
      <c r="F28" s="651" t="s">
        <v>1059</v>
      </c>
      <c r="G28" s="651" t="s">
        <v>1060</v>
      </c>
      <c r="H28" s="651" t="s">
        <v>1061</v>
      </c>
      <c r="I28" s="870" t="s">
        <v>4958</v>
      </c>
      <c r="J28" s="651"/>
      <c r="K28" s="651"/>
      <c r="L28" s="651"/>
      <c r="M28" s="3"/>
      <c r="N28" s="3"/>
      <c r="O28" s="3"/>
      <c r="P28" s="3"/>
      <c r="Q28" s="3"/>
      <c r="R28" s="3"/>
      <c r="S28" s="3"/>
      <c r="T28" s="3"/>
      <c r="U28" s="3"/>
      <c r="V28" s="3"/>
      <c r="W28" s="3"/>
      <c r="X28" s="31"/>
      <c r="Y28" s="3"/>
      <c r="Z28" s="3"/>
    </row>
    <row r="29" spans="2:27" s="109" customFormat="1" ht="110.25">
      <c r="B29" s="69"/>
      <c r="C29" s="652"/>
      <c r="D29" s="652"/>
      <c r="E29" s="652"/>
      <c r="F29" s="652"/>
      <c r="G29" s="652"/>
      <c r="H29" s="652"/>
      <c r="I29" s="652"/>
      <c r="J29" s="651" t="s">
        <v>256</v>
      </c>
      <c r="K29" s="651" t="s">
        <v>773</v>
      </c>
      <c r="L29" s="651">
        <v>15</v>
      </c>
      <c r="M29" s="11" t="s">
        <v>258</v>
      </c>
      <c r="N29" s="3" t="s">
        <v>4531</v>
      </c>
      <c r="O29" s="3" t="s">
        <v>4532</v>
      </c>
      <c r="P29" s="3">
        <v>1</v>
      </c>
      <c r="Q29" s="3">
        <v>1</v>
      </c>
      <c r="R29" s="3">
        <v>2</v>
      </c>
      <c r="S29" s="3">
        <v>2</v>
      </c>
      <c r="T29" s="3">
        <v>3</v>
      </c>
      <c r="U29" s="3">
        <v>3</v>
      </c>
      <c r="V29" s="3">
        <v>3</v>
      </c>
      <c r="W29" s="3">
        <v>3</v>
      </c>
      <c r="X29" s="31" t="s">
        <v>4533</v>
      </c>
      <c r="Y29" s="3" t="s">
        <v>4534</v>
      </c>
      <c r="Z29" s="651" t="s">
        <v>4535</v>
      </c>
    </row>
    <row r="30" spans="2:27" s="109" customFormat="1" ht="94.5">
      <c r="B30" s="69"/>
      <c r="C30" s="652"/>
      <c r="D30" s="652"/>
      <c r="E30" s="652"/>
      <c r="F30" s="652"/>
      <c r="G30" s="652"/>
      <c r="H30" s="652"/>
      <c r="I30" s="652"/>
      <c r="J30" s="651"/>
      <c r="K30" s="651"/>
      <c r="L30" s="651"/>
      <c r="M30" s="651"/>
      <c r="N30" s="3" t="s">
        <v>4536</v>
      </c>
      <c r="O30" s="3" t="s">
        <v>701</v>
      </c>
      <c r="P30" s="3">
        <v>100</v>
      </c>
      <c r="Q30" s="3">
        <v>100</v>
      </c>
      <c r="R30" s="3">
        <v>100</v>
      </c>
      <c r="S30" s="3">
        <v>100</v>
      </c>
      <c r="T30" s="3">
        <v>100</v>
      </c>
      <c r="U30" s="3">
        <v>100</v>
      </c>
      <c r="V30" s="3">
        <v>100</v>
      </c>
      <c r="W30" s="3">
        <v>100</v>
      </c>
      <c r="X30" s="31" t="s">
        <v>4533</v>
      </c>
      <c r="Y30" s="3" t="s">
        <v>4537</v>
      </c>
      <c r="Z30" s="651"/>
    </row>
    <row r="31" spans="2:27" s="109" customFormat="1" ht="63">
      <c r="B31" s="69"/>
      <c r="C31" s="652"/>
      <c r="D31" s="652"/>
      <c r="E31" s="652"/>
      <c r="F31" s="652"/>
      <c r="G31" s="652"/>
      <c r="H31" s="652"/>
      <c r="I31" s="652"/>
      <c r="J31" s="651"/>
      <c r="K31" s="651"/>
      <c r="L31" s="651"/>
      <c r="M31" s="651"/>
      <c r="N31" s="3" t="s">
        <v>4538</v>
      </c>
      <c r="O31" s="3" t="s">
        <v>701</v>
      </c>
      <c r="P31" s="3">
        <v>100</v>
      </c>
      <c r="Q31" s="3">
        <v>100</v>
      </c>
      <c r="R31" s="3">
        <v>100</v>
      </c>
      <c r="S31" s="3">
        <v>100</v>
      </c>
      <c r="T31" s="3">
        <v>100</v>
      </c>
      <c r="U31" s="3">
        <v>100</v>
      </c>
      <c r="V31" s="3">
        <v>100</v>
      </c>
      <c r="W31" s="3">
        <v>100</v>
      </c>
      <c r="X31" s="31" t="s">
        <v>1710</v>
      </c>
      <c r="Y31" s="3" t="s">
        <v>4609</v>
      </c>
      <c r="Z31" s="651"/>
    </row>
    <row r="32" spans="2:27" s="109" customFormat="1" ht="47.25">
      <c r="B32" s="69"/>
      <c r="C32" s="652"/>
      <c r="D32" s="652"/>
      <c r="E32" s="652"/>
      <c r="F32" s="652"/>
      <c r="G32" s="652"/>
      <c r="H32" s="652"/>
      <c r="I32" s="652"/>
      <c r="J32" s="651">
        <v>1.05</v>
      </c>
      <c r="K32" s="651" t="s">
        <v>773</v>
      </c>
      <c r="L32" s="651">
        <v>17</v>
      </c>
      <c r="M32" s="39" t="s">
        <v>120</v>
      </c>
      <c r="N32" s="3" t="s">
        <v>1062</v>
      </c>
      <c r="O32" s="3" t="s">
        <v>701</v>
      </c>
      <c r="P32" s="3">
        <f>22/22*100</f>
        <v>100</v>
      </c>
      <c r="Q32" s="3">
        <f>28/32*100</f>
        <v>87.5</v>
      </c>
      <c r="R32" s="3">
        <v>100</v>
      </c>
      <c r="S32" s="3">
        <v>100</v>
      </c>
      <c r="T32" s="3">
        <v>100</v>
      </c>
      <c r="U32" s="3">
        <v>100</v>
      </c>
      <c r="V32" s="3">
        <v>100</v>
      </c>
      <c r="W32" s="3">
        <v>100</v>
      </c>
      <c r="X32" s="31" t="s">
        <v>1063</v>
      </c>
      <c r="Y32" s="3" t="s">
        <v>4539</v>
      </c>
      <c r="Z32" s="651"/>
    </row>
    <row r="33" spans="1:27" s="109" customFormat="1" ht="78.75">
      <c r="B33" s="69"/>
      <c r="C33" s="652"/>
      <c r="D33" s="652"/>
      <c r="E33" s="652"/>
      <c r="F33" s="652"/>
      <c r="G33" s="652"/>
      <c r="H33" s="652"/>
      <c r="I33" s="652"/>
      <c r="J33" s="651"/>
      <c r="K33" s="651"/>
      <c r="L33" s="651"/>
      <c r="M33" s="39"/>
      <c r="N33" s="83" t="s">
        <v>1064</v>
      </c>
      <c r="O33" s="83" t="s">
        <v>701</v>
      </c>
      <c r="P33" s="83">
        <v>85</v>
      </c>
      <c r="Q33" s="83">
        <v>90</v>
      </c>
      <c r="R33" s="83">
        <v>95</v>
      </c>
      <c r="S33" s="83">
        <v>100</v>
      </c>
      <c r="T33" s="83">
        <v>100</v>
      </c>
      <c r="U33" s="83">
        <v>100</v>
      </c>
      <c r="V33" s="83">
        <v>100</v>
      </c>
      <c r="W33" s="83">
        <v>100</v>
      </c>
      <c r="X33" s="441" t="s">
        <v>1065</v>
      </c>
      <c r="Y33" s="3" t="s">
        <v>4610</v>
      </c>
      <c r="Z33" s="3"/>
    </row>
    <row r="34" spans="1:27" s="109" customFormat="1" ht="63">
      <c r="B34" s="69"/>
      <c r="C34" s="653"/>
      <c r="D34" s="653"/>
      <c r="E34" s="653"/>
      <c r="F34" s="653"/>
      <c r="G34" s="653"/>
      <c r="H34" s="653"/>
      <c r="I34" s="653"/>
      <c r="J34" s="653" t="s">
        <v>295</v>
      </c>
      <c r="K34" s="653" t="s">
        <v>773</v>
      </c>
      <c r="L34" s="653">
        <v>24</v>
      </c>
      <c r="M34" s="11" t="s">
        <v>122</v>
      </c>
      <c r="N34" s="3" t="s">
        <v>4540</v>
      </c>
      <c r="O34" s="3" t="s">
        <v>701</v>
      </c>
      <c r="P34" s="3">
        <v>29.15</v>
      </c>
      <c r="Q34" s="3">
        <v>29.15</v>
      </c>
      <c r="R34" s="3">
        <v>29.15</v>
      </c>
      <c r="S34" s="3">
        <v>30</v>
      </c>
      <c r="T34" s="3">
        <v>30.25</v>
      </c>
      <c r="U34" s="3">
        <v>30.5</v>
      </c>
      <c r="V34" s="3">
        <v>31.25</v>
      </c>
      <c r="W34" s="3">
        <v>31.25</v>
      </c>
      <c r="X34" s="31" t="s">
        <v>4541</v>
      </c>
      <c r="Y34" s="3" t="s">
        <v>4542</v>
      </c>
      <c r="Z34" s="3"/>
    </row>
    <row r="35" spans="1:27" s="109" customFormat="1" ht="78.75">
      <c r="B35" s="69"/>
      <c r="C35" s="652"/>
      <c r="D35" s="652"/>
      <c r="E35" s="652"/>
      <c r="F35" s="652"/>
      <c r="G35" s="652"/>
      <c r="H35" s="652"/>
      <c r="I35" s="652"/>
      <c r="J35" s="651">
        <v>1.03</v>
      </c>
      <c r="K35" s="651" t="s">
        <v>773</v>
      </c>
      <c r="L35" s="651">
        <v>32</v>
      </c>
      <c r="M35" s="19" t="s">
        <v>116</v>
      </c>
      <c r="N35" s="83" t="s">
        <v>1066</v>
      </c>
      <c r="O35" s="83" t="s">
        <v>701</v>
      </c>
      <c r="P35" s="83">
        <v>15.8</v>
      </c>
      <c r="Q35" s="83">
        <v>16.100000000000001</v>
      </c>
      <c r="R35" s="83">
        <v>16.399999999999999</v>
      </c>
      <c r="S35" s="83">
        <v>16.7</v>
      </c>
      <c r="T35" s="83">
        <v>17</v>
      </c>
      <c r="U35" s="83">
        <v>17.3</v>
      </c>
      <c r="V35" s="83">
        <v>17.600000000000001</v>
      </c>
      <c r="W35" s="83">
        <v>17.600000000000001</v>
      </c>
      <c r="X35" s="441" t="s">
        <v>1033</v>
      </c>
      <c r="Y35" s="3" t="s">
        <v>4611</v>
      </c>
      <c r="Z35" s="3"/>
      <c r="AA35" s="20"/>
    </row>
    <row r="36" spans="1:27" s="109" customFormat="1" ht="78.75">
      <c r="A36" s="109" t="s">
        <v>4543</v>
      </c>
      <c r="B36" s="37" t="s">
        <v>20</v>
      </c>
      <c r="C36" s="651">
        <v>7</v>
      </c>
      <c r="D36" s="651" t="s">
        <v>1068</v>
      </c>
      <c r="E36" s="651">
        <v>7</v>
      </c>
      <c r="F36" s="651" t="s">
        <v>1069</v>
      </c>
      <c r="G36" s="651" t="s">
        <v>1070</v>
      </c>
      <c r="H36" s="651"/>
      <c r="I36" s="879" t="s">
        <v>5003</v>
      </c>
      <c r="J36" s="3" t="s">
        <v>295</v>
      </c>
      <c r="K36" s="3" t="s">
        <v>773</v>
      </c>
      <c r="L36" s="3">
        <v>16</v>
      </c>
      <c r="M36" s="11" t="s">
        <v>125</v>
      </c>
      <c r="N36" s="83" t="s">
        <v>4322</v>
      </c>
      <c r="O36" s="83" t="s">
        <v>701</v>
      </c>
      <c r="P36" s="83">
        <v>2.21</v>
      </c>
      <c r="Q36" s="83">
        <v>2.9</v>
      </c>
      <c r="R36" s="83">
        <v>4.9000000000000004</v>
      </c>
      <c r="S36" s="83">
        <v>7.5</v>
      </c>
      <c r="T36" s="83">
        <v>9.8000000000000007</v>
      </c>
      <c r="U36" s="83">
        <v>11.2</v>
      </c>
      <c r="V36" s="83">
        <v>14.5</v>
      </c>
      <c r="W36" s="83">
        <v>14.5</v>
      </c>
      <c r="X36" s="437" t="s">
        <v>1067</v>
      </c>
      <c r="Y36" s="3" t="s">
        <v>4544</v>
      </c>
      <c r="Z36" s="3"/>
    </row>
    <row r="37" spans="1:27" s="109" customFormat="1" ht="63">
      <c r="B37" s="69"/>
      <c r="C37" s="652"/>
      <c r="D37" s="652"/>
      <c r="E37" s="652"/>
      <c r="F37" s="652"/>
      <c r="G37" s="652"/>
      <c r="H37" s="652"/>
      <c r="I37" s="652"/>
      <c r="J37" s="3" t="s">
        <v>295</v>
      </c>
      <c r="K37" s="3" t="s">
        <v>773</v>
      </c>
      <c r="L37" s="3">
        <v>15</v>
      </c>
      <c r="M37" s="11" t="s">
        <v>124</v>
      </c>
      <c r="N37" s="83" t="s">
        <v>4545</v>
      </c>
      <c r="O37" s="83" t="s">
        <v>701</v>
      </c>
      <c r="P37" s="83">
        <v>10.38</v>
      </c>
      <c r="Q37" s="83">
        <v>10.35</v>
      </c>
      <c r="R37" s="83" t="s">
        <v>4274</v>
      </c>
      <c r="S37" s="83">
        <v>13</v>
      </c>
      <c r="T37" s="83" t="s">
        <v>4275</v>
      </c>
      <c r="U37" s="83">
        <v>14</v>
      </c>
      <c r="V37" s="83" t="s">
        <v>4276</v>
      </c>
      <c r="W37" s="83">
        <v>15</v>
      </c>
      <c r="X37" s="441" t="s">
        <v>1033</v>
      </c>
      <c r="Y37" s="3" t="s">
        <v>4546</v>
      </c>
      <c r="Z37" s="3"/>
      <c r="AA37" s="20"/>
    </row>
    <row r="38" spans="1:27" s="109" customFormat="1" ht="106.5" customHeight="1">
      <c r="B38" s="69"/>
      <c r="C38" s="652"/>
      <c r="D38" s="652"/>
      <c r="E38" s="652"/>
      <c r="F38" s="652"/>
      <c r="G38" s="652"/>
      <c r="H38" s="652"/>
      <c r="I38" s="652"/>
      <c r="J38" s="653"/>
      <c r="K38" s="653"/>
      <c r="L38" s="653"/>
      <c r="M38" s="434"/>
      <c r="N38" s="3" t="s">
        <v>4547</v>
      </c>
      <c r="O38" s="3" t="s">
        <v>701</v>
      </c>
      <c r="P38" s="3">
        <v>76</v>
      </c>
      <c r="Q38" s="3">
        <v>80</v>
      </c>
      <c r="R38" s="3">
        <v>80</v>
      </c>
      <c r="S38" s="3">
        <v>83</v>
      </c>
      <c r="T38" s="3">
        <v>85</v>
      </c>
      <c r="U38" s="3">
        <v>86</v>
      </c>
      <c r="V38" s="3">
        <v>87</v>
      </c>
      <c r="W38" s="3">
        <v>87</v>
      </c>
      <c r="X38" s="31" t="s">
        <v>1033</v>
      </c>
      <c r="Y38" s="3" t="s">
        <v>4548</v>
      </c>
      <c r="Z38" s="3"/>
      <c r="AA38" s="20"/>
    </row>
    <row r="39" spans="1:27" s="109" customFormat="1" ht="114.75" customHeight="1">
      <c r="B39" s="69"/>
      <c r="C39" s="652"/>
      <c r="D39" s="652"/>
      <c r="E39" s="652"/>
      <c r="F39" s="652"/>
      <c r="G39" s="652"/>
      <c r="H39" s="652"/>
      <c r="I39" s="652"/>
      <c r="J39" s="652"/>
      <c r="K39" s="652"/>
      <c r="L39" s="652"/>
      <c r="M39" s="11"/>
      <c r="N39" s="447" t="s">
        <v>4549</v>
      </c>
      <c r="O39" s="447" t="s">
        <v>701</v>
      </c>
      <c r="P39" s="447">
        <v>45</v>
      </c>
      <c r="Q39" s="447">
        <v>50</v>
      </c>
      <c r="R39" s="447">
        <v>55</v>
      </c>
      <c r="S39" s="448">
        <v>55</v>
      </c>
      <c r="T39" s="447">
        <v>60</v>
      </c>
      <c r="U39" s="447">
        <v>60</v>
      </c>
      <c r="V39" s="447">
        <v>65</v>
      </c>
      <c r="W39" s="447">
        <v>65</v>
      </c>
      <c r="X39" s="441" t="s">
        <v>1033</v>
      </c>
      <c r="Y39" s="438" t="s">
        <v>4550</v>
      </c>
      <c r="Z39" s="3" t="s">
        <v>4551</v>
      </c>
      <c r="AA39" s="20"/>
    </row>
    <row r="40" spans="1:27" s="109" customFormat="1" ht="47.25">
      <c r="B40" s="69"/>
      <c r="C40" s="652"/>
      <c r="D40" s="652"/>
      <c r="E40" s="652"/>
      <c r="F40" s="652"/>
      <c r="G40" s="652"/>
      <c r="H40" s="652"/>
      <c r="I40" s="652"/>
      <c r="J40" s="652"/>
      <c r="K40" s="652"/>
      <c r="L40" s="652"/>
      <c r="M40" s="434"/>
      <c r="N40" s="83" t="s">
        <v>4277</v>
      </c>
      <c r="O40" s="83" t="s">
        <v>742</v>
      </c>
      <c r="P40" s="83" t="s">
        <v>743</v>
      </c>
      <c r="Q40" s="83" t="s">
        <v>743</v>
      </c>
      <c r="R40" s="83" t="s">
        <v>743</v>
      </c>
      <c r="S40" s="83"/>
      <c r="T40" s="83"/>
      <c r="U40" s="83">
        <v>1</v>
      </c>
      <c r="V40" s="83">
        <v>1</v>
      </c>
      <c r="W40" s="83">
        <v>1</v>
      </c>
      <c r="X40" s="449" t="s">
        <v>4552</v>
      </c>
      <c r="Y40" s="3"/>
      <c r="Z40" s="3" t="s">
        <v>4323</v>
      </c>
      <c r="AA40" s="20"/>
    </row>
    <row r="41" spans="1:27" s="109" customFormat="1" ht="136.5" customHeight="1">
      <c r="B41" s="69"/>
      <c r="C41" s="652"/>
      <c r="D41" s="652"/>
      <c r="E41" s="651">
        <v>8</v>
      </c>
      <c r="F41" s="651" t="s">
        <v>1076</v>
      </c>
      <c r="G41" s="651" t="s">
        <v>1077</v>
      </c>
      <c r="H41" s="651"/>
      <c r="I41" s="879" t="s">
        <v>5004</v>
      </c>
      <c r="J41" s="651" t="s">
        <v>295</v>
      </c>
      <c r="K41" s="651" t="s">
        <v>773</v>
      </c>
      <c r="L41" s="651">
        <v>15</v>
      </c>
      <c r="M41" s="11" t="s">
        <v>125</v>
      </c>
      <c r="N41" s="3" t="s">
        <v>1075</v>
      </c>
      <c r="O41" s="3" t="s">
        <v>701</v>
      </c>
      <c r="P41" s="3">
        <v>100</v>
      </c>
      <c r="Q41" s="3">
        <v>100</v>
      </c>
      <c r="R41" s="3">
        <v>100</v>
      </c>
      <c r="S41" s="3">
        <v>100</v>
      </c>
      <c r="T41" s="3">
        <v>100</v>
      </c>
      <c r="U41" s="3">
        <v>100</v>
      </c>
      <c r="V41" s="3">
        <v>100</v>
      </c>
      <c r="W41" s="3">
        <v>100</v>
      </c>
      <c r="X41" s="31" t="s">
        <v>1072</v>
      </c>
      <c r="Y41" s="3" t="s">
        <v>4553</v>
      </c>
      <c r="Z41" s="3"/>
      <c r="AA41" s="20"/>
    </row>
    <row r="42" spans="1:27" s="109" customFormat="1" ht="193.5" customHeight="1">
      <c r="B42" s="69"/>
      <c r="C42" s="652"/>
      <c r="D42" s="652"/>
      <c r="E42" s="652"/>
      <c r="F42" s="652"/>
      <c r="G42" s="661"/>
      <c r="H42" s="652"/>
      <c r="I42" s="652"/>
      <c r="J42" s="651"/>
      <c r="K42" s="651"/>
      <c r="L42" s="651"/>
      <c r="M42" s="19"/>
      <c r="N42" s="3" t="s">
        <v>1074</v>
      </c>
      <c r="O42" s="3" t="s">
        <v>701</v>
      </c>
      <c r="P42" s="3" t="s">
        <v>1839</v>
      </c>
      <c r="Q42" s="3">
        <v>100</v>
      </c>
      <c r="R42" s="3">
        <v>100</v>
      </c>
      <c r="S42" s="3">
        <v>100</v>
      </c>
      <c r="T42" s="3">
        <v>100</v>
      </c>
      <c r="U42" s="3">
        <v>100</v>
      </c>
      <c r="V42" s="3">
        <v>100</v>
      </c>
      <c r="W42" s="3">
        <v>100</v>
      </c>
      <c r="X42" s="31" t="s">
        <v>1072</v>
      </c>
      <c r="Y42" s="3" t="s">
        <v>4554</v>
      </c>
      <c r="Z42" s="3"/>
      <c r="AA42" s="20"/>
    </row>
    <row r="43" spans="1:27" s="109" customFormat="1" ht="126">
      <c r="B43" s="69"/>
      <c r="C43" s="652"/>
      <c r="D43" s="652"/>
      <c r="E43" s="652"/>
      <c r="F43" s="652"/>
      <c r="G43" s="661"/>
      <c r="H43" s="652"/>
      <c r="I43" s="652"/>
      <c r="J43" s="651"/>
      <c r="K43" s="651"/>
      <c r="L43" s="651"/>
      <c r="M43" s="19"/>
      <c r="N43" s="3" t="s">
        <v>4324</v>
      </c>
      <c r="O43" s="3" t="s">
        <v>701</v>
      </c>
      <c r="P43" s="95" t="s">
        <v>743</v>
      </c>
      <c r="Q43" s="95" t="s">
        <v>743</v>
      </c>
      <c r="R43" s="3">
        <v>20</v>
      </c>
      <c r="S43" s="3">
        <v>40</v>
      </c>
      <c r="T43" s="3">
        <v>60</v>
      </c>
      <c r="U43" s="3">
        <v>80</v>
      </c>
      <c r="V43" s="3">
        <v>100</v>
      </c>
      <c r="W43" s="3">
        <v>100</v>
      </c>
      <c r="X43" s="31" t="s">
        <v>1072</v>
      </c>
      <c r="Y43" s="3" t="s">
        <v>4555</v>
      </c>
      <c r="Z43" s="3"/>
      <c r="AA43" s="20"/>
    </row>
    <row r="44" spans="1:27" s="109" customFormat="1" ht="126">
      <c r="B44" s="37"/>
      <c r="C44" s="651"/>
      <c r="D44" s="651"/>
      <c r="J44" s="3"/>
      <c r="K44" s="3"/>
      <c r="L44" s="3"/>
      <c r="M44" s="3"/>
      <c r="N44" s="3" t="s">
        <v>1071</v>
      </c>
      <c r="O44" s="3" t="s">
        <v>701</v>
      </c>
      <c r="P44" s="3">
        <v>100</v>
      </c>
      <c r="Q44" s="3">
        <v>100</v>
      </c>
      <c r="R44" s="3">
        <v>100</v>
      </c>
      <c r="S44" s="3">
        <v>100</v>
      </c>
      <c r="T44" s="3">
        <v>100</v>
      </c>
      <c r="U44" s="3">
        <v>100</v>
      </c>
      <c r="V44" s="3">
        <v>100</v>
      </c>
      <c r="W44" s="3">
        <v>100</v>
      </c>
      <c r="X44" s="31" t="s">
        <v>1072</v>
      </c>
      <c r="Y44" s="3" t="s">
        <v>4556</v>
      </c>
      <c r="Z44" s="3" t="s">
        <v>1073</v>
      </c>
    </row>
    <row r="45" spans="1:27" s="109" customFormat="1" ht="110.25">
      <c r="B45" s="77"/>
      <c r="C45" s="653"/>
      <c r="D45" s="653"/>
      <c r="E45" s="653"/>
      <c r="F45" s="653"/>
      <c r="G45" s="662"/>
      <c r="H45" s="653"/>
      <c r="I45" s="653"/>
      <c r="J45" s="653"/>
      <c r="K45" s="653"/>
      <c r="L45" s="653"/>
      <c r="M45" s="653"/>
      <c r="N45" s="3" t="s">
        <v>1078</v>
      </c>
      <c r="O45" s="3" t="s">
        <v>701</v>
      </c>
      <c r="P45" s="3">
        <v>100</v>
      </c>
      <c r="Q45" s="3">
        <v>100</v>
      </c>
      <c r="R45" s="3">
        <v>100</v>
      </c>
      <c r="S45" s="3">
        <v>100</v>
      </c>
      <c r="T45" s="3">
        <v>100</v>
      </c>
      <c r="U45" s="3">
        <v>100</v>
      </c>
      <c r="V45" s="3">
        <v>100</v>
      </c>
      <c r="W45" s="3">
        <v>100</v>
      </c>
      <c r="X45" s="31" t="s">
        <v>1072</v>
      </c>
      <c r="Y45" s="3" t="s">
        <v>4557</v>
      </c>
      <c r="Z45" s="3"/>
      <c r="AA45" s="20"/>
    </row>
    <row r="46" spans="1:27" s="109" customFormat="1" ht="78.75">
      <c r="B46" s="450" t="s">
        <v>1079</v>
      </c>
      <c r="C46" s="651">
        <v>9</v>
      </c>
      <c r="D46" s="651" t="s">
        <v>1080</v>
      </c>
      <c r="E46" s="651">
        <v>9</v>
      </c>
      <c r="F46" s="651" t="s">
        <v>1081</v>
      </c>
      <c r="G46" s="651" t="s">
        <v>1082</v>
      </c>
      <c r="H46" s="651"/>
      <c r="I46" s="879" t="s">
        <v>5005</v>
      </c>
      <c r="J46" s="651">
        <v>2.0299999999999998</v>
      </c>
      <c r="K46" s="651" t="s">
        <v>773</v>
      </c>
      <c r="L46" s="651">
        <v>17</v>
      </c>
      <c r="M46" s="11" t="s">
        <v>593</v>
      </c>
      <c r="N46" s="83" t="s">
        <v>4558</v>
      </c>
      <c r="O46" s="83" t="s">
        <v>742</v>
      </c>
      <c r="P46" s="83">
        <v>5</v>
      </c>
      <c r="Q46" s="83">
        <v>5</v>
      </c>
      <c r="R46" s="83">
        <v>6</v>
      </c>
      <c r="S46" s="83">
        <v>6</v>
      </c>
      <c r="T46" s="83">
        <v>7</v>
      </c>
      <c r="U46" s="83">
        <v>7</v>
      </c>
      <c r="V46" s="83">
        <v>8</v>
      </c>
      <c r="W46" s="83">
        <v>8</v>
      </c>
      <c r="X46" s="451" t="s">
        <v>4559</v>
      </c>
      <c r="Y46" s="469" t="s">
        <v>4560</v>
      </c>
      <c r="Z46" s="3"/>
    </row>
    <row r="47" spans="1:27" s="109" customFormat="1" ht="110.25">
      <c r="B47" s="37" t="s">
        <v>19</v>
      </c>
      <c r="C47" s="651">
        <v>10</v>
      </c>
      <c r="D47" s="651" t="s">
        <v>1083</v>
      </c>
      <c r="E47" s="651">
        <v>10</v>
      </c>
      <c r="F47" s="651" t="s">
        <v>1084</v>
      </c>
      <c r="G47" s="651" t="s">
        <v>1085</v>
      </c>
      <c r="H47" s="651" t="s">
        <v>1086</v>
      </c>
      <c r="I47" s="879" t="s">
        <v>5006</v>
      </c>
      <c r="J47" s="43" t="s">
        <v>285</v>
      </c>
      <c r="K47" s="651" t="s">
        <v>773</v>
      </c>
      <c r="L47" s="651">
        <v>17</v>
      </c>
      <c r="M47" s="44" t="s">
        <v>129</v>
      </c>
      <c r="N47" s="3" t="s">
        <v>1087</v>
      </c>
      <c r="O47" s="3" t="s">
        <v>701</v>
      </c>
      <c r="P47" s="3">
        <v>81.400000000000006</v>
      </c>
      <c r="Q47" s="3">
        <v>90.2</v>
      </c>
      <c r="R47" s="3">
        <v>91.4</v>
      </c>
      <c r="S47" s="3">
        <v>92.3</v>
      </c>
      <c r="T47" s="3">
        <v>93.7</v>
      </c>
      <c r="U47" s="3">
        <v>94.3</v>
      </c>
      <c r="V47" s="3">
        <v>95</v>
      </c>
      <c r="W47" s="3">
        <v>95</v>
      </c>
      <c r="X47" s="31" t="s">
        <v>1088</v>
      </c>
      <c r="Y47" s="3" t="s">
        <v>4325</v>
      </c>
      <c r="Z47" s="3" t="s">
        <v>4561</v>
      </c>
    </row>
    <row r="48" spans="1:27" s="109" customFormat="1" ht="84" customHeight="1">
      <c r="B48" s="69"/>
      <c r="C48" s="652"/>
      <c r="D48" s="652"/>
      <c r="E48" s="652"/>
      <c r="F48" s="652"/>
      <c r="G48" s="652"/>
      <c r="H48" s="652"/>
      <c r="I48" s="652"/>
      <c r="J48" s="43" t="s">
        <v>285</v>
      </c>
      <c r="K48" s="651" t="s">
        <v>773</v>
      </c>
      <c r="L48" s="651">
        <v>16</v>
      </c>
      <c r="M48" s="11" t="s">
        <v>128</v>
      </c>
      <c r="N48" s="3" t="s">
        <v>1089</v>
      </c>
      <c r="O48" s="3" t="s">
        <v>701</v>
      </c>
      <c r="P48" s="3">
        <v>81.400000000000006</v>
      </c>
      <c r="Q48" s="3">
        <v>90.2</v>
      </c>
      <c r="R48" s="3">
        <v>91.4</v>
      </c>
      <c r="S48" s="3">
        <v>92.3</v>
      </c>
      <c r="T48" s="3">
        <v>93.7</v>
      </c>
      <c r="U48" s="3">
        <v>94.3</v>
      </c>
      <c r="V48" s="3">
        <v>95</v>
      </c>
      <c r="W48" s="3">
        <v>95</v>
      </c>
      <c r="X48" s="31" t="s">
        <v>1088</v>
      </c>
      <c r="Y48" s="20" t="s">
        <v>4562</v>
      </c>
      <c r="Z48" s="3"/>
      <c r="AA48" s="20"/>
    </row>
    <row r="49" spans="2:27" s="109" customFormat="1" ht="39.75" customHeight="1">
      <c r="B49" s="69"/>
      <c r="C49" s="652"/>
      <c r="D49" s="652"/>
      <c r="E49" s="652"/>
      <c r="F49" s="652"/>
      <c r="G49" s="652"/>
      <c r="H49" s="652"/>
      <c r="I49" s="652"/>
      <c r="J49" s="43" t="s">
        <v>285</v>
      </c>
      <c r="K49" s="651" t="s">
        <v>773</v>
      </c>
      <c r="L49" s="651">
        <v>18</v>
      </c>
      <c r="M49" s="519" t="s">
        <v>130</v>
      </c>
      <c r="N49" s="3" t="s">
        <v>4563</v>
      </c>
      <c r="O49" s="3" t="s">
        <v>1090</v>
      </c>
      <c r="P49" s="3">
        <v>1</v>
      </c>
      <c r="Q49" s="3">
        <v>1</v>
      </c>
      <c r="R49" s="3">
        <v>1</v>
      </c>
      <c r="S49" s="3">
        <v>1</v>
      </c>
      <c r="T49" s="3">
        <v>1</v>
      </c>
      <c r="U49" s="3">
        <v>1</v>
      </c>
      <c r="V49" s="3">
        <v>1</v>
      </c>
      <c r="W49" s="3">
        <v>1</v>
      </c>
      <c r="X49" s="31" t="s">
        <v>1088</v>
      </c>
      <c r="Y49" s="452" t="s">
        <v>742</v>
      </c>
      <c r="Z49" s="3"/>
      <c r="AA49" s="20"/>
    </row>
    <row r="50" spans="2:27" s="109" customFormat="1" ht="31.5">
      <c r="B50" s="69"/>
      <c r="C50" s="652"/>
      <c r="D50" s="652"/>
      <c r="E50" s="652"/>
      <c r="F50" s="652"/>
      <c r="G50" s="652"/>
      <c r="H50" s="652"/>
      <c r="I50" s="652"/>
      <c r="J50" s="652"/>
      <c r="K50" s="652"/>
      <c r="L50" s="652"/>
      <c r="M50" s="22"/>
      <c r="N50" s="3" t="s">
        <v>4564</v>
      </c>
      <c r="O50" s="3" t="s">
        <v>1090</v>
      </c>
      <c r="P50" s="3">
        <v>12</v>
      </c>
      <c r="Q50" s="3">
        <v>12</v>
      </c>
      <c r="R50" s="3">
        <v>12</v>
      </c>
      <c r="S50" s="3">
        <v>12</v>
      </c>
      <c r="T50" s="3">
        <v>12</v>
      </c>
      <c r="U50" s="3">
        <v>12</v>
      </c>
      <c r="V50" s="3">
        <v>12</v>
      </c>
      <c r="W50" s="3">
        <v>12</v>
      </c>
      <c r="X50" s="31" t="s">
        <v>1088</v>
      </c>
      <c r="Y50" s="452" t="s">
        <v>742</v>
      </c>
      <c r="Z50" s="3"/>
      <c r="AA50" s="20"/>
    </row>
    <row r="51" spans="2:27" s="109" customFormat="1" ht="63">
      <c r="B51" s="69"/>
      <c r="C51" s="652"/>
      <c r="D51" s="652"/>
      <c r="E51" s="652"/>
      <c r="F51" s="652"/>
      <c r="G51" s="652"/>
      <c r="H51" s="652"/>
      <c r="I51" s="652"/>
      <c r="J51" s="653"/>
      <c r="K51" s="653"/>
      <c r="L51" s="653"/>
      <c r="M51" s="23"/>
      <c r="N51" s="3" t="s">
        <v>1091</v>
      </c>
      <c r="O51" s="3" t="s">
        <v>701</v>
      </c>
      <c r="P51" s="3">
        <v>50</v>
      </c>
      <c r="Q51" s="3">
        <v>60</v>
      </c>
      <c r="R51" s="3">
        <v>61</v>
      </c>
      <c r="S51" s="3">
        <v>63</v>
      </c>
      <c r="T51" s="3">
        <v>65</v>
      </c>
      <c r="U51" s="3">
        <v>67</v>
      </c>
      <c r="V51" s="3">
        <v>69</v>
      </c>
      <c r="W51" s="3">
        <v>69</v>
      </c>
      <c r="X51" s="31" t="s">
        <v>1088</v>
      </c>
      <c r="Y51" s="3" t="s">
        <v>4326</v>
      </c>
      <c r="Z51" s="3"/>
      <c r="AA51" s="20"/>
    </row>
    <row r="52" spans="2:27" s="109" customFormat="1" ht="78.75" customHeight="1">
      <c r="B52" s="69"/>
      <c r="C52" s="652"/>
      <c r="D52" s="652"/>
      <c r="E52" s="652"/>
      <c r="F52" s="652"/>
      <c r="G52" s="652"/>
      <c r="H52" s="652"/>
      <c r="I52" s="652"/>
      <c r="J52" s="43" t="s">
        <v>285</v>
      </c>
      <c r="K52" s="651" t="s">
        <v>773</v>
      </c>
      <c r="L52" s="651">
        <v>17</v>
      </c>
      <c r="M52" s="44" t="s">
        <v>129</v>
      </c>
      <c r="N52" s="3" t="s">
        <v>1092</v>
      </c>
      <c r="O52" s="3" t="s">
        <v>701</v>
      </c>
      <c r="P52" s="3">
        <v>70</v>
      </c>
      <c r="Q52" s="3">
        <v>70</v>
      </c>
      <c r="R52" s="3">
        <v>80</v>
      </c>
      <c r="S52" s="3">
        <v>80</v>
      </c>
      <c r="T52" s="3">
        <v>80</v>
      </c>
      <c r="U52" s="3">
        <v>80</v>
      </c>
      <c r="V52" s="3">
        <v>90</v>
      </c>
      <c r="W52" s="3">
        <v>90</v>
      </c>
      <c r="X52" s="31" t="s">
        <v>1088</v>
      </c>
      <c r="Y52" s="3" t="s">
        <v>4327</v>
      </c>
      <c r="Z52" s="3"/>
      <c r="AA52" s="20"/>
    </row>
    <row r="53" spans="2:27" s="109" customFormat="1" ht="78.75">
      <c r="B53" s="69"/>
      <c r="C53" s="652"/>
      <c r="D53" s="652"/>
      <c r="E53" s="652"/>
      <c r="F53" s="652"/>
      <c r="G53" s="652"/>
      <c r="H53" s="652"/>
      <c r="I53" s="652"/>
      <c r="J53" s="652"/>
      <c r="K53" s="652"/>
      <c r="L53" s="652"/>
      <c r="M53" s="22"/>
      <c r="N53" s="3" t="s">
        <v>1093</v>
      </c>
      <c r="O53" s="3" t="s">
        <v>701</v>
      </c>
      <c r="P53" s="3">
        <v>50</v>
      </c>
      <c r="Q53" s="3">
        <v>60</v>
      </c>
      <c r="R53" s="3">
        <v>61</v>
      </c>
      <c r="S53" s="3">
        <v>63</v>
      </c>
      <c r="T53" s="3">
        <v>65</v>
      </c>
      <c r="U53" s="3">
        <v>67</v>
      </c>
      <c r="V53" s="3">
        <v>69</v>
      </c>
      <c r="W53" s="3">
        <v>69</v>
      </c>
      <c r="X53" s="31" t="s">
        <v>1088</v>
      </c>
      <c r="Y53" s="3" t="s">
        <v>1094</v>
      </c>
      <c r="Z53" s="3"/>
      <c r="AA53" s="20"/>
    </row>
    <row r="54" spans="2:27" s="109" customFormat="1" ht="94.5">
      <c r="B54" s="77"/>
      <c r="C54" s="798"/>
      <c r="D54" s="798"/>
      <c r="E54" s="798"/>
      <c r="F54" s="798"/>
      <c r="G54" s="798"/>
      <c r="H54" s="798"/>
      <c r="I54" s="798"/>
      <c r="J54" s="798"/>
      <c r="K54" s="798"/>
      <c r="L54" s="798"/>
      <c r="M54" s="23"/>
      <c r="N54" s="3" t="s">
        <v>1095</v>
      </c>
      <c r="O54" s="3" t="s">
        <v>701</v>
      </c>
      <c r="P54" s="3">
        <v>100</v>
      </c>
      <c r="Q54" s="3">
        <v>100</v>
      </c>
      <c r="R54" s="3">
        <v>100</v>
      </c>
      <c r="S54" s="3">
        <v>100</v>
      </c>
      <c r="T54" s="3">
        <v>100</v>
      </c>
      <c r="U54" s="3">
        <v>100</v>
      </c>
      <c r="V54" s="3">
        <v>100</v>
      </c>
      <c r="W54" s="3">
        <v>100</v>
      </c>
      <c r="X54" s="31" t="s">
        <v>1088</v>
      </c>
      <c r="Y54" s="3" t="s">
        <v>1096</v>
      </c>
      <c r="Z54" s="3"/>
      <c r="AA54" s="20"/>
    </row>
    <row r="55" spans="2:27" s="24" customFormat="1" ht="12.75">
      <c r="B55" s="111"/>
      <c r="C55" s="25"/>
      <c r="D55" s="25"/>
      <c r="E55" s="25"/>
      <c r="I55" s="26"/>
      <c r="J55" s="26"/>
      <c r="K55" s="26"/>
      <c r="L55" s="26"/>
      <c r="M55" s="26"/>
      <c r="S55" s="26"/>
      <c r="X55" s="25"/>
    </row>
    <row r="56" spans="2:27" s="24" customFormat="1" ht="12.75">
      <c r="B56" s="111"/>
      <c r="C56" s="25"/>
      <c r="D56" s="25"/>
      <c r="E56" s="25"/>
      <c r="F56" s="25"/>
      <c r="G56" s="26"/>
      <c r="I56" s="26"/>
      <c r="J56" s="26"/>
      <c r="K56" s="26"/>
      <c r="L56" s="26"/>
      <c r="M56" s="26"/>
      <c r="N56" s="25"/>
      <c r="Q56" s="25"/>
      <c r="R56" s="25"/>
      <c r="S56" s="26"/>
      <c r="T56" s="25"/>
      <c r="U56" s="26"/>
      <c r="V56" s="26"/>
      <c r="W56" s="26"/>
      <c r="X56" s="25"/>
    </row>
    <row r="57" spans="2:27" s="24" customFormat="1" ht="12.75">
      <c r="B57" s="111"/>
      <c r="C57" s="25"/>
      <c r="D57" s="25"/>
      <c r="E57" s="25"/>
      <c r="F57" s="25"/>
      <c r="G57" s="26"/>
      <c r="I57" s="26"/>
      <c r="J57" s="26"/>
      <c r="K57" s="26"/>
      <c r="L57" s="26"/>
      <c r="M57" s="26"/>
      <c r="N57" s="25"/>
      <c r="Q57" s="25"/>
      <c r="R57" s="25"/>
      <c r="S57" s="26"/>
      <c r="T57" s="25"/>
      <c r="U57" s="26"/>
      <c r="V57" s="26"/>
      <c r="W57" s="26"/>
      <c r="X57" s="25"/>
    </row>
    <row r="58" spans="2:27" s="24" customFormat="1" ht="12.75">
      <c r="B58" s="111"/>
      <c r="C58" s="25"/>
      <c r="D58" s="25"/>
      <c r="E58" s="25"/>
      <c r="F58" s="25"/>
      <c r="G58" s="26"/>
      <c r="I58" s="26"/>
      <c r="J58" s="26"/>
      <c r="K58" s="26"/>
      <c r="L58" s="26"/>
      <c r="M58" s="26"/>
      <c r="N58" s="25"/>
      <c r="Q58" s="25"/>
      <c r="R58" s="25"/>
      <c r="S58" s="26"/>
      <c r="T58" s="25"/>
      <c r="U58" s="26"/>
      <c r="V58" s="26"/>
      <c r="W58" s="26"/>
      <c r="X58" s="25"/>
    </row>
    <row r="59" spans="2:27" s="24" customFormat="1" ht="12.75">
      <c r="B59" s="111"/>
      <c r="C59" s="25"/>
      <c r="D59" s="25"/>
      <c r="E59" s="25"/>
      <c r="F59" s="25"/>
      <c r="K59" s="25"/>
      <c r="L59" s="25"/>
      <c r="M59" s="25"/>
      <c r="N59" s="25"/>
      <c r="Q59" s="25"/>
      <c r="R59" s="25"/>
      <c r="S59" s="25"/>
      <c r="V59" s="25"/>
      <c r="W59" s="25"/>
      <c r="X59" s="25"/>
    </row>
    <row r="60" spans="2:27" s="24" customFormat="1" ht="12.75">
      <c r="B60" s="111"/>
      <c r="C60" s="25"/>
      <c r="D60" s="25"/>
      <c r="E60" s="25"/>
      <c r="F60" s="25"/>
      <c r="N60" s="25"/>
      <c r="X60" s="112"/>
    </row>
    <row r="61" spans="2:27" s="24" customFormat="1" ht="12.75">
      <c r="B61" s="111"/>
      <c r="C61" s="25"/>
      <c r="D61" s="25"/>
      <c r="E61" s="25"/>
      <c r="F61" s="25"/>
      <c r="K61" s="25"/>
      <c r="L61" s="25"/>
      <c r="M61" s="25"/>
      <c r="N61" s="25"/>
      <c r="S61" s="25"/>
      <c r="V61" s="25"/>
      <c r="W61" s="25"/>
      <c r="X61" s="25"/>
    </row>
    <row r="62" spans="2:27" s="24" customFormat="1" ht="12.75">
      <c r="B62" s="111"/>
      <c r="C62" s="25"/>
      <c r="D62" s="25"/>
      <c r="E62" s="25"/>
      <c r="F62" s="25"/>
      <c r="K62" s="25"/>
      <c r="L62" s="25"/>
      <c r="M62" s="25"/>
      <c r="N62" s="25"/>
      <c r="S62" s="25"/>
      <c r="V62" s="25"/>
      <c r="W62" s="25"/>
      <c r="X62" s="25"/>
    </row>
    <row r="63" spans="2:27" s="24" customFormat="1" ht="12.75">
      <c r="B63" s="111"/>
      <c r="C63" s="25"/>
      <c r="D63" s="25"/>
      <c r="E63" s="25"/>
      <c r="F63" s="25"/>
      <c r="K63" s="25"/>
      <c r="L63" s="25"/>
      <c r="M63" s="25"/>
      <c r="N63" s="25"/>
      <c r="S63" s="25"/>
      <c r="V63" s="25"/>
      <c r="W63" s="25"/>
      <c r="X63" s="25"/>
    </row>
    <row r="64" spans="2:27" s="24" customFormat="1" ht="12.75">
      <c r="B64" s="111"/>
      <c r="C64" s="25"/>
      <c r="D64" s="25"/>
      <c r="E64" s="25"/>
      <c r="F64" s="25"/>
      <c r="G64" s="25"/>
      <c r="I64" s="25"/>
      <c r="J64" s="25"/>
      <c r="K64" s="25"/>
      <c r="L64" s="25"/>
      <c r="M64" s="25"/>
      <c r="N64" s="25"/>
      <c r="S64" s="25"/>
      <c r="U64" s="25"/>
      <c r="V64" s="25"/>
      <c r="W64" s="25"/>
      <c r="X64" s="25"/>
    </row>
    <row r="65" spans="2:24" s="24" customFormat="1" ht="12.75">
      <c r="B65" s="111"/>
      <c r="C65" s="25"/>
      <c r="D65" s="25"/>
      <c r="E65" s="25"/>
      <c r="F65" s="25"/>
      <c r="G65" s="26"/>
      <c r="I65" s="26"/>
      <c r="J65" s="26"/>
      <c r="K65" s="26"/>
      <c r="L65" s="26"/>
      <c r="M65" s="26"/>
      <c r="N65" s="25"/>
      <c r="S65" s="25"/>
      <c r="U65" s="26"/>
      <c r="V65" s="26"/>
      <c r="W65" s="26"/>
      <c r="X65" s="25"/>
    </row>
    <row r="66" spans="2:24" s="24" customFormat="1" ht="12.75">
      <c r="B66" s="111"/>
      <c r="C66" s="25"/>
      <c r="D66" s="25"/>
      <c r="E66" s="25"/>
      <c r="F66" s="25"/>
      <c r="G66" s="26"/>
      <c r="I66" s="26"/>
      <c r="J66" s="26"/>
      <c r="K66" s="26"/>
      <c r="L66" s="26"/>
      <c r="M66" s="26"/>
      <c r="N66" s="25"/>
      <c r="S66" s="25"/>
      <c r="U66" s="26"/>
      <c r="V66" s="26"/>
      <c r="W66" s="26"/>
      <c r="X66" s="25"/>
    </row>
    <row r="67" spans="2:24" s="24" customFormat="1" ht="12.75">
      <c r="B67" s="111"/>
      <c r="C67" s="25"/>
      <c r="D67" s="25"/>
      <c r="E67" s="25"/>
      <c r="F67" s="25"/>
      <c r="G67" s="26"/>
      <c r="I67" s="26"/>
      <c r="J67" s="26"/>
      <c r="K67" s="26"/>
      <c r="L67" s="26"/>
      <c r="M67" s="26"/>
      <c r="N67" s="25"/>
      <c r="S67" s="25"/>
      <c r="U67" s="26"/>
      <c r="V67" s="26"/>
      <c r="W67" s="26"/>
      <c r="X67" s="25"/>
    </row>
    <row r="68" spans="2:24" s="24" customFormat="1" ht="12.75">
      <c r="B68" s="111"/>
      <c r="C68" s="25"/>
      <c r="D68" s="25"/>
      <c r="E68" s="25"/>
      <c r="F68" s="25"/>
      <c r="G68" s="26"/>
      <c r="I68" s="26"/>
      <c r="J68" s="26"/>
      <c r="K68" s="26"/>
      <c r="L68" s="26"/>
      <c r="M68" s="26"/>
      <c r="N68" s="25"/>
      <c r="S68" s="25"/>
      <c r="U68" s="26"/>
      <c r="V68" s="26"/>
      <c r="W68" s="26"/>
      <c r="X68" s="25"/>
    </row>
    <row r="69" spans="2:24" s="24" customFormat="1" ht="12.75">
      <c r="B69" s="111"/>
      <c r="C69" s="25"/>
      <c r="D69" s="25"/>
      <c r="E69" s="25"/>
      <c r="F69" s="25"/>
      <c r="G69" s="26"/>
      <c r="I69" s="26"/>
      <c r="J69" s="26"/>
      <c r="K69" s="26"/>
      <c r="L69" s="26"/>
      <c r="M69" s="26"/>
      <c r="N69" s="25"/>
      <c r="S69" s="25"/>
      <c r="U69" s="26"/>
      <c r="V69" s="26"/>
      <c r="W69" s="26"/>
      <c r="X69" s="25"/>
    </row>
    <row r="70" spans="2:24" s="24" customFormat="1" ht="12.75">
      <c r="B70" s="111"/>
      <c r="C70" s="25"/>
      <c r="D70" s="25"/>
      <c r="E70" s="25"/>
      <c r="F70" s="25"/>
      <c r="G70" s="26"/>
      <c r="I70" s="26"/>
      <c r="J70" s="26"/>
      <c r="K70" s="26"/>
      <c r="L70" s="26"/>
      <c r="M70" s="26"/>
      <c r="N70" s="25"/>
      <c r="S70" s="25"/>
      <c r="U70" s="26"/>
      <c r="V70" s="26"/>
      <c r="W70" s="26"/>
      <c r="X70" s="25"/>
    </row>
    <row r="71" spans="2:24" s="24" customFormat="1" ht="12.75">
      <c r="B71" s="111"/>
      <c r="C71" s="25"/>
      <c r="D71" s="25"/>
      <c r="E71" s="25"/>
      <c r="F71" s="25"/>
      <c r="K71" s="25"/>
      <c r="L71" s="25"/>
      <c r="M71" s="25"/>
      <c r="N71" s="25"/>
      <c r="S71" s="25"/>
      <c r="V71" s="25"/>
      <c r="W71" s="25"/>
      <c r="X71" s="25"/>
    </row>
    <row r="72" spans="2:24" s="24" customFormat="1" ht="12.75">
      <c r="B72" s="111"/>
      <c r="C72" s="25"/>
      <c r="D72" s="25"/>
      <c r="E72" s="25"/>
      <c r="F72" s="25"/>
      <c r="K72" s="25"/>
      <c r="L72" s="25"/>
      <c r="M72" s="25"/>
      <c r="N72" s="25"/>
      <c r="S72" s="25"/>
      <c r="V72" s="25"/>
      <c r="W72" s="25"/>
      <c r="X72" s="25"/>
    </row>
    <row r="73" spans="2:24" s="24" customFormat="1" ht="12.75">
      <c r="B73" s="111"/>
      <c r="C73" s="25"/>
      <c r="D73" s="25"/>
      <c r="E73" s="25"/>
      <c r="F73" s="25"/>
      <c r="K73" s="25"/>
      <c r="L73" s="25"/>
      <c r="M73" s="25"/>
      <c r="N73" s="25"/>
      <c r="V73" s="25"/>
      <c r="W73" s="25"/>
      <c r="X73" s="25"/>
    </row>
    <row r="74" spans="2:24" s="24" customFormat="1" ht="15" customHeight="1">
      <c r="B74" s="113"/>
      <c r="K74" s="25"/>
      <c r="L74" s="25"/>
      <c r="M74" s="25"/>
      <c r="V74" s="25"/>
      <c r="W74" s="25"/>
      <c r="X74" s="25"/>
    </row>
    <row r="75" spans="2:24" s="24" customFormat="1" ht="15" customHeight="1">
      <c r="B75" s="113"/>
      <c r="G75" s="25"/>
      <c r="I75" s="25"/>
      <c r="J75" s="25"/>
      <c r="K75" s="25"/>
      <c r="L75" s="25"/>
      <c r="M75" s="25"/>
      <c r="U75" s="25"/>
      <c r="V75" s="25"/>
      <c r="W75" s="25"/>
      <c r="X75" s="25"/>
    </row>
    <row r="76" spans="2:24" s="24" customFormat="1" ht="15" customHeight="1">
      <c r="B76" s="113"/>
      <c r="G76" s="26"/>
      <c r="I76" s="26"/>
      <c r="J76" s="26"/>
      <c r="K76" s="26"/>
      <c r="L76" s="26"/>
      <c r="M76" s="26"/>
      <c r="U76" s="26"/>
      <c r="V76" s="26"/>
      <c r="W76" s="26"/>
      <c r="X76" s="25"/>
    </row>
    <row r="77" spans="2:24" s="24" customFormat="1" ht="15" customHeight="1">
      <c r="B77" s="113"/>
      <c r="G77" s="26"/>
      <c r="I77" s="26"/>
      <c r="J77" s="26"/>
      <c r="K77" s="26"/>
      <c r="L77" s="26"/>
      <c r="M77" s="26"/>
      <c r="U77" s="26"/>
      <c r="V77" s="26"/>
      <c r="W77" s="26"/>
      <c r="X77" s="25"/>
    </row>
    <row r="78" spans="2:24" s="24" customFormat="1" ht="15" customHeight="1">
      <c r="B78" s="113"/>
      <c r="G78" s="26"/>
      <c r="I78" s="26"/>
      <c r="J78" s="26"/>
      <c r="K78" s="26"/>
      <c r="L78" s="26"/>
      <c r="M78" s="26"/>
      <c r="U78" s="26"/>
      <c r="V78" s="26"/>
      <c r="W78" s="26"/>
      <c r="X78" s="25"/>
    </row>
    <row r="79" spans="2:24" s="24" customFormat="1" ht="15" customHeight="1">
      <c r="B79" s="113"/>
      <c r="G79" s="26"/>
      <c r="I79" s="26"/>
      <c r="J79" s="26"/>
      <c r="K79" s="26"/>
      <c r="L79" s="26"/>
      <c r="M79" s="26"/>
      <c r="U79" s="26"/>
      <c r="V79" s="26"/>
      <c r="W79" s="26"/>
      <c r="X79" s="25"/>
    </row>
    <row r="80" spans="2:24" s="24" customFormat="1" ht="15" customHeight="1">
      <c r="B80" s="113"/>
      <c r="K80" s="25"/>
      <c r="L80" s="25"/>
      <c r="M80" s="25"/>
      <c r="V80" s="25"/>
      <c r="W80" s="25"/>
      <c r="X80" s="25"/>
    </row>
    <row r="81" spans="2:24" s="24" customFormat="1" ht="15" customHeight="1">
      <c r="B81" s="113"/>
      <c r="K81" s="25"/>
      <c r="L81" s="25"/>
      <c r="M81" s="25"/>
      <c r="V81" s="25"/>
      <c r="W81" s="25"/>
      <c r="X81" s="25"/>
    </row>
    <row r="82" spans="2:24" s="24" customFormat="1" ht="15" customHeight="1">
      <c r="B82" s="113"/>
      <c r="K82" s="25"/>
      <c r="L82" s="25"/>
      <c r="M82" s="25"/>
      <c r="V82" s="25"/>
      <c r="W82" s="25"/>
      <c r="X82" s="25"/>
    </row>
    <row r="83" spans="2:24" s="24" customFormat="1" ht="15" customHeight="1">
      <c r="B83" s="113"/>
      <c r="K83" s="25"/>
      <c r="L83" s="25"/>
      <c r="M83" s="25"/>
      <c r="V83" s="25"/>
      <c r="W83" s="25"/>
      <c r="X83" s="25"/>
    </row>
    <row r="84" spans="2:24" s="24" customFormat="1" ht="15" customHeight="1">
      <c r="B84" s="113"/>
      <c r="K84" s="25"/>
      <c r="L84" s="25"/>
      <c r="M84" s="25"/>
      <c r="V84" s="25"/>
      <c r="W84" s="25"/>
      <c r="X84" s="25"/>
    </row>
    <row r="85" spans="2:24" s="24" customFormat="1" ht="15" customHeight="1">
      <c r="B85" s="113"/>
      <c r="G85" s="25"/>
      <c r="I85" s="25"/>
      <c r="J85" s="25"/>
      <c r="K85" s="25"/>
      <c r="L85" s="25"/>
      <c r="M85" s="25"/>
      <c r="U85" s="25"/>
      <c r="V85" s="25"/>
      <c r="W85" s="25"/>
      <c r="X85" s="25"/>
    </row>
    <row r="86" spans="2:24" s="24" customFormat="1" ht="15" customHeight="1">
      <c r="B86" s="113"/>
      <c r="G86" s="26"/>
      <c r="I86" s="26"/>
      <c r="J86" s="26"/>
      <c r="K86" s="26"/>
      <c r="L86" s="26"/>
      <c r="M86" s="26"/>
      <c r="U86" s="26"/>
      <c r="V86" s="26"/>
      <c r="W86" s="26"/>
      <c r="X86" s="25"/>
    </row>
    <row r="87" spans="2:24" s="24" customFormat="1" ht="15" customHeight="1">
      <c r="B87" s="113"/>
      <c r="G87" s="26"/>
      <c r="I87" s="26"/>
      <c r="J87" s="26"/>
      <c r="K87" s="26"/>
      <c r="L87" s="26"/>
      <c r="M87" s="26"/>
      <c r="U87" s="26"/>
      <c r="V87" s="26"/>
      <c r="W87" s="26"/>
      <c r="X87" s="25"/>
    </row>
    <row r="88" spans="2:24" s="24" customFormat="1" ht="15" customHeight="1">
      <c r="B88" s="113"/>
      <c r="G88" s="26"/>
      <c r="I88" s="26"/>
      <c r="J88" s="26"/>
      <c r="K88" s="26"/>
      <c r="L88" s="26"/>
      <c r="M88" s="26"/>
      <c r="U88" s="26"/>
      <c r="V88" s="26"/>
      <c r="W88" s="26"/>
      <c r="X88" s="25"/>
    </row>
    <row r="89" spans="2:24" s="24" customFormat="1" ht="15" customHeight="1">
      <c r="B89" s="113"/>
      <c r="G89" s="26"/>
      <c r="I89" s="26"/>
      <c r="J89" s="26"/>
      <c r="K89" s="26"/>
      <c r="L89" s="26"/>
      <c r="M89" s="26"/>
      <c r="U89" s="26"/>
      <c r="V89" s="26"/>
      <c r="W89" s="26"/>
      <c r="X89" s="25"/>
    </row>
    <row r="90" spans="2:24" s="24" customFormat="1" ht="15" customHeight="1">
      <c r="B90" s="113"/>
      <c r="K90" s="25"/>
      <c r="L90" s="25"/>
      <c r="M90" s="25"/>
      <c r="V90" s="25"/>
      <c r="W90" s="25"/>
      <c r="X90" s="25"/>
    </row>
    <row r="91" spans="2:24" s="24" customFormat="1" ht="15" customHeight="1">
      <c r="B91" s="113"/>
      <c r="K91" s="25"/>
      <c r="L91" s="25"/>
      <c r="M91" s="25"/>
      <c r="V91" s="25"/>
      <c r="W91" s="25"/>
      <c r="X91" s="25"/>
    </row>
    <row r="92" spans="2:24" s="24" customFormat="1" ht="15" customHeight="1">
      <c r="B92" s="113"/>
      <c r="K92" s="25"/>
      <c r="L92" s="25"/>
      <c r="M92" s="25"/>
      <c r="V92" s="25"/>
      <c r="W92" s="25"/>
      <c r="X92" s="25"/>
    </row>
    <row r="93" spans="2:24" s="24" customFormat="1" ht="15" customHeight="1">
      <c r="B93" s="113"/>
      <c r="K93" s="25"/>
      <c r="L93" s="25"/>
      <c r="M93" s="25"/>
      <c r="V93" s="25"/>
      <c r="W93" s="25"/>
      <c r="X93" s="25"/>
    </row>
    <row r="94" spans="2:24" s="27" customFormat="1" ht="15" customHeight="1">
      <c r="B94" s="114"/>
      <c r="K94" s="25"/>
      <c r="L94" s="25"/>
      <c r="M94" s="25"/>
      <c r="Q94" s="24"/>
      <c r="R94" s="24"/>
      <c r="S94" s="24"/>
      <c r="V94" s="25"/>
      <c r="W94" s="25"/>
      <c r="X94" s="25"/>
    </row>
    <row r="95" spans="2:24" s="27" customFormat="1" ht="15" customHeight="1">
      <c r="B95" s="114"/>
      <c r="G95" s="25"/>
      <c r="I95" s="25"/>
      <c r="J95" s="25"/>
      <c r="K95" s="115"/>
      <c r="L95" s="25"/>
      <c r="M95" s="25"/>
      <c r="Q95" s="24"/>
      <c r="R95" s="24"/>
      <c r="S95" s="24"/>
      <c r="U95" s="115"/>
      <c r="V95" s="115"/>
      <c r="W95" s="115"/>
      <c r="X95" s="115"/>
    </row>
    <row r="96" spans="2:24" s="27" customFormat="1" ht="15" customHeight="1">
      <c r="B96" s="114"/>
      <c r="G96" s="26"/>
      <c r="I96" s="26"/>
      <c r="J96" s="26"/>
      <c r="K96" s="26"/>
      <c r="L96" s="26"/>
      <c r="M96" s="26"/>
      <c r="Q96" s="24"/>
      <c r="R96" s="24"/>
      <c r="S96" s="24"/>
      <c r="U96" s="26"/>
      <c r="V96" s="26"/>
      <c r="W96" s="26"/>
      <c r="X96" s="25"/>
    </row>
    <row r="97" spans="2:24" s="27" customFormat="1" ht="15" customHeight="1">
      <c r="B97" s="114"/>
      <c r="G97" s="26"/>
      <c r="I97" s="26"/>
      <c r="J97" s="26"/>
      <c r="K97" s="26"/>
      <c r="L97" s="26"/>
      <c r="M97" s="26"/>
      <c r="Q97" s="24"/>
      <c r="R97" s="24"/>
      <c r="S97" s="24"/>
      <c r="U97" s="26"/>
      <c r="V97" s="26"/>
      <c r="W97" s="26"/>
      <c r="X97" s="25"/>
    </row>
    <row r="98" spans="2:24" s="27" customFormat="1" ht="15" customHeight="1">
      <c r="B98" s="114"/>
      <c r="G98" s="26"/>
      <c r="I98" s="26"/>
      <c r="J98" s="26"/>
      <c r="K98" s="26"/>
      <c r="L98" s="26"/>
      <c r="M98" s="26"/>
      <c r="Q98" s="24"/>
      <c r="R98" s="24"/>
      <c r="S98" s="24"/>
      <c r="U98" s="26"/>
      <c r="V98" s="26"/>
      <c r="W98" s="26"/>
      <c r="X98" s="25"/>
    </row>
    <row r="99" spans="2:24" s="27" customFormat="1" ht="15" customHeight="1">
      <c r="B99" s="114"/>
      <c r="G99" s="26"/>
      <c r="I99" s="26"/>
      <c r="J99" s="26"/>
      <c r="K99" s="26"/>
      <c r="L99" s="26"/>
      <c r="M99" s="26"/>
      <c r="Q99" s="24"/>
      <c r="R99" s="24"/>
      <c r="S99" s="24"/>
      <c r="U99" s="26"/>
      <c r="V99" s="26"/>
      <c r="W99" s="26"/>
      <c r="X99" s="25"/>
    </row>
    <row r="100" spans="2:24" s="27" customFormat="1" ht="15" customHeight="1">
      <c r="B100" s="114"/>
      <c r="K100" s="25"/>
      <c r="L100" s="25"/>
      <c r="M100" s="25"/>
      <c r="Q100" s="24"/>
      <c r="R100" s="24"/>
      <c r="S100" s="24"/>
      <c r="V100" s="25"/>
      <c r="W100" s="25"/>
      <c r="X100" s="25"/>
    </row>
    <row r="101" spans="2:24" s="27" customFormat="1" ht="15" customHeight="1">
      <c r="B101" s="114"/>
      <c r="K101" s="25"/>
      <c r="L101" s="25"/>
      <c r="M101" s="25"/>
      <c r="Q101" s="24"/>
      <c r="R101" s="24"/>
      <c r="S101" s="24"/>
      <c r="V101" s="25"/>
      <c r="W101" s="25"/>
      <c r="X101" s="25"/>
    </row>
    <row r="102" spans="2:24" s="27" customFormat="1" ht="15" customHeight="1">
      <c r="B102" s="114"/>
      <c r="K102" s="25"/>
      <c r="L102" s="25"/>
      <c r="M102" s="25"/>
      <c r="Q102" s="24"/>
      <c r="R102" s="24"/>
      <c r="S102" s="24"/>
      <c r="V102" s="25"/>
      <c r="W102" s="25"/>
      <c r="X102" s="25"/>
    </row>
    <row r="103" spans="2:24" s="27" customFormat="1" ht="15" customHeight="1">
      <c r="B103" s="114"/>
      <c r="K103" s="25"/>
      <c r="L103" s="25"/>
      <c r="M103" s="25"/>
      <c r="Q103" s="24"/>
      <c r="R103" s="24"/>
      <c r="S103" s="24"/>
      <c r="V103" s="25"/>
      <c r="W103" s="25"/>
      <c r="X103" s="25"/>
    </row>
    <row r="104" spans="2:24" s="27" customFormat="1" ht="15" customHeight="1">
      <c r="B104" s="114"/>
      <c r="K104" s="25"/>
      <c r="L104" s="25"/>
      <c r="M104" s="25"/>
      <c r="Q104" s="24"/>
      <c r="R104" s="24"/>
      <c r="S104" s="24"/>
      <c r="V104" s="25"/>
      <c r="W104" s="25"/>
      <c r="X104" s="25"/>
    </row>
    <row r="105" spans="2:24" s="27" customFormat="1" ht="15" customHeight="1">
      <c r="B105" s="114"/>
      <c r="K105" s="25"/>
      <c r="L105" s="25"/>
      <c r="M105" s="25"/>
      <c r="Q105" s="24"/>
      <c r="R105" s="24"/>
      <c r="S105" s="24"/>
      <c r="V105" s="25"/>
      <c r="W105" s="25"/>
      <c r="X105" s="25"/>
    </row>
    <row r="106" spans="2:24" s="27" customFormat="1" ht="15" customHeight="1">
      <c r="B106" s="114"/>
      <c r="G106" s="25"/>
      <c r="I106" s="25"/>
      <c r="J106" s="25"/>
      <c r="K106" s="115"/>
      <c r="L106" s="25"/>
      <c r="M106" s="25"/>
      <c r="Q106" s="24"/>
      <c r="R106" s="24"/>
      <c r="S106" s="24"/>
      <c r="U106" s="115"/>
      <c r="V106" s="115"/>
      <c r="W106" s="115"/>
      <c r="X106" s="115"/>
    </row>
    <row r="107" spans="2:24" s="27" customFormat="1" ht="15" customHeight="1">
      <c r="B107" s="114"/>
      <c r="G107" s="26"/>
      <c r="I107" s="26"/>
      <c r="J107" s="26"/>
      <c r="K107" s="26"/>
      <c r="L107" s="26"/>
      <c r="M107" s="26"/>
      <c r="Q107" s="24"/>
      <c r="R107" s="24"/>
      <c r="S107" s="24"/>
      <c r="U107" s="26"/>
      <c r="V107" s="26"/>
      <c r="W107" s="26"/>
      <c r="X107" s="25"/>
    </row>
    <row r="108" spans="2:24" s="27" customFormat="1" ht="15" customHeight="1">
      <c r="B108" s="114"/>
      <c r="G108" s="26"/>
      <c r="I108" s="26"/>
      <c r="J108" s="26"/>
      <c r="K108" s="26"/>
      <c r="L108" s="26"/>
      <c r="M108" s="26"/>
      <c r="Q108" s="24"/>
      <c r="R108" s="24"/>
      <c r="S108" s="24"/>
      <c r="U108" s="26"/>
      <c r="V108" s="26"/>
      <c r="W108" s="26"/>
      <c r="X108" s="25"/>
    </row>
    <row r="109" spans="2:24" s="27" customFormat="1" ht="15" customHeight="1">
      <c r="B109" s="114"/>
      <c r="G109" s="26"/>
      <c r="I109" s="26"/>
      <c r="J109" s="26"/>
      <c r="K109" s="26"/>
      <c r="L109" s="26"/>
      <c r="M109" s="26"/>
      <c r="Q109" s="24"/>
      <c r="R109" s="24"/>
      <c r="S109" s="24"/>
      <c r="U109" s="26"/>
      <c r="V109" s="26"/>
      <c r="W109" s="26"/>
      <c r="X109" s="25"/>
    </row>
    <row r="110" spans="2:24" s="27" customFormat="1" ht="15" customHeight="1">
      <c r="B110" s="114"/>
      <c r="G110" s="26"/>
      <c r="I110" s="26"/>
      <c r="J110" s="26"/>
      <c r="K110" s="26"/>
      <c r="L110" s="26"/>
      <c r="M110" s="26"/>
      <c r="Q110" s="24"/>
      <c r="R110" s="24"/>
      <c r="S110" s="24"/>
      <c r="U110" s="26"/>
      <c r="V110" s="26"/>
      <c r="W110" s="26"/>
      <c r="X110" s="25"/>
    </row>
    <row r="111" spans="2:24" s="27" customFormat="1" ht="15" customHeight="1">
      <c r="B111" s="114"/>
      <c r="G111" s="26"/>
      <c r="I111" s="26"/>
      <c r="J111" s="26"/>
      <c r="K111" s="26"/>
      <c r="L111" s="26"/>
      <c r="M111" s="26"/>
      <c r="Q111" s="24"/>
      <c r="R111" s="24"/>
      <c r="S111" s="24"/>
      <c r="U111" s="26"/>
      <c r="V111" s="26"/>
      <c r="W111" s="26"/>
      <c r="X111" s="25"/>
    </row>
    <row r="112" spans="2:24" s="27" customFormat="1" ht="15" customHeight="1">
      <c r="B112" s="114"/>
      <c r="K112" s="25"/>
      <c r="L112" s="25"/>
      <c r="M112" s="25"/>
      <c r="Q112" s="24"/>
      <c r="R112" s="24"/>
      <c r="S112" s="24"/>
      <c r="V112" s="25"/>
      <c r="W112" s="25"/>
      <c r="X112" s="25"/>
    </row>
    <row r="113" spans="2:24" s="27" customFormat="1" ht="15" customHeight="1">
      <c r="B113" s="114"/>
      <c r="K113" s="25"/>
      <c r="L113" s="25"/>
      <c r="M113" s="25"/>
      <c r="Q113" s="24"/>
      <c r="R113" s="24"/>
      <c r="S113" s="24"/>
      <c r="V113" s="25"/>
      <c r="W113" s="25"/>
      <c r="X113" s="25"/>
    </row>
    <row r="114" spans="2:24" s="27" customFormat="1" ht="15" customHeight="1">
      <c r="B114" s="114"/>
      <c r="K114" s="25"/>
      <c r="L114" s="25"/>
      <c r="M114" s="25"/>
      <c r="Q114" s="24"/>
      <c r="R114" s="24"/>
      <c r="S114" s="24"/>
      <c r="V114" s="25"/>
      <c r="W114" s="25"/>
      <c r="X114" s="25"/>
    </row>
    <row r="115" spans="2:24" s="27" customFormat="1" ht="15" customHeight="1">
      <c r="B115" s="114"/>
      <c r="K115" s="25"/>
      <c r="L115" s="25"/>
      <c r="M115" s="25"/>
      <c r="Q115" s="24"/>
      <c r="R115" s="24"/>
      <c r="S115" s="24"/>
      <c r="V115" s="25"/>
      <c r="W115" s="25"/>
      <c r="X115" s="25"/>
    </row>
    <row r="116" spans="2:24" s="27" customFormat="1" ht="15" customHeight="1">
      <c r="B116" s="114"/>
      <c r="G116" s="25"/>
      <c r="I116" s="25"/>
      <c r="J116" s="25"/>
      <c r="K116" s="115"/>
      <c r="L116" s="25"/>
      <c r="M116" s="25"/>
      <c r="Q116" s="24"/>
      <c r="R116" s="24"/>
      <c r="S116" s="24"/>
      <c r="U116" s="115"/>
      <c r="V116" s="115"/>
      <c r="W116" s="115"/>
      <c r="X116" s="115"/>
    </row>
    <row r="117" spans="2:24" s="27" customFormat="1" ht="15" customHeight="1">
      <c r="B117" s="114"/>
      <c r="G117" s="26"/>
      <c r="I117" s="26"/>
      <c r="J117" s="26"/>
      <c r="K117" s="26"/>
      <c r="L117" s="26"/>
      <c r="M117" s="26"/>
      <c r="Q117" s="24"/>
      <c r="R117" s="24"/>
      <c r="S117" s="24"/>
      <c r="U117" s="26"/>
      <c r="V117" s="26"/>
      <c r="W117" s="26"/>
      <c r="X117" s="25"/>
    </row>
    <row r="118" spans="2:24" s="27" customFormat="1" ht="15" customHeight="1">
      <c r="B118" s="114"/>
      <c r="G118" s="26"/>
      <c r="I118" s="26"/>
      <c r="J118" s="26"/>
      <c r="K118" s="26"/>
      <c r="L118" s="26"/>
      <c r="M118" s="26"/>
      <c r="Q118" s="24"/>
      <c r="R118" s="24"/>
      <c r="S118" s="24"/>
      <c r="U118" s="26"/>
      <c r="V118" s="26"/>
      <c r="W118" s="26"/>
      <c r="X118" s="25"/>
    </row>
    <row r="119" spans="2:24" s="27" customFormat="1" ht="15" customHeight="1">
      <c r="B119" s="114"/>
      <c r="G119" s="26"/>
      <c r="I119" s="26"/>
      <c r="J119" s="26"/>
      <c r="K119" s="26"/>
      <c r="L119" s="26"/>
      <c r="M119" s="26"/>
      <c r="Q119" s="24"/>
      <c r="R119" s="24"/>
      <c r="S119" s="24"/>
      <c r="U119" s="26"/>
      <c r="V119" s="26"/>
      <c r="W119" s="26"/>
      <c r="X119" s="25"/>
    </row>
    <row r="120" spans="2:24" s="27" customFormat="1" ht="15" customHeight="1">
      <c r="B120" s="114"/>
      <c r="G120" s="26"/>
      <c r="I120" s="26"/>
      <c r="J120" s="26"/>
      <c r="K120" s="26"/>
      <c r="L120" s="26"/>
      <c r="M120" s="26"/>
      <c r="Q120" s="24"/>
      <c r="R120" s="24"/>
      <c r="S120" s="24"/>
      <c r="U120" s="26"/>
      <c r="V120" s="26"/>
      <c r="W120" s="26"/>
      <c r="X120" s="25"/>
    </row>
    <row r="121" spans="2:24" s="27" customFormat="1" ht="15" customHeight="1">
      <c r="B121" s="114"/>
      <c r="G121" s="26"/>
      <c r="I121" s="26"/>
      <c r="J121" s="26"/>
      <c r="K121" s="26"/>
      <c r="L121" s="26"/>
      <c r="M121" s="26"/>
      <c r="Q121" s="24"/>
      <c r="R121" s="24"/>
      <c r="S121" s="24"/>
      <c r="U121" s="26"/>
      <c r="V121" s="26"/>
      <c r="W121" s="26"/>
      <c r="X121" s="25"/>
    </row>
    <row r="122" spans="2:24" s="27" customFormat="1" ht="15" customHeight="1">
      <c r="B122" s="114"/>
      <c r="K122" s="25"/>
      <c r="L122" s="25"/>
      <c r="M122" s="25"/>
      <c r="Q122" s="24"/>
      <c r="R122" s="24"/>
      <c r="S122" s="24"/>
      <c r="V122" s="25"/>
      <c r="W122" s="25"/>
      <c r="X122" s="25"/>
    </row>
    <row r="123" spans="2:24" s="27" customFormat="1" ht="15" customHeight="1">
      <c r="B123" s="114"/>
      <c r="K123" s="25"/>
      <c r="L123" s="25"/>
      <c r="M123" s="25"/>
      <c r="Q123" s="24"/>
      <c r="R123" s="24"/>
      <c r="S123" s="24"/>
      <c r="V123" s="25"/>
      <c r="W123" s="25"/>
      <c r="X123" s="25"/>
    </row>
    <row r="124" spans="2:24" s="27" customFormat="1" ht="15" customHeight="1">
      <c r="B124" s="114"/>
      <c r="K124" s="25"/>
      <c r="L124" s="25"/>
      <c r="M124" s="25"/>
      <c r="Q124" s="24"/>
      <c r="R124" s="24"/>
      <c r="S124" s="24"/>
      <c r="V124" s="25"/>
      <c r="W124" s="25"/>
      <c r="X124" s="25"/>
    </row>
    <row r="125" spans="2:24" s="27" customFormat="1" ht="15" customHeight="1">
      <c r="B125" s="114"/>
      <c r="K125" s="25"/>
      <c r="L125" s="25"/>
      <c r="M125" s="25"/>
      <c r="Q125" s="24"/>
      <c r="R125" s="24"/>
      <c r="S125" s="24"/>
      <c r="V125" s="25"/>
      <c r="W125" s="25"/>
      <c r="X125" s="25"/>
    </row>
    <row r="126" spans="2:24" s="27" customFormat="1" ht="15" customHeight="1">
      <c r="B126" s="114"/>
      <c r="K126" s="25"/>
      <c r="L126" s="25"/>
      <c r="M126" s="25"/>
      <c r="Q126" s="24"/>
      <c r="R126" s="24"/>
      <c r="S126" s="24"/>
      <c r="V126" s="25"/>
      <c r="W126" s="25"/>
      <c r="X126" s="25"/>
    </row>
    <row r="127" spans="2:24" s="27" customFormat="1" ht="15" customHeight="1">
      <c r="B127" s="114"/>
      <c r="G127" s="25"/>
      <c r="I127" s="25"/>
      <c r="J127" s="25"/>
      <c r="K127" s="115"/>
      <c r="L127" s="25"/>
      <c r="M127" s="25"/>
      <c r="Q127" s="24"/>
      <c r="R127" s="24"/>
      <c r="S127" s="24"/>
      <c r="U127" s="115"/>
      <c r="V127" s="115"/>
      <c r="W127" s="115"/>
      <c r="X127" s="115"/>
    </row>
    <row r="128" spans="2:24" s="27" customFormat="1" ht="15" customHeight="1">
      <c r="B128" s="114"/>
      <c r="G128" s="26"/>
      <c r="I128" s="26"/>
      <c r="J128" s="26"/>
      <c r="K128" s="26"/>
      <c r="L128" s="26"/>
      <c r="M128" s="26"/>
      <c r="Q128" s="24"/>
      <c r="R128" s="24"/>
      <c r="S128" s="24"/>
      <c r="U128" s="26"/>
      <c r="V128" s="26"/>
      <c r="W128" s="26"/>
      <c r="X128" s="25"/>
    </row>
    <row r="129" spans="2:24" s="27" customFormat="1" ht="15" customHeight="1">
      <c r="B129" s="114"/>
      <c r="G129" s="26"/>
      <c r="I129" s="26"/>
      <c r="J129" s="26"/>
      <c r="K129" s="26"/>
      <c r="L129" s="26"/>
      <c r="M129" s="26"/>
      <c r="Q129" s="24"/>
      <c r="R129" s="24"/>
      <c r="S129" s="24"/>
      <c r="U129" s="26"/>
      <c r="V129" s="26"/>
      <c r="W129" s="26"/>
      <c r="X129" s="25"/>
    </row>
    <row r="130" spans="2:24" s="27" customFormat="1" ht="15" customHeight="1">
      <c r="B130" s="114"/>
      <c r="G130" s="26"/>
      <c r="I130" s="26"/>
      <c r="J130" s="26"/>
      <c r="K130" s="26"/>
      <c r="L130" s="26"/>
      <c r="M130" s="26"/>
      <c r="Q130" s="24"/>
      <c r="R130" s="24"/>
      <c r="S130" s="24"/>
      <c r="U130" s="26"/>
      <c r="V130" s="26"/>
      <c r="W130" s="26"/>
      <c r="X130" s="25"/>
    </row>
    <row r="131" spans="2:24" s="27" customFormat="1" ht="15" customHeight="1">
      <c r="B131" s="114"/>
      <c r="K131" s="25"/>
      <c r="L131" s="25"/>
      <c r="M131" s="25"/>
      <c r="Q131" s="24"/>
      <c r="R131" s="24"/>
      <c r="S131" s="24"/>
      <c r="V131" s="25"/>
      <c r="W131" s="25"/>
      <c r="X131" s="25"/>
    </row>
    <row r="132" spans="2:24" s="27" customFormat="1" ht="15" customHeight="1">
      <c r="B132" s="114"/>
      <c r="K132" s="25"/>
      <c r="L132" s="25"/>
      <c r="M132" s="25"/>
      <c r="Q132" s="24"/>
      <c r="R132" s="24"/>
      <c r="S132" s="24"/>
      <c r="V132" s="25"/>
      <c r="W132" s="25"/>
      <c r="X132" s="25"/>
    </row>
    <row r="133" spans="2:24" s="27" customFormat="1" ht="15" customHeight="1">
      <c r="B133" s="114"/>
      <c r="K133" s="25"/>
      <c r="L133" s="25"/>
      <c r="M133" s="25"/>
      <c r="Q133" s="24"/>
      <c r="R133" s="24"/>
      <c r="S133" s="24"/>
      <c r="V133" s="25"/>
      <c r="W133" s="25"/>
      <c r="X133" s="25"/>
    </row>
    <row r="134" spans="2:24" s="27" customFormat="1" ht="15" customHeight="1">
      <c r="B134" s="114"/>
      <c r="K134" s="25"/>
      <c r="L134" s="25"/>
      <c r="M134" s="25"/>
      <c r="Q134" s="24"/>
      <c r="R134" s="24"/>
      <c r="S134" s="24"/>
      <c r="V134" s="25"/>
      <c r="W134" s="25"/>
      <c r="X134" s="25"/>
    </row>
    <row r="135" spans="2:24" s="27" customFormat="1" ht="15" customHeight="1">
      <c r="B135" s="114"/>
      <c r="G135" s="25"/>
      <c r="I135" s="25"/>
      <c r="J135" s="25"/>
      <c r="K135" s="115"/>
      <c r="L135" s="25"/>
      <c r="M135" s="25"/>
      <c r="Q135" s="24"/>
      <c r="R135" s="24"/>
      <c r="S135" s="24"/>
      <c r="U135" s="115"/>
      <c r="V135" s="115"/>
      <c r="W135" s="115"/>
      <c r="X135" s="115"/>
    </row>
    <row r="136" spans="2:24" s="27" customFormat="1" ht="15" customHeight="1">
      <c r="B136" s="114"/>
      <c r="G136" s="26"/>
      <c r="I136" s="26"/>
      <c r="J136" s="26"/>
      <c r="K136" s="26"/>
      <c r="L136" s="26"/>
      <c r="M136" s="26"/>
      <c r="Q136" s="24"/>
      <c r="R136" s="24"/>
      <c r="S136" s="24"/>
      <c r="U136" s="26"/>
      <c r="V136" s="26"/>
      <c r="W136" s="26"/>
      <c r="X136" s="25"/>
    </row>
    <row r="137" spans="2:24" s="27" customFormat="1" ht="15" customHeight="1">
      <c r="B137" s="114"/>
      <c r="G137" s="26"/>
      <c r="I137" s="26"/>
      <c r="J137" s="26"/>
      <c r="K137" s="26"/>
      <c r="L137" s="26"/>
      <c r="M137" s="26"/>
      <c r="Q137" s="24"/>
      <c r="R137" s="24"/>
      <c r="S137" s="24"/>
      <c r="U137" s="26"/>
      <c r="V137" s="26"/>
      <c r="W137" s="26"/>
      <c r="X137" s="25"/>
    </row>
    <row r="138" spans="2:24" s="27" customFormat="1" ht="15" customHeight="1">
      <c r="B138" s="114"/>
      <c r="G138" s="26"/>
      <c r="I138" s="26"/>
      <c r="J138" s="26"/>
      <c r="K138" s="26"/>
      <c r="L138" s="26"/>
      <c r="M138" s="26"/>
      <c r="Q138" s="24"/>
      <c r="R138" s="24"/>
      <c r="S138" s="24"/>
      <c r="U138" s="26"/>
      <c r="V138" s="26"/>
      <c r="W138" s="26"/>
      <c r="X138" s="25"/>
    </row>
    <row r="139" spans="2:24" s="27" customFormat="1" ht="15" customHeight="1">
      <c r="B139" s="114"/>
      <c r="G139" s="26"/>
      <c r="I139" s="26"/>
      <c r="J139" s="26"/>
      <c r="K139" s="26"/>
      <c r="L139" s="26"/>
      <c r="M139" s="26"/>
      <c r="Q139" s="24"/>
      <c r="R139" s="24"/>
      <c r="S139" s="24"/>
      <c r="U139" s="26"/>
      <c r="V139" s="26"/>
      <c r="W139" s="26"/>
      <c r="X139" s="25"/>
    </row>
    <row r="140" spans="2:24" s="27" customFormat="1" ht="15" customHeight="1">
      <c r="B140" s="114"/>
      <c r="G140" s="26"/>
      <c r="I140" s="26"/>
      <c r="J140" s="26"/>
      <c r="K140" s="26"/>
      <c r="L140" s="26"/>
      <c r="M140" s="26"/>
      <c r="Q140" s="24"/>
      <c r="R140" s="24"/>
      <c r="S140" s="24"/>
      <c r="U140" s="26"/>
      <c r="V140" s="26"/>
      <c r="W140" s="26"/>
      <c r="X140" s="25"/>
    </row>
    <row r="141" spans="2:24" s="27" customFormat="1" ht="15" customHeight="1">
      <c r="B141" s="114"/>
      <c r="G141" s="26"/>
      <c r="I141" s="26"/>
      <c r="J141" s="26"/>
      <c r="K141" s="26"/>
      <c r="L141" s="26"/>
      <c r="M141" s="26"/>
      <c r="Q141" s="24"/>
      <c r="R141" s="24"/>
      <c r="S141" s="24"/>
      <c r="U141" s="26"/>
      <c r="V141" s="26"/>
      <c r="W141" s="26"/>
      <c r="X141" s="25"/>
    </row>
    <row r="142" spans="2:24" s="27" customFormat="1" ht="15" customHeight="1">
      <c r="B142" s="114"/>
      <c r="K142" s="25"/>
      <c r="L142" s="25"/>
      <c r="M142" s="25"/>
      <c r="Q142" s="24"/>
      <c r="R142" s="24"/>
      <c r="S142" s="24"/>
      <c r="V142" s="25"/>
      <c r="W142" s="25"/>
      <c r="X142" s="25"/>
    </row>
    <row r="143" spans="2:24" s="27" customFormat="1" ht="15" customHeight="1">
      <c r="B143" s="114"/>
      <c r="K143" s="25"/>
      <c r="L143" s="25"/>
      <c r="M143" s="25"/>
      <c r="Q143" s="24"/>
      <c r="R143" s="24"/>
      <c r="S143" s="24"/>
      <c r="V143" s="25"/>
      <c r="W143" s="25"/>
      <c r="X143" s="25"/>
    </row>
    <row r="144" spans="2:24" s="27" customFormat="1" ht="15" customHeight="1">
      <c r="B144" s="114"/>
      <c r="K144" s="25"/>
      <c r="L144" s="25"/>
      <c r="M144" s="25"/>
      <c r="Q144" s="24"/>
      <c r="R144" s="24"/>
      <c r="S144" s="24"/>
      <c r="V144" s="25"/>
      <c r="W144" s="25"/>
      <c r="X144" s="25"/>
    </row>
    <row r="145" spans="2:24" s="27" customFormat="1" ht="15" customHeight="1">
      <c r="B145" s="114"/>
      <c r="K145" s="25"/>
      <c r="L145" s="25"/>
      <c r="M145" s="25"/>
      <c r="Q145" s="24"/>
      <c r="R145" s="24"/>
      <c r="S145" s="24"/>
      <c r="V145" s="25"/>
      <c r="W145" s="25"/>
      <c r="X145" s="25"/>
    </row>
    <row r="146" spans="2:24" s="27" customFormat="1" ht="15" customHeight="1">
      <c r="B146" s="114"/>
      <c r="K146" s="25"/>
      <c r="L146" s="25"/>
      <c r="M146" s="25"/>
      <c r="Q146" s="24"/>
      <c r="R146" s="24"/>
      <c r="S146" s="24"/>
      <c r="V146" s="25"/>
      <c r="W146" s="25"/>
      <c r="X146" s="25"/>
    </row>
    <row r="147" spans="2:24" s="27" customFormat="1" ht="15" customHeight="1">
      <c r="B147" s="114"/>
      <c r="K147" s="25"/>
      <c r="L147" s="25"/>
      <c r="M147" s="25"/>
      <c r="Q147" s="24"/>
      <c r="R147" s="24"/>
      <c r="S147" s="24"/>
      <c r="V147" s="25"/>
      <c r="W147" s="25"/>
      <c r="X147" s="25"/>
    </row>
    <row r="148" spans="2:24" s="27" customFormat="1" ht="15" customHeight="1">
      <c r="B148" s="114"/>
      <c r="K148" s="25"/>
      <c r="L148" s="25"/>
      <c r="M148" s="25"/>
      <c r="Q148" s="24"/>
      <c r="R148" s="24"/>
      <c r="S148" s="24"/>
      <c r="V148" s="25"/>
      <c r="W148" s="25"/>
      <c r="X148" s="25"/>
    </row>
    <row r="149" spans="2:24" s="27" customFormat="1" ht="15" customHeight="1">
      <c r="B149" s="114"/>
      <c r="K149" s="25"/>
      <c r="L149" s="25"/>
      <c r="M149" s="25"/>
      <c r="Q149" s="24"/>
      <c r="R149" s="24"/>
      <c r="S149" s="24"/>
      <c r="V149" s="25"/>
      <c r="W149" s="25"/>
      <c r="X149" s="25"/>
    </row>
    <row r="150" spans="2:24" s="27" customFormat="1" ht="15" customHeight="1">
      <c r="B150" s="114"/>
      <c r="K150" s="25"/>
      <c r="L150" s="25"/>
      <c r="M150" s="25"/>
      <c r="Q150" s="24"/>
      <c r="R150" s="24"/>
      <c r="S150" s="24"/>
      <c r="V150" s="25"/>
      <c r="W150" s="25"/>
      <c r="X150" s="25"/>
    </row>
    <row r="151" spans="2:24" s="27" customFormat="1" ht="15" customHeight="1">
      <c r="B151" s="114"/>
      <c r="G151" s="25"/>
      <c r="I151" s="25"/>
      <c r="J151" s="25"/>
      <c r="K151" s="115"/>
      <c r="L151" s="25"/>
      <c r="M151" s="25"/>
      <c r="Q151" s="24"/>
      <c r="R151" s="24"/>
      <c r="S151" s="24"/>
      <c r="U151" s="115"/>
      <c r="V151" s="115"/>
      <c r="W151" s="115"/>
      <c r="X151" s="115"/>
    </row>
    <row r="152" spans="2:24" s="27" customFormat="1" ht="15" customHeight="1">
      <c r="B152" s="114"/>
      <c r="G152" s="26"/>
      <c r="I152" s="26"/>
      <c r="J152" s="26"/>
      <c r="K152" s="26"/>
      <c r="L152" s="26"/>
      <c r="M152" s="26"/>
      <c r="Q152" s="24"/>
      <c r="R152" s="24"/>
      <c r="S152" s="24"/>
      <c r="U152" s="26"/>
      <c r="V152" s="26"/>
      <c r="W152" s="26"/>
      <c r="X152" s="25"/>
    </row>
    <row r="153" spans="2:24" s="27" customFormat="1" ht="15" customHeight="1">
      <c r="B153" s="114"/>
      <c r="G153" s="26"/>
      <c r="I153" s="26"/>
      <c r="J153" s="26"/>
      <c r="K153" s="26"/>
      <c r="L153" s="26"/>
      <c r="M153" s="26"/>
      <c r="Q153" s="24"/>
      <c r="R153" s="24"/>
      <c r="S153" s="24"/>
      <c r="U153" s="26"/>
      <c r="V153" s="26"/>
      <c r="W153" s="26"/>
      <c r="X153" s="25"/>
    </row>
    <row r="154" spans="2:24" s="27" customFormat="1" ht="15" customHeight="1">
      <c r="B154" s="114"/>
      <c r="G154" s="26"/>
      <c r="I154" s="26"/>
      <c r="J154" s="26"/>
      <c r="K154" s="26"/>
      <c r="L154" s="26"/>
      <c r="M154" s="26"/>
      <c r="Q154" s="24"/>
      <c r="R154" s="24"/>
      <c r="S154" s="24"/>
      <c r="U154" s="26"/>
      <c r="V154" s="26"/>
      <c r="W154" s="26"/>
      <c r="X154" s="25"/>
    </row>
    <row r="155" spans="2:24" s="27" customFormat="1" ht="15" customHeight="1">
      <c r="B155" s="114"/>
      <c r="K155" s="25"/>
      <c r="L155" s="25"/>
      <c r="M155" s="25"/>
      <c r="Q155" s="24"/>
      <c r="R155" s="24"/>
      <c r="S155" s="24"/>
      <c r="V155" s="25"/>
      <c r="W155" s="25"/>
      <c r="X155" s="25"/>
    </row>
    <row r="156" spans="2:24" s="27" customFormat="1" ht="15" customHeight="1">
      <c r="B156" s="114"/>
      <c r="K156" s="25"/>
      <c r="L156" s="25"/>
      <c r="M156" s="25"/>
      <c r="Q156" s="24"/>
      <c r="R156" s="24"/>
      <c r="S156" s="24"/>
      <c r="V156" s="25"/>
      <c r="W156" s="25"/>
      <c r="X156" s="25"/>
    </row>
    <row r="157" spans="2:24" s="27" customFormat="1" ht="15" customHeight="1">
      <c r="B157" s="114"/>
      <c r="K157" s="25"/>
      <c r="L157" s="25"/>
      <c r="M157" s="25"/>
      <c r="Q157" s="24"/>
      <c r="R157" s="24"/>
      <c r="S157" s="24"/>
      <c r="V157" s="25"/>
      <c r="W157" s="25"/>
      <c r="X157" s="25"/>
    </row>
    <row r="158" spans="2:24" s="27" customFormat="1" ht="15" customHeight="1">
      <c r="B158" s="114"/>
      <c r="K158" s="25"/>
      <c r="L158" s="25"/>
      <c r="M158" s="25"/>
      <c r="Q158" s="24"/>
      <c r="R158" s="24"/>
      <c r="S158" s="24"/>
      <c r="V158" s="25"/>
      <c r="W158" s="25"/>
      <c r="X158" s="25"/>
    </row>
    <row r="159" spans="2:24" s="27" customFormat="1" ht="15" customHeight="1">
      <c r="B159" s="114"/>
      <c r="K159" s="25"/>
      <c r="L159" s="25"/>
      <c r="M159" s="25"/>
      <c r="Q159" s="24"/>
      <c r="R159" s="24"/>
      <c r="S159" s="24"/>
      <c r="V159" s="25"/>
      <c r="W159" s="25"/>
      <c r="X159" s="25"/>
    </row>
    <row r="160" spans="2:24" s="27" customFormat="1" ht="15" customHeight="1">
      <c r="B160" s="114"/>
      <c r="G160" s="25"/>
      <c r="I160" s="25"/>
      <c r="J160" s="25"/>
      <c r="K160" s="115"/>
      <c r="L160" s="25"/>
      <c r="M160" s="25"/>
      <c r="Q160" s="24"/>
      <c r="R160" s="24"/>
      <c r="S160" s="24"/>
      <c r="U160" s="115"/>
      <c r="V160" s="115"/>
      <c r="W160" s="115"/>
      <c r="X160" s="115"/>
    </row>
    <row r="161" spans="2:24" s="27" customFormat="1" ht="15" customHeight="1">
      <c r="B161" s="114"/>
      <c r="G161" s="26"/>
      <c r="I161" s="26"/>
      <c r="J161" s="26"/>
      <c r="K161" s="26"/>
      <c r="L161" s="26"/>
      <c r="M161" s="26"/>
      <c r="Q161" s="24"/>
      <c r="R161" s="24"/>
      <c r="S161" s="24"/>
      <c r="U161" s="26"/>
      <c r="V161" s="26"/>
      <c r="W161" s="26"/>
      <c r="X161" s="25"/>
    </row>
    <row r="162" spans="2:24" s="27" customFormat="1" ht="15" customHeight="1">
      <c r="B162" s="114"/>
      <c r="G162" s="26"/>
      <c r="I162" s="26"/>
      <c r="J162" s="26"/>
      <c r="K162" s="26"/>
      <c r="L162" s="26"/>
      <c r="M162" s="26"/>
      <c r="Q162" s="24"/>
      <c r="R162" s="24"/>
      <c r="S162" s="24"/>
      <c r="U162" s="26"/>
      <c r="V162" s="26"/>
      <c r="W162" s="26"/>
      <c r="X162" s="25"/>
    </row>
    <row r="163" spans="2:24" s="27" customFormat="1" ht="15" customHeight="1">
      <c r="B163" s="114"/>
      <c r="G163" s="26"/>
      <c r="I163" s="26"/>
      <c r="J163" s="26"/>
      <c r="K163" s="26"/>
      <c r="L163" s="26"/>
      <c r="M163" s="26"/>
      <c r="Q163" s="24"/>
      <c r="R163" s="24"/>
      <c r="S163" s="24"/>
      <c r="U163" s="26"/>
      <c r="V163" s="26"/>
      <c r="W163" s="26"/>
      <c r="X163" s="25"/>
    </row>
    <row r="164" spans="2:24" s="27" customFormat="1" ht="15" customHeight="1">
      <c r="B164" s="114"/>
      <c r="G164" s="26"/>
      <c r="I164" s="26"/>
      <c r="J164" s="26"/>
      <c r="K164" s="26"/>
      <c r="L164" s="26"/>
      <c r="M164" s="26"/>
      <c r="Q164" s="24"/>
      <c r="R164" s="24"/>
      <c r="S164" s="24"/>
      <c r="U164" s="26"/>
      <c r="V164" s="26"/>
      <c r="W164" s="26"/>
      <c r="X164" s="25"/>
    </row>
    <row r="165" spans="2:24" s="27" customFormat="1" ht="15" customHeight="1">
      <c r="B165" s="114"/>
      <c r="G165" s="26"/>
      <c r="I165" s="26"/>
      <c r="J165" s="26"/>
      <c r="K165" s="26"/>
      <c r="L165" s="26"/>
      <c r="M165" s="26"/>
      <c r="Q165" s="24"/>
      <c r="R165" s="24"/>
      <c r="S165" s="24"/>
      <c r="U165" s="26"/>
      <c r="V165" s="26"/>
      <c r="W165" s="26"/>
      <c r="X165" s="25"/>
    </row>
    <row r="166" spans="2:24" s="27" customFormat="1" ht="15" customHeight="1">
      <c r="B166" s="114"/>
      <c r="G166" s="26"/>
      <c r="I166" s="26"/>
      <c r="J166" s="26"/>
      <c r="K166" s="26"/>
      <c r="L166" s="26"/>
      <c r="M166" s="26"/>
      <c r="Q166" s="24"/>
      <c r="R166" s="24"/>
      <c r="S166" s="24"/>
      <c r="U166" s="26"/>
      <c r="V166" s="26"/>
      <c r="W166" s="26"/>
      <c r="X166" s="25"/>
    </row>
    <row r="167" spans="2:24" s="27" customFormat="1" ht="15" customHeight="1">
      <c r="B167" s="114"/>
      <c r="G167" s="26"/>
      <c r="I167" s="26"/>
      <c r="J167" s="26"/>
      <c r="K167" s="26"/>
      <c r="L167" s="26"/>
      <c r="M167" s="26"/>
      <c r="Q167" s="24"/>
      <c r="R167" s="24"/>
      <c r="S167" s="24"/>
      <c r="U167" s="26"/>
      <c r="V167" s="26"/>
      <c r="W167" s="26"/>
      <c r="X167" s="25"/>
    </row>
    <row r="168" spans="2:24" s="27" customFormat="1" ht="15" customHeight="1">
      <c r="B168" s="114"/>
      <c r="G168" s="26"/>
      <c r="I168" s="26"/>
      <c r="J168" s="26"/>
      <c r="K168" s="26"/>
      <c r="L168" s="26"/>
      <c r="M168" s="26"/>
      <c r="Q168" s="24"/>
      <c r="R168" s="24"/>
      <c r="S168" s="24"/>
      <c r="U168" s="26"/>
      <c r="V168" s="26"/>
      <c r="W168" s="26"/>
      <c r="X168" s="25"/>
    </row>
    <row r="169" spans="2:24" s="27" customFormat="1" ht="15" customHeight="1">
      <c r="B169" s="114"/>
      <c r="G169" s="26"/>
      <c r="I169" s="26"/>
      <c r="J169" s="26"/>
      <c r="K169" s="26"/>
      <c r="L169" s="26"/>
      <c r="M169" s="26"/>
      <c r="Q169" s="24"/>
      <c r="R169" s="24"/>
      <c r="S169" s="24"/>
      <c r="U169" s="26"/>
      <c r="V169" s="26"/>
      <c r="W169" s="26"/>
      <c r="X169" s="25"/>
    </row>
    <row r="170" spans="2:24" s="27" customFormat="1" ht="15" customHeight="1">
      <c r="B170" s="114"/>
      <c r="G170" s="26"/>
      <c r="I170" s="26"/>
      <c r="J170" s="26"/>
      <c r="K170" s="26"/>
      <c r="L170" s="26"/>
      <c r="M170" s="26"/>
      <c r="Q170" s="24"/>
      <c r="R170" s="24"/>
      <c r="S170" s="24"/>
      <c r="U170" s="26"/>
      <c r="V170" s="26"/>
      <c r="W170" s="26"/>
      <c r="X170" s="25"/>
    </row>
    <row r="171" spans="2:24" s="27" customFormat="1" ht="15" customHeight="1">
      <c r="B171" s="114"/>
      <c r="G171" s="26"/>
      <c r="I171" s="26"/>
      <c r="J171" s="26"/>
      <c r="K171" s="26"/>
      <c r="L171" s="26"/>
      <c r="M171" s="26"/>
      <c r="Q171" s="24"/>
      <c r="R171" s="24"/>
      <c r="S171" s="24"/>
      <c r="U171" s="26"/>
      <c r="V171" s="26"/>
      <c r="W171" s="26"/>
      <c r="X171" s="25"/>
    </row>
    <row r="172" spans="2:24" s="27" customFormat="1" ht="15" customHeight="1">
      <c r="B172" s="114"/>
      <c r="K172" s="25"/>
      <c r="L172" s="25"/>
      <c r="M172" s="25"/>
      <c r="Q172" s="24"/>
      <c r="R172" s="24"/>
      <c r="S172" s="24"/>
      <c r="V172" s="25"/>
      <c r="W172" s="25"/>
      <c r="X172" s="25"/>
    </row>
    <row r="173" spans="2:24" s="27" customFormat="1" ht="15" customHeight="1">
      <c r="B173" s="114"/>
      <c r="K173" s="25"/>
      <c r="L173" s="25"/>
      <c r="M173" s="25"/>
      <c r="Q173" s="24"/>
      <c r="R173" s="24"/>
      <c r="S173" s="24"/>
      <c r="V173" s="25"/>
      <c r="W173" s="25"/>
      <c r="X173" s="25"/>
    </row>
    <row r="174" spans="2:24" s="27" customFormat="1" ht="15" customHeight="1">
      <c r="B174" s="114"/>
      <c r="K174" s="25"/>
      <c r="L174" s="25"/>
      <c r="M174" s="25"/>
      <c r="Q174" s="24"/>
      <c r="R174" s="24"/>
      <c r="S174" s="24"/>
      <c r="V174" s="25"/>
      <c r="W174" s="25"/>
      <c r="X174" s="25"/>
    </row>
    <row r="175" spans="2:24" s="27" customFormat="1" ht="15" customHeight="1">
      <c r="B175" s="114"/>
      <c r="K175" s="25"/>
      <c r="L175" s="25"/>
      <c r="M175" s="25"/>
      <c r="Q175" s="24"/>
      <c r="R175" s="24"/>
      <c r="S175" s="24"/>
      <c r="V175" s="25"/>
      <c r="W175" s="25"/>
      <c r="X175" s="25"/>
    </row>
    <row r="176" spans="2:24" s="27" customFormat="1" ht="15" customHeight="1">
      <c r="B176" s="114"/>
      <c r="K176" s="25"/>
      <c r="L176" s="25"/>
      <c r="M176" s="25"/>
      <c r="Q176" s="24"/>
      <c r="R176" s="24"/>
      <c r="S176" s="24"/>
      <c r="V176" s="25"/>
      <c r="W176" s="25"/>
      <c r="X176" s="25"/>
    </row>
    <row r="177" spans="2:24" s="27" customFormat="1" ht="15" customHeight="1">
      <c r="B177" s="114"/>
      <c r="G177" s="25"/>
      <c r="I177" s="25"/>
      <c r="J177" s="25"/>
      <c r="K177" s="115"/>
      <c r="L177" s="25"/>
      <c r="M177" s="25"/>
      <c r="Q177" s="24"/>
      <c r="R177" s="24"/>
      <c r="S177" s="24"/>
      <c r="U177" s="115"/>
      <c r="V177" s="115"/>
      <c r="W177" s="115"/>
      <c r="X177" s="115"/>
    </row>
    <row r="178" spans="2:24" s="27" customFormat="1" ht="15" customHeight="1">
      <c r="B178" s="114"/>
      <c r="G178" s="26"/>
      <c r="I178" s="26"/>
      <c r="J178" s="26"/>
      <c r="K178" s="26"/>
      <c r="L178" s="26"/>
      <c r="M178" s="26"/>
      <c r="Q178" s="24"/>
      <c r="R178" s="24"/>
      <c r="S178" s="24"/>
      <c r="U178" s="26"/>
      <c r="V178" s="26"/>
      <c r="W178" s="26"/>
      <c r="X178" s="25"/>
    </row>
    <row r="179" spans="2:24" s="27" customFormat="1" ht="15" customHeight="1">
      <c r="B179" s="114"/>
      <c r="G179" s="26"/>
      <c r="I179" s="26"/>
      <c r="J179" s="26"/>
      <c r="K179" s="26"/>
      <c r="L179" s="26"/>
      <c r="M179" s="26"/>
      <c r="Q179" s="24"/>
      <c r="R179" s="24"/>
      <c r="S179" s="24"/>
      <c r="U179" s="26"/>
      <c r="V179" s="26"/>
      <c r="W179" s="26"/>
      <c r="X179" s="25"/>
    </row>
    <row r="180" spans="2:24" s="27" customFormat="1" ht="15" customHeight="1">
      <c r="B180" s="114"/>
      <c r="G180" s="26"/>
      <c r="I180" s="26"/>
      <c r="J180" s="26"/>
      <c r="K180" s="26"/>
      <c r="L180" s="26"/>
      <c r="M180" s="26"/>
      <c r="Q180" s="24"/>
      <c r="R180" s="24"/>
      <c r="S180" s="24"/>
      <c r="U180" s="26"/>
      <c r="V180" s="26"/>
      <c r="W180" s="26"/>
      <c r="X180" s="25"/>
    </row>
    <row r="181" spans="2:24" s="27" customFormat="1" ht="15" customHeight="1">
      <c r="B181" s="114"/>
      <c r="G181" s="26"/>
      <c r="I181" s="26"/>
      <c r="J181" s="26"/>
      <c r="K181" s="26"/>
      <c r="L181" s="26"/>
      <c r="M181" s="26"/>
      <c r="Q181" s="24"/>
      <c r="R181" s="24"/>
      <c r="S181" s="24"/>
      <c r="U181" s="26"/>
      <c r="V181" s="26"/>
      <c r="W181" s="26"/>
      <c r="X181" s="25"/>
    </row>
    <row r="182" spans="2:24" s="27" customFormat="1" ht="15" customHeight="1">
      <c r="B182" s="114"/>
      <c r="G182" s="26"/>
      <c r="I182" s="26"/>
      <c r="J182" s="26"/>
      <c r="K182" s="26"/>
      <c r="L182" s="26"/>
      <c r="M182" s="26"/>
      <c r="Q182" s="24"/>
      <c r="R182" s="24"/>
      <c r="S182" s="24"/>
      <c r="U182" s="26"/>
      <c r="V182" s="26"/>
      <c r="W182" s="26"/>
      <c r="X182" s="25"/>
    </row>
    <row r="183" spans="2:24" s="27" customFormat="1" ht="15" customHeight="1">
      <c r="B183" s="114"/>
      <c r="G183" s="26"/>
      <c r="I183" s="26"/>
      <c r="J183" s="26"/>
      <c r="K183" s="26"/>
      <c r="L183" s="26"/>
      <c r="M183" s="26"/>
      <c r="Q183" s="24"/>
      <c r="R183" s="24"/>
      <c r="S183" s="24"/>
      <c r="U183" s="26"/>
      <c r="V183" s="26"/>
      <c r="W183" s="26"/>
      <c r="X183" s="25"/>
    </row>
    <row r="184" spans="2:24" s="27" customFormat="1" ht="15" customHeight="1">
      <c r="B184" s="114"/>
      <c r="G184" s="26"/>
      <c r="I184" s="26"/>
      <c r="J184" s="26"/>
      <c r="K184" s="26"/>
      <c r="L184" s="26"/>
      <c r="M184" s="26"/>
      <c r="Q184" s="24"/>
      <c r="R184" s="24"/>
      <c r="S184" s="24"/>
      <c r="U184" s="26"/>
      <c r="V184" s="26"/>
      <c r="W184" s="26"/>
      <c r="X184" s="25"/>
    </row>
    <row r="185" spans="2:24" s="27" customFormat="1" ht="15" customHeight="1">
      <c r="B185" s="114"/>
      <c r="G185" s="26"/>
      <c r="I185" s="26"/>
      <c r="J185" s="26"/>
      <c r="K185" s="26"/>
      <c r="L185" s="26"/>
      <c r="M185" s="26"/>
      <c r="Q185" s="24"/>
      <c r="R185" s="24"/>
      <c r="S185" s="24"/>
      <c r="U185" s="26"/>
      <c r="V185" s="26"/>
      <c r="W185" s="26"/>
      <c r="X185" s="25"/>
    </row>
    <row r="186" spans="2:24" s="27" customFormat="1" ht="15" customHeight="1">
      <c r="B186" s="114"/>
      <c r="K186" s="24"/>
      <c r="L186" s="24"/>
      <c r="M186" s="24"/>
      <c r="Q186" s="24"/>
      <c r="R186" s="24"/>
      <c r="S186" s="24"/>
      <c r="V186" s="24"/>
      <c r="W186" s="24"/>
      <c r="X186" s="112"/>
    </row>
    <row r="187" spans="2:24" s="27" customFormat="1" ht="15" customHeight="1">
      <c r="B187" s="114"/>
      <c r="K187" s="24"/>
      <c r="L187" s="24"/>
      <c r="M187" s="24"/>
      <c r="Q187" s="24"/>
      <c r="R187" s="24"/>
      <c r="S187" s="24"/>
      <c r="V187" s="24"/>
      <c r="W187" s="24"/>
      <c r="X187" s="112"/>
    </row>
    <row r="188" spans="2:24" s="27" customFormat="1" ht="15" customHeight="1">
      <c r="B188" s="114"/>
      <c r="K188" s="24"/>
      <c r="L188" s="24"/>
      <c r="M188" s="24"/>
      <c r="Q188" s="24"/>
      <c r="R188" s="24"/>
      <c r="S188" s="24"/>
      <c r="V188" s="24"/>
      <c r="W188" s="24"/>
      <c r="X188" s="112"/>
    </row>
    <row r="189" spans="2:24" s="27" customFormat="1" ht="15" customHeight="1">
      <c r="B189" s="114"/>
      <c r="K189" s="24"/>
      <c r="L189" s="24"/>
      <c r="M189" s="24"/>
      <c r="Q189" s="24"/>
      <c r="R189" s="24"/>
      <c r="S189" s="24"/>
      <c r="V189" s="24"/>
      <c r="W189" s="24"/>
      <c r="X189" s="112"/>
    </row>
    <row r="190" spans="2:24" s="27" customFormat="1" ht="15" customHeight="1">
      <c r="B190" s="114"/>
      <c r="G190" s="25"/>
      <c r="I190" s="25"/>
      <c r="J190" s="25"/>
      <c r="K190" s="115"/>
      <c r="L190" s="25"/>
      <c r="M190" s="25"/>
      <c r="Q190" s="24"/>
      <c r="R190" s="24"/>
      <c r="S190" s="24"/>
      <c r="U190" s="115"/>
      <c r="V190" s="115"/>
      <c r="W190" s="115"/>
      <c r="X190" s="115"/>
    </row>
    <row r="191" spans="2:24" s="27" customFormat="1" ht="15" customHeight="1">
      <c r="B191" s="114"/>
      <c r="G191" s="26"/>
      <c r="I191" s="26"/>
      <c r="J191" s="26"/>
      <c r="K191" s="26"/>
      <c r="L191" s="26"/>
      <c r="M191" s="26"/>
      <c r="Q191" s="24"/>
      <c r="R191" s="24"/>
      <c r="S191" s="24"/>
      <c r="U191" s="26"/>
      <c r="V191" s="26"/>
      <c r="W191" s="26"/>
      <c r="X191" s="25"/>
    </row>
    <row r="192" spans="2:24" s="27" customFormat="1" ht="15" customHeight="1">
      <c r="B192" s="114"/>
      <c r="G192" s="26"/>
      <c r="I192" s="26"/>
      <c r="J192" s="26"/>
      <c r="K192" s="26"/>
      <c r="L192" s="26"/>
      <c r="M192" s="26"/>
      <c r="Q192" s="24"/>
      <c r="R192" s="24"/>
      <c r="S192" s="24"/>
      <c r="U192" s="26"/>
      <c r="V192" s="26"/>
      <c r="W192" s="26"/>
      <c r="X192" s="25"/>
    </row>
    <row r="193" spans="2:24" s="27" customFormat="1" ht="15" customHeight="1">
      <c r="B193" s="114"/>
      <c r="G193" s="26"/>
      <c r="I193" s="26"/>
      <c r="J193" s="26"/>
      <c r="K193" s="26"/>
      <c r="L193" s="26"/>
      <c r="M193" s="26"/>
      <c r="Q193" s="24"/>
      <c r="R193" s="24"/>
      <c r="S193" s="24"/>
      <c r="U193" s="26"/>
      <c r="V193" s="26"/>
      <c r="W193" s="26"/>
      <c r="X193" s="25"/>
    </row>
    <row r="194" spans="2:24" s="27" customFormat="1" ht="15" customHeight="1">
      <c r="B194" s="114"/>
      <c r="G194" s="26"/>
      <c r="I194" s="26"/>
      <c r="J194" s="26"/>
      <c r="K194" s="26"/>
      <c r="L194" s="26"/>
      <c r="M194" s="26"/>
      <c r="Q194" s="24"/>
      <c r="R194" s="24"/>
      <c r="S194" s="24"/>
      <c r="U194" s="26"/>
      <c r="V194" s="26"/>
      <c r="W194" s="26"/>
      <c r="X194" s="25"/>
    </row>
    <row r="195" spans="2:24" s="27" customFormat="1" ht="15" customHeight="1">
      <c r="B195" s="114"/>
      <c r="G195" s="26"/>
      <c r="I195" s="26"/>
      <c r="J195" s="26"/>
      <c r="K195" s="26"/>
      <c r="L195" s="26"/>
      <c r="M195" s="26"/>
      <c r="Q195" s="24"/>
      <c r="R195" s="24"/>
      <c r="S195" s="24"/>
      <c r="U195" s="26"/>
      <c r="V195" s="26"/>
      <c r="W195" s="26"/>
      <c r="X195" s="25"/>
    </row>
    <row r="196" spans="2:24" s="27" customFormat="1" ht="15" customHeight="1">
      <c r="B196" s="114"/>
      <c r="K196" s="24"/>
      <c r="L196" s="24"/>
      <c r="M196" s="24"/>
      <c r="Q196" s="24"/>
      <c r="R196" s="24"/>
      <c r="S196" s="24"/>
      <c r="V196" s="24"/>
      <c r="W196" s="24"/>
      <c r="X196" s="112"/>
    </row>
    <row r="197" spans="2:24" s="27" customFormat="1" ht="15" customHeight="1">
      <c r="B197" s="114"/>
      <c r="K197" s="24"/>
      <c r="L197" s="24"/>
      <c r="M197" s="24"/>
      <c r="Q197" s="24"/>
      <c r="R197" s="24"/>
      <c r="S197" s="24"/>
      <c r="V197" s="24"/>
      <c r="W197" s="24"/>
      <c r="X197" s="112"/>
    </row>
    <row r="198" spans="2:24" s="27" customFormat="1" ht="15" customHeight="1">
      <c r="B198" s="114"/>
      <c r="K198" s="24"/>
      <c r="L198" s="24"/>
      <c r="M198" s="24"/>
      <c r="Q198" s="24"/>
      <c r="R198" s="24"/>
      <c r="S198" s="24"/>
      <c r="V198" s="24"/>
      <c r="W198" s="24"/>
      <c r="X198" s="112"/>
    </row>
    <row r="199" spans="2:24" s="27" customFormat="1" ht="15" customHeight="1">
      <c r="B199" s="114"/>
      <c r="K199" s="24"/>
      <c r="L199" s="24"/>
      <c r="M199" s="24"/>
      <c r="Q199" s="24"/>
      <c r="R199" s="24"/>
      <c r="S199" s="24"/>
      <c r="V199" s="24"/>
      <c r="W199" s="24"/>
      <c r="X199" s="112"/>
    </row>
    <row r="200" spans="2:24" s="27" customFormat="1" ht="15" customHeight="1">
      <c r="B200" s="114"/>
      <c r="G200" s="25"/>
      <c r="I200" s="25"/>
      <c r="J200" s="25"/>
      <c r="K200" s="115"/>
      <c r="L200" s="25"/>
      <c r="M200" s="25"/>
      <c r="Q200" s="24"/>
      <c r="R200" s="24"/>
      <c r="S200" s="24"/>
      <c r="U200" s="115"/>
      <c r="V200" s="115"/>
      <c r="W200" s="115"/>
      <c r="X200" s="115"/>
    </row>
    <row r="201" spans="2:24" s="27" customFormat="1" ht="15" customHeight="1">
      <c r="B201" s="114"/>
      <c r="G201" s="26"/>
      <c r="I201" s="26"/>
      <c r="J201" s="26"/>
      <c r="K201" s="26"/>
      <c r="L201" s="26"/>
      <c r="M201" s="26"/>
      <c r="Q201" s="24"/>
      <c r="R201" s="24"/>
      <c r="S201" s="24"/>
      <c r="U201" s="26"/>
      <c r="V201" s="26"/>
      <c r="W201" s="26"/>
      <c r="X201" s="25"/>
    </row>
    <row r="202" spans="2:24" s="27" customFormat="1" ht="15" customHeight="1">
      <c r="B202" s="114"/>
      <c r="G202" s="26"/>
      <c r="I202" s="26"/>
      <c r="J202" s="26"/>
      <c r="K202" s="26"/>
      <c r="L202" s="26"/>
      <c r="M202" s="26"/>
      <c r="Q202" s="24"/>
      <c r="R202" s="24"/>
      <c r="S202" s="24"/>
      <c r="U202" s="26"/>
      <c r="V202" s="26"/>
      <c r="W202" s="26"/>
      <c r="X202" s="25"/>
    </row>
    <row r="203" spans="2:24" s="27" customFormat="1" ht="15" customHeight="1">
      <c r="B203" s="114"/>
      <c r="K203" s="24"/>
      <c r="L203" s="24"/>
      <c r="M203" s="24"/>
      <c r="Q203" s="24"/>
      <c r="R203" s="24"/>
      <c r="S203" s="24"/>
      <c r="V203" s="24"/>
      <c r="W203" s="24"/>
      <c r="X203" s="112"/>
    </row>
    <row r="204" spans="2:24" s="27" customFormat="1" ht="15" customHeight="1">
      <c r="B204" s="114"/>
      <c r="K204" s="24"/>
      <c r="L204" s="24"/>
      <c r="M204" s="24"/>
      <c r="Q204" s="24"/>
      <c r="R204" s="24"/>
      <c r="S204" s="24"/>
      <c r="V204" s="24"/>
      <c r="W204" s="24"/>
      <c r="X204" s="112"/>
    </row>
    <row r="205" spans="2:24" s="27" customFormat="1" ht="15" customHeight="1">
      <c r="B205" s="114"/>
      <c r="K205" s="24"/>
      <c r="L205" s="24"/>
      <c r="M205" s="24"/>
      <c r="Q205" s="24"/>
      <c r="R205" s="24"/>
      <c r="S205" s="24"/>
      <c r="V205" s="24"/>
      <c r="W205" s="24"/>
      <c r="X205" s="112"/>
    </row>
    <row r="206" spans="2:24" s="27" customFormat="1" ht="15" customHeight="1">
      <c r="B206" s="114"/>
      <c r="K206" s="24"/>
      <c r="L206" s="24"/>
      <c r="M206" s="24"/>
      <c r="Q206" s="24"/>
      <c r="R206" s="24"/>
      <c r="S206" s="24"/>
      <c r="V206" s="24"/>
      <c r="W206" s="24"/>
      <c r="X206" s="112"/>
    </row>
    <row r="207" spans="2:24" s="27" customFormat="1" ht="15" customHeight="1">
      <c r="B207" s="114"/>
      <c r="G207" s="25"/>
      <c r="I207" s="25"/>
      <c r="J207" s="25"/>
      <c r="K207" s="115"/>
      <c r="L207" s="25"/>
      <c r="M207" s="25"/>
      <c r="Q207" s="24"/>
      <c r="R207" s="24"/>
      <c r="S207" s="24"/>
      <c r="U207" s="115"/>
      <c r="V207" s="115"/>
      <c r="W207" s="115"/>
      <c r="X207" s="115"/>
    </row>
    <row r="208" spans="2:24" s="27" customFormat="1" ht="15" customHeight="1">
      <c r="B208" s="114"/>
      <c r="G208" s="26"/>
      <c r="I208" s="26"/>
      <c r="J208" s="26"/>
      <c r="K208" s="26"/>
      <c r="L208" s="26"/>
      <c r="M208" s="26"/>
      <c r="Q208" s="24"/>
      <c r="R208" s="24"/>
      <c r="S208" s="24"/>
      <c r="U208" s="26"/>
      <c r="V208" s="26"/>
      <c r="W208" s="26"/>
      <c r="X208" s="25"/>
    </row>
    <row r="209" spans="2:24" s="27" customFormat="1" ht="15" customHeight="1">
      <c r="B209" s="114"/>
      <c r="G209" s="26"/>
      <c r="I209" s="26"/>
      <c r="J209" s="26"/>
      <c r="K209" s="26"/>
      <c r="L209" s="26"/>
      <c r="M209" s="26"/>
      <c r="Q209" s="24"/>
      <c r="R209" s="24"/>
      <c r="S209" s="24"/>
      <c r="U209" s="26"/>
      <c r="V209" s="26"/>
      <c r="W209" s="26"/>
      <c r="X209" s="25"/>
    </row>
    <row r="210" spans="2:24" s="27" customFormat="1" ht="15" customHeight="1">
      <c r="B210" s="114"/>
      <c r="K210" s="24"/>
      <c r="L210" s="24"/>
      <c r="M210" s="24"/>
      <c r="Q210" s="24"/>
      <c r="R210" s="24"/>
      <c r="S210" s="24"/>
      <c r="V210" s="24"/>
      <c r="W210" s="24"/>
      <c r="X210" s="112"/>
    </row>
    <row r="211" spans="2:24" s="27" customFormat="1" ht="15" customHeight="1">
      <c r="B211" s="114"/>
      <c r="K211" s="24"/>
      <c r="L211" s="24"/>
      <c r="M211" s="24"/>
      <c r="Q211" s="24"/>
      <c r="R211" s="24"/>
      <c r="S211" s="24"/>
      <c r="V211" s="24"/>
      <c r="W211" s="24"/>
      <c r="X211" s="112"/>
    </row>
    <row r="212" spans="2:24" s="27" customFormat="1" ht="15" customHeight="1">
      <c r="B212" s="114"/>
      <c r="K212" s="24"/>
      <c r="L212" s="24"/>
      <c r="M212" s="24"/>
      <c r="Q212" s="24"/>
      <c r="R212" s="24"/>
      <c r="S212" s="24"/>
      <c r="V212" s="24"/>
      <c r="W212" s="24"/>
      <c r="X212" s="112"/>
    </row>
    <row r="213" spans="2:24" s="27" customFormat="1" ht="15" customHeight="1">
      <c r="B213" s="114"/>
      <c r="K213" s="24"/>
      <c r="L213" s="24"/>
      <c r="M213" s="24"/>
      <c r="Q213" s="24"/>
      <c r="R213" s="24"/>
      <c r="S213" s="24"/>
      <c r="V213" s="24"/>
      <c r="W213" s="24"/>
      <c r="X213" s="112"/>
    </row>
    <row r="214" spans="2:24" s="27" customFormat="1" ht="15" customHeight="1">
      <c r="B214" s="114"/>
      <c r="G214" s="25"/>
      <c r="I214" s="25"/>
      <c r="J214" s="25"/>
      <c r="K214" s="115"/>
      <c r="L214" s="25"/>
      <c r="M214" s="25"/>
      <c r="Q214" s="24"/>
      <c r="R214" s="24"/>
      <c r="S214" s="24"/>
      <c r="U214" s="115"/>
      <c r="V214" s="115"/>
      <c r="W214" s="115"/>
      <c r="X214" s="115"/>
    </row>
    <row r="215" spans="2:24" s="27" customFormat="1" ht="15" customHeight="1">
      <c r="B215" s="114"/>
      <c r="G215" s="26"/>
      <c r="I215" s="26"/>
      <c r="J215" s="26"/>
      <c r="K215" s="26"/>
      <c r="L215" s="26"/>
      <c r="M215" s="26"/>
      <c r="Q215" s="24"/>
      <c r="R215" s="24"/>
      <c r="S215" s="24"/>
      <c r="U215" s="26"/>
      <c r="V215" s="26"/>
      <c r="W215" s="26"/>
      <c r="X215" s="25"/>
    </row>
    <row r="216" spans="2:24" s="27" customFormat="1" ht="15" customHeight="1">
      <c r="B216" s="114"/>
      <c r="G216" s="26"/>
      <c r="I216" s="26"/>
      <c r="J216" s="26"/>
      <c r="K216" s="26"/>
      <c r="L216" s="26"/>
      <c r="M216" s="26"/>
      <c r="Q216" s="24"/>
      <c r="R216" s="24"/>
      <c r="S216" s="24"/>
      <c r="U216" s="26"/>
      <c r="V216" s="26"/>
      <c r="W216" s="26"/>
      <c r="X216" s="25"/>
    </row>
    <row r="217" spans="2:24" s="27" customFormat="1" ht="15" customHeight="1">
      <c r="B217" s="114"/>
      <c r="K217" s="24"/>
      <c r="L217" s="24"/>
      <c r="M217" s="24"/>
      <c r="Q217" s="24"/>
      <c r="R217" s="24"/>
      <c r="S217" s="24"/>
      <c r="V217" s="24"/>
      <c r="W217" s="24"/>
      <c r="X217" s="112"/>
    </row>
    <row r="218" spans="2:24" s="27" customFormat="1" ht="15" customHeight="1">
      <c r="B218" s="114"/>
      <c r="K218" s="24"/>
      <c r="L218" s="24"/>
      <c r="M218" s="24"/>
      <c r="Q218" s="24"/>
      <c r="R218" s="24"/>
      <c r="S218" s="24"/>
      <c r="V218" s="24"/>
      <c r="W218" s="24"/>
      <c r="X218" s="112"/>
    </row>
    <row r="219" spans="2:24" s="27" customFormat="1" ht="15" customHeight="1">
      <c r="B219" s="114"/>
      <c r="K219" s="24"/>
      <c r="L219" s="24"/>
      <c r="M219" s="24"/>
      <c r="Q219" s="24"/>
      <c r="R219" s="24"/>
      <c r="S219" s="24"/>
      <c r="V219" s="24"/>
      <c r="W219" s="24"/>
      <c r="X219" s="112"/>
    </row>
    <row r="220" spans="2:24" s="27" customFormat="1" ht="15" customHeight="1">
      <c r="B220" s="114"/>
      <c r="K220" s="24"/>
      <c r="L220" s="24"/>
      <c r="M220" s="24"/>
      <c r="Q220" s="24"/>
      <c r="R220" s="24"/>
      <c r="S220" s="24"/>
      <c r="V220" s="24"/>
      <c r="W220" s="24"/>
      <c r="X220" s="112"/>
    </row>
    <row r="221" spans="2:24" s="27" customFormat="1" ht="15" customHeight="1">
      <c r="B221" s="114"/>
      <c r="K221" s="24"/>
      <c r="L221" s="24"/>
      <c r="M221" s="24"/>
      <c r="Q221" s="24"/>
      <c r="R221" s="24"/>
      <c r="S221" s="24"/>
      <c r="V221" s="24"/>
      <c r="W221" s="24"/>
      <c r="X221" s="112"/>
    </row>
    <row r="222" spans="2:24" s="27" customFormat="1" ht="15" customHeight="1">
      <c r="B222" s="114"/>
      <c r="G222" s="25"/>
      <c r="I222" s="25"/>
      <c r="J222" s="25"/>
      <c r="K222" s="115"/>
      <c r="L222" s="25"/>
      <c r="M222" s="25"/>
      <c r="Q222" s="24"/>
      <c r="R222" s="24"/>
      <c r="S222" s="24"/>
      <c r="U222" s="115"/>
      <c r="V222" s="115"/>
      <c r="W222" s="115"/>
      <c r="X222" s="115"/>
    </row>
    <row r="223" spans="2:24" s="27" customFormat="1" ht="15" customHeight="1">
      <c r="B223" s="114"/>
      <c r="G223" s="26"/>
      <c r="I223" s="26"/>
      <c r="J223" s="26"/>
      <c r="K223" s="26"/>
      <c r="L223" s="26"/>
      <c r="M223" s="26"/>
      <c r="Q223" s="24"/>
      <c r="R223" s="24"/>
      <c r="S223" s="24"/>
      <c r="U223" s="26"/>
      <c r="V223" s="26"/>
      <c r="W223" s="26"/>
      <c r="X223" s="25"/>
    </row>
    <row r="224" spans="2:24" s="27" customFormat="1" ht="15" customHeight="1">
      <c r="B224" s="114"/>
      <c r="G224" s="26"/>
      <c r="I224" s="26"/>
      <c r="J224" s="26"/>
      <c r="K224" s="26"/>
      <c r="L224" s="26"/>
      <c r="M224" s="26"/>
      <c r="Q224" s="24"/>
      <c r="R224" s="24"/>
      <c r="S224" s="24"/>
      <c r="U224" s="26"/>
      <c r="V224" s="26"/>
      <c r="W224" s="26"/>
      <c r="X224" s="25"/>
    </row>
    <row r="225" spans="2:24" s="27" customFormat="1" ht="15" customHeight="1">
      <c r="B225" s="114"/>
      <c r="K225" s="24"/>
      <c r="L225" s="24"/>
      <c r="M225" s="24"/>
      <c r="Q225" s="24"/>
      <c r="R225" s="24"/>
      <c r="S225" s="24"/>
      <c r="V225" s="24"/>
      <c r="W225" s="24"/>
      <c r="X225" s="112"/>
    </row>
    <row r="226" spans="2:24" s="27" customFormat="1" ht="15" customHeight="1">
      <c r="B226" s="114"/>
      <c r="K226" s="24"/>
      <c r="L226" s="24"/>
      <c r="M226" s="24"/>
      <c r="Q226" s="24"/>
      <c r="R226" s="24"/>
      <c r="S226" s="24"/>
      <c r="V226" s="24"/>
      <c r="W226" s="24"/>
      <c r="X226" s="112"/>
    </row>
    <row r="227" spans="2:24" s="27" customFormat="1" ht="15" customHeight="1">
      <c r="B227" s="114"/>
      <c r="K227" s="24"/>
      <c r="L227" s="24"/>
      <c r="M227" s="24"/>
      <c r="Q227" s="24"/>
      <c r="R227" s="24"/>
      <c r="S227" s="24"/>
      <c r="V227" s="24"/>
      <c r="W227" s="24"/>
      <c r="X227" s="112"/>
    </row>
    <row r="228" spans="2:24" s="27" customFormat="1" ht="15" customHeight="1">
      <c r="B228" s="114"/>
      <c r="K228" s="24"/>
      <c r="L228" s="24"/>
      <c r="M228" s="24"/>
      <c r="Q228" s="24"/>
      <c r="R228" s="24"/>
      <c r="S228" s="24"/>
      <c r="V228" s="24"/>
      <c r="W228" s="24"/>
      <c r="X228" s="112"/>
    </row>
    <row r="229" spans="2:24" s="27" customFormat="1" ht="15" customHeight="1">
      <c r="B229" s="114"/>
      <c r="K229" s="24"/>
      <c r="L229" s="24"/>
      <c r="M229" s="24"/>
      <c r="Q229" s="24"/>
      <c r="R229" s="24"/>
      <c r="S229" s="24"/>
      <c r="V229" s="24"/>
      <c r="W229" s="24"/>
      <c r="X229" s="112"/>
    </row>
    <row r="230" spans="2:24" s="27" customFormat="1" ht="15" customHeight="1">
      <c r="B230" s="114"/>
      <c r="G230" s="25"/>
      <c r="I230" s="25"/>
      <c r="J230" s="25"/>
      <c r="K230" s="115"/>
      <c r="L230" s="25"/>
      <c r="M230" s="25"/>
      <c r="Q230" s="24"/>
      <c r="R230" s="24"/>
      <c r="S230" s="24"/>
      <c r="U230" s="115"/>
      <c r="V230" s="115"/>
      <c r="W230" s="115"/>
      <c r="X230" s="115"/>
    </row>
    <row r="231" spans="2:24" s="27" customFormat="1" ht="15" customHeight="1">
      <c r="B231" s="114"/>
      <c r="G231" s="26"/>
      <c r="I231" s="26"/>
      <c r="J231" s="26"/>
      <c r="K231" s="26"/>
      <c r="L231" s="26"/>
      <c r="M231" s="26"/>
      <c r="Q231" s="24"/>
      <c r="R231" s="24"/>
      <c r="S231" s="24"/>
      <c r="U231" s="26"/>
      <c r="V231" s="26"/>
      <c r="W231" s="26"/>
      <c r="X231" s="25"/>
    </row>
    <row r="232" spans="2:24" s="27" customFormat="1" ht="15" customHeight="1">
      <c r="B232" s="114"/>
      <c r="G232" s="26"/>
      <c r="I232" s="26"/>
      <c r="J232" s="26"/>
      <c r="K232" s="26"/>
      <c r="L232" s="26"/>
      <c r="M232" s="26"/>
      <c r="Q232" s="24"/>
      <c r="R232" s="24"/>
      <c r="S232" s="24"/>
      <c r="U232" s="26"/>
      <c r="V232" s="26"/>
      <c r="W232" s="26"/>
      <c r="X232" s="25"/>
    </row>
    <row r="233" spans="2:24" s="27" customFormat="1" ht="15" customHeight="1">
      <c r="B233" s="114"/>
      <c r="K233" s="24"/>
      <c r="L233" s="24"/>
      <c r="M233" s="24"/>
      <c r="Q233" s="24"/>
      <c r="R233" s="24"/>
      <c r="S233" s="24"/>
      <c r="V233" s="24"/>
      <c r="W233" s="24"/>
      <c r="X233" s="112"/>
    </row>
    <row r="234" spans="2:24" s="27" customFormat="1" ht="15" customHeight="1">
      <c r="B234" s="114"/>
      <c r="K234" s="24"/>
      <c r="L234" s="24"/>
      <c r="M234" s="24"/>
      <c r="Q234" s="24"/>
      <c r="R234" s="24"/>
      <c r="S234" s="24"/>
      <c r="V234" s="24"/>
      <c r="W234" s="24"/>
      <c r="X234" s="112"/>
    </row>
    <row r="235" spans="2:24" s="27" customFormat="1" ht="15" customHeight="1">
      <c r="B235" s="114"/>
      <c r="K235" s="25"/>
      <c r="L235" s="25"/>
      <c r="M235" s="25"/>
      <c r="Q235" s="24"/>
      <c r="R235" s="24"/>
      <c r="S235" s="24"/>
      <c r="V235" s="25"/>
      <c r="W235" s="25"/>
      <c r="X235" s="25"/>
    </row>
    <row r="236" spans="2:24" s="27" customFormat="1" ht="15" customHeight="1">
      <c r="B236" s="114"/>
      <c r="K236" s="24"/>
      <c r="L236" s="24"/>
      <c r="M236" s="24"/>
      <c r="Q236" s="24"/>
      <c r="R236" s="24"/>
      <c r="S236" s="24"/>
      <c r="V236" s="24"/>
      <c r="W236" s="24"/>
      <c r="X236" s="112"/>
    </row>
    <row r="237" spans="2:24" s="27" customFormat="1" ht="15" customHeight="1">
      <c r="B237" s="114"/>
      <c r="K237" s="25"/>
      <c r="L237" s="25"/>
      <c r="M237" s="25"/>
      <c r="Q237" s="24"/>
      <c r="R237" s="24"/>
      <c r="S237" s="24"/>
      <c r="V237" s="25"/>
      <c r="W237" s="25"/>
      <c r="X237" s="25"/>
    </row>
    <row r="238" spans="2:24" s="27" customFormat="1" ht="15" customHeight="1">
      <c r="B238" s="114"/>
      <c r="G238" s="25"/>
      <c r="I238" s="25"/>
      <c r="J238" s="25"/>
      <c r="K238" s="115"/>
      <c r="L238" s="25"/>
      <c r="M238" s="25"/>
      <c r="Q238" s="24"/>
      <c r="R238" s="24"/>
      <c r="S238" s="24"/>
      <c r="U238" s="115"/>
      <c r="V238" s="115"/>
      <c r="W238" s="115"/>
      <c r="X238" s="115"/>
    </row>
    <row r="239" spans="2:24" s="27" customFormat="1" ht="15" customHeight="1">
      <c r="B239" s="114"/>
      <c r="G239" s="26"/>
      <c r="I239" s="26"/>
      <c r="J239" s="26"/>
      <c r="K239" s="26"/>
      <c r="L239" s="26"/>
      <c r="M239" s="26"/>
      <c r="Q239" s="24"/>
      <c r="R239" s="24"/>
      <c r="S239" s="24"/>
      <c r="U239" s="26"/>
      <c r="V239" s="26"/>
      <c r="W239" s="26"/>
      <c r="X239" s="25"/>
    </row>
    <row r="240" spans="2:24" s="27" customFormat="1" ht="15" customHeight="1">
      <c r="B240" s="114"/>
      <c r="G240" s="26"/>
      <c r="I240" s="26"/>
      <c r="J240" s="26"/>
      <c r="K240" s="26"/>
      <c r="L240" s="26"/>
      <c r="M240" s="26"/>
      <c r="Q240" s="24"/>
      <c r="R240" s="24"/>
      <c r="S240" s="24"/>
      <c r="U240" s="26"/>
      <c r="V240" s="26"/>
      <c r="W240" s="26"/>
      <c r="X240" s="25"/>
    </row>
    <row r="241" spans="2:24" s="27" customFormat="1" ht="15" customHeight="1">
      <c r="B241" s="114"/>
      <c r="K241" s="25"/>
      <c r="L241" s="25"/>
      <c r="M241" s="25"/>
      <c r="Q241" s="24"/>
      <c r="R241" s="24"/>
      <c r="S241" s="24"/>
      <c r="V241" s="25"/>
      <c r="W241" s="25"/>
      <c r="X241" s="25"/>
    </row>
    <row r="242" spans="2:24" s="27" customFormat="1" ht="15" customHeight="1">
      <c r="B242" s="114"/>
      <c r="K242" s="25"/>
      <c r="L242" s="25"/>
      <c r="M242" s="25"/>
      <c r="Q242" s="24"/>
      <c r="R242" s="24"/>
      <c r="S242" s="24"/>
      <c r="V242" s="25"/>
      <c r="W242" s="25"/>
      <c r="X242" s="25"/>
    </row>
    <row r="243" spans="2:24" s="27" customFormat="1" ht="15" customHeight="1">
      <c r="B243" s="114"/>
      <c r="K243" s="25"/>
      <c r="L243" s="25"/>
      <c r="M243" s="25"/>
      <c r="Q243" s="24"/>
      <c r="R243" s="24"/>
      <c r="S243" s="24"/>
      <c r="V243" s="25"/>
      <c r="W243" s="25"/>
      <c r="X243" s="25"/>
    </row>
    <row r="244" spans="2:24" s="27" customFormat="1" ht="15" customHeight="1">
      <c r="B244" s="114"/>
      <c r="K244" s="25"/>
      <c r="L244" s="25"/>
      <c r="M244" s="25"/>
      <c r="Q244" s="24"/>
      <c r="R244" s="24"/>
      <c r="S244" s="24"/>
      <c r="V244" s="25"/>
      <c r="W244" s="25"/>
      <c r="X244" s="25"/>
    </row>
    <row r="245" spans="2:24" s="27" customFormat="1" ht="15" customHeight="1">
      <c r="B245" s="114"/>
      <c r="G245" s="25"/>
      <c r="I245" s="25"/>
      <c r="J245" s="25"/>
      <c r="K245" s="115"/>
      <c r="L245" s="25"/>
      <c r="M245" s="25"/>
      <c r="Q245" s="24"/>
      <c r="R245" s="24"/>
      <c r="S245" s="24"/>
      <c r="U245" s="115"/>
      <c r="V245" s="115"/>
      <c r="W245" s="115"/>
      <c r="X245" s="115"/>
    </row>
    <row r="246" spans="2:24" s="27" customFormat="1" ht="15" customHeight="1">
      <c r="B246" s="114"/>
      <c r="G246" s="26"/>
      <c r="I246" s="26"/>
      <c r="J246" s="26"/>
      <c r="K246" s="26"/>
      <c r="L246" s="26"/>
      <c r="M246" s="26"/>
      <c r="Q246" s="24"/>
      <c r="R246" s="24"/>
      <c r="S246" s="24"/>
      <c r="U246" s="26"/>
      <c r="V246" s="26"/>
      <c r="W246" s="26"/>
      <c r="X246" s="25"/>
    </row>
    <row r="247" spans="2:24" s="27" customFormat="1" ht="15" customHeight="1">
      <c r="B247" s="114"/>
      <c r="G247" s="26"/>
      <c r="I247" s="26"/>
      <c r="J247" s="26"/>
      <c r="K247" s="26"/>
      <c r="L247" s="26"/>
      <c r="M247" s="26"/>
      <c r="Q247" s="24"/>
      <c r="R247" s="24"/>
      <c r="S247" s="24"/>
      <c r="U247" s="26"/>
      <c r="V247" s="26"/>
      <c r="W247" s="26"/>
      <c r="X247" s="25"/>
    </row>
    <row r="248" spans="2:24" s="27" customFormat="1" ht="15" customHeight="1">
      <c r="B248" s="114"/>
      <c r="K248" s="25"/>
      <c r="L248" s="25"/>
      <c r="M248" s="25"/>
      <c r="Q248" s="24"/>
      <c r="R248" s="24"/>
      <c r="S248" s="24"/>
      <c r="V248" s="25"/>
      <c r="W248" s="25"/>
      <c r="X248" s="25"/>
    </row>
    <row r="249" spans="2:24" s="27" customFormat="1" ht="15" customHeight="1">
      <c r="B249" s="114"/>
      <c r="K249" s="24"/>
      <c r="L249" s="24"/>
      <c r="M249" s="24"/>
      <c r="Q249" s="24"/>
      <c r="R249" s="24"/>
      <c r="S249" s="24"/>
      <c r="V249" s="24"/>
      <c r="W249" s="24"/>
      <c r="X249" s="112"/>
    </row>
    <row r="250" spans="2:24" s="27" customFormat="1" ht="15" customHeight="1">
      <c r="B250" s="114"/>
      <c r="K250" s="25"/>
      <c r="L250" s="25"/>
      <c r="M250" s="25"/>
      <c r="Q250" s="24"/>
      <c r="R250" s="24"/>
      <c r="S250" s="24"/>
      <c r="V250" s="25"/>
      <c r="W250" s="25"/>
      <c r="X250" s="25"/>
    </row>
    <row r="251" spans="2:24" s="27" customFormat="1" ht="15" customHeight="1">
      <c r="B251" s="114"/>
      <c r="K251" s="25"/>
      <c r="L251" s="25"/>
      <c r="M251" s="25"/>
      <c r="Q251" s="24"/>
      <c r="R251" s="24"/>
      <c r="S251" s="24"/>
      <c r="V251" s="25"/>
      <c r="W251" s="25"/>
      <c r="X251" s="25"/>
    </row>
    <row r="252" spans="2:24" s="27" customFormat="1" ht="15" customHeight="1">
      <c r="B252" s="114"/>
      <c r="G252" s="25"/>
      <c r="I252" s="25"/>
      <c r="J252" s="25"/>
      <c r="K252" s="115"/>
      <c r="L252" s="25"/>
      <c r="M252" s="25"/>
      <c r="Q252" s="24"/>
      <c r="R252" s="24"/>
      <c r="S252" s="24"/>
      <c r="U252" s="115"/>
      <c r="V252" s="115"/>
      <c r="W252" s="115"/>
      <c r="X252" s="115"/>
    </row>
    <row r="253" spans="2:24" s="27" customFormat="1" ht="15" customHeight="1">
      <c r="B253" s="114"/>
      <c r="G253" s="26"/>
      <c r="I253" s="26"/>
      <c r="J253" s="26"/>
      <c r="K253" s="26"/>
      <c r="L253" s="26"/>
      <c r="M253" s="26"/>
      <c r="Q253" s="24"/>
      <c r="R253" s="24"/>
      <c r="S253" s="24"/>
      <c r="U253" s="26"/>
      <c r="V253" s="26"/>
      <c r="W253" s="26"/>
      <c r="X253" s="25"/>
    </row>
    <row r="254" spans="2:24" s="27" customFormat="1" ht="15" customHeight="1">
      <c r="B254" s="114"/>
      <c r="G254" s="26"/>
      <c r="I254" s="26"/>
      <c r="J254" s="26"/>
      <c r="K254" s="26"/>
      <c r="L254" s="26"/>
      <c r="M254" s="26"/>
      <c r="Q254" s="24"/>
      <c r="R254" s="24"/>
      <c r="S254" s="24"/>
      <c r="U254" s="26"/>
      <c r="V254" s="26"/>
      <c r="W254" s="26"/>
      <c r="X254" s="25"/>
    </row>
    <row r="255" spans="2:24" s="27" customFormat="1" ht="15" customHeight="1">
      <c r="B255" s="114"/>
      <c r="G255" s="26"/>
      <c r="I255" s="26"/>
      <c r="J255" s="26"/>
      <c r="K255" s="26"/>
      <c r="L255" s="26"/>
      <c r="M255" s="26"/>
      <c r="Q255" s="24"/>
      <c r="R255" s="24"/>
      <c r="S255" s="24"/>
      <c r="U255" s="26"/>
      <c r="V255" s="26"/>
      <c r="W255" s="26"/>
      <c r="X255" s="25"/>
    </row>
    <row r="256" spans="2:24" s="27" customFormat="1" ht="15" customHeight="1">
      <c r="B256" s="114"/>
      <c r="K256" s="25"/>
      <c r="L256" s="25"/>
      <c r="M256" s="25"/>
      <c r="Q256" s="24"/>
      <c r="R256" s="24"/>
      <c r="S256" s="24"/>
      <c r="V256" s="25"/>
      <c r="W256" s="25"/>
      <c r="X256" s="25"/>
    </row>
    <row r="257" spans="2:24" s="27" customFormat="1" ht="15" customHeight="1">
      <c r="B257" s="114"/>
      <c r="K257" s="24"/>
      <c r="L257" s="24"/>
      <c r="M257" s="24"/>
      <c r="Q257" s="24"/>
      <c r="R257" s="24"/>
      <c r="S257" s="24"/>
      <c r="V257" s="24"/>
      <c r="W257" s="24"/>
      <c r="X257" s="112"/>
    </row>
    <row r="258" spans="2:24" s="27" customFormat="1" ht="15" customHeight="1">
      <c r="B258" s="114"/>
      <c r="K258" s="24"/>
      <c r="L258" s="24"/>
      <c r="M258" s="24"/>
      <c r="Q258" s="24"/>
      <c r="R258" s="24"/>
      <c r="S258" s="24"/>
      <c r="V258" s="24"/>
      <c r="W258" s="24"/>
      <c r="X258" s="112"/>
    </row>
    <row r="259" spans="2:24" s="27" customFormat="1" ht="15" customHeight="1">
      <c r="B259" s="114"/>
      <c r="K259" s="24"/>
      <c r="L259" s="24"/>
      <c r="M259" s="24"/>
      <c r="Q259" s="24"/>
      <c r="R259" s="24"/>
      <c r="S259" s="24"/>
      <c r="V259" s="24"/>
      <c r="W259" s="24"/>
      <c r="X259" s="112"/>
    </row>
    <row r="260" spans="2:24" s="27" customFormat="1" ht="15" customHeight="1">
      <c r="B260" s="114"/>
      <c r="G260" s="25"/>
      <c r="I260" s="25"/>
      <c r="J260" s="25"/>
      <c r="K260" s="115"/>
      <c r="L260" s="25"/>
      <c r="M260" s="25"/>
      <c r="Q260" s="24"/>
      <c r="R260" s="24"/>
      <c r="S260" s="24"/>
      <c r="U260" s="115"/>
      <c r="V260" s="115"/>
      <c r="W260" s="115"/>
      <c r="X260" s="115"/>
    </row>
    <row r="261" spans="2:24" s="27" customFormat="1" ht="15" customHeight="1">
      <c r="B261" s="114"/>
      <c r="G261" s="26"/>
      <c r="I261" s="26"/>
      <c r="J261" s="26"/>
      <c r="K261" s="26"/>
      <c r="L261" s="26"/>
      <c r="M261" s="26"/>
      <c r="Q261" s="24"/>
      <c r="R261" s="24"/>
      <c r="S261" s="24"/>
      <c r="U261" s="26"/>
      <c r="V261" s="26"/>
      <c r="W261" s="26"/>
      <c r="X261" s="25"/>
    </row>
    <row r="262" spans="2:24" s="27" customFormat="1" ht="15" customHeight="1">
      <c r="B262" s="114"/>
      <c r="G262" s="26"/>
      <c r="I262" s="26"/>
      <c r="J262" s="26"/>
      <c r="K262" s="26"/>
      <c r="L262" s="26"/>
      <c r="M262" s="26"/>
      <c r="Q262" s="24"/>
      <c r="R262" s="24"/>
      <c r="S262" s="24"/>
      <c r="U262" s="26"/>
      <c r="V262" s="26"/>
      <c r="W262" s="26"/>
      <c r="X262" s="25"/>
    </row>
    <row r="263" spans="2:24" s="27" customFormat="1" ht="15" customHeight="1">
      <c r="B263" s="114"/>
      <c r="K263" s="24"/>
      <c r="L263" s="24"/>
      <c r="M263" s="24"/>
      <c r="Q263" s="24"/>
      <c r="R263" s="24"/>
      <c r="S263" s="24"/>
      <c r="V263" s="24"/>
      <c r="W263" s="24"/>
      <c r="X263" s="112"/>
    </row>
    <row r="264" spans="2:24" s="27" customFormat="1" ht="15" customHeight="1">
      <c r="B264" s="114"/>
      <c r="K264" s="24"/>
      <c r="L264" s="24"/>
      <c r="M264" s="24"/>
      <c r="Q264" s="24"/>
      <c r="R264" s="24"/>
      <c r="S264" s="24"/>
      <c r="V264" s="24"/>
      <c r="W264" s="24"/>
      <c r="X264" s="112"/>
    </row>
    <row r="265" spans="2:24" s="27" customFormat="1" ht="15" customHeight="1">
      <c r="B265" s="114"/>
      <c r="K265" s="24"/>
      <c r="L265" s="24"/>
      <c r="M265" s="24"/>
      <c r="Q265" s="24"/>
      <c r="R265" s="24"/>
      <c r="S265" s="24"/>
      <c r="V265" s="24"/>
      <c r="W265" s="24"/>
      <c r="X265" s="112"/>
    </row>
    <row r="266" spans="2:24" s="27" customFormat="1" ht="15" customHeight="1">
      <c r="B266" s="114"/>
      <c r="K266" s="24"/>
      <c r="L266" s="24"/>
      <c r="M266" s="24"/>
      <c r="Q266" s="24"/>
      <c r="R266" s="24"/>
      <c r="S266" s="24"/>
      <c r="V266" s="24"/>
      <c r="W266" s="24"/>
      <c r="X266" s="112"/>
    </row>
    <row r="267" spans="2:24" s="27" customFormat="1" ht="15" customHeight="1">
      <c r="B267" s="114"/>
      <c r="K267" s="24"/>
      <c r="L267" s="24"/>
      <c r="M267" s="24"/>
      <c r="Q267" s="24"/>
      <c r="R267" s="24"/>
      <c r="S267" s="24"/>
      <c r="V267" s="24"/>
      <c r="W267" s="24"/>
      <c r="X267" s="112"/>
    </row>
    <row r="268" spans="2:24" s="27" customFormat="1" ht="15" customHeight="1">
      <c r="B268" s="114"/>
      <c r="K268" s="24"/>
      <c r="L268" s="24"/>
      <c r="M268" s="24"/>
      <c r="Q268" s="24"/>
      <c r="R268" s="24"/>
      <c r="S268" s="24"/>
      <c r="V268" s="24"/>
      <c r="W268" s="24"/>
      <c r="X268" s="112"/>
    </row>
    <row r="269" spans="2:24" s="27" customFormat="1" ht="15" customHeight="1">
      <c r="B269" s="114"/>
      <c r="K269" s="24"/>
      <c r="L269" s="24"/>
      <c r="M269" s="24"/>
      <c r="Q269" s="24"/>
      <c r="R269" s="24"/>
      <c r="S269" s="24"/>
      <c r="V269" s="24"/>
      <c r="W269" s="24"/>
      <c r="X269" s="112"/>
    </row>
    <row r="270" spans="2:24" s="27" customFormat="1" ht="15" customHeight="1">
      <c r="B270" s="114"/>
      <c r="K270" s="24"/>
      <c r="L270" s="24"/>
      <c r="M270" s="24"/>
      <c r="Q270" s="24"/>
      <c r="R270" s="24"/>
      <c r="S270" s="24"/>
      <c r="V270" s="24"/>
      <c r="W270" s="24"/>
      <c r="X270" s="112"/>
    </row>
    <row r="271" spans="2:24" s="27" customFormat="1" ht="15" customHeight="1">
      <c r="B271" s="114"/>
      <c r="K271" s="24"/>
      <c r="L271" s="24"/>
      <c r="M271" s="24"/>
      <c r="Q271" s="24"/>
      <c r="R271" s="24"/>
      <c r="S271" s="24"/>
      <c r="V271" s="24"/>
      <c r="W271" s="24"/>
      <c r="X271" s="112"/>
    </row>
    <row r="272" spans="2:24" s="27" customFormat="1" ht="15" customHeight="1">
      <c r="B272" s="114"/>
      <c r="K272" s="24"/>
      <c r="L272" s="24"/>
      <c r="M272" s="24"/>
      <c r="Q272" s="24"/>
      <c r="R272" s="24"/>
      <c r="S272" s="24"/>
      <c r="V272" s="24"/>
      <c r="W272" s="24"/>
      <c r="X272" s="112"/>
    </row>
    <row r="273" spans="2:24" s="27" customFormat="1" ht="15" customHeight="1">
      <c r="B273" s="114"/>
      <c r="K273" s="24"/>
      <c r="L273" s="24"/>
      <c r="M273" s="24"/>
      <c r="Q273" s="24"/>
      <c r="R273" s="24"/>
      <c r="S273" s="24"/>
      <c r="V273" s="24"/>
      <c r="W273" s="24"/>
      <c r="X273" s="112"/>
    </row>
    <row r="274" spans="2:24" s="27" customFormat="1" ht="15" customHeight="1">
      <c r="B274" s="114"/>
      <c r="K274" s="24"/>
      <c r="L274" s="24"/>
      <c r="M274" s="24"/>
      <c r="Q274" s="24"/>
      <c r="R274" s="24"/>
      <c r="S274" s="24"/>
      <c r="V274" s="24"/>
      <c r="W274" s="24"/>
      <c r="X274" s="112"/>
    </row>
    <row r="275" spans="2:24" s="27" customFormat="1" ht="15" customHeight="1">
      <c r="B275" s="114"/>
      <c r="K275" s="24"/>
      <c r="L275" s="24"/>
      <c r="M275" s="24"/>
      <c r="Q275" s="24"/>
      <c r="R275" s="24"/>
      <c r="S275" s="24"/>
      <c r="V275" s="24"/>
      <c r="W275" s="24"/>
      <c r="X275" s="112"/>
    </row>
    <row r="276" spans="2:24" s="27" customFormat="1" ht="15" customHeight="1">
      <c r="B276" s="114"/>
      <c r="K276" s="24"/>
      <c r="L276" s="24"/>
      <c r="M276" s="24"/>
      <c r="Q276" s="24"/>
      <c r="R276" s="24"/>
      <c r="S276" s="24"/>
      <c r="V276" s="24"/>
      <c r="W276" s="24"/>
      <c r="X276" s="112"/>
    </row>
    <row r="277" spans="2:24" s="27" customFormat="1" ht="15" customHeight="1">
      <c r="B277" s="114"/>
      <c r="K277" s="24"/>
      <c r="L277" s="24"/>
      <c r="M277" s="24"/>
      <c r="Q277" s="24"/>
      <c r="R277" s="24"/>
      <c r="S277" s="24"/>
      <c r="V277" s="24"/>
      <c r="W277" s="24"/>
      <c r="X277" s="112"/>
    </row>
    <row r="278" spans="2:24" s="27" customFormat="1" ht="15" customHeight="1">
      <c r="B278" s="114"/>
      <c r="K278" s="24"/>
      <c r="L278" s="24"/>
      <c r="M278" s="24"/>
      <c r="Q278" s="24"/>
      <c r="R278" s="24"/>
      <c r="S278" s="24"/>
      <c r="V278" s="24"/>
      <c r="W278" s="24"/>
      <c r="X278" s="112"/>
    </row>
    <row r="279" spans="2:24" s="27" customFormat="1" ht="15" customHeight="1">
      <c r="B279" s="114"/>
      <c r="K279" s="24"/>
      <c r="L279" s="24"/>
      <c r="M279" s="24"/>
      <c r="Q279" s="24"/>
      <c r="R279" s="24"/>
      <c r="S279" s="24"/>
      <c r="V279" s="24"/>
      <c r="W279" s="24"/>
      <c r="X279" s="112"/>
    </row>
    <row r="280" spans="2:24" s="27" customFormat="1" ht="15" customHeight="1">
      <c r="B280" s="114"/>
      <c r="K280" s="24"/>
      <c r="L280" s="24"/>
      <c r="M280" s="24"/>
      <c r="Q280" s="24"/>
      <c r="R280" s="24"/>
      <c r="S280" s="24"/>
      <c r="V280" s="24"/>
      <c r="W280" s="24"/>
      <c r="X280" s="112"/>
    </row>
    <row r="281" spans="2:24" s="27" customFormat="1" ht="15" customHeight="1">
      <c r="B281" s="114"/>
      <c r="K281" s="24"/>
      <c r="L281" s="24"/>
      <c r="M281" s="24"/>
      <c r="Q281" s="24"/>
      <c r="R281" s="24"/>
      <c r="S281" s="24"/>
      <c r="V281" s="24"/>
      <c r="W281" s="24"/>
      <c r="X281" s="112"/>
    </row>
    <row r="282" spans="2:24" s="27" customFormat="1" ht="15" customHeight="1">
      <c r="B282" s="114"/>
      <c r="K282" s="24"/>
      <c r="L282" s="24"/>
      <c r="M282" s="24"/>
      <c r="Q282" s="24"/>
      <c r="R282" s="24"/>
      <c r="S282" s="24"/>
      <c r="V282" s="24"/>
      <c r="W282" s="24"/>
      <c r="X282" s="112"/>
    </row>
    <row r="283" spans="2:24" s="27" customFormat="1" ht="15" customHeight="1">
      <c r="B283" s="114"/>
      <c r="K283" s="24"/>
      <c r="L283" s="24"/>
      <c r="M283" s="24"/>
      <c r="Q283" s="24"/>
      <c r="R283" s="24"/>
      <c r="S283" s="24"/>
      <c r="V283" s="24"/>
      <c r="W283" s="24"/>
      <c r="X283" s="112"/>
    </row>
    <row r="284" spans="2:24" s="27" customFormat="1" ht="15" customHeight="1">
      <c r="B284" s="114"/>
      <c r="K284" s="24"/>
      <c r="L284" s="24"/>
      <c r="M284" s="24"/>
      <c r="Q284" s="24"/>
      <c r="R284" s="24"/>
      <c r="S284" s="24"/>
      <c r="V284" s="24"/>
      <c r="W284" s="24"/>
      <c r="X284" s="112"/>
    </row>
    <row r="285" spans="2:24" s="27" customFormat="1" ht="15" customHeight="1">
      <c r="B285" s="114"/>
      <c r="K285" s="24"/>
      <c r="L285" s="24"/>
      <c r="M285" s="24"/>
      <c r="Q285" s="24"/>
      <c r="R285" s="24"/>
      <c r="S285" s="24"/>
      <c r="V285" s="24"/>
      <c r="W285" s="24"/>
      <c r="X285" s="112"/>
    </row>
    <row r="286" spans="2:24" s="27" customFormat="1" ht="15" customHeight="1">
      <c r="B286" s="114"/>
      <c r="K286" s="24"/>
      <c r="L286" s="24"/>
      <c r="M286" s="24"/>
      <c r="Q286" s="24"/>
      <c r="R286" s="24"/>
      <c r="S286" s="24"/>
      <c r="V286" s="24"/>
      <c r="W286" s="24"/>
      <c r="X286" s="112"/>
    </row>
    <row r="287" spans="2:24" s="27" customFormat="1" ht="15" customHeight="1">
      <c r="B287" s="114"/>
      <c r="K287" s="24"/>
      <c r="L287" s="24"/>
      <c r="M287" s="24"/>
      <c r="Q287" s="24"/>
      <c r="R287" s="24"/>
      <c r="S287" s="24"/>
      <c r="V287" s="24"/>
      <c r="W287" s="24"/>
      <c r="X287" s="112"/>
    </row>
    <row r="288" spans="2:24" s="27" customFormat="1" ht="15" customHeight="1">
      <c r="B288" s="114"/>
      <c r="K288" s="24"/>
      <c r="L288" s="24"/>
      <c r="M288" s="24"/>
      <c r="Q288" s="24"/>
      <c r="R288" s="24"/>
      <c r="S288" s="24"/>
      <c r="V288" s="24"/>
      <c r="W288" s="24"/>
      <c r="X288" s="112"/>
    </row>
    <row r="289" spans="2:24" s="27" customFormat="1" ht="15" customHeight="1">
      <c r="B289" s="114"/>
      <c r="K289" s="24"/>
      <c r="L289" s="24"/>
      <c r="M289" s="24"/>
      <c r="Q289" s="24"/>
      <c r="R289" s="24"/>
      <c r="S289" s="24"/>
      <c r="V289" s="24"/>
      <c r="W289" s="24"/>
      <c r="X289" s="112"/>
    </row>
    <row r="290" spans="2:24" s="27" customFormat="1" ht="15" customHeight="1">
      <c r="B290" s="114"/>
      <c r="K290" s="24"/>
      <c r="L290" s="24"/>
      <c r="M290" s="24"/>
      <c r="Q290" s="24"/>
      <c r="R290" s="24"/>
      <c r="S290" s="24"/>
      <c r="V290" s="24"/>
      <c r="W290" s="24"/>
      <c r="X290" s="112"/>
    </row>
    <row r="291" spans="2:24" s="27" customFormat="1" ht="15" customHeight="1">
      <c r="B291" s="114"/>
      <c r="K291" s="24"/>
      <c r="L291" s="24"/>
      <c r="M291" s="24"/>
      <c r="Q291" s="24"/>
      <c r="R291" s="24"/>
      <c r="S291" s="24"/>
      <c r="V291" s="24"/>
      <c r="W291" s="24"/>
      <c r="X291" s="112"/>
    </row>
    <row r="292" spans="2:24" s="27" customFormat="1" ht="15" customHeight="1">
      <c r="B292" s="114"/>
      <c r="K292" s="24"/>
      <c r="L292" s="24"/>
      <c r="M292" s="24"/>
      <c r="Q292" s="24"/>
      <c r="R292" s="24"/>
      <c r="S292" s="24"/>
      <c r="V292" s="24"/>
      <c r="W292" s="24"/>
      <c r="X292" s="112"/>
    </row>
    <row r="293" spans="2:24" s="27" customFormat="1" ht="15" customHeight="1">
      <c r="B293" s="114"/>
      <c r="K293" s="24"/>
      <c r="L293" s="24"/>
      <c r="M293" s="24"/>
      <c r="Q293" s="24"/>
      <c r="R293" s="24"/>
      <c r="S293" s="24"/>
      <c r="V293" s="24"/>
      <c r="W293" s="24"/>
      <c r="X293" s="112"/>
    </row>
    <row r="294" spans="2:24" s="27" customFormat="1" ht="15" customHeight="1">
      <c r="B294" s="114"/>
      <c r="K294" s="24"/>
      <c r="L294" s="24"/>
      <c r="M294" s="24"/>
      <c r="Q294" s="24"/>
      <c r="R294" s="24"/>
      <c r="S294" s="24"/>
      <c r="V294" s="24"/>
      <c r="W294" s="24"/>
      <c r="X294" s="112"/>
    </row>
    <row r="295" spans="2:24" s="27" customFormat="1" ht="15" customHeight="1">
      <c r="B295" s="114"/>
      <c r="K295" s="24"/>
      <c r="L295" s="24"/>
      <c r="M295" s="24"/>
      <c r="Q295" s="24"/>
      <c r="R295" s="24"/>
      <c r="S295" s="24"/>
      <c r="V295" s="24"/>
      <c r="W295" s="24"/>
      <c r="X295" s="112"/>
    </row>
    <row r="296" spans="2:24" s="27" customFormat="1" ht="15" customHeight="1">
      <c r="B296" s="114"/>
      <c r="K296" s="24"/>
      <c r="L296" s="24"/>
      <c r="M296" s="24"/>
      <c r="Q296" s="24"/>
      <c r="R296" s="24"/>
      <c r="S296" s="24"/>
      <c r="V296" s="24"/>
      <c r="W296" s="24"/>
      <c r="X296" s="112"/>
    </row>
    <row r="297" spans="2:24" s="27" customFormat="1" ht="15" customHeight="1">
      <c r="B297" s="114"/>
      <c r="K297" s="24"/>
      <c r="L297" s="24"/>
      <c r="M297" s="24"/>
      <c r="Q297" s="24"/>
      <c r="R297" s="24"/>
      <c r="S297" s="24"/>
      <c r="V297" s="24"/>
      <c r="W297" s="24"/>
      <c r="X297" s="112"/>
    </row>
    <row r="298" spans="2:24" s="27" customFormat="1" ht="15" customHeight="1">
      <c r="B298" s="114"/>
      <c r="K298" s="24"/>
      <c r="L298" s="24"/>
      <c r="M298" s="24"/>
      <c r="Q298" s="24"/>
      <c r="R298" s="24"/>
      <c r="S298" s="24"/>
      <c r="V298" s="24"/>
      <c r="W298" s="24"/>
      <c r="X298" s="112"/>
    </row>
    <row r="299" spans="2:24" s="27" customFormat="1" ht="15" customHeight="1">
      <c r="B299" s="114"/>
      <c r="K299" s="24"/>
      <c r="L299" s="24"/>
      <c r="M299" s="24"/>
      <c r="Q299" s="24"/>
      <c r="R299" s="24"/>
      <c r="S299" s="24"/>
      <c r="V299" s="24"/>
      <c r="W299" s="24"/>
      <c r="X299" s="112"/>
    </row>
    <row r="300" spans="2:24" s="27" customFormat="1" ht="15" customHeight="1">
      <c r="B300" s="114"/>
      <c r="K300" s="24"/>
      <c r="L300" s="24"/>
      <c r="M300" s="24"/>
      <c r="Q300" s="24"/>
      <c r="R300" s="24"/>
      <c r="S300" s="24"/>
      <c r="V300" s="24"/>
      <c r="W300" s="24"/>
      <c r="X300" s="112"/>
    </row>
    <row r="301" spans="2:24" s="27" customFormat="1" ht="15" customHeight="1">
      <c r="B301" s="114"/>
      <c r="K301" s="24"/>
      <c r="L301" s="24"/>
      <c r="M301" s="24"/>
      <c r="Q301" s="24"/>
      <c r="R301" s="24"/>
      <c r="S301" s="24"/>
      <c r="V301" s="24"/>
      <c r="W301" s="24"/>
      <c r="X301" s="112"/>
    </row>
    <row r="302" spans="2:24" s="27" customFormat="1" ht="15" customHeight="1">
      <c r="B302" s="114"/>
      <c r="K302" s="24"/>
      <c r="L302" s="24"/>
      <c r="M302" s="24"/>
      <c r="Q302" s="24"/>
      <c r="R302" s="24"/>
      <c r="S302" s="24"/>
      <c r="V302" s="24"/>
      <c r="W302" s="24"/>
      <c r="X302" s="112"/>
    </row>
    <row r="303" spans="2:24" s="27" customFormat="1" ht="15" customHeight="1">
      <c r="B303" s="114"/>
      <c r="K303" s="24"/>
      <c r="L303" s="24"/>
      <c r="M303" s="24"/>
      <c r="Q303" s="24"/>
      <c r="R303" s="24"/>
      <c r="S303" s="24"/>
      <c r="V303" s="24"/>
      <c r="W303" s="24"/>
      <c r="X303" s="112"/>
    </row>
    <row r="304" spans="2:24" s="27" customFormat="1" ht="15" customHeight="1">
      <c r="B304" s="114"/>
      <c r="K304" s="24"/>
      <c r="L304" s="24"/>
      <c r="M304" s="24"/>
      <c r="Q304" s="24"/>
      <c r="R304" s="24"/>
      <c r="S304" s="24"/>
      <c r="V304" s="24"/>
      <c r="W304" s="24"/>
      <c r="X304" s="112"/>
    </row>
    <row r="305" spans="2:24" s="27" customFormat="1" ht="15" customHeight="1">
      <c r="B305" s="114"/>
      <c r="K305" s="24"/>
      <c r="L305" s="24"/>
      <c r="M305" s="24"/>
      <c r="Q305" s="24"/>
      <c r="R305" s="24"/>
      <c r="S305" s="24"/>
      <c r="V305" s="24"/>
      <c r="W305" s="24"/>
      <c r="X305" s="112"/>
    </row>
    <row r="306" spans="2:24" s="27" customFormat="1" ht="15" customHeight="1">
      <c r="B306" s="114"/>
      <c r="K306" s="24"/>
      <c r="L306" s="24"/>
      <c r="M306" s="24"/>
      <c r="Q306" s="24"/>
      <c r="R306" s="24"/>
      <c r="S306" s="24"/>
      <c r="V306" s="24"/>
      <c r="W306" s="24"/>
      <c r="X306" s="112"/>
    </row>
    <row r="307" spans="2:24" s="27" customFormat="1" ht="15" customHeight="1">
      <c r="B307" s="114"/>
      <c r="K307" s="24"/>
      <c r="L307" s="24"/>
      <c r="M307" s="24"/>
      <c r="Q307" s="24"/>
      <c r="R307" s="24"/>
      <c r="S307" s="24"/>
      <c r="V307" s="24"/>
      <c r="W307" s="24"/>
      <c r="X307" s="112"/>
    </row>
    <row r="308" spans="2:24" s="27" customFormat="1" ht="15" customHeight="1">
      <c r="B308" s="114"/>
      <c r="K308" s="24"/>
      <c r="L308" s="24"/>
      <c r="M308" s="24"/>
      <c r="Q308" s="24"/>
      <c r="R308" s="24"/>
      <c r="S308" s="24"/>
      <c r="V308" s="24"/>
      <c r="W308" s="24"/>
      <c r="X308" s="112"/>
    </row>
    <row r="309" spans="2:24" s="27" customFormat="1" ht="15" customHeight="1">
      <c r="B309" s="114"/>
      <c r="K309" s="24"/>
      <c r="L309" s="24"/>
      <c r="M309" s="24"/>
      <c r="Q309" s="24"/>
      <c r="R309" s="24"/>
      <c r="S309" s="24"/>
      <c r="V309" s="24"/>
      <c r="W309" s="24"/>
      <c r="X309" s="112"/>
    </row>
    <row r="310" spans="2:24" s="27" customFormat="1" ht="15" customHeight="1">
      <c r="B310" s="114"/>
      <c r="K310" s="24"/>
      <c r="L310" s="24"/>
      <c r="M310" s="24"/>
      <c r="Q310" s="24"/>
      <c r="R310" s="24"/>
      <c r="S310" s="24"/>
      <c r="V310" s="24"/>
      <c r="W310" s="24"/>
      <c r="X310" s="112"/>
    </row>
    <row r="311" spans="2:24" s="27" customFormat="1" ht="15" customHeight="1">
      <c r="B311" s="114"/>
      <c r="K311" s="24"/>
      <c r="L311" s="24"/>
      <c r="M311" s="24"/>
      <c r="Q311" s="24"/>
      <c r="R311" s="24"/>
      <c r="S311" s="24"/>
      <c r="V311" s="24"/>
      <c r="W311" s="24"/>
      <c r="X311" s="112"/>
    </row>
    <row r="312" spans="2:24" s="27" customFormat="1" ht="15" customHeight="1">
      <c r="B312" s="114"/>
      <c r="K312" s="24"/>
      <c r="L312" s="24"/>
      <c r="M312" s="24"/>
      <c r="Q312" s="24"/>
      <c r="R312" s="24"/>
      <c r="S312" s="24"/>
      <c r="V312" s="24"/>
      <c r="W312" s="24"/>
      <c r="X312" s="112"/>
    </row>
    <row r="313" spans="2:24" s="27" customFormat="1" ht="15" customHeight="1">
      <c r="B313" s="114"/>
      <c r="K313" s="24"/>
      <c r="L313" s="24"/>
      <c r="M313" s="24"/>
      <c r="Q313" s="24"/>
      <c r="R313" s="24"/>
      <c r="S313" s="24"/>
      <c r="V313" s="24"/>
      <c r="W313" s="24"/>
      <c r="X313" s="112"/>
    </row>
    <row r="314" spans="2:24" s="27" customFormat="1" ht="15" customHeight="1">
      <c r="B314" s="114"/>
      <c r="K314" s="24"/>
      <c r="L314" s="24"/>
      <c r="M314" s="24"/>
      <c r="Q314" s="24"/>
      <c r="R314" s="24"/>
      <c r="S314" s="24"/>
      <c r="V314" s="24"/>
      <c r="W314" s="24"/>
      <c r="X314" s="112"/>
    </row>
    <row r="315" spans="2:24" s="27" customFormat="1" ht="15" customHeight="1">
      <c r="B315" s="114"/>
      <c r="K315" s="24"/>
      <c r="L315" s="24"/>
      <c r="M315" s="24"/>
      <c r="Q315" s="24"/>
      <c r="R315" s="24"/>
      <c r="S315" s="24"/>
      <c r="V315" s="24"/>
      <c r="W315" s="24"/>
      <c r="X315" s="112"/>
    </row>
    <row r="316" spans="2:24" s="27" customFormat="1" ht="15" customHeight="1">
      <c r="B316" s="114"/>
      <c r="K316" s="24"/>
      <c r="L316" s="24"/>
      <c r="M316" s="24"/>
      <c r="Q316" s="24"/>
      <c r="R316" s="24"/>
      <c r="S316" s="24"/>
      <c r="V316" s="24"/>
      <c r="W316" s="24"/>
      <c r="X316" s="112"/>
    </row>
    <row r="317" spans="2:24" s="27" customFormat="1" ht="15" customHeight="1">
      <c r="B317" s="114"/>
      <c r="K317" s="24"/>
      <c r="L317" s="24"/>
      <c r="M317" s="24"/>
      <c r="Q317" s="24"/>
      <c r="R317" s="24"/>
      <c r="S317" s="24"/>
      <c r="V317" s="24"/>
      <c r="W317" s="24"/>
      <c r="X317" s="112"/>
    </row>
    <row r="318" spans="2:24" s="27" customFormat="1" ht="15" customHeight="1">
      <c r="B318" s="114"/>
      <c r="K318" s="24"/>
      <c r="L318" s="24"/>
      <c r="M318" s="24"/>
      <c r="Q318" s="24"/>
      <c r="R318" s="24"/>
      <c r="S318" s="24"/>
      <c r="V318" s="24"/>
      <c r="W318" s="24"/>
      <c r="X318" s="112"/>
    </row>
    <row r="319" spans="2:24" s="27" customFormat="1" ht="15" customHeight="1">
      <c r="B319" s="114"/>
      <c r="K319" s="24"/>
      <c r="L319" s="24"/>
      <c r="M319" s="24"/>
      <c r="Q319" s="24"/>
      <c r="R319" s="24"/>
      <c r="S319" s="24"/>
      <c r="V319" s="24"/>
      <c r="W319" s="24"/>
      <c r="X319" s="112"/>
    </row>
    <row r="320" spans="2:24" s="27" customFormat="1" ht="15" customHeight="1">
      <c r="B320" s="114"/>
      <c r="K320" s="24"/>
      <c r="L320" s="24"/>
      <c r="M320" s="24"/>
      <c r="Q320" s="24"/>
      <c r="R320" s="24"/>
      <c r="S320" s="24"/>
      <c r="V320" s="24"/>
      <c r="W320" s="24"/>
      <c r="X320" s="112"/>
    </row>
    <row r="321" spans="2:24" s="27" customFormat="1" ht="15" customHeight="1">
      <c r="B321" s="114"/>
      <c r="K321" s="24"/>
      <c r="L321" s="24"/>
      <c r="M321" s="24"/>
      <c r="Q321" s="24"/>
      <c r="R321" s="24"/>
      <c r="S321" s="24"/>
      <c r="V321" s="24"/>
      <c r="W321" s="24"/>
      <c r="X321" s="112"/>
    </row>
    <row r="322" spans="2:24" s="27" customFormat="1" ht="15" customHeight="1">
      <c r="B322" s="114"/>
      <c r="K322" s="24"/>
      <c r="L322" s="24"/>
      <c r="M322" s="24"/>
      <c r="Q322" s="24"/>
      <c r="R322" s="24"/>
      <c r="S322" s="24"/>
      <c r="V322" s="24"/>
      <c r="W322" s="24"/>
      <c r="X322" s="112"/>
    </row>
    <row r="323" spans="2:24" s="27" customFormat="1" ht="15" customHeight="1">
      <c r="B323" s="114"/>
      <c r="K323" s="24"/>
      <c r="L323" s="24"/>
      <c r="M323" s="24"/>
      <c r="Q323" s="24"/>
      <c r="R323" s="24"/>
      <c r="S323" s="24"/>
      <c r="V323" s="24"/>
      <c r="W323" s="24"/>
      <c r="X323" s="112"/>
    </row>
    <row r="324" spans="2:24" s="27" customFormat="1" ht="15" customHeight="1">
      <c r="B324" s="114"/>
      <c r="K324" s="24"/>
      <c r="L324" s="24"/>
      <c r="M324" s="24"/>
      <c r="Q324" s="24"/>
      <c r="R324" s="24"/>
      <c r="S324" s="24"/>
      <c r="V324" s="24"/>
      <c r="W324" s="24"/>
      <c r="X324" s="112"/>
    </row>
    <row r="325" spans="2:24" s="27" customFormat="1" ht="15" customHeight="1">
      <c r="B325" s="114"/>
      <c r="K325" s="24"/>
      <c r="L325" s="24"/>
      <c r="M325" s="24"/>
      <c r="Q325" s="24"/>
      <c r="R325" s="24"/>
      <c r="S325" s="24"/>
      <c r="V325" s="24"/>
      <c r="W325" s="24"/>
      <c r="X325" s="112"/>
    </row>
    <row r="326" spans="2:24" s="27" customFormat="1" ht="15" customHeight="1">
      <c r="B326" s="114"/>
      <c r="K326" s="24"/>
      <c r="L326" s="24"/>
      <c r="M326" s="24"/>
      <c r="Q326" s="24"/>
      <c r="R326" s="24"/>
      <c r="S326" s="24"/>
      <c r="V326" s="24"/>
      <c r="W326" s="24"/>
      <c r="X326" s="112"/>
    </row>
    <row r="327" spans="2:24" s="27" customFormat="1" ht="15" customHeight="1">
      <c r="B327" s="114"/>
      <c r="K327" s="24"/>
      <c r="L327" s="24"/>
      <c r="M327" s="24"/>
      <c r="Q327" s="24"/>
      <c r="R327" s="24"/>
      <c r="S327" s="24"/>
      <c r="V327" s="24"/>
      <c r="W327" s="24"/>
      <c r="X327" s="112"/>
    </row>
    <row r="328" spans="2:24" s="27" customFormat="1" ht="15" customHeight="1">
      <c r="B328" s="114"/>
      <c r="K328" s="24"/>
      <c r="L328" s="24"/>
      <c r="M328" s="24"/>
      <c r="Q328" s="24"/>
      <c r="R328" s="24"/>
      <c r="S328" s="24"/>
      <c r="V328" s="24"/>
      <c r="W328" s="24"/>
      <c r="X328" s="112"/>
    </row>
    <row r="329" spans="2:24" s="27" customFormat="1" ht="15" customHeight="1">
      <c r="B329" s="114"/>
      <c r="K329" s="24"/>
      <c r="L329" s="24"/>
      <c r="M329" s="24"/>
      <c r="Q329" s="24"/>
      <c r="R329" s="24"/>
      <c r="S329" s="24"/>
      <c r="V329" s="24"/>
      <c r="W329" s="24"/>
      <c r="X329" s="112"/>
    </row>
    <row r="330" spans="2:24" s="27" customFormat="1" ht="15" customHeight="1">
      <c r="B330" s="114"/>
      <c r="K330" s="24"/>
      <c r="L330" s="24"/>
      <c r="M330" s="24"/>
      <c r="Q330" s="24"/>
      <c r="R330" s="24"/>
      <c r="S330" s="24"/>
      <c r="V330" s="24"/>
      <c r="W330" s="24"/>
      <c r="X330" s="112"/>
    </row>
    <row r="331" spans="2:24" s="27" customFormat="1" ht="15" customHeight="1">
      <c r="B331" s="114"/>
      <c r="K331" s="24"/>
      <c r="L331" s="24"/>
      <c r="M331" s="24"/>
      <c r="Q331" s="24"/>
      <c r="R331" s="24"/>
      <c r="S331" s="24"/>
      <c r="V331" s="24"/>
      <c r="W331" s="24"/>
      <c r="X331" s="112"/>
    </row>
    <row r="332" spans="2:24" s="27" customFormat="1" ht="15" customHeight="1">
      <c r="B332" s="114"/>
      <c r="K332" s="24"/>
      <c r="L332" s="24"/>
      <c r="M332" s="24"/>
      <c r="Q332" s="24"/>
      <c r="R332" s="24"/>
      <c r="S332" s="24"/>
      <c r="V332" s="24"/>
      <c r="W332" s="24"/>
      <c r="X332" s="112"/>
    </row>
    <row r="333" spans="2:24" s="27" customFormat="1" ht="15" customHeight="1">
      <c r="B333" s="114"/>
      <c r="K333" s="24"/>
      <c r="L333" s="24"/>
      <c r="M333" s="24"/>
      <c r="Q333" s="24"/>
      <c r="R333" s="24"/>
      <c r="S333" s="24"/>
      <c r="V333" s="24"/>
      <c r="W333" s="24"/>
      <c r="X333" s="112"/>
    </row>
    <row r="334" spans="2:24" s="27" customFormat="1" ht="15" customHeight="1">
      <c r="B334" s="114"/>
      <c r="K334" s="24"/>
      <c r="L334" s="24"/>
      <c r="M334" s="24"/>
      <c r="Q334" s="24"/>
      <c r="R334" s="24"/>
      <c r="S334" s="24"/>
      <c r="V334" s="24"/>
      <c r="W334" s="24"/>
      <c r="X334" s="112"/>
    </row>
    <row r="335" spans="2:24" s="27" customFormat="1" ht="15" customHeight="1">
      <c r="B335" s="114"/>
      <c r="K335" s="24"/>
      <c r="L335" s="24"/>
      <c r="M335" s="24"/>
      <c r="Q335" s="24"/>
      <c r="R335" s="24"/>
      <c r="S335" s="24"/>
      <c r="V335" s="24"/>
      <c r="W335" s="24"/>
      <c r="X335" s="112"/>
    </row>
    <row r="336" spans="2:24" s="27" customFormat="1" ht="15" customHeight="1">
      <c r="B336" s="114"/>
      <c r="K336" s="24"/>
      <c r="L336" s="24"/>
      <c r="M336" s="24"/>
      <c r="Q336" s="24"/>
      <c r="R336" s="24"/>
      <c r="S336" s="24"/>
      <c r="V336" s="24"/>
      <c r="W336" s="24"/>
      <c r="X336" s="112"/>
    </row>
    <row r="337" spans="2:24" s="27" customFormat="1" ht="15" customHeight="1">
      <c r="B337" s="114"/>
      <c r="K337" s="24"/>
      <c r="L337" s="24"/>
      <c r="M337" s="24"/>
      <c r="Q337" s="24"/>
      <c r="R337" s="24"/>
      <c r="S337" s="24"/>
      <c r="V337" s="24"/>
      <c r="W337" s="24"/>
      <c r="X337" s="112"/>
    </row>
    <row r="338" spans="2:24" s="27" customFormat="1" ht="15" customHeight="1">
      <c r="B338" s="114"/>
      <c r="K338" s="24"/>
      <c r="L338" s="24"/>
      <c r="M338" s="24"/>
      <c r="Q338" s="24"/>
      <c r="R338" s="24"/>
      <c r="S338" s="24"/>
      <c r="V338" s="24"/>
      <c r="W338" s="24"/>
      <c r="X338" s="112"/>
    </row>
    <row r="339" spans="2:24" s="27" customFormat="1" ht="15" customHeight="1">
      <c r="B339" s="114"/>
      <c r="K339" s="24"/>
      <c r="L339" s="24"/>
      <c r="M339" s="24"/>
      <c r="Q339" s="24"/>
      <c r="R339" s="24"/>
      <c r="S339" s="24"/>
      <c r="V339" s="24"/>
      <c r="W339" s="24"/>
      <c r="X339" s="112"/>
    </row>
    <row r="340" spans="2:24" s="27" customFormat="1" ht="15" customHeight="1">
      <c r="B340" s="114"/>
      <c r="K340" s="24"/>
      <c r="L340" s="24"/>
      <c r="M340" s="24"/>
      <c r="Q340" s="24"/>
      <c r="R340" s="24"/>
      <c r="S340" s="24"/>
      <c r="V340" s="24"/>
      <c r="W340" s="24"/>
      <c r="X340" s="112"/>
    </row>
    <row r="341" spans="2:24" s="27" customFormat="1" ht="15" customHeight="1">
      <c r="B341" s="114"/>
      <c r="K341" s="24"/>
      <c r="L341" s="24"/>
      <c r="M341" s="24"/>
      <c r="Q341" s="24"/>
      <c r="R341" s="24"/>
      <c r="S341" s="24"/>
      <c r="V341" s="24"/>
      <c r="W341" s="24"/>
      <c r="X341" s="112"/>
    </row>
    <row r="342" spans="2:24" s="27" customFormat="1" ht="15" customHeight="1">
      <c r="B342" s="114"/>
      <c r="K342" s="24"/>
      <c r="L342" s="24"/>
      <c r="M342" s="24"/>
      <c r="Q342" s="24"/>
      <c r="R342" s="24"/>
      <c r="S342" s="24"/>
      <c r="V342" s="24"/>
      <c r="W342" s="24"/>
      <c r="X342" s="112"/>
    </row>
    <row r="343" spans="2:24" s="27" customFormat="1" ht="15" customHeight="1">
      <c r="B343" s="114"/>
      <c r="K343" s="24"/>
      <c r="L343" s="24"/>
      <c r="M343" s="24"/>
      <c r="Q343" s="24"/>
      <c r="R343" s="24"/>
      <c r="S343" s="24"/>
      <c r="V343" s="24"/>
      <c r="W343" s="24"/>
      <c r="X343" s="112"/>
    </row>
    <row r="344" spans="2:24" s="27" customFormat="1" ht="15" customHeight="1">
      <c r="B344" s="114"/>
      <c r="K344" s="24"/>
      <c r="L344" s="24"/>
      <c r="M344" s="24"/>
      <c r="Q344" s="24"/>
      <c r="R344" s="24"/>
      <c r="S344" s="24"/>
      <c r="V344" s="24"/>
      <c r="W344" s="24"/>
      <c r="X344" s="112"/>
    </row>
    <row r="345" spans="2:24" s="27" customFormat="1" ht="15" customHeight="1">
      <c r="B345" s="114"/>
      <c r="K345" s="24"/>
      <c r="L345" s="24"/>
      <c r="M345" s="24"/>
      <c r="Q345" s="24"/>
      <c r="R345" s="24"/>
      <c r="S345" s="24"/>
      <c r="V345" s="24"/>
      <c r="W345" s="24"/>
      <c r="X345" s="112"/>
    </row>
    <row r="346" spans="2:24" s="27" customFormat="1" ht="15" customHeight="1">
      <c r="B346" s="114"/>
      <c r="K346" s="24"/>
      <c r="L346" s="24"/>
      <c r="M346" s="24"/>
      <c r="Q346" s="24"/>
      <c r="R346" s="24"/>
      <c r="S346" s="24"/>
      <c r="V346" s="24"/>
      <c r="W346" s="24"/>
      <c r="X346" s="112"/>
    </row>
    <row r="347" spans="2:24" s="27" customFormat="1" ht="15" customHeight="1">
      <c r="B347" s="114"/>
      <c r="K347" s="24"/>
      <c r="L347" s="24"/>
      <c r="M347" s="24"/>
      <c r="Q347" s="24"/>
      <c r="R347" s="24"/>
      <c r="S347" s="24"/>
      <c r="V347" s="24"/>
      <c r="W347" s="24"/>
      <c r="X347" s="112"/>
    </row>
    <row r="348" spans="2:24" s="27" customFormat="1" ht="15" customHeight="1">
      <c r="B348" s="114"/>
      <c r="K348" s="24"/>
      <c r="L348" s="24"/>
      <c r="M348" s="24"/>
      <c r="Q348" s="24"/>
      <c r="R348" s="24"/>
      <c r="S348" s="24"/>
      <c r="V348" s="24"/>
      <c r="W348" s="24"/>
      <c r="X348" s="112"/>
    </row>
    <row r="349" spans="2:24" s="27" customFormat="1" ht="15" customHeight="1">
      <c r="B349" s="114"/>
      <c r="K349" s="24"/>
      <c r="L349" s="24"/>
      <c r="M349" s="24"/>
      <c r="Q349" s="24"/>
      <c r="R349" s="24"/>
      <c r="S349" s="24"/>
      <c r="V349" s="24"/>
      <c r="W349" s="24"/>
      <c r="X349" s="112"/>
    </row>
    <row r="350" spans="2:24" s="27" customFormat="1" ht="15" customHeight="1">
      <c r="B350" s="114"/>
      <c r="K350" s="24"/>
      <c r="L350" s="24"/>
      <c r="M350" s="24"/>
      <c r="Q350" s="24"/>
      <c r="R350" s="24"/>
      <c r="S350" s="24"/>
      <c r="V350" s="24"/>
      <c r="W350" s="24"/>
      <c r="X350" s="112"/>
    </row>
    <row r="351" spans="2:24" s="27" customFormat="1" ht="15" customHeight="1">
      <c r="B351" s="114"/>
      <c r="K351" s="24"/>
      <c r="L351" s="24"/>
      <c r="M351" s="24"/>
      <c r="Q351" s="24"/>
      <c r="R351" s="24"/>
      <c r="S351" s="24"/>
      <c r="V351" s="24"/>
      <c r="W351" s="24"/>
      <c r="X351" s="112"/>
    </row>
    <row r="352" spans="2:24" s="27" customFormat="1" ht="15" customHeight="1">
      <c r="B352" s="114"/>
      <c r="K352" s="24"/>
      <c r="L352" s="24"/>
      <c r="M352" s="24"/>
      <c r="Q352" s="24"/>
      <c r="R352" s="24"/>
      <c r="S352" s="24"/>
      <c r="V352" s="24"/>
      <c r="W352" s="24"/>
      <c r="X352" s="112"/>
    </row>
    <row r="353" spans="2:24" s="27" customFormat="1" ht="15" customHeight="1">
      <c r="B353" s="114"/>
      <c r="K353" s="24"/>
      <c r="L353" s="24"/>
      <c r="M353" s="24"/>
      <c r="Q353" s="24"/>
      <c r="R353" s="24"/>
      <c r="S353" s="24"/>
      <c r="V353" s="24"/>
      <c r="W353" s="24"/>
      <c r="X353" s="112"/>
    </row>
    <row r="354" spans="2:24" s="27" customFormat="1" ht="15" customHeight="1">
      <c r="B354" s="114"/>
      <c r="K354" s="24"/>
      <c r="L354" s="24"/>
      <c r="M354" s="24"/>
      <c r="Q354" s="24"/>
      <c r="R354" s="24"/>
      <c r="S354" s="24"/>
      <c r="V354" s="24"/>
      <c r="W354" s="24"/>
      <c r="X354" s="112"/>
    </row>
    <row r="355" spans="2:24" s="27" customFormat="1" ht="15" customHeight="1">
      <c r="B355" s="114"/>
      <c r="K355" s="24"/>
      <c r="L355" s="24"/>
      <c r="M355" s="24"/>
      <c r="Q355" s="24"/>
      <c r="R355" s="24"/>
      <c r="S355" s="24"/>
      <c r="V355" s="24"/>
      <c r="W355" s="24"/>
      <c r="X355" s="112"/>
    </row>
    <row r="356" spans="2:24" s="27" customFormat="1" ht="15" customHeight="1">
      <c r="B356" s="114"/>
      <c r="K356" s="24"/>
      <c r="L356" s="24"/>
      <c r="M356" s="24"/>
      <c r="Q356" s="24"/>
      <c r="R356" s="24"/>
      <c r="S356" s="24"/>
      <c r="V356" s="24"/>
      <c r="W356" s="24"/>
      <c r="X356" s="112"/>
    </row>
    <row r="357" spans="2:24" s="27" customFormat="1" ht="15" customHeight="1">
      <c r="B357" s="114"/>
      <c r="K357" s="24"/>
      <c r="L357" s="24"/>
      <c r="M357" s="24"/>
      <c r="Q357" s="24"/>
      <c r="R357" s="24"/>
      <c r="S357" s="24"/>
      <c r="V357" s="24"/>
      <c r="W357" s="24"/>
      <c r="X357" s="112"/>
    </row>
    <row r="358" spans="2:24" s="27" customFormat="1" ht="15" customHeight="1">
      <c r="B358" s="114"/>
      <c r="K358" s="24"/>
      <c r="L358" s="24"/>
      <c r="M358" s="24"/>
      <c r="Q358" s="24"/>
      <c r="R358" s="24"/>
      <c r="S358" s="24"/>
      <c r="V358" s="24"/>
      <c r="W358" s="24"/>
      <c r="X358" s="112"/>
    </row>
    <row r="359" spans="2:24" s="27" customFormat="1" ht="15" customHeight="1">
      <c r="B359" s="114"/>
      <c r="K359" s="24"/>
      <c r="L359" s="24"/>
      <c r="M359" s="24"/>
      <c r="Q359" s="24"/>
      <c r="R359" s="24"/>
      <c r="S359" s="24"/>
      <c r="V359" s="24"/>
      <c r="W359" s="24"/>
      <c r="X359" s="112"/>
    </row>
    <row r="360" spans="2:24" s="27" customFormat="1" ht="15" customHeight="1">
      <c r="B360" s="114"/>
      <c r="K360" s="24"/>
      <c r="L360" s="24"/>
      <c r="M360" s="24"/>
      <c r="Q360" s="24"/>
      <c r="R360" s="24"/>
      <c r="S360" s="24"/>
      <c r="V360" s="24"/>
      <c r="W360" s="24"/>
      <c r="X360" s="112"/>
    </row>
    <row r="361" spans="2:24" s="27" customFormat="1" ht="15" customHeight="1">
      <c r="B361" s="114"/>
      <c r="K361" s="24"/>
      <c r="L361" s="24"/>
      <c r="M361" s="24"/>
      <c r="Q361" s="24"/>
      <c r="R361" s="24"/>
      <c r="S361" s="24"/>
      <c r="V361" s="24"/>
      <c r="W361" s="24"/>
      <c r="X361" s="112"/>
    </row>
    <row r="362" spans="2:24" s="27" customFormat="1" ht="15" customHeight="1">
      <c r="B362" s="114"/>
      <c r="K362" s="24"/>
      <c r="L362" s="24"/>
      <c r="M362" s="24"/>
      <c r="Q362" s="24"/>
      <c r="R362" s="24"/>
      <c r="S362" s="24"/>
      <c r="V362" s="24"/>
      <c r="W362" s="24"/>
      <c r="X362" s="112"/>
    </row>
    <row r="363" spans="2:24" s="27" customFormat="1" ht="15" customHeight="1">
      <c r="B363" s="114"/>
      <c r="K363" s="24"/>
      <c r="L363" s="24"/>
      <c r="M363" s="24"/>
      <c r="Q363" s="24"/>
      <c r="R363" s="24"/>
      <c r="S363" s="24"/>
      <c r="V363" s="24"/>
      <c r="W363" s="24"/>
      <c r="X363" s="112"/>
    </row>
    <row r="364" spans="2:24" s="27" customFormat="1" ht="15" customHeight="1">
      <c r="B364" s="114"/>
      <c r="K364" s="24"/>
      <c r="L364" s="24"/>
      <c r="M364" s="24"/>
      <c r="Q364" s="24"/>
      <c r="R364" s="24"/>
      <c r="S364" s="24"/>
      <c r="V364" s="24"/>
      <c r="W364" s="24"/>
      <c r="X364" s="112"/>
    </row>
    <row r="365" spans="2:24" s="27" customFormat="1" ht="15" customHeight="1">
      <c r="B365" s="114"/>
      <c r="K365" s="24"/>
      <c r="L365" s="24"/>
      <c r="M365" s="24"/>
      <c r="Q365" s="24"/>
      <c r="R365" s="24"/>
      <c r="S365" s="24"/>
      <c r="V365" s="24"/>
      <c r="W365" s="24"/>
      <c r="X365" s="112"/>
    </row>
    <row r="366" spans="2:24" s="27" customFormat="1" ht="15" customHeight="1">
      <c r="B366" s="114"/>
      <c r="K366" s="24"/>
      <c r="L366" s="24"/>
      <c r="M366" s="24"/>
      <c r="Q366" s="24"/>
      <c r="R366" s="24"/>
      <c r="S366" s="24"/>
      <c r="V366" s="24"/>
      <c r="W366" s="24"/>
      <c r="X366" s="112"/>
    </row>
    <row r="367" spans="2:24" s="27" customFormat="1" ht="15" customHeight="1">
      <c r="B367" s="114"/>
      <c r="K367" s="24"/>
      <c r="L367" s="24"/>
      <c r="M367" s="24"/>
      <c r="Q367" s="24"/>
      <c r="R367" s="24"/>
      <c r="S367" s="24"/>
      <c r="V367" s="24"/>
      <c r="W367" s="24"/>
      <c r="X367" s="112"/>
    </row>
    <row r="368" spans="2:24" s="27" customFormat="1" ht="15" customHeight="1">
      <c r="B368" s="114"/>
      <c r="K368" s="24"/>
      <c r="L368" s="24"/>
      <c r="M368" s="24"/>
      <c r="Q368" s="24"/>
      <c r="R368" s="24"/>
      <c r="S368" s="24"/>
      <c r="V368" s="24"/>
      <c r="W368" s="24"/>
      <c r="X368" s="112"/>
    </row>
    <row r="369" spans="2:24" s="27" customFormat="1" ht="15" customHeight="1">
      <c r="B369" s="114"/>
      <c r="K369" s="24"/>
      <c r="L369" s="24"/>
      <c r="M369" s="24"/>
      <c r="Q369" s="24"/>
      <c r="R369" s="24"/>
      <c r="S369" s="24"/>
      <c r="V369" s="24"/>
      <c r="W369" s="24"/>
      <c r="X369" s="112"/>
    </row>
    <row r="370" spans="2:24" s="27" customFormat="1" ht="15" customHeight="1">
      <c r="B370" s="114"/>
      <c r="K370" s="24"/>
      <c r="L370" s="24"/>
      <c r="M370" s="24"/>
      <c r="Q370" s="24"/>
      <c r="R370" s="24"/>
      <c r="S370" s="24"/>
      <c r="V370" s="24"/>
      <c r="W370" s="24"/>
      <c r="X370" s="112"/>
    </row>
    <row r="371" spans="2:24" s="27" customFormat="1" ht="15" customHeight="1">
      <c r="B371" s="114"/>
      <c r="K371" s="24"/>
      <c r="L371" s="24"/>
      <c r="M371" s="24"/>
      <c r="Q371" s="24"/>
      <c r="R371" s="24"/>
      <c r="S371" s="24"/>
      <c r="V371" s="24"/>
      <c r="W371" s="24"/>
      <c r="X371" s="112"/>
    </row>
    <row r="372" spans="2:24" s="27" customFormat="1" ht="15" customHeight="1">
      <c r="B372" s="114"/>
      <c r="K372" s="24"/>
      <c r="L372" s="24"/>
      <c r="M372" s="24"/>
      <c r="Q372" s="24"/>
      <c r="R372" s="24"/>
      <c r="S372" s="24"/>
      <c r="V372" s="24"/>
      <c r="W372" s="24"/>
      <c r="X372" s="112"/>
    </row>
    <row r="373" spans="2:24" s="27" customFormat="1" ht="15" customHeight="1">
      <c r="B373" s="114"/>
      <c r="K373" s="24"/>
      <c r="L373" s="24"/>
      <c r="M373" s="24"/>
      <c r="Q373" s="24"/>
      <c r="R373" s="24"/>
      <c r="S373" s="24"/>
      <c r="V373" s="24"/>
      <c r="W373" s="24"/>
      <c r="X373" s="112"/>
    </row>
    <row r="374" spans="2:24" s="27" customFormat="1" ht="15" customHeight="1">
      <c r="B374" s="114"/>
      <c r="K374" s="24"/>
      <c r="L374" s="24"/>
      <c r="M374" s="24"/>
      <c r="Q374" s="24"/>
      <c r="R374" s="24"/>
      <c r="S374" s="24"/>
      <c r="V374" s="24"/>
      <c r="W374" s="24"/>
      <c r="X374" s="112"/>
    </row>
    <row r="375" spans="2:24" s="27" customFormat="1" ht="15" customHeight="1">
      <c r="B375" s="114"/>
      <c r="K375" s="24"/>
      <c r="L375" s="24"/>
      <c r="M375" s="24"/>
      <c r="Q375" s="24"/>
      <c r="R375" s="24"/>
      <c r="S375" s="24"/>
      <c r="V375" s="24"/>
      <c r="W375" s="24"/>
      <c r="X375" s="112"/>
    </row>
    <row r="376" spans="2:24" s="27" customFormat="1" ht="15" customHeight="1">
      <c r="B376" s="114"/>
      <c r="K376" s="24"/>
      <c r="L376" s="24"/>
      <c r="M376" s="24"/>
      <c r="Q376" s="24"/>
      <c r="R376" s="24"/>
      <c r="S376" s="24"/>
      <c r="V376" s="24"/>
      <c r="W376" s="24"/>
      <c r="X376" s="112"/>
    </row>
    <row r="377" spans="2:24" s="27" customFormat="1" ht="15" customHeight="1">
      <c r="B377" s="114"/>
      <c r="K377" s="24"/>
      <c r="L377" s="24"/>
      <c r="M377" s="24"/>
      <c r="Q377" s="24"/>
      <c r="R377" s="24"/>
      <c r="S377" s="24"/>
      <c r="V377" s="24"/>
      <c r="W377" s="24"/>
      <c r="X377" s="112"/>
    </row>
    <row r="378" spans="2:24" s="27" customFormat="1" ht="15" customHeight="1">
      <c r="B378" s="114"/>
      <c r="K378" s="24"/>
      <c r="L378" s="24"/>
      <c r="M378" s="24"/>
      <c r="Q378" s="24"/>
      <c r="R378" s="24"/>
      <c r="S378" s="24"/>
      <c r="V378" s="24"/>
      <c r="W378" s="24"/>
      <c r="X378" s="112"/>
    </row>
    <row r="379" spans="2:24" s="27" customFormat="1" ht="15" customHeight="1">
      <c r="B379" s="114"/>
      <c r="K379" s="24"/>
      <c r="L379" s="24"/>
      <c r="M379" s="24"/>
      <c r="Q379" s="24"/>
      <c r="R379" s="24"/>
      <c r="S379" s="24"/>
      <c r="V379" s="24"/>
      <c r="W379" s="24"/>
      <c r="X379" s="112"/>
    </row>
    <row r="380" spans="2:24" s="27" customFormat="1" ht="15" customHeight="1">
      <c r="B380" s="114"/>
      <c r="K380" s="24"/>
      <c r="L380" s="24"/>
      <c r="M380" s="24"/>
      <c r="Q380" s="24"/>
      <c r="R380" s="24"/>
      <c r="S380" s="24"/>
      <c r="V380" s="24"/>
      <c r="W380" s="24"/>
      <c r="X380" s="112"/>
    </row>
    <row r="381" spans="2:24" s="27" customFormat="1" ht="15" customHeight="1">
      <c r="B381" s="114"/>
      <c r="K381" s="24"/>
      <c r="L381" s="24"/>
      <c r="M381" s="24"/>
      <c r="Q381" s="24"/>
      <c r="R381" s="24"/>
      <c r="S381" s="24"/>
      <c r="V381" s="24"/>
      <c r="W381" s="24"/>
      <c r="X381" s="112"/>
    </row>
    <row r="382" spans="2:24" s="27" customFormat="1" ht="15" customHeight="1">
      <c r="B382" s="114"/>
      <c r="K382" s="24"/>
      <c r="L382" s="24"/>
      <c r="M382" s="24"/>
      <c r="Q382" s="24"/>
      <c r="R382" s="24"/>
      <c r="S382" s="24"/>
      <c r="V382" s="24"/>
      <c r="W382" s="24"/>
      <c r="X382" s="112"/>
    </row>
    <row r="383" spans="2:24" s="27" customFormat="1" ht="15" customHeight="1">
      <c r="B383" s="114"/>
      <c r="K383" s="24"/>
      <c r="L383" s="24"/>
      <c r="M383" s="24"/>
      <c r="Q383" s="24"/>
      <c r="R383" s="24"/>
      <c r="S383" s="24"/>
      <c r="V383" s="24"/>
      <c r="W383" s="24"/>
      <c r="X383" s="112"/>
    </row>
    <row r="384" spans="2:24" s="27" customFormat="1" ht="15" customHeight="1">
      <c r="B384" s="114"/>
      <c r="K384" s="24"/>
      <c r="L384" s="24"/>
      <c r="M384" s="24"/>
      <c r="Q384" s="24"/>
      <c r="R384" s="24"/>
      <c r="S384" s="24"/>
      <c r="V384" s="24"/>
      <c r="W384" s="24"/>
      <c r="X384" s="112"/>
    </row>
    <row r="385" spans="2:24" s="27" customFormat="1" ht="15" customHeight="1">
      <c r="B385" s="114"/>
      <c r="K385" s="24"/>
      <c r="L385" s="24"/>
      <c r="M385" s="24"/>
      <c r="Q385" s="24"/>
      <c r="R385" s="24"/>
      <c r="S385" s="24"/>
      <c r="V385" s="24"/>
      <c r="W385" s="24"/>
      <c r="X385" s="112"/>
    </row>
    <row r="386" spans="2:24" s="27" customFormat="1" ht="15" customHeight="1">
      <c r="B386" s="114"/>
      <c r="K386" s="24"/>
      <c r="L386" s="24"/>
      <c r="M386" s="24"/>
      <c r="Q386" s="24"/>
      <c r="R386" s="24"/>
      <c r="S386" s="24"/>
      <c r="V386" s="24"/>
      <c r="W386" s="24"/>
      <c r="X386" s="112"/>
    </row>
    <row r="387" spans="2:24" s="27" customFormat="1" ht="15" customHeight="1">
      <c r="B387" s="114"/>
      <c r="K387" s="24"/>
      <c r="L387" s="24"/>
      <c r="M387" s="24"/>
      <c r="Q387" s="24"/>
      <c r="R387" s="24"/>
      <c r="S387" s="24"/>
      <c r="V387" s="24"/>
      <c r="W387" s="24"/>
      <c r="X387" s="112"/>
    </row>
    <row r="388" spans="2:24" s="27" customFormat="1" ht="15" customHeight="1">
      <c r="B388" s="114"/>
      <c r="K388" s="24"/>
      <c r="L388" s="24"/>
      <c r="M388" s="24"/>
      <c r="Q388" s="24"/>
      <c r="R388" s="24"/>
      <c r="S388" s="24"/>
      <c r="V388" s="24"/>
      <c r="W388" s="24"/>
      <c r="X388" s="112"/>
    </row>
    <row r="389" spans="2:24" s="27" customFormat="1" ht="15" customHeight="1">
      <c r="B389" s="114"/>
      <c r="K389" s="24"/>
      <c r="L389" s="24"/>
      <c r="M389" s="24"/>
      <c r="Q389" s="24"/>
      <c r="R389" s="24"/>
      <c r="S389" s="24"/>
      <c r="V389" s="24"/>
      <c r="W389" s="24"/>
      <c r="X389" s="112"/>
    </row>
    <row r="390" spans="2:24" s="27" customFormat="1" ht="15" customHeight="1">
      <c r="B390" s="114"/>
      <c r="K390" s="24"/>
      <c r="L390" s="24"/>
      <c r="M390" s="24"/>
      <c r="Q390" s="24"/>
      <c r="R390" s="24"/>
      <c r="S390" s="24"/>
      <c r="V390" s="24"/>
      <c r="W390" s="24"/>
      <c r="X390" s="112"/>
    </row>
    <row r="391" spans="2:24" s="27" customFormat="1" ht="15" customHeight="1">
      <c r="B391" s="114"/>
      <c r="K391" s="24"/>
      <c r="L391" s="24"/>
      <c r="M391" s="24"/>
      <c r="Q391" s="24"/>
      <c r="R391" s="24"/>
      <c r="S391" s="24"/>
      <c r="V391" s="24"/>
      <c r="W391" s="24"/>
      <c r="X391" s="112"/>
    </row>
    <row r="392" spans="2:24" s="27" customFormat="1" ht="15" customHeight="1">
      <c r="B392" s="114"/>
      <c r="K392" s="24"/>
      <c r="L392" s="24"/>
      <c r="M392" s="24"/>
      <c r="Q392" s="24"/>
      <c r="R392" s="24"/>
      <c r="S392" s="24"/>
      <c r="V392" s="24"/>
      <c r="W392" s="24"/>
      <c r="X392" s="112"/>
    </row>
    <row r="393" spans="2:24" s="27" customFormat="1" ht="15" customHeight="1">
      <c r="B393" s="114"/>
      <c r="K393" s="24"/>
      <c r="L393" s="24"/>
      <c r="M393" s="24"/>
      <c r="Q393" s="24"/>
      <c r="R393" s="24"/>
      <c r="S393" s="24"/>
      <c r="V393" s="24"/>
      <c r="W393" s="24"/>
      <c r="X393" s="112"/>
    </row>
    <row r="394" spans="2:24" s="27" customFormat="1" ht="15" customHeight="1">
      <c r="B394" s="114"/>
      <c r="K394" s="24"/>
      <c r="L394" s="24"/>
      <c r="M394" s="24"/>
      <c r="Q394" s="24"/>
      <c r="R394" s="24"/>
      <c r="S394" s="24"/>
      <c r="V394" s="24"/>
      <c r="W394" s="24"/>
      <c r="X394" s="112"/>
    </row>
    <row r="395" spans="2:24" s="27" customFormat="1" ht="15" customHeight="1">
      <c r="B395" s="114"/>
      <c r="K395" s="24"/>
      <c r="L395" s="24"/>
      <c r="M395" s="24"/>
      <c r="Q395" s="24"/>
      <c r="R395" s="24"/>
      <c r="S395" s="24"/>
      <c r="V395" s="24"/>
      <c r="W395" s="24"/>
      <c r="X395" s="112"/>
    </row>
    <row r="396" spans="2:24" s="27" customFormat="1" ht="15" customHeight="1">
      <c r="B396" s="114"/>
      <c r="K396" s="24"/>
      <c r="L396" s="24"/>
      <c r="M396" s="24"/>
      <c r="Q396" s="24"/>
      <c r="R396" s="24"/>
      <c r="S396" s="24"/>
      <c r="V396" s="24"/>
      <c r="W396" s="24"/>
      <c r="X396" s="112"/>
    </row>
    <row r="397" spans="2:24" s="27" customFormat="1" ht="15" customHeight="1">
      <c r="B397" s="114"/>
      <c r="K397" s="24"/>
      <c r="L397" s="24"/>
      <c r="M397" s="24"/>
      <c r="Q397" s="24"/>
      <c r="R397" s="24"/>
      <c r="S397" s="24"/>
      <c r="V397" s="24"/>
      <c r="W397" s="24"/>
      <c r="X397" s="112"/>
    </row>
    <row r="398" spans="2:24" s="27" customFormat="1" ht="15" customHeight="1">
      <c r="B398" s="114"/>
      <c r="K398" s="24"/>
      <c r="L398" s="24"/>
      <c r="M398" s="24"/>
      <c r="Q398" s="24"/>
      <c r="R398" s="24"/>
      <c r="S398" s="24"/>
      <c r="V398" s="24"/>
      <c r="W398" s="24"/>
      <c r="X398" s="112"/>
    </row>
    <row r="399" spans="2:24" s="27" customFormat="1" ht="15" customHeight="1">
      <c r="B399" s="114"/>
      <c r="K399" s="24"/>
      <c r="L399" s="24"/>
      <c r="M399" s="24"/>
      <c r="Q399" s="24"/>
      <c r="R399" s="24"/>
      <c r="S399" s="24"/>
      <c r="V399" s="24"/>
      <c r="W399" s="24"/>
      <c r="X399" s="112"/>
    </row>
    <row r="400" spans="2:24" s="27" customFormat="1" ht="15" customHeight="1">
      <c r="B400" s="114"/>
      <c r="K400" s="24"/>
      <c r="L400" s="24"/>
      <c r="M400" s="24"/>
      <c r="Q400" s="24"/>
      <c r="R400" s="24"/>
      <c r="S400" s="24"/>
      <c r="V400" s="24"/>
      <c r="W400" s="24"/>
      <c r="X400" s="112"/>
    </row>
    <row r="401" spans="2:24" s="27" customFormat="1" ht="15" customHeight="1">
      <c r="B401" s="114"/>
      <c r="K401" s="24"/>
      <c r="L401" s="24"/>
      <c r="M401" s="24"/>
      <c r="Q401" s="24"/>
      <c r="R401" s="24"/>
      <c r="S401" s="24"/>
      <c r="V401" s="24"/>
      <c r="W401" s="24"/>
      <c r="X401" s="112"/>
    </row>
    <row r="402" spans="2:24" s="27" customFormat="1" ht="15" customHeight="1">
      <c r="B402" s="114"/>
      <c r="K402" s="24"/>
      <c r="L402" s="24"/>
      <c r="M402" s="24"/>
      <c r="Q402" s="24"/>
      <c r="R402" s="24"/>
      <c r="S402" s="24"/>
      <c r="V402" s="24"/>
      <c r="W402" s="24"/>
      <c r="X402" s="112"/>
    </row>
    <row r="403" spans="2:24" s="27" customFormat="1" ht="15" customHeight="1">
      <c r="B403" s="114"/>
      <c r="K403" s="24"/>
      <c r="L403" s="24"/>
      <c r="M403" s="24"/>
      <c r="Q403" s="24"/>
      <c r="R403" s="24"/>
      <c r="S403" s="24"/>
      <c r="V403" s="24"/>
      <c r="W403" s="24"/>
      <c r="X403" s="112"/>
    </row>
    <row r="404" spans="2:24" s="27" customFormat="1" ht="15" customHeight="1">
      <c r="B404" s="114"/>
      <c r="K404" s="24"/>
      <c r="L404" s="24"/>
      <c r="M404" s="24"/>
      <c r="Q404" s="24"/>
      <c r="R404" s="24"/>
      <c r="S404" s="24"/>
      <c r="V404" s="24"/>
      <c r="W404" s="24"/>
      <c r="X404" s="112"/>
    </row>
    <row r="405" spans="2:24" s="27" customFormat="1" ht="15" customHeight="1">
      <c r="B405" s="114"/>
      <c r="K405" s="24"/>
      <c r="L405" s="24"/>
      <c r="M405" s="24"/>
      <c r="Q405" s="24"/>
      <c r="R405" s="24"/>
      <c r="S405" s="24"/>
      <c r="V405" s="24"/>
      <c r="W405" s="24"/>
      <c r="X405" s="112"/>
    </row>
    <row r="406" spans="2:24" s="27" customFormat="1" ht="15" customHeight="1">
      <c r="B406" s="114"/>
      <c r="K406" s="24"/>
      <c r="L406" s="24"/>
      <c r="M406" s="24"/>
      <c r="Q406" s="24"/>
      <c r="R406" s="24"/>
      <c r="S406" s="24"/>
      <c r="V406" s="24"/>
      <c r="W406" s="24"/>
      <c r="X406" s="112"/>
    </row>
    <row r="407" spans="2:24" s="27" customFormat="1" ht="15" customHeight="1">
      <c r="B407" s="114"/>
      <c r="K407" s="24"/>
      <c r="L407" s="24"/>
      <c r="M407" s="24"/>
      <c r="Q407" s="24"/>
      <c r="R407" s="24"/>
      <c r="S407" s="24"/>
      <c r="V407" s="24"/>
      <c r="W407" s="24"/>
      <c r="X407" s="112"/>
    </row>
    <row r="408" spans="2:24" s="27" customFormat="1" ht="15" customHeight="1">
      <c r="B408" s="114"/>
      <c r="K408" s="24"/>
      <c r="L408" s="24"/>
      <c r="M408" s="24"/>
      <c r="Q408" s="24"/>
      <c r="R408" s="24"/>
      <c r="S408" s="24"/>
      <c r="V408" s="24"/>
      <c r="W408" s="24"/>
      <c r="X408" s="112"/>
    </row>
    <row r="409" spans="2:24" s="27" customFormat="1" ht="15" customHeight="1">
      <c r="B409" s="114"/>
      <c r="K409" s="24"/>
      <c r="L409" s="24"/>
      <c r="M409" s="24"/>
      <c r="Q409" s="24"/>
      <c r="R409" s="24"/>
      <c r="S409" s="24"/>
      <c r="V409" s="24"/>
      <c r="W409" s="24"/>
      <c r="X409" s="112"/>
    </row>
    <row r="410" spans="2:24" s="27" customFormat="1" ht="15" customHeight="1">
      <c r="B410" s="114"/>
      <c r="K410" s="24"/>
      <c r="L410" s="24"/>
      <c r="M410" s="24"/>
      <c r="Q410" s="24"/>
      <c r="R410" s="24"/>
      <c r="S410" s="24"/>
      <c r="V410" s="24"/>
      <c r="W410" s="24"/>
      <c r="X410" s="112"/>
    </row>
    <row r="411" spans="2:24" s="27" customFormat="1" ht="15" customHeight="1">
      <c r="B411" s="114"/>
      <c r="K411" s="24"/>
      <c r="L411" s="24"/>
      <c r="M411" s="24"/>
      <c r="Q411" s="24"/>
      <c r="R411" s="24"/>
      <c r="S411" s="24"/>
      <c r="V411" s="24"/>
      <c r="W411" s="24"/>
      <c r="X411" s="112"/>
    </row>
    <row r="412" spans="2:24" s="27" customFormat="1" ht="15" customHeight="1">
      <c r="B412" s="114"/>
      <c r="K412" s="24"/>
      <c r="L412" s="24"/>
      <c r="M412" s="24"/>
      <c r="Q412" s="24"/>
      <c r="R412" s="24"/>
      <c r="S412" s="24"/>
      <c r="V412" s="24"/>
      <c r="W412" s="24"/>
      <c r="X412" s="112"/>
    </row>
    <row r="413" spans="2:24" s="27" customFormat="1" ht="15" customHeight="1">
      <c r="B413" s="114"/>
      <c r="K413" s="24"/>
      <c r="L413" s="24"/>
      <c r="M413" s="24"/>
      <c r="Q413" s="24"/>
      <c r="R413" s="24"/>
      <c r="S413" s="24"/>
      <c r="V413" s="24"/>
      <c r="W413" s="24"/>
      <c r="X413" s="112"/>
    </row>
    <row r="414" spans="2:24" s="27" customFormat="1" ht="15" customHeight="1">
      <c r="B414" s="114"/>
      <c r="K414" s="24"/>
      <c r="L414" s="24"/>
      <c r="M414" s="24"/>
      <c r="Q414" s="24"/>
      <c r="R414" s="24"/>
      <c r="S414" s="24"/>
      <c r="V414" s="24"/>
      <c r="W414" s="24"/>
      <c r="X414" s="112"/>
    </row>
    <row r="415" spans="2:24" s="27" customFormat="1" ht="15" customHeight="1">
      <c r="B415" s="114"/>
      <c r="K415" s="24"/>
      <c r="L415" s="24"/>
      <c r="M415" s="24"/>
      <c r="Q415" s="24"/>
      <c r="R415" s="24"/>
      <c r="S415" s="24"/>
      <c r="V415" s="24"/>
      <c r="W415" s="24"/>
      <c r="X415" s="112"/>
    </row>
    <row r="416" spans="2:24" s="27" customFormat="1" ht="15" customHeight="1">
      <c r="B416" s="114"/>
      <c r="K416" s="24"/>
      <c r="L416" s="24"/>
      <c r="M416" s="24"/>
      <c r="Q416" s="24"/>
      <c r="R416" s="24"/>
      <c r="S416" s="24"/>
      <c r="V416" s="24"/>
      <c r="W416" s="24"/>
      <c r="X416" s="112"/>
    </row>
    <row r="417" spans="2:24" s="27" customFormat="1" ht="15" customHeight="1">
      <c r="B417" s="114"/>
      <c r="K417" s="24"/>
      <c r="L417" s="24"/>
      <c r="M417" s="24"/>
      <c r="Q417" s="24"/>
      <c r="R417" s="24"/>
      <c r="S417" s="24"/>
      <c r="V417" s="24"/>
      <c r="W417" s="24"/>
      <c r="X417" s="112"/>
    </row>
    <row r="418" spans="2:24" s="27" customFormat="1" ht="15" customHeight="1">
      <c r="B418" s="114"/>
      <c r="K418" s="24"/>
      <c r="L418" s="24"/>
      <c r="M418" s="24"/>
      <c r="Q418" s="24"/>
      <c r="R418" s="24"/>
      <c r="S418" s="24"/>
      <c r="V418" s="24"/>
      <c r="W418" s="24"/>
      <c r="X418" s="112"/>
    </row>
    <row r="419" spans="2:24" s="27" customFormat="1" ht="15" customHeight="1">
      <c r="B419" s="114"/>
      <c r="K419" s="24"/>
      <c r="L419" s="24"/>
      <c r="M419" s="24"/>
      <c r="Q419" s="24"/>
      <c r="R419" s="24"/>
      <c r="S419" s="24"/>
      <c r="V419" s="24"/>
      <c r="W419" s="24"/>
      <c r="X419" s="112"/>
    </row>
    <row r="420" spans="2:24" s="27" customFormat="1" ht="15" customHeight="1">
      <c r="B420" s="114"/>
      <c r="K420" s="24"/>
      <c r="L420" s="24"/>
      <c r="M420" s="24"/>
      <c r="Q420" s="24"/>
      <c r="R420" s="24"/>
      <c r="S420" s="24"/>
      <c r="V420" s="24"/>
      <c r="W420" s="24"/>
      <c r="X420" s="112"/>
    </row>
    <row r="421" spans="2:24" s="27" customFormat="1" ht="15" customHeight="1">
      <c r="B421" s="114"/>
      <c r="K421" s="24"/>
      <c r="L421" s="24"/>
      <c r="M421" s="24"/>
      <c r="Q421" s="24"/>
      <c r="R421" s="24"/>
      <c r="S421" s="24"/>
      <c r="V421" s="24"/>
      <c r="W421" s="24"/>
      <c r="X421" s="112"/>
    </row>
    <row r="422" spans="2:24" s="27" customFormat="1" ht="15" customHeight="1">
      <c r="B422" s="114"/>
      <c r="K422" s="24"/>
      <c r="L422" s="24"/>
      <c r="M422" s="24"/>
      <c r="Q422" s="24"/>
      <c r="R422" s="24"/>
      <c r="S422" s="24"/>
      <c r="V422" s="24"/>
      <c r="W422" s="24"/>
      <c r="X422" s="112"/>
    </row>
    <row r="423" spans="2:24" s="27" customFormat="1" ht="15" customHeight="1">
      <c r="B423" s="114"/>
      <c r="K423" s="24"/>
      <c r="L423" s="24"/>
      <c r="M423" s="24"/>
      <c r="Q423" s="24"/>
      <c r="R423" s="24"/>
      <c r="S423" s="24"/>
      <c r="V423" s="24"/>
      <c r="W423" s="24"/>
      <c r="X423" s="112"/>
    </row>
    <row r="424" spans="2:24" s="27" customFormat="1" ht="15" customHeight="1">
      <c r="B424" s="114"/>
      <c r="K424" s="24"/>
      <c r="L424" s="24"/>
      <c r="M424" s="24"/>
      <c r="Q424" s="24"/>
      <c r="R424" s="24"/>
      <c r="S424" s="24"/>
      <c r="V424" s="24"/>
      <c r="W424" s="24"/>
      <c r="X424" s="112"/>
    </row>
    <row r="425" spans="2:24" s="27" customFormat="1" ht="15" customHeight="1">
      <c r="B425" s="114"/>
      <c r="K425" s="24"/>
      <c r="L425" s="24"/>
      <c r="M425" s="24"/>
      <c r="Q425" s="24"/>
      <c r="R425" s="24"/>
      <c r="S425" s="24"/>
      <c r="V425" s="24"/>
      <c r="W425" s="24"/>
      <c r="X425" s="112"/>
    </row>
    <row r="426" spans="2:24" s="27" customFormat="1" ht="15" customHeight="1">
      <c r="B426" s="114"/>
      <c r="K426" s="24"/>
      <c r="L426" s="24"/>
      <c r="M426" s="24"/>
      <c r="Q426" s="24"/>
      <c r="R426" s="24"/>
      <c r="S426" s="24"/>
      <c r="V426" s="24"/>
      <c r="W426" s="24"/>
      <c r="X426" s="112"/>
    </row>
    <row r="427" spans="2:24" s="27" customFormat="1" ht="15" customHeight="1">
      <c r="B427" s="114"/>
      <c r="K427" s="24"/>
      <c r="L427" s="24"/>
      <c r="M427" s="24"/>
      <c r="Q427" s="24"/>
      <c r="R427" s="24"/>
      <c r="S427" s="24"/>
      <c r="V427" s="24"/>
      <c r="W427" s="24"/>
      <c r="X427" s="112"/>
    </row>
    <row r="428" spans="2:24" s="27" customFormat="1" ht="15" customHeight="1">
      <c r="B428" s="114"/>
      <c r="K428" s="24"/>
      <c r="L428" s="24"/>
      <c r="M428" s="24"/>
      <c r="Q428" s="24"/>
      <c r="R428" s="24"/>
      <c r="S428" s="24"/>
      <c r="V428" s="24"/>
      <c r="W428" s="24"/>
      <c r="X428" s="112"/>
    </row>
    <row r="429" spans="2:24" s="27" customFormat="1" ht="15" customHeight="1">
      <c r="B429" s="114"/>
      <c r="K429" s="24"/>
      <c r="L429" s="24"/>
      <c r="M429" s="24"/>
      <c r="Q429" s="24"/>
      <c r="R429" s="24"/>
      <c r="S429" s="24"/>
      <c r="V429" s="24"/>
      <c r="W429" s="24"/>
      <c r="X429" s="112"/>
    </row>
    <row r="430" spans="2:24" s="27" customFormat="1" ht="15" customHeight="1">
      <c r="B430" s="114"/>
      <c r="K430" s="24"/>
      <c r="L430" s="24"/>
      <c r="M430" s="24"/>
      <c r="Q430" s="24"/>
      <c r="R430" s="24"/>
      <c r="S430" s="24"/>
      <c r="V430" s="24"/>
      <c r="W430" s="24"/>
      <c r="X430" s="112"/>
    </row>
    <row r="431" spans="2:24" s="27" customFormat="1" ht="15" customHeight="1">
      <c r="B431" s="114"/>
      <c r="K431" s="24"/>
      <c r="L431" s="24"/>
      <c r="M431" s="24"/>
      <c r="Q431" s="24"/>
      <c r="R431" s="24"/>
      <c r="S431" s="24"/>
      <c r="V431" s="24"/>
      <c r="W431" s="24"/>
      <c r="X431" s="112"/>
    </row>
    <row r="432" spans="2:24" s="27" customFormat="1" ht="15" customHeight="1">
      <c r="B432" s="114"/>
      <c r="K432" s="24"/>
      <c r="L432" s="24"/>
      <c r="M432" s="24"/>
      <c r="Q432" s="24"/>
      <c r="R432" s="24"/>
      <c r="S432" s="24"/>
      <c r="V432" s="24"/>
      <c r="W432" s="24"/>
      <c r="X432" s="112"/>
    </row>
    <row r="433" spans="2:24" s="27" customFormat="1" ht="15" customHeight="1">
      <c r="B433" s="114"/>
      <c r="K433" s="24"/>
      <c r="L433" s="24"/>
      <c r="M433" s="24"/>
      <c r="Q433" s="24"/>
      <c r="R433" s="24"/>
      <c r="S433" s="24"/>
      <c r="V433" s="24"/>
      <c r="W433" s="24"/>
      <c r="X433" s="112"/>
    </row>
    <row r="434" spans="2:24" s="27" customFormat="1" ht="15" customHeight="1">
      <c r="B434" s="114"/>
      <c r="K434" s="24"/>
      <c r="L434" s="24"/>
      <c r="M434" s="24"/>
      <c r="Q434" s="24"/>
      <c r="R434" s="24"/>
      <c r="S434" s="24"/>
      <c r="V434" s="24"/>
      <c r="W434" s="24"/>
      <c r="X434" s="112"/>
    </row>
    <row r="435" spans="2:24" s="27" customFormat="1" ht="15" customHeight="1">
      <c r="B435" s="114"/>
      <c r="K435" s="24"/>
      <c r="L435" s="24"/>
      <c r="M435" s="24"/>
      <c r="Q435" s="24"/>
      <c r="R435" s="24"/>
      <c r="S435" s="24"/>
      <c r="V435" s="24"/>
      <c r="W435" s="24"/>
      <c r="X435" s="112"/>
    </row>
    <row r="436" spans="2:24" s="27" customFormat="1" ht="15" customHeight="1">
      <c r="B436" s="114"/>
      <c r="K436" s="24"/>
      <c r="L436" s="24"/>
      <c r="M436" s="24"/>
      <c r="Q436" s="24"/>
      <c r="R436" s="24"/>
      <c r="S436" s="24"/>
      <c r="V436" s="24"/>
      <c r="W436" s="24"/>
      <c r="X436" s="112"/>
    </row>
    <row r="437" spans="2:24" s="27" customFormat="1" ht="15" customHeight="1">
      <c r="B437" s="114"/>
      <c r="K437" s="24"/>
      <c r="L437" s="24"/>
      <c r="M437" s="24"/>
      <c r="Q437" s="24"/>
      <c r="R437" s="24"/>
      <c r="S437" s="24"/>
      <c r="V437" s="24"/>
      <c r="W437" s="24"/>
      <c r="X437" s="112"/>
    </row>
    <row r="438" spans="2:24" s="27" customFormat="1" ht="15" customHeight="1">
      <c r="B438" s="114"/>
      <c r="K438" s="24"/>
      <c r="L438" s="24"/>
      <c r="M438" s="24"/>
      <c r="Q438" s="24"/>
      <c r="R438" s="24"/>
      <c r="S438" s="24"/>
      <c r="V438" s="24"/>
      <c r="W438" s="24"/>
      <c r="X438" s="112"/>
    </row>
    <row r="439" spans="2:24" s="27" customFormat="1" ht="15" customHeight="1">
      <c r="B439" s="114"/>
      <c r="K439" s="24"/>
      <c r="L439" s="24"/>
      <c r="M439" s="24"/>
      <c r="Q439" s="24"/>
      <c r="R439" s="24"/>
      <c r="S439" s="24"/>
      <c r="V439" s="24"/>
      <c r="W439" s="24"/>
      <c r="X439" s="112"/>
    </row>
    <row r="440" spans="2:24" s="27" customFormat="1" ht="15" customHeight="1">
      <c r="B440" s="114"/>
      <c r="K440" s="24"/>
      <c r="L440" s="24"/>
      <c r="M440" s="24"/>
      <c r="Q440" s="24"/>
      <c r="R440" s="24"/>
      <c r="S440" s="24"/>
      <c r="V440" s="24"/>
      <c r="W440" s="24"/>
      <c r="X440" s="112"/>
    </row>
    <row r="441" spans="2:24" s="27" customFormat="1" ht="15" customHeight="1">
      <c r="B441" s="114"/>
      <c r="K441" s="24"/>
      <c r="L441" s="24"/>
      <c r="M441" s="24"/>
      <c r="Q441" s="24"/>
      <c r="R441" s="24"/>
      <c r="S441" s="24"/>
      <c r="V441" s="24"/>
      <c r="W441" s="24"/>
      <c r="X441" s="112"/>
    </row>
    <row r="442" spans="2:24" s="27" customFormat="1" ht="15" customHeight="1">
      <c r="B442" s="114"/>
      <c r="K442" s="24"/>
      <c r="L442" s="24"/>
      <c r="M442" s="24"/>
      <c r="Q442" s="24"/>
      <c r="R442" s="24"/>
      <c r="S442" s="24"/>
      <c r="V442" s="24"/>
      <c r="W442" s="24"/>
      <c r="X442" s="112"/>
    </row>
    <row r="443" spans="2:24" s="27" customFormat="1" ht="15" customHeight="1">
      <c r="B443" s="114"/>
      <c r="K443" s="24"/>
      <c r="L443" s="24"/>
      <c r="M443" s="24"/>
      <c r="Q443" s="24"/>
      <c r="R443" s="24"/>
      <c r="S443" s="24"/>
      <c r="V443" s="24"/>
      <c r="W443" s="24"/>
      <c r="X443" s="112"/>
    </row>
    <row r="444" spans="2:24" s="27" customFormat="1" ht="15" customHeight="1">
      <c r="B444" s="114"/>
      <c r="K444" s="24"/>
      <c r="L444" s="24"/>
      <c r="M444" s="24"/>
      <c r="Q444" s="24"/>
      <c r="R444" s="24"/>
      <c r="S444" s="24"/>
      <c r="V444" s="24"/>
      <c r="W444" s="24"/>
      <c r="X444" s="112"/>
    </row>
    <row r="445" spans="2:24" s="27" customFormat="1" ht="15" customHeight="1">
      <c r="B445" s="114"/>
      <c r="K445" s="24"/>
      <c r="L445" s="24"/>
      <c r="M445" s="24"/>
      <c r="Q445" s="24"/>
      <c r="R445" s="24"/>
      <c r="S445" s="24"/>
      <c r="V445" s="24"/>
      <c r="W445" s="24"/>
      <c r="X445" s="112"/>
    </row>
    <row r="446" spans="2:24" s="27" customFormat="1" ht="15" customHeight="1">
      <c r="B446" s="114"/>
      <c r="K446" s="24"/>
      <c r="L446" s="24"/>
      <c r="M446" s="24"/>
      <c r="Q446" s="24"/>
      <c r="R446" s="24"/>
      <c r="S446" s="24"/>
      <c r="V446" s="24"/>
      <c r="W446" s="24"/>
      <c r="X446" s="112"/>
    </row>
    <row r="447" spans="2:24" s="27" customFormat="1" ht="15" customHeight="1">
      <c r="B447" s="114"/>
      <c r="K447" s="24"/>
      <c r="L447" s="24"/>
      <c r="M447" s="24"/>
      <c r="Q447" s="24"/>
      <c r="R447" s="24"/>
      <c r="S447" s="24"/>
      <c r="V447" s="24"/>
      <c r="W447" s="24"/>
      <c r="X447" s="112"/>
    </row>
    <row r="448" spans="2:24" s="27" customFormat="1" ht="15" customHeight="1">
      <c r="B448" s="114"/>
      <c r="K448" s="24"/>
      <c r="L448" s="24"/>
      <c r="M448" s="24"/>
      <c r="Q448" s="24"/>
      <c r="R448" s="24"/>
      <c r="S448" s="24"/>
      <c r="V448" s="24"/>
      <c r="W448" s="24"/>
      <c r="X448" s="112"/>
    </row>
    <row r="449" spans="2:24" s="27" customFormat="1" ht="15" customHeight="1">
      <c r="B449" s="114"/>
      <c r="K449" s="24"/>
      <c r="L449" s="24"/>
      <c r="M449" s="24"/>
      <c r="Q449" s="24"/>
      <c r="R449" s="24"/>
      <c r="S449" s="24"/>
      <c r="V449" s="24"/>
      <c r="W449" s="24"/>
      <c r="X449" s="112"/>
    </row>
    <row r="450" spans="2:24" s="27" customFormat="1" ht="15" customHeight="1">
      <c r="B450" s="114"/>
      <c r="K450" s="24"/>
      <c r="L450" s="24"/>
      <c r="M450" s="24"/>
      <c r="Q450" s="24"/>
      <c r="R450" s="24"/>
      <c r="S450" s="24"/>
      <c r="V450" s="24"/>
      <c r="W450" s="24"/>
      <c r="X450" s="112"/>
    </row>
    <row r="451" spans="2:24" s="27" customFormat="1" ht="15" customHeight="1">
      <c r="B451" s="114"/>
      <c r="K451" s="24"/>
      <c r="L451" s="24"/>
      <c r="M451" s="24"/>
      <c r="Q451" s="24"/>
      <c r="R451" s="24"/>
      <c r="S451" s="24"/>
      <c r="V451" s="24"/>
      <c r="W451" s="24"/>
      <c r="X451" s="112"/>
    </row>
    <row r="452" spans="2:24" s="27" customFormat="1" ht="15" customHeight="1">
      <c r="B452" s="114"/>
      <c r="K452" s="24"/>
      <c r="L452" s="24"/>
      <c r="M452" s="24"/>
      <c r="Q452" s="24"/>
      <c r="R452" s="24"/>
      <c r="S452" s="24"/>
      <c r="V452" s="24"/>
      <c r="W452" s="24"/>
      <c r="X452" s="112"/>
    </row>
    <row r="453" spans="2:24" s="27" customFormat="1" ht="15" customHeight="1">
      <c r="B453" s="114"/>
      <c r="K453" s="24"/>
      <c r="L453" s="24"/>
      <c r="M453" s="24"/>
      <c r="Q453" s="24"/>
      <c r="R453" s="24"/>
      <c r="S453" s="24"/>
      <c r="V453" s="24"/>
      <c r="W453" s="24"/>
      <c r="X453" s="112"/>
    </row>
    <row r="454" spans="2:24" s="27" customFormat="1" ht="15" customHeight="1">
      <c r="B454" s="114"/>
      <c r="K454" s="24"/>
      <c r="L454" s="24"/>
      <c r="M454" s="24"/>
      <c r="Q454" s="24"/>
      <c r="R454" s="24"/>
      <c r="S454" s="24"/>
      <c r="V454" s="24"/>
      <c r="W454" s="24"/>
      <c r="X454" s="112"/>
    </row>
    <row r="455" spans="2:24" s="27" customFormat="1" ht="15" customHeight="1">
      <c r="B455" s="114"/>
      <c r="K455" s="24"/>
      <c r="L455" s="24"/>
      <c r="M455" s="24"/>
      <c r="Q455" s="24"/>
      <c r="R455" s="24"/>
      <c r="S455" s="24"/>
      <c r="V455" s="24"/>
      <c r="W455" s="24"/>
      <c r="X455" s="112"/>
    </row>
    <row r="456" spans="2:24" s="27" customFormat="1" ht="15" customHeight="1">
      <c r="B456" s="114"/>
      <c r="K456" s="24"/>
      <c r="L456" s="24"/>
      <c r="M456" s="24"/>
      <c r="Q456" s="24"/>
      <c r="R456" s="24"/>
      <c r="S456" s="24"/>
      <c r="V456" s="24"/>
      <c r="W456" s="24"/>
      <c r="X456" s="112"/>
    </row>
    <row r="457" spans="2:24" s="27" customFormat="1" ht="15" customHeight="1">
      <c r="B457" s="114"/>
      <c r="K457" s="24"/>
      <c r="L457" s="24"/>
      <c r="M457" s="24"/>
      <c r="Q457" s="24"/>
      <c r="R457" s="24"/>
      <c r="S457" s="24"/>
      <c r="V457" s="24"/>
      <c r="W457" s="24"/>
      <c r="X457" s="112"/>
    </row>
    <row r="458" spans="2:24" s="27" customFormat="1" ht="15" customHeight="1">
      <c r="B458" s="114"/>
      <c r="K458" s="24"/>
      <c r="L458" s="24"/>
      <c r="M458" s="24"/>
      <c r="Q458" s="24"/>
      <c r="R458" s="24"/>
      <c r="S458" s="24"/>
      <c r="V458" s="24"/>
      <c r="W458" s="24"/>
      <c r="X458" s="112"/>
    </row>
    <row r="459" spans="2:24" s="27" customFormat="1" ht="15" customHeight="1">
      <c r="B459" s="114"/>
      <c r="K459" s="24"/>
      <c r="L459" s="24"/>
      <c r="M459" s="24"/>
      <c r="Q459" s="24"/>
      <c r="R459" s="24"/>
      <c r="S459" s="24"/>
      <c r="V459" s="24"/>
      <c r="W459" s="24"/>
      <c r="X459" s="112"/>
    </row>
    <row r="460" spans="2:24" s="27" customFormat="1" ht="15" customHeight="1">
      <c r="B460" s="114"/>
      <c r="K460" s="24"/>
      <c r="L460" s="24"/>
      <c r="M460" s="24"/>
      <c r="Q460" s="24"/>
      <c r="R460" s="24"/>
      <c r="S460" s="24"/>
      <c r="V460" s="24"/>
      <c r="W460" s="24"/>
      <c r="X460" s="112"/>
    </row>
    <row r="461" spans="2:24" s="27" customFormat="1" ht="15" customHeight="1">
      <c r="B461" s="114"/>
      <c r="K461" s="24"/>
      <c r="L461" s="24"/>
      <c r="M461" s="24"/>
      <c r="Q461" s="24"/>
      <c r="R461" s="24"/>
      <c r="S461" s="24"/>
      <c r="V461" s="24"/>
      <c r="W461" s="24"/>
      <c r="X461" s="112"/>
    </row>
    <row r="462" spans="2:24" s="27" customFormat="1" ht="15" customHeight="1">
      <c r="B462" s="114"/>
      <c r="K462" s="24"/>
      <c r="L462" s="24"/>
      <c r="M462" s="24"/>
      <c r="Q462" s="24"/>
      <c r="R462" s="24"/>
      <c r="S462" s="24"/>
      <c r="V462" s="24"/>
      <c r="W462" s="24"/>
      <c r="X462" s="112"/>
    </row>
    <row r="463" spans="2:24" s="27" customFormat="1" ht="15" customHeight="1">
      <c r="B463" s="114"/>
      <c r="K463" s="24"/>
      <c r="L463" s="24"/>
      <c r="M463" s="24"/>
      <c r="Q463" s="24"/>
      <c r="R463" s="24"/>
      <c r="S463" s="24"/>
      <c r="V463" s="24"/>
      <c r="W463" s="24"/>
      <c r="X463" s="112"/>
    </row>
    <row r="464" spans="2:24" s="27" customFormat="1" ht="15" customHeight="1">
      <c r="B464" s="114"/>
      <c r="K464" s="24"/>
      <c r="L464" s="24"/>
      <c r="M464" s="24"/>
      <c r="Q464" s="24"/>
      <c r="R464" s="24"/>
      <c r="S464" s="24"/>
      <c r="V464" s="24"/>
      <c r="W464" s="24"/>
      <c r="X464" s="112"/>
    </row>
    <row r="465" spans="2:24" s="27" customFormat="1" ht="15" customHeight="1">
      <c r="B465" s="114"/>
      <c r="K465" s="24"/>
      <c r="L465" s="24"/>
      <c r="M465" s="24"/>
      <c r="Q465" s="24"/>
      <c r="R465" s="24"/>
      <c r="S465" s="24"/>
      <c r="V465" s="24"/>
      <c r="W465" s="24"/>
      <c r="X465" s="112"/>
    </row>
    <row r="466" spans="2:24" s="27" customFormat="1" ht="15" customHeight="1">
      <c r="B466" s="114"/>
      <c r="K466" s="24"/>
      <c r="L466" s="24"/>
      <c r="M466" s="24"/>
      <c r="Q466" s="24"/>
      <c r="R466" s="24"/>
      <c r="S466" s="24"/>
      <c r="V466" s="24"/>
      <c r="W466" s="24"/>
      <c r="X466" s="112"/>
    </row>
    <row r="467" spans="2:24" s="27" customFormat="1" ht="15" customHeight="1">
      <c r="B467" s="114"/>
      <c r="K467" s="24"/>
      <c r="L467" s="24"/>
      <c r="M467" s="24"/>
      <c r="Q467" s="24"/>
      <c r="R467" s="24"/>
      <c r="S467" s="24"/>
      <c r="V467" s="24"/>
      <c r="W467" s="24"/>
      <c r="X467" s="112"/>
    </row>
    <row r="468" spans="2:24" s="27" customFormat="1" ht="15" customHeight="1">
      <c r="B468" s="114"/>
      <c r="K468" s="24"/>
      <c r="L468" s="24"/>
      <c r="M468" s="24"/>
      <c r="Q468" s="24"/>
      <c r="R468" s="24"/>
      <c r="S468" s="24"/>
      <c r="V468" s="24"/>
      <c r="W468" s="24"/>
      <c r="X468" s="112"/>
    </row>
    <row r="469" spans="2:24" s="27" customFormat="1" ht="15" customHeight="1">
      <c r="B469" s="114"/>
      <c r="K469" s="24"/>
      <c r="L469" s="24"/>
      <c r="M469" s="24"/>
      <c r="Q469" s="24"/>
      <c r="R469" s="24"/>
      <c r="S469" s="24"/>
      <c r="V469" s="24"/>
      <c r="W469" s="24"/>
      <c r="X469" s="112"/>
    </row>
    <row r="470" spans="2:24" s="27" customFormat="1" ht="15" customHeight="1">
      <c r="B470" s="114"/>
      <c r="K470" s="24"/>
      <c r="L470" s="24"/>
      <c r="M470" s="24"/>
      <c r="Q470" s="24"/>
      <c r="R470" s="24"/>
      <c r="S470" s="24"/>
      <c r="V470" s="24"/>
      <c r="W470" s="24"/>
      <c r="X470" s="112"/>
    </row>
    <row r="471" spans="2:24" s="27" customFormat="1" ht="15" customHeight="1">
      <c r="B471" s="114"/>
      <c r="K471" s="24"/>
      <c r="L471" s="24"/>
      <c r="M471" s="24"/>
      <c r="Q471" s="24"/>
      <c r="R471" s="24"/>
      <c r="S471" s="24"/>
      <c r="V471" s="24"/>
      <c r="W471" s="24"/>
      <c r="X471" s="112"/>
    </row>
    <row r="472" spans="2:24" s="27" customFormat="1" ht="15" customHeight="1">
      <c r="B472" s="114"/>
      <c r="K472" s="24"/>
      <c r="L472" s="24"/>
      <c r="M472" s="24"/>
      <c r="Q472" s="24"/>
      <c r="R472" s="24"/>
      <c r="S472" s="24"/>
      <c r="V472" s="24"/>
      <c r="W472" s="24"/>
      <c r="X472" s="112"/>
    </row>
    <row r="473" spans="2:24" s="27" customFormat="1" ht="15" customHeight="1">
      <c r="B473" s="114"/>
      <c r="K473" s="24"/>
      <c r="L473" s="24"/>
      <c r="M473" s="24"/>
      <c r="Q473" s="24"/>
      <c r="R473" s="24"/>
      <c r="S473" s="24"/>
      <c r="V473" s="24"/>
      <c r="W473" s="24"/>
      <c r="X473" s="112"/>
    </row>
    <row r="474" spans="2:24" s="27" customFormat="1" ht="15" customHeight="1">
      <c r="B474" s="114"/>
      <c r="K474" s="24"/>
      <c r="L474" s="24"/>
      <c r="M474" s="24"/>
      <c r="Q474" s="24"/>
      <c r="R474" s="24"/>
      <c r="S474" s="24"/>
      <c r="V474" s="24"/>
      <c r="W474" s="24"/>
      <c r="X474" s="112"/>
    </row>
    <row r="475" spans="2:24" s="27" customFormat="1" ht="15" customHeight="1">
      <c r="B475" s="114"/>
      <c r="K475" s="24"/>
      <c r="L475" s="24"/>
      <c r="M475" s="24"/>
      <c r="Q475" s="24"/>
      <c r="R475" s="24"/>
      <c r="S475" s="24"/>
      <c r="V475" s="24"/>
      <c r="W475" s="24"/>
      <c r="X475" s="112"/>
    </row>
    <row r="476" spans="2:24" s="27" customFormat="1" ht="15" customHeight="1">
      <c r="B476" s="114"/>
      <c r="K476" s="24"/>
      <c r="L476" s="24"/>
      <c r="M476" s="24"/>
      <c r="Q476" s="24"/>
      <c r="R476" s="24"/>
      <c r="S476" s="24"/>
      <c r="V476" s="24"/>
      <c r="W476" s="24"/>
      <c r="X476" s="112"/>
    </row>
    <row r="477" spans="2:24" s="27" customFormat="1" ht="15" customHeight="1">
      <c r="B477" s="114"/>
      <c r="K477" s="24"/>
      <c r="L477" s="24"/>
      <c r="M477" s="24"/>
      <c r="Q477" s="24"/>
      <c r="R477" s="24"/>
      <c r="S477" s="24"/>
      <c r="V477" s="24"/>
      <c r="W477" s="24"/>
      <c r="X477" s="112"/>
    </row>
    <row r="478" spans="2:24" s="27" customFormat="1" ht="15" customHeight="1">
      <c r="B478" s="114"/>
      <c r="K478" s="24"/>
      <c r="L478" s="24"/>
      <c r="M478" s="24"/>
      <c r="Q478" s="24"/>
      <c r="R478" s="24"/>
      <c r="S478" s="24"/>
      <c r="V478" s="24"/>
      <c r="W478" s="24"/>
      <c r="X478" s="112"/>
    </row>
    <row r="479" spans="2:24" s="27" customFormat="1" ht="15" customHeight="1">
      <c r="B479" s="114"/>
      <c r="K479" s="24"/>
      <c r="L479" s="24"/>
      <c r="M479" s="24"/>
      <c r="Q479" s="24"/>
      <c r="R479" s="24"/>
      <c r="S479" s="24"/>
      <c r="V479" s="24"/>
      <c r="W479" s="24"/>
      <c r="X479" s="112"/>
    </row>
    <row r="480" spans="2:24" s="27" customFormat="1" ht="15" customHeight="1">
      <c r="B480" s="114"/>
      <c r="K480" s="24"/>
      <c r="L480" s="24"/>
      <c r="M480" s="24"/>
      <c r="Q480" s="24"/>
      <c r="R480" s="24"/>
      <c r="S480" s="24"/>
      <c r="V480" s="24"/>
      <c r="W480" s="24"/>
      <c r="X480" s="112"/>
    </row>
    <row r="481" spans="2:24" s="27" customFormat="1" ht="15" customHeight="1">
      <c r="B481" s="114"/>
      <c r="K481" s="24"/>
      <c r="L481" s="24"/>
      <c r="M481" s="24"/>
      <c r="Q481" s="24"/>
      <c r="R481" s="24"/>
      <c r="S481" s="24"/>
      <c r="V481" s="24"/>
      <c r="W481" s="24"/>
      <c r="X481" s="112"/>
    </row>
    <row r="482" spans="2:24" s="27" customFormat="1" ht="15" customHeight="1">
      <c r="B482" s="114"/>
      <c r="K482" s="24"/>
      <c r="L482" s="24"/>
      <c r="M482" s="24"/>
      <c r="Q482" s="24"/>
      <c r="R482" s="24"/>
      <c r="S482" s="24"/>
      <c r="V482" s="24"/>
      <c r="W482" s="24"/>
      <c r="X482" s="112"/>
    </row>
  </sheetData>
  <mergeCells count="18">
    <mergeCell ref="B3:B4"/>
    <mergeCell ref="C3:D4"/>
    <mergeCell ref="E3:F4"/>
    <mergeCell ref="G3:G4"/>
    <mergeCell ref="H3:H4"/>
    <mergeCell ref="X3:X4"/>
    <mergeCell ref="Y3:Y4"/>
    <mergeCell ref="Z3:Z4"/>
    <mergeCell ref="J4:M4"/>
    <mergeCell ref="C5:D5"/>
    <mergeCell ref="E5:F5"/>
    <mergeCell ref="J5:M5"/>
    <mergeCell ref="J3:M3"/>
    <mergeCell ref="N3:N4"/>
    <mergeCell ref="O3:O4"/>
    <mergeCell ref="P3:Q3"/>
    <mergeCell ref="R3:V3"/>
    <mergeCell ref="I3:I4"/>
  </mergeCells>
  <pageMargins left="0.15" right="0.15" top="1" bottom="0.25" header="0.3" footer="0.05"/>
  <pageSetup paperSize="9" scale="65" orientation="landscape" horizontalDpi="4294967292" verticalDpi="4294967292" r:id="rId1"/>
  <headerFooter>
    <oddHeader>&amp;C&amp;P</oddHeader>
    <oddFooter>&amp;A&amp;RPage &amp;P</oddFooter>
  </headerFooter>
  <legacyDrawing r:id="rId2"/>
</worksheet>
</file>

<file path=xl/worksheets/sheet9.xml><?xml version="1.0" encoding="utf-8"?>
<worksheet xmlns="http://schemas.openxmlformats.org/spreadsheetml/2006/main" xmlns:r="http://schemas.openxmlformats.org/officeDocument/2006/relationships">
  <sheetPr>
    <tabColor theme="2" tint="-0.89999084444715716"/>
  </sheetPr>
  <dimension ref="A1:AO404"/>
  <sheetViews>
    <sheetView showGridLines="0" zoomScale="84" zoomScaleNormal="84" workbookViewId="0">
      <pane xSplit="2" ySplit="6" topLeftCell="C13" activePane="bottomRight" state="frozen"/>
      <selection activeCell="R53" sqref="R53"/>
      <selection pane="topRight" activeCell="R53" sqref="R53"/>
      <selection pane="bottomLeft" activeCell="R53" sqref="R53"/>
      <selection pane="bottomRight" activeCell="F14" sqref="F14"/>
    </sheetView>
  </sheetViews>
  <sheetFormatPr defaultRowHeight="12.75"/>
  <cols>
    <col min="1" max="1" width="2.7109375" style="28" customWidth="1"/>
    <col min="2" max="2" width="20.7109375" style="28" customWidth="1"/>
    <col min="3" max="3" width="3.7109375" style="28" customWidth="1"/>
    <col min="4" max="4" width="30.7109375" style="28" customWidth="1"/>
    <col min="5" max="5" width="3.7109375" style="28" customWidth="1"/>
    <col min="6" max="6" width="30.7109375" style="28" customWidth="1"/>
    <col min="7" max="7" width="30.7109375" style="117" customWidth="1"/>
    <col min="8" max="8" width="30.7109375" style="28" customWidth="1"/>
    <col min="9" max="9" width="30.7109375" style="24" customWidth="1"/>
    <col min="10" max="10" width="5.7109375" style="117" customWidth="1"/>
    <col min="11" max="11" width="3.7109375" style="117" customWidth="1"/>
    <col min="12" max="12" width="3.7109375" style="28" customWidth="1"/>
    <col min="13" max="13" width="30.7109375" style="28" customWidth="1"/>
    <col min="14" max="14" width="20.7109375" style="28" customWidth="1"/>
    <col min="15" max="22" width="10.7109375" style="517" customWidth="1"/>
    <col min="23" max="23" width="10.7109375" style="518" customWidth="1"/>
    <col min="24" max="26" width="20.7109375" style="28" customWidth="1"/>
    <col min="27" max="27" width="10" style="28" bestFit="1" customWidth="1"/>
    <col min="28" max="16384" width="9.140625" style="28"/>
  </cols>
  <sheetData>
    <row r="1" spans="1:41" s="121" customFormat="1">
      <c r="A1" s="119"/>
      <c r="B1" s="119"/>
      <c r="C1" s="119"/>
      <c r="D1" s="119"/>
      <c r="E1" s="119"/>
      <c r="F1" s="119"/>
      <c r="G1" s="120"/>
      <c r="H1" s="119"/>
      <c r="I1" s="120"/>
      <c r="J1" s="120"/>
      <c r="K1" s="120"/>
      <c r="L1" s="119"/>
      <c r="M1" s="119"/>
      <c r="N1" s="119"/>
      <c r="O1" s="513"/>
      <c r="P1" s="513"/>
      <c r="Q1" s="513"/>
      <c r="R1" s="513"/>
      <c r="S1" s="513"/>
      <c r="T1" s="513"/>
      <c r="U1" s="513"/>
      <c r="V1" s="513"/>
      <c r="W1" s="513"/>
      <c r="X1" s="119"/>
      <c r="Y1" s="119"/>
      <c r="Z1" s="119"/>
      <c r="AA1" s="119"/>
      <c r="AB1" s="119"/>
      <c r="AC1" s="119"/>
      <c r="AD1" s="119"/>
      <c r="AE1" s="119"/>
      <c r="AF1" s="119"/>
      <c r="AG1" s="119"/>
      <c r="AH1" s="119"/>
      <c r="AI1" s="119"/>
      <c r="AJ1" s="119"/>
      <c r="AK1" s="119"/>
      <c r="AL1" s="119"/>
      <c r="AM1" s="119"/>
      <c r="AN1" s="119"/>
    </row>
    <row r="2" spans="1:41" s="1" customFormat="1" ht="11.25" customHeight="1">
      <c r="B2" s="106"/>
      <c r="C2" s="106"/>
      <c r="D2" s="106"/>
      <c r="H2" s="122"/>
      <c r="O2" s="88"/>
      <c r="P2" s="88"/>
      <c r="Q2" s="88"/>
      <c r="R2" s="88"/>
      <c r="S2" s="88"/>
      <c r="T2" s="88"/>
      <c r="U2" s="88"/>
      <c r="V2" s="88"/>
      <c r="W2" s="88"/>
    </row>
    <row r="3" spans="1:41" s="1" customFormat="1" ht="6.75" customHeight="1">
      <c r="B3" s="459"/>
      <c r="C3" s="459"/>
      <c r="D3" s="459"/>
      <c r="E3" s="460"/>
      <c r="F3" s="460"/>
      <c r="G3" s="460"/>
      <c r="H3" s="123"/>
      <c r="I3" s="460"/>
      <c r="J3" s="460"/>
      <c r="K3" s="460"/>
      <c r="L3" s="460"/>
      <c r="M3" s="460"/>
      <c r="N3" s="460"/>
      <c r="O3" s="514"/>
      <c r="P3" s="514"/>
      <c r="Q3" s="514"/>
      <c r="R3" s="514"/>
      <c r="S3" s="514"/>
      <c r="T3" s="514"/>
      <c r="U3" s="514"/>
      <c r="V3" s="514"/>
      <c r="W3" s="514"/>
      <c r="X3" s="460"/>
      <c r="Y3" s="460"/>
      <c r="Z3" s="460"/>
    </row>
    <row r="4" spans="1:41" s="1" customFormat="1" ht="4.5" customHeight="1">
      <c r="O4" s="88"/>
      <c r="P4" s="88"/>
      <c r="Q4" s="88"/>
      <c r="R4" s="88"/>
      <c r="S4" s="88"/>
      <c r="T4" s="88"/>
      <c r="U4" s="88"/>
      <c r="V4" s="88"/>
      <c r="W4" s="88"/>
    </row>
    <row r="5" spans="1:41" s="461" customFormat="1" ht="35.25" customHeight="1">
      <c r="B5" s="1192" t="s">
        <v>6</v>
      </c>
      <c r="C5" s="1193" t="s">
        <v>0</v>
      </c>
      <c r="D5" s="1193"/>
      <c r="E5" s="1193" t="s">
        <v>2</v>
      </c>
      <c r="F5" s="1193"/>
      <c r="G5" s="1193" t="s">
        <v>98</v>
      </c>
      <c r="H5" s="1192" t="s">
        <v>156</v>
      </c>
      <c r="I5" s="1199" t="s">
        <v>157</v>
      </c>
      <c r="J5" s="1201" t="s">
        <v>54</v>
      </c>
      <c r="K5" s="1202"/>
      <c r="L5" s="1202"/>
      <c r="M5" s="1203"/>
      <c r="N5" s="1193" t="s">
        <v>781</v>
      </c>
      <c r="O5" s="1193" t="s">
        <v>132</v>
      </c>
      <c r="P5" s="1193" t="s">
        <v>133</v>
      </c>
      <c r="Q5" s="1193"/>
      <c r="R5" s="1198" t="s">
        <v>2138</v>
      </c>
      <c r="S5" s="1198"/>
      <c r="T5" s="1198"/>
      <c r="U5" s="1198"/>
      <c r="V5" s="1198"/>
      <c r="W5" s="668" t="s">
        <v>136</v>
      </c>
      <c r="X5" s="1194" t="s">
        <v>134</v>
      </c>
      <c r="Y5" s="1194" t="s">
        <v>137</v>
      </c>
      <c r="Z5" s="1192" t="s">
        <v>138</v>
      </c>
    </row>
    <row r="6" spans="1:41" s="461" customFormat="1" ht="25.5" customHeight="1">
      <c r="B6" s="1192"/>
      <c r="C6" s="1193"/>
      <c r="D6" s="1193"/>
      <c r="E6" s="1193"/>
      <c r="F6" s="1193"/>
      <c r="G6" s="1193"/>
      <c r="H6" s="1192"/>
      <c r="I6" s="1200"/>
      <c r="J6" s="1201" t="s">
        <v>135</v>
      </c>
      <c r="K6" s="1202"/>
      <c r="L6" s="1202"/>
      <c r="M6" s="1203"/>
      <c r="N6" s="1193"/>
      <c r="O6" s="1193"/>
      <c r="P6" s="666">
        <v>2012</v>
      </c>
      <c r="Q6" s="666">
        <v>2013</v>
      </c>
      <c r="R6" s="666">
        <v>2014</v>
      </c>
      <c r="S6" s="666">
        <v>2015</v>
      </c>
      <c r="T6" s="666">
        <v>2016</v>
      </c>
      <c r="U6" s="666">
        <v>2017</v>
      </c>
      <c r="V6" s="666">
        <v>2018</v>
      </c>
      <c r="W6" s="669">
        <v>2018</v>
      </c>
      <c r="X6" s="1194"/>
      <c r="Y6" s="1194"/>
      <c r="Z6" s="1192"/>
    </row>
    <row r="7" spans="1:41" s="462" customFormat="1" ht="18" customHeight="1">
      <c r="B7" s="463">
        <v>1</v>
      </c>
      <c r="C7" s="1195">
        <v>2</v>
      </c>
      <c r="D7" s="1196"/>
      <c r="E7" s="1195">
        <v>3</v>
      </c>
      <c r="F7" s="1196"/>
      <c r="G7" s="94">
        <v>4</v>
      </c>
      <c r="H7" s="94">
        <v>5</v>
      </c>
      <c r="I7" s="94">
        <v>6</v>
      </c>
      <c r="J7" s="1197">
        <v>13</v>
      </c>
      <c r="K7" s="1197"/>
      <c r="L7" s="1197"/>
      <c r="M7" s="1196"/>
      <c r="N7" s="94">
        <v>2</v>
      </c>
      <c r="O7" s="94">
        <v>3</v>
      </c>
      <c r="P7" s="94">
        <v>4</v>
      </c>
      <c r="Q7" s="94">
        <v>5</v>
      </c>
      <c r="R7" s="94">
        <v>6</v>
      </c>
      <c r="S7" s="94">
        <v>7</v>
      </c>
      <c r="T7" s="94">
        <v>8</v>
      </c>
      <c r="U7" s="94">
        <v>9</v>
      </c>
      <c r="V7" s="94">
        <v>10</v>
      </c>
      <c r="W7" s="94">
        <v>11</v>
      </c>
      <c r="X7" s="94">
        <v>13</v>
      </c>
      <c r="Y7" s="94">
        <v>26</v>
      </c>
      <c r="Z7" s="94">
        <v>27</v>
      </c>
    </row>
    <row r="8" spans="1:41" s="121" customFormat="1" ht="141.75">
      <c r="A8" s="119"/>
      <c r="B8" s="37" t="s">
        <v>21</v>
      </c>
      <c r="C8" s="651">
        <v>1</v>
      </c>
      <c r="D8" s="651" t="s">
        <v>1097</v>
      </c>
      <c r="E8" s="651">
        <v>1</v>
      </c>
      <c r="F8" s="651" t="s">
        <v>1098</v>
      </c>
      <c r="G8" s="651" t="s">
        <v>1099</v>
      </c>
      <c r="H8" s="651" t="s">
        <v>1100</v>
      </c>
      <c r="I8" s="870" t="s">
        <v>4959</v>
      </c>
      <c r="J8" s="3"/>
      <c r="K8" s="3"/>
      <c r="L8" s="3"/>
      <c r="M8" s="3"/>
      <c r="N8" s="3"/>
      <c r="O8" s="31"/>
      <c r="P8" s="31"/>
      <c r="Q8" s="31"/>
      <c r="R8" s="31"/>
      <c r="S8" s="31"/>
      <c r="T8" s="31"/>
      <c r="U8" s="31"/>
      <c r="V8" s="31"/>
      <c r="W8" s="31"/>
      <c r="X8" s="3"/>
      <c r="Y8" s="3"/>
      <c r="Z8" s="3"/>
      <c r="AA8" s="120"/>
      <c r="AB8" s="120"/>
      <c r="AC8" s="120"/>
      <c r="AD8" s="120"/>
      <c r="AE8" s="120"/>
      <c r="AF8" s="120"/>
      <c r="AG8" s="120"/>
      <c r="AH8" s="120"/>
      <c r="AI8" s="120"/>
      <c r="AJ8" s="120"/>
      <c r="AK8" s="120"/>
      <c r="AL8" s="120"/>
      <c r="AM8" s="120"/>
      <c r="AN8" s="120"/>
      <c r="AO8" s="120"/>
    </row>
    <row r="9" spans="1:41" s="121" customFormat="1" ht="78.75">
      <c r="A9" s="119"/>
      <c r="B9" s="69"/>
      <c r="C9" s="652"/>
      <c r="D9" s="652"/>
      <c r="E9" s="652"/>
      <c r="F9" s="652"/>
      <c r="G9" s="652"/>
      <c r="H9" s="652"/>
      <c r="I9" s="652"/>
      <c r="J9" s="663">
        <v>1.01</v>
      </c>
      <c r="K9" s="651" t="s">
        <v>773</v>
      </c>
      <c r="L9" s="651">
        <v>15</v>
      </c>
      <c r="M9" s="651" t="s">
        <v>1101</v>
      </c>
      <c r="N9" s="3" t="s">
        <v>1102</v>
      </c>
      <c r="O9" s="31" t="s">
        <v>701</v>
      </c>
      <c r="P9" s="31" t="s">
        <v>1041</v>
      </c>
      <c r="Q9" s="31" t="s">
        <v>1041</v>
      </c>
      <c r="R9" s="31" t="s">
        <v>1041</v>
      </c>
      <c r="S9" s="31">
        <v>32.729999999999997</v>
      </c>
      <c r="T9" s="31">
        <v>61.78</v>
      </c>
      <c r="U9" s="31">
        <v>86.33</v>
      </c>
      <c r="V9" s="31">
        <v>100</v>
      </c>
      <c r="W9" s="31">
        <v>100</v>
      </c>
      <c r="X9" s="3" t="s">
        <v>1103</v>
      </c>
      <c r="Y9" s="3"/>
      <c r="Z9" s="3" t="s">
        <v>1104</v>
      </c>
      <c r="AA9" s="26"/>
      <c r="AB9" s="26"/>
      <c r="AC9" s="120"/>
      <c r="AD9" s="120"/>
      <c r="AE9" s="120"/>
      <c r="AF9" s="120"/>
      <c r="AG9" s="120"/>
      <c r="AH9" s="120"/>
      <c r="AI9" s="120"/>
      <c r="AJ9" s="120"/>
      <c r="AK9" s="120"/>
      <c r="AL9" s="120"/>
      <c r="AM9" s="120"/>
      <c r="AN9" s="120"/>
      <c r="AO9" s="120"/>
    </row>
    <row r="10" spans="1:41" s="121" customFormat="1" ht="173.25">
      <c r="A10" s="119"/>
      <c r="B10" s="69"/>
      <c r="C10" s="652"/>
      <c r="D10" s="652"/>
      <c r="E10" s="652"/>
      <c r="F10" s="652"/>
      <c r="G10" s="652"/>
      <c r="H10" s="652"/>
      <c r="I10" s="652"/>
      <c r="J10" s="653"/>
      <c r="K10" s="653"/>
      <c r="L10" s="653"/>
      <c r="M10" s="653"/>
      <c r="N10" s="3" t="s">
        <v>1105</v>
      </c>
      <c r="O10" s="31" t="s">
        <v>701</v>
      </c>
      <c r="P10" s="31" t="s">
        <v>1041</v>
      </c>
      <c r="Q10" s="31" t="s">
        <v>1041</v>
      </c>
      <c r="R10" s="31" t="s">
        <v>1041</v>
      </c>
      <c r="S10" s="31">
        <v>20</v>
      </c>
      <c r="T10" s="31">
        <v>30</v>
      </c>
      <c r="U10" s="31">
        <v>40</v>
      </c>
      <c r="V10" s="31">
        <v>50</v>
      </c>
      <c r="W10" s="31">
        <v>50</v>
      </c>
      <c r="X10" s="3" t="s">
        <v>1103</v>
      </c>
      <c r="Y10" s="3" t="s">
        <v>1106</v>
      </c>
      <c r="Z10" s="3"/>
      <c r="AA10" s="26"/>
      <c r="AB10" s="26"/>
      <c r="AC10" s="120"/>
      <c r="AD10" s="120"/>
      <c r="AE10" s="120"/>
      <c r="AF10" s="120"/>
      <c r="AG10" s="120"/>
      <c r="AH10" s="120"/>
      <c r="AI10" s="120"/>
      <c r="AJ10" s="120"/>
      <c r="AK10" s="120"/>
      <c r="AL10" s="120"/>
      <c r="AM10" s="120"/>
      <c r="AN10" s="120"/>
      <c r="AO10" s="120"/>
    </row>
    <row r="11" spans="1:41" s="121" customFormat="1" ht="63">
      <c r="A11" s="119"/>
      <c r="B11" s="69"/>
      <c r="C11" s="652"/>
      <c r="D11" s="652"/>
      <c r="E11" s="652"/>
      <c r="F11" s="652"/>
      <c r="G11" s="652"/>
      <c r="H11" s="652"/>
      <c r="I11" s="652"/>
      <c r="J11" s="95">
        <v>1.01</v>
      </c>
      <c r="K11" s="3" t="s">
        <v>773</v>
      </c>
      <c r="L11" s="3">
        <v>20</v>
      </c>
      <c r="M11" s="3" t="s">
        <v>1107</v>
      </c>
      <c r="N11" s="3" t="s">
        <v>1108</v>
      </c>
      <c r="O11" s="31" t="s">
        <v>701</v>
      </c>
      <c r="P11" s="31" t="s">
        <v>1041</v>
      </c>
      <c r="Q11" s="31" t="s">
        <v>1041</v>
      </c>
      <c r="R11" s="31">
        <v>100</v>
      </c>
      <c r="S11" s="31">
        <v>100</v>
      </c>
      <c r="T11" s="31">
        <v>100</v>
      </c>
      <c r="U11" s="31">
        <v>100</v>
      </c>
      <c r="V11" s="31">
        <v>100</v>
      </c>
      <c r="W11" s="31">
        <v>100</v>
      </c>
      <c r="X11" s="3" t="s">
        <v>1103</v>
      </c>
      <c r="Y11" s="3" t="s">
        <v>1109</v>
      </c>
      <c r="Z11" s="3" t="s">
        <v>1110</v>
      </c>
      <c r="AA11" s="26"/>
      <c r="AB11" s="26"/>
      <c r="AC11" s="120"/>
      <c r="AD11" s="120"/>
      <c r="AE11" s="120"/>
      <c r="AF11" s="120"/>
      <c r="AG11" s="120"/>
      <c r="AH11" s="120"/>
      <c r="AI11" s="120"/>
      <c r="AJ11" s="120"/>
      <c r="AK11" s="120"/>
      <c r="AL11" s="120"/>
      <c r="AM11" s="120"/>
      <c r="AN11" s="120"/>
      <c r="AO11" s="120"/>
    </row>
    <row r="12" spans="1:41" s="121" customFormat="1" ht="78.75">
      <c r="A12" s="119"/>
      <c r="B12" s="69"/>
      <c r="C12" s="653"/>
      <c r="D12" s="653"/>
      <c r="E12" s="653"/>
      <c r="F12" s="653"/>
      <c r="G12" s="653"/>
      <c r="H12" s="653"/>
      <c r="I12" s="653"/>
      <c r="J12" s="663">
        <v>1.01</v>
      </c>
      <c r="K12" s="3" t="s">
        <v>773</v>
      </c>
      <c r="L12" s="3">
        <v>22</v>
      </c>
      <c r="M12" s="11" t="s">
        <v>1111</v>
      </c>
      <c r="N12" s="3" t="s">
        <v>1112</v>
      </c>
      <c r="O12" s="31" t="s">
        <v>701</v>
      </c>
      <c r="P12" s="31" t="s">
        <v>1041</v>
      </c>
      <c r="Q12" s="31" t="s">
        <v>1041</v>
      </c>
      <c r="R12" s="31">
        <v>0</v>
      </c>
      <c r="S12" s="31">
        <v>0</v>
      </c>
      <c r="T12" s="31">
        <v>0</v>
      </c>
      <c r="U12" s="31">
        <v>0</v>
      </c>
      <c r="V12" s="31">
        <v>0</v>
      </c>
      <c r="W12" s="31">
        <v>0</v>
      </c>
      <c r="X12" s="3" t="s">
        <v>1103</v>
      </c>
      <c r="Y12" s="3" t="s">
        <v>1113</v>
      </c>
      <c r="Z12" s="3" t="s">
        <v>1114</v>
      </c>
      <c r="AA12" s="26"/>
      <c r="AB12" s="26"/>
      <c r="AC12" s="120"/>
      <c r="AD12" s="120"/>
      <c r="AE12" s="120"/>
      <c r="AF12" s="120"/>
      <c r="AG12" s="120"/>
      <c r="AH12" s="120"/>
      <c r="AI12" s="120"/>
      <c r="AJ12" s="120"/>
      <c r="AK12" s="120"/>
      <c r="AL12" s="120"/>
      <c r="AM12" s="120"/>
      <c r="AN12" s="120"/>
      <c r="AO12" s="120"/>
    </row>
    <row r="13" spans="1:41" s="124" customFormat="1" ht="78.75">
      <c r="A13" s="119"/>
      <c r="B13" s="69"/>
      <c r="C13" s="651">
        <v>2</v>
      </c>
      <c r="D13" s="651" t="s">
        <v>1115</v>
      </c>
      <c r="E13" s="651">
        <v>2</v>
      </c>
      <c r="F13" s="651" t="s">
        <v>1116</v>
      </c>
      <c r="G13" s="651" t="s">
        <v>1117</v>
      </c>
      <c r="H13" s="1083" t="s">
        <v>5054</v>
      </c>
      <c r="I13" s="870" t="s">
        <v>4960</v>
      </c>
      <c r="J13" s="3"/>
      <c r="K13" s="3"/>
      <c r="L13" s="3"/>
      <c r="M13" s="3"/>
      <c r="N13" s="3"/>
      <c r="O13" s="31"/>
      <c r="P13" s="31"/>
      <c r="Q13" s="31"/>
      <c r="R13" s="31"/>
      <c r="S13" s="31"/>
      <c r="T13" s="31"/>
      <c r="U13" s="31"/>
      <c r="V13" s="31"/>
      <c r="W13" s="31"/>
      <c r="X13" s="3"/>
      <c r="Y13" s="3"/>
      <c r="Z13" s="3"/>
      <c r="AA13" s="120"/>
      <c r="AB13" s="120"/>
      <c r="AC13" s="120"/>
      <c r="AD13" s="120"/>
      <c r="AE13" s="120"/>
      <c r="AF13" s="120"/>
      <c r="AG13" s="120"/>
      <c r="AH13" s="120"/>
      <c r="AI13" s="120"/>
      <c r="AJ13" s="120"/>
      <c r="AK13" s="120"/>
      <c r="AL13" s="120"/>
      <c r="AM13" s="120"/>
      <c r="AN13" s="120"/>
      <c r="AO13" s="120"/>
    </row>
    <row r="14" spans="1:41" s="124" customFormat="1" ht="78.75">
      <c r="A14" s="119"/>
      <c r="B14" s="69"/>
      <c r="C14" s="652"/>
      <c r="D14" s="652"/>
      <c r="E14" s="652"/>
      <c r="F14" s="652"/>
      <c r="G14" s="652"/>
      <c r="H14" s="652"/>
      <c r="I14" s="652"/>
      <c r="J14" s="663">
        <v>1.01</v>
      </c>
      <c r="K14" s="651" t="s">
        <v>773</v>
      </c>
      <c r="L14" s="651">
        <v>15</v>
      </c>
      <c r="M14" s="651" t="s">
        <v>160</v>
      </c>
      <c r="N14" s="3" t="s">
        <v>1118</v>
      </c>
      <c r="O14" s="31" t="s">
        <v>701</v>
      </c>
      <c r="P14" s="499">
        <v>62.54</v>
      </c>
      <c r="Q14" s="499">
        <v>66.13</v>
      </c>
      <c r="R14" s="499">
        <v>67.13</v>
      </c>
      <c r="S14" s="499">
        <v>67.63</v>
      </c>
      <c r="T14" s="499">
        <v>68.13</v>
      </c>
      <c r="U14" s="499">
        <v>68.63</v>
      </c>
      <c r="V14" s="499">
        <v>69.13</v>
      </c>
      <c r="W14" s="499">
        <v>69.13</v>
      </c>
      <c r="X14" s="3" t="s">
        <v>1119</v>
      </c>
      <c r="Y14" s="3" t="s">
        <v>1120</v>
      </c>
      <c r="Z14" s="3"/>
      <c r="AA14" s="26"/>
      <c r="AB14" s="26"/>
      <c r="AC14" s="120"/>
      <c r="AD14" s="120"/>
      <c r="AE14" s="120"/>
      <c r="AF14" s="120"/>
      <c r="AG14" s="120"/>
      <c r="AH14" s="120"/>
      <c r="AI14" s="120"/>
      <c r="AJ14" s="120"/>
      <c r="AK14" s="120"/>
      <c r="AL14" s="120"/>
      <c r="AM14" s="120"/>
      <c r="AN14" s="120"/>
      <c r="AO14" s="120"/>
    </row>
    <row r="15" spans="1:41" s="124" customFormat="1" ht="94.5">
      <c r="A15" s="119"/>
      <c r="B15" s="69"/>
      <c r="C15" s="652"/>
      <c r="D15" s="652"/>
      <c r="E15" s="652"/>
      <c r="F15" s="652"/>
      <c r="G15" s="652"/>
      <c r="H15" s="652"/>
      <c r="I15" s="652"/>
      <c r="J15" s="652"/>
      <c r="K15" s="652"/>
      <c r="L15" s="652"/>
      <c r="M15" s="652"/>
      <c r="N15" s="3" t="s">
        <v>1121</v>
      </c>
      <c r="O15" s="31" t="s">
        <v>701</v>
      </c>
      <c r="P15" s="499">
        <v>32.32</v>
      </c>
      <c r="Q15" s="499">
        <v>32.36</v>
      </c>
      <c r="R15" s="499">
        <v>32.4</v>
      </c>
      <c r="S15" s="499">
        <v>32.44</v>
      </c>
      <c r="T15" s="499">
        <v>32.479999999999997</v>
      </c>
      <c r="U15" s="499">
        <v>32.520000000000003</v>
      </c>
      <c r="V15" s="499">
        <v>32.56</v>
      </c>
      <c r="W15" s="499">
        <v>32.56</v>
      </c>
      <c r="X15" s="3" t="s">
        <v>1119</v>
      </c>
      <c r="Y15" s="3" t="s">
        <v>1122</v>
      </c>
      <c r="Z15" s="3"/>
      <c r="AA15" s="26"/>
      <c r="AB15" s="26"/>
      <c r="AC15" s="120"/>
      <c r="AD15" s="120"/>
      <c r="AE15" s="120"/>
      <c r="AF15" s="120"/>
      <c r="AG15" s="120"/>
      <c r="AH15" s="120"/>
      <c r="AI15" s="120"/>
      <c r="AJ15" s="120"/>
      <c r="AK15" s="120"/>
      <c r="AL15" s="120"/>
      <c r="AM15" s="120"/>
      <c r="AN15" s="120"/>
      <c r="AO15" s="120"/>
    </row>
    <row r="16" spans="1:41" s="124" customFormat="1" ht="126">
      <c r="A16" s="119"/>
      <c r="B16" s="69"/>
      <c r="C16" s="652"/>
      <c r="D16" s="652"/>
      <c r="E16" s="652"/>
      <c r="F16" s="652"/>
      <c r="G16" s="652"/>
      <c r="H16" s="652"/>
      <c r="I16" s="652"/>
      <c r="J16" s="652"/>
      <c r="K16" s="652"/>
      <c r="L16" s="652"/>
      <c r="M16" s="652"/>
      <c r="N16" s="3" t="s">
        <v>1123</v>
      </c>
      <c r="O16" s="31" t="s">
        <v>701</v>
      </c>
      <c r="P16" s="499">
        <f>9806/20172*100</f>
        <v>48.611937338885589</v>
      </c>
      <c r="Q16" s="499">
        <v>48.61</v>
      </c>
      <c r="R16" s="499">
        <v>48.64</v>
      </c>
      <c r="S16" s="499">
        <v>48.67</v>
      </c>
      <c r="T16" s="499">
        <v>48.7</v>
      </c>
      <c r="U16" s="499">
        <v>48.73</v>
      </c>
      <c r="V16" s="499">
        <v>48.76</v>
      </c>
      <c r="W16" s="499">
        <v>48.76</v>
      </c>
      <c r="X16" s="3" t="s">
        <v>1119</v>
      </c>
      <c r="Y16" s="3" t="s">
        <v>1124</v>
      </c>
      <c r="Z16" s="3"/>
      <c r="AA16" s="26"/>
      <c r="AB16" s="26"/>
      <c r="AC16" s="120"/>
      <c r="AD16" s="120"/>
      <c r="AE16" s="120"/>
      <c r="AF16" s="120"/>
      <c r="AG16" s="120"/>
      <c r="AH16" s="120"/>
      <c r="AI16" s="120"/>
      <c r="AJ16" s="120"/>
      <c r="AK16" s="120"/>
      <c r="AL16" s="120"/>
      <c r="AM16" s="120"/>
      <c r="AN16" s="120"/>
      <c r="AO16" s="120"/>
    </row>
    <row r="17" spans="1:41" s="124" customFormat="1" ht="157.5">
      <c r="A17" s="119"/>
      <c r="B17" s="69"/>
      <c r="C17" s="652"/>
      <c r="D17" s="652"/>
      <c r="E17" s="652"/>
      <c r="F17" s="652"/>
      <c r="G17" s="652"/>
      <c r="H17" s="652"/>
      <c r="I17" s="652"/>
      <c r="J17" s="652"/>
      <c r="K17" s="652"/>
      <c r="L17" s="652"/>
      <c r="M17" s="652"/>
      <c r="N17" s="3" t="s">
        <v>1125</v>
      </c>
      <c r="O17" s="31" t="s">
        <v>701</v>
      </c>
      <c r="P17" s="499">
        <f>13609/27733*100</f>
        <v>49.071503263260375</v>
      </c>
      <c r="Q17" s="499">
        <v>49.07</v>
      </c>
      <c r="R17" s="499">
        <v>49.09</v>
      </c>
      <c r="S17" s="499">
        <v>49.110999999999997</v>
      </c>
      <c r="T17" s="499">
        <v>49.13</v>
      </c>
      <c r="U17" s="499">
        <v>49.15</v>
      </c>
      <c r="V17" s="499">
        <v>49.17</v>
      </c>
      <c r="W17" s="499">
        <v>49.17</v>
      </c>
      <c r="X17" s="3" t="s">
        <v>1119</v>
      </c>
      <c r="Y17" s="3" t="s">
        <v>1126</v>
      </c>
      <c r="Z17" s="3"/>
      <c r="AA17" s="26"/>
      <c r="AB17" s="26"/>
      <c r="AC17" s="120"/>
      <c r="AD17" s="120"/>
      <c r="AE17" s="120"/>
      <c r="AF17" s="120"/>
      <c r="AG17" s="120"/>
      <c r="AH17" s="120"/>
      <c r="AI17" s="120"/>
      <c r="AJ17" s="120"/>
      <c r="AK17" s="120"/>
      <c r="AL17" s="120"/>
      <c r="AM17" s="120"/>
      <c r="AN17" s="120"/>
      <c r="AO17" s="120"/>
    </row>
    <row r="18" spans="1:41" s="124" customFormat="1" ht="78.75">
      <c r="A18" s="119"/>
      <c r="B18" s="69"/>
      <c r="C18" s="652"/>
      <c r="D18" s="652"/>
      <c r="E18" s="653"/>
      <c r="F18" s="653"/>
      <c r="G18" s="653"/>
      <c r="H18" s="653"/>
      <c r="I18" s="653"/>
      <c r="J18" s="653"/>
      <c r="K18" s="653"/>
      <c r="L18" s="653"/>
      <c r="M18" s="653"/>
      <c r="N18" s="3" t="s">
        <v>1127</v>
      </c>
      <c r="O18" s="31" t="s">
        <v>921</v>
      </c>
      <c r="P18" s="435">
        <v>21</v>
      </c>
      <c r="Q18" s="435">
        <v>21</v>
      </c>
      <c r="R18" s="435">
        <v>21</v>
      </c>
      <c r="S18" s="435">
        <v>21</v>
      </c>
      <c r="T18" s="435">
        <v>21</v>
      </c>
      <c r="U18" s="435">
        <v>21</v>
      </c>
      <c r="V18" s="435">
        <v>21</v>
      </c>
      <c r="W18" s="435">
        <v>21</v>
      </c>
      <c r="X18" s="3" t="s">
        <v>1119</v>
      </c>
      <c r="Y18" s="3" t="s">
        <v>1129</v>
      </c>
      <c r="Z18" s="3" t="s">
        <v>4336</v>
      </c>
      <c r="AA18" s="26"/>
      <c r="AB18" s="26"/>
      <c r="AC18" s="120"/>
      <c r="AD18" s="120"/>
      <c r="AE18" s="120"/>
      <c r="AF18" s="120"/>
      <c r="AG18" s="120"/>
      <c r="AH18" s="120"/>
      <c r="AI18" s="120"/>
      <c r="AJ18" s="120"/>
      <c r="AK18" s="120"/>
      <c r="AL18" s="120"/>
      <c r="AM18" s="120"/>
      <c r="AN18" s="120"/>
      <c r="AO18" s="120"/>
    </row>
    <row r="19" spans="1:41" s="124" customFormat="1" ht="78.75">
      <c r="A19" s="119"/>
      <c r="B19" s="69"/>
      <c r="C19" s="652"/>
      <c r="D19" s="652"/>
      <c r="E19" s="651">
        <v>3</v>
      </c>
      <c r="F19" s="651" t="s">
        <v>1130</v>
      </c>
      <c r="G19" s="651" t="s">
        <v>1131</v>
      </c>
      <c r="H19" s="651"/>
      <c r="I19" s="870" t="s">
        <v>4961</v>
      </c>
      <c r="J19" s="3"/>
      <c r="K19" s="3"/>
      <c r="L19" s="3"/>
      <c r="M19" s="3"/>
      <c r="N19" s="3"/>
      <c r="O19" s="31"/>
      <c r="P19" s="499"/>
      <c r="Q19" s="499"/>
      <c r="R19" s="499"/>
      <c r="S19" s="499"/>
      <c r="T19" s="499"/>
      <c r="U19" s="499"/>
      <c r="V19" s="499"/>
      <c r="W19" s="499"/>
      <c r="X19" s="3"/>
      <c r="Y19" s="3"/>
      <c r="Z19" s="3"/>
      <c r="AA19" s="120"/>
      <c r="AB19" s="120"/>
      <c r="AC19" s="120"/>
      <c r="AD19" s="120"/>
      <c r="AE19" s="120"/>
      <c r="AF19" s="120"/>
      <c r="AG19" s="120"/>
      <c r="AH19" s="120"/>
      <c r="AI19" s="120"/>
      <c r="AJ19" s="120"/>
      <c r="AK19" s="120"/>
      <c r="AL19" s="120"/>
      <c r="AM19" s="120"/>
      <c r="AN19" s="120"/>
      <c r="AO19" s="120"/>
    </row>
    <row r="20" spans="1:41" s="124" customFormat="1" ht="63">
      <c r="A20" s="119"/>
      <c r="B20" s="69"/>
      <c r="C20" s="652"/>
      <c r="D20" s="652"/>
      <c r="E20" s="652"/>
      <c r="F20" s="652"/>
      <c r="G20" s="652"/>
      <c r="H20" s="652"/>
      <c r="I20" s="652"/>
      <c r="J20" s="663">
        <v>1.01</v>
      </c>
      <c r="K20" s="651" t="s">
        <v>773</v>
      </c>
      <c r="L20" s="651">
        <v>16</v>
      </c>
      <c r="M20" s="29" t="s">
        <v>1132</v>
      </c>
      <c r="N20" s="3" t="s">
        <v>2001</v>
      </c>
      <c r="O20" s="31" t="s">
        <v>701</v>
      </c>
      <c r="P20" s="499">
        <v>103.5</v>
      </c>
      <c r="Q20" s="499">
        <v>103.55</v>
      </c>
      <c r="R20" s="499">
        <v>103.58</v>
      </c>
      <c r="S20" s="499">
        <v>103.61</v>
      </c>
      <c r="T20" s="499">
        <v>103.64</v>
      </c>
      <c r="U20" s="499">
        <v>103.67</v>
      </c>
      <c r="V20" s="499">
        <v>103.7</v>
      </c>
      <c r="W20" s="499">
        <v>103.7</v>
      </c>
      <c r="X20" s="3" t="s">
        <v>1103</v>
      </c>
      <c r="Y20" s="3" t="s">
        <v>1133</v>
      </c>
      <c r="Z20" s="3"/>
      <c r="AA20" s="26"/>
      <c r="AB20" s="26"/>
      <c r="AC20" s="120"/>
      <c r="AD20" s="120"/>
      <c r="AE20" s="120"/>
      <c r="AF20" s="120"/>
      <c r="AG20" s="120"/>
      <c r="AH20" s="120"/>
      <c r="AI20" s="120"/>
      <c r="AJ20" s="120"/>
      <c r="AK20" s="120"/>
      <c r="AL20" s="120"/>
      <c r="AM20" s="120"/>
      <c r="AN20" s="120"/>
      <c r="AO20" s="120"/>
    </row>
    <row r="21" spans="1:41" s="124" customFormat="1" ht="78.75">
      <c r="A21" s="119"/>
      <c r="B21" s="69"/>
      <c r="C21" s="652"/>
      <c r="D21" s="652"/>
      <c r="E21" s="652"/>
      <c r="F21" s="652"/>
      <c r="G21" s="652"/>
      <c r="H21" s="652"/>
      <c r="I21" s="652"/>
      <c r="J21" s="652"/>
      <c r="K21" s="652"/>
      <c r="L21" s="652"/>
      <c r="M21" s="652"/>
      <c r="N21" s="3" t="s">
        <v>2002</v>
      </c>
      <c r="O21" s="31" t="s">
        <v>701</v>
      </c>
      <c r="P21" s="499">
        <v>95.4</v>
      </c>
      <c r="Q21" s="499">
        <v>95.42</v>
      </c>
      <c r="R21" s="499">
        <v>95.45</v>
      </c>
      <c r="S21" s="499">
        <v>95.48</v>
      </c>
      <c r="T21" s="499">
        <v>95.51</v>
      </c>
      <c r="U21" s="499">
        <v>95.54</v>
      </c>
      <c r="V21" s="499">
        <v>95.57</v>
      </c>
      <c r="W21" s="499">
        <v>95.57</v>
      </c>
      <c r="X21" s="3" t="s">
        <v>1103</v>
      </c>
      <c r="Y21" s="3" t="s">
        <v>1134</v>
      </c>
      <c r="Z21" s="3"/>
      <c r="AA21" s="26"/>
      <c r="AB21" s="26"/>
      <c r="AC21" s="120"/>
      <c r="AD21" s="120"/>
      <c r="AE21" s="120"/>
      <c r="AF21" s="120"/>
      <c r="AG21" s="120"/>
      <c r="AH21" s="120"/>
      <c r="AI21" s="120"/>
      <c r="AJ21" s="120"/>
      <c r="AK21" s="120"/>
      <c r="AL21" s="120"/>
      <c r="AM21" s="120"/>
      <c r="AN21" s="120"/>
      <c r="AO21" s="120"/>
    </row>
    <row r="22" spans="1:41" s="124" customFormat="1" ht="63">
      <c r="A22" s="119"/>
      <c r="B22" s="69"/>
      <c r="C22" s="652"/>
      <c r="D22" s="652"/>
      <c r="E22" s="652"/>
      <c r="F22" s="652"/>
      <c r="G22" s="652"/>
      <c r="H22" s="652"/>
      <c r="I22" s="652"/>
      <c r="J22" s="652"/>
      <c r="K22" s="652"/>
      <c r="L22" s="652"/>
      <c r="M22" s="652"/>
      <c r="N22" s="3" t="s">
        <v>2003</v>
      </c>
      <c r="O22" s="31" t="s">
        <v>701</v>
      </c>
      <c r="P22" s="499">
        <v>96</v>
      </c>
      <c r="Q22" s="499">
        <v>96.03</v>
      </c>
      <c r="R22" s="499">
        <v>96.06</v>
      </c>
      <c r="S22" s="499">
        <v>96.09</v>
      </c>
      <c r="T22" s="499">
        <v>96.12</v>
      </c>
      <c r="U22" s="499">
        <v>96.15</v>
      </c>
      <c r="V22" s="499">
        <v>96.15</v>
      </c>
      <c r="W22" s="499">
        <v>96.15</v>
      </c>
      <c r="X22" s="3" t="s">
        <v>1103</v>
      </c>
      <c r="Y22" s="3" t="s">
        <v>1135</v>
      </c>
      <c r="Z22" s="3"/>
      <c r="AA22" s="26"/>
      <c r="AB22" s="26"/>
      <c r="AC22" s="120"/>
      <c r="AD22" s="120"/>
      <c r="AE22" s="120"/>
      <c r="AF22" s="120"/>
      <c r="AG22" s="120"/>
      <c r="AH22" s="120"/>
      <c r="AI22" s="120"/>
      <c r="AJ22" s="120"/>
      <c r="AK22" s="120"/>
      <c r="AL22" s="120"/>
      <c r="AM22" s="120"/>
      <c r="AN22" s="120"/>
      <c r="AO22" s="120"/>
    </row>
    <row r="23" spans="1:41" s="124" customFormat="1" ht="78.75">
      <c r="A23" s="119"/>
      <c r="B23" s="69"/>
      <c r="C23" s="652"/>
      <c r="D23" s="652"/>
      <c r="E23" s="652"/>
      <c r="F23" s="652"/>
      <c r="G23" s="652"/>
      <c r="H23" s="652"/>
      <c r="I23" s="652"/>
      <c r="J23" s="652"/>
      <c r="K23" s="652"/>
      <c r="L23" s="652"/>
      <c r="M23" s="652"/>
      <c r="N23" s="3" t="s">
        <v>2004</v>
      </c>
      <c r="O23" s="31" t="s">
        <v>701</v>
      </c>
      <c r="P23" s="499">
        <v>83.63</v>
      </c>
      <c r="Q23" s="499">
        <v>83.66</v>
      </c>
      <c r="R23" s="499">
        <v>83.69</v>
      </c>
      <c r="S23" s="499">
        <v>83.72</v>
      </c>
      <c r="T23" s="499">
        <v>83.75</v>
      </c>
      <c r="U23" s="499">
        <v>83.78</v>
      </c>
      <c r="V23" s="499">
        <v>83.81</v>
      </c>
      <c r="W23" s="499">
        <v>83.81</v>
      </c>
      <c r="X23" s="3" t="s">
        <v>1103</v>
      </c>
      <c r="Y23" s="3" t="s">
        <v>1136</v>
      </c>
      <c r="Z23" s="3"/>
      <c r="AA23" s="26"/>
      <c r="AB23" s="26"/>
      <c r="AC23" s="120"/>
      <c r="AD23" s="120"/>
      <c r="AE23" s="120"/>
      <c r="AF23" s="120"/>
      <c r="AG23" s="120"/>
      <c r="AH23" s="120"/>
      <c r="AI23" s="120"/>
      <c r="AJ23" s="120"/>
      <c r="AK23" s="120"/>
      <c r="AL23" s="120"/>
      <c r="AM23" s="120"/>
      <c r="AN23" s="120"/>
      <c r="AO23" s="120"/>
    </row>
    <row r="24" spans="1:41" s="124" customFormat="1" ht="78.75">
      <c r="A24" s="119"/>
      <c r="B24" s="69"/>
      <c r="C24" s="652"/>
      <c r="D24" s="652"/>
      <c r="E24" s="652"/>
      <c r="F24" s="652"/>
      <c r="G24" s="652"/>
      <c r="H24" s="652"/>
      <c r="I24" s="652"/>
      <c r="J24" s="652"/>
      <c r="K24" s="652"/>
      <c r="L24" s="652"/>
      <c r="M24" s="652"/>
      <c r="N24" s="3" t="s">
        <v>1137</v>
      </c>
      <c r="O24" s="31" t="s">
        <v>701</v>
      </c>
      <c r="P24" s="499">
        <v>95.34094966083542</v>
      </c>
      <c r="Q24" s="499">
        <v>95.37</v>
      </c>
      <c r="R24" s="499">
        <v>100</v>
      </c>
      <c r="S24" s="499">
        <v>100</v>
      </c>
      <c r="T24" s="499">
        <v>100</v>
      </c>
      <c r="U24" s="499">
        <v>100</v>
      </c>
      <c r="V24" s="499">
        <v>100</v>
      </c>
      <c r="W24" s="499">
        <v>100</v>
      </c>
      <c r="X24" s="3" t="s">
        <v>1103</v>
      </c>
      <c r="Y24" s="3" t="s">
        <v>1138</v>
      </c>
      <c r="Z24" s="3"/>
      <c r="AA24" s="26"/>
      <c r="AB24" s="26"/>
      <c r="AC24" s="120"/>
      <c r="AD24" s="120"/>
      <c r="AE24" s="120"/>
      <c r="AF24" s="120"/>
      <c r="AG24" s="120"/>
      <c r="AH24" s="120"/>
      <c r="AI24" s="120"/>
      <c r="AJ24" s="120"/>
      <c r="AK24" s="120"/>
      <c r="AL24" s="120"/>
      <c r="AM24" s="120"/>
      <c r="AN24" s="120"/>
      <c r="AO24" s="120"/>
    </row>
    <row r="25" spans="1:41" s="124" customFormat="1" ht="110.25">
      <c r="A25" s="119"/>
      <c r="B25" s="69"/>
      <c r="C25" s="652"/>
      <c r="D25" s="652"/>
      <c r="E25" s="652"/>
      <c r="F25" s="652"/>
      <c r="G25" s="652"/>
      <c r="H25" s="652"/>
      <c r="I25" s="652"/>
      <c r="J25" s="652"/>
      <c r="K25" s="652"/>
      <c r="L25" s="652"/>
      <c r="M25" s="652"/>
      <c r="N25" s="3" t="s">
        <v>2005</v>
      </c>
      <c r="O25" s="31" t="s">
        <v>701</v>
      </c>
      <c r="P25" s="499">
        <f>52621/108286*100</f>
        <v>48.594462811443769</v>
      </c>
      <c r="Q25" s="499">
        <v>48.59</v>
      </c>
      <c r="R25" s="499">
        <v>48.61</v>
      </c>
      <c r="S25" s="499">
        <v>48.63</v>
      </c>
      <c r="T25" s="499">
        <v>48.65</v>
      </c>
      <c r="U25" s="499">
        <v>48.67</v>
      </c>
      <c r="V25" s="499">
        <v>48.69</v>
      </c>
      <c r="W25" s="499">
        <v>48.69</v>
      </c>
      <c r="X25" s="3" t="s">
        <v>1103</v>
      </c>
      <c r="Y25" s="3" t="s">
        <v>1139</v>
      </c>
      <c r="Z25" s="3"/>
      <c r="AA25" s="26"/>
      <c r="AB25" s="26"/>
      <c r="AC25" s="120"/>
      <c r="AD25" s="120"/>
      <c r="AE25" s="120"/>
      <c r="AF25" s="120"/>
      <c r="AG25" s="120"/>
      <c r="AH25" s="120"/>
      <c r="AI25" s="120"/>
      <c r="AJ25" s="120"/>
      <c r="AK25" s="120"/>
      <c r="AL25" s="120"/>
      <c r="AM25" s="120"/>
      <c r="AN25" s="120"/>
      <c r="AO25" s="120"/>
    </row>
    <row r="26" spans="1:41" s="124" customFormat="1" ht="47.25">
      <c r="A26" s="119"/>
      <c r="B26" s="69"/>
      <c r="C26" s="652"/>
      <c r="D26" s="652"/>
      <c r="E26" s="652"/>
      <c r="F26" s="652"/>
      <c r="G26" s="652"/>
      <c r="H26" s="652"/>
      <c r="I26" s="652"/>
      <c r="J26" s="652"/>
      <c r="K26" s="652"/>
      <c r="L26" s="652"/>
      <c r="M26" s="652"/>
      <c r="N26" s="3" t="s">
        <v>1140</v>
      </c>
      <c r="O26" s="31" t="s">
        <v>1141</v>
      </c>
      <c r="P26" s="499">
        <v>21.06</v>
      </c>
      <c r="Q26" s="499">
        <v>21.06</v>
      </c>
      <c r="R26" s="499">
        <v>21.8</v>
      </c>
      <c r="S26" s="499">
        <v>21.1</v>
      </c>
      <c r="T26" s="499">
        <v>21.12</v>
      </c>
      <c r="U26" s="499">
        <v>21.14</v>
      </c>
      <c r="V26" s="499">
        <v>21.16</v>
      </c>
      <c r="W26" s="499">
        <v>21.16</v>
      </c>
      <c r="X26" s="3" t="s">
        <v>1103</v>
      </c>
      <c r="Y26" s="3" t="s">
        <v>1142</v>
      </c>
      <c r="Z26" s="3"/>
      <c r="AA26" s="26"/>
      <c r="AB26" s="26"/>
      <c r="AC26" s="120"/>
      <c r="AD26" s="120"/>
      <c r="AE26" s="120"/>
      <c r="AF26" s="120"/>
      <c r="AG26" s="120"/>
      <c r="AH26" s="120"/>
      <c r="AI26" s="120"/>
      <c r="AJ26" s="120"/>
      <c r="AK26" s="120"/>
      <c r="AL26" s="120"/>
      <c r="AM26" s="120"/>
      <c r="AN26" s="120"/>
      <c r="AO26" s="120"/>
    </row>
    <row r="27" spans="1:41" s="124" customFormat="1" ht="47.25">
      <c r="A27" s="119"/>
      <c r="B27" s="69"/>
      <c r="C27" s="652"/>
      <c r="D27" s="652"/>
      <c r="E27" s="652"/>
      <c r="F27" s="652"/>
      <c r="G27" s="652"/>
      <c r="H27" s="652"/>
      <c r="I27" s="652"/>
      <c r="J27" s="652"/>
      <c r="K27" s="652"/>
      <c r="L27" s="652"/>
      <c r="M27" s="652"/>
      <c r="N27" s="3" t="s">
        <v>1143</v>
      </c>
      <c r="O27" s="31" t="s">
        <v>1141</v>
      </c>
      <c r="P27" s="499">
        <v>31.9</v>
      </c>
      <c r="Q27" s="499">
        <v>31.9</v>
      </c>
      <c r="R27" s="499">
        <v>31.92</v>
      </c>
      <c r="S27" s="499">
        <v>31.94</v>
      </c>
      <c r="T27" s="499">
        <v>31.96</v>
      </c>
      <c r="U27" s="499">
        <v>31.98</v>
      </c>
      <c r="V27" s="499">
        <v>32</v>
      </c>
      <c r="W27" s="499">
        <v>32</v>
      </c>
      <c r="X27" s="3" t="s">
        <v>1103</v>
      </c>
      <c r="Y27" s="3" t="s">
        <v>1144</v>
      </c>
      <c r="Z27" s="3"/>
      <c r="AA27" s="26"/>
      <c r="AB27" s="26"/>
      <c r="AC27" s="120"/>
      <c r="AD27" s="120"/>
      <c r="AE27" s="120"/>
      <c r="AF27" s="120"/>
      <c r="AG27" s="120"/>
      <c r="AH27" s="120"/>
      <c r="AI27" s="120"/>
      <c r="AJ27" s="120"/>
      <c r="AK27" s="120"/>
      <c r="AL27" s="120"/>
      <c r="AM27" s="120"/>
      <c r="AN27" s="120"/>
      <c r="AO27" s="120"/>
    </row>
    <row r="28" spans="1:41" s="124" customFormat="1" ht="110.25">
      <c r="A28" s="119"/>
      <c r="B28" s="69"/>
      <c r="C28" s="652"/>
      <c r="D28" s="652"/>
      <c r="E28" s="652"/>
      <c r="F28" s="652"/>
      <c r="G28" s="652"/>
      <c r="H28" s="652"/>
      <c r="I28" s="652"/>
      <c r="J28" s="652"/>
      <c r="K28" s="652"/>
      <c r="L28" s="652"/>
      <c r="M28" s="652"/>
      <c r="N28" s="3" t="s">
        <v>1145</v>
      </c>
      <c r="O28" s="31" t="s">
        <v>701</v>
      </c>
      <c r="P28" s="499" t="s">
        <v>4278</v>
      </c>
      <c r="Q28" s="499" t="s">
        <v>4279</v>
      </c>
      <c r="R28" s="499" t="s">
        <v>4280</v>
      </c>
      <c r="S28" s="499" t="s">
        <v>4281</v>
      </c>
      <c r="T28" s="499" t="s">
        <v>4282</v>
      </c>
      <c r="U28" s="499" t="s">
        <v>4283</v>
      </c>
      <c r="V28" s="499" t="s">
        <v>4283</v>
      </c>
      <c r="W28" s="499" t="s">
        <v>4283</v>
      </c>
      <c r="X28" s="3" t="s">
        <v>1103</v>
      </c>
      <c r="Y28" s="3" t="s">
        <v>1146</v>
      </c>
      <c r="Z28" s="3"/>
      <c r="AA28" s="26"/>
      <c r="AB28" s="26"/>
      <c r="AC28" s="120"/>
      <c r="AD28" s="120"/>
      <c r="AE28" s="120"/>
      <c r="AF28" s="120"/>
      <c r="AG28" s="120"/>
      <c r="AH28" s="120"/>
      <c r="AI28" s="120"/>
      <c r="AJ28" s="120"/>
      <c r="AK28" s="120"/>
      <c r="AL28" s="120"/>
      <c r="AM28" s="120"/>
      <c r="AN28" s="120"/>
      <c r="AO28" s="120"/>
    </row>
    <row r="29" spans="1:41" s="124" customFormat="1" ht="94.5">
      <c r="A29" s="119"/>
      <c r="B29" s="69"/>
      <c r="C29" s="652"/>
      <c r="D29" s="652"/>
      <c r="E29" s="652"/>
      <c r="F29" s="652"/>
      <c r="G29" s="652"/>
      <c r="H29" s="652"/>
      <c r="I29" s="652"/>
      <c r="J29" s="652"/>
      <c r="K29" s="652"/>
      <c r="L29" s="652"/>
      <c r="M29" s="652"/>
      <c r="N29" s="3" t="s">
        <v>1147</v>
      </c>
      <c r="O29" s="31" t="s">
        <v>701</v>
      </c>
      <c r="P29" s="499">
        <v>99.37</v>
      </c>
      <c r="Q29" s="499">
        <v>99.37</v>
      </c>
      <c r="R29" s="499">
        <v>99.4</v>
      </c>
      <c r="S29" s="499">
        <v>99.43</v>
      </c>
      <c r="T29" s="499">
        <v>99.46</v>
      </c>
      <c r="U29" s="499">
        <v>99.49</v>
      </c>
      <c r="V29" s="499">
        <v>99.52</v>
      </c>
      <c r="W29" s="499">
        <v>99.52</v>
      </c>
      <c r="X29" s="3" t="s">
        <v>1103</v>
      </c>
      <c r="Y29" s="3" t="s">
        <v>1148</v>
      </c>
      <c r="Z29" s="3"/>
      <c r="AA29" s="26"/>
      <c r="AB29" s="26"/>
      <c r="AC29" s="120"/>
      <c r="AD29" s="120"/>
      <c r="AE29" s="120"/>
      <c r="AF29" s="120"/>
      <c r="AG29" s="120"/>
      <c r="AH29" s="120"/>
      <c r="AI29" s="120"/>
      <c r="AJ29" s="120"/>
      <c r="AK29" s="120"/>
      <c r="AL29" s="120"/>
      <c r="AM29" s="120"/>
      <c r="AN29" s="120"/>
      <c r="AO29" s="120"/>
    </row>
    <row r="30" spans="1:41" s="124" customFormat="1" ht="94.5">
      <c r="A30" s="119"/>
      <c r="B30" s="69"/>
      <c r="C30" s="652"/>
      <c r="D30" s="652"/>
      <c r="E30" s="652"/>
      <c r="F30" s="652"/>
      <c r="G30" s="652"/>
      <c r="H30" s="652"/>
      <c r="I30" s="652"/>
      <c r="J30" s="652"/>
      <c r="K30" s="652"/>
      <c r="L30" s="652"/>
      <c r="M30" s="652"/>
      <c r="N30" s="3" t="s">
        <v>1149</v>
      </c>
      <c r="O30" s="31" t="s">
        <v>701</v>
      </c>
      <c r="P30" s="499">
        <v>99.25</v>
      </c>
      <c r="Q30" s="499">
        <v>99.25</v>
      </c>
      <c r="R30" s="499">
        <v>99.28</v>
      </c>
      <c r="S30" s="499">
        <v>99.31</v>
      </c>
      <c r="T30" s="499">
        <v>99.34</v>
      </c>
      <c r="U30" s="499">
        <v>99.37</v>
      </c>
      <c r="V30" s="499">
        <v>99.4</v>
      </c>
      <c r="W30" s="499">
        <v>99.4</v>
      </c>
      <c r="X30" s="3" t="s">
        <v>1103</v>
      </c>
      <c r="Y30" s="3" t="s">
        <v>1150</v>
      </c>
      <c r="Z30" s="3"/>
      <c r="AA30" s="26"/>
      <c r="AB30" s="26"/>
      <c r="AC30" s="120"/>
      <c r="AD30" s="120"/>
      <c r="AE30" s="120"/>
      <c r="AF30" s="120"/>
      <c r="AG30" s="120"/>
      <c r="AH30" s="120"/>
      <c r="AI30" s="120"/>
      <c r="AJ30" s="120"/>
      <c r="AK30" s="120"/>
      <c r="AL30" s="120"/>
      <c r="AM30" s="120"/>
      <c r="AN30" s="120"/>
      <c r="AO30" s="120"/>
    </row>
    <row r="31" spans="1:41" s="124" customFormat="1" ht="110.25">
      <c r="A31" s="119"/>
      <c r="B31" s="69"/>
      <c r="C31" s="652"/>
      <c r="D31" s="652"/>
      <c r="E31" s="651">
        <v>4</v>
      </c>
      <c r="F31" s="651" t="s">
        <v>1151</v>
      </c>
      <c r="G31" s="651" t="s">
        <v>1152</v>
      </c>
      <c r="H31" s="651"/>
      <c r="I31" s="870" t="s">
        <v>4962</v>
      </c>
      <c r="J31" s="3"/>
      <c r="K31" s="3"/>
      <c r="L31" s="3"/>
      <c r="M31" s="3"/>
      <c r="N31" s="3"/>
      <c r="O31" s="31"/>
      <c r="P31" s="499"/>
      <c r="Q31" s="499"/>
      <c r="R31" s="499"/>
      <c r="S31" s="499"/>
      <c r="T31" s="499"/>
      <c r="U31" s="499"/>
      <c r="V31" s="499"/>
      <c r="W31" s="499"/>
      <c r="X31" s="3"/>
      <c r="Y31" s="3"/>
      <c r="Z31" s="3"/>
      <c r="AA31" s="120"/>
      <c r="AB31" s="120"/>
      <c r="AC31" s="120"/>
      <c r="AD31" s="120"/>
      <c r="AE31" s="120"/>
      <c r="AF31" s="120"/>
      <c r="AG31" s="120"/>
      <c r="AH31" s="120"/>
      <c r="AI31" s="120"/>
      <c r="AJ31" s="120"/>
      <c r="AK31" s="120"/>
      <c r="AL31" s="120"/>
      <c r="AM31" s="120"/>
      <c r="AN31" s="120"/>
      <c r="AO31" s="120"/>
    </row>
    <row r="32" spans="1:41" s="124" customFormat="1" ht="78.75">
      <c r="A32" s="119"/>
      <c r="B32" s="69"/>
      <c r="C32" s="652"/>
      <c r="D32" s="652"/>
      <c r="E32" s="652"/>
      <c r="F32" s="652"/>
      <c r="G32" s="652"/>
      <c r="H32" s="652"/>
      <c r="I32" s="652"/>
      <c r="J32" s="663">
        <v>1.01</v>
      </c>
      <c r="K32" s="651" t="s">
        <v>773</v>
      </c>
      <c r="L32" s="651">
        <v>17</v>
      </c>
      <c r="M32" s="651" t="s">
        <v>1153</v>
      </c>
      <c r="N32" s="3" t="s">
        <v>2006</v>
      </c>
      <c r="O32" s="31" t="s">
        <v>701</v>
      </c>
      <c r="P32" s="499">
        <v>56.56</v>
      </c>
      <c r="Q32" s="499">
        <v>56.66</v>
      </c>
      <c r="R32" s="499">
        <v>56.76</v>
      </c>
      <c r="S32" s="499">
        <v>56.86</v>
      </c>
      <c r="T32" s="499">
        <v>56.96</v>
      </c>
      <c r="U32" s="499">
        <v>57.06</v>
      </c>
      <c r="V32" s="499">
        <v>57.16</v>
      </c>
      <c r="W32" s="499">
        <v>57.16</v>
      </c>
      <c r="X32" s="3" t="s">
        <v>1103</v>
      </c>
      <c r="Y32" s="3" t="s">
        <v>1154</v>
      </c>
      <c r="Z32" s="3"/>
      <c r="AA32" s="26"/>
      <c r="AB32" s="26"/>
      <c r="AC32" s="120"/>
      <c r="AD32" s="120"/>
      <c r="AE32" s="120"/>
      <c r="AF32" s="120"/>
      <c r="AG32" s="120"/>
      <c r="AH32" s="120"/>
      <c r="AI32" s="120"/>
      <c r="AJ32" s="120"/>
      <c r="AK32" s="120"/>
      <c r="AL32" s="120"/>
      <c r="AM32" s="120"/>
      <c r="AN32" s="120"/>
      <c r="AO32" s="120"/>
    </row>
    <row r="33" spans="1:41" s="124" customFormat="1" ht="94.5">
      <c r="A33" s="119"/>
      <c r="B33" s="69"/>
      <c r="C33" s="652"/>
      <c r="D33" s="652"/>
      <c r="E33" s="652"/>
      <c r="F33" s="652"/>
      <c r="G33" s="652"/>
      <c r="H33" s="652"/>
      <c r="I33" s="652"/>
      <c r="J33" s="652"/>
      <c r="K33" s="652"/>
      <c r="L33" s="652"/>
      <c r="M33" s="652"/>
      <c r="N33" s="3" t="s">
        <v>2007</v>
      </c>
      <c r="O33" s="31" t="s">
        <v>701</v>
      </c>
      <c r="P33" s="499">
        <v>39.549999999999997</v>
      </c>
      <c r="Q33" s="499">
        <v>39.65</v>
      </c>
      <c r="R33" s="499">
        <v>39.75</v>
      </c>
      <c r="S33" s="499">
        <v>39.85</v>
      </c>
      <c r="T33" s="499" t="s">
        <v>1922</v>
      </c>
      <c r="U33" s="499">
        <v>40.049999999999997</v>
      </c>
      <c r="V33" s="499">
        <v>40.15</v>
      </c>
      <c r="W33" s="499">
        <v>40.15</v>
      </c>
      <c r="X33" s="3" t="s">
        <v>1103</v>
      </c>
      <c r="Y33" s="3" t="s">
        <v>1155</v>
      </c>
      <c r="Z33" s="3"/>
      <c r="AA33" s="26"/>
      <c r="AB33" s="26"/>
      <c r="AC33" s="120"/>
      <c r="AD33" s="120"/>
      <c r="AE33" s="120"/>
      <c r="AF33" s="120"/>
      <c r="AG33" s="120"/>
      <c r="AH33" s="120"/>
      <c r="AI33" s="120"/>
      <c r="AJ33" s="120"/>
      <c r="AK33" s="120"/>
      <c r="AL33" s="120"/>
      <c r="AM33" s="120"/>
      <c r="AN33" s="120"/>
      <c r="AO33" s="120"/>
    </row>
    <row r="34" spans="1:41" s="124" customFormat="1" ht="94.5">
      <c r="A34" s="119"/>
      <c r="B34" s="69"/>
      <c r="C34" s="652"/>
      <c r="D34" s="652"/>
      <c r="E34" s="652"/>
      <c r="F34" s="652"/>
      <c r="G34" s="652"/>
      <c r="H34" s="652"/>
      <c r="I34" s="652"/>
      <c r="J34" s="652"/>
      <c r="K34" s="652"/>
      <c r="L34" s="652"/>
      <c r="M34" s="652"/>
      <c r="N34" s="3" t="s">
        <v>1156</v>
      </c>
      <c r="O34" s="31" t="s">
        <v>701</v>
      </c>
      <c r="P34" s="499">
        <v>65.479140850888058</v>
      </c>
      <c r="Q34" s="499">
        <v>65.569999999999993</v>
      </c>
      <c r="R34" s="499">
        <v>65.66</v>
      </c>
      <c r="S34" s="499">
        <v>65.75</v>
      </c>
      <c r="T34" s="499">
        <v>65.84</v>
      </c>
      <c r="U34" s="499">
        <v>65.930000000000007</v>
      </c>
      <c r="V34" s="499">
        <v>66.02</v>
      </c>
      <c r="W34" s="499">
        <v>66.02</v>
      </c>
      <c r="X34" s="3" t="s">
        <v>1103</v>
      </c>
      <c r="Y34" s="3" t="s">
        <v>1157</v>
      </c>
      <c r="Z34" s="3"/>
      <c r="AA34" s="26"/>
      <c r="AB34" s="26"/>
      <c r="AC34" s="120"/>
      <c r="AD34" s="120"/>
      <c r="AE34" s="120"/>
      <c r="AF34" s="120"/>
      <c r="AG34" s="120"/>
      <c r="AH34" s="120"/>
      <c r="AI34" s="120"/>
      <c r="AJ34" s="120"/>
      <c r="AK34" s="120"/>
      <c r="AL34" s="120"/>
      <c r="AM34" s="120"/>
      <c r="AN34" s="120"/>
      <c r="AO34" s="120"/>
    </row>
    <row r="35" spans="1:41" s="124" customFormat="1" ht="110.25">
      <c r="A35" s="119"/>
      <c r="B35" s="69"/>
      <c r="C35" s="652"/>
      <c r="D35" s="652"/>
      <c r="E35" s="652"/>
      <c r="F35" s="652"/>
      <c r="G35" s="652"/>
      <c r="H35" s="652"/>
      <c r="I35" s="652"/>
      <c r="J35" s="652"/>
      <c r="K35" s="652"/>
      <c r="L35" s="652"/>
      <c r="M35" s="652"/>
      <c r="N35" s="3" t="s">
        <v>2008</v>
      </c>
      <c r="O35" s="31" t="s">
        <v>701</v>
      </c>
      <c r="P35" s="499">
        <f>9179/17911*100</f>
        <v>51.247836525040483</v>
      </c>
      <c r="Q35" s="499">
        <v>51.25</v>
      </c>
      <c r="R35" s="499">
        <v>51.17</v>
      </c>
      <c r="S35" s="499">
        <v>51.09</v>
      </c>
      <c r="T35" s="499">
        <v>51.01</v>
      </c>
      <c r="U35" s="499">
        <v>50.93</v>
      </c>
      <c r="V35" s="499">
        <v>50.85</v>
      </c>
      <c r="W35" s="499">
        <v>50.85</v>
      </c>
      <c r="X35" s="3" t="s">
        <v>1103</v>
      </c>
      <c r="Y35" s="3" t="s">
        <v>1158</v>
      </c>
      <c r="Z35" s="3"/>
      <c r="AA35" s="26"/>
      <c r="AB35" s="26"/>
      <c r="AC35" s="120"/>
      <c r="AD35" s="120"/>
      <c r="AE35" s="120"/>
      <c r="AF35" s="120"/>
      <c r="AG35" s="120"/>
      <c r="AH35" s="120"/>
      <c r="AI35" s="120"/>
      <c r="AJ35" s="120"/>
      <c r="AK35" s="120"/>
      <c r="AL35" s="120"/>
      <c r="AM35" s="120"/>
      <c r="AN35" s="120"/>
      <c r="AO35" s="120"/>
    </row>
    <row r="36" spans="1:41" s="124" customFormat="1" ht="47.25">
      <c r="A36" s="119"/>
      <c r="B36" s="69"/>
      <c r="C36" s="652"/>
      <c r="D36" s="652"/>
      <c r="E36" s="652"/>
      <c r="F36" s="652"/>
      <c r="G36" s="652"/>
      <c r="H36" s="652"/>
      <c r="I36" s="652"/>
      <c r="J36" s="652"/>
      <c r="K36" s="652"/>
      <c r="L36" s="652"/>
      <c r="M36" s="652"/>
      <c r="N36" s="3" t="s">
        <v>1159</v>
      </c>
      <c r="O36" s="31" t="s">
        <v>921</v>
      </c>
      <c r="P36" s="125" t="s">
        <v>1160</v>
      </c>
      <c r="Q36" s="499" t="str">
        <f>P36</f>
        <v>1 : 28</v>
      </c>
      <c r="R36" s="125" t="s">
        <v>1923</v>
      </c>
      <c r="S36" s="499" t="str">
        <f>R36</f>
        <v>1:29</v>
      </c>
      <c r="T36" s="125" t="s">
        <v>1924</v>
      </c>
      <c r="U36" s="499" t="str">
        <f>T36</f>
        <v>1:30</v>
      </c>
      <c r="V36" s="499"/>
      <c r="W36" s="499"/>
      <c r="X36" s="3" t="s">
        <v>1103</v>
      </c>
      <c r="Y36" s="3" t="s">
        <v>1161</v>
      </c>
      <c r="Z36" s="3"/>
      <c r="AA36" s="26"/>
      <c r="AB36" s="26"/>
      <c r="AC36" s="120"/>
      <c r="AD36" s="120"/>
      <c r="AE36" s="120"/>
      <c r="AF36" s="120"/>
      <c r="AG36" s="120"/>
      <c r="AH36" s="120"/>
      <c r="AI36" s="120"/>
      <c r="AJ36" s="120"/>
      <c r="AK36" s="120"/>
      <c r="AL36" s="120"/>
      <c r="AM36" s="120"/>
      <c r="AN36" s="120"/>
      <c r="AO36" s="120"/>
    </row>
    <row r="37" spans="1:41" s="124" customFormat="1" ht="47.25">
      <c r="A37" s="119"/>
      <c r="B37" s="69"/>
      <c r="C37" s="652"/>
      <c r="D37" s="652"/>
      <c r="E37" s="652"/>
      <c r="F37" s="652"/>
      <c r="G37" s="652"/>
      <c r="H37" s="652"/>
      <c r="I37" s="652"/>
      <c r="J37" s="652"/>
      <c r="K37" s="652"/>
      <c r="L37" s="652"/>
      <c r="M37" s="652"/>
      <c r="N37" s="3" t="s">
        <v>1162</v>
      </c>
      <c r="O37" s="31" t="s">
        <v>921</v>
      </c>
      <c r="P37" s="125" t="s">
        <v>1163</v>
      </c>
      <c r="Q37" s="499" t="str">
        <f>P37</f>
        <v>1 : 32</v>
      </c>
      <c r="R37" s="499" t="str">
        <f>Q37</f>
        <v>1 : 32</v>
      </c>
      <c r="S37" s="499" t="str">
        <f>R37</f>
        <v>1 : 32</v>
      </c>
      <c r="T37" s="499" t="str">
        <f>S37</f>
        <v>1 : 32</v>
      </c>
      <c r="U37" s="499" t="str">
        <f>T37</f>
        <v>1 : 32</v>
      </c>
      <c r="V37" s="499" t="str">
        <f>U37</f>
        <v>1 : 32</v>
      </c>
      <c r="W37" s="499" t="str">
        <f>V37</f>
        <v>1 : 32</v>
      </c>
      <c r="X37" s="3" t="s">
        <v>1103</v>
      </c>
      <c r="Y37" s="3" t="s">
        <v>1164</v>
      </c>
      <c r="Z37" s="3"/>
      <c r="AA37" s="26"/>
      <c r="AB37" s="26"/>
      <c r="AC37" s="120"/>
      <c r="AD37" s="120"/>
      <c r="AE37" s="120"/>
      <c r="AF37" s="120"/>
      <c r="AG37" s="120"/>
      <c r="AH37" s="120"/>
      <c r="AI37" s="120"/>
      <c r="AJ37" s="120"/>
      <c r="AK37" s="120"/>
      <c r="AL37" s="120"/>
      <c r="AM37" s="120"/>
      <c r="AN37" s="120"/>
      <c r="AO37" s="120"/>
    </row>
    <row r="38" spans="1:41" s="124" customFormat="1" ht="126">
      <c r="A38" s="119"/>
      <c r="B38" s="69"/>
      <c r="C38" s="652"/>
      <c r="D38" s="652"/>
      <c r="E38" s="652"/>
      <c r="F38" s="652"/>
      <c r="G38" s="652"/>
      <c r="H38" s="652"/>
      <c r="I38" s="652"/>
      <c r="J38" s="652"/>
      <c r="K38" s="652"/>
      <c r="L38" s="652"/>
      <c r="M38" s="652"/>
      <c r="N38" s="3" t="s">
        <v>1165</v>
      </c>
      <c r="O38" s="31" t="s">
        <v>701</v>
      </c>
      <c r="P38" s="499"/>
      <c r="Q38" s="499">
        <v>24</v>
      </c>
      <c r="R38" s="499" t="s">
        <v>4284</v>
      </c>
      <c r="S38" s="499" t="s">
        <v>4285</v>
      </c>
      <c r="T38" s="499" t="s">
        <v>4286</v>
      </c>
      <c r="U38" s="499" t="s">
        <v>4287</v>
      </c>
      <c r="V38" s="499" t="s">
        <v>4288</v>
      </c>
      <c r="W38" s="499" t="s">
        <v>4288</v>
      </c>
      <c r="X38" s="3" t="s">
        <v>1103</v>
      </c>
      <c r="Y38" s="3" t="s">
        <v>1166</v>
      </c>
      <c r="Z38" s="3"/>
      <c r="AA38" s="26"/>
      <c r="AB38" s="26"/>
      <c r="AC38" s="120"/>
      <c r="AD38" s="120"/>
      <c r="AE38" s="120"/>
      <c r="AF38" s="120"/>
      <c r="AG38" s="120"/>
      <c r="AH38" s="120"/>
      <c r="AI38" s="120"/>
      <c r="AJ38" s="120"/>
      <c r="AK38" s="120"/>
      <c r="AL38" s="120"/>
      <c r="AM38" s="120"/>
      <c r="AN38" s="120"/>
      <c r="AO38" s="120"/>
    </row>
    <row r="39" spans="1:41" s="124" customFormat="1" ht="299.25">
      <c r="A39" s="119"/>
      <c r="B39" s="69"/>
      <c r="C39" s="652"/>
      <c r="D39" s="652"/>
      <c r="E39" s="652"/>
      <c r="F39" s="652"/>
      <c r="G39" s="652"/>
      <c r="H39" s="652"/>
      <c r="I39" s="652"/>
      <c r="J39" s="652"/>
      <c r="K39" s="652"/>
      <c r="L39" s="652"/>
      <c r="M39" s="652"/>
      <c r="N39" s="3" t="s">
        <v>1167</v>
      </c>
      <c r="O39" s="31" t="s">
        <v>701</v>
      </c>
      <c r="P39" s="511">
        <v>80</v>
      </c>
      <c r="Q39" s="511">
        <v>75</v>
      </c>
      <c r="R39" s="511">
        <v>75</v>
      </c>
      <c r="S39" s="511">
        <v>75</v>
      </c>
      <c r="T39" s="511">
        <v>80</v>
      </c>
      <c r="U39" s="511">
        <v>80</v>
      </c>
      <c r="V39" s="511">
        <v>80</v>
      </c>
      <c r="W39" s="511">
        <v>80</v>
      </c>
      <c r="X39" s="3" t="s">
        <v>1103</v>
      </c>
      <c r="Y39" s="3" t="s">
        <v>4497</v>
      </c>
      <c r="Z39" s="3" t="s">
        <v>4337</v>
      </c>
      <c r="AA39" s="26"/>
      <c r="AB39" s="26"/>
      <c r="AC39" s="120"/>
      <c r="AD39" s="120"/>
      <c r="AE39" s="120"/>
      <c r="AF39" s="120"/>
      <c r="AG39" s="120"/>
      <c r="AH39" s="120"/>
      <c r="AI39" s="120"/>
      <c r="AJ39" s="120"/>
      <c r="AK39" s="120"/>
      <c r="AL39" s="120"/>
      <c r="AM39" s="120"/>
      <c r="AN39" s="120"/>
      <c r="AO39" s="120"/>
    </row>
    <row r="40" spans="1:41" s="124" customFormat="1" ht="94.5">
      <c r="A40" s="119"/>
      <c r="B40" s="69"/>
      <c r="C40" s="652"/>
      <c r="D40" s="652"/>
      <c r="E40" s="652"/>
      <c r="F40" s="652"/>
      <c r="G40" s="652"/>
      <c r="H40" s="652"/>
      <c r="I40" s="652"/>
      <c r="J40" s="652"/>
      <c r="K40" s="652"/>
      <c r="L40" s="652"/>
      <c r="M40" s="652"/>
      <c r="N40" s="3" t="s">
        <v>1168</v>
      </c>
      <c r="O40" s="31" t="s">
        <v>701</v>
      </c>
      <c r="P40" s="499">
        <v>43.89</v>
      </c>
      <c r="Q40" s="499">
        <v>43.89</v>
      </c>
      <c r="R40" s="499">
        <v>43.97</v>
      </c>
      <c r="S40" s="499">
        <v>44.05</v>
      </c>
      <c r="T40" s="499">
        <v>44.13</v>
      </c>
      <c r="U40" s="499">
        <v>44.21</v>
      </c>
      <c r="V40" s="499">
        <v>44.29</v>
      </c>
      <c r="W40" s="499">
        <v>44.29</v>
      </c>
      <c r="X40" s="3" t="s">
        <v>1103</v>
      </c>
      <c r="Y40" s="3" t="s">
        <v>1169</v>
      </c>
      <c r="Z40" s="3"/>
      <c r="AA40" s="26"/>
      <c r="AB40" s="26"/>
      <c r="AC40" s="120"/>
      <c r="AD40" s="120"/>
      <c r="AE40" s="120"/>
      <c r="AF40" s="120"/>
      <c r="AG40" s="120"/>
      <c r="AH40" s="120"/>
      <c r="AI40" s="120"/>
      <c r="AJ40" s="120"/>
      <c r="AK40" s="120"/>
      <c r="AL40" s="120"/>
      <c r="AM40" s="120"/>
      <c r="AN40" s="120"/>
      <c r="AO40" s="120"/>
    </row>
    <row r="41" spans="1:41" s="124" customFormat="1" ht="78.75">
      <c r="A41" s="119"/>
      <c r="B41" s="69"/>
      <c r="C41" s="652"/>
      <c r="D41" s="652"/>
      <c r="E41" s="653"/>
      <c r="F41" s="653"/>
      <c r="G41" s="653"/>
      <c r="H41" s="653"/>
      <c r="I41" s="653"/>
      <c r="J41" s="653"/>
      <c r="K41" s="653"/>
      <c r="L41" s="653"/>
      <c r="M41" s="653"/>
      <c r="N41" s="3" t="s">
        <v>1170</v>
      </c>
      <c r="O41" s="31" t="s">
        <v>4338</v>
      </c>
      <c r="P41" s="512" t="s">
        <v>4339</v>
      </c>
      <c r="Q41" s="499" t="s">
        <v>4340</v>
      </c>
      <c r="R41" s="499" t="s">
        <v>4498</v>
      </c>
      <c r="S41" s="499" t="s">
        <v>4499</v>
      </c>
      <c r="T41" s="499" t="s">
        <v>4500</v>
      </c>
      <c r="U41" s="499" t="s">
        <v>4501</v>
      </c>
      <c r="V41" s="499" t="s">
        <v>4502</v>
      </c>
      <c r="W41" s="499" t="s">
        <v>4502</v>
      </c>
      <c r="X41" s="3" t="s">
        <v>1103</v>
      </c>
      <c r="Y41" s="3" t="s">
        <v>1171</v>
      </c>
      <c r="Z41" s="3" t="s">
        <v>1172</v>
      </c>
      <c r="AA41" s="26"/>
      <c r="AB41" s="26"/>
      <c r="AC41" s="120"/>
      <c r="AD41" s="120"/>
      <c r="AE41" s="120"/>
      <c r="AF41" s="120"/>
      <c r="AG41" s="120"/>
      <c r="AH41" s="120"/>
      <c r="AI41" s="120"/>
      <c r="AJ41" s="120"/>
      <c r="AK41" s="120"/>
      <c r="AL41" s="120"/>
      <c r="AM41" s="120"/>
      <c r="AN41" s="120"/>
      <c r="AO41" s="120"/>
    </row>
    <row r="42" spans="1:41" s="124" customFormat="1" ht="78.75">
      <c r="A42" s="119"/>
      <c r="B42" s="69"/>
      <c r="C42" s="652"/>
      <c r="D42" s="652"/>
      <c r="E42" s="651">
        <v>5</v>
      </c>
      <c r="F42" s="651" t="s">
        <v>1173</v>
      </c>
      <c r="G42" s="651" t="s">
        <v>1174</v>
      </c>
      <c r="H42" s="651"/>
      <c r="I42" s="870" t="s">
        <v>4963</v>
      </c>
      <c r="J42" s="3"/>
      <c r="K42" s="3"/>
      <c r="L42" s="3"/>
      <c r="M42" s="3"/>
      <c r="N42" s="3"/>
      <c r="O42" s="31"/>
      <c r="P42" s="512"/>
      <c r="Q42" s="499"/>
      <c r="R42" s="499"/>
      <c r="S42" s="499"/>
      <c r="T42" s="499"/>
      <c r="U42" s="499"/>
      <c r="V42" s="499"/>
      <c r="W42" s="499"/>
      <c r="X42" s="3"/>
      <c r="Y42" s="3"/>
      <c r="Z42" s="3"/>
      <c r="AA42" s="120"/>
      <c r="AB42" s="120"/>
      <c r="AC42" s="120"/>
      <c r="AD42" s="120"/>
      <c r="AE42" s="120"/>
      <c r="AF42" s="120"/>
      <c r="AG42" s="120"/>
      <c r="AH42" s="120"/>
      <c r="AI42" s="120"/>
      <c r="AJ42" s="120"/>
      <c r="AK42" s="120"/>
      <c r="AL42" s="120"/>
      <c r="AM42" s="120"/>
      <c r="AN42" s="120"/>
      <c r="AO42" s="120"/>
    </row>
    <row r="43" spans="1:41" s="124" customFormat="1" ht="78.75">
      <c r="A43" s="119"/>
      <c r="B43" s="69"/>
      <c r="C43" s="652"/>
      <c r="D43" s="652"/>
      <c r="E43" s="652"/>
      <c r="F43" s="652"/>
      <c r="G43" s="652"/>
      <c r="H43" s="652"/>
      <c r="I43" s="652"/>
      <c r="J43" s="663">
        <v>1.01</v>
      </c>
      <c r="K43" s="651" t="s">
        <v>773</v>
      </c>
      <c r="L43" s="651">
        <v>18</v>
      </c>
      <c r="M43" s="29" t="s">
        <v>166</v>
      </c>
      <c r="N43" s="3" t="s">
        <v>2009</v>
      </c>
      <c r="O43" s="31" t="s">
        <v>701</v>
      </c>
      <c r="P43" s="499">
        <v>97.82</v>
      </c>
      <c r="Q43" s="499">
        <v>97.9</v>
      </c>
      <c r="R43" s="499">
        <v>98.09</v>
      </c>
      <c r="S43" s="499">
        <v>98.36</v>
      </c>
      <c r="T43" s="499">
        <v>98.63</v>
      </c>
      <c r="U43" s="499">
        <v>98.7</v>
      </c>
      <c r="V43" s="499">
        <v>99.17</v>
      </c>
      <c r="W43" s="499">
        <v>99.17</v>
      </c>
      <c r="X43" s="3" t="s">
        <v>1103</v>
      </c>
      <c r="Y43" s="3" t="s">
        <v>2010</v>
      </c>
      <c r="Z43" s="3"/>
      <c r="AA43" s="120"/>
      <c r="AB43" s="120"/>
      <c r="AC43" s="120"/>
      <c r="AD43" s="120"/>
      <c r="AE43" s="120"/>
      <c r="AF43" s="120"/>
      <c r="AG43" s="120"/>
      <c r="AH43" s="120"/>
      <c r="AI43" s="120"/>
      <c r="AJ43" s="120"/>
      <c r="AK43" s="120"/>
      <c r="AL43" s="120"/>
      <c r="AM43" s="120"/>
      <c r="AN43" s="120"/>
      <c r="AO43" s="120"/>
    </row>
    <row r="44" spans="1:41" s="124" customFormat="1" ht="94.5">
      <c r="A44" s="119"/>
      <c r="B44" s="69"/>
      <c r="C44" s="652"/>
      <c r="D44" s="652"/>
      <c r="E44" s="652"/>
      <c r="F44" s="652"/>
      <c r="G44" s="652"/>
      <c r="H44" s="652"/>
      <c r="I44" s="652"/>
      <c r="J44" s="652"/>
      <c r="K44" s="652"/>
      <c r="L44" s="652"/>
      <c r="M44" s="652"/>
      <c r="N44" s="3" t="s">
        <v>1175</v>
      </c>
      <c r="O44" s="31" t="s">
        <v>1176</v>
      </c>
      <c r="P44" s="499">
        <v>7.1</v>
      </c>
      <c r="Q44" s="499">
        <v>7.1</v>
      </c>
      <c r="R44" s="499">
        <v>7.11</v>
      </c>
      <c r="S44" s="499">
        <v>7.13</v>
      </c>
      <c r="T44" s="499">
        <v>7.15</v>
      </c>
      <c r="U44" s="499">
        <v>7.17</v>
      </c>
      <c r="V44" s="499">
        <v>7.19</v>
      </c>
      <c r="W44" s="499">
        <v>7.19</v>
      </c>
      <c r="X44" s="3" t="s">
        <v>1177</v>
      </c>
      <c r="Y44" s="3" t="s">
        <v>1178</v>
      </c>
      <c r="Z44" s="3" t="s">
        <v>1179</v>
      </c>
      <c r="AA44" s="120"/>
      <c r="AB44" s="120"/>
      <c r="AC44" s="120"/>
      <c r="AD44" s="120"/>
      <c r="AE44" s="120"/>
      <c r="AF44" s="120"/>
      <c r="AG44" s="120"/>
      <c r="AH44" s="120"/>
      <c r="AI44" s="120"/>
      <c r="AJ44" s="120"/>
      <c r="AK44" s="120"/>
      <c r="AL44" s="120"/>
      <c r="AM44" s="120"/>
      <c r="AN44" s="120"/>
      <c r="AO44" s="120"/>
    </row>
    <row r="45" spans="1:41" s="124" customFormat="1" ht="110.25">
      <c r="A45" s="119"/>
      <c r="B45" s="69"/>
      <c r="C45" s="652"/>
      <c r="D45" s="652"/>
      <c r="E45" s="652"/>
      <c r="F45" s="652"/>
      <c r="G45" s="652"/>
      <c r="H45" s="652"/>
      <c r="I45" s="652"/>
      <c r="J45" s="652"/>
      <c r="K45" s="652"/>
      <c r="L45" s="652"/>
      <c r="M45" s="652"/>
      <c r="N45" s="3" t="s">
        <v>2011</v>
      </c>
      <c r="O45" s="31" t="s">
        <v>701</v>
      </c>
      <c r="P45" s="501">
        <v>20</v>
      </c>
      <c r="Q45" s="501">
        <v>25</v>
      </c>
      <c r="R45" s="501">
        <v>25</v>
      </c>
      <c r="S45" s="501">
        <v>25</v>
      </c>
      <c r="T45" s="501">
        <v>33</v>
      </c>
      <c r="U45" s="501">
        <v>50</v>
      </c>
      <c r="V45" s="501">
        <v>100</v>
      </c>
      <c r="W45" s="501">
        <v>100</v>
      </c>
      <c r="X45" s="3" t="s">
        <v>1103</v>
      </c>
      <c r="Y45" s="3" t="s">
        <v>4583</v>
      </c>
      <c r="Z45" s="3"/>
      <c r="AA45" s="120"/>
      <c r="AB45" s="120"/>
      <c r="AC45" s="120"/>
      <c r="AD45" s="120"/>
      <c r="AE45" s="120"/>
      <c r="AF45" s="120"/>
      <c r="AG45" s="120"/>
      <c r="AH45" s="120"/>
      <c r="AI45" s="120"/>
      <c r="AJ45" s="120"/>
      <c r="AK45" s="120"/>
      <c r="AL45" s="120"/>
      <c r="AM45" s="120"/>
      <c r="AN45" s="120"/>
      <c r="AO45" s="120"/>
    </row>
    <row r="46" spans="1:41" s="124" customFormat="1" ht="63">
      <c r="A46" s="119"/>
      <c r="B46" s="69"/>
      <c r="C46" s="651">
        <v>3</v>
      </c>
      <c r="D46" s="651" t="s">
        <v>1180</v>
      </c>
      <c r="E46" s="651">
        <v>6</v>
      </c>
      <c r="F46" s="651" t="s">
        <v>1181</v>
      </c>
      <c r="G46" s="651" t="s">
        <v>1182</v>
      </c>
      <c r="H46" s="651"/>
      <c r="I46" s="870" t="s">
        <v>4964</v>
      </c>
      <c r="J46" s="3"/>
      <c r="K46" s="3"/>
      <c r="L46" s="3"/>
      <c r="M46" s="3"/>
      <c r="N46" s="3"/>
      <c r="O46" s="31"/>
      <c r="P46" s="499"/>
      <c r="Q46" s="499"/>
      <c r="R46" s="499"/>
      <c r="S46" s="499"/>
      <c r="T46" s="499"/>
      <c r="U46" s="499"/>
      <c r="V46" s="499"/>
      <c r="W46" s="499"/>
      <c r="X46" s="3"/>
      <c r="Y46" s="3"/>
      <c r="Z46" s="3"/>
      <c r="AA46" s="120"/>
      <c r="AB46" s="120"/>
      <c r="AC46" s="120"/>
      <c r="AD46" s="120"/>
      <c r="AE46" s="120"/>
      <c r="AF46" s="120"/>
      <c r="AG46" s="120"/>
      <c r="AH46" s="120"/>
      <c r="AI46" s="120"/>
      <c r="AJ46" s="120"/>
      <c r="AK46" s="120"/>
      <c r="AL46" s="120"/>
      <c r="AM46" s="120"/>
      <c r="AN46" s="120"/>
      <c r="AO46" s="120"/>
    </row>
    <row r="47" spans="1:41" s="124" customFormat="1" ht="63">
      <c r="A47" s="119"/>
      <c r="B47" s="69"/>
      <c r="C47" s="652"/>
      <c r="D47" s="652"/>
      <c r="E47" s="652"/>
      <c r="F47" s="652"/>
      <c r="G47" s="652"/>
      <c r="H47" s="652"/>
      <c r="I47" s="652"/>
      <c r="J47" s="663">
        <v>1.01</v>
      </c>
      <c r="K47" s="651" t="s">
        <v>773</v>
      </c>
      <c r="L47" s="651">
        <v>22</v>
      </c>
      <c r="M47" s="651" t="s">
        <v>1111</v>
      </c>
      <c r="N47" s="3" t="s">
        <v>1183</v>
      </c>
      <c r="O47" s="31" t="s">
        <v>701</v>
      </c>
      <c r="P47" s="499">
        <v>5.83</v>
      </c>
      <c r="Q47" s="499">
        <v>5.83</v>
      </c>
      <c r="R47" s="499">
        <v>5.83</v>
      </c>
      <c r="S47" s="499">
        <v>5.83</v>
      </c>
      <c r="T47" s="499">
        <v>5.83</v>
      </c>
      <c r="U47" s="499">
        <v>5.83</v>
      </c>
      <c r="V47" s="499">
        <v>5.83</v>
      </c>
      <c r="W47" s="499">
        <v>5.83</v>
      </c>
      <c r="X47" s="3" t="s">
        <v>1103</v>
      </c>
      <c r="Y47" s="3" t="s">
        <v>1184</v>
      </c>
      <c r="Z47" s="3" t="s">
        <v>4343</v>
      </c>
      <c r="AA47" s="120"/>
      <c r="AB47" s="120"/>
      <c r="AC47" s="120"/>
      <c r="AD47" s="120"/>
      <c r="AE47" s="120"/>
      <c r="AF47" s="120"/>
      <c r="AG47" s="120"/>
      <c r="AH47" s="120"/>
      <c r="AI47" s="120"/>
      <c r="AJ47" s="120"/>
      <c r="AK47" s="120"/>
      <c r="AL47" s="120"/>
      <c r="AM47" s="120"/>
      <c r="AN47" s="120"/>
      <c r="AO47" s="120"/>
    </row>
    <row r="48" spans="1:41" s="124" customFormat="1" ht="63">
      <c r="A48" s="119"/>
      <c r="B48" s="69"/>
      <c r="C48" s="652"/>
      <c r="D48" s="652"/>
      <c r="E48" s="652"/>
      <c r="F48" s="652"/>
      <c r="G48" s="652"/>
      <c r="H48" s="652"/>
      <c r="I48" s="652"/>
      <c r="J48" s="652"/>
      <c r="K48" s="652"/>
      <c r="L48" s="652"/>
      <c r="M48" s="652"/>
      <c r="N48" s="3" t="s">
        <v>1185</v>
      </c>
      <c r="O48" s="31" t="s">
        <v>701</v>
      </c>
      <c r="P48" s="499">
        <v>42.71</v>
      </c>
      <c r="Q48" s="499">
        <v>42.71</v>
      </c>
      <c r="R48" s="499">
        <v>42.71</v>
      </c>
      <c r="S48" s="499">
        <v>42.71</v>
      </c>
      <c r="T48" s="499">
        <v>42.71</v>
      </c>
      <c r="U48" s="499">
        <v>42.71</v>
      </c>
      <c r="V48" s="499">
        <v>42.71</v>
      </c>
      <c r="W48" s="499">
        <v>42.71</v>
      </c>
      <c r="X48" s="3" t="s">
        <v>1103</v>
      </c>
      <c r="Y48" s="3" t="s">
        <v>1186</v>
      </c>
      <c r="Z48" s="3" t="s">
        <v>4343</v>
      </c>
      <c r="AA48" s="120"/>
      <c r="AB48" s="120"/>
      <c r="AC48" s="120"/>
      <c r="AD48" s="120"/>
      <c r="AE48" s="120"/>
      <c r="AF48" s="120"/>
      <c r="AG48" s="120"/>
      <c r="AH48" s="120"/>
      <c r="AI48" s="120"/>
      <c r="AJ48" s="120"/>
      <c r="AK48" s="120"/>
      <c r="AL48" s="120"/>
      <c r="AM48" s="120"/>
      <c r="AN48" s="120"/>
      <c r="AO48" s="120"/>
    </row>
    <row r="49" spans="1:41" s="124" customFormat="1" ht="78.75">
      <c r="A49" s="119"/>
      <c r="B49" s="69"/>
      <c r="C49" s="652"/>
      <c r="D49" s="652"/>
      <c r="E49" s="652"/>
      <c r="F49" s="652"/>
      <c r="G49" s="652"/>
      <c r="H49" s="652"/>
      <c r="I49" s="652"/>
      <c r="J49" s="652"/>
      <c r="K49" s="652"/>
      <c r="L49" s="652"/>
      <c r="M49" s="652"/>
      <c r="N49" s="3" t="s">
        <v>1187</v>
      </c>
      <c r="O49" s="31" t="s">
        <v>701</v>
      </c>
      <c r="P49" s="499">
        <v>42.29</v>
      </c>
      <c r="Q49" s="499">
        <v>42.29</v>
      </c>
      <c r="R49" s="499">
        <v>42.29</v>
      </c>
      <c r="S49" s="499">
        <v>42.29</v>
      </c>
      <c r="T49" s="499">
        <v>42.29</v>
      </c>
      <c r="U49" s="499">
        <v>42.29</v>
      </c>
      <c r="V49" s="499">
        <v>42.29</v>
      </c>
      <c r="W49" s="499">
        <v>42.29</v>
      </c>
      <c r="X49" s="3" t="s">
        <v>1103</v>
      </c>
      <c r="Y49" s="3" t="s">
        <v>1188</v>
      </c>
      <c r="Z49" s="3" t="s">
        <v>4341</v>
      </c>
      <c r="AA49" s="120"/>
      <c r="AB49" s="120"/>
      <c r="AC49" s="120"/>
      <c r="AD49" s="120"/>
      <c r="AE49" s="120"/>
      <c r="AF49" s="120"/>
      <c r="AG49" s="120"/>
      <c r="AH49" s="120"/>
      <c r="AI49" s="120"/>
      <c r="AJ49" s="120"/>
      <c r="AK49" s="120"/>
      <c r="AL49" s="120"/>
      <c r="AM49" s="120"/>
      <c r="AN49" s="120"/>
      <c r="AO49" s="120"/>
    </row>
    <row r="50" spans="1:41" s="124" customFormat="1" ht="110.25">
      <c r="A50" s="121"/>
      <c r="B50" s="69"/>
      <c r="C50" s="652"/>
      <c r="D50" s="652"/>
      <c r="E50" s="651">
        <v>7</v>
      </c>
      <c r="F50" s="651" t="s">
        <v>1189</v>
      </c>
      <c r="G50" s="651" t="s">
        <v>1190</v>
      </c>
      <c r="H50" s="651"/>
      <c r="I50" s="870" t="s">
        <v>4966</v>
      </c>
      <c r="J50" s="3"/>
      <c r="K50" s="3"/>
      <c r="L50" s="3"/>
      <c r="M50" s="3"/>
      <c r="N50" s="3"/>
      <c r="O50" s="31"/>
      <c r="P50" s="499"/>
      <c r="Q50" s="499"/>
      <c r="R50" s="499"/>
      <c r="S50" s="499"/>
      <c r="T50" s="499"/>
      <c r="U50" s="499"/>
      <c r="V50" s="499"/>
      <c r="W50" s="499"/>
      <c r="X50" s="3"/>
      <c r="Y50" s="3"/>
      <c r="Z50" s="3"/>
      <c r="AA50" s="120"/>
      <c r="AB50" s="120"/>
      <c r="AC50" s="120"/>
      <c r="AD50" s="120"/>
      <c r="AE50" s="120"/>
      <c r="AF50" s="120"/>
      <c r="AG50" s="120"/>
      <c r="AH50" s="120"/>
      <c r="AI50" s="120"/>
      <c r="AJ50" s="120"/>
      <c r="AK50" s="120"/>
      <c r="AL50" s="120"/>
      <c r="AM50" s="120"/>
      <c r="AN50" s="120"/>
      <c r="AO50" s="120"/>
    </row>
    <row r="51" spans="1:41" s="124" customFormat="1" ht="63">
      <c r="A51" s="121"/>
      <c r="B51" s="69"/>
      <c r="C51" s="652"/>
      <c r="D51" s="652"/>
      <c r="E51" s="652"/>
      <c r="F51" s="652"/>
      <c r="G51" s="652"/>
      <c r="H51" s="652"/>
      <c r="I51" s="652"/>
      <c r="J51" s="663">
        <v>1.01</v>
      </c>
      <c r="K51" s="651" t="s">
        <v>773</v>
      </c>
      <c r="L51" s="651">
        <v>22</v>
      </c>
      <c r="M51" s="651" t="s">
        <v>1111</v>
      </c>
      <c r="N51" s="3" t="s">
        <v>1191</v>
      </c>
      <c r="O51" s="31" t="s">
        <v>701</v>
      </c>
      <c r="P51" s="499">
        <v>2.97</v>
      </c>
      <c r="Q51" s="499">
        <v>2.97</v>
      </c>
      <c r="R51" s="499">
        <v>3.31</v>
      </c>
      <c r="S51" s="499">
        <v>3.65</v>
      </c>
      <c r="T51" s="499">
        <v>3.99</v>
      </c>
      <c r="U51" s="499">
        <v>4.33</v>
      </c>
      <c r="V51" s="499">
        <v>4.67</v>
      </c>
      <c r="W51" s="499">
        <v>4.67</v>
      </c>
      <c r="X51" s="3" t="s">
        <v>1103</v>
      </c>
      <c r="Y51" s="3" t="s">
        <v>1192</v>
      </c>
      <c r="Z51" s="3"/>
      <c r="AA51" s="120"/>
      <c r="AB51" s="120"/>
      <c r="AC51" s="120"/>
      <c r="AD51" s="120"/>
      <c r="AE51" s="120"/>
      <c r="AF51" s="120"/>
      <c r="AG51" s="120"/>
      <c r="AH51" s="120"/>
      <c r="AI51" s="120"/>
      <c r="AJ51" s="120"/>
      <c r="AK51" s="120"/>
      <c r="AL51" s="120"/>
      <c r="AM51" s="120"/>
      <c r="AN51" s="120"/>
      <c r="AO51" s="120"/>
    </row>
    <row r="52" spans="1:41" s="124" customFormat="1" ht="63">
      <c r="A52" s="121"/>
      <c r="B52" s="69"/>
      <c r="C52" s="652"/>
      <c r="D52" s="652"/>
      <c r="E52" s="652"/>
      <c r="F52" s="652"/>
      <c r="G52" s="652"/>
      <c r="H52" s="652"/>
      <c r="I52" s="652"/>
      <c r="J52" s="652"/>
      <c r="K52" s="652"/>
      <c r="L52" s="652"/>
      <c r="M52" s="652"/>
      <c r="N52" s="3" t="s">
        <v>1193</v>
      </c>
      <c r="O52" s="31" t="s">
        <v>701</v>
      </c>
      <c r="P52" s="499">
        <v>61.01</v>
      </c>
      <c r="Q52" s="499">
        <v>61.1</v>
      </c>
      <c r="R52" s="499">
        <v>61.011000000000003</v>
      </c>
      <c r="S52" s="499">
        <v>61.01</v>
      </c>
      <c r="T52" s="499">
        <v>61.01</v>
      </c>
      <c r="U52" s="499">
        <v>61.01</v>
      </c>
      <c r="V52" s="499">
        <v>61.01</v>
      </c>
      <c r="W52" s="499">
        <v>61.01</v>
      </c>
      <c r="X52" s="3" t="s">
        <v>1103</v>
      </c>
      <c r="Y52" s="3" t="s">
        <v>1194</v>
      </c>
      <c r="Z52" s="3"/>
      <c r="AA52" s="120"/>
      <c r="AB52" s="120"/>
      <c r="AC52" s="120"/>
      <c r="AD52" s="120"/>
      <c r="AE52" s="120"/>
      <c r="AF52" s="120"/>
      <c r="AG52" s="120"/>
      <c r="AH52" s="120"/>
      <c r="AI52" s="120"/>
      <c r="AJ52" s="120"/>
      <c r="AK52" s="120"/>
      <c r="AL52" s="120"/>
      <c r="AM52" s="120"/>
      <c r="AN52" s="120"/>
      <c r="AO52" s="120"/>
    </row>
    <row r="53" spans="1:41" s="124" customFormat="1" ht="63">
      <c r="A53" s="121"/>
      <c r="B53" s="69"/>
      <c r="C53" s="652"/>
      <c r="D53" s="652"/>
      <c r="E53" s="652"/>
      <c r="F53" s="652"/>
      <c r="G53" s="652"/>
      <c r="H53" s="652"/>
      <c r="I53" s="652"/>
      <c r="J53" s="652"/>
      <c r="K53" s="652"/>
      <c r="L53" s="652"/>
      <c r="M53" s="652"/>
      <c r="N53" s="3" t="s">
        <v>1195</v>
      </c>
      <c r="O53" s="31" t="s">
        <v>701</v>
      </c>
      <c r="P53" s="499">
        <v>33.22</v>
      </c>
      <c r="Q53" s="499">
        <v>33.22</v>
      </c>
      <c r="R53" s="499">
        <v>33.22</v>
      </c>
      <c r="S53" s="499">
        <v>33.22</v>
      </c>
      <c r="T53" s="499">
        <v>33.22</v>
      </c>
      <c r="U53" s="499">
        <v>33.22</v>
      </c>
      <c r="V53" s="499">
        <v>33.22</v>
      </c>
      <c r="W53" s="499">
        <v>33.22</v>
      </c>
      <c r="X53" s="3" t="s">
        <v>1103</v>
      </c>
      <c r="Y53" s="3" t="s">
        <v>1196</v>
      </c>
      <c r="Z53" s="3" t="s">
        <v>4342</v>
      </c>
      <c r="AA53" s="120"/>
      <c r="AB53" s="120"/>
      <c r="AC53" s="120"/>
      <c r="AD53" s="120"/>
      <c r="AE53" s="120"/>
      <c r="AF53" s="120"/>
      <c r="AG53" s="120"/>
      <c r="AH53" s="120"/>
      <c r="AI53" s="120"/>
      <c r="AJ53" s="120"/>
      <c r="AK53" s="120"/>
      <c r="AL53" s="120"/>
      <c r="AM53" s="120"/>
      <c r="AN53" s="120"/>
      <c r="AO53" s="120"/>
    </row>
    <row r="54" spans="1:41" s="124" customFormat="1" ht="63">
      <c r="A54" s="121"/>
      <c r="B54" s="69"/>
      <c r="C54" s="652"/>
      <c r="D54" s="652"/>
      <c r="E54" s="652"/>
      <c r="F54" s="652"/>
      <c r="G54" s="652"/>
      <c r="H54" s="652"/>
      <c r="I54" s="652"/>
      <c r="J54" s="652"/>
      <c r="K54" s="652"/>
      <c r="L54" s="652"/>
      <c r="M54" s="652"/>
      <c r="N54" s="3" t="s">
        <v>1197</v>
      </c>
      <c r="O54" s="31" t="s">
        <v>701</v>
      </c>
      <c r="P54" s="499">
        <v>21.9</v>
      </c>
      <c r="Q54" s="499">
        <v>21.9</v>
      </c>
      <c r="R54" s="499">
        <v>23.8</v>
      </c>
      <c r="S54" s="499">
        <v>25.7</v>
      </c>
      <c r="T54" s="499">
        <v>27.6</v>
      </c>
      <c r="U54" s="499">
        <v>29.5</v>
      </c>
      <c r="V54" s="499">
        <v>31.4</v>
      </c>
      <c r="W54" s="499">
        <v>31.4</v>
      </c>
      <c r="X54" s="3" t="s">
        <v>1103</v>
      </c>
      <c r="Y54" s="3" t="s">
        <v>1198</v>
      </c>
      <c r="Z54" s="3"/>
      <c r="AA54" s="120"/>
      <c r="AB54" s="120"/>
      <c r="AC54" s="120"/>
      <c r="AD54" s="120"/>
      <c r="AE54" s="120"/>
      <c r="AF54" s="120"/>
      <c r="AG54" s="120"/>
      <c r="AH54" s="120"/>
      <c r="AI54" s="120"/>
      <c r="AJ54" s="120"/>
      <c r="AK54" s="120"/>
      <c r="AL54" s="120"/>
      <c r="AM54" s="120"/>
      <c r="AN54" s="120"/>
      <c r="AO54" s="120"/>
    </row>
    <row r="55" spans="1:41" s="124" customFormat="1" ht="63">
      <c r="A55" s="121"/>
      <c r="B55" s="69"/>
      <c r="C55" s="652"/>
      <c r="D55" s="652"/>
      <c r="E55" s="652"/>
      <c r="F55" s="652"/>
      <c r="G55" s="652"/>
      <c r="H55" s="652"/>
      <c r="I55" s="652"/>
      <c r="J55" s="652"/>
      <c r="K55" s="652"/>
      <c r="L55" s="652"/>
      <c r="M55" s="652"/>
      <c r="N55" s="3" t="s">
        <v>1199</v>
      </c>
      <c r="O55" s="31" t="s">
        <v>701</v>
      </c>
      <c r="P55" s="499">
        <v>40</v>
      </c>
      <c r="Q55" s="499">
        <v>40</v>
      </c>
      <c r="R55" s="499">
        <v>40</v>
      </c>
      <c r="S55" s="499">
        <v>40</v>
      </c>
      <c r="T55" s="499">
        <v>40</v>
      </c>
      <c r="U55" s="499">
        <v>40</v>
      </c>
      <c r="V55" s="499">
        <v>40</v>
      </c>
      <c r="W55" s="499">
        <v>40</v>
      </c>
      <c r="X55" s="3" t="s">
        <v>1103</v>
      </c>
      <c r="Y55" s="3" t="s">
        <v>1200</v>
      </c>
      <c r="Z55" s="3"/>
      <c r="AA55" s="120"/>
      <c r="AB55" s="120"/>
      <c r="AC55" s="120"/>
      <c r="AD55" s="120"/>
      <c r="AE55" s="120"/>
      <c r="AF55" s="120"/>
      <c r="AG55" s="120"/>
      <c r="AH55" s="120"/>
      <c r="AI55" s="120"/>
      <c r="AJ55" s="120"/>
      <c r="AK55" s="120"/>
      <c r="AL55" s="120"/>
      <c r="AM55" s="120"/>
      <c r="AN55" s="120"/>
      <c r="AO55" s="120"/>
    </row>
    <row r="56" spans="1:41" s="124" customFormat="1" ht="63">
      <c r="A56" s="121"/>
      <c r="B56" s="69"/>
      <c r="C56" s="652"/>
      <c r="D56" s="652"/>
      <c r="E56" s="652"/>
      <c r="F56" s="652"/>
      <c r="G56" s="652"/>
      <c r="H56" s="652"/>
      <c r="I56" s="652"/>
      <c r="J56" s="652"/>
      <c r="K56" s="652"/>
      <c r="L56" s="652"/>
      <c r="M56" s="652"/>
      <c r="N56" s="3" t="s">
        <v>1201</v>
      </c>
      <c r="O56" s="31" t="s">
        <v>701</v>
      </c>
      <c r="P56" s="499">
        <v>27.62</v>
      </c>
      <c r="Q56" s="499">
        <v>27.62</v>
      </c>
      <c r="R56" s="499">
        <v>27.62</v>
      </c>
      <c r="S56" s="499">
        <v>27.62</v>
      </c>
      <c r="T56" s="499">
        <v>27.62</v>
      </c>
      <c r="U56" s="499">
        <v>27.62</v>
      </c>
      <c r="V56" s="499">
        <v>27.62</v>
      </c>
      <c r="W56" s="499">
        <v>27.62</v>
      </c>
      <c r="X56" s="3" t="s">
        <v>1103</v>
      </c>
      <c r="Y56" s="3" t="s">
        <v>1202</v>
      </c>
      <c r="Z56" s="3" t="s">
        <v>4344</v>
      </c>
      <c r="AA56" s="120"/>
      <c r="AB56" s="120"/>
      <c r="AC56" s="120"/>
      <c r="AD56" s="120"/>
      <c r="AE56" s="120"/>
      <c r="AF56" s="120"/>
      <c r="AG56" s="120"/>
      <c r="AH56" s="120"/>
      <c r="AI56" s="120"/>
      <c r="AJ56" s="120"/>
      <c r="AK56" s="120"/>
      <c r="AL56" s="120"/>
      <c r="AM56" s="120"/>
      <c r="AN56" s="120"/>
      <c r="AO56" s="120"/>
    </row>
    <row r="57" spans="1:41" s="124" customFormat="1" ht="47.25">
      <c r="A57" s="121"/>
      <c r="B57" s="69"/>
      <c r="C57" s="652"/>
      <c r="D57" s="652"/>
      <c r="E57" s="652"/>
      <c r="F57" s="652"/>
      <c r="G57" s="652"/>
      <c r="H57" s="652"/>
      <c r="I57" s="652"/>
      <c r="J57" s="652"/>
      <c r="K57" s="652"/>
      <c r="L57" s="652"/>
      <c r="M57" s="652"/>
      <c r="N57" s="3" t="s">
        <v>2013</v>
      </c>
      <c r="O57" s="31" t="s">
        <v>701</v>
      </c>
      <c r="P57" s="499">
        <v>99.99</v>
      </c>
      <c r="Q57" s="499">
        <v>100</v>
      </c>
      <c r="R57" s="499">
        <v>99.9</v>
      </c>
      <c r="S57" s="499">
        <v>99.93</v>
      </c>
      <c r="T57" s="499">
        <v>99.95</v>
      </c>
      <c r="U57" s="499">
        <v>99.97</v>
      </c>
      <c r="V57" s="499">
        <v>100</v>
      </c>
      <c r="W57" s="499">
        <v>100</v>
      </c>
      <c r="X57" s="3" t="s">
        <v>1103</v>
      </c>
      <c r="Y57" s="3" t="s">
        <v>1203</v>
      </c>
      <c r="Z57" s="3"/>
      <c r="AA57" s="120"/>
      <c r="AB57" s="120"/>
      <c r="AC57" s="120"/>
      <c r="AD57" s="120"/>
      <c r="AE57" s="120"/>
      <c r="AF57" s="120"/>
      <c r="AG57" s="120"/>
      <c r="AH57" s="120"/>
      <c r="AI57" s="120"/>
      <c r="AJ57" s="120"/>
      <c r="AK57" s="120"/>
      <c r="AL57" s="120"/>
      <c r="AM57" s="120"/>
      <c r="AN57" s="120"/>
      <c r="AO57" s="120"/>
    </row>
    <row r="58" spans="1:41" s="124" customFormat="1" ht="63">
      <c r="A58" s="121"/>
      <c r="B58" s="69"/>
      <c r="C58" s="652"/>
      <c r="D58" s="652"/>
      <c r="E58" s="652"/>
      <c r="F58" s="652"/>
      <c r="G58" s="652"/>
      <c r="H58" s="652"/>
      <c r="I58" s="652"/>
      <c r="J58" s="652"/>
      <c r="K58" s="652"/>
      <c r="L58" s="652"/>
      <c r="M58" s="652"/>
      <c r="N58" s="3" t="s">
        <v>2014</v>
      </c>
      <c r="O58" s="31" t="s">
        <v>701</v>
      </c>
      <c r="P58" s="499">
        <v>98.13</v>
      </c>
      <c r="Q58" s="499">
        <v>99.17</v>
      </c>
      <c r="R58" s="499">
        <v>100</v>
      </c>
      <c r="S58" s="499">
        <v>100</v>
      </c>
      <c r="T58" s="499">
        <v>100</v>
      </c>
      <c r="U58" s="499">
        <v>100</v>
      </c>
      <c r="V58" s="499">
        <v>100</v>
      </c>
      <c r="W58" s="499">
        <v>100</v>
      </c>
      <c r="X58" s="3" t="s">
        <v>1103</v>
      </c>
      <c r="Y58" s="3" t="s">
        <v>1204</v>
      </c>
      <c r="Z58" s="3"/>
      <c r="AA58" s="120"/>
      <c r="AB58" s="120"/>
      <c r="AC58" s="120"/>
      <c r="AD58" s="120"/>
      <c r="AE58" s="120"/>
      <c r="AF58" s="120"/>
      <c r="AG58" s="120"/>
      <c r="AH58" s="120"/>
      <c r="AI58" s="120"/>
      <c r="AJ58" s="120"/>
      <c r="AK58" s="120"/>
      <c r="AL58" s="120"/>
      <c r="AM58" s="120"/>
      <c r="AN58" s="120"/>
      <c r="AO58" s="120"/>
    </row>
    <row r="59" spans="1:41" s="124" customFormat="1" ht="94.5">
      <c r="A59" s="121"/>
      <c r="B59" s="69"/>
      <c r="C59" s="652"/>
      <c r="D59" s="652"/>
      <c r="E59" s="652"/>
      <c r="F59" s="652"/>
      <c r="G59" s="652"/>
      <c r="H59" s="652"/>
      <c r="I59" s="652"/>
      <c r="J59" s="652"/>
      <c r="K59" s="652"/>
      <c r="L59" s="652"/>
      <c r="M59" s="652"/>
      <c r="N59" s="3" t="s">
        <v>1205</v>
      </c>
      <c r="O59" s="31" t="s">
        <v>701</v>
      </c>
      <c r="P59" s="499">
        <v>73.150000000000006</v>
      </c>
      <c r="Q59" s="499">
        <f>8636/11799*100</f>
        <v>73.192643444359689</v>
      </c>
      <c r="R59" s="499">
        <v>73.23</v>
      </c>
      <c r="S59" s="499">
        <v>73.27</v>
      </c>
      <c r="T59" s="499">
        <v>73.31</v>
      </c>
      <c r="U59" s="499">
        <v>73.349999999999994</v>
      </c>
      <c r="V59" s="499">
        <v>73.39</v>
      </c>
      <c r="W59" s="499">
        <v>73.39</v>
      </c>
      <c r="X59" s="3" t="s">
        <v>1103</v>
      </c>
      <c r="Y59" s="3" t="s">
        <v>1206</v>
      </c>
      <c r="Z59" s="3"/>
      <c r="AA59" s="120"/>
      <c r="AB59" s="120"/>
      <c r="AC59" s="120"/>
      <c r="AD59" s="120"/>
      <c r="AE59" s="120"/>
      <c r="AF59" s="120"/>
      <c r="AG59" s="120"/>
      <c r="AH59" s="120"/>
      <c r="AI59" s="120"/>
      <c r="AJ59" s="120"/>
      <c r="AK59" s="120"/>
      <c r="AL59" s="120"/>
      <c r="AM59" s="120"/>
      <c r="AN59" s="120"/>
      <c r="AO59" s="120"/>
    </row>
    <row r="60" spans="1:41" s="124" customFormat="1" ht="94.5">
      <c r="A60" s="121"/>
      <c r="B60" s="69"/>
      <c r="C60" s="652"/>
      <c r="D60" s="652"/>
      <c r="E60" s="652"/>
      <c r="F60" s="652"/>
      <c r="G60" s="652"/>
      <c r="H60" s="652"/>
      <c r="I60" s="652"/>
      <c r="J60" s="653"/>
      <c r="K60" s="653"/>
      <c r="L60" s="653"/>
      <c r="M60" s="653"/>
      <c r="N60" s="3" t="s">
        <v>1207</v>
      </c>
      <c r="O60" s="31" t="s">
        <v>701</v>
      </c>
      <c r="P60" s="499">
        <f>2765/10006*100</f>
        <v>27.633419948031179</v>
      </c>
      <c r="Q60" s="499">
        <f>1998/9501*100</f>
        <v>21.029365329965266</v>
      </c>
      <c r="R60" s="499">
        <v>21.08</v>
      </c>
      <c r="S60" s="499">
        <v>21.13</v>
      </c>
      <c r="T60" s="499">
        <v>21.18</v>
      </c>
      <c r="U60" s="499">
        <v>21.23</v>
      </c>
      <c r="V60" s="499">
        <v>21.28</v>
      </c>
      <c r="W60" s="499">
        <v>21.28</v>
      </c>
      <c r="X60" s="3" t="s">
        <v>1103</v>
      </c>
      <c r="Y60" s="3" t="s">
        <v>1208</v>
      </c>
      <c r="Z60" s="3"/>
      <c r="AA60" s="120"/>
      <c r="AB60" s="120"/>
      <c r="AC60" s="120"/>
      <c r="AD60" s="120"/>
      <c r="AE60" s="120"/>
      <c r="AF60" s="120"/>
      <c r="AG60" s="120"/>
      <c r="AH60" s="120"/>
      <c r="AI60" s="120"/>
      <c r="AJ60" s="120"/>
      <c r="AK60" s="120"/>
      <c r="AL60" s="120"/>
      <c r="AM60" s="120"/>
      <c r="AN60" s="120"/>
      <c r="AO60" s="120"/>
    </row>
    <row r="61" spans="1:41" s="124" customFormat="1" ht="94.5">
      <c r="A61" s="121"/>
      <c r="B61" s="69"/>
      <c r="C61" s="652"/>
      <c r="D61" s="652"/>
      <c r="E61" s="652"/>
      <c r="F61" s="652"/>
      <c r="G61" s="652"/>
      <c r="H61" s="652"/>
      <c r="I61" s="652"/>
      <c r="J61" s="663">
        <v>1.01</v>
      </c>
      <c r="K61" s="3" t="s">
        <v>773</v>
      </c>
      <c r="L61" s="3">
        <v>16</v>
      </c>
      <c r="M61" s="29" t="s">
        <v>162</v>
      </c>
      <c r="N61" s="3" t="s">
        <v>1209</v>
      </c>
      <c r="O61" s="31" t="s">
        <v>701</v>
      </c>
      <c r="P61" s="499">
        <v>94.809186374114205</v>
      </c>
      <c r="Q61" s="499">
        <v>94.82</v>
      </c>
      <c r="R61" s="499">
        <v>94.83</v>
      </c>
      <c r="S61" s="499">
        <v>94.84</v>
      </c>
      <c r="T61" s="499">
        <v>94.85</v>
      </c>
      <c r="U61" s="499">
        <v>94.86</v>
      </c>
      <c r="V61" s="499">
        <v>94.87</v>
      </c>
      <c r="W61" s="499">
        <v>94.87</v>
      </c>
      <c r="X61" s="3" t="s">
        <v>1103</v>
      </c>
      <c r="Y61" s="3" t="s">
        <v>1210</v>
      </c>
      <c r="Z61" s="3"/>
      <c r="AA61" s="120"/>
      <c r="AB61" s="120"/>
      <c r="AC61" s="120"/>
      <c r="AD61" s="120"/>
      <c r="AE61" s="120"/>
      <c r="AF61" s="120"/>
      <c r="AG61" s="120"/>
      <c r="AH61" s="120"/>
      <c r="AI61" s="120"/>
      <c r="AJ61" s="120"/>
      <c r="AK61" s="120"/>
      <c r="AL61" s="120"/>
      <c r="AM61" s="120"/>
      <c r="AN61" s="120"/>
      <c r="AO61" s="120"/>
    </row>
    <row r="62" spans="1:41" s="124" customFormat="1" ht="47.25">
      <c r="A62" s="121"/>
      <c r="B62" s="69"/>
      <c r="C62" s="652"/>
      <c r="D62" s="652"/>
      <c r="E62" s="652"/>
      <c r="F62" s="652"/>
      <c r="G62" s="652"/>
      <c r="H62" s="652"/>
      <c r="I62" s="652"/>
      <c r="J62" s="651"/>
      <c r="K62" s="651"/>
      <c r="L62" s="651"/>
      <c r="M62" s="29"/>
      <c r="N62" s="3" t="s">
        <v>1211</v>
      </c>
      <c r="O62" s="31" t="s">
        <v>701</v>
      </c>
      <c r="P62" s="499">
        <v>0.2</v>
      </c>
      <c r="Q62" s="499">
        <v>0.18</v>
      </c>
      <c r="R62" s="499">
        <v>0.17</v>
      </c>
      <c r="S62" s="499">
        <v>0.16</v>
      </c>
      <c r="T62" s="499">
        <v>0.15</v>
      </c>
      <c r="U62" s="499">
        <v>0.14000000000000001</v>
      </c>
      <c r="V62" s="499">
        <v>0.13</v>
      </c>
      <c r="W62" s="499">
        <v>0.13</v>
      </c>
      <c r="X62" s="3" t="s">
        <v>1103</v>
      </c>
      <c r="Y62" s="3" t="s">
        <v>1212</v>
      </c>
      <c r="Z62" s="3"/>
      <c r="AA62" s="120"/>
      <c r="AB62" s="120"/>
      <c r="AC62" s="120"/>
      <c r="AD62" s="120"/>
      <c r="AE62" s="120"/>
      <c r="AF62" s="120"/>
      <c r="AG62" s="120"/>
      <c r="AH62" s="120"/>
      <c r="AI62" s="120"/>
      <c r="AJ62" s="120"/>
      <c r="AK62" s="120"/>
      <c r="AL62" s="120"/>
      <c r="AM62" s="120"/>
      <c r="AN62" s="120"/>
      <c r="AO62" s="120"/>
    </row>
    <row r="63" spans="1:41" s="124" customFormat="1" ht="63">
      <c r="A63" s="121"/>
      <c r="B63" s="69"/>
      <c r="C63" s="652"/>
      <c r="D63" s="652"/>
      <c r="E63" s="652"/>
      <c r="F63" s="652"/>
      <c r="G63" s="652"/>
      <c r="H63" s="652"/>
      <c r="I63" s="652"/>
      <c r="J63" s="653"/>
      <c r="K63" s="653"/>
      <c r="L63" s="653"/>
      <c r="M63" s="653"/>
      <c r="N63" s="3" t="s">
        <v>1213</v>
      </c>
      <c r="O63" s="31" t="s">
        <v>701</v>
      </c>
      <c r="P63" s="499">
        <v>0.44489263257800449</v>
      </c>
      <c r="Q63" s="499">
        <v>0.43</v>
      </c>
      <c r="R63" s="499">
        <v>0.42</v>
      </c>
      <c r="S63" s="499">
        <v>0.41</v>
      </c>
      <c r="T63" s="499">
        <v>0.4</v>
      </c>
      <c r="U63" s="499">
        <v>0.39</v>
      </c>
      <c r="V63" s="499">
        <v>0.33800000000000002</v>
      </c>
      <c r="W63" s="499">
        <v>0.33800000000000002</v>
      </c>
      <c r="X63" s="3" t="s">
        <v>1103</v>
      </c>
      <c r="Y63" s="3" t="s">
        <v>1214</v>
      </c>
      <c r="Z63" s="3"/>
      <c r="AA63" s="120"/>
      <c r="AB63" s="120"/>
      <c r="AC63" s="120"/>
      <c r="AD63" s="120"/>
      <c r="AE63" s="120"/>
      <c r="AF63" s="120"/>
      <c r="AG63" s="120"/>
      <c r="AH63" s="120"/>
      <c r="AI63" s="120"/>
      <c r="AJ63" s="120"/>
      <c r="AK63" s="120"/>
      <c r="AL63" s="120"/>
      <c r="AM63" s="120"/>
      <c r="AN63" s="120"/>
      <c r="AO63" s="120"/>
    </row>
    <row r="64" spans="1:41" s="124" customFormat="1" ht="315">
      <c r="A64" s="121"/>
      <c r="B64" s="69"/>
      <c r="C64" s="652"/>
      <c r="D64" s="652"/>
      <c r="E64" s="652"/>
      <c r="F64" s="652"/>
      <c r="G64" s="652"/>
      <c r="H64" s="652"/>
      <c r="I64" s="652"/>
      <c r="J64" s="663">
        <v>1.01</v>
      </c>
      <c r="K64" s="651" t="s">
        <v>773</v>
      </c>
      <c r="L64" s="651">
        <v>22</v>
      </c>
      <c r="M64" s="651" t="s">
        <v>1215</v>
      </c>
      <c r="N64" s="3" t="s">
        <v>4345</v>
      </c>
      <c r="O64" s="31" t="s">
        <v>701</v>
      </c>
      <c r="P64" s="501">
        <v>100</v>
      </c>
      <c r="Q64" s="501">
        <v>100</v>
      </c>
      <c r="R64" s="501">
        <v>100</v>
      </c>
      <c r="S64" s="501">
        <v>100</v>
      </c>
      <c r="T64" s="501">
        <v>100</v>
      </c>
      <c r="U64" s="501">
        <v>100</v>
      </c>
      <c r="V64" s="501">
        <v>100</v>
      </c>
      <c r="W64" s="501">
        <v>100</v>
      </c>
      <c r="X64" s="3" t="s">
        <v>1103</v>
      </c>
      <c r="Y64" s="3" t="s">
        <v>1216</v>
      </c>
      <c r="Z64" s="3" t="s">
        <v>4570</v>
      </c>
      <c r="AA64" s="120"/>
      <c r="AB64" s="120"/>
      <c r="AC64" s="120"/>
      <c r="AD64" s="120"/>
      <c r="AE64" s="120"/>
      <c r="AF64" s="120"/>
      <c r="AG64" s="120"/>
      <c r="AH64" s="120"/>
      <c r="AI64" s="120"/>
      <c r="AJ64" s="120"/>
      <c r="AK64" s="120"/>
      <c r="AL64" s="120"/>
      <c r="AM64" s="120"/>
      <c r="AN64" s="120"/>
      <c r="AO64" s="120"/>
    </row>
    <row r="65" spans="1:41" s="124" customFormat="1" ht="315">
      <c r="A65" s="121"/>
      <c r="B65" s="69"/>
      <c r="C65" s="652"/>
      <c r="D65" s="652"/>
      <c r="E65" s="653"/>
      <c r="F65" s="653"/>
      <c r="G65" s="653"/>
      <c r="H65" s="653"/>
      <c r="I65" s="653"/>
      <c r="J65" s="653"/>
      <c r="K65" s="653"/>
      <c r="L65" s="653"/>
      <c r="M65" s="653"/>
      <c r="N65" s="3" t="s">
        <v>4346</v>
      </c>
      <c r="O65" s="31" t="s">
        <v>701</v>
      </c>
      <c r="P65" s="499">
        <v>66.180000000000007</v>
      </c>
      <c r="Q65" s="499">
        <v>74</v>
      </c>
      <c r="R65" s="499">
        <v>74.260000000000005</v>
      </c>
      <c r="S65" s="499">
        <v>74.52</v>
      </c>
      <c r="T65" s="499">
        <v>74.78</v>
      </c>
      <c r="U65" s="499">
        <v>75.040000000000006</v>
      </c>
      <c r="V65" s="499">
        <v>75.3</v>
      </c>
      <c r="W65" s="499">
        <v>75.3</v>
      </c>
      <c r="X65" s="3" t="s">
        <v>1103</v>
      </c>
      <c r="Y65" s="3" t="s">
        <v>1217</v>
      </c>
      <c r="Z65" s="3" t="s">
        <v>4571</v>
      </c>
      <c r="AA65" s="120"/>
      <c r="AB65" s="120"/>
      <c r="AC65" s="120"/>
      <c r="AD65" s="120"/>
      <c r="AE65" s="120"/>
      <c r="AF65" s="120"/>
      <c r="AG65" s="120"/>
      <c r="AH65" s="120"/>
      <c r="AI65" s="120"/>
      <c r="AJ65" s="120"/>
      <c r="AK65" s="120"/>
      <c r="AL65" s="120"/>
      <c r="AM65" s="120"/>
      <c r="AN65" s="120"/>
      <c r="AO65" s="120"/>
    </row>
    <row r="66" spans="1:41" s="124" customFormat="1" ht="110.25">
      <c r="A66" s="121"/>
      <c r="B66" s="69"/>
      <c r="C66" s="652"/>
      <c r="D66" s="652"/>
      <c r="E66" s="651">
        <v>8</v>
      </c>
      <c r="F66" s="651" t="s">
        <v>1218</v>
      </c>
      <c r="G66" s="651" t="s">
        <v>1219</v>
      </c>
      <c r="H66" s="651"/>
      <c r="I66" s="870" t="s">
        <v>4965</v>
      </c>
      <c r="J66" s="3"/>
      <c r="K66" s="3"/>
      <c r="L66" s="3"/>
      <c r="M66" s="3"/>
      <c r="N66" s="3"/>
      <c r="O66" s="31"/>
      <c r="P66" s="499"/>
      <c r="Q66" s="499"/>
      <c r="R66" s="499"/>
      <c r="S66" s="499"/>
      <c r="T66" s="499"/>
      <c r="U66" s="499"/>
      <c r="V66" s="499"/>
      <c r="W66" s="499"/>
      <c r="X66" s="3"/>
      <c r="Y66" s="3"/>
      <c r="Z66" s="3"/>
      <c r="AA66" s="120"/>
      <c r="AB66" s="120"/>
      <c r="AC66" s="120"/>
      <c r="AD66" s="120"/>
      <c r="AE66" s="120"/>
      <c r="AF66" s="120"/>
      <c r="AG66" s="120"/>
      <c r="AH66" s="120"/>
      <c r="AI66" s="120"/>
      <c r="AJ66" s="120"/>
      <c r="AK66" s="120"/>
      <c r="AL66" s="120"/>
      <c r="AM66" s="120"/>
      <c r="AN66" s="120"/>
      <c r="AO66" s="120"/>
    </row>
    <row r="67" spans="1:41" s="124" customFormat="1" ht="63">
      <c r="A67" s="121"/>
      <c r="B67" s="69"/>
      <c r="C67" s="652"/>
      <c r="D67" s="652"/>
      <c r="E67" s="652"/>
      <c r="F67" s="652"/>
      <c r="G67" s="652"/>
      <c r="H67" s="652"/>
      <c r="I67" s="652"/>
      <c r="J67" s="663">
        <v>1.01</v>
      </c>
      <c r="K67" s="651" t="s">
        <v>773</v>
      </c>
      <c r="L67" s="651">
        <v>22</v>
      </c>
      <c r="M67" s="651" t="s">
        <v>1111</v>
      </c>
      <c r="N67" s="3" t="s">
        <v>1220</v>
      </c>
      <c r="O67" s="31" t="s">
        <v>701</v>
      </c>
      <c r="P67" s="499">
        <v>29.63</v>
      </c>
      <c r="Q67" s="499">
        <v>29.63</v>
      </c>
      <c r="R67" s="499">
        <v>33.33</v>
      </c>
      <c r="S67" s="499">
        <v>37.03</v>
      </c>
      <c r="T67" s="499">
        <v>40.729999999999997</v>
      </c>
      <c r="U67" s="499">
        <v>44.43</v>
      </c>
      <c r="V67" s="499">
        <v>48.13</v>
      </c>
      <c r="W67" s="499">
        <v>48.13</v>
      </c>
      <c r="X67" s="3" t="s">
        <v>1103</v>
      </c>
      <c r="Y67" s="3" t="s">
        <v>1221</v>
      </c>
      <c r="Z67" s="3"/>
      <c r="AA67" s="120"/>
      <c r="AB67" s="120"/>
      <c r="AC67" s="120"/>
      <c r="AD67" s="120"/>
      <c r="AE67" s="120"/>
      <c r="AF67" s="120"/>
      <c r="AG67" s="120"/>
      <c r="AH67" s="120"/>
      <c r="AI67" s="120"/>
      <c r="AJ67" s="120"/>
      <c r="AK67" s="120"/>
      <c r="AL67" s="120"/>
      <c r="AM67" s="120"/>
      <c r="AN67" s="120"/>
      <c r="AO67" s="120"/>
    </row>
    <row r="68" spans="1:41" s="124" customFormat="1" ht="63">
      <c r="A68" s="121"/>
      <c r="B68" s="69"/>
      <c r="C68" s="652"/>
      <c r="D68" s="652"/>
      <c r="E68" s="652"/>
      <c r="F68" s="652"/>
      <c r="G68" s="652"/>
      <c r="H68" s="652"/>
      <c r="I68" s="652"/>
      <c r="J68" s="652"/>
      <c r="K68" s="652"/>
      <c r="L68" s="652"/>
      <c r="M68" s="652"/>
      <c r="N68" s="3" t="s">
        <v>1222</v>
      </c>
      <c r="O68" s="31" t="s">
        <v>701</v>
      </c>
      <c r="P68" s="499">
        <v>25.93</v>
      </c>
      <c r="Q68" s="499">
        <v>25.93</v>
      </c>
      <c r="R68" s="499">
        <v>25.93</v>
      </c>
      <c r="S68" s="499">
        <v>25.93</v>
      </c>
      <c r="T68" s="499">
        <v>25.93</v>
      </c>
      <c r="U68" s="499">
        <v>25.93</v>
      </c>
      <c r="V68" s="499">
        <v>25.93</v>
      </c>
      <c r="W68" s="499">
        <v>25.93</v>
      </c>
      <c r="X68" s="3" t="s">
        <v>1103</v>
      </c>
      <c r="Y68" s="3" t="s">
        <v>1223</v>
      </c>
      <c r="Z68" s="3"/>
      <c r="AA68" s="120"/>
      <c r="AB68" s="120"/>
      <c r="AC68" s="120"/>
      <c r="AD68" s="120"/>
      <c r="AE68" s="120"/>
      <c r="AF68" s="120"/>
      <c r="AG68" s="120"/>
      <c r="AH68" s="120"/>
      <c r="AI68" s="120"/>
      <c r="AJ68" s="120"/>
      <c r="AK68" s="120"/>
      <c r="AL68" s="120"/>
      <c r="AM68" s="120"/>
      <c r="AN68" s="120"/>
      <c r="AO68" s="120"/>
    </row>
    <row r="69" spans="1:41" s="124" customFormat="1" ht="63">
      <c r="A69" s="121"/>
      <c r="B69" s="69"/>
      <c r="C69" s="652"/>
      <c r="D69" s="652"/>
      <c r="E69" s="652"/>
      <c r="F69" s="652"/>
      <c r="G69" s="652"/>
      <c r="H69" s="652"/>
      <c r="I69" s="652"/>
      <c r="J69" s="652"/>
      <c r="K69" s="652"/>
      <c r="L69" s="652"/>
      <c r="M69" s="652"/>
      <c r="N69" s="3" t="s">
        <v>1224</v>
      </c>
      <c r="O69" s="31" t="s">
        <v>701</v>
      </c>
      <c r="P69" s="499">
        <v>22.22</v>
      </c>
      <c r="Q69" s="499">
        <v>22.22</v>
      </c>
      <c r="R69" s="499">
        <v>22.22</v>
      </c>
      <c r="S69" s="499">
        <v>22.22</v>
      </c>
      <c r="T69" s="499">
        <v>22.22</v>
      </c>
      <c r="U69" s="499">
        <v>22.22</v>
      </c>
      <c r="V69" s="499">
        <v>22.22</v>
      </c>
      <c r="W69" s="499">
        <v>22.22</v>
      </c>
      <c r="X69" s="3" t="s">
        <v>1103</v>
      </c>
      <c r="Y69" s="3" t="s">
        <v>1225</v>
      </c>
      <c r="Z69" s="3" t="s">
        <v>4347</v>
      </c>
      <c r="AA69" s="120"/>
      <c r="AB69" s="120"/>
      <c r="AC69" s="120"/>
      <c r="AD69" s="120"/>
      <c r="AE69" s="120"/>
      <c r="AF69" s="120"/>
      <c r="AG69" s="120"/>
      <c r="AH69" s="120"/>
      <c r="AI69" s="120"/>
      <c r="AJ69" s="120"/>
      <c r="AK69" s="120"/>
      <c r="AL69" s="120"/>
      <c r="AM69" s="120"/>
      <c r="AN69" s="120"/>
      <c r="AO69" s="120"/>
    </row>
    <row r="70" spans="1:41" s="124" customFormat="1" ht="94.5">
      <c r="A70" s="121"/>
      <c r="B70" s="69"/>
      <c r="C70" s="652"/>
      <c r="D70" s="652"/>
      <c r="E70" s="652"/>
      <c r="F70" s="652"/>
      <c r="G70" s="652"/>
      <c r="H70" s="652"/>
      <c r="I70" s="652"/>
      <c r="J70" s="652"/>
      <c r="K70" s="652"/>
      <c r="L70" s="652"/>
      <c r="M70" s="652"/>
      <c r="N70" s="3" t="s">
        <v>1226</v>
      </c>
      <c r="O70" s="31" t="s">
        <v>701</v>
      </c>
      <c r="P70" s="499">
        <v>15.87</v>
      </c>
      <c r="Q70" s="500">
        <v>15.87</v>
      </c>
      <c r="R70" s="499">
        <v>19.05</v>
      </c>
      <c r="S70" s="499">
        <v>22.23</v>
      </c>
      <c r="T70" s="499">
        <v>25.41</v>
      </c>
      <c r="U70" s="499">
        <v>28.59</v>
      </c>
      <c r="V70" s="499">
        <v>31.77</v>
      </c>
      <c r="W70" s="499">
        <v>31.77</v>
      </c>
      <c r="X70" s="3" t="s">
        <v>1103</v>
      </c>
      <c r="Y70" s="3" t="s">
        <v>1227</v>
      </c>
      <c r="Z70" s="3"/>
      <c r="AA70" s="120"/>
      <c r="AB70" s="120"/>
      <c r="AC70" s="120"/>
      <c r="AD70" s="120"/>
      <c r="AE70" s="120"/>
      <c r="AF70" s="120"/>
      <c r="AG70" s="120"/>
      <c r="AH70" s="120"/>
      <c r="AI70" s="120"/>
      <c r="AJ70" s="120"/>
      <c r="AK70" s="120"/>
      <c r="AL70" s="120"/>
      <c r="AM70" s="120"/>
      <c r="AN70" s="120"/>
      <c r="AO70" s="120"/>
    </row>
    <row r="71" spans="1:41" s="124" customFormat="1" ht="94.5">
      <c r="A71" s="121"/>
      <c r="B71" s="69"/>
      <c r="C71" s="652"/>
      <c r="D71" s="652"/>
      <c r="E71" s="652"/>
      <c r="F71" s="652"/>
      <c r="G71" s="652"/>
      <c r="H71" s="652"/>
      <c r="I71" s="652"/>
      <c r="J71" s="652"/>
      <c r="K71" s="652"/>
      <c r="L71" s="652"/>
      <c r="M71" s="652"/>
      <c r="N71" s="3" t="s">
        <v>1228</v>
      </c>
      <c r="O71" s="31" t="s">
        <v>701</v>
      </c>
      <c r="P71" s="499">
        <v>47.62</v>
      </c>
      <c r="Q71" s="499">
        <v>47.62</v>
      </c>
      <c r="R71" s="499">
        <v>47.62</v>
      </c>
      <c r="S71" s="499">
        <v>47.62</v>
      </c>
      <c r="T71" s="499">
        <v>47.62</v>
      </c>
      <c r="U71" s="499">
        <v>47.62</v>
      </c>
      <c r="V71" s="499">
        <v>47.62</v>
      </c>
      <c r="W71" s="499">
        <v>47.62</v>
      </c>
      <c r="X71" s="3" t="s">
        <v>1103</v>
      </c>
      <c r="Y71" s="3" t="s">
        <v>1229</v>
      </c>
      <c r="Z71" s="3"/>
      <c r="AA71" s="120"/>
      <c r="AB71" s="120"/>
      <c r="AC71" s="120"/>
      <c r="AD71" s="120"/>
      <c r="AE71" s="120"/>
      <c r="AF71" s="120"/>
      <c r="AG71" s="120"/>
      <c r="AH71" s="120"/>
      <c r="AI71" s="120"/>
      <c r="AJ71" s="120"/>
      <c r="AK71" s="120"/>
      <c r="AL71" s="120"/>
      <c r="AM71" s="120"/>
      <c r="AN71" s="120"/>
      <c r="AO71" s="120"/>
    </row>
    <row r="72" spans="1:41" s="124" customFormat="1" ht="94.5">
      <c r="A72" s="121"/>
      <c r="B72" s="69"/>
      <c r="C72" s="652"/>
      <c r="D72" s="652"/>
      <c r="E72" s="652"/>
      <c r="F72" s="652"/>
      <c r="G72" s="652"/>
      <c r="H72" s="652"/>
      <c r="I72" s="652"/>
      <c r="J72" s="652"/>
      <c r="K72" s="652"/>
      <c r="L72" s="652"/>
      <c r="M72" s="652"/>
      <c r="N72" s="3" t="s">
        <v>1230</v>
      </c>
      <c r="O72" s="31" t="s">
        <v>701</v>
      </c>
      <c r="P72" s="499">
        <v>19.05</v>
      </c>
      <c r="Q72" s="499">
        <v>19.05</v>
      </c>
      <c r="R72" s="499">
        <v>19.05</v>
      </c>
      <c r="S72" s="499">
        <v>19.05</v>
      </c>
      <c r="T72" s="499">
        <v>19.05</v>
      </c>
      <c r="U72" s="499">
        <v>19.05</v>
      </c>
      <c r="V72" s="499">
        <v>19.05</v>
      </c>
      <c r="W72" s="499">
        <v>19.05</v>
      </c>
      <c r="X72" s="3" t="s">
        <v>1103</v>
      </c>
      <c r="Y72" s="3" t="s">
        <v>1231</v>
      </c>
      <c r="Z72" s="3" t="s">
        <v>4348</v>
      </c>
      <c r="AA72" s="120"/>
      <c r="AB72" s="120"/>
      <c r="AC72" s="120"/>
      <c r="AD72" s="120"/>
      <c r="AE72" s="120"/>
      <c r="AF72" s="120"/>
      <c r="AG72" s="120"/>
      <c r="AH72" s="120"/>
      <c r="AI72" s="120"/>
      <c r="AJ72" s="120"/>
      <c r="AK72" s="120"/>
      <c r="AL72" s="120"/>
      <c r="AM72" s="120"/>
      <c r="AN72" s="120"/>
      <c r="AO72" s="120"/>
    </row>
    <row r="73" spans="1:41" s="124" customFormat="1" ht="94.5">
      <c r="A73" s="121"/>
      <c r="B73" s="69"/>
      <c r="C73" s="652"/>
      <c r="D73" s="652"/>
      <c r="E73" s="652"/>
      <c r="F73" s="652"/>
      <c r="G73" s="652"/>
      <c r="H73" s="652"/>
      <c r="I73" s="652"/>
      <c r="J73" s="652"/>
      <c r="K73" s="652"/>
      <c r="L73" s="652"/>
      <c r="M73" s="652"/>
      <c r="N73" s="3" t="s">
        <v>2015</v>
      </c>
      <c r="O73" s="31" t="s">
        <v>701</v>
      </c>
      <c r="P73" s="499">
        <f>4824/4857*100</f>
        <v>99.320568252007419</v>
      </c>
      <c r="Q73" s="499">
        <f>5170/5177*100</f>
        <v>99.864786555920418</v>
      </c>
      <c r="R73" s="499">
        <v>100</v>
      </c>
      <c r="S73" s="499">
        <v>100</v>
      </c>
      <c r="T73" s="499">
        <v>100</v>
      </c>
      <c r="U73" s="499">
        <v>100</v>
      </c>
      <c r="V73" s="499">
        <v>100</v>
      </c>
      <c r="W73" s="499">
        <v>100</v>
      </c>
      <c r="X73" s="3" t="s">
        <v>1103</v>
      </c>
      <c r="Y73" s="3" t="s">
        <v>1232</v>
      </c>
      <c r="Z73" s="3"/>
      <c r="AA73" s="120"/>
      <c r="AB73" s="120"/>
      <c r="AC73" s="120"/>
      <c r="AD73" s="120"/>
      <c r="AE73" s="120"/>
      <c r="AF73" s="120"/>
      <c r="AG73" s="120"/>
      <c r="AH73" s="120"/>
      <c r="AI73" s="120"/>
      <c r="AJ73" s="120"/>
      <c r="AK73" s="120"/>
      <c r="AL73" s="120"/>
      <c r="AM73" s="120"/>
      <c r="AN73" s="120"/>
      <c r="AO73" s="120"/>
    </row>
    <row r="74" spans="1:41" s="124" customFormat="1" ht="141.75">
      <c r="A74" s="121"/>
      <c r="B74" s="69"/>
      <c r="C74" s="652"/>
      <c r="D74" s="652"/>
      <c r="E74" s="652"/>
      <c r="F74" s="652"/>
      <c r="G74" s="652"/>
      <c r="H74" s="652"/>
      <c r="I74" s="652"/>
      <c r="J74" s="653"/>
      <c r="K74" s="653"/>
      <c r="L74" s="653"/>
      <c r="M74" s="653"/>
      <c r="N74" s="3" t="s">
        <v>4503</v>
      </c>
      <c r="O74" s="31" t="s">
        <v>701</v>
      </c>
      <c r="P74" s="499">
        <f>3503/4857*100</f>
        <v>72.122709491455623</v>
      </c>
      <c r="Q74" s="499">
        <f>2960/5163*100</f>
        <v>57.331009103234557</v>
      </c>
      <c r="R74" s="499">
        <v>57.43</v>
      </c>
      <c r="S74" s="499">
        <v>57.63</v>
      </c>
      <c r="T74" s="499">
        <v>57.78</v>
      </c>
      <c r="U74" s="499">
        <v>57.93</v>
      </c>
      <c r="V74" s="499">
        <v>58.08</v>
      </c>
      <c r="W74" s="499">
        <v>58.08</v>
      </c>
      <c r="X74" s="3" t="s">
        <v>1103</v>
      </c>
      <c r="Y74" s="3" t="s">
        <v>4504</v>
      </c>
      <c r="Z74" s="3" t="s">
        <v>4349</v>
      </c>
      <c r="AA74" s="120"/>
      <c r="AB74" s="120"/>
      <c r="AC74" s="120"/>
      <c r="AD74" s="120"/>
      <c r="AE74" s="120"/>
      <c r="AF74" s="120"/>
      <c r="AG74" s="120"/>
      <c r="AH74" s="120"/>
      <c r="AI74" s="120"/>
      <c r="AJ74" s="120"/>
      <c r="AK74" s="120"/>
      <c r="AL74" s="120"/>
      <c r="AM74" s="120"/>
      <c r="AN74" s="120"/>
      <c r="AO74" s="120"/>
    </row>
    <row r="75" spans="1:41" s="124" customFormat="1" ht="94.5">
      <c r="A75" s="121"/>
      <c r="B75" s="69"/>
      <c r="C75" s="652"/>
      <c r="D75" s="652"/>
      <c r="E75" s="653"/>
      <c r="F75" s="653"/>
      <c r="G75" s="653"/>
      <c r="H75" s="653"/>
      <c r="I75" s="653"/>
      <c r="J75" s="663">
        <v>1.01</v>
      </c>
      <c r="K75" s="3" t="s">
        <v>773</v>
      </c>
      <c r="L75" s="3">
        <v>17</v>
      </c>
      <c r="M75" s="3" t="s">
        <v>1233</v>
      </c>
      <c r="N75" s="3" t="s">
        <v>1234</v>
      </c>
      <c r="O75" s="31" t="s">
        <v>701</v>
      </c>
      <c r="P75" s="499">
        <v>1.1807668898356665</v>
      </c>
      <c r="Q75" s="499">
        <v>1.64</v>
      </c>
      <c r="R75" s="499">
        <v>1.62</v>
      </c>
      <c r="S75" s="499">
        <v>1.6</v>
      </c>
      <c r="T75" s="499">
        <v>1.58</v>
      </c>
      <c r="U75" s="499">
        <v>1.56</v>
      </c>
      <c r="V75" s="499">
        <v>1.54</v>
      </c>
      <c r="W75" s="499">
        <v>1.54</v>
      </c>
      <c r="X75" s="3" t="s">
        <v>1103</v>
      </c>
      <c r="Y75" s="3" t="s">
        <v>1235</v>
      </c>
      <c r="Z75" s="3"/>
      <c r="AA75" s="120"/>
      <c r="AB75" s="120"/>
      <c r="AC75" s="120"/>
      <c r="AD75" s="120"/>
      <c r="AE75" s="120"/>
      <c r="AF75" s="120"/>
      <c r="AG75" s="120"/>
      <c r="AH75" s="120"/>
      <c r="AI75" s="120"/>
      <c r="AJ75" s="120"/>
      <c r="AK75" s="120"/>
      <c r="AL75" s="120"/>
      <c r="AM75" s="120"/>
      <c r="AN75" s="120"/>
      <c r="AO75" s="120"/>
    </row>
    <row r="76" spans="1:41" s="124" customFormat="1" ht="63">
      <c r="A76" s="121"/>
      <c r="B76" s="69"/>
      <c r="C76" s="652"/>
      <c r="D76" s="652"/>
      <c r="E76" s="651">
        <v>9</v>
      </c>
      <c r="F76" s="651" t="s">
        <v>1236</v>
      </c>
      <c r="G76" s="651" t="s">
        <v>1237</v>
      </c>
      <c r="H76" s="651"/>
      <c r="I76" s="870" t="s">
        <v>4967</v>
      </c>
      <c r="J76" s="3"/>
      <c r="K76" s="3"/>
      <c r="L76" s="3"/>
      <c r="M76" s="3"/>
      <c r="N76" s="3"/>
      <c r="O76" s="31"/>
      <c r="P76" s="499"/>
      <c r="Q76" s="499"/>
      <c r="R76" s="499"/>
      <c r="S76" s="499"/>
      <c r="T76" s="499"/>
      <c r="U76" s="499"/>
      <c r="V76" s="499"/>
      <c r="W76" s="499"/>
      <c r="X76" s="3"/>
      <c r="Y76" s="3"/>
      <c r="Z76" s="3"/>
      <c r="AA76" s="120"/>
      <c r="AB76" s="120"/>
      <c r="AC76" s="120"/>
      <c r="AD76" s="120"/>
      <c r="AE76" s="120"/>
      <c r="AF76" s="120"/>
      <c r="AG76" s="120"/>
      <c r="AH76" s="120"/>
      <c r="AI76" s="120"/>
      <c r="AJ76" s="120"/>
      <c r="AK76" s="120"/>
      <c r="AL76" s="120"/>
      <c r="AM76" s="120"/>
      <c r="AN76" s="120"/>
      <c r="AO76" s="120"/>
    </row>
    <row r="77" spans="1:41" s="124" customFormat="1" ht="94.5">
      <c r="A77" s="121"/>
      <c r="B77" s="69"/>
      <c r="C77" s="653"/>
      <c r="D77" s="653"/>
      <c r="E77" s="653"/>
      <c r="F77" s="653"/>
      <c r="G77" s="653"/>
      <c r="H77" s="653"/>
      <c r="I77" s="653"/>
      <c r="J77" s="663">
        <v>1.01</v>
      </c>
      <c r="K77" s="651" t="s">
        <v>773</v>
      </c>
      <c r="L77" s="651">
        <v>18</v>
      </c>
      <c r="M77" s="651" t="s">
        <v>1238</v>
      </c>
      <c r="N77" s="3" t="s">
        <v>2016</v>
      </c>
      <c r="O77" s="31" t="s">
        <v>701</v>
      </c>
      <c r="P77" s="499">
        <v>90.39</v>
      </c>
      <c r="Q77" s="499">
        <v>81.56</v>
      </c>
      <c r="R77" s="499">
        <v>87.06</v>
      </c>
      <c r="S77" s="499">
        <v>92.56</v>
      </c>
      <c r="T77" s="499">
        <v>92.56</v>
      </c>
      <c r="U77" s="499">
        <v>92.56</v>
      </c>
      <c r="V77" s="499">
        <v>92.56</v>
      </c>
      <c r="W77" s="499">
        <v>92.56</v>
      </c>
      <c r="X77" s="3" t="s">
        <v>1103</v>
      </c>
      <c r="Y77" s="3" t="s">
        <v>1239</v>
      </c>
      <c r="Z77" s="3"/>
      <c r="AA77" s="120"/>
      <c r="AB77" s="120"/>
      <c r="AC77" s="120"/>
      <c r="AD77" s="120"/>
      <c r="AE77" s="120"/>
      <c r="AF77" s="120"/>
      <c r="AG77" s="120"/>
      <c r="AH77" s="120"/>
      <c r="AI77" s="120"/>
      <c r="AJ77" s="120"/>
      <c r="AK77" s="120"/>
      <c r="AL77" s="120"/>
      <c r="AM77" s="120"/>
      <c r="AN77" s="120"/>
      <c r="AO77" s="120"/>
    </row>
    <row r="78" spans="1:41" s="124" customFormat="1" ht="63">
      <c r="A78" s="121"/>
      <c r="B78" s="69"/>
      <c r="C78" s="651">
        <v>4</v>
      </c>
      <c r="D78" s="651" t="s">
        <v>1240</v>
      </c>
      <c r="E78" s="651">
        <v>10</v>
      </c>
      <c r="F78" s="651" t="s">
        <v>1241</v>
      </c>
      <c r="G78" s="651" t="s">
        <v>1242</v>
      </c>
      <c r="H78" s="651"/>
      <c r="I78" s="870" t="s">
        <v>4968</v>
      </c>
      <c r="J78" s="3"/>
      <c r="K78" s="3"/>
      <c r="L78" s="3"/>
      <c r="M78" s="3"/>
      <c r="N78" s="3"/>
      <c r="O78" s="31"/>
      <c r="P78" s="499"/>
      <c r="Q78" s="499"/>
      <c r="R78" s="499"/>
      <c r="S78" s="499"/>
      <c r="T78" s="499"/>
      <c r="U78" s="499"/>
      <c r="V78" s="499"/>
      <c r="W78" s="499"/>
      <c r="X78" s="3"/>
      <c r="Y78" s="3"/>
      <c r="Z78" s="3"/>
      <c r="AA78" s="120"/>
      <c r="AB78" s="120"/>
      <c r="AC78" s="120"/>
      <c r="AD78" s="120"/>
      <c r="AE78" s="120"/>
      <c r="AF78" s="120"/>
      <c r="AG78" s="120"/>
      <c r="AH78" s="120"/>
      <c r="AI78" s="120"/>
      <c r="AJ78" s="120"/>
      <c r="AK78" s="120"/>
      <c r="AL78" s="120"/>
      <c r="AM78" s="120"/>
      <c r="AN78" s="120"/>
      <c r="AO78" s="120"/>
    </row>
    <row r="79" spans="1:41" s="124" customFormat="1" ht="47.25">
      <c r="A79" s="121"/>
      <c r="B79" s="69"/>
      <c r="C79" s="652"/>
      <c r="D79" s="652"/>
      <c r="E79" s="652"/>
      <c r="F79" s="652"/>
      <c r="G79" s="652"/>
      <c r="H79" s="652"/>
      <c r="I79" s="652"/>
      <c r="J79" s="663">
        <v>1.01</v>
      </c>
      <c r="K79" s="3" t="s">
        <v>773</v>
      </c>
      <c r="L79" s="3">
        <v>20</v>
      </c>
      <c r="M79" s="3" t="s">
        <v>1107</v>
      </c>
      <c r="N79" s="3" t="s">
        <v>1243</v>
      </c>
      <c r="O79" s="31" t="s">
        <v>921</v>
      </c>
      <c r="P79" s="125" t="s">
        <v>1244</v>
      </c>
      <c r="Q79" s="125" t="s">
        <v>1244</v>
      </c>
      <c r="R79" s="125" t="s">
        <v>1244</v>
      </c>
      <c r="S79" s="125" t="s">
        <v>1244</v>
      </c>
      <c r="T79" s="125" t="s">
        <v>1244</v>
      </c>
      <c r="U79" s="125" t="s">
        <v>1244</v>
      </c>
      <c r="V79" s="125" t="s">
        <v>1244</v>
      </c>
      <c r="W79" s="125" t="s">
        <v>1244</v>
      </c>
      <c r="X79" s="3" t="s">
        <v>1103</v>
      </c>
      <c r="Y79" s="3" t="s">
        <v>1245</v>
      </c>
      <c r="Z79" s="3"/>
      <c r="AA79" s="120"/>
      <c r="AB79" s="120"/>
      <c r="AC79" s="120"/>
      <c r="AD79" s="120"/>
      <c r="AE79" s="120"/>
      <c r="AF79" s="120"/>
      <c r="AG79" s="120"/>
      <c r="AH79" s="120"/>
      <c r="AI79" s="120"/>
      <c r="AJ79" s="120"/>
      <c r="AK79" s="120"/>
      <c r="AL79" s="120"/>
      <c r="AM79" s="120"/>
      <c r="AN79" s="120"/>
      <c r="AO79" s="120"/>
    </row>
    <row r="80" spans="1:41" s="124" customFormat="1" ht="47.25">
      <c r="A80" s="121"/>
      <c r="B80" s="69"/>
      <c r="C80" s="652"/>
      <c r="D80" s="652"/>
      <c r="E80" s="652"/>
      <c r="F80" s="652"/>
      <c r="G80" s="652"/>
      <c r="H80" s="652"/>
      <c r="I80" s="652"/>
      <c r="J80" s="651"/>
      <c r="K80" s="651"/>
      <c r="L80" s="651"/>
      <c r="M80" s="651"/>
      <c r="N80" s="3" t="s">
        <v>1246</v>
      </c>
      <c r="O80" s="31" t="s">
        <v>921</v>
      </c>
      <c r="P80" s="125" t="s">
        <v>1244</v>
      </c>
      <c r="Q80" s="125" t="s">
        <v>1244</v>
      </c>
      <c r="R80" s="125" t="s">
        <v>1244</v>
      </c>
      <c r="S80" s="125" t="s">
        <v>1244</v>
      </c>
      <c r="T80" s="125" t="s">
        <v>1244</v>
      </c>
      <c r="U80" s="125" t="s">
        <v>1244</v>
      </c>
      <c r="V80" s="125" t="s">
        <v>1244</v>
      </c>
      <c r="W80" s="125" t="s">
        <v>1244</v>
      </c>
      <c r="X80" s="3" t="s">
        <v>1103</v>
      </c>
      <c r="Y80" s="3" t="s">
        <v>1247</v>
      </c>
      <c r="Z80" s="3"/>
      <c r="AA80" s="120"/>
      <c r="AB80" s="120"/>
      <c r="AC80" s="120"/>
      <c r="AD80" s="120"/>
      <c r="AE80" s="120"/>
      <c r="AF80" s="120"/>
      <c r="AG80" s="120"/>
      <c r="AH80" s="120"/>
      <c r="AI80" s="120"/>
      <c r="AJ80" s="120"/>
      <c r="AK80" s="120"/>
      <c r="AL80" s="120"/>
      <c r="AM80" s="120"/>
      <c r="AN80" s="120"/>
      <c r="AO80" s="120"/>
    </row>
    <row r="81" spans="1:41" s="124" customFormat="1" ht="63">
      <c r="A81" s="121"/>
      <c r="B81" s="69"/>
      <c r="C81" s="652"/>
      <c r="D81" s="652"/>
      <c r="E81" s="652"/>
      <c r="F81" s="652"/>
      <c r="G81" s="652"/>
      <c r="H81" s="652"/>
      <c r="I81" s="652"/>
      <c r="J81" s="653"/>
      <c r="K81" s="653"/>
      <c r="L81" s="653"/>
      <c r="M81" s="653"/>
      <c r="N81" s="3" t="s">
        <v>1248</v>
      </c>
      <c r="O81" s="31" t="s">
        <v>921</v>
      </c>
      <c r="P81" s="125" t="s">
        <v>1249</v>
      </c>
      <c r="Q81" s="125" t="s">
        <v>1249</v>
      </c>
      <c r="R81" s="125" t="s">
        <v>1249</v>
      </c>
      <c r="S81" s="125" t="s">
        <v>1937</v>
      </c>
      <c r="T81" s="125" t="s">
        <v>1937</v>
      </c>
      <c r="U81" s="125" t="s">
        <v>1937</v>
      </c>
      <c r="V81" s="125" t="s">
        <v>1937</v>
      </c>
      <c r="W81" s="125" t="s">
        <v>1937</v>
      </c>
      <c r="X81" s="3" t="s">
        <v>1103</v>
      </c>
      <c r="Y81" s="3" t="s">
        <v>1250</v>
      </c>
      <c r="Z81" s="3"/>
      <c r="AA81" s="120"/>
      <c r="AB81" s="120"/>
      <c r="AC81" s="120"/>
      <c r="AD81" s="120"/>
      <c r="AE81" s="120"/>
      <c r="AF81" s="120"/>
      <c r="AG81" s="120"/>
      <c r="AH81" s="120"/>
      <c r="AI81" s="120"/>
      <c r="AJ81" s="120"/>
      <c r="AK81" s="120"/>
      <c r="AL81" s="120"/>
      <c r="AM81" s="120"/>
      <c r="AN81" s="120"/>
      <c r="AO81" s="120"/>
    </row>
    <row r="82" spans="1:41" s="124" customFormat="1" ht="47.25">
      <c r="A82" s="121"/>
      <c r="B82" s="69"/>
      <c r="C82" s="652"/>
      <c r="D82" s="652"/>
      <c r="E82" s="652"/>
      <c r="F82" s="652"/>
      <c r="G82" s="652"/>
      <c r="H82" s="652"/>
      <c r="I82" s="652"/>
      <c r="J82" s="651"/>
      <c r="K82" s="651"/>
      <c r="L82" s="651"/>
      <c r="M82" s="651"/>
      <c r="N82" s="3" t="s">
        <v>1251</v>
      </c>
      <c r="O82" s="31" t="s">
        <v>921</v>
      </c>
      <c r="P82" s="125" t="s">
        <v>1252</v>
      </c>
      <c r="Q82" s="125" t="s">
        <v>1252</v>
      </c>
      <c r="R82" s="125" t="s">
        <v>1252</v>
      </c>
      <c r="S82" s="125" t="s">
        <v>1252</v>
      </c>
      <c r="T82" s="125" t="s">
        <v>1252</v>
      </c>
      <c r="U82" s="125" t="s">
        <v>1252</v>
      </c>
      <c r="V82" s="125" t="s">
        <v>1252</v>
      </c>
      <c r="W82" s="125" t="s">
        <v>1252</v>
      </c>
      <c r="X82" s="3" t="s">
        <v>1103</v>
      </c>
      <c r="Y82" s="3" t="s">
        <v>1253</v>
      </c>
      <c r="Z82" s="3"/>
      <c r="AA82" s="120"/>
      <c r="AB82" s="120"/>
      <c r="AC82" s="120"/>
      <c r="AD82" s="120"/>
      <c r="AE82" s="120"/>
      <c r="AF82" s="120"/>
      <c r="AG82" s="120"/>
      <c r="AH82" s="120"/>
      <c r="AI82" s="120"/>
      <c r="AJ82" s="120"/>
      <c r="AK82" s="120"/>
      <c r="AL82" s="120"/>
      <c r="AM82" s="120"/>
      <c r="AN82" s="120"/>
      <c r="AO82" s="120"/>
    </row>
    <row r="83" spans="1:41" s="124" customFormat="1" ht="47.25">
      <c r="A83" s="121"/>
      <c r="B83" s="69"/>
      <c r="C83" s="652"/>
      <c r="D83" s="652"/>
      <c r="E83" s="653"/>
      <c r="F83" s="653"/>
      <c r="G83" s="653"/>
      <c r="H83" s="653"/>
      <c r="I83" s="653"/>
      <c r="J83" s="653"/>
      <c r="K83" s="653"/>
      <c r="L83" s="653"/>
      <c r="M83" s="653"/>
      <c r="N83" s="3" t="s">
        <v>1254</v>
      </c>
      <c r="O83" s="31" t="s">
        <v>921</v>
      </c>
      <c r="P83" s="125" t="s">
        <v>1255</v>
      </c>
      <c r="Q83" s="125" t="s">
        <v>1255</v>
      </c>
      <c r="R83" s="125" t="s">
        <v>1255</v>
      </c>
      <c r="S83" s="125" t="s">
        <v>1938</v>
      </c>
      <c r="T83" s="125" t="s">
        <v>1938</v>
      </c>
      <c r="U83" s="125" t="s">
        <v>1938</v>
      </c>
      <c r="V83" s="125" t="s">
        <v>1939</v>
      </c>
      <c r="W83" s="125" t="s">
        <v>1939</v>
      </c>
      <c r="X83" s="3" t="s">
        <v>1103</v>
      </c>
      <c r="Y83" s="3" t="s">
        <v>1256</v>
      </c>
      <c r="Z83" s="3"/>
      <c r="AA83" s="120"/>
      <c r="AB83" s="120"/>
      <c r="AC83" s="120"/>
      <c r="AD83" s="120"/>
      <c r="AE83" s="120"/>
      <c r="AF83" s="120"/>
      <c r="AG83" s="120"/>
      <c r="AH83" s="120"/>
      <c r="AI83" s="120"/>
      <c r="AJ83" s="120"/>
      <c r="AK83" s="120"/>
      <c r="AL83" s="120"/>
      <c r="AM83" s="120"/>
      <c r="AN83" s="120"/>
      <c r="AO83" s="120"/>
    </row>
    <row r="84" spans="1:41" s="124" customFormat="1" ht="94.5">
      <c r="A84" s="121"/>
      <c r="B84" s="69"/>
      <c r="C84" s="652"/>
      <c r="D84" s="652"/>
      <c r="E84" s="651">
        <v>11</v>
      </c>
      <c r="F84" s="651" t="s">
        <v>1257</v>
      </c>
      <c r="G84" s="651" t="s">
        <v>1258</v>
      </c>
      <c r="H84" s="651"/>
      <c r="I84" s="870" t="s">
        <v>4969</v>
      </c>
      <c r="J84" s="3"/>
      <c r="K84" s="3"/>
      <c r="L84" s="3"/>
      <c r="M84" s="3"/>
      <c r="N84" s="3"/>
      <c r="O84" s="31"/>
      <c r="P84" s="499"/>
      <c r="Q84" s="499"/>
      <c r="R84" s="499"/>
      <c r="S84" s="499"/>
      <c r="T84" s="499"/>
      <c r="U84" s="499"/>
      <c r="V84" s="499"/>
      <c r="W84" s="499"/>
      <c r="X84" s="3"/>
      <c r="Y84" s="3"/>
      <c r="Z84" s="3"/>
      <c r="AA84" s="120"/>
      <c r="AB84" s="120"/>
      <c r="AC84" s="120"/>
      <c r="AD84" s="120"/>
      <c r="AE84" s="120"/>
      <c r="AF84" s="120"/>
      <c r="AG84" s="120"/>
      <c r="AH84" s="120"/>
      <c r="AI84" s="120"/>
      <c r="AJ84" s="120"/>
      <c r="AK84" s="120"/>
      <c r="AL84" s="120"/>
      <c r="AM84" s="120"/>
      <c r="AN84" s="120"/>
      <c r="AO84" s="120"/>
    </row>
    <row r="85" spans="1:41" s="124" customFormat="1" ht="78.75">
      <c r="A85" s="121"/>
      <c r="B85" s="69"/>
      <c r="C85" s="652"/>
      <c r="D85" s="652"/>
      <c r="E85" s="652"/>
      <c r="F85" s="652"/>
      <c r="G85" s="652"/>
      <c r="H85" s="652"/>
      <c r="I85" s="652"/>
      <c r="J85" s="663">
        <v>1.01</v>
      </c>
      <c r="K85" s="651" t="s">
        <v>773</v>
      </c>
      <c r="L85" s="651">
        <v>20</v>
      </c>
      <c r="M85" s="651" t="s">
        <v>1107</v>
      </c>
      <c r="N85" s="3" t="s">
        <v>1259</v>
      </c>
      <c r="O85" s="31" t="s">
        <v>701</v>
      </c>
      <c r="P85" s="499">
        <f>516/1468*100</f>
        <v>35.14986376021799</v>
      </c>
      <c r="Q85" s="499">
        <v>41.79</v>
      </c>
      <c r="R85" s="499">
        <v>42.34</v>
      </c>
      <c r="S85" s="499">
        <v>42.89</v>
      </c>
      <c r="T85" s="499">
        <v>43.44</v>
      </c>
      <c r="U85" s="499">
        <v>44.33</v>
      </c>
      <c r="V85" s="499">
        <v>45.22</v>
      </c>
      <c r="W85" s="499">
        <v>45.22</v>
      </c>
      <c r="X85" s="3" t="s">
        <v>1103</v>
      </c>
      <c r="Y85" s="3" t="s">
        <v>4505</v>
      </c>
      <c r="Z85" s="3" t="s">
        <v>4350</v>
      </c>
      <c r="AA85" s="120"/>
      <c r="AB85" s="120"/>
      <c r="AC85" s="120"/>
      <c r="AD85" s="120"/>
      <c r="AE85" s="120"/>
      <c r="AF85" s="120"/>
      <c r="AG85" s="120"/>
      <c r="AH85" s="120"/>
      <c r="AI85" s="120"/>
      <c r="AJ85" s="120"/>
      <c r="AK85" s="120"/>
      <c r="AL85" s="120"/>
      <c r="AM85" s="120"/>
      <c r="AN85" s="120"/>
      <c r="AO85" s="120"/>
    </row>
    <row r="86" spans="1:41" s="124" customFormat="1" ht="78.75">
      <c r="A86" s="121"/>
      <c r="B86" s="69"/>
      <c r="C86" s="652"/>
      <c r="D86" s="652"/>
      <c r="E86" s="652"/>
      <c r="F86" s="652"/>
      <c r="G86" s="652"/>
      <c r="H86" s="652"/>
      <c r="I86" s="652"/>
      <c r="J86" s="652"/>
      <c r="K86" s="652"/>
      <c r="L86" s="652"/>
      <c r="M86" s="652"/>
      <c r="N86" s="3" t="s">
        <v>1260</v>
      </c>
      <c r="O86" s="31" t="s">
        <v>701</v>
      </c>
      <c r="P86" s="499">
        <v>63.370350784417418</v>
      </c>
      <c r="Q86" s="499">
        <v>70.510000000000005</v>
      </c>
      <c r="R86" s="499" t="s">
        <v>4477</v>
      </c>
      <c r="S86" s="499" t="s">
        <v>4478</v>
      </c>
      <c r="T86" s="499" t="s">
        <v>4479</v>
      </c>
      <c r="U86" s="499">
        <v>71.16</v>
      </c>
      <c r="V86" s="499">
        <v>71.66</v>
      </c>
      <c r="W86" s="499">
        <v>71.66</v>
      </c>
      <c r="X86" s="3" t="s">
        <v>1103</v>
      </c>
      <c r="Y86" s="3" t="s">
        <v>4506</v>
      </c>
      <c r="Z86" s="3"/>
      <c r="AA86" s="120"/>
      <c r="AB86" s="120"/>
      <c r="AC86" s="120"/>
      <c r="AD86" s="120"/>
      <c r="AE86" s="120"/>
      <c r="AF86" s="120"/>
      <c r="AG86" s="120"/>
      <c r="AH86" s="120"/>
      <c r="AI86" s="120"/>
      <c r="AJ86" s="120"/>
      <c r="AK86" s="120"/>
      <c r="AL86" s="120"/>
      <c r="AM86" s="120"/>
      <c r="AN86" s="120"/>
      <c r="AO86" s="120"/>
    </row>
    <row r="87" spans="1:41" s="124" customFormat="1" ht="94.5">
      <c r="A87" s="121"/>
      <c r="B87" s="69"/>
      <c r="C87" s="652"/>
      <c r="D87" s="652"/>
      <c r="E87" s="652"/>
      <c r="F87" s="652"/>
      <c r="G87" s="652"/>
      <c r="H87" s="652"/>
      <c r="I87" s="652"/>
      <c r="J87" s="652"/>
      <c r="K87" s="652"/>
      <c r="L87" s="652"/>
      <c r="M87" s="652"/>
      <c r="N87" s="3" t="s">
        <v>1261</v>
      </c>
      <c r="O87" s="31" t="s">
        <v>701</v>
      </c>
      <c r="P87" s="499">
        <v>83.286516853932582</v>
      </c>
      <c r="Q87" s="499">
        <v>83.34</v>
      </c>
      <c r="R87" s="499">
        <v>83.39</v>
      </c>
      <c r="S87" s="499">
        <v>83.44</v>
      </c>
      <c r="T87" s="499">
        <v>83.49</v>
      </c>
      <c r="U87" s="499">
        <v>83.54</v>
      </c>
      <c r="V87" s="499">
        <v>83.59</v>
      </c>
      <c r="W87" s="499">
        <v>83.59</v>
      </c>
      <c r="X87" s="3" t="s">
        <v>1103</v>
      </c>
      <c r="Y87" s="3" t="s">
        <v>4507</v>
      </c>
      <c r="Z87" s="3"/>
      <c r="AA87" s="120"/>
      <c r="AB87" s="120"/>
      <c r="AC87" s="120"/>
      <c r="AD87" s="120"/>
      <c r="AE87" s="120"/>
      <c r="AF87" s="120"/>
      <c r="AG87" s="120"/>
      <c r="AH87" s="120"/>
      <c r="AI87" s="120"/>
      <c r="AJ87" s="120"/>
      <c r="AK87" s="120"/>
      <c r="AL87" s="120"/>
      <c r="AM87" s="120"/>
      <c r="AN87" s="120"/>
      <c r="AO87" s="120"/>
    </row>
    <row r="88" spans="1:41" s="124" customFormat="1" ht="94.5">
      <c r="A88" s="121"/>
      <c r="B88" s="69"/>
      <c r="C88" s="652"/>
      <c r="D88" s="652"/>
      <c r="E88" s="652"/>
      <c r="F88" s="652"/>
      <c r="G88" s="652"/>
      <c r="H88" s="652"/>
      <c r="I88" s="652"/>
      <c r="J88" s="652"/>
      <c r="K88" s="652"/>
      <c r="L88" s="652"/>
      <c r="M88" s="652"/>
      <c r="N88" s="3" t="s">
        <v>1262</v>
      </c>
      <c r="O88" s="31" t="s">
        <v>701</v>
      </c>
      <c r="P88" s="499">
        <v>91.448275862068968</v>
      </c>
      <c r="Q88" s="499">
        <v>91.5</v>
      </c>
      <c r="R88" s="499">
        <v>91.55</v>
      </c>
      <c r="S88" s="499">
        <v>91.6</v>
      </c>
      <c r="T88" s="499">
        <v>91.65</v>
      </c>
      <c r="U88" s="499">
        <v>91.7</v>
      </c>
      <c r="V88" s="499">
        <v>91.75</v>
      </c>
      <c r="W88" s="499">
        <v>91.75</v>
      </c>
      <c r="X88" s="3" t="s">
        <v>1103</v>
      </c>
      <c r="Y88" s="3" t="s">
        <v>4508</v>
      </c>
      <c r="Z88" s="3"/>
      <c r="AA88" s="120"/>
      <c r="AB88" s="120"/>
      <c r="AC88" s="120"/>
      <c r="AD88" s="120"/>
      <c r="AE88" s="120"/>
      <c r="AF88" s="120"/>
      <c r="AG88" s="120"/>
      <c r="AH88" s="120"/>
      <c r="AI88" s="120"/>
      <c r="AJ88" s="120"/>
      <c r="AK88" s="120"/>
      <c r="AL88" s="120"/>
      <c r="AM88" s="120"/>
      <c r="AN88" s="120"/>
      <c r="AO88" s="120"/>
    </row>
    <row r="89" spans="1:41" s="124" customFormat="1" ht="78.75">
      <c r="A89" s="121"/>
      <c r="B89" s="69"/>
      <c r="C89" s="652"/>
      <c r="D89" s="652"/>
      <c r="E89" s="652"/>
      <c r="F89" s="652"/>
      <c r="G89" s="652"/>
      <c r="H89" s="652"/>
      <c r="I89" s="652"/>
      <c r="J89" s="652"/>
      <c r="K89" s="652"/>
      <c r="L89" s="652"/>
      <c r="M89" s="652"/>
      <c r="N89" s="3" t="s">
        <v>1263</v>
      </c>
      <c r="O89" s="31" t="s">
        <v>701</v>
      </c>
      <c r="P89" s="499">
        <v>90.209790209790214</v>
      </c>
      <c r="Q89" s="499">
        <v>90.26</v>
      </c>
      <c r="R89" s="499">
        <v>90.31</v>
      </c>
      <c r="S89" s="499">
        <v>90.36</v>
      </c>
      <c r="T89" s="499">
        <v>90.41</v>
      </c>
      <c r="U89" s="499">
        <v>90.46</v>
      </c>
      <c r="V89" s="499">
        <v>90.51</v>
      </c>
      <c r="W89" s="499">
        <v>90.51</v>
      </c>
      <c r="X89" s="3" t="s">
        <v>1103</v>
      </c>
      <c r="Y89" s="3" t="s">
        <v>4509</v>
      </c>
      <c r="Z89" s="3"/>
      <c r="AA89" s="120"/>
      <c r="AB89" s="120"/>
      <c r="AC89" s="120"/>
      <c r="AD89" s="120"/>
      <c r="AE89" s="120"/>
      <c r="AF89" s="120"/>
      <c r="AG89" s="120"/>
      <c r="AH89" s="120"/>
      <c r="AI89" s="120"/>
      <c r="AJ89" s="120"/>
      <c r="AK89" s="120"/>
      <c r="AL89" s="120"/>
      <c r="AM89" s="120"/>
      <c r="AN89" s="120"/>
      <c r="AO89" s="120"/>
    </row>
    <row r="90" spans="1:41" s="124" customFormat="1" ht="157.5">
      <c r="A90" s="121"/>
      <c r="B90" s="69"/>
      <c r="C90" s="652"/>
      <c r="D90" s="652"/>
      <c r="E90" s="652"/>
      <c r="F90" s="652"/>
      <c r="G90" s="652"/>
      <c r="H90" s="652"/>
      <c r="I90" s="652"/>
      <c r="J90" s="652"/>
      <c r="K90" s="652"/>
      <c r="L90" s="652"/>
      <c r="M90" s="652"/>
      <c r="N90" s="3" t="s">
        <v>4351</v>
      </c>
      <c r="O90" s="31" t="s">
        <v>701</v>
      </c>
      <c r="P90" s="499">
        <v>90.87</v>
      </c>
      <c r="Q90" s="499">
        <v>92</v>
      </c>
      <c r="R90" s="499">
        <v>92.6</v>
      </c>
      <c r="S90" s="499">
        <v>93.2</v>
      </c>
      <c r="T90" s="499">
        <v>93.8</v>
      </c>
      <c r="U90" s="499">
        <v>94.4</v>
      </c>
      <c r="V90" s="499">
        <v>95</v>
      </c>
      <c r="W90" s="499">
        <v>95</v>
      </c>
      <c r="X90" s="3" t="s">
        <v>1103</v>
      </c>
      <c r="Y90" s="3" t="s">
        <v>1264</v>
      </c>
      <c r="Z90" s="3" t="s">
        <v>4572</v>
      </c>
      <c r="AA90" s="120"/>
      <c r="AB90" s="120"/>
      <c r="AC90" s="120"/>
      <c r="AD90" s="120"/>
      <c r="AE90" s="120"/>
      <c r="AF90" s="120"/>
      <c r="AG90" s="120"/>
      <c r="AH90" s="120"/>
      <c r="AI90" s="120"/>
      <c r="AJ90" s="120"/>
      <c r="AK90" s="120"/>
      <c r="AL90" s="120"/>
      <c r="AM90" s="120"/>
      <c r="AN90" s="120"/>
      <c r="AO90" s="120"/>
    </row>
    <row r="91" spans="1:41" s="124" customFormat="1" ht="94.5">
      <c r="A91" s="121"/>
      <c r="B91" s="69"/>
      <c r="C91" s="652"/>
      <c r="D91" s="652"/>
      <c r="E91" s="652"/>
      <c r="F91" s="652"/>
      <c r="G91" s="652"/>
      <c r="H91" s="652"/>
      <c r="I91" s="652"/>
      <c r="J91" s="652"/>
      <c r="K91" s="652"/>
      <c r="L91" s="652"/>
      <c r="M91" s="652"/>
      <c r="N91" s="3" t="s">
        <v>4352</v>
      </c>
      <c r="O91" s="31" t="s">
        <v>701</v>
      </c>
      <c r="P91" s="499">
        <v>78.099999999999994</v>
      </c>
      <c r="Q91" s="499">
        <v>78.5</v>
      </c>
      <c r="R91" s="499">
        <v>79.7</v>
      </c>
      <c r="S91" s="499">
        <v>80.900000000000006</v>
      </c>
      <c r="T91" s="499">
        <v>82.1</v>
      </c>
      <c r="U91" s="499">
        <v>83.3</v>
      </c>
      <c r="V91" s="499">
        <v>84.5</v>
      </c>
      <c r="W91" s="499">
        <v>84.5</v>
      </c>
      <c r="X91" s="3" t="s">
        <v>1103</v>
      </c>
      <c r="Y91" s="3" t="s">
        <v>1265</v>
      </c>
      <c r="Z91" s="3" t="s">
        <v>4573</v>
      </c>
      <c r="AA91" s="120"/>
      <c r="AB91" s="120"/>
      <c r="AC91" s="120"/>
      <c r="AD91" s="120"/>
      <c r="AE91" s="120"/>
      <c r="AF91" s="120"/>
      <c r="AG91" s="120"/>
      <c r="AH91" s="120"/>
      <c r="AI91" s="120"/>
      <c r="AJ91" s="120"/>
      <c r="AK91" s="120"/>
      <c r="AL91" s="120"/>
      <c r="AM91" s="120"/>
      <c r="AN91" s="120"/>
      <c r="AO91" s="120"/>
    </row>
    <row r="92" spans="1:41" s="124" customFormat="1" ht="189">
      <c r="A92" s="121"/>
      <c r="B92" s="69"/>
      <c r="C92" s="652"/>
      <c r="D92" s="652"/>
      <c r="E92" s="652"/>
      <c r="F92" s="652"/>
      <c r="G92" s="652"/>
      <c r="H92" s="652"/>
      <c r="I92" s="652"/>
      <c r="J92" s="652"/>
      <c r="K92" s="652"/>
      <c r="L92" s="652"/>
      <c r="M92" s="652"/>
      <c r="N92" s="3" t="s">
        <v>4480</v>
      </c>
      <c r="O92" s="31" t="s">
        <v>701</v>
      </c>
      <c r="P92" s="499">
        <v>81.3</v>
      </c>
      <c r="Q92" s="499">
        <v>81.5</v>
      </c>
      <c r="R92" s="499">
        <v>83</v>
      </c>
      <c r="S92" s="499">
        <v>84.5</v>
      </c>
      <c r="T92" s="499">
        <v>86</v>
      </c>
      <c r="U92" s="499">
        <v>87.5</v>
      </c>
      <c r="V92" s="499">
        <v>89</v>
      </c>
      <c r="W92" s="499">
        <v>89</v>
      </c>
      <c r="X92" s="3" t="s">
        <v>1103</v>
      </c>
      <c r="Y92" s="3" t="s">
        <v>1266</v>
      </c>
      <c r="Z92" s="3" t="s">
        <v>4574</v>
      </c>
      <c r="AA92" s="120"/>
      <c r="AB92" s="120"/>
      <c r="AC92" s="120"/>
      <c r="AD92" s="120"/>
      <c r="AE92" s="120"/>
      <c r="AF92" s="120"/>
      <c r="AG92" s="120"/>
      <c r="AH92" s="120"/>
      <c r="AI92" s="120"/>
      <c r="AJ92" s="120"/>
      <c r="AK92" s="120"/>
      <c r="AL92" s="120"/>
      <c r="AM92" s="120"/>
      <c r="AN92" s="120"/>
      <c r="AO92" s="120"/>
    </row>
    <row r="93" spans="1:41" s="124" customFormat="1" ht="220.5">
      <c r="A93" s="121"/>
      <c r="B93" s="69"/>
      <c r="C93" s="652"/>
      <c r="D93" s="652"/>
      <c r="E93" s="652"/>
      <c r="F93" s="652"/>
      <c r="G93" s="652"/>
      <c r="H93" s="652"/>
      <c r="I93" s="652"/>
      <c r="J93" s="653"/>
      <c r="K93" s="653"/>
      <c r="L93" s="653"/>
      <c r="M93" s="653"/>
      <c r="N93" s="3" t="s">
        <v>4353</v>
      </c>
      <c r="O93" s="31" t="s">
        <v>701</v>
      </c>
      <c r="P93" s="499">
        <v>72.38</v>
      </c>
      <c r="Q93" s="499">
        <v>72.5</v>
      </c>
      <c r="R93" s="499">
        <v>74.5</v>
      </c>
      <c r="S93" s="499">
        <v>76.5</v>
      </c>
      <c r="T93" s="499">
        <v>78.5</v>
      </c>
      <c r="U93" s="499">
        <v>80.5</v>
      </c>
      <c r="V93" s="499">
        <v>82.5</v>
      </c>
      <c r="W93" s="499">
        <v>82.5</v>
      </c>
      <c r="X93" s="3" t="s">
        <v>1103</v>
      </c>
      <c r="Y93" s="3" t="s">
        <v>1267</v>
      </c>
      <c r="Z93" s="3" t="s">
        <v>4575</v>
      </c>
      <c r="AA93" s="120"/>
      <c r="AB93" s="120"/>
      <c r="AC93" s="120"/>
      <c r="AD93" s="120"/>
      <c r="AE93" s="120"/>
      <c r="AF93" s="120"/>
      <c r="AG93" s="120"/>
      <c r="AH93" s="120"/>
      <c r="AI93" s="120"/>
      <c r="AJ93" s="120"/>
      <c r="AK93" s="120"/>
      <c r="AL93" s="120"/>
      <c r="AM93" s="120"/>
      <c r="AN93" s="120"/>
      <c r="AO93" s="120"/>
    </row>
    <row r="94" spans="1:41" s="124" customFormat="1" ht="220.5">
      <c r="A94" s="121"/>
      <c r="B94" s="69"/>
      <c r="C94" s="652"/>
      <c r="D94" s="652"/>
      <c r="E94" s="652"/>
      <c r="F94" s="652"/>
      <c r="G94" s="652"/>
      <c r="H94" s="652"/>
      <c r="I94" s="652"/>
      <c r="J94" s="663">
        <v>1.01</v>
      </c>
      <c r="K94" s="651" t="s">
        <v>773</v>
      </c>
      <c r="L94" s="651">
        <v>20</v>
      </c>
      <c r="M94" s="651" t="s">
        <v>1107</v>
      </c>
      <c r="N94" s="3" t="s">
        <v>4510</v>
      </c>
      <c r="O94" s="31" t="s">
        <v>701</v>
      </c>
      <c r="P94" s="499">
        <v>65.709999999999994</v>
      </c>
      <c r="Q94" s="499">
        <v>66</v>
      </c>
      <c r="R94" s="499">
        <v>67.7</v>
      </c>
      <c r="S94" s="499">
        <v>69.400000000000006</v>
      </c>
      <c r="T94" s="499">
        <v>71.099999999999994</v>
      </c>
      <c r="U94" s="499">
        <v>72.8</v>
      </c>
      <c r="V94" s="499">
        <v>74.5</v>
      </c>
      <c r="W94" s="499">
        <v>74.5</v>
      </c>
      <c r="X94" s="3" t="s">
        <v>1103</v>
      </c>
      <c r="Y94" s="3" t="s">
        <v>1268</v>
      </c>
      <c r="Z94" s="3" t="s">
        <v>4631</v>
      </c>
      <c r="AA94" s="120"/>
      <c r="AB94" s="120"/>
      <c r="AC94" s="120"/>
      <c r="AD94" s="120"/>
      <c r="AE94" s="120"/>
      <c r="AF94" s="120"/>
      <c r="AG94" s="120"/>
      <c r="AH94" s="120"/>
      <c r="AI94" s="120"/>
      <c r="AJ94" s="120"/>
      <c r="AK94" s="120"/>
      <c r="AL94" s="120"/>
      <c r="AM94" s="120"/>
      <c r="AN94" s="120"/>
      <c r="AO94" s="120"/>
    </row>
    <row r="95" spans="1:41" s="124" customFormat="1" ht="110.25">
      <c r="A95" s="121"/>
      <c r="B95" s="69"/>
      <c r="C95" s="652"/>
      <c r="D95" s="652"/>
      <c r="E95" s="652"/>
      <c r="F95" s="652"/>
      <c r="G95" s="652"/>
      <c r="H95" s="652"/>
      <c r="I95" s="652"/>
      <c r="J95" s="652"/>
      <c r="K95" s="652"/>
      <c r="L95" s="652"/>
      <c r="M95" s="652"/>
      <c r="N95" s="3" t="s">
        <v>4354</v>
      </c>
      <c r="O95" s="31" t="s">
        <v>701</v>
      </c>
      <c r="P95" s="499">
        <v>82.96</v>
      </c>
      <c r="Q95" s="499">
        <v>83</v>
      </c>
      <c r="R95" s="499">
        <v>84.2</v>
      </c>
      <c r="S95" s="499">
        <v>85.4</v>
      </c>
      <c r="T95" s="499">
        <v>86.6</v>
      </c>
      <c r="U95" s="499">
        <v>87.8</v>
      </c>
      <c r="V95" s="499">
        <v>89</v>
      </c>
      <c r="W95" s="499">
        <v>89</v>
      </c>
      <c r="X95" s="3" t="s">
        <v>1103</v>
      </c>
      <c r="Y95" s="3" t="s">
        <v>1269</v>
      </c>
      <c r="Z95" s="3" t="s">
        <v>4576</v>
      </c>
      <c r="AA95" s="120"/>
      <c r="AB95" s="120"/>
      <c r="AC95" s="120"/>
      <c r="AD95" s="120"/>
      <c r="AE95" s="120"/>
      <c r="AF95" s="120"/>
      <c r="AG95" s="120"/>
      <c r="AH95" s="120"/>
      <c r="AI95" s="120"/>
      <c r="AJ95" s="120"/>
      <c r="AK95" s="120"/>
      <c r="AL95" s="120"/>
      <c r="AM95" s="120"/>
      <c r="AN95" s="120"/>
      <c r="AO95" s="120"/>
    </row>
    <row r="96" spans="1:41" s="124" customFormat="1" ht="126">
      <c r="A96" s="121"/>
      <c r="B96" s="69"/>
      <c r="C96" s="652"/>
      <c r="D96" s="652"/>
      <c r="E96" s="652"/>
      <c r="F96" s="652"/>
      <c r="G96" s="652"/>
      <c r="H96" s="652"/>
      <c r="I96" s="652"/>
      <c r="J96" s="652"/>
      <c r="K96" s="652"/>
      <c r="L96" s="652"/>
      <c r="M96" s="652"/>
      <c r="N96" s="3" t="s">
        <v>4355</v>
      </c>
      <c r="O96" s="31" t="s">
        <v>701</v>
      </c>
      <c r="P96" s="499">
        <v>90.48</v>
      </c>
      <c r="Q96" s="499">
        <v>90.5</v>
      </c>
      <c r="R96" s="499">
        <v>92</v>
      </c>
      <c r="S96" s="499">
        <v>93.5</v>
      </c>
      <c r="T96" s="499">
        <v>95</v>
      </c>
      <c r="U96" s="499">
        <v>96.5</v>
      </c>
      <c r="V96" s="499">
        <v>98</v>
      </c>
      <c r="W96" s="499">
        <v>98</v>
      </c>
      <c r="X96" s="3" t="s">
        <v>1103</v>
      </c>
      <c r="Y96" s="3" t="s">
        <v>1270</v>
      </c>
      <c r="Z96" s="3" t="s">
        <v>4577</v>
      </c>
      <c r="AA96" s="120"/>
      <c r="AB96" s="120"/>
      <c r="AC96" s="120"/>
      <c r="AD96" s="120"/>
      <c r="AE96" s="120"/>
      <c r="AF96" s="120"/>
      <c r="AG96" s="120"/>
      <c r="AH96" s="120"/>
      <c r="AI96" s="120"/>
      <c r="AJ96" s="120"/>
      <c r="AK96" s="120"/>
      <c r="AL96" s="120"/>
      <c r="AM96" s="120"/>
      <c r="AN96" s="120"/>
      <c r="AO96" s="120"/>
    </row>
    <row r="97" spans="1:41" s="124" customFormat="1" ht="157.5">
      <c r="A97" s="121"/>
      <c r="B97" s="69"/>
      <c r="C97" s="652"/>
      <c r="D97" s="652"/>
      <c r="E97" s="653"/>
      <c r="F97" s="653"/>
      <c r="G97" s="653"/>
      <c r="H97" s="653"/>
      <c r="I97" s="653"/>
      <c r="J97" s="653"/>
      <c r="K97" s="653"/>
      <c r="L97" s="653"/>
      <c r="M97" s="653"/>
      <c r="N97" s="3" t="s">
        <v>4356</v>
      </c>
      <c r="O97" s="31" t="s">
        <v>701</v>
      </c>
      <c r="P97" s="499">
        <v>100</v>
      </c>
      <c r="Q97" s="499">
        <v>95.92</v>
      </c>
      <c r="R97" s="499">
        <v>95.92</v>
      </c>
      <c r="S97" s="499">
        <v>95.92</v>
      </c>
      <c r="T97" s="499">
        <v>95.92</v>
      </c>
      <c r="U97" s="499">
        <v>95.92</v>
      </c>
      <c r="V97" s="499">
        <v>95.92</v>
      </c>
      <c r="W97" s="499">
        <v>95.92</v>
      </c>
      <c r="X97" s="3" t="s">
        <v>1103</v>
      </c>
      <c r="Y97" s="3" t="s">
        <v>1271</v>
      </c>
      <c r="Z97" s="3" t="s">
        <v>4578</v>
      </c>
      <c r="AA97" s="120"/>
      <c r="AB97" s="120"/>
      <c r="AC97" s="120"/>
      <c r="AD97" s="120"/>
      <c r="AE97" s="120"/>
      <c r="AF97" s="120"/>
      <c r="AG97" s="120"/>
      <c r="AH97" s="120"/>
      <c r="AI97" s="120"/>
      <c r="AJ97" s="120"/>
      <c r="AK97" s="120"/>
      <c r="AL97" s="120"/>
      <c r="AM97" s="120"/>
      <c r="AN97" s="120"/>
      <c r="AO97" s="120"/>
    </row>
    <row r="98" spans="1:41" s="124" customFormat="1" ht="94.5">
      <c r="A98" s="121"/>
      <c r="B98" s="69"/>
      <c r="C98" s="652"/>
      <c r="D98" s="652"/>
      <c r="E98" s="651">
        <v>12</v>
      </c>
      <c r="F98" s="651" t="s">
        <v>1272</v>
      </c>
      <c r="G98" s="651" t="s">
        <v>1273</v>
      </c>
      <c r="H98" s="651"/>
      <c r="I98" s="870" t="s">
        <v>4970</v>
      </c>
      <c r="J98" s="3"/>
      <c r="K98" s="3"/>
      <c r="L98" s="3"/>
      <c r="M98" s="3"/>
      <c r="N98" s="3"/>
      <c r="O98" s="31"/>
      <c r="P98" s="499"/>
      <c r="Q98" s="499"/>
      <c r="R98" s="499"/>
      <c r="S98" s="499"/>
      <c r="T98" s="499"/>
      <c r="U98" s="499"/>
      <c r="V98" s="499"/>
      <c r="W98" s="499"/>
      <c r="X98" s="3"/>
      <c r="Y98" s="3"/>
      <c r="Z98" s="3"/>
      <c r="AA98" s="120"/>
      <c r="AB98" s="120"/>
      <c r="AC98" s="120"/>
      <c r="AD98" s="120"/>
      <c r="AE98" s="120"/>
      <c r="AF98" s="120"/>
      <c r="AG98" s="120"/>
      <c r="AH98" s="120"/>
      <c r="AI98" s="120"/>
      <c r="AJ98" s="120"/>
      <c r="AK98" s="120"/>
      <c r="AL98" s="120"/>
      <c r="AM98" s="120"/>
      <c r="AN98" s="120"/>
      <c r="AO98" s="120"/>
    </row>
    <row r="99" spans="1:41" s="124" customFormat="1" ht="78.75">
      <c r="A99" s="121"/>
      <c r="B99" s="69"/>
      <c r="C99" s="652"/>
      <c r="D99" s="652"/>
      <c r="E99" s="652"/>
      <c r="F99" s="652"/>
      <c r="G99" s="652"/>
      <c r="H99" s="652"/>
      <c r="I99" s="652"/>
      <c r="J99" s="663">
        <v>1.01</v>
      </c>
      <c r="K99" s="651" t="s">
        <v>773</v>
      </c>
      <c r="L99" s="651">
        <v>20</v>
      </c>
      <c r="M99" s="651" t="s">
        <v>1107</v>
      </c>
      <c r="N99" s="3" t="s">
        <v>1274</v>
      </c>
      <c r="O99" s="31" t="s">
        <v>701</v>
      </c>
      <c r="P99" s="499">
        <v>3.13</v>
      </c>
      <c r="Q99" s="499">
        <v>3.23</v>
      </c>
      <c r="R99" s="499">
        <v>3.33</v>
      </c>
      <c r="S99" s="499">
        <v>3.43</v>
      </c>
      <c r="T99" s="499">
        <v>3.53</v>
      </c>
      <c r="U99" s="499">
        <v>3.63</v>
      </c>
      <c r="V99" s="499">
        <v>3.73</v>
      </c>
      <c r="W99" s="499">
        <v>3.73</v>
      </c>
      <c r="X99" s="3" t="s">
        <v>1275</v>
      </c>
      <c r="Y99" s="3" t="s">
        <v>1276</v>
      </c>
      <c r="Z99" s="3" t="s">
        <v>4357</v>
      </c>
      <c r="AA99" s="120"/>
      <c r="AB99" s="120"/>
      <c r="AC99" s="120"/>
      <c r="AD99" s="120"/>
      <c r="AE99" s="120"/>
      <c r="AF99" s="120"/>
      <c r="AG99" s="120"/>
      <c r="AH99" s="120"/>
      <c r="AI99" s="120"/>
      <c r="AJ99" s="120"/>
      <c r="AK99" s="120"/>
      <c r="AL99" s="120"/>
      <c r="AM99" s="120"/>
      <c r="AN99" s="120"/>
      <c r="AO99" s="120"/>
    </row>
    <row r="100" spans="1:41" s="124" customFormat="1" ht="78.75">
      <c r="A100" s="121"/>
      <c r="B100" s="69"/>
      <c r="C100" s="652"/>
      <c r="D100" s="652"/>
      <c r="E100" s="652"/>
      <c r="F100" s="652"/>
      <c r="G100" s="652"/>
      <c r="H100" s="652"/>
      <c r="I100" s="652"/>
      <c r="J100" s="652"/>
      <c r="K100" s="652"/>
      <c r="L100" s="652"/>
      <c r="M100" s="652"/>
      <c r="N100" s="3" t="s">
        <v>1277</v>
      </c>
      <c r="O100" s="31" t="s">
        <v>701</v>
      </c>
      <c r="P100" s="499">
        <v>30.8</v>
      </c>
      <c r="Q100" s="499">
        <v>30.9</v>
      </c>
      <c r="R100" s="499">
        <v>31</v>
      </c>
      <c r="S100" s="499">
        <v>31.1</v>
      </c>
      <c r="T100" s="499">
        <v>31.2</v>
      </c>
      <c r="U100" s="499">
        <v>31.3</v>
      </c>
      <c r="V100" s="499">
        <v>31.4</v>
      </c>
      <c r="W100" s="499">
        <v>31.4</v>
      </c>
      <c r="X100" s="3" t="s">
        <v>1275</v>
      </c>
      <c r="Y100" s="3" t="s">
        <v>1278</v>
      </c>
      <c r="Z100" s="3" t="s">
        <v>4357</v>
      </c>
      <c r="AA100" s="120"/>
      <c r="AB100" s="120"/>
      <c r="AC100" s="120"/>
      <c r="AD100" s="120"/>
      <c r="AE100" s="120"/>
      <c r="AF100" s="120"/>
      <c r="AG100" s="120"/>
      <c r="AH100" s="120"/>
      <c r="AI100" s="120"/>
      <c r="AJ100" s="120"/>
      <c r="AK100" s="120"/>
      <c r="AL100" s="120"/>
      <c r="AM100" s="120"/>
      <c r="AN100" s="120"/>
      <c r="AO100" s="120"/>
    </row>
    <row r="101" spans="1:41" s="124" customFormat="1" ht="94.5">
      <c r="A101" s="121"/>
      <c r="B101" s="69"/>
      <c r="C101" s="652"/>
      <c r="D101" s="652"/>
      <c r="E101" s="652"/>
      <c r="F101" s="652"/>
      <c r="G101" s="652"/>
      <c r="H101" s="652"/>
      <c r="I101" s="652"/>
      <c r="J101" s="652"/>
      <c r="K101" s="652"/>
      <c r="L101" s="652"/>
      <c r="M101" s="652"/>
      <c r="N101" s="3" t="s">
        <v>1279</v>
      </c>
      <c r="O101" s="31" t="s">
        <v>701</v>
      </c>
      <c r="P101" s="499">
        <v>50.09</v>
      </c>
      <c r="Q101" s="499">
        <v>5019</v>
      </c>
      <c r="R101" s="499">
        <v>50.29</v>
      </c>
      <c r="S101" s="499">
        <v>50.39</v>
      </c>
      <c r="T101" s="499">
        <v>50.49</v>
      </c>
      <c r="U101" s="499" t="s">
        <v>1940</v>
      </c>
      <c r="V101" s="499">
        <v>50.69</v>
      </c>
      <c r="W101" s="499">
        <v>50.69</v>
      </c>
      <c r="X101" s="3" t="s">
        <v>1275</v>
      </c>
      <c r="Y101" s="3" t="s">
        <v>1280</v>
      </c>
      <c r="Z101" s="3" t="s">
        <v>4357</v>
      </c>
      <c r="AA101" s="120"/>
      <c r="AB101" s="120"/>
      <c r="AC101" s="120"/>
      <c r="AD101" s="120"/>
      <c r="AE101" s="120"/>
      <c r="AF101" s="120"/>
      <c r="AG101" s="120"/>
      <c r="AH101" s="120"/>
      <c r="AI101" s="120"/>
      <c r="AJ101" s="120"/>
      <c r="AK101" s="120"/>
      <c r="AL101" s="120"/>
      <c r="AM101" s="120"/>
      <c r="AN101" s="120"/>
      <c r="AO101" s="120"/>
    </row>
    <row r="102" spans="1:41" s="124" customFormat="1" ht="94.5">
      <c r="A102" s="121"/>
      <c r="B102" s="69"/>
      <c r="C102" s="652"/>
      <c r="D102" s="652"/>
      <c r="E102" s="652"/>
      <c r="F102" s="652"/>
      <c r="G102" s="652"/>
      <c r="H102" s="652"/>
      <c r="I102" s="652"/>
      <c r="J102" s="652"/>
      <c r="K102" s="652"/>
      <c r="L102" s="652"/>
      <c r="M102" s="652"/>
      <c r="N102" s="3" t="s">
        <v>1281</v>
      </c>
      <c r="O102" s="31" t="s">
        <v>701</v>
      </c>
      <c r="P102" s="499">
        <v>44.79</v>
      </c>
      <c r="Q102" s="499">
        <v>44.89</v>
      </c>
      <c r="R102" s="499">
        <v>44.99</v>
      </c>
      <c r="S102" s="499">
        <v>45.09</v>
      </c>
      <c r="T102" s="499">
        <v>45.19</v>
      </c>
      <c r="U102" s="499">
        <v>45.29</v>
      </c>
      <c r="V102" s="499">
        <v>45.39</v>
      </c>
      <c r="W102" s="499">
        <v>45.39</v>
      </c>
      <c r="X102" s="3" t="s">
        <v>1275</v>
      </c>
      <c r="Y102" s="3" t="s">
        <v>1282</v>
      </c>
      <c r="Z102" s="3" t="s">
        <v>4357</v>
      </c>
      <c r="AA102" s="120"/>
      <c r="AB102" s="120"/>
      <c r="AC102" s="120"/>
      <c r="AD102" s="120"/>
      <c r="AE102" s="120"/>
      <c r="AF102" s="120"/>
      <c r="AG102" s="120"/>
      <c r="AH102" s="120"/>
      <c r="AI102" s="120"/>
      <c r="AJ102" s="120"/>
      <c r="AK102" s="120"/>
      <c r="AL102" s="120"/>
      <c r="AM102" s="120"/>
      <c r="AN102" s="120"/>
      <c r="AO102" s="120"/>
    </row>
    <row r="103" spans="1:41" s="124" customFormat="1" ht="78.75">
      <c r="A103" s="121"/>
      <c r="B103" s="69"/>
      <c r="C103" s="652"/>
      <c r="D103" s="652"/>
      <c r="E103" s="653"/>
      <c r="F103" s="653"/>
      <c r="G103" s="653"/>
      <c r="H103" s="653"/>
      <c r="I103" s="653"/>
      <c r="J103" s="653"/>
      <c r="K103" s="653"/>
      <c r="L103" s="653"/>
      <c r="M103" s="653"/>
      <c r="N103" s="3" t="s">
        <v>1283</v>
      </c>
      <c r="O103" s="31" t="s">
        <v>701</v>
      </c>
      <c r="P103" s="499">
        <v>44.79</v>
      </c>
      <c r="Q103" s="499">
        <v>44.89</v>
      </c>
      <c r="R103" s="499">
        <v>44.99</v>
      </c>
      <c r="S103" s="499">
        <v>45.09</v>
      </c>
      <c r="T103" s="499">
        <v>45.19</v>
      </c>
      <c r="U103" s="499">
        <v>45.29</v>
      </c>
      <c r="V103" s="499">
        <v>45.39</v>
      </c>
      <c r="W103" s="499">
        <v>45.39</v>
      </c>
      <c r="X103" s="3" t="s">
        <v>1275</v>
      </c>
      <c r="Y103" s="3" t="s">
        <v>1284</v>
      </c>
      <c r="Z103" s="3" t="s">
        <v>4357</v>
      </c>
      <c r="AA103" s="120"/>
      <c r="AB103" s="120"/>
      <c r="AC103" s="120"/>
      <c r="AD103" s="120"/>
      <c r="AE103" s="120"/>
      <c r="AF103" s="120"/>
      <c r="AG103" s="120"/>
      <c r="AH103" s="120"/>
      <c r="AI103" s="120"/>
      <c r="AJ103" s="120"/>
      <c r="AK103" s="120"/>
      <c r="AL103" s="120"/>
      <c r="AM103" s="120"/>
      <c r="AN103" s="120"/>
      <c r="AO103" s="120"/>
    </row>
    <row r="104" spans="1:41" s="124" customFormat="1" ht="94.5">
      <c r="A104" s="121"/>
      <c r="B104" s="69"/>
      <c r="C104" s="652"/>
      <c r="D104" s="652"/>
      <c r="E104" s="651">
        <v>13</v>
      </c>
      <c r="F104" s="651" t="s">
        <v>1285</v>
      </c>
      <c r="G104" s="651" t="s">
        <v>1286</v>
      </c>
      <c r="H104" s="651"/>
      <c r="I104" s="879" t="s">
        <v>4971</v>
      </c>
      <c r="J104" s="3"/>
      <c r="K104" s="3"/>
      <c r="L104" s="3"/>
      <c r="M104" s="3"/>
      <c r="N104" s="3"/>
      <c r="O104" s="31"/>
      <c r="P104" s="499"/>
      <c r="Q104" s="499"/>
      <c r="R104" s="499"/>
      <c r="S104" s="499"/>
      <c r="T104" s="499"/>
      <c r="U104" s="499"/>
      <c r="V104" s="499"/>
      <c r="W104" s="499"/>
      <c r="X104" s="3"/>
      <c r="Y104" s="3"/>
      <c r="Z104" s="3"/>
      <c r="AA104" s="120"/>
      <c r="AB104" s="120"/>
      <c r="AC104" s="120"/>
      <c r="AD104" s="120"/>
      <c r="AE104" s="120"/>
      <c r="AF104" s="120"/>
      <c r="AG104" s="120"/>
      <c r="AH104" s="120"/>
      <c r="AI104" s="120"/>
      <c r="AJ104" s="120"/>
      <c r="AK104" s="120"/>
      <c r="AL104" s="120"/>
      <c r="AM104" s="120"/>
      <c r="AN104" s="120"/>
      <c r="AO104" s="120"/>
    </row>
    <row r="105" spans="1:41" s="124" customFormat="1" ht="47.25">
      <c r="A105" s="121"/>
      <c r="B105" s="69"/>
      <c r="C105" s="652"/>
      <c r="D105" s="652"/>
      <c r="E105" s="652"/>
      <c r="F105" s="652"/>
      <c r="G105" s="652"/>
      <c r="H105" s="652"/>
      <c r="I105" s="652"/>
      <c r="J105" s="663">
        <v>1.01</v>
      </c>
      <c r="K105" s="651" t="s">
        <v>773</v>
      </c>
      <c r="L105" s="651">
        <v>20</v>
      </c>
      <c r="M105" s="651" t="s">
        <v>1107</v>
      </c>
      <c r="N105" s="3" t="s">
        <v>1287</v>
      </c>
      <c r="O105" s="31" t="s">
        <v>1288</v>
      </c>
      <c r="P105" s="501">
        <v>181</v>
      </c>
      <c r="Q105" s="501">
        <v>181</v>
      </c>
      <c r="R105" s="501">
        <v>181</v>
      </c>
      <c r="S105" s="501">
        <v>181</v>
      </c>
      <c r="T105" s="501">
        <v>181</v>
      </c>
      <c r="U105" s="501">
        <v>181</v>
      </c>
      <c r="V105" s="501">
        <v>181</v>
      </c>
      <c r="W105" s="501">
        <v>181</v>
      </c>
      <c r="X105" s="3" t="s">
        <v>1103</v>
      </c>
      <c r="Y105" s="3" t="s">
        <v>1289</v>
      </c>
      <c r="Z105" s="3"/>
      <c r="AA105" s="120"/>
      <c r="AB105" s="120"/>
      <c r="AC105" s="120"/>
      <c r="AD105" s="120"/>
      <c r="AE105" s="120"/>
      <c r="AF105" s="120"/>
      <c r="AG105" s="120"/>
      <c r="AH105" s="120"/>
      <c r="AI105" s="120"/>
      <c r="AJ105" s="120"/>
      <c r="AK105" s="120"/>
      <c r="AL105" s="120"/>
      <c r="AM105" s="120"/>
      <c r="AN105" s="120"/>
      <c r="AO105" s="120"/>
    </row>
    <row r="106" spans="1:41" s="124" customFormat="1" ht="31.5">
      <c r="A106" s="121"/>
      <c r="B106" s="69"/>
      <c r="C106" s="652"/>
      <c r="D106" s="652"/>
      <c r="E106" s="652"/>
      <c r="F106" s="652"/>
      <c r="G106" s="652"/>
      <c r="H106" s="652"/>
      <c r="I106" s="652"/>
      <c r="J106" s="652"/>
      <c r="K106" s="652"/>
      <c r="L106" s="652"/>
      <c r="M106" s="652"/>
      <c r="N106" s="3" t="s">
        <v>2017</v>
      </c>
      <c r="O106" s="31" t="s">
        <v>1288</v>
      </c>
      <c r="P106" s="501">
        <v>18</v>
      </c>
      <c r="Q106" s="501">
        <v>18</v>
      </c>
      <c r="R106" s="501">
        <v>18</v>
      </c>
      <c r="S106" s="501">
        <v>18</v>
      </c>
      <c r="T106" s="501">
        <v>18</v>
      </c>
      <c r="U106" s="501">
        <v>18</v>
      </c>
      <c r="V106" s="501">
        <v>20</v>
      </c>
      <c r="W106" s="501">
        <v>20</v>
      </c>
      <c r="X106" s="3" t="s">
        <v>1103</v>
      </c>
      <c r="Y106" s="3" t="s">
        <v>1290</v>
      </c>
      <c r="Z106" s="3"/>
      <c r="AA106" s="120"/>
      <c r="AB106" s="120"/>
      <c r="AC106" s="120"/>
      <c r="AD106" s="120"/>
      <c r="AE106" s="120"/>
      <c r="AF106" s="120"/>
      <c r="AG106" s="120"/>
      <c r="AH106" s="120"/>
      <c r="AI106" s="120"/>
      <c r="AJ106" s="120"/>
      <c r="AK106" s="120"/>
      <c r="AL106" s="120"/>
      <c r="AM106" s="120"/>
      <c r="AN106" s="120"/>
      <c r="AO106" s="120"/>
    </row>
    <row r="107" spans="1:41" s="124" customFormat="1" ht="47.25">
      <c r="A107" s="121"/>
      <c r="B107" s="69"/>
      <c r="C107" s="652"/>
      <c r="D107" s="652"/>
      <c r="E107" s="652"/>
      <c r="F107" s="652"/>
      <c r="G107" s="652"/>
      <c r="H107" s="652"/>
      <c r="I107" s="652"/>
      <c r="J107" s="652"/>
      <c r="K107" s="652"/>
      <c r="L107" s="652"/>
      <c r="M107" s="652"/>
      <c r="N107" s="3" t="s">
        <v>1291</v>
      </c>
      <c r="O107" s="31" t="s">
        <v>921</v>
      </c>
      <c r="P107" s="499" t="s">
        <v>4289</v>
      </c>
      <c r="Q107" s="499" t="s">
        <v>4289</v>
      </c>
      <c r="R107" s="499" t="s">
        <v>4289</v>
      </c>
      <c r="S107" s="499" t="s">
        <v>4289</v>
      </c>
      <c r="T107" s="499" t="s">
        <v>4289</v>
      </c>
      <c r="U107" s="499" t="s">
        <v>4289</v>
      </c>
      <c r="V107" s="499" t="s">
        <v>4289</v>
      </c>
      <c r="W107" s="499" t="s">
        <v>4289</v>
      </c>
      <c r="X107" s="3" t="s">
        <v>1103</v>
      </c>
      <c r="Y107" s="3" t="s">
        <v>1292</v>
      </c>
      <c r="Z107" s="3"/>
      <c r="AA107" s="120"/>
      <c r="AB107" s="120"/>
      <c r="AC107" s="120"/>
      <c r="AD107" s="120"/>
      <c r="AE107" s="120"/>
      <c r="AF107" s="120"/>
      <c r="AG107" s="120"/>
      <c r="AH107" s="120"/>
      <c r="AI107" s="120"/>
      <c r="AJ107" s="120"/>
      <c r="AK107" s="120"/>
      <c r="AL107" s="120"/>
      <c r="AM107" s="120"/>
      <c r="AN107" s="120"/>
      <c r="AO107" s="120"/>
    </row>
    <row r="108" spans="1:41" s="124" customFormat="1" ht="31.5">
      <c r="A108" s="121"/>
      <c r="B108" s="69"/>
      <c r="C108" s="653"/>
      <c r="D108" s="653"/>
      <c r="E108" s="653"/>
      <c r="F108" s="653"/>
      <c r="G108" s="653"/>
      <c r="H108" s="653"/>
      <c r="I108" s="653"/>
      <c r="J108" s="653"/>
      <c r="K108" s="653"/>
      <c r="L108" s="653"/>
      <c r="M108" s="653"/>
      <c r="N108" s="3" t="s">
        <v>1293</v>
      </c>
      <c r="O108" s="31" t="s">
        <v>1288</v>
      </c>
      <c r="P108" s="501">
        <v>3</v>
      </c>
      <c r="Q108" s="501">
        <v>3</v>
      </c>
      <c r="R108" s="501">
        <v>3</v>
      </c>
      <c r="S108" s="501">
        <v>4</v>
      </c>
      <c r="T108" s="501">
        <v>4</v>
      </c>
      <c r="U108" s="501">
        <v>5</v>
      </c>
      <c r="V108" s="501">
        <v>5</v>
      </c>
      <c r="W108" s="501">
        <v>6</v>
      </c>
      <c r="X108" s="3" t="s">
        <v>1103</v>
      </c>
      <c r="Y108" s="3" t="s">
        <v>1294</v>
      </c>
      <c r="Z108" s="3"/>
      <c r="AA108" s="120"/>
      <c r="AB108" s="120"/>
      <c r="AC108" s="120"/>
      <c r="AD108" s="120"/>
      <c r="AE108" s="120"/>
      <c r="AF108" s="120"/>
      <c r="AG108" s="120"/>
      <c r="AH108" s="120"/>
      <c r="AI108" s="120"/>
      <c r="AJ108" s="120"/>
      <c r="AK108" s="120"/>
      <c r="AL108" s="120"/>
      <c r="AM108" s="120"/>
      <c r="AN108" s="120"/>
      <c r="AO108" s="120"/>
    </row>
    <row r="109" spans="1:41" s="124" customFormat="1" ht="63">
      <c r="A109" s="121"/>
      <c r="B109" s="69"/>
      <c r="C109" s="651">
        <v>5</v>
      </c>
      <c r="D109" s="651" t="s">
        <v>1295</v>
      </c>
      <c r="E109" s="651">
        <v>14</v>
      </c>
      <c r="F109" s="651" t="s">
        <v>1296</v>
      </c>
      <c r="G109" s="651" t="s">
        <v>1297</v>
      </c>
      <c r="H109" s="651"/>
      <c r="I109" s="879" t="s">
        <v>4972</v>
      </c>
      <c r="J109" s="3"/>
      <c r="K109" s="3"/>
      <c r="L109" s="3"/>
      <c r="M109" s="3"/>
      <c r="N109" s="3"/>
      <c r="O109" s="31"/>
      <c r="P109" s="499"/>
      <c r="Q109" s="499"/>
      <c r="R109" s="499"/>
      <c r="S109" s="499"/>
      <c r="T109" s="499"/>
      <c r="U109" s="499"/>
      <c r="V109" s="499"/>
      <c r="W109" s="499"/>
      <c r="X109" s="3"/>
      <c r="Y109" s="3"/>
      <c r="Z109" s="3"/>
      <c r="AA109" s="120"/>
      <c r="AB109" s="120"/>
      <c r="AC109" s="120"/>
      <c r="AD109" s="120"/>
      <c r="AE109" s="120"/>
      <c r="AF109" s="120"/>
      <c r="AG109" s="120"/>
      <c r="AH109" s="120"/>
      <c r="AI109" s="120"/>
      <c r="AJ109" s="120"/>
      <c r="AK109" s="120"/>
      <c r="AL109" s="120"/>
      <c r="AM109" s="120"/>
      <c r="AN109" s="120"/>
      <c r="AO109" s="120"/>
    </row>
    <row r="110" spans="1:41" s="124" customFormat="1" ht="78.75">
      <c r="A110" s="121"/>
      <c r="B110" s="69"/>
      <c r="C110" s="652"/>
      <c r="D110" s="652"/>
      <c r="E110" s="652"/>
      <c r="F110" s="652"/>
      <c r="G110" s="652"/>
      <c r="H110" s="652"/>
      <c r="I110" s="652"/>
      <c r="J110" s="663">
        <v>1.01</v>
      </c>
      <c r="K110" s="651" t="s">
        <v>773</v>
      </c>
      <c r="L110" s="651">
        <v>15</v>
      </c>
      <c r="M110" s="651" t="s">
        <v>1298</v>
      </c>
      <c r="N110" s="3" t="s">
        <v>1299</v>
      </c>
      <c r="O110" s="31" t="s">
        <v>701</v>
      </c>
      <c r="P110" s="499">
        <v>86.45</v>
      </c>
      <c r="Q110" s="499">
        <v>86.84</v>
      </c>
      <c r="R110" s="499">
        <v>87.23</v>
      </c>
      <c r="S110" s="499">
        <v>87.62</v>
      </c>
      <c r="T110" s="499">
        <v>88.01</v>
      </c>
      <c r="U110" s="499">
        <v>88.4</v>
      </c>
      <c r="V110" s="499">
        <v>88.79</v>
      </c>
      <c r="W110" s="499">
        <v>88.79</v>
      </c>
      <c r="X110" s="3" t="s">
        <v>1103</v>
      </c>
      <c r="Y110" s="3" t="s">
        <v>1300</v>
      </c>
      <c r="Z110" s="3"/>
      <c r="AA110" s="120"/>
      <c r="AB110" s="120"/>
      <c r="AC110" s="120"/>
      <c r="AD110" s="120"/>
      <c r="AE110" s="120"/>
      <c r="AF110" s="120"/>
      <c r="AG110" s="120"/>
      <c r="AH110" s="120"/>
      <c r="AI110" s="120"/>
      <c r="AJ110" s="120"/>
      <c r="AK110" s="120"/>
      <c r="AL110" s="120"/>
      <c r="AM110" s="120"/>
      <c r="AN110" s="120"/>
      <c r="AO110" s="120"/>
    </row>
    <row r="111" spans="1:41" s="124" customFormat="1" ht="78.75">
      <c r="A111" s="121"/>
      <c r="B111" s="69"/>
      <c r="C111" s="652"/>
      <c r="D111" s="652"/>
      <c r="E111" s="652"/>
      <c r="F111" s="652"/>
      <c r="G111" s="652"/>
      <c r="H111" s="652"/>
      <c r="I111" s="652"/>
      <c r="J111" s="652"/>
      <c r="K111" s="652"/>
      <c r="L111" s="652"/>
      <c r="M111" s="652"/>
      <c r="N111" s="3" t="s">
        <v>1301</v>
      </c>
      <c r="O111" s="31" t="s">
        <v>701</v>
      </c>
      <c r="P111" s="499">
        <v>85</v>
      </c>
      <c r="Q111" s="499">
        <v>85.41</v>
      </c>
      <c r="R111" s="499">
        <v>85.82</v>
      </c>
      <c r="S111" s="499">
        <v>86.24</v>
      </c>
      <c r="T111" s="499">
        <v>86.65</v>
      </c>
      <c r="U111" s="499">
        <v>87.06</v>
      </c>
      <c r="V111" s="499">
        <v>87.47</v>
      </c>
      <c r="W111" s="499">
        <v>87.47</v>
      </c>
      <c r="X111" s="3" t="s">
        <v>1103</v>
      </c>
      <c r="Y111" s="3" t="s">
        <v>1302</v>
      </c>
      <c r="Z111" s="3"/>
      <c r="AA111" s="120"/>
      <c r="AB111" s="120"/>
      <c r="AC111" s="120"/>
      <c r="AD111" s="120"/>
      <c r="AE111" s="120"/>
      <c r="AF111" s="120"/>
      <c r="AG111" s="120"/>
      <c r="AH111" s="120"/>
      <c r="AI111" s="120"/>
      <c r="AJ111" s="120"/>
      <c r="AK111" s="120"/>
      <c r="AL111" s="120"/>
      <c r="AM111" s="120"/>
      <c r="AN111" s="120"/>
      <c r="AO111" s="120"/>
    </row>
    <row r="112" spans="1:41" s="124" customFormat="1" ht="94.5">
      <c r="A112" s="121"/>
      <c r="B112" s="69"/>
      <c r="C112" s="652"/>
      <c r="D112" s="652"/>
      <c r="E112" s="652"/>
      <c r="F112" s="652"/>
      <c r="G112" s="652"/>
      <c r="H112" s="652"/>
      <c r="I112" s="652"/>
      <c r="J112" s="652"/>
      <c r="K112" s="652"/>
      <c r="L112" s="652"/>
      <c r="M112" s="652"/>
      <c r="N112" s="3" t="s">
        <v>1303</v>
      </c>
      <c r="O112" s="31" t="s">
        <v>701</v>
      </c>
      <c r="P112" s="499">
        <v>23.66</v>
      </c>
      <c r="Q112" s="499">
        <v>24.08</v>
      </c>
      <c r="R112" s="499">
        <v>25.11</v>
      </c>
      <c r="S112" s="499">
        <v>26.14</v>
      </c>
      <c r="T112" s="499">
        <v>27.17</v>
      </c>
      <c r="U112" s="499">
        <v>28.19</v>
      </c>
      <c r="V112" s="499">
        <v>29.22</v>
      </c>
      <c r="W112" s="499">
        <v>29.22</v>
      </c>
      <c r="X112" s="3" t="s">
        <v>1103</v>
      </c>
      <c r="Y112" s="3" t="s">
        <v>1304</v>
      </c>
      <c r="Z112" s="3"/>
      <c r="AA112" s="120"/>
      <c r="AB112" s="120"/>
      <c r="AC112" s="120"/>
      <c r="AD112" s="120"/>
      <c r="AE112" s="120"/>
      <c r="AF112" s="120"/>
      <c r="AG112" s="120"/>
      <c r="AH112" s="120"/>
      <c r="AI112" s="120"/>
      <c r="AJ112" s="120"/>
      <c r="AK112" s="120"/>
      <c r="AL112" s="120"/>
      <c r="AM112" s="120"/>
      <c r="AN112" s="120"/>
      <c r="AO112" s="120"/>
    </row>
    <row r="113" spans="1:41" s="124" customFormat="1" ht="78.75">
      <c r="A113" s="121"/>
      <c r="B113" s="69"/>
      <c r="C113" s="652"/>
      <c r="D113" s="652"/>
      <c r="E113" s="652"/>
      <c r="F113" s="652"/>
      <c r="G113" s="652"/>
      <c r="H113" s="652"/>
      <c r="I113" s="652"/>
      <c r="J113" s="652"/>
      <c r="K113" s="652"/>
      <c r="L113" s="652"/>
      <c r="M113" s="652"/>
      <c r="N113" s="3" t="s">
        <v>1305</v>
      </c>
      <c r="O113" s="31" t="s">
        <v>701</v>
      </c>
      <c r="P113" s="499">
        <v>85</v>
      </c>
      <c r="Q113" s="499">
        <v>85.41</v>
      </c>
      <c r="R113" s="499">
        <v>85.82</v>
      </c>
      <c r="S113" s="499">
        <v>86.24</v>
      </c>
      <c r="T113" s="499">
        <v>86.65</v>
      </c>
      <c r="U113" s="499">
        <v>87.06</v>
      </c>
      <c r="V113" s="499">
        <v>88.747</v>
      </c>
      <c r="W113" s="499">
        <v>88.75</v>
      </c>
      <c r="X113" s="3" t="s">
        <v>1103</v>
      </c>
      <c r="Y113" s="3" t="s">
        <v>1306</v>
      </c>
      <c r="Z113" s="3"/>
      <c r="AA113" s="120"/>
      <c r="AB113" s="120"/>
      <c r="AC113" s="120"/>
      <c r="AD113" s="120"/>
      <c r="AE113" s="120"/>
      <c r="AF113" s="120"/>
      <c r="AG113" s="120"/>
      <c r="AH113" s="120"/>
      <c r="AI113" s="120"/>
      <c r="AJ113" s="120"/>
      <c r="AK113" s="120"/>
      <c r="AL113" s="120"/>
      <c r="AM113" s="120"/>
      <c r="AN113" s="120"/>
      <c r="AO113" s="120"/>
    </row>
    <row r="114" spans="1:41" s="124" customFormat="1" ht="78.75">
      <c r="A114" s="121"/>
      <c r="B114" s="69"/>
      <c r="C114" s="652"/>
      <c r="D114" s="652"/>
      <c r="E114" s="653"/>
      <c r="F114" s="653"/>
      <c r="G114" s="653"/>
      <c r="H114" s="653"/>
      <c r="I114" s="653"/>
      <c r="J114" s="653"/>
      <c r="K114" s="653"/>
      <c r="L114" s="653"/>
      <c r="M114" s="653"/>
      <c r="N114" s="3" t="s">
        <v>1307</v>
      </c>
      <c r="O114" s="31" t="s">
        <v>701</v>
      </c>
      <c r="P114" s="499">
        <v>85</v>
      </c>
      <c r="Q114" s="499">
        <v>85.41</v>
      </c>
      <c r="R114" s="499">
        <v>85.82</v>
      </c>
      <c r="S114" s="499">
        <v>86.24</v>
      </c>
      <c r="T114" s="499">
        <v>86.65</v>
      </c>
      <c r="U114" s="499">
        <v>87.06</v>
      </c>
      <c r="V114" s="499">
        <v>87.47</v>
      </c>
      <c r="W114" s="499">
        <v>87.47</v>
      </c>
      <c r="X114" s="3" t="s">
        <v>1103</v>
      </c>
      <c r="Y114" s="3" t="s">
        <v>1308</v>
      </c>
      <c r="Z114" s="3"/>
      <c r="AA114" s="120"/>
      <c r="AB114" s="120"/>
      <c r="AC114" s="120"/>
      <c r="AD114" s="120"/>
      <c r="AE114" s="120"/>
      <c r="AF114" s="120"/>
      <c r="AG114" s="120"/>
      <c r="AH114" s="120"/>
      <c r="AI114" s="120"/>
      <c r="AJ114" s="120"/>
      <c r="AK114" s="120"/>
      <c r="AL114" s="120"/>
      <c r="AM114" s="120"/>
      <c r="AN114" s="120"/>
      <c r="AO114" s="120"/>
    </row>
    <row r="115" spans="1:41" s="124" customFormat="1" ht="63">
      <c r="A115" s="121"/>
      <c r="B115" s="69"/>
      <c r="C115" s="652"/>
      <c r="D115" s="652"/>
      <c r="E115" s="651">
        <v>15</v>
      </c>
      <c r="F115" s="651" t="s">
        <v>1309</v>
      </c>
      <c r="G115" s="651" t="s">
        <v>1310</v>
      </c>
      <c r="H115" s="651"/>
      <c r="I115" s="879" t="s">
        <v>4973</v>
      </c>
      <c r="J115" s="3"/>
      <c r="K115" s="3"/>
      <c r="L115" s="3"/>
      <c r="M115" s="3"/>
      <c r="N115" s="3"/>
      <c r="O115" s="31"/>
      <c r="P115" s="499"/>
      <c r="Q115" s="499"/>
      <c r="R115" s="499"/>
      <c r="S115" s="499"/>
      <c r="T115" s="499"/>
      <c r="U115" s="499"/>
      <c r="V115" s="499"/>
      <c r="W115" s="499"/>
      <c r="X115" s="3"/>
      <c r="Y115" s="3"/>
      <c r="Z115" s="3"/>
      <c r="AA115" s="120"/>
      <c r="AB115" s="120"/>
      <c r="AC115" s="120"/>
      <c r="AD115" s="120"/>
      <c r="AE115" s="120"/>
      <c r="AF115" s="120"/>
      <c r="AG115" s="120"/>
      <c r="AH115" s="120"/>
      <c r="AI115" s="120"/>
      <c r="AJ115" s="120"/>
      <c r="AK115" s="120"/>
      <c r="AL115" s="120"/>
      <c r="AM115" s="120"/>
      <c r="AN115" s="120"/>
      <c r="AO115" s="120"/>
    </row>
    <row r="116" spans="1:41" s="124" customFormat="1" ht="78.75">
      <c r="A116" s="121"/>
      <c r="B116" s="69"/>
      <c r="C116" s="652"/>
      <c r="D116" s="652"/>
      <c r="E116" s="652"/>
      <c r="F116" s="652"/>
      <c r="G116" s="652"/>
      <c r="H116" s="652"/>
      <c r="I116" s="652"/>
      <c r="J116" s="663">
        <v>1.01</v>
      </c>
      <c r="K116" s="651" t="s">
        <v>773</v>
      </c>
      <c r="L116" s="651">
        <v>16</v>
      </c>
      <c r="M116" s="651" t="s">
        <v>1132</v>
      </c>
      <c r="N116" s="3" t="s">
        <v>2018</v>
      </c>
      <c r="O116" s="31" t="s">
        <v>701</v>
      </c>
      <c r="P116" s="499">
        <v>85.008469791078483</v>
      </c>
      <c r="Q116" s="499">
        <v>86.42</v>
      </c>
      <c r="R116" s="499">
        <v>87.83</v>
      </c>
      <c r="S116" s="499">
        <v>89.25</v>
      </c>
      <c r="T116" s="499">
        <v>90.66</v>
      </c>
      <c r="U116" s="499">
        <v>92.07</v>
      </c>
      <c r="V116" s="499">
        <v>93.48</v>
      </c>
      <c r="W116" s="499">
        <v>93.48</v>
      </c>
      <c r="X116" s="3" t="s">
        <v>1103</v>
      </c>
      <c r="Y116" s="3" t="s">
        <v>1311</v>
      </c>
      <c r="Z116" s="3"/>
      <c r="AA116" s="120"/>
      <c r="AB116" s="120"/>
      <c r="AC116" s="120"/>
      <c r="AD116" s="120"/>
      <c r="AE116" s="120"/>
      <c r="AF116" s="120"/>
      <c r="AG116" s="120"/>
      <c r="AH116" s="120"/>
      <c r="AI116" s="120"/>
      <c r="AJ116" s="120"/>
      <c r="AK116" s="120"/>
      <c r="AL116" s="120"/>
      <c r="AM116" s="120"/>
      <c r="AN116" s="120"/>
      <c r="AO116" s="120"/>
    </row>
    <row r="117" spans="1:41" s="124" customFormat="1" ht="78.75">
      <c r="A117" s="121"/>
      <c r="B117" s="69"/>
      <c r="C117" s="652"/>
      <c r="D117" s="652"/>
      <c r="E117" s="652"/>
      <c r="F117" s="652"/>
      <c r="G117" s="652"/>
      <c r="H117" s="652"/>
      <c r="I117" s="652"/>
      <c r="J117" s="652"/>
      <c r="K117" s="652"/>
      <c r="L117" s="652"/>
      <c r="M117" s="652"/>
      <c r="N117" s="3" t="s">
        <v>2019</v>
      </c>
      <c r="O117" s="31" t="s">
        <v>701</v>
      </c>
      <c r="P117" s="499">
        <v>87.352941176470594</v>
      </c>
      <c r="Q117" s="499">
        <v>88.33</v>
      </c>
      <c r="R117" s="499">
        <v>89.31</v>
      </c>
      <c r="S117" s="499">
        <v>90.29</v>
      </c>
      <c r="T117" s="499">
        <v>91.27</v>
      </c>
      <c r="U117" s="499">
        <v>92.25</v>
      </c>
      <c r="V117" s="499">
        <v>93.23</v>
      </c>
      <c r="W117" s="499">
        <v>93.23</v>
      </c>
      <c r="X117" s="3" t="s">
        <v>1103</v>
      </c>
      <c r="Y117" s="3" t="s">
        <v>1312</v>
      </c>
      <c r="Z117" s="3"/>
      <c r="AA117" s="120"/>
      <c r="AB117" s="120"/>
      <c r="AC117" s="120"/>
      <c r="AD117" s="120"/>
      <c r="AE117" s="120"/>
      <c r="AF117" s="120"/>
      <c r="AG117" s="120"/>
      <c r="AH117" s="120"/>
      <c r="AI117" s="120"/>
      <c r="AJ117" s="120"/>
      <c r="AK117" s="120"/>
      <c r="AL117" s="120"/>
      <c r="AM117" s="120"/>
      <c r="AN117" s="120"/>
      <c r="AO117" s="120"/>
    </row>
    <row r="118" spans="1:41" s="124" customFormat="1" ht="110.25">
      <c r="A118" s="121"/>
      <c r="B118" s="69"/>
      <c r="C118" s="652"/>
      <c r="D118" s="652"/>
      <c r="E118" s="652"/>
      <c r="F118" s="652"/>
      <c r="G118" s="652"/>
      <c r="H118" s="652"/>
      <c r="I118" s="652"/>
      <c r="J118" s="652"/>
      <c r="K118" s="652"/>
      <c r="L118" s="652"/>
      <c r="M118" s="652"/>
      <c r="N118" s="3" t="s">
        <v>2020</v>
      </c>
      <c r="O118" s="31" t="s">
        <v>701</v>
      </c>
      <c r="P118" s="499">
        <v>60</v>
      </c>
      <c r="Q118" s="499">
        <v>61.75</v>
      </c>
      <c r="R118" s="499">
        <v>63.5</v>
      </c>
      <c r="S118" s="499">
        <v>65.239999999999995</v>
      </c>
      <c r="T118" s="499">
        <v>66.989999999999995</v>
      </c>
      <c r="U118" s="499">
        <v>68.739999999999995</v>
      </c>
      <c r="V118" s="499">
        <v>70.489999999999995</v>
      </c>
      <c r="W118" s="499">
        <v>70.489999999999995</v>
      </c>
      <c r="X118" s="3" t="s">
        <v>1103</v>
      </c>
      <c r="Y118" s="3" t="s">
        <v>1313</v>
      </c>
      <c r="Z118" s="3"/>
      <c r="AA118" s="120"/>
      <c r="AB118" s="120"/>
      <c r="AC118" s="120"/>
      <c r="AD118" s="120"/>
      <c r="AE118" s="120"/>
      <c r="AF118" s="120"/>
      <c r="AG118" s="120"/>
      <c r="AH118" s="120"/>
      <c r="AI118" s="120"/>
      <c r="AJ118" s="120"/>
      <c r="AK118" s="120"/>
      <c r="AL118" s="120"/>
      <c r="AM118" s="120"/>
      <c r="AN118" s="120"/>
      <c r="AO118" s="120"/>
    </row>
    <row r="119" spans="1:41" s="124" customFormat="1" ht="110.25">
      <c r="A119" s="121"/>
      <c r="B119" s="69"/>
      <c r="C119" s="652"/>
      <c r="D119" s="652"/>
      <c r="E119" s="652"/>
      <c r="F119" s="652"/>
      <c r="G119" s="652"/>
      <c r="H119" s="652"/>
      <c r="I119" s="652"/>
      <c r="J119" s="652"/>
      <c r="K119" s="652"/>
      <c r="L119" s="652"/>
      <c r="M119" s="652"/>
      <c r="N119" s="3" t="s">
        <v>2021</v>
      </c>
      <c r="O119" s="31" t="s">
        <v>701</v>
      </c>
      <c r="P119" s="499">
        <v>75.239999999999995</v>
      </c>
      <c r="Q119" s="499">
        <v>76.19</v>
      </c>
      <c r="R119" s="499">
        <v>77.14</v>
      </c>
      <c r="S119" s="499">
        <v>78.09</v>
      </c>
      <c r="T119" s="499">
        <v>79.040000000000006</v>
      </c>
      <c r="U119" s="499">
        <v>79.989999999999995</v>
      </c>
      <c r="V119" s="499" t="s">
        <v>1941</v>
      </c>
      <c r="W119" s="499" t="s">
        <v>1941</v>
      </c>
      <c r="X119" s="3" t="s">
        <v>1103</v>
      </c>
      <c r="Y119" s="3" t="s">
        <v>1314</v>
      </c>
      <c r="Z119" s="3"/>
      <c r="AA119" s="120"/>
      <c r="AB119" s="120"/>
      <c r="AC119" s="120"/>
      <c r="AD119" s="120"/>
      <c r="AE119" s="120"/>
      <c r="AF119" s="120"/>
      <c r="AG119" s="120"/>
      <c r="AH119" s="120"/>
      <c r="AI119" s="120"/>
      <c r="AJ119" s="120"/>
      <c r="AK119" s="120"/>
      <c r="AL119" s="120"/>
      <c r="AM119" s="120"/>
      <c r="AN119" s="120"/>
      <c r="AO119" s="120"/>
    </row>
    <row r="120" spans="1:41" s="124" customFormat="1" ht="330.75">
      <c r="A120" s="119"/>
      <c r="B120" s="69"/>
      <c r="C120" s="652"/>
      <c r="D120" s="652"/>
      <c r="E120" s="652"/>
      <c r="F120" s="652"/>
      <c r="G120" s="652"/>
      <c r="H120" s="652"/>
      <c r="I120" s="652"/>
      <c r="J120" s="652"/>
      <c r="K120" s="652"/>
      <c r="L120" s="652"/>
      <c r="M120" s="652"/>
      <c r="N120" s="3" t="s">
        <v>4358</v>
      </c>
      <c r="O120" s="31" t="s">
        <v>701</v>
      </c>
      <c r="P120" s="499">
        <v>100</v>
      </c>
      <c r="Q120" s="499">
        <v>100</v>
      </c>
      <c r="R120" s="499">
        <v>100</v>
      </c>
      <c r="S120" s="499">
        <v>100</v>
      </c>
      <c r="T120" s="499">
        <v>100</v>
      </c>
      <c r="U120" s="499">
        <v>100</v>
      </c>
      <c r="V120" s="499">
        <v>100</v>
      </c>
      <c r="W120" s="499">
        <v>100</v>
      </c>
      <c r="X120" s="3" t="s">
        <v>1103</v>
      </c>
      <c r="Y120" s="3" t="s">
        <v>1315</v>
      </c>
      <c r="Z120" s="3" t="s">
        <v>4579</v>
      </c>
      <c r="AA120" s="120"/>
      <c r="AB120" s="120"/>
      <c r="AC120" s="120"/>
      <c r="AD120" s="120"/>
      <c r="AE120" s="120"/>
      <c r="AF120" s="120"/>
      <c r="AG120" s="120"/>
      <c r="AH120" s="120"/>
      <c r="AI120" s="120"/>
      <c r="AJ120" s="120"/>
      <c r="AK120" s="120"/>
      <c r="AL120" s="120"/>
      <c r="AM120" s="120"/>
      <c r="AN120" s="120"/>
      <c r="AO120" s="120"/>
    </row>
    <row r="121" spans="1:41" s="124" customFormat="1" ht="252">
      <c r="A121" s="121"/>
      <c r="B121" s="69"/>
      <c r="C121" s="652"/>
      <c r="D121" s="652"/>
      <c r="E121" s="652"/>
      <c r="F121" s="652"/>
      <c r="G121" s="652"/>
      <c r="H121" s="652"/>
      <c r="I121" s="652"/>
      <c r="J121" s="653"/>
      <c r="K121" s="653"/>
      <c r="L121" s="653"/>
      <c r="M121" s="653"/>
      <c r="N121" s="30" t="s">
        <v>4359</v>
      </c>
      <c r="O121" s="31" t="s">
        <v>701</v>
      </c>
      <c r="P121" s="499">
        <v>86.69</v>
      </c>
      <c r="Q121" s="499">
        <v>86.98</v>
      </c>
      <c r="R121" s="499">
        <v>87.28</v>
      </c>
      <c r="S121" s="499">
        <v>87.57</v>
      </c>
      <c r="T121" s="499">
        <v>87.87</v>
      </c>
      <c r="U121" s="499">
        <v>88.16</v>
      </c>
      <c r="V121" s="499">
        <v>88.45</v>
      </c>
      <c r="W121" s="499">
        <v>88.45</v>
      </c>
      <c r="X121" s="3" t="s">
        <v>1103</v>
      </c>
      <c r="Y121" s="3" t="s">
        <v>1316</v>
      </c>
      <c r="Z121" s="30" t="s">
        <v>4580</v>
      </c>
      <c r="AA121" s="120"/>
      <c r="AB121" s="120"/>
      <c r="AC121" s="120"/>
      <c r="AD121" s="120"/>
      <c r="AE121" s="120"/>
      <c r="AF121" s="120"/>
      <c r="AG121" s="120"/>
      <c r="AH121" s="120"/>
      <c r="AI121" s="120"/>
      <c r="AJ121" s="120"/>
      <c r="AK121" s="120"/>
      <c r="AL121" s="120"/>
      <c r="AM121" s="120"/>
      <c r="AN121" s="120"/>
      <c r="AO121" s="120"/>
    </row>
    <row r="122" spans="1:41" s="124" customFormat="1" ht="189">
      <c r="A122" s="121"/>
      <c r="B122" s="69"/>
      <c r="C122" s="652"/>
      <c r="D122" s="652"/>
      <c r="E122" s="652"/>
      <c r="F122" s="652"/>
      <c r="G122" s="652"/>
      <c r="H122" s="652"/>
      <c r="I122" s="652"/>
      <c r="J122" s="663">
        <v>1.01</v>
      </c>
      <c r="K122" s="651" t="s">
        <v>773</v>
      </c>
      <c r="L122" s="651">
        <v>16</v>
      </c>
      <c r="M122" s="651" t="s">
        <v>1132</v>
      </c>
      <c r="N122" s="3" t="s">
        <v>4360</v>
      </c>
      <c r="O122" s="31" t="s">
        <v>701</v>
      </c>
      <c r="P122" s="499">
        <v>70</v>
      </c>
      <c r="Q122" s="499">
        <v>71.900000000000006</v>
      </c>
      <c r="R122" s="499">
        <v>73.81</v>
      </c>
      <c r="S122" s="499">
        <v>75.709999999999994</v>
      </c>
      <c r="T122" s="499">
        <v>77.62</v>
      </c>
      <c r="U122" s="499">
        <v>79.52</v>
      </c>
      <c r="V122" s="499">
        <v>81.42</v>
      </c>
      <c r="W122" s="499">
        <v>81.42</v>
      </c>
      <c r="X122" s="3" t="s">
        <v>1103</v>
      </c>
      <c r="Y122" s="3" t="s">
        <v>1317</v>
      </c>
      <c r="Z122" s="3" t="s">
        <v>4581</v>
      </c>
      <c r="AA122" s="120"/>
      <c r="AB122" s="120"/>
      <c r="AC122" s="120"/>
      <c r="AD122" s="120"/>
      <c r="AE122" s="120"/>
      <c r="AF122" s="120"/>
      <c r="AG122" s="120"/>
      <c r="AH122" s="120"/>
      <c r="AI122" s="120"/>
      <c r="AJ122" s="120"/>
      <c r="AK122" s="120"/>
      <c r="AL122" s="120"/>
      <c r="AM122" s="120"/>
      <c r="AN122" s="120"/>
      <c r="AO122" s="120"/>
    </row>
    <row r="123" spans="1:41" s="124" customFormat="1" ht="204.75">
      <c r="A123" s="121"/>
      <c r="B123" s="69"/>
      <c r="C123" s="652"/>
      <c r="D123" s="652"/>
      <c r="E123" s="653"/>
      <c r="F123" s="653"/>
      <c r="G123" s="653"/>
      <c r="H123" s="653"/>
      <c r="I123" s="653"/>
      <c r="J123" s="663">
        <v>1.01</v>
      </c>
      <c r="K123" s="651" t="s">
        <v>773</v>
      </c>
      <c r="L123" s="651">
        <v>16</v>
      </c>
      <c r="M123" s="651" t="s">
        <v>1132</v>
      </c>
      <c r="N123" s="3" t="s">
        <v>4361</v>
      </c>
      <c r="O123" s="31" t="s">
        <v>701</v>
      </c>
      <c r="P123" s="499">
        <v>98.47</v>
      </c>
      <c r="Q123" s="499">
        <v>98.67</v>
      </c>
      <c r="R123" s="499">
        <v>98.97</v>
      </c>
      <c r="S123" s="499">
        <v>99.26</v>
      </c>
      <c r="T123" s="499">
        <v>99.56</v>
      </c>
      <c r="U123" s="499">
        <v>99.85</v>
      </c>
      <c r="V123" s="499">
        <v>100</v>
      </c>
      <c r="W123" s="499">
        <v>100</v>
      </c>
      <c r="X123" s="3" t="s">
        <v>1103</v>
      </c>
      <c r="Y123" s="3" t="s">
        <v>1318</v>
      </c>
      <c r="Z123" s="3" t="s">
        <v>4582</v>
      </c>
      <c r="AA123" s="120"/>
      <c r="AB123" s="120"/>
      <c r="AC123" s="120"/>
      <c r="AD123" s="120"/>
      <c r="AE123" s="120"/>
      <c r="AF123" s="120"/>
      <c r="AG123" s="120"/>
      <c r="AH123" s="120"/>
      <c r="AI123" s="120"/>
      <c r="AJ123" s="120"/>
      <c r="AK123" s="120"/>
      <c r="AL123" s="120"/>
      <c r="AM123" s="120"/>
      <c r="AN123" s="120"/>
      <c r="AO123" s="120"/>
    </row>
    <row r="124" spans="1:41" s="124" customFormat="1" ht="63">
      <c r="A124" s="121"/>
      <c r="B124" s="69"/>
      <c r="C124" s="652"/>
      <c r="D124" s="652"/>
      <c r="E124" s="651">
        <v>16</v>
      </c>
      <c r="F124" s="651" t="s">
        <v>1319</v>
      </c>
      <c r="G124" s="651" t="s">
        <v>1320</v>
      </c>
      <c r="H124" s="651"/>
      <c r="I124" s="879" t="s">
        <v>4974</v>
      </c>
      <c r="J124" s="3"/>
      <c r="K124" s="3"/>
      <c r="L124" s="3"/>
      <c r="M124" s="3"/>
      <c r="N124" s="3"/>
      <c r="O124" s="31"/>
      <c r="P124" s="499"/>
      <c r="Q124" s="499"/>
      <c r="R124" s="499"/>
      <c r="S124" s="499"/>
      <c r="T124" s="499"/>
      <c r="U124" s="499"/>
      <c r="V124" s="499"/>
      <c r="W124" s="499"/>
      <c r="X124" s="3"/>
      <c r="Y124" s="3"/>
      <c r="Z124" s="3"/>
      <c r="AA124" s="120"/>
      <c r="AB124" s="120"/>
      <c r="AC124" s="120"/>
      <c r="AD124" s="120"/>
      <c r="AE124" s="120"/>
      <c r="AF124" s="120"/>
      <c r="AG124" s="120"/>
      <c r="AH124" s="120"/>
      <c r="AI124" s="120"/>
      <c r="AJ124" s="120"/>
      <c r="AK124" s="120"/>
      <c r="AL124" s="120"/>
      <c r="AM124" s="120"/>
      <c r="AN124" s="120"/>
      <c r="AO124" s="120"/>
    </row>
    <row r="125" spans="1:41" s="121" customFormat="1" ht="78.75">
      <c r="B125" s="69"/>
      <c r="C125" s="652"/>
      <c r="D125" s="652"/>
      <c r="E125" s="652"/>
      <c r="F125" s="652"/>
      <c r="G125" s="652"/>
      <c r="H125" s="652"/>
      <c r="I125" s="652"/>
      <c r="J125" s="663">
        <v>1.01</v>
      </c>
      <c r="K125" s="651" t="s">
        <v>773</v>
      </c>
      <c r="L125" s="651">
        <v>17</v>
      </c>
      <c r="M125" s="651" t="s">
        <v>1233</v>
      </c>
      <c r="N125" s="3" t="s">
        <v>1321</v>
      </c>
      <c r="O125" s="31" t="s">
        <v>701</v>
      </c>
      <c r="P125" s="499">
        <v>95.3125</v>
      </c>
      <c r="Q125" s="499">
        <v>96.59</v>
      </c>
      <c r="R125" s="499">
        <v>97.37</v>
      </c>
      <c r="S125" s="499">
        <v>98.15</v>
      </c>
      <c r="T125" s="499">
        <v>98.93</v>
      </c>
      <c r="U125" s="499">
        <v>99.71</v>
      </c>
      <c r="V125" s="499">
        <v>100</v>
      </c>
      <c r="W125" s="499">
        <v>100</v>
      </c>
      <c r="X125" s="3" t="s">
        <v>1103</v>
      </c>
      <c r="Y125" s="3" t="s">
        <v>1322</v>
      </c>
      <c r="Z125" s="3"/>
      <c r="AA125" s="120"/>
      <c r="AB125" s="120"/>
      <c r="AC125" s="120"/>
      <c r="AD125" s="120"/>
      <c r="AE125" s="120"/>
      <c r="AF125" s="120"/>
      <c r="AG125" s="120"/>
      <c r="AH125" s="120"/>
      <c r="AI125" s="120"/>
      <c r="AJ125" s="120"/>
      <c r="AK125" s="120"/>
      <c r="AL125" s="120"/>
      <c r="AM125" s="120"/>
      <c r="AN125" s="120"/>
      <c r="AO125" s="120"/>
    </row>
    <row r="126" spans="1:41" s="121" customFormat="1" ht="78.75">
      <c r="B126" s="69"/>
      <c r="C126" s="652"/>
      <c r="D126" s="652"/>
      <c r="E126" s="652"/>
      <c r="F126" s="652"/>
      <c r="G126" s="652"/>
      <c r="H126" s="652"/>
      <c r="I126" s="652"/>
      <c r="J126" s="652"/>
      <c r="K126" s="652"/>
      <c r="L126" s="652"/>
      <c r="M126" s="652"/>
      <c r="N126" s="3" t="s">
        <v>1323</v>
      </c>
      <c r="O126" s="31" t="s">
        <v>701</v>
      </c>
      <c r="P126" s="499">
        <v>98.107255520504737</v>
      </c>
      <c r="Q126" s="499">
        <v>98.75</v>
      </c>
      <c r="R126" s="499">
        <v>99.39</v>
      </c>
      <c r="S126" s="499">
        <v>100</v>
      </c>
      <c r="T126" s="499">
        <v>99.39</v>
      </c>
      <c r="U126" s="499">
        <v>99.39</v>
      </c>
      <c r="V126" s="499">
        <v>99.39</v>
      </c>
      <c r="W126" s="499">
        <v>99.39</v>
      </c>
      <c r="X126" s="3" t="s">
        <v>1103</v>
      </c>
      <c r="Y126" s="3" t="s">
        <v>1324</v>
      </c>
      <c r="Z126" s="3"/>
      <c r="AA126" s="120"/>
      <c r="AB126" s="120"/>
      <c r="AC126" s="120"/>
      <c r="AD126" s="120"/>
      <c r="AE126" s="120"/>
      <c r="AF126" s="120"/>
      <c r="AG126" s="120"/>
      <c r="AH126" s="120"/>
      <c r="AI126" s="120"/>
      <c r="AJ126" s="120"/>
      <c r="AK126" s="120"/>
      <c r="AL126" s="120"/>
      <c r="AM126" s="120"/>
      <c r="AN126" s="120"/>
      <c r="AO126" s="120"/>
    </row>
    <row r="127" spans="1:41" s="121" customFormat="1" ht="110.25">
      <c r="B127" s="69"/>
      <c r="C127" s="652"/>
      <c r="D127" s="652"/>
      <c r="E127" s="652"/>
      <c r="F127" s="652"/>
      <c r="G127" s="652"/>
      <c r="H127" s="652"/>
      <c r="I127" s="652"/>
      <c r="J127" s="652"/>
      <c r="K127" s="652"/>
      <c r="L127" s="652"/>
      <c r="M127" s="652"/>
      <c r="N127" s="3" t="s">
        <v>1325</v>
      </c>
      <c r="O127" s="31" t="s">
        <v>701</v>
      </c>
      <c r="P127" s="499">
        <v>80</v>
      </c>
      <c r="Q127" s="499">
        <v>74.069999999999993</v>
      </c>
      <c r="R127" s="499">
        <v>81.47</v>
      </c>
      <c r="S127" s="499">
        <v>8.8699999999999992</v>
      </c>
      <c r="T127" s="499">
        <v>96.27</v>
      </c>
      <c r="U127" s="499">
        <v>96.27</v>
      </c>
      <c r="V127" s="499">
        <v>96.27</v>
      </c>
      <c r="W127" s="499">
        <v>96.27</v>
      </c>
      <c r="X127" s="3" t="s">
        <v>1103</v>
      </c>
      <c r="Y127" s="3" t="s">
        <v>1326</v>
      </c>
      <c r="Z127" s="3"/>
      <c r="AA127" s="120"/>
      <c r="AB127" s="120"/>
      <c r="AC127" s="120"/>
      <c r="AD127" s="120"/>
      <c r="AE127" s="120"/>
      <c r="AF127" s="120"/>
      <c r="AG127" s="120"/>
      <c r="AH127" s="120"/>
      <c r="AI127" s="120"/>
      <c r="AJ127" s="120"/>
      <c r="AK127" s="120"/>
      <c r="AL127" s="120"/>
      <c r="AM127" s="120"/>
      <c r="AN127" s="120"/>
      <c r="AO127" s="120"/>
    </row>
    <row r="128" spans="1:41" s="121" customFormat="1" ht="94.5">
      <c r="B128" s="652"/>
      <c r="C128" s="652"/>
      <c r="D128" s="652"/>
      <c r="E128" s="653"/>
      <c r="F128" s="653"/>
      <c r="G128" s="653"/>
      <c r="H128" s="653"/>
      <c r="I128" s="653"/>
      <c r="J128" s="653"/>
      <c r="K128" s="653"/>
      <c r="L128" s="653"/>
      <c r="M128" s="653"/>
      <c r="N128" s="3" t="s">
        <v>1327</v>
      </c>
      <c r="O128" s="31" t="s">
        <v>701</v>
      </c>
      <c r="P128" s="499">
        <v>80</v>
      </c>
      <c r="Q128" s="499">
        <v>81.819999999999993</v>
      </c>
      <c r="R128" s="499">
        <v>86.37</v>
      </c>
      <c r="S128" s="499">
        <v>90.92</v>
      </c>
      <c r="T128" s="499">
        <v>95.47</v>
      </c>
      <c r="U128" s="499">
        <v>95.47</v>
      </c>
      <c r="V128" s="499">
        <v>95.47</v>
      </c>
      <c r="W128" s="499">
        <v>95.47</v>
      </c>
      <c r="X128" s="3" t="s">
        <v>1103</v>
      </c>
      <c r="Y128" s="3" t="s">
        <v>1328</v>
      </c>
      <c r="Z128" s="3"/>
      <c r="AA128" s="120"/>
      <c r="AB128" s="120"/>
      <c r="AC128" s="120"/>
      <c r="AD128" s="120"/>
      <c r="AE128" s="120"/>
      <c r="AF128" s="120"/>
      <c r="AG128" s="120"/>
      <c r="AH128" s="120"/>
      <c r="AI128" s="120"/>
      <c r="AJ128" s="120"/>
      <c r="AK128" s="120"/>
      <c r="AL128" s="120"/>
      <c r="AM128" s="120"/>
      <c r="AN128" s="120"/>
      <c r="AO128" s="120"/>
    </row>
    <row r="129" spans="2:41" s="121" customFormat="1" ht="78.75">
      <c r="B129" s="652"/>
      <c r="C129" s="652"/>
      <c r="D129" s="652"/>
      <c r="E129" s="651">
        <v>17</v>
      </c>
      <c r="F129" s="651" t="s">
        <v>1329</v>
      </c>
      <c r="G129" s="651" t="s">
        <v>1330</v>
      </c>
      <c r="H129" s="651"/>
      <c r="I129" s="879" t="s">
        <v>4975</v>
      </c>
      <c r="J129" s="3"/>
      <c r="K129" s="3"/>
      <c r="L129" s="3"/>
      <c r="M129" s="3"/>
      <c r="N129" s="3"/>
      <c r="O129" s="31"/>
      <c r="P129" s="499"/>
      <c r="Q129" s="499"/>
      <c r="R129" s="499"/>
      <c r="S129" s="499"/>
      <c r="T129" s="499"/>
      <c r="U129" s="499"/>
      <c r="V129" s="499"/>
      <c r="W129" s="499"/>
      <c r="X129" s="3"/>
      <c r="Y129" s="3"/>
      <c r="Z129" s="3"/>
      <c r="AA129" s="120"/>
      <c r="AB129" s="120"/>
      <c r="AC129" s="120"/>
      <c r="AD129" s="120"/>
      <c r="AE129" s="120"/>
      <c r="AF129" s="120"/>
      <c r="AG129" s="120"/>
      <c r="AH129" s="120"/>
      <c r="AI129" s="120"/>
      <c r="AJ129" s="120"/>
      <c r="AK129" s="120"/>
      <c r="AL129" s="120"/>
      <c r="AM129" s="120"/>
      <c r="AN129" s="120"/>
      <c r="AO129" s="120"/>
    </row>
    <row r="130" spans="2:41" s="121" customFormat="1" ht="126">
      <c r="B130" s="652"/>
      <c r="C130" s="652"/>
      <c r="D130" s="652"/>
      <c r="E130" s="652"/>
      <c r="F130" s="652"/>
      <c r="G130" s="652"/>
      <c r="H130" s="652"/>
      <c r="I130" s="652"/>
      <c r="J130" s="663">
        <v>1.01</v>
      </c>
      <c r="K130" s="651" t="s">
        <v>773</v>
      </c>
      <c r="L130" s="651">
        <v>18</v>
      </c>
      <c r="M130" s="651" t="s">
        <v>1238</v>
      </c>
      <c r="N130" s="3" t="s">
        <v>1331</v>
      </c>
      <c r="O130" s="31" t="s">
        <v>701</v>
      </c>
      <c r="P130" s="499" t="s">
        <v>4290</v>
      </c>
      <c r="Q130" s="499" t="s">
        <v>4291</v>
      </c>
      <c r="R130" s="499" t="s">
        <v>4292</v>
      </c>
      <c r="S130" s="499" t="s">
        <v>4293</v>
      </c>
      <c r="T130" s="499" t="s">
        <v>4294</v>
      </c>
      <c r="U130" s="499" t="s">
        <v>4295</v>
      </c>
      <c r="V130" s="499" t="s">
        <v>4296</v>
      </c>
      <c r="W130" s="499" t="s">
        <v>4296</v>
      </c>
      <c r="X130" s="3" t="s">
        <v>1103</v>
      </c>
      <c r="Y130" s="3" t="s">
        <v>1332</v>
      </c>
      <c r="Z130" s="3"/>
      <c r="AA130" s="120"/>
      <c r="AB130" s="120"/>
      <c r="AC130" s="120"/>
      <c r="AD130" s="120"/>
      <c r="AE130" s="120"/>
      <c r="AF130" s="120"/>
      <c r="AG130" s="120"/>
      <c r="AH130" s="120"/>
      <c r="AI130" s="120"/>
      <c r="AJ130" s="120"/>
      <c r="AK130" s="120"/>
      <c r="AL130" s="120"/>
      <c r="AM130" s="120"/>
      <c r="AN130" s="120"/>
      <c r="AO130" s="120"/>
    </row>
    <row r="131" spans="2:41" s="121" customFormat="1" ht="110.25">
      <c r="B131" s="653"/>
      <c r="C131" s="653"/>
      <c r="D131" s="653"/>
      <c r="E131" s="653"/>
      <c r="F131" s="653"/>
      <c r="G131" s="653"/>
      <c r="H131" s="653"/>
      <c r="I131" s="653"/>
      <c r="J131" s="653"/>
      <c r="K131" s="653"/>
      <c r="L131" s="653"/>
      <c r="M131" s="653"/>
      <c r="N131" s="3" t="s">
        <v>1333</v>
      </c>
      <c r="O131" s="31" t="s">
        <v>701</v>
      </c>
      <c r="P131" s="499" t="s">
        <v>4297</v>
      </c>
      <c r="Q131" s="499" t="s">
        <v>4298</v>
      </c>
      <c r="R131" s="499" t="s">
        <v>4299</v>
      </c>
      <c r="S131" s="499" t="s">
        <v>4300</v>
      </c>
      <c r="T131" s="499" t="s">
        <v>4301</v>
      </c>
      <c r="U131" s="499" t="s">
        <v>4302</v>
      </c>
      <c r="V131" s="499" t="s">
        <v>4303</v>
      </c>
      <c r="W131" s="499" t="s">
        <v>4303</v>
      </c>
      <c r="X131" s="3" t="s">
        <v>1103</v>
      </c>
      <c r="Y131" s="3" t="s">
        <v>1334</v>
      </c>
      <c r="Z131" s="3"/>
      <c r="AA131" s="120"/>
      <c r="AB131" s="120"/>
      <c r="AC131" s="120"/>
      <c r="AD131" s="120"/>
      <c r="AE131" s="120"/>
      <c r="AF131" s="120"/>
      <c r="AG131" s="120"/>
      <c r="AH131" s="120"/>
      <c r="AI131" s="120"/>
      <c r="AJ131" s="120"/>
      <c r="AK131" s="120"/>
      <c r="AL131" s="120"/>
      <c r="AM131" s="120"/>
      <c r="AN131" s="120"/>
      <c r="AO131" s="120"/>
    </row>
    <row r="132" spans="2:41" s="121" customFormat="1">
      <c r="B132" s="120"/>
      <c r="C132" s="120"/>
      <c r="D132" s="120"/>
      <c r="E132" s="120"/>
      <c r="F132" s="120"/>
      <c r="G132" s="26"/>
      <c r="H132" s="120"/>
      <c r="I132" s="26"/>
      <c r="J132" s="120"/>
      <c r="K132" s="120"/>
      <c r="L132" s="120"/>
      <c r="M132" s="120"/>
      <c r="N132" s="25"/>
      <c r="O132" s="515"/>
      <c r="P132" s="515"/>
      <c r="Q132" s="515"/>
      <c r="R132" s="515"/>
      <c r="S132" s="515"/>
      <c r="T132" s="515"/>
      <c r="U132" s="515"/>
      <c r="V132" s="515"/>
      <c r="W132" s="515"/>
      <c r="X132" s="120"/>
      <c r="Y132" s="120"/>
      <c r="Z132" s="120"/>
      <c r="AA132" s="120"/>
      <c r="AB132" s="120"/>
      <c r="AC132" s="120"/>
      <c r="AD132" s="120"/>
      <c r="AE132" s="120"/>
      <c r="AF132" s="120"/>
      <c r="AG132" s="120"/>
      <c r="AH132" s="120"/>
      <c r="AI132" s="120"/>
      <c r="AJ132" s="120"/>
      <c r="AK132" s="120"/>
      <c r="AL132" s="120"/>
      <c r="AM132" s="120"/>
      <c r="AN132" s="120"/>
      <c r="AO132" s="120"/>
    </row>
    <row r="133" spans="2:41">
      <c r="B133" s="24"/>
      <c r="C133" s="24"/>
      <c r="D133" s="24"/>
      <c r="E133" s="24"/>
      <c r="F133" s="25"/>
      <c r="G133" s="24"/>
      <c r="H133" s="24"/>
      <c r="J133" s="24"/>
      <c r="K133" s="24"/>
      <c r="L133" s="24"/>
      <c r="M133" s="24"/>
      <c r="N133" s="24"/>
      <c r="O133" s="516"/>
      <c r="P133" s="516"/>
      <c r="Q133" s="515"/>
      <c r="R133" s="515"/>
      <c r="S133" s="516"/>
      <c r="T133" s="516"/>
      <c r="U133" s="516"/>
      <c r="V133" s="516"/>
      <c r="W133" s="516"/>
      <c r="X133" s="24"/>
      <c r="Y133" s="24"/>
      <c r="Z133" s="24"/>
      <c r="AA133" s="24"/>
      <c r="AB133" s="24"/>
      <c r="AC133" s="24"/>
      <c r="AD133" s="24"/>
      <c r="AE133" s="24"/>
      <c r="AF133" s="24"/>
      <c r="AG133" s="24"/>
      <c r="AH133" s="24"/>
      <c r="AI133" s="24"/>
      <c r="AJ133" s="24"/>
      <c r="AK133" s="24"/>
      <c r="AL133" s="24"/>
      <c r="AM133" s="24"/>
      <c r="AN133" s="24"/>
      <c r="AO133" s="24"/>
    </row>
    <row r="134" spans="2:41">
      <c r="B134" s="24"/>
      <c r="C134" s="24"/>
      <c r="D134" s="24"/>
      <c r="E134" s="24"/>
      <c r="F134" s="24"/>
      <c r="G134" s="24"/>
      <c r="H134" s="24"/>
      <c r="J134" s="24"/>
      <c r="K134" s="24"/>
      <c r="L134" s="24"/>
      <c r="M134" s="24"/>
      <c r="N134" s="24"/>
      <c r="O134" s="516"/>
      <c r="P134" s="516"/>
      <c r="Q134" s="516"/>
      <c r="R134" s="516"/>
      <c r="S134" s="516"/>
      <c r="T134" s="516"/>
      <c r="U134" s="516"/>
      <c r="V134" s="516"/>
      <c r="W134" s="516"/>
      <c r="X134" s="24"/>
      <c r="Y134" s="24"/>
      <c r="Z134" s="24"/>
      <c r="AA134" s="24"/>
      <c r="AB134" s="24"/>
      <c r="AC134" s="24"/>
      <c r="AD134" s="24"/>
      <c r="AE134" s="24"/>
      <c r="AF134" s="24"/>
      <c r="AG134" s="24"/>
      <c r="AH134" s="24"/>
      <c r="AI134" s="24"/>
      <c r="AJ134" s="24"/>
      <c r="AK134" s="24"/>
      <c r="AL134" s="24"/>
      <c r="AM134" s="24"/>
      <c r="AN134" s="24"/>
      <c r="AO134" s="24"/>
    </row>
    <row r="135" spans="2:41">
      <c r="B135" s="24"/>
      <c r="C135" s="24"/>
      <c r="D135" s="24"/>
      <c r="E135" s="24"/>
      <c r="F135" s="24"/>
      <c r="G135" s="24"/>
      <c r="H135" s="24"/>
      <c r="J135" s="24"/>
      <c r="K135" s="24"/>
      <c r="L135" s="24"/>
      <c r="M135" s="24"/>
      <c r="N135" s="24"/>
      <c r="O135" s="516"/>
      <c r="P135" s="516"/>
      <c r="Q135" s="516"/>
      <c r="R135" s="516"/>
      <c r="S135" s="516"/>
      <c r="T135" s="516"/>
      <c r="U135" s="516"/>
      <c r="V135" s="516"/>
      <c r="W135" s="516"/>
      <c r="X135" s="24"/>
      <c r="Y135" s="24"/>
      <c r="Z135" s="24"/>
      <c r="AA135" s="24"/>
      <c r="AB135" s="24"/>
      <c r="AC135" s="24"/>
      <c r="AD135" s="24"/>
      <c r="AE135" s="24"/>
      <c r="AF135" s="24"/>
      <c r="AG135" s="24"/>
      <c r="AH135" s="24"/>
      <c r="AI135" s="24"/>
      <c r="AJ135" s="24"/>
      <c r="AK135" s="24"/>
      <c r="AL135" s="24"/>
      <c r="AM135" s="24"/>
      <c r="AN135" s="24"/>
      <c r="AO135" s="24"/>
    </row>
    <row r="136" spans="2:41">
      <c r="B136" s="24"/>
      <c r="C136" s="24"/>
      <c r="D136" s="24"/>
      <c r="E136" s="24"/>
      <c r="F136" s="24"/>
      <c r="G136" s="25"/>
      <c r="H136" s="24"/>
      <c r="I136" s="25"/>
      <c r="J136" s="24"/>
      <c r="K136" s="24"/>
      <c r="L136" s="24"/>
      <c r="M136" s="24"/>
      <c r="N136" s="24"/>
      <c r="O136" s="516"/>
      <c r="P136" s="516"/>
      <c r="Q136" s="516"/>
      <c r="R136" s="516"/>
      <c r="S136" s="516"/>
      <c r="T136" s="516"/>
      <c r="U136" s="516"/>
      <c r="V136" s="516"/>
      <c r="W136" s="516"/>
      <c r="X136" s="24"/>
      <c r="Y136" s="24"/>
      <c r="Z136" s="24"/>
      <c r="AA136" s="24"/>
      <c r="AB136" s="24"/>
      <c r="AC136" s="24"/>
      <c r="AD136" s="24"/>
      <c r="AE136" s="24"/>
      <c r="AF136" s="24"/>
      <c r="AG136" s="24"/>
      <c r="AH136" s="24"/>
      <c r="AI136" s="24"/>
      <c r="AJ136" s="24"/>
      <c r="AK136" s="24"/>
      <c r="AL136" s="24"/>
      <c r="AM136" s="24"/>
      <c r="AN136" s="24"/>
      <c r="AO136" s="24"/>
    </row>
    <row r="137" spans="2:41">
      <c r="B137" s="24"/>
      <c r="C137" s="24"/>
      <c r="D137" s="24"/>
      <c r="E137" s="24"/>
      <c r="F137" s="24"/>
      <c r="G137" s="25"/>
      <c r="H137" s="24"/>
      <c r="I137" s="25"/>
      <c r="J137" s="24"/>
      <c r="K137" s="24"/>
      <c r="L137" s="24"/>
      <c r="M137" s="24"/>
      <c r="N137" s="24"/>
      <c r="O137" s="516"/>
      <c r="P137" s="516"/>
      <c r="Q137" s="516"/>
      <c r="R137" s="516"/>
      <c r="S137" s="516"/>
      <c r="T137" s="516"/>
      <c r="U137" s="516"/>
      <c r="V137" s="516"/>
      <c r="W137" s="516"/>
      <c r="X137" s="24"/>
      <c r="Y137" s="24"/>
      <c r="Z137" s="24"/>
      <c r="AA137" s="24"/>
      <c r="AB137" s="24"/>
      <c r="AC137" s="24"/>
      <c r="AD137" s="24"/>
      <c r="AE137" s="24"/>
      <c r="AF137" s="24"/>
      <c r="AG137" s="24"/>
      <c r="AH137" s="24"/>
      <c r="AI137" s="24"/>
      <c r="AJ137" s="24"/>
      <c r="AK137" s="24"/>
      <c r="AL137" s="24"/>
      <c r="AM137" s="24"/>
      <c r="AN137" s="24"/>
      <c r="AO137" s="24"/>
    </row>
    <row r="138" spans="2:41">
      <c r="B138" s="24"/>
      <c r="C138" s="24"/>
      <c r="D138" s="24"/>
      <c r="E138" s="24"/>
      <c r="F138" s="24"/>
      <c r="G138" s="24"/>
      <c r="H138" s="24"/>
      <c r="J138" s="24"/>
      <c r="K138" s="24"/>
      <c r="L138" s="24"/>
      <c r="M138" s="24"/>
      <c r="N138" s="24"/>
      <c r="O138" s="516"/>
      <c r="P138" s="516"/>
      <c r="Q138" s="516"/>
      <c r="R138" s="516"/>
      <c r="S138" s="516"/>
      <c r="T138" s="516"/>
      <c r="U138" s="516"/>
      <c r="V138" s="516"/>
      <c r="W138" s="516"/>
      <c r="X138" s="24"/>
      <c r="Y138" s="24"/>
      <c r="Z138" s="24"/>
      <c r="AA138" s="24"/>
      <c r="AB138" s="24"/>
      <c r="AC138" s="24"/>
      <c r="AD138" s="24"/>
      <c r="AE138" s="24"/>
      <c r="AF138" s="24"/>
      <c r="AG138" s="24"/>
      <c r="AH138" s="24"/>
      <c r="AI138" s="24"/>
      <c r="AJ138" s="24"/>
      <c r="AK138" s="24"/>
      <c r="AL138" s="24"/>
      <c r="AM138" s="24"/>
      <c r="AN138" s="24"/>
      <c r="AO138" s="24"/>
    </row>
    <row r="139" spans="2:41">
      <c r="B139" s="24"/>
      <c r="C139" s="24"/>
      <c r="D139" s="24"/>
      <c r="E139" s="24"/>
      <c r="F139" s="24"/>
      <c r="G139" s="25"/>
      <c r="H139" s="24"/>
      <c r="I139" s="25"/>
      <c r="J139" s="24"/>
      <c r="K139" s="24"/>
      <c r="L139" s="24"/>
      <c r="M139" s="24"/>
      <c r="N139" s="24"/>
      <c r="O139" s="516"/>
      <c r="P139" s="516"/>
      <c r="Q139" s="516"/>
      <c r="R139" s="516"/>
      <c r="S139" s="516"/>
      <c r="T139" s="516"/>
      <c r="U139" s="515"/>
      <c r="V139" s="515"/>
      <c r="W139" s="515"/>
      <c r="X139" s="24"/>
      <c r="Y139" s="24"/>
      <c r="Z139" s="24"/>
      <c r="AA139" s="24"/>
      <c r="AB139" s="24"/>
      <c r="AC139" s="24"/>
      <c r="AD139" s="24"/>
      <c r="AE139" s="24"/>
      <c r="AF139" s="24"/>
      <c r="AG139" s="24"/>
      <c r="AH139" s="24"/>
      <c r="AI139" s="24"/>
      <c r="AJ139" s="24"/>
      <c r="AK139" s="24"/>
      <c r="AL139" s="24"/>
      <c r="AM139" s="24"/>
      <c r="AN139" s="24"/>
      <c r="AO139" s="24"/>
    </row>
    <row r="140" spans="2:41">
      <c r="B140" s="24"/>
      <c r="C140" s="24"/>
      <c r="D140" s="24"/>
      <c r="E140" s="24"/>
      <c r="F140" s="24"/>
      <c r="G140" s="26"/>
      <c r="H140" s="24"/>
      <c r="I140" s="26"/>
      <c r="J140" s="24"/>
      <c r="K140" s="24"/>
      <c r="L140" s="24"/>
      <c r="M140" s="24"/>
      <c r="N140" s="24"/>
      <c r="O140" s="516"/>
      <c r="P140" s="516"/>
      <c r="Q140" s="516"/>
      <c r="R140" s="516"/>
      <c r="S140" s="516"/>
      <c r="T140" s="516"/>
      <c r="U140" s="515"/>
      <c r="V140" s="515"/>
      <c r="W140" s="515"/>
      <c r="X140" s="24"/>
      <c r="Y140" s="24"/>
      <c r="Z140" s="24"/>
      <c r="AA140" s="24"/>
      <c r="AB140" s="24"/>
      <c r="AC140" s="24"/>
      <c r="AD140" s="24"/>
      <c r="AE140" s="24"/>
      <c r="AF140" s="24"/>
      <c r="AG140" s="24"/>
      <c r="AH140" s="24"/>
      <c r="AI140" s="24"/>
      <c r="AJ140" s="24"/>
      <c r="AK140" s="24"/>
      <c r="AL140" s="24"/>
      <c r="AM140" s="24"/>
      <c r="AN140" s="24"/>
      <c r="AO140" s="24"/>
    </row>
    <row r="141" spans="2:41">
      <c r="B141" s="24"/>
      <c r="C141" s="24"/>
      <c r="D141" s="24"/>
      <c r="E141" s="24"/>
      <c r="F141" s="24"/>
      <c r="G141" s="26"/>
      <c r="H141" s="24"/>
      <c r="I141" s="26"/>
      <c r="J141" s="24"/>
      <c r="K141" s="24"/>
      <c r="L141" s="24"/>
      <c r="M141" s="24"/>
      <c r="N141" s="24"/>
      <c r="O141" s="516"/>
      <c r="P141" s="516"/>
      <c r="Q141" s="516"/>
      <c r="R141" s="516"/>
      <c r="S141" s="516"/>
      <c r="T141" s="516"/>
      <c r="U141" s="515"/>
      <c r="V141" s="515"/>
      <c r="W141" s="515"/>
      <c r="X141" s="24"/>
      <c r="Y141" s="24"/>
      <c r="Z141" s="24"/>
      <c r="AA141" s="24"/>
      <c r="AB141" s="24"/>
      <c r="AC141" s="24"/>
      <c r="AD141" s="24"/>
      <c r="AE141" s="24"/>
      <c r="AF141" s="24"/>
      <c r="AG141" s="24"/>
      <c r="AH141" s="24"/>
      <c r="AI141" s="24"/>
      <c r="AJ141" s="24"/>
      <c r="AK141" s="24"/>
      <c r="AL141" s="24"/>
      <c r="AM141" s="24"/>
      <c r="AN141" s="24"/>
      <c r="AO141" s="24"/>
    </row>
    <row r="142" spans="2:41">
      <c r="B142" s="24"/>
      <c r="C142" s="24"/>
      <c r="D142" s="24"/>
      <c r="E142" s="24"/>
      <c r="F142" s="24"/>
      <c r="G142" s="26"/>
      <c r="H142" s="24"/>
      <c r="I142" s="26"/>
      <c r="J142" s="24"/>
      <c r="K142" s="24"/>
      <c r="L142" s="24"/>
      <c r="M142" s="24"/>
      <c r="N142" s="24"/>
      <c r="O142" s="516"/>
      <c r="P142" s="516"/>
      <c r="Q142" s="516"/>
      <c r="R142" s="516"/>
      <c r="S142" s="516"/>
      <c r="T142" s="516"/>
      <c r="U142" s="515"/>
      <c r="V142" s="515"/>
      <c r="W142" s="515"/>
      <c r="X142" s="24"/>
      <c r="Y142" s="24"/>
      <c r="Z142" s="24"/>
      <c r="AA142" s="24"/>
      <c r="AB142" s="24"/>
      <c r="AC142" s="24"/>
      <c r="AD142" s="24"/>
      <c r="AE142" s="24"/>
      <c r="AF142" s="24"/>
      <c r="AG142" s="24"/>
      <c r="AH142" s="24"/>
      <c r="AI142" s="24"/>
      <c r="AJ142" s="24"/>
      <c r="AK142" s="24"/>
      <c r="AL142" s="24"/>
      <c r="AM142" s="24"/>
      <c r="AN142" s="24"/>
      <c r="AO142" s="24"/>
    </row>
    <row r="143" spans="2:41">
      <c r="B143" s="24"/>
      <c r="C143" s="24"/>
      <c r="D143" s="24"/>
      <c r="E143" s="24"/>
      <c r="F143" s="24"/>
      <c r="G143" s="25"/>
      <c r="H143" s="24"/>
      <c r="I143" s="25"/>
      <c r="J143" s="24"/>
      <c r="K143" s="24"/>
      <c r="L143" s="24"/>
      <c r="M143" s="24"/>
      <c r="N143" s="24"/>
      <c r="O143" s="516"/>
      <c r="P143" s="516"/>
      <c r="Q143" s="516"/>
      <c r="R143" s="516"/>
      <c r="S143" s="516"/>
      <c r="T143" s="516"/>
      <c r="U143" s="516"/>
      <c r="V143" s="516"/>
      <c r="W143" s="516"/>
      <c r="X143" s="24"/>
      <c r="Y143" s="24"/>
      <c r="Z143" s="24"/>
      <c r="AA143" s="24"/>
      <c r="AB143" s="24"/>
      <c r="AC143" s="24"/>
      <c r="AD143" s="24"/>
      <c r="AE143" s="24"/>
      <c r="AF143" s="24"/>
      <c r="AG143" s="24"/>
      <c r="AH143" s="24"/>
      <c r="AI143" s="24"/>
      <c r="AJ143" s="24"/>
      <c r="AK143" s="24"/>
      <c r="AL143" s="24"/>
      <c r="AM143" s="24"/>
      <c r="AN143" s="24"/>
      <c r="AO143" s="24"/>
    </row>
    <row r="144" spans="2:41">
      <c r="B144" s="24"/>
      <c r="C144" s="24"/>
      <c r="D144" s="24"/>
      <c r="E144" s="24"/>
      <c r="F144" s="24"/>
      <c r="G144" s="25"/>
      <c r="H144" s="24"/>
      <c r="I144" s="25"/>
      <c r="J144" s="24"/>
      <c r="K144" s="24"/>
      <c r="L144" s="24"/>
      <c r="M144" s="24"/>
      <c r="N144" s="24"/>
      <c r="O144" s="516"/>
      <c r="P144" s="516"/>
      <c r="Q144" s="516"/>
      <c r="R144" s="516"/>
      <c r="S144" s="516"/>
      <c r="T144" s="516"/>
      <c r="U144" s="516"/>
      <c r="V144" s="516"/>
      <c r="W144" s="516"/>
      <c r="X144" s="24"/>
      <c r="Y144" s="24"/>
      <c r="Z144" s="24"/>
      <c r="AA144" s="24"/>
      <c r="AB144" s="24"/>
      <c r="AC144" s="24"/>
      <c r="AD144" s="24"/>
      <c r="AE144" s="24"/>
      <c r="AF144" s="24"/>
      <c r="AG144" s="24"/>
      <c r="AH144" s="24"/>
      <c r="AI144" s="24"/>
      <c r="AJ144" s="24"/>
      <c r="AK144" s="24"/>
      <c r="AL144" s="24"/>
      <c r="AM144" s="24"/>
      <c r="AN144" s="24"/>
      <c r="AO144" s="24"/>
    </row>
    <row r="145" spans="2:41">
      <c r="B145" s="24"/>
      <c r="C145" s="24"/>
      <c r="D145" s="24"/>
      <c r="E145" s="24"/>
      <c r="F145" s="24"/>
      <c r="G145" s="25"/>
      <c r="H145" s="24"/>
      <c r="I145" s="25"/>
      <c r="J145" s="24"/>
      <c r="K145" s="24"/>
      <c r="L145" s="24"/>
      <c r="M145" s="24"/>
      <c r="N145" s="24"/>
      <c r="O145" s="516"/>
      <c r="P145" s="516"/>
      <c r="Q145" s="516"/>
      <c r="R145" s="516"/>
      <c r="S145" s="516"/>
      <c r="T145" s="516"/>
      <c r="U145" s="516"/>
      <c r="V145" s="516"/>
      <c r="W145" s="516"/>
      <c r="X145" s="24"/>
      <c r="Y145" s="24"/>
      <c r="Z145" s="24"/>
      <c r="AA145" s="24"/>
      <c r="AB145" s="24"/>
      <c r="AC145" s="24"/>
      <c r="AD145" s="24"/>
      <c r="AE145" s="24"/>
      <c r="AF145" s="24"/>
      <c r="AG145" s="24"/>
      <c r="AH145" s="24"/>
      <c r="AI145" s="24"/>
      <c r="AJ145" s="24"/>
      <c r="AK145" s="24"/>
      <c r="AL145" s="24"/>
      <c r="AM145" s="24"/>
      <c r="AN145" s="24"/>
      <c r="AO145" s="24"/>
    </row>
    <row r="146" spans="2:41">
      <c r="B146" s="24"/>
      <c r="C146" s="24"/>
      <c r="D146" s="24"/>
      <c r="E146" s="24"/>
      <c r="F146" s="24"/>
      <c r="G146" s="25"/>
      <c r="H146" s="24"/>
      <c r="I146" s="25"/>
      <c r="J146" s="24"/>
      <c r="K146" s="24"/>
      <c r="L146" s="24"/>
      <c r="M146" s="24"/>
      <c r="N146" s="24"/>
      <c r="O146" s="516"/>
      <c r="P146" s="516"/>
      <c r="Q146" s="516"/>
      <c r="R146" s="516"/>
      <c r="S146" s="516"/>
      <c r="T146" s="516"/>
      <c r="U146" s="516"/>
      <c r="V146" s="516"/>
      <c r="W146" s="516"/>
      <c r="X146" s="24"/>
      <c r="Y146" s="24"/>
      <c r="Z146" s="24"/>
      <c r="AA146" s="24"/>
      <c r="AB146" s="24"/>
      <c r="AC146" s="24"/>
      <c r="AD146" s="24"/>
      <c r="AE146" s="24"/>
      <c r="AF146" s="24"/>
      <c r="AG146" s="24"/>
      <c r="AH146" s="24"/>
      <c r="AI146" s="24"/>
      <c r="AJ146" s="24"/>
      <c r="AK146" s="24"/>
      <c r="AL146" s="24"/>
      <c r="AM146" s="24"/>
      <c r="AN146" s="24"/>
      <c r="AO146" s="24"/>
    </row>
    <row r="147" spans="2:41">
      <c r="B147" s="24"/>
      <c r="C147" s="24"/>
      <c r="D147" s="24"/>
      <c r="E147" s="24"/>
      <c r="F147" s="24"/>
      <c r="G147" s="25"/>
      <c r="H147" s="24"/>
      <c r="I147" s="25"/>
      <c r="J147" s="24"/>
      <c r="K147" s="24"/>
      <c r="L147" s="24"/>
      <c r="M147" s="24"/>
      <c r="N147" s="24"/>
      <c r="O147" s="516"/>
      <c r="P147" s="516"/>
      <c r="Q147" s="516"/>
      <c r="R147" s="516"/>
      <c r="S147" s="516"/>
      <c r="T147" s="516"/>
      <c r="U147" s="515"/>
      <c r="V147" s="515"/>
      <c r="W147" s="515"/>
      <c r="X147" s="24"/>
      <c r="Y147" s="24"/>
      <c r="Z147" s="24"/>
      <c r="AA147" s="24"/>
      <c r="AB147" s="24"/>
      <c r="AC147" s="24"/>
      <c r="AD147" s="24"/>
      <c r="AE147" s="24"/>
      <c r="AF147" s="24"/>
      <c r="AG147" s="24"/>
      <c r="AH147" s="24"/>
      <c r="AI147" s="24"/>
      <c r="AJ147" s="24"/>
      <c r="AK147" s="24"/>
      <c r="AL147" s="24"/>
      <c r="AM147" s="24"/>
      <c r="AN147" s="24"/>
      <c r="AO147" s="24"/>
    </row>
    <row r="148" spans="2:41">
      <c r="B148" s="24"/>
      <c r="C148" s="24"/>
      <c r="D148" s="24"/>
      <c r="E148" s="24"/>
      <c r="F148" s="24"/>
      <c r="G148" s="26"/>
      <c r="H148" s="24"/>
      <c r="I148" s="26"/>
      <c r="J148" s="24"/>
      <c r="K148" s="24"/>
      <c r="L148" s="24"/>
      <c r="M148" s="24"/>
      <c r="N148" s="24"/>
      <c r="O148" s="516"/>
      <c r="P148" s="516"/>
      <c r="Q148" s="516"/>
      <c r="R148" s="516"/>
      <c r="S148" s="516"/>
      <c r="T148" s="516"/>
      <c r="U148" s="515"/>
      <c r="V148" s="515"/>
      <c r="W148" s="515"/>
      <c r="X148" s="24"/>
      <c r="Y148" s="24"/>
      <c r="Z148" s="24"/>
      <c r="AA148" s="24"/>
      <c r="AB148" s="24"/>
      <c r="AC148" s="24"/>
      <c r="AD148" s="24"/>
      <c r="AE148" s="24"/>
      <c r="AF148" s="24"/>
      <c r="AG148" s="24"/>
      <c r="AH148" s="24"/>
      <c r="AI148" s="24"/>
      <c r="AJ148" s="24"/>
      <c r="AK148" s="24"/>
      <c r="AL148" s="24"/>
      <c r="AM148" s="24"/>
      <c r="AN148" s="24"/>
      <c r="AO148" s="24"/>
    </row>
    <row r="149" spans="2:41">
      <c r="B149" s="24"/>
      <c r="C149" s="24"/>
      <c r="D149" s="24"/>
      <c r="E149" s="24"/>
      <c r="F149" s="24"/>
      <c r="G149" s="26"/>
      <c r="H149" s="24"/>
      <c r="I149" s="26"/>
      <c r="J149" s="24"/>
      <c r="K149" s="24"/>
      <c r="L149" s="24"/>
      <c r="M149" s="24"/>
      <c r="N149" s="24"/>
      <c r="O149" s="516"/>
      <c r="P149" s="516"/>
      <c r="Q149" s="516"/>
      <c r="R149" s="516"/>
      <c r="S149" s="516"/>
      <c r="T149" s="516"/>
      <c r="U149" s="515"/>
      <c r="V149" s="515"/>
      <c r="W149" s="515"/>
      <c r="X149" s="24"/>
      <c r="Y149" s="24"/>
      <c r="Z149" s="24"/>
      <c r="AA149" s="24"/>
      <c r="AB149" s="24"/>
      <c r="AC149" s="24"/>
      <c r="AD149" s="24"/>
      <c r="AE149" s="24"/>
      <c r="AF149" s="24"/>
      <c r="AG149" s="24"/>
      <c r="AH149" s="24"/>
      <c r="AI149" s="24"/>
      <c r="AJ149" s="24"/>
      <c r="AK149" s="24"/>
      <c r="AL149" s="24"/>
      <c r="AM149" s="24"/>
      <c r="AN149" s="24"/>
      <c r="AO149" s="24"/>
    </row>
    <row r="150" spans="2:41">
      <c r="B150" s="24"/>
      <c r="C150" s="24"/>
      <c r="D150" s="24"/>
      <c r="E150" s="24"/>
      <c r="F150" s="24"/>
      <c r="G150" s="26"/>
      <c r="H150" s="24"/>
      <c r="I150" s="26"/>
      <c r="J150" s="24"/>
      <c r="K150" s="24"/>
      <c r="L150" s="24"/>
      <c r="M150" s="24"/>
      <c r="N150" s="24"/>
      <c r="O150" s="516"/>
      <c r="P150" s="516"/>
      <c r="Q150" s="516"/>
      <c r="R150" s="516"/>
      <c r="S150" s="516"/>
      <c r="T150" s="516"/>
      <c r="U150" s="515"/>
      <c r="V150" s="515"/>
      <c r="W150" s="515"/>
      <c r="X150" s="24"/>
      <c r="Y150" s="24"/>
      <c r="Z150" s="24"/>
      <c r="AA150" s="24"/>
      <c r="AB150" s="24"/>
      <c r="AC150" s="24"/>
      <c r="AD150" s="24"/>
      <c r="AE150" s="24"/>
      <c r="AF150" s="24"/>
      <c r="AG150" s="24"/>
      <c r="AH150" s="24"/>
      <c r="AI150" s="24"/>
      <c r="AJ150" s="24"/>
      <c r="AK150" s="24"/>
      <c r="AL150" s="24"/>
      <c r="AM150" s="24"/>
      <c r="AN150" s="24"/>
      <c r="AO150" s="24"/>
    </row>
    <row r="151" spans="2:41">
      <c r="B151" s="24"/>
      <c r="C151" s="24"/>
      <c r="D151" s="24"/>
      <c r="E151" s="24"/>
      <c r="F151" s="24"/>
      <c r="G151" s="26"/>
      <c r="H151" s="24"/>
      <c r="I151" s="26"/>
      <c r="J151" s="24"/>
      <c r="K151" s="24"/>
      <c r="L151" s="24"/>
      <c r="M151" s="24"/>
      <c r="N151" s="24"/>
      <c r="O151" s="516"/>
      <c r="P151" s="516"/>
      <c r="Q151" s="516"/>
      <c r="R151" s="516"/>
      <c r="S151" s="516"/>
      <c r="T151" s="516"/>
      <c r="U151" s="515"/>
      <c r="V151" s="515"/>
      <c r="W151" s="515"/>
      <c r="X151" s="24"/>
      <c r="Y151" s="24"/>
      <c r="Z151" s="24"/>
      <c r="AA151" s="24"/>
      <c r="AB151" s="24"/>
      <c r="AC151" s="24"/>
      <c r="AD151" s="24"/>
      <c r="AE151" s="24"/>
      <c r="AF151" s="24"/>
      <c r="AG151" s="24"/>
      <c r="AH151" s="24"/>
      <c r="AI151" s="24"/>
      <c r="AJ151" s="24"/>
      <c r="AK151" s="24"/>
      <c r="AL151" s="24"/>
      <c r="AM151" s="24"/>
      <c r="AN151" s="24"/>
      <c r="AO151" s="24"/>
    </row>
    <row r="152" spans="2:41">
      <c r="B152" s="24"/>
      <c r="C152" s="24"/>
      <c r="D152" s="24"/>
      <c r="E152" s="24"/>
      <c r="F152" s="24"/>
      <c r="G152" s="26"/>
      <c r="H152" s="24"/>
      <c r="I152" s="26"/>
      <c r="J152" s="24"/>
      <c r="K152" s="24"/>
      <c r="L152" s="24"/>
      <c r="M152" s="24"/>
      <c r="N152" s="24"/>
      <c r="O152" s="516"/>
      <c r="P152" s="516"/>
      <c r="Q152" s="516"/>
      <c r="R152" s="516"/>
      <c r="S152" s="516"/>
      <c r="T152" s="516"/>
      <c r="U152" s="515"/>
      <c r="V152" s="515"/>
      <c r="W152" s="515"/>
      <c r="X152" s="24"/>
      <c r="Y152" s="24"/>
      <c r="Z152" s="24"/>
      <c r="AA152" s="24"/>
      <c r="AB152" s="24"/>
      <c r="AC152" s="24"/>
      <c r="AD152" s="24"/>
      <c r="AE152" s="24"/>
      <c r="AF152" s="24"/>
      <c r="AG152" s="24"/>
      <c r="AH152" s="24"/>
      <c r="AI152" s="24"/>
      <c r="AJ152" s="24"/>
      <c r="AK152" s="24"/>
      <c r="AL152" s="24"/>
      <c r="AM152" s="24"/>
      <c r="AN152" s="24"/>
      <c r="AO152" s="24"/>
    </row>
    <row r="153" spans="2:41">
      <c r="B153" s="24"/>
      <c r="C153" s="24"/>
      <c r="D153" s="24"/>
      <c r="E153" s="24"/>
      <c r="F153" s="24"/>
      <c r="G153" s="24"/>
      <c r="H153" s="24"/>
      <c r="J153" s="24"/>
      <c r="K153" s="24"/>
      <c r="L153" s="24"/>
      <c r="M153" s="24"/>
      <c r="N153" s="24"/>
      <c r="O153" s="516"/>
      <c r="P153" s="516"/>
      <c r="Q153" s="516"/>
      <c r="R153" s="516"/>
      <c r="S153" s="516"/>
      <c r="T153" s="516"/>
      <c r="U153" s="516"/>
      <c r="V153" s="516"/>
      <c r="W153" s="516"/>
      <c r="X153" s="24"/>
      <c r="Y153" s="24"/>
      <c r="Z153" s="24"/>
      <c r="AA153" s="24"/>
      <c r="AB153" s="24"/>
      <c r="AC153" s="24"/>
      <c r="AD153" s="24"/>
      <c r="AE153" s="24"/>
      <c r="AF153" s="24"/>
      <c r="AG153" s="24"/>
      <c r="AH153" s="24"/>
      <c r="AI153" s="24"/>
      <c r="AJ153" s="24"/>
      <c r="AK153" s="24"/>
      <c r="AL153" s="24"/>
      <c r="AM153" s="24"/>
      <c r="AN153" s="24"/>
      <c r="AO153" s="24"/>
    </row>
    <row r="154" spans="2:41">
      <c r="B154" s="24"/>
      <c r="C154" s="24"/>
      <c r="D154" s="24"/>
      <c r="E154" s="24"/>
      <c r="F154" s="24"/>
      <c r="G154" s="25"/>
      <c r="H154" s="24"/>
      <c r="I154" s="25"/>
      <c r="J154" s="24"/>
      <c r="K154" s="24"/>
      <c r="L154" s="24"/>
      <c r="M154" s="24"/>
      <c r="N154" s="24"/>
      <c r="O154" s="516"/>
      <c r="P154" s="516"/>
      <c r="Q154" s="516"/>
      <c r="R154" s="516"/>
      <c r="S154" s="516"/>
      <c r="T154" s="516"/>
      <c r="U154" s="516"/>
      <c r="V154" s="516"/>
      <c r="W154" s="516"/>
      <c r="X154" s="24"/>
      <c r="Y154" s="24"/>
      <c r="Z154" s="24"/>
      <c r="AA154" s="24"/>
      <c r="AB154" s="24"/>
      <c r="AC154" s="24"/>
      <c r="AD154" s="24"/>
      <c r="AE154" s="24"/>
      <c r="AF154" s="24"/>
      <c r="AG154" s="24"/>
      <c r="AH154" s="24"/>
      <c r="AI154" s="24"/>
      <c r="AJ154" s="24"/>
      <c r="AK154" s="24"/>
      <c r="AL154" s="24"/>
      <c r="AM154" s="24"/>
      <c r="AN154" s="24"/>
      <c r="AO154" s="24"/>
    </row>
    <row r="155" spans="2:41">
      <c r="B155" s="24"/>
      <c r="C155" s="24"/>
      <c r="D155" s="24"/>
      <c r="E155" s="24"/>
      <c r="F155" s="24"/>
      <c r="G155" s="25"/>
      <c r="H155" s="24"/>
      <c r="I155" s="25"/>
      <c r="J155" s="24"/>
      <c r="K155" s="24"/>
      <c r="L155" s="24"/>
      <c r="M155" s="24"/>
      <c r="N155" s="24"/>
      <c r="O155" s="516"/>
      <c r="P155" s="516"/>
      <c r="Q155" s="516"/>
      <c r="R155" s="516"/>
      <c r="S155" s="516"/>
      <c r="T155" s="516"/>
      <c r="U155" s="516"/>
      <c r="V155" s="516"/>
      <c r="W155" s="516"/>
      <c r="X155" s="24"/>
      <c r="Y155" s="24"/>
      <c r="Z155" s="24"/>
      <c r="AA155" s="24"/>
      <c r="AB155" s="24"/>
      <c r="AC155" s="24"/>
      <c r="AD155" s="24"/>
      <c r="AE155" s="24"/>
      <c r="AF155" s="24"/>
      <c r="AG155" s="24"/>
      <c r="AH155" s="24"/>
      <c r="AI155" s="24"/>
      <c r="AJ155" s="24"/>
      <c r="AK155" s="24"/>
      <c r="AL155" s="24"/>
      <c r="AM155" s="24"/>
      <c r="AN155" s="24"/>
      <c r="AO155" s="24"/>
    </row>
    <row r="156" spans="2:41">
      <c r="B156" s="24"/>
      <c r="C156" s="24"/>
      <c r="D156" s="24"/>
      <c r="E156" s="24"/>
      <c r="F156" s="24"/>
      <c r="G156" s="25"/>
      <c r="H156" s="24"/>
      <c r="I156" s="25"/>
      <c r="J156" s="24"/>
      <c r="K156" s="24"/>
      <c r="L156" s="24"/>
      <c r="M156" s="24"/>
      <c r="N156" s="24"/>
      <c r="O156" s="516"/>
      <c r="P156" s="516"/>
      <c r="Q156" s="516"/>
      <c r="R156" s="516"/>
      <c r="S156" s="516"/>
      <c r="T156" s="516"/>
      <c r="U156" s="516"/>
      <c r="V156" s="516"/>
      <c r="W156" s="516"/>
      <c r="X156" s="24"/>
      <c r="Y156" s="24"/>
      <c r="Z156" s="24"/>
      <c r="AA156" s="24"/>
      <c r="AB156" s="24"/>
      <c r="AC156" s="24"/>
      <c r="AD156" s="24"/>
      <c r="AE156" s="24"/>
      <c r="AF156" s="24"/>
      <c r="AG156" s="24"/>
      <c r="AH156" s="24"/>
      <c r="AI156" s="24"/>
      <c r="AJ156" s="24"/>
      <c r="AK156" s="24"/>
      <c r="AL156" s="24"/>
      <c r="AM156" s="24"/>
      <c r="AN156" s="24"/>
      <c r="AO156" s="24"/>
    </row>
    <row r="157" spans="2:41">
      <c r="B157" s="24"/>
      <c r="C157" s="24"/>
      <c r="D157" s="24"/>
      <c r="E157" s="24"/>
      <c r="F157" s="24"/>
      <c r="G157" s="25"/>
      <c r="H157" s="24"/>
      <c r="I157" s="25"/>
      <c r="J157" s="24"/>
      <c r="K157" s="24"/>
      <c r="L157" s="24"/>
      <c r="M157" s="24"/>
      <c r="N157" s="24"/>
      <c r="O157" s="516"/>
      <c r="P157" s="516"/>
      <c r="Q157" s="516"/>
      <c r="R157" s="516"/>
      <c r="S157" s="516"/>
      <c r="T157" s="516"/>
      <c r="U157" s="515"/>
      <c r="V157" s="515"/>
      <c r="W157" s="515"/>
      <c r="X157" s="24"/>
      <c r="Y157" s="24"/>
      <c r="Z157" s="24"/>
      <c r="AA157" s="24"/>
      <c r="AB157" s="24"/>
      <c r="AC157" s="24"/>
      <c r="AD157" s="24"/>
      <c r="AE157" s="24"/>
      <c r="AF157" s="24"/>
      <c r="AG157" s="24"/>
      <c r="AH157" s="24"/>
      <c r="AI157" s="24"/>
      <c r="AJ157" s="24"/>
      <c r="AK157" s="24"/>
      <c r="AL157" s="24"/>
      <c r="AM157" s="24"/>
      <c r="AN157" s="24"/>
      <c r="AO157" s="24"/>
    </row>
    <row r="158" spans="2:41">
      <c r="B158" s="24"/>
      <c r="C158" s="24"/>
      <c r="D158" s="24"/>
      <c r="E158" s="24"/>
      <c r="F158" s="24"/>
      <c r="G158" s="26"/>
      <c r="H158" s="24"/>
      <c r="I158" s="26"/>
      <c r="J158" s="24"/>
      <c r="K158" s="24"/>
      <c r="L158" s="24"/>
      <c r="M158" s="24"/>
      <c r="N158" s="24"/>
      <c r="O158" s="516"/>
      <c r="P158" s="516"/>
      <c r="Q158" s="516"/>
      <c r="R158" s="516"/>
      <c r="S158" s="516"/>
      <c r="T158" s="516"/>
      <c r="U158" s="515"/>
      <c r="V158" s="515"/>
      <c r="W158" s="515"/>
      <c r="X158" s="24"/>
      <c r="Y158" s="24"/>
      <c r="Z158" s="24"/>
      <c r="AA158" s="24"/>
      <c r="AB158" s="24"/>
      <c r="AC158" s="24"/>
      <c r="AD158" s="24"/>
      <c r="AE158" s="24"/>
      <c r="AF158" s="24"/>
      <c r="AG158" s="24"/>
      <c r="AH158" s="24"/>
      <c r="AI158" s="24"/>
      <c r="AJ158" s="24"/>
      <c r="AK158" s="24"/>
      <c r="AL158" s="24"/>
      <c r="AM158" s="24"/>
      <c r="AN158" s="24"/>
      <c r="AO158" s="24"/>
    </row>
    <row r="159" spans="2:41">
      <c r="B159" s="24"/>
      <c r="C159" s="24"/>
      <c r="D159" s="24"/>
      <c r="E159" s="24"/>
      <c r="F159" s="24"/>
      <c r="G159" s="26"/>
      <c r="H159" s="24"/>
      <c r="I159" s="26"/>
      <c r="J159" s="24"/>
      <c r="K159" s="24"/>
      <c r="L159" s="24"/>
      <c r="M159" s="24"/>
      <c r="N159" s="24"/>
      <c r="O159" s="516"/>
      <c r="P159" s="516"/>
      <c r="Q159" s="516"/>
      <c r="R159" s="516"/>
      <c r="S159" s="516"/>
      <c r="T159" s="516"/>
      <c r="U159" s="515"/>
      <c r="V159" s="515"/>
      <c r="W159" s="515"/>
      <c r="X159" s="24"/>
      <c r="Y159" s="24"/>
      <c r="Z159" s="24"/>
      <c r="AA159" s="24"/>
      <c r="AB159" s="24"/>
      <c r="AC159" s="24"/>
      <c r="AD159" s="24"/>
      <c r="AE159" s="24"/>
      <c r="AF159" s="24"/>
      <c r="AG159" s="24"/>
      <c r="AH159" s="24"/>
      <c r="AI159" s="24"/>
      <c r="AJ159" s="24"/>
      <c r="AK159" s="24"/>
      <c r="AL159" s="24"/>
      <c r="AM159" s="24"/>
      <c r="AN159" s="24"/>
      <c r="AO159" s="24"/>
    </row>
    <row r="160" spans="2:41">
      <c r="B160" s="24"/>
      <c r="C160" s="24"/>
      <c r="D160" s="24"/>
      <c r="E160" s="24"/>
      <c r="F160" s="24"/>
      <c r="G160" s="26"/>
      <c r="H160" s="24"/>
      <c r="I160" s="26"/>
      <c r="J160" s="26"/>
      <c r="K160" s="26"/>
      <c r="L160" s="24"/>
      <c r="M160" s="24"/>
      <c r="N160" s="24"/>
      <c r="O160" s="516"/>
      <c r="P160" s="516"/>
      <c r="Q160" s="516"/>
      <c r="R160" s="516"/>
      <c r="S160" s="516"/>
      <c r="T160" s="516"/>
      <c r="U160" s="515"/>
      <c r="V160" s="515"/>
      <c r="W160" s="515"/>
      <c r="X160" s="24"/>
      <c r="Y160" s="24"/>
      <c r="Z160" s="24"/>
      <c r="AA160" s="24"/>
      <c r="AB160" s="24"/>
      <c r="AC160" s="24"/>
      <c r="AD160" s="24"/>
      <c r="AE160" s="24"/>
      <c r="AF160" s="24"/>
      <c r="AG160" s="24"/>
      <c r="AH160" s="24"/>
      <c r="AI160" s="24"/>
      <c r="AJ160" s="24"/>
      <c r="AK160" s="24"/>
      <c r="AL160" s="24"/>
      <c r="AM160" s="24"/>
      <c r="AN160" s="24"/>
      <c r="AO160" s="24"/>
    </row>
    <row r="161" spans="2:41">
      <c r="B161" s="24"/>
      <c r="C161" s="24"/>
      <c r="D161" s="24"/>
      <c r="E161" s="24"/>
      <c r="F161" s="24"/>
      <c r="G161" s="26"/>
      <c r="H161" s="24"/>
      <c r="I161" s="26"/>
      <c r="J161" s="26"/>
      <c r="K161" s="26"/>
      <c r="L161" s="24"/>
      <c r="M161" s="24"/>
      <c r="N161" s="24"/>
      <c r="O161" s="516"/>
      <c r="P161" s="516"/>
      <c r="Q161" s="516"/>
      <c r="R161" s="516"/>
      <c r="S161" s="516"/>
      <c r="T161" s="516"/>
      <c r="U161" s="515"/>
      <c r="V161" s="515"/>
      <c r="W161" s="515"/>
      <c r="X161" s="24"/>
      <c r="Y161" s="24"/>
      <c r="Z161" s="24"/>
      <c r="AA161" s="24"/>
      <c r="AB161" s="24"/>
      <c r="AC161" s="24"/>
      <c r="AD161" s="24"/>
      <c r="AE161" s="24"/>
      <c r="AF161" s="24"/>
      <c r="AG161" s="24"/>
      <c r="AH161" s="24"/>
      <c r="AI161" s="24"/>
      <c r="AJ161" s="24"/>
      <c r="AK161" s="24"/>
      <c r="AL161" s="24"/>
      <c r="AM161" s="24"/>
      <c r="AN161" s="24"/>
      <c r="AO161" s="24"/>
    </row>
    <row r="162" spans="2:41">
      <c r="B162" s="24"/>
      <c r="C162" s="24"/>
      <c r="D162" s="24"/>
      <c r="E162" s="24"/>
      <c r="F162" s="24"/>
      <c r="G162" s="26"/>
      <c r="H162" s="24"/>
      <c r="I162" s="26"/>
      <c r="J162" s="26"/>
      <c r="K162" s="26"/>
      <c r="L162" s="24"/>
      <c r="M162" s="24"/>
      <c r="N162" s="24"/>
      <c r="O162" s="516"/>
      <c r="P162" s="516"/>
      <c r="Q162" s="516"/>
      <c r="R162" s="516"/>
      <c r="S162" s="516"/>
      <c r="T162" s="516"/>
      <c r="U162" s="515"/>
      <c r="V162" s="515"/>
      <c r="W162" s="515"/>
      <c r="X162" s="24"/>
      <c r="Y162" s="24"/>
      <c r="Z162" s="24"/>
      <c r="AA162" s="24"/>
      <c r="AB162" s="24"/>
      <c r="AC162" s="24"/>
      <c r="AD162" s="24"/>
      <c r="AE162" s="24"/>
      <c r="AF162" s="24"/>
      <c r="AG162" s="24"/>
      <c r="AH162" s="24"/>
      <c r="AI162" s="24"/>
      <c r="AJ162" s="24"/>
      <c r="AK162" s="24"/>
      <c r="AL162" s="24"/>
      <c r="AM162" s="24"/>
      <c r="AN162" s="24"/>
      <c r="AO162" s="24"/>
    </row>
    <row r="163" spans="2:41">
      <c r="B163" s="24"/>
      <c r="C163" s="24"/>
      <c r="D163" s="24"/>
      <c r="E163" s="24"/>
      <c r="F163" s="24"/>
      <c r="G163" s="26"/>
      <c r="H163" s="24"/>
      <c r="I163" s="26"/>
      <c r="J163" s="26"/>
      <c r="K163" s="26"/>
      <c r="L163" s="24"/>
      <c r="M163" s="24"/>
      <c r="N163" s="24"/>
      <c r="O163" s="516"/>
      <c r="P163" s="516"/>
      <c r="Q163" s="516"/>
      <c r="R163" s="516"/>
      <c r="S163" s="516"/>
      <c r="T163" s="516"/>
      <c r="U163" s="515"/>
      <c r="V163" s="515"/>
      <c r="W163" s="515"/>
      <c r="X163" s="24"/>
      <c r="Y163" s="24"/>
      <c r="Z163" s="24"/>
      <c r="AA163" s="24"/>
      <c r="AB163" s="24"/>
      <c r="AC163" s="24"/>
      <c r="AD163" s="24"/>
      <c r="AE163" s="24"/>
      <c r="AF163" s="24"/>
      <c r="AG163" s="24"/>
      <c r="AH163" s="24"/>
      <c r="AI163" s="24"/>
      <c r="AJ163" s="24"/>
      <c r="AK163" s="24"/>
      <c r="AL163" s="24"/>
      <c r="AM163" s="24"/>
      <c r="AN163" s="24"/>
      <c r="AO163" s="24"/>
    </row>
    <row r="164" spans="2:41">
      <c r="B164" s="24"/>
      <c r="C164" s="24"/>
      <c r="D164" s="24"/>
      <c r="E164" s="24"/>
      <c r="F164" s="24"/>
      <c r="G164" s="26"/>
      <c r="H164" s="24"/>
      <c r="I164" s="26"/>
      <c r="J164" s="26"/>
      <c r="K164" s="26"/>
      <c r="L164" s="24"/>
      <c r="M164" s="24"/>
      <c r="N164" s="24"/>
      <c r="O164" s="516"/>
      <c r="P164" s="516"/>
      <c r="Q164" s="516"/>
      <c r="R164" s="516"/>
      <c r="S164" s="516"/>
      <c r="T164" s="516"/>
      <c r="U164" s="515"/>
      <c r="V164" s="515"/>
      <c r="W164" s="515"/>
      <c r="X164" s="24"/>
      <c r="Y164" s="24"/>
      <c r="Z164" s="24"/>
      <c r="AA164" s="24"/>
      <c r="AB164" s="24"/>
      <c r="AC164" s="24"/>
      <c r="AD164" s="24"/>
      <c r="AE164" s="24"/>
      <c r="AF164" s="24"/>
      <c r="AG164" s="24"/>
      <c r="AH164" s="24"/>
      <c r="AI164" s="24"/>
      <c r="AJ164" s="24"/>
      <c r="AK164" s="24"/>
      <c r="AL164" s="24"/>
      <c r="AM164" s="24"/>
      <c r="AN164" s="24"/>
      <c r="AO164" s="24"/>
    </row>
    <row r="165" spans="2:41">
      <c r="B165" s="24"/>
      <c r="C165" s="24"/>
      <c r="D165" s="24"/>
      <c r="E165" s="24"/>
      <c r="F165" s="24"/>
      <c r="G165" s="26"/>
      <c r="H165" s="24"/>
      <c r="I165" s="26"/>
      <c r="J165" s="26"/>
      <c r="K165" s="26"/>
      <c r="L165" s="24"/>
      <c r="M165" s="24"/>
      <c r="N165" s="24"/>
      <c r="O165" s="516"/>
      <c r="P165" s="516"/>
      <c r="Q165" s="516"/>
      <c r="R165" s="516"/>
      <c r="S165" s="516"/>
      <c r="T165" s="516"/>
      <c r="U165" s="515"/>
      <c r="V165" s="515"/>
      <c r="W165" s="515"/>
      <c r="X165" s="24"/>
      <c r="Y165" s="24"/>
      <c r="Z165" s="24"/>
      <c r="AA165" s="24"/>
      <c r="AB165" s="24"/>
      <c r="AC165" s="24"/>
      <c r="AD165" s="24"/>
      <c r="AE165" s="24"/>
      <c r="AF165" s="24"/>
      <c r="AG165" s="24"/>
      <c r="AH165" s="24"/>
      <c r="AI165" s="24"/>
      <c r="AJ165" s="24"/>
      <c r="AK165" s="24"/>
      <c r="AL165" s="24"/>
      <c r="AM165" s="24"/>
      <c r="AN165" s="24"/>
      <c r="AO165" s="24"/>
    </row>
    <row r="166" spans="2:41">
      <c r="B166" s="24"/>
      <c r="C166" s="24"/>
      <c r="D166" s="24"/>
      <c r="E166" s="24"/>
      <c r="F166" s="24"/>
      <c r="G166" s="26"/>
      <c r="H166" s="24"/>
      <c r="I166" s="26"/>
      <c r="J166" s="26"/>
      <c r="K166" s="26"/>
      <c r="L166" s="24"/>
      <c r="M166" s="24"/>
      <c r="N166" s="24"/>
      <c r="O166" s="516"/>
      <c r="P166" s="516"/>
      <c r="Q166" s="516"/>
      <c r="R166" s="516"/>
      <c r="S166" s="516"/>
      <c r="T166" s="516"/>
      <c r="U166" s="515"/>
      <c r="V166" s="515"/>
      <c r="W166" s="515"/>
      <c r="X166" s="24"/>
      <c r="Y166" s="24"/>
      <c r="Z166" s="24"/>
      <c r="AA166" s="24"/>
      <c r="AB166" s="24"/>
      <c r="AC166" s="24"/>
      <c r="AD166" s="24"/>
      <c r="AE166" s="24"/>
      <c r="AF166" s="24"/>
      <c r="AG166" s="24"/>
      <c r="AH166" s="24"/>
      <c r="AI166" s="24"/>
      <c r="AJ166" s="24"/>
      <c r="AK166" s="24"/>
      <c r="AL166" s="24"/>
      <c r="AM166" s="24"/>
      <c r="AN166" s="24"/>
      <c r="AO166" s="24"/>
    </row>
    <row r="167" spans="2:41">
      <c r="B167" s="24"/>
      <c r="C167" s="24"/>
      <c r="D167" s="24"/>
      <c r="E167" s="24"/>
      <c r="F167" s="24"/>
      <c r="G167" s="26"/>
      <c r="H167" s="24"/>
      <c r="I167" s="26"/>
      <c r="J167" s="26"/>
      <c r="K167" s="26"/>
      <c r="L167" s="24"/>
      <c r="M167" s="24"/>
      <c r="N167" s="24"/>
      <c r="O167" s="516"/>
      <c r="P167" s="516"/>
      <c r="Q167" s="516"/>
      <c r="R167" s="516"/>
      <c r="S167" s="516"/>
      <c r="T167" s="516"/>
      <c r="U167" s="515"/>
      <c r="V167" s="515"/>
      <c r="W167" s="515"/>
      <c r="X167" s="24"/>
      <c r="Y167" s="24"/>
      <c r="Z167" s="24"/>
      <c r="AA167" s="24"/>
      <c r="AB167" s="24"/>
      <c r="AC167" s="24"/>
      <c r="AD167" s="24"/>
      <c r="AE167" s="24"/>
      <c r="AF167" s="24"/>
      <c r="AG167" s="24"/>
      <c r="AH167" s="24"/>
      <c r="AI167" s="24"/>
      <c r="AJ167" s="24"/>
      <c r="AK167" s="24"/>
      <c r="AL167" s="24"/>
      <c r="AM167" s="24"/>
      <c r="AN167" s="24"/>
      <c r="AO167" s="24"/>
    </row>
    <row r="168" spans="2:41">
      <c r="B168" s="24"/>
      <c r="C168" s="24"/>
      <c r="D168" s="24"/>
      <c r="E168" s="24"/>
      <c r="F168" s="24"/>
      <c r="G168" s="26"/>
      <c r="H168" s="24"/>
      <c r="I168" s="26"/>
      <c r="J168" s="26"/>
      <c r="K168" s="26"/>
      <c r="L168" s="24"/>
      <c r="M168" s="24"/>
      <c r="N168" s="24"/>
      <c r="O168" s="516"/>
      <c r="P168" s="516"/>
      <c r="Q168" s="516"/>
      <c r="R168" s="516"/>
      <c r="S168" s="516"/>
      <c r="T168" s="516"/>
      <c r="U168" s="515"/>
      <c r="V168" s="515"/>
      <c r="W168" s="515"/>
      <c r="X168" s="24"/>
      <c r="Y168" s="24"/>
      <c r="Z168" s="24"/>
      <c r="AA168" s="24"/>
      <c r="AB168" s="24"/>
      <c r="AC168" s="24"/>
      <c r="AD168" s="24"/>
      <c r="AE168" s="24"/>
      <c r="AF168" s="24"/>
      <c r="AG168" s="24"/>
      <c r="AH168" s="24"/>
      <c r="AI168" s="24"/>
      <c r="AJ168" s="24"/>
      <c r="AK168" s="24"/>
      <c r="AL168" s="24"/>
      <c r="AM168" s="24"/>
      <c r="AN168" s="24"/>
      <c r="AO168" s="24"/>
    </row>
    <row r="169" spans="2:41">
      <c r="B169" s="24"/>
      <c r="C169" s="24"/>
      <c r="D169" s="24"/>
      <c r="E169" s="24"/>
      <c r="F169" s="24"/>
      <c r="G169" s="24"/>
      <c r="H169" s="24"/>
      <c r="J169" s="24"/>
      <c r="K169" s="24"/>
      <c r="L169" s="24"/>
      <c r="M169" s="24"/>
      <c r="N169" s="24"/>
      <c r="O169" s="516"/>
      <c r="P169" s="516"/>
      <c r="Q169" s="516"/>
      <c r="R169" s="516"/>
      <c r="S169" s="516"/>
      <c r="T169" s="516"/>
      <c r="U169" s="516"/>
      <c r="V169" s="516"/>
      <c r="W169" s="516"/>
      <c r="X169" s="24"/>
      <c r="Y169" s="24"/>
      <c r="Z169" s="24"/>
      <c r="AA169" s="24"/>
      <c r="AB169" s="24"/>
      <c r="AC169" s="24"/>
      <c r="AD169" s="24"/>
      <c r="AE169" s="24"/>
      <c r="AF169" s="24"/>
      <c r="AG169" s="24"/>
      <c r="AH169" s="24"/>
      <c r="AI169" s="24"/>
      <c r="AJ169" s="24"/>
      <c r="AK169" s="24"/>
      <c r="AL169" s="24"/>
      <c r="AM169" s="24"/>
      <c r="AN169" s="24"/>
      <c r="AO169" s="24"/>
    </row>
    <row r="170" spans="2:41">
      <c r="B170" s="24"/>
      <c r="C170" s="24"/>
      <c r="D170" s="24"/>
      <c r="E170" s="24"/>
      <c r="F170" s="24"/>
      <c r="G170" s="25"/>
      <c r="H170" s="24"/>
      <c r="I170" s="25"/>
      <c r="J170" s="25"/>
      <c r="K170" s="25"/>
      <c r="L170" s="24"/>
      <c r="M170" s="24"/>
      <c r="N170" s="24"/>
      <c r="O170" s="516"/>
      <c r="P170" s="516"/>
      <c r="Q170" s="516"/>
      <c r="R170" s="516"/>
      <c r="S170" s="516"/>
      <c r="T170" s="516"/>
      <c r="U170" s="515"/>
      <c r="V170" s="515"/>
      <c r="W170" s="515"/>
      <c r="X170" s="24"/>
      <c r="Y170" s="24"/>
      <c r="Z170" s="24"/>
      <c r="AA170" s="24"/>
      <c r="AB170" s="24"/>
      <c r="AC170" s="24"/>
      <c r="AD170" s="24"/>
      <c r="AE170" s="24"/>
      <c r="AF170" s="24"/>
      <c r="AG170" s="24"/>
      <c r="AH170" s="24"/>
      <c r="AI170" s="24"/>
      <c r="AJ170" s="24"/>
      <c r="AK170" s="24"/>
      <c r="AL170" s="24"/>
      <c r="AM170" s="24"/>
      <c r="AN170" s="24"/>
      <c r="AO170" s="24"/>
    </row>
    <row r="171" spans="2:41">
      <c r="B171" s="24"/>
      <c r="C171" s="24"/>
      <c r="D171" s="24"/>
      <c r="E171" s="24"/>
      <c r="F171" s="24"/>
      <c r="G171" s="26"/>
      <c r="H171" s="24"/>
      <c r="I171" s="26"/>
      <c r="J171" s="26"/>
      <c r="K171" s="26"/>
      <c r="L171" s="24"/>
      <c r="M171" s="24"/>
      <c r="N171" s="24"/>
      <c r="O171" s="516"/>
      <c r="P171" s="516"/>
      <c r="Q171" s="516"/>
      <c r="R171" s="516"/>
      <c r="S171" s="516"/>
      <c r="T171" s="516"/>
      <c r="U171" s="515"/>
      <c r="V171" s="515"/>
      <c r="W171" s="515"/>
      <c r="X171" s="24"/>
      <c r="Y171" s="24"/>
      <c r="Z171" s="24"/>
      <c r="AA171" s="24"/>
      <c r="AB171" s="24"/>
      <c r="AC171" s="24"/>
      <c r="AD171" s="24"/>
      <c r="AE171" s="24"/>
      <c r="AF171" s="24"/>
      <c r="AG171" s="24"/>
      <c r="AH171" s="24"/>
      <c r="AI171" s="24"/>
      <c r="AJ171" s="24"/>
      <c r="AK171" s="24"/>
      <c r="AL171" s="24"/>
      <c r="AM171" s="24"/>
      <c r="AN171" s="24"/>
      <c r="AO171" s="24"/>
    </row>
    <row r="172" spans="2:41">
      <c r="B172" s="24"/>
      <c r="C172" s="24"/>
      <c r="D172" s="24"/>
      <c r="E172" s="24"/>
      <c r="F172" s="24"/>
      <c r="G172" s="26"/>
      <c r="H172" s="24"/>
      <c r="I172" s="26"/>
      <c r="J172" s="26"/>
      <c r="K172" s="26"/>
      <c r="L172" s="24"/>
      <c r="M172" s="24"/>
      <c r="N172" s="24"/>
      <c r="O172" s="516"/>
      <c r="P172" s="516"/>
      <c r="Q172" s="516"/>
      <c r="R172" s="516"/>
      <c r="S172" s="516"/>
      <c r="T172" s="516"/>
      <c r="U172" s="515"/>
      <c r="V172" s="515"/>
      <c r="W172" s="515"/>
      <c r="X172" s="24"/>
      <c r="Y172" s="24"/>
      <c r="Z172" s="24"/>
      <c r="AA172" s="24"/>
      <c r="AB172" s="24"/>
      <c r="AC172" s="24"/>
      <c r="AD172" s="24"/>
      <c r="AE172" s="24"/>
      <c r="AF172" s="24"/>
      <c r="AG172" s="24"/>
      <c r="AH172" s="24"/>
      <c r="AI172" s="24"/>
      <c r="AJ172" s="24"/>
      <c r="AK172" s="24"/>
      <c r="AL172" s="24"/>
      <c r="AM172" s="24"/>
      <c r="AN172" s="24"/>
      <c r="AO172" s="24"/>
    </row>
    <row r="173" spans="2:41">
      <c r="B173" s="24"/>
      <c r="C173" s="24"/>
      <c r="D173" s="24"/>
      <c r="E173" s="24"/>
      <c r="F173" s="24"/>
      <c r="G173" s="24"/>
      <c r="H173" s="24"/>
      <c r="J173" s="24"/>
      <c r="K173" s="24"/>
      <c r="L173" s="24"/>
      <c r="M173" s="24"/>
      <c r="N173" s="24"/>
      <c r="O173" s="516"/>
      <c r="P173" s="516"/>
      <c r="Q173" s="516"/>
      <c r="R173" s="516"/>
      <c r="S173" s="516"/>
      <c r="T173" s="516"/>
      <c r="U173" s="516"/>
      <c r="V173" s="516"/>
      <c r="W173" s="516"/>
      <c r="X173" s="24"/>
      <c r="Y173" s="24"/>
      <c r="Z173" s="24"/>
      <c r="AA173" s="24"/>
      <c r="AB173" s="24"/>
      <c r="AC173" s="24"/>
      <c r="AD173" s="24"/>
      <c r="AE173" s="24"/>
      <c r="AF173" s="24"/>
      <c r="AG173" s="24"/>
      <c r="AH173" s="24"/>
      <c r="AI173" s="24"/>
      <c r="AJ173" s="24"/>
      <c r="AK173" s="24"/>
      <c r="AL173" s="24"/>
      <c r="AM173" s="24"/>
      <c r="AN173" s="24"/>
      <c r="AO173" s="24"/>
    </row>
    <row r="174" spans="2:41">
      <c r="B174" s="24"/>
      <c r="C174" s="24"/>
      <c r="D174" s="24"/>
      <c r="E174" s="24"/>
      <c r="F174" s="24"/>
      <c r="G174" s="24"/>
      <c r="H174" s="24"/>
      <c r="J174" s="24"/>
      <c r="K174" s="24"/>
      <c r="L174" s="24"/>
      <c r="M174" s="24"/>
      <c r="N174" s="24"/>
      <c r="O174" s="516"/>
      <c r="P174" s="516"/>
      <c r="Q174" s="516"/>
      <c r="R174" s="516"/>
      <c r="S174" s="516"/>
      <c r="T174" s="516"/>
      <c r="U174" s="516"/>
      <c r="V174" s="516"/>
      <c r="W174" s="516"/>
      <c r="X174" s="24"/>
      <c r="Y174" s="24"/>
      <c r="Z174" s="24"/>
      <c r="AA174" s="24"/>
      <c r="AB174" s="24"/>
      <c r="AC174" s="24"/>
      <c r="AD174" s="24"/>
      <c r="AE174" s="24"/>
      <c r="AF174" s="24"/>
      <c r="AG174" s="24"/>
      <c r="AH174" s="24"/>
      <c r="AI174" s="24"/>
      <c r="AJ174" s="24"/>
      <c r="AK174" s="24"/>
      <c r="AL174" s="24"/>
      <c r="AM174" s="24"/>
      <c r="AN174" s="24"/>
      <c r="AO174" s="24"/>
    </row>
    <row r="175" spans="2:41">
      <c r="B175" s="24"/>
      <c r="C175" s="24"/>
      <c r="D175" s="24"/>
      <c r="E175" s="24"/>
      <c r="F175" s="24"/>
      <c r="G175" s="24"/>
      <c r="H175" s="24"/>
      <c r="J175" s="24"/>
      <c r="K175" s="24"/>
      <c r="L175" s="24"/>
      <c r="M175" s="24"/>
      <c r="N175" s="24"/>
      <c r="O175" s="516"/>
      <c r="P175" s="516"/>
      <c r="Q175" s="516"/>
      <c r="R175" s="516"/>
      <c r="S175" s="516"/>
      <c r="T175" s="516"/>
      <c r="U175" s="516"/>
      <c r="V175" s="516"/>
      <c r="W175" s="516"/>
      <c r="X175" s="24"/>
      <c r="Y175" s="24"/>
      <c r="Z175" s="24"/>
      <c r="AA175" s="24"/>
      <c r="AB175" s="24"/>
      <c r="AC175" s="24"/>
      <c r="AD175" s="24"/>
      <c r="AE175" s="24"/>
      <c r="AF175" s="24"/>
      <c r="AG175" s="24"/>
      <c r="AH175" s="24"/>
      <c r="AI175" s="24"/>
      <c r="AJ175" s="24"/>
      <c r="AK175" s="24"/>
      <c r="AL175" s="24"/>
      <c r="AM175" s="24"/>
      <c r="AN175" s="24"/>
      <c r="AO175" s="24"/>
    </row>
    <row r="176" spans="2:41">
      <c r="B176" s="24"/>
      <c r="C176" s="24"/>
      <c r="D176" s="24"/>
      <c r="E176" s="24"/>
      <c r="F176" s="24"/>
      <c r="G176" s="24"/>
      <c r="H176" s="24"/>
      <c r="J176" s="24"/>
      <c r="K176" s="24"/>
      <c r="L176" s="24"/>
      <c r="M176" s="24"/>
      <c r="N176" s="24"/>
      <c r="O176" s="516"/>
      <c r="P176" s="516"/>
      <c r="Q176" s="516"/>
      <c r="R176" s="516"/>
      <c r="S176" s="516"/>
      <c r="T176" s="516"/>
      <c r="U176" s="516"/>
      <c r="V176" s="516"/>
      <c r="W176" s="516"/>
      <c r="X176" s="24"/>
      <c r="Y176" s="24"/>
      <c r="Z176" s="24"/>
      <c r="AA176" s="24"/>
      <c r="AB176" s="24"/>
      <c r="AC176" s="24"/>
      <c r="AD176" s="24"/>
      <c r="AE176" s="24"/>
      <c r="AF176" s="24"/>
      <c r="AG176" s="24"/>
      <c r="AH176" s="24"/>
      <c r="AI176" s="24"/>
      <c r="AJ176" s="24"/>
      <c r="AK176" s="24"/>
      <c r="AL176" s="24"/>
      <c r="AM176" s="24"/>
      <c r="AN176" s="24"/>
      <c r="AO176" s="24"/>
    </row>
    <row r="177" spans="2:41">
      <c r="B177" s="24"/>
      <c r="C177" s="24"/>
      <c r="D177" s="24"/>
      <c r="E177" s="24"/>
      <c r="F177" s="24"/>
      <c r="G177" s="25"/>
      <c r="H177" s="24"/>
      <c r="I177" s="25"/>
      <c r="J177" s="25"/>
      <c r="K177" s="25"/>
      <c r="L177" s="24"/>
      <c r="M177" s="24"/>
      <c r="N177" s="24"/>
      <c r="O177" s="516"/>
      <c r="P177" s="516"/>
      <c r="Q177" s="516"/>
      <c r="R177" s="516"/>
      <c r="S177" s="516"/>
      <c r="T177" s="516"/>
      <c r="U177" s="515"/>
      <c r="V177" s="515"/>
      <c r="W177" s="515"/>
      <c r="X177" s="24"/>
      <c r="Y177" s="24"/>
      <c r="Z177" s="24"/>
      <c r="AA177" s="24"/>
      <c r="AB177" s="24"/>
      <c r="AC177" s="24"/>
      <c r="AD177" s="24"/>
      <c r="AE177" s="24"/>
      <c r="AF177" s="24"/>
      <c r="AG177" s="24"/>
      <c r="AH177" s="24"/>
      <c r="AI177" s="24"/>
      <c r="AJ177" s="24"/>
      <c r="AK177" s="24"/>
      <c r="AL177" s="24"/>
      <c r="AM177" s="24"/>
      <c r="AN177" s="24"/>
      <c r="AO177" s="24"/>
    </row>
    <row r="178" spans="2:41">
      <c r="B178" s="24"/>
      <c r="C178" s="24"/>
      <c r="D178" s="24"/>
      <c r="E178" s="24"/>
      <c r="F178" s="24"/>
      <c r="G178" s="26"/>
      <c r="H178" s="24"/>
      <c r="I178" s="26"/>
      <c r="J178" s="26"/>
      <c r="K178" s="26"/>
      <c r="L178" s="24"/>
      <c r="M178" s="24"/>
      <c r="N178" s="24"/>
      <c r="O178" s="516"/>
      <c r="P178" s="516"/>
      <c r="Q178" s="516"/>
      <c r="R178" s="516"/>
      <c r="S178" s="516"/>
      <c r="T178" s="516"/>
      <c r="U178" s="515"/>
      <c r="V178" s="515"/>
      <c r="W178" s="515"/>
      <c r="X178" s="24"/>
      <c r="Y178" s="24"/>
      <c r="Z178" s="24"/>
      <c r="AA178" s="24"/>
      <c r="AB178" s="24"/>
      <c r="AC178" s="24"/>
      <c r="AD178" s="24"/>
      <c r="AE178" s="24"/>
      <c r="AF178" s="24"/>
      <c r="AG178" s="24"/>
      <c r="AH178" s="24"/>
      <c r="AI178" s="24"/>
      <c r="AJ178" s="24"/>
      <c r="AK178" s="24"/>
      <c r="AL178" s="24"/>
      <c r="AM178" s="24"/>
      <c r="AN178" s="24"/>
      <c r="AO178" s="24"/>
    </row>
    <row r="179" spans="2:41">
      <c r="B179" s="24"/>
      <c r="C179" s="24"/>
      <c r="D179" s="24"/>
      <c r="E179" s="24"/>
      <c r="F179" s="24"/>
      <c r="G179" s="26"/>
      <c r="H179" s="24"/>
      <c r="I179" s="26"/>
      <c r="J179" s="26"/>
      <c r="K179" s="26"/>
      <c r="L179" s="24"/>
      <c r="M179" s="24"/>
      <c r="N179" s="24"/>
      <c r="O179" s="516"/>
      <c r="P179" s="516"/>
      <c r="Q179" s="516"/>
      <c r="R179" s="516"/>
      <c r="S179" s="516"/>
      <c r="T179" s="516"/>
      <c r="U179" s="515"/>
      <c r="V179" s="515"/>
      <c r="W179" s="515"/>
      <c r="X179" s="24"/>
      <c r="Y179" s="24"/>
      <c r="Z179" s="24"/>
      <c r="AA179" s="24"/>
      <c r="AB179" s="24"/>
      <c r="AC179" s="24"/>
      <c r="AD179" s="24"/>
      <c r="AE179" s="24"/>
      <c r="AF179" s="24"/>
      <c r="AG179" s="24"/>
      <c r="AH179" s="24"/>
      <c r="AI179" s="24"/>
      <c r="AJ179" s="24"/>
      <c r="AK179" s="24"/>
      <c r="AL179" s="24"/>
      <c r="AM179" s="24"/>
      <c r="AN179" s="24"/>
      <c r="AO179" s="24"/>
    </row>
    <row r="180" spans="2:41">
      <c r="B180" s="24"/>
      <c r="C180" s="24"/>
      <c r="D180" s="24"/>
      <c r="E180" s="24"/>
      <c r="F180" s="24"/>
      <c r="G180" s="24"/>
      <c r="H180" s="24"/>
      <c r="J180" s="24"/>
      <c r="K180" s="24"/>
      <c r="L180" s="24"/>
      <c r="M180" s="24"/>
      <c r="N180" s="24"/>
      <c r="O180" s="516"/>
      <c r="P180" s="516"/>
      <c r="Q180" s="516"/>
      <c r="R180" s="516"/>
      <c r="S180" s="516"/>
      <c r="T180" s="516"/>
      <c r="U180" s="516"/>
      <c r="V180" s="516"/>
      <c r="W180" s="516"/>
      <c r="X180" s="24"/>
      <c r="Y180" s="24"/>
      <c r="Z180" s="24"/>
      <c r="AA180" s="24"/>
      <c r="AB180" s="24"/>
      <c r="AC180" s="24"/>
      <c r="AD180" s="24"/>
      <c r="AE180" s="24"/>
      <c r="AF180" s="24"/>
      <c r="AG180" s="24"/>
      <c r="AH180" s="24"/>
      <c r="AI180" s="24"/>
      <c r="AJ180" s="24"/>
      <c r="AK180" s="24"/>
      <c r="AL180" s="24"/>
      <c r="AM180" s="24"/>
      <c r="AN180" s="24"/>
      <c r="AO180" s="24"/>
    </row>
    <row r="181" spans="2:41">
      <c r="B181" s="24"/>
      <c r="C181" s="24"/>
      <c r="D181" s="24"/>
      <c r="E181" s="24"/>
      <c r="F181" s="24"/>
      <c r="G181" s="24"/>
      <c r="H181" s="24"/>
      <c r="J181" s="24"/>
      <c r="K181" s="24"/>
      <c r="L181" s="24"/>
      <c r="M181" s="24"/>
      <c r="N181" s="24"/>
      <c r="O181" s="516"/>
      <c r="P181" s="516"/>
      <c r="Q181" s="516"/>
      <c r="R181" s="516"/>
      <c r="S181" s="516"/>
      <c r="T181" s="516"/>
      <c r="U181" s="516"/>
      <c r="V181" s="516"/>
      <c r="W181" s="516"/>
      <c r="X181" s="24"/>
      <c r="Y181" s="24"/>
      <c r="Z181" s="24"/>
      <c r="AA181" s="24"/>
      <c r="AB181" s="24"/>
      <c r="AC181" s="24"/>
      <c r="AD181" s="24"/>
      <c r="AE181" s="24"/>
      <c r="AF181" s="24"/>
      <c r="AG181" s="24"/>
      <c r="AH181" s="24"/>
      <c r="AI181" s="24"/>
      <c r="AJ181" s="24"/>
      <c r="AK181" s="24"/>
      <c r="AL181" s="24"/>
      <c r="AM181" s="24"/>
      <c r="AN181" s="24"/>
      <c r="AO181" s="24"/>
    </row>
    <row r="182" spans="2:41">
      <c r="B182" s="24"/>
      <c r="C182" s="24"/>
      <c r="D182" s="24"/>
      <c r="E182" s="24"/>
      <c r="F182" s="24"/>
      <c r="G182" s="24"/>
      <c r="H182" s="24"/>
      <c r="J182" s="24"/>
      <c r="K182" s="24"/>
      <c r="L182" s="24"/>
      <c r="M182" s="24"/>
      <c r="N182" s="24"/>
      <c r="O182" s="516"/>
      <c r="P182" s="516"/>
      <c r="Q182" s="516"/>
      <c r="R182" s="516"/>
      <c r="S182" s="516"/>
      <c r="T182" s="516"/>
      <c r="U182" s="516"/>
      <c r="V182" s="516"/>
      <c r="W182" s="516"/>
      <c r="X182" s="24"/>
      <c r="Y182" s="24"/>
      <c r="Z182" s="24"/>
      <c r="AA182" s="24"/>
      <c r="AB182" s="24"/>
      <c r="AC182" s="24"/>
      <c r="AD182" s="24"/>
      <c r="AE182" s="24"/>
      <c r="AF182" s="24"/>
      <c r="AG182" s="24"/>
      <c r="AH182" s="24"/>
      <c r="AI182" s="24"/>
      <c r="AJ182" s="24"/>
      <c r="AK182" s="24"/>
      <c r="AL182" s="24"/>
      <c r="AM182" s="24"/>
      <c r="AN182" s="24"/>
      <c r="AO182" s="24"/>
    </row>
    <row r="183" spans="2:41">
      <c r="B183" s="24"/>
      <c r="C183" s="24"/>
      <c r="D183" s="24"/>
      <c r="E183" s="24"/>
      <c r="F183" s="24"/>
      <c r="G183" s="24"/>
      <c r="H183" s="24"/>
      <c r="J183" s="24"/>
      <c r="K183" s="24"/>
      <c r="L183" s="24"/>
      <c r="M183" s="24"/>
      <c r="N183" s="24"/>
      <c r="O183" s="516"/>
      <c r="P183" s="516"/>
      <c r="Q183" s="516"/>
      <c r="R183" s="516"/>
      <c r="S183" s="516"/>
      <c r="T183" s="516"/>
      <c r="U183" s="516"/>
      <c r="V183" s="516"/>
      <c r="W183" s="516"/>
      <c r="X183" s="24"/>
      <c r="Y183" s="24"/>
      <c r="Z183" s="24"/>
      <c r="AA183" s="24"/>
      <c r="AB183" s="24"/>
      <c r="AC183" s="24"/>
      <c r="AD183" s="24"/>
      <c r="AE183" s="24"/>
      <c r="AF183" s="24"/>
      <c r="AG183" s="24"/>
      <c r="AH183" s="24"/>
      <c r="AI183" s="24"/>
      <c r="AJ183" s="24"/>
      <c r="AK183" s="24"/>
      <c r="AL183" s="24"/>
      <c r="AM183" s="24"/>
      <c r="AN183" s="24"/>
      <c r="AO183" s="24"/>
    </row>
    <row r="184" spans="2:41">
      <c r="B184" s="24"/>
      <c r="C184" s="24"/>
      <c r="D184" s="24"/>
      <c r="E184" s="24"/>
      <c r="F184" s="24"/>
      <c r="G184" s="25"/>
      <c r="H184" s="24"/>
      <c r="I184" s="25"/>
      <c r="J184" s="25"/>
      <c r="K184" s="25"/>
      <c r="L184" s="24"/>
      <c r="M184" s="24"/>
      <c r="N184" s="24"/>
      <c r="O184" s="516"/>
      <c r="P184" s="516"/>
      <c r="Q184" s="516"/>
      <c r="R184" s="516"/>
      <c r="S184" s="516"/>
      <c r="T184" s="516"/>
      <c r="U184" s="515"/>
      <c r="V184" s="515"/>
      <c r="W184" s="515"/>
      <c r="X184" s="24"/>
      <c r="Y184" s="24"/>
      <c r="Z184" s="24"/>
      <c r="AA184" s="24"/>
      <c r="AB184" s="24"/>
      <c r="AC184" s="24"/>
      <c r="AD184" s="24"/>
      <c r="AE184" s="24"/>
      <c r="AF184" s="24"/>
      <c r="AG184" s="24"/>
      <c r="AH184" s="24"/>
      <c r="AI184" s="24"/>
      <c r="AJ184" s="24"/>
      <c r="AK184" s="24"/>
      <c r="AL184" s="24"/>
      <c r="AM184" s="24"/>
      <c r="AN184" s="24"/>
      <c r="AO184" s="24"/>
    </row>
    <row r="185" spans="2:41">
      <c r="B185" s="24"/>
      <c r="C185" s="24"/>
      <c r="D185" s="24"/>
      <c r="E185" s="24"/>
      <c r="F185" s="24"/>
      <c r="G185" s="26"/>
      <c r="H185" s="24"/>
      <c r="I185" s="26"/>
      <c r="J185" s="26"/>
      <c r="K185" s="26"/>
      <c r="L185" s="24"/>
      <c r="M185" s="24"/>
      <c r="N185" s="24"/>
      <c r="O185" s="516"/>
      <c r="P185" s="516"/>
      <c r="Q185" s="516"/>
      <c r="R185" s="516"/>
      <c r="S185" s="516"/>
      <c r="T185" s="516"/>
      <c r="U185" s="515"/>
      <c r="V185" s="515"/>
      <c r="W185" s="515"/>
      <c r="X185" s="24"/>
      <c r="Y185" s="24"/>
      <c r="Z185" s="24"/>
      <c r="AA185" s="24"/>
      <c r="AB185" s="24"/>
      <c r="AC185" s="24"/>
      <c r="AD185" s="24"/>
      <c r="AE185" s="24"/>
      <c r="AF185" s="24"/>
      <c r="AG185" s="24"/>
      <c r="AH185" s="24"/>
      <c r="AI185" s="24"/>
      <c r="AJ185" s="24"/>
      <c r="AK185" s="24"/>
      <c r="AL185" s="24"/>
      <c r="AM185" s="24"/>
      <c r="AN185" s="24"/>
      <c r="AO185" s="24"/>
    </row>
    <row r="186" spans="2:41">
      <c r="B186" s="24"/>
      <c r="C186" s="24"/>
      <c r="D186" s="24"/>
      <c r="E186" s="24"/>
      <c r="F186" s="24"/>
      <c r="G186" s="26"/>
      <c r="H186" s="24"/>
      <c r="I186" s="26"/>
      <c r="J186" s="26"/>
      <c r="K186" s="26"/>
      <c r="L186" s="24"/>
      <c r="M186" s="24"/>
      <c r="N186" s="24"/>
      <c r="O186" s="516"/>
      <c r="P186" s="516"/>
      <c r="Q186" s="516"/>
      <c r="R186" s="516"/>
      <c r="S186" s="516"/>
      <c r="T186" s="516"/>
      <c r="U186" s="515"/>
      <c r="V186" s="515"/>
      <c r="W186" s="515"/>
      <c r="X186" s="24"/>
      <c r="Y186" s="24"/>
      <c r="Z186" s="24"/>
      <c r="AA186" s="24"/>
      <c r="AB186" s="24"/>
      <c r="AC186" s="24"/>
      <c r="AD186" s="24"/>
      <c r="AE186" s="24"/>
      <c r="AF186" s="24"/>
      <c r="AG186" s="24"/>
      <c r="AH186" s="24"/>
      <c r="AI186" s="24"/>
      <c r="AJ186" s="24"/>
      <c r="AK186" s="24"/>
      <c r="AL186" s="24"/>
      <c r="AM186" s="24"/>
      <c r="AN186" s="24"/>
      <c r="AO186" s="24"/>
    </row>
    <row r="187" spans="2:41">
      <c r="B187" s="24"/>
      <c r="C187" s="24"/>
      <c r="D187" s="24"/>
      <c r="E187" s="24"/>
      <c r="F187" s="24"/>
      <c r="G187" s="24"/>
      <c r="H187" s="24"/>
      <c r="J187" s="24"/>
      <c r="K187" s="24"/>
      <c r="L187" s="24"/>
      <c r="M187" s="24"/>
      <c r="N187" s="24"/>
      <c r="O187" s="516"/>
      <c r="P187" s="516"/>
      <c r="Q187" s="516"/>
      <c r="R187" s="516"/>
      <c r="S187" s="516"/>
      <c r="T187" s="516"/>
      <c r="U187" s="516"/>
      <c r="V187" s="516"/>
      <c r="W187" s="516"/>
      <c r="X187" s="24"/>
      <c r="Y187" s="24"/>
      <c r="Z187" s="24"/>
      <c r="AA187" s="24"/>
      <c r="AB187" s="24"/>
      <c r="AC187" s="24"/>
      <c r="AD187" s="24"/>
      <c r="AE187" s="24"/>
      <c r="AF187" s="24"/>
      <c r="AG187" s="24"/>
      <c r="AH187" s="24"/>
      <c r="AI187" s="24"/>
      <c r="AJ187" s="24"/>
      <c r="AK187" s="24"/>
      <c r="AL187" s="24"/>
      <c r="AM187" s="24"/>
      <c r="AN187" s="24"/>
      <c r="AO187" s="24"/>
    </row>
    <row r="188" spans="2:41">
      <c r="B188" s="24"/>
      <c r="C188" s="24"/>
      <c r="D188" s="24"/>
      <c r="E188" s="24"/>
      <c r="F188" s="24"/>
      <c r="G188" s="24"/>
      <c r="H188" s="24"/>
      <c r="J188" s="24"/>
      <c r="K188" s="24"/>
      <c r="L188" s="24"/>
      <c r="M188" s="24"/>
      <c r="N188" s="24"/>
      <c r="O188" s="516"/>
      <c r="P188" s="516"/>
      <c r="Q188" s="516"/>
      <c r="R188" s="516"/>
      <c r="S188" s="516"/>
      <c r="T188" s="516"/>
      <c r="U188" s="516"/>
      <c r="V188" s="516"/>
      <c r="W188" s="516"/>
      <c r="X188" s="24"/>
      <c r="Y188" s="24"/>
      <c r="Z188" s="24"/>
      <c r="AA188" s="24"/>
      <c r="AB188" s="24"/>
      <c r="AC188" s="24"/>
      <c r="AD188" s="24"/>
      <c r="AE188" s="24"/>
      <c r="AF188" s="24"/>
      <c r="AG188" s="24"/>
      <c r="AH188" s="24"/>
      <c r="AI188" s="24"/>
      <c r="AJ188" s="24"/>
      <c r="AK188" s="24"/>
      <c r="AL188" s="24"/>
      <c r="AM188" s="24"/>
      <c r="AN188" s="24"/>
      <c r="AO188" s="24"/>
    </row>
    <row r="189" spans="2:41">
      <c r="B189" s="24"/>
      <c r="C189" s="24"/>
      <c r="D189" s="24"/>
      <c r="E189" s="24"/>
      <c r="F189" s="24"/>
      <c r="G189" s="24"/>
      <c r="H189" s="24"/>
      <c r="J189" s="24"/>
      <c r="K189" s="24"/>
      <c r="L189" s="24"/>
      <c r="M189" s="24"/>
      <c r="N189" s="24"/>
      <c r="O189" s="516"/>
      <c r="P189" s="516"/>
      <c r="Q189" s="516"/>
      <c r="R189" s="516"/>
      <c r="S189" s="516"/>
      <c r="T189" s="516"/>
      <c r="U189" s="516"/>
      <c r="V189" s="516"/>
      <c r="W189" s="516"/>
      <c r="X189" s="24"/>
      <c r="Y189" s="24"/>
      <c r="Z189" s="24"/>
      <c r="AA189" s="24"/>
      <c r="AB189" s="24"/>
      <c r="AC189" s="24"/>
      <c r="AD189" s="24"/>
      <c r="AE189" s="24"/>
      <c r="AF189" s="24"/>
      <c r="AG189" s="24"/>
      <c r="AH189" s="24"/>
      <c r="AI189" s="24"/>
      <c r="AJ189" s="24"/>
      <c r="AK189" s="24"/>
      <c r="AL189" s="24"/>
      <c r="AM189" s="24"/>
      <c r="AN189" s="24"/>
      <c r="AO189" s="24"/>
    </row>
    <row r="190" spans="2:41">
      <c r="B190" s="24"/>
      <c r="C190" s="24"/>
      <c r="D190" s="24"/>
      <c r="E190" s="24"/>
      <c r="F190" s="24"/>
      <c r="G190" s="24"/>
      <c r="H190" s="24"/>
      <c r="J190" s="24"/>
      <c r="K190" s="24"/>
      <c r="L190" s="24"/>
      <c r="M190" s="24"/>
      <c r="N190" s="24"/>
      <c r="O190" s="516"/>
      <c r="P190" s="516"/>
      <c r="Q190" s="516"/>
      <c r="R190" s="516"/>
      <c r="S190" s="516"/>
      <c r="T190" s="516"/>
      <c r="U190" s="516"/>
      <c r="V190" s="516"/>
      <c r="W190" s="516"/>
      <c r="X190" s="24"/>
      <c r="Y190" s="24"/>
      <c r="Z190" s="24"/>
      <c r="AA190" s="24"/>
      <c r="AB190" s="24"/>
      <c r="AC190" s="24"/>
      <c r="AD190" s="24"/>
      <c r="AE190" s="24"/>
      <c r="AF190" s="24"/>
      <c r="AG190" s="24"/>
      <c r="AH190" s="24"/>
      <c r="AI190" s="24"/>
      <c r="AJ190" s="24"/>
      <c r="AK190" s="24"/>
      <c r="AL190" s="24"/>
      <c r="AM190" s="24"/>
      <c r="AN190" s="24"/>
      <c r="AO190" s="24"/>
    </row>
    <row r="191" spans="2:41">
      <c r="B191" s="24"/>
      <c r="C191" s="24"/>
      <c r="D191" s="24"/>
      <c r="E191" s="24"/>
      <c r="F191" s="24"/>
      <c r="G191" s="24"/>
      <c r="H191" s="24"/>
      <c r="J191" s="24"/>
      <c r="K191" s="24"/>
      <c r="L191" s="24"/>
      <c r="M191" s="24"/>
      <c r="N191" s="24"/>
      <c r="O191" s="516"/>
      <c r="P191" s="516"/>
      <c r="Q191" s="516"/>
      <c r="R191" s="516"/>
      <c r="S191" s="516"/>
      <c r="T191" s="516"/>
      <c r="U191" s="516"/>
      <c r="V191" s="516"/>
      <c r="W191" s="516"/>
      <c r="X191" s="24"/>
      <c r="Y191" s="24"/>
      <c r="Z191" s="24"/>
      <c r="AA191" s="24"/>
      <c r="AB191" s="24"/>
      <c r="AC191" s="24"/>
      <c r="AD191" s="24"/>
      <c r="AE191" s="24"/>
      <c r="AF191" s="24"/>
      <c r="AG191" s="24"/>
      <c r="AH191" s="24"/>
      <c r="AI191" s="24"/>
      <c r="AJ191" s="24"/>
      <c r="AK191" s="24"/>
      <c r="AL191" s="24"/>
      <c r="AM191" s="24"/>
      <c r="AN191" s="24"/>
      <c r="AO191" s="24"/>
    </row>
    <row r="192" spans="2:41">
      <c r="B192" s="24"/>
      <c r="C192" s="24"/>
      <c r="D192" s="24"/>
      <c r="E192" s="24"/>
      <c r="F192" s="24"/>
      <c r="G192" s="25"/>
      <c r="H192" s="24"/>
      <c r="I192" s="25"/>
      <c r="J192" s="25"/>
      <c r="K192" s="25"/>
      <c r="L192" s="24"/>
      <c r="M192" s="24"/>
      <c r="N192" s="24"/>
      <c r="O192" s="516"/>
      <c r="P192" s="516"/>
      <c r="Q192" s="516"/>
      <c r="R192" s="516"/>
      <c r="S192" s="516"/>
      <c r="T192" s="516"/>
      <c r="U192" s="515"/>
      <c r="V192" s="515"/>
      <c r="W192" s="515"/>
      <c r="X192" s="24"/>
      <c r="Y192" s="24"/>
      <c r="Z192" s="24"/>
      <c r="AA192" s="24"/>
      <c r="AB192" s="24"/>
      <c r="AC192" s="24"/>
      <c r="AD192" s="24"/>
      <c r="AE192" s="24"/>
      <c r="AF192" s="24"/>
      <c r="AG192" s="24"/>
      <c r="AH192" s="24"/>
      <c r="AI192" s="24"/>
      <c r="AJ192" s="24"/>
      <c r="AK192" s="24"/>
      <c r="AL192" s="24"/>
      <c r="AM192" s="24"/>
      <c r="AN192" s="24"/>
      <c r="AO192" s="24"/>
    </row>
    <row r="193" spans="2:41">
      <c r="B193" s="24"/>
      <c r="C193" s="24"/>
      <c r="D193" s="24"/>
      <c r="E193" s="24"/>
      <c r="F193" s="24"/>
      <c r="G193" s="26"/>
      <c r="H193" s="24"/>
      <c r="I193" s="26"/>
      <c r="J193" s="26"/>
      <c r="K193" s="26"/>
      <c r="L193" s="24"/>
      <c r="M193" s="24"/>
      <c r="N193" s="24"/>
      <c r="O193" s="516"/>
      <c r="P193" s="516"/>
      <c r="Q193" s="516"/>
      <c r="R193" s="516"/>
      <c r="S193" s="516"/>
      <c r="T193" s="516"/>
      <c r="U193" s="515"/>
      <c r="V193" s="515"/>
      <c r="W193" s="515"/>
      <c r="X193" s="24"/>
      <c r="Y193" s="24"/>
      <c r="Z193" s="24"/>
      <c r="AA193" s="24"/>
      <c r="AB193" s="24"/>
      <c r="AC193" s="24"/>
      <c r="AD193" s="24"/>
      <c r="AE193" s="24"/>
      <c r="AF193" s="24"/>
      <c r="AG193" s="24"/>
      <c r="AH193" s="24"/>
      <c r="AI193" s="24"/>
      <c r="AJ193" s="24"/>
      <c r="AK193" s="24"/>
      <c r="AL193" s="24"/>
      <c r="AM193" s="24"/>
      <c r="AN193" s="24"/>
      <c r="AO193" s="24"/>
    </row>
    <row r="194" spans="2:41">
      <c r="B194" s="24"/>
      <c r="C194" s="24"/>
      <c r="D194" s="24"/>
      <c r="E194" s="24"/>
      <c r="F194" s="24"/>
      <c r="G194" s="26"/>
      <c r="H194" s="24"/>
      <c r="I194" s="26"/>
      <c r="J194" s="26"/>
      <c r="K194" s="26"/>
      <c r="L194" s="24"/>
      <c r="M194" s="24"/>
      <c r="N194" s="24"/>
      <c r="O194" s="516"/>
      <c r="P194" s="516"/>
      <c r="Q194" s="516"/>
      <c r="R194" s="516"/>
      <c r="S194" s="516"/>
      <c r="T194" s="516"/>
      <c r="U194" s="515"/>
      <c r="V194" s="515"/>
      <c r="W194" s="515"/>
      <c r="X194" s="24"/>
      <c r="Y194" s="24"/>
      <c r="Z194" s="24"/>
      <c r="AA194" s="24"/>
      <c r="AB194" s="24"/>
      <c r="AC194" s="24"/>
      <c r="AD194" s="24"/>
      <c r="AE194" s="24"/>
      <c r="AF194" s="24"/>
      <c r="AG194" s="24"/>
      <c r="AH194" s="24"/>
      <c r="AI194" s="24"/>
      <c r="AJ194" s="24"/>
      <c r="AK194" s="24"/>
      <c r="AL194" s="24"/>
      <c r="AM194" s="24"/>
      <c r="AN194" s="24"/>
      <c r="AO194" s="24"/>
    </row>
    <row r="195" spans="2:41">
      <c r="B195" s="24"/>
      <c r="C195" s="24"/>
      <c r="D195" s="24"/>
      <c r="E195" s="24"/>
      <c r="F195" s="24"/>
      <c r="G195" s="24"/>
      <c r="H195" s="24"/>
      <c r="J195" s="24"/>
      <c r="K195" s="24"/>
      <c r="L195" s="24"/>
      <c r="M195" s="24"/>
      <c r="N195" s="24"/>
      <c r="O195" s="516"/>
      <c r="P195" s="516"/>
      <c r="Q195" s="516"/>
      <c r="R195" s="516"/>
      <c r="S195" s="516"/>
      <c r="T195" s="516"/>
      <c r="U195" s="516"/>
      <c r="V195" s="516"/>
      <c r="W195" s="516"/>
      <c r="X195" s="24"/>
      <c r="Y195" s="24"/>
      <c r="Z195" s="24"/>
      <c r="AA195" s="24"/>
      <c r="AB195" s="24"/>
      <c r="AC195" s="24"/>
      <c r="AD195" s="24"/>
      <c r="AE195" s="24"/>
      <c r="AF195" s="24"/>
      <c r="AG195" s="24"/>
      <c r="AH195" s="24"/>
      <c r="AI195" s="24"/>
      <c r="AJ195" s="24"/>
      <c r="AK195" s="24"/>
      <c r="AL195" s="24"/>
      <c r="AM195" s="24"/>
      <c r="AN195" s="24"/>
      <c r="AO195" s="24"/>
    </row>
    <row r="196" spans="2:41">
      <c r="B196" s="24"/>
      <c r="C196" s="24"/>
      <c r="D196" s="24"/>
      <c r="E196" s="24"/>
      <c r="F196" s="24"/>
      <c r="G196" s="24"/>
      <c r="H196" s="24"/>
      <c r="J196" s="24"/>
      <c r="K196" s="24"/>
      <c r="L196" s="24"/>
      <c r="M196" s="24"/>
      <c r="N196" s="24"/>
      <c r="O196" s="516"/>
      <c r="P196" s="516"/>
      <c r="Q196" s="516"/>
      <c r="R196" s="516"/>
      <c r="S196" s="516"/>
      <c r="T196" s="516"/>
      <c r="U196" s="516"/>
      <c r="V196" s="516"/>
      <c r="W196" s="516"/>
      <c r="X196" s="24"/>
      <c r="Y196" s="24"/>
      <c r="Z196" s="24"/>
      <c r="AA196" s="24"/>
      <c r="AB196" s="24"/>
      <c r="AC196" s="24"/>
      <c r="AD196" s="24"/>
      <c r="AE196" s="24"/>
      <c r="AF196" s="24"/>
      <c r="AG196" s="24"/>
      <c r="AH196" s="24"/>
      <c r="AI196" s="24"/>
      <c r="AJ196" s="24"/>
      <c r="AK196" s="24"/>
      <c r="AL196" s="24"/>
      <c r="AM196" s="24"/>
      <c r="AN196" s="24"/>
      <c r="AO196" s="24"/>
    </row>
    <row r="197" spans="2:41">
      <c r="B197" s="24"/>
      <c r="C197" s="24"/>
      <c r="D197" s="24"/>
      <c r="E197" s="24"/>
      <c r="F197" s="24"/>
      <c r="G197" s="24"/>
      <c r="H197" s="24"/>
      <c r="J197" s="24"/>
      <c r="K197" s="24"/>
      <c r="L197" s="24"/>
      <c r="M197" s="24"/>
      <c r="N197" s="24"/>
      <c r="O197" s="516"/>
      <c r="P197" s="516"/>
      <c r="Q197" s="516"/>
      <c r="R197" s="516"/>
      <c r="S197" s="516"/>
      <c r="T197" s="516"/>
      <c r="U197" s="516"/>
      <c r="V197" s="516"/>
      <c r="W197" s="516"/>
      <c r="X197" s="24"/>
      <c r="Y197" s="24"/>
      <c r="Z197" s="24"/>
      <c r="AA197" s="24"/>
      <c r="AB197" s="24"/>
      <c r="AC197" s="24"/>
      <c r="AD197" s="24"/>
      <c r="AE197" s="24"/>
      <c r="AF197" s="24"/>
      <c r="AG197" s="24"/>
      <c r="AH197" s="24"/>
      <c r="AI197" s="24"/>
      <c r="AJ197" s="24"/>
      <c r="AK197" s="24"/>
      <c r="AL197" s="24"/>
      <c r="AM197" s="24"/>
      <c r="AN197" s="24"/>
      <c r="AO197" s="24"/>
    </row>
    <row r="198" spans="2:41">
      <c r="B198" s="24"/>
      <c r="C198" s="24"/>
      <c r="D198" s="24"/>
      <c r="E198" s="24"/>
      <c r="F198" s="24"/>
      <c r="G198" s="24"/>
      <c r="H198" s="24"/>
      <c r="J198" s="24"/>
      <c r="K198" s="24"/>
      <c r="L198" s="24"/>
      <c r="M198" s="24"/>
      <c r="N198" s="24"/>
      <c r="O198" s="516"/>
      <c r="P198" s="516"/>
      <c r="Q198" s="516"/>
      <c r="R198" s="516"/>
      <c r="S198" s="516"/>
      <c r="T198" s="516"/>
      <c r="U198" s="516"/>
      <c r="V198" s="516"/>
      <c r="W198" s="516"/>
      <c r="X198" s="24"/>
      <c r="Y198" s="24"/>
      <c r="Z198" s="24"/>
      <c r="AA198" s="24"/>
      <c r="AB198" s="24"/>
      <c r="AC198" s="24"/>
      <c r="AD198" s="24"/>
      <c r="AE198" s="24"/>
      <c r="AF198" s="24"/>
      <c r="AG198" s="24"/>
      <c r="AH198" s="24"/>
      <c r="AI198" s="24"/>
      <c r="AJ198" s="24"/>
      <c r="AK198" s="24"/>
      <c r="AL198" s="24"/>
      <c r="AM198" s="24"/>
      <c r="AN198" s="24"/>
      <c r="AO198" s="24"/>
    </row>
    <row r="199" spans="2:41">
      <c r="B199" s="24"/>
      <c r="C199" s="24"/>
      <c r="D199" s="24"/>
      <c r="E199" s="24"/>
      <c r="F199" s="24"/>
      <c r="G199" s="24"/>
      <c r="H199" s="24"/>
      <c r="J199" s="24"/>
      <c r="K199" s="24"/>
      <c r="L199" s="24"/>
      <c r="M199" s="24"/>
      <c r="N199" s="24"/>
      <c r="O199" s="516"/>
      <c r="P199" s="516"/>
      <c r="Q199" s="516"/>
      <c r="R199" s="516"/>
      <c r="S199" s="516"/>
      <c r="T199" s="516"/>
      <c r="U199" s="516"/>
      <c r="V199" s="516"/>
      <c r="W199" s="516"/>
      <c r="X199" s="24"/>
      <c r="Y199" s="24"/>
      <c r="Z199" s="24"/>
      <c r="AA199" s="24"/>
      <c r="AB199" s="24"/>
      <c r="AC199" s="24"/>
      <c r="AD199" s="24"/>
      <c r="AE199" s="24"/>
      <c r="AF199" s="24"/>
      <c r="AG199" s="24"/>
      <c r="AH199" s="24"/>
      <c r="AI199" s="24"/>
      <c r="AJ199" s="24"/>
      <c r="AK199" s="24"/>
      <c r="AL199" s="24"/>
      <c r="AM199" s="24"/>
      <c r="AN199" s="24"/>
      <c r="AO199" s="24"/>
    </row>
    <row r="200" spans="2:41">
      <c r="B200" s="24"/>
      <c r="C200" s="24"/>
      <c r="D200" s="24"/>
      <c r="E200" s="24"/>
      <c r="F200" s="24"/>
      <c r="G200" s="25"/>
      <c r="H200" s="24"/>
      <c r="I200" s="25"/>
      <c r="J200" s="25"/>
      <c r="K200" s="25"/>
      <c r="L200" s="24"/>
      <c r="M200" s="24"/>
      <c r="N200" s="24"/>
      <c r="O200" s="516"/>
      <c r="P200" s="516"/>
      <c r="Q200" s="516"/>
      <c r="R200" s="516"/>
      <c r="S200" s="516"/>
      <c r="T200" s="516"/>
      <c r="U200" s="515"/>
      <c r="V200" s="515"/>
      <c r="W200" s="515"/>
      <c r="X200" s="24"/>
      <c r="Y200" s="24"/>
      <c r="Z200" s="24"/>
      <c r="AA200" s="24"/>
      <c r="AB200" s="24"/>
      <c r="AC200" s="24"/>
      <c r="AD200" s="24"/>
      <c r="AE200" s="24"/>
      <c r="AF200" s="24"/>
      <c r="AG200" s="24"/>
      <c r="AH200" s="24"/>
      <c r="AI200" s="24"/>
      <c r="AJ200" s="24"/>
      <c r="AK200" s="24"/>
      <c r="AL200" s="24"/>
      <c r="AM200" s="24"/>
      <c r="AN200" s="24"/>
      <c r="AO200" s="24"/>
    </row>
    <row r="201" spans="2:41">
      <c r="B201" s="24"/>
      <c r="C201" s="24"/>
      <c r="D201" s="24"/>
      <c r="E201" s="24"/>
      <c r="F201" s="24"/>
      <c r="G201" s="26"/>
      <c r="H201" s="24"/>
      <c r="I201" s="26"/>
      <c r="J201" s="26"/>
      <c r="K201" s="26"/>
      <c r="L201" s="24"/>
      <c r="M201" s="24"/>
      <c r="N201" s="24"/>
      <c r="O201" s="516"/>
      <c r="P201" s="516"/>
      <c r="Q201" s="516"/>
      <c r="R201" s="516"/>
      <c r="S201" s="516"/>
      <c r="T201" s="516"/>
      <c r="U201" s="515"/>
      <c r="V201" s="515"/>
      <c r="W201" s="515"/>
      <c r="X201" s="24"/>
      <c r="Y201" s="24"/>
      <c r="Z201" s="24"/>
      <c r="AA201" s="24"/>
      <c r="AB201" s="24"/>
      <c r="AC201" s="24"/>
      <c r="AD201" s="24"/>
      <c r="AE201" s="24"/>
      <c r="AF201" s="24"/>
      <c r="AG201" s="24"/>
      <c r="AH201" s="24"/>
      <c r="AI201" s="24"/>
      <c r="AJ201" s="24"/>
      <c r="AK201" s="24"/>
      <c r="AL201" s="24"/>
      <c r="AM201" s="24"/>
      <c r="AN201" s="24"/>
      <c r="AO201" s="24"/>
    </row>
    <row r="202" spans="2:41">
      <c r="B202" s="24"/>
      <c r="C202" s="24"/>
      <c r="D202" s="24"/>
      <c r="E202" s="24"/>
      <c r="F202" s="24"/>
      <c r="G202" s="26"/>
      <c r="H202" s="24"/>
      <c r="I202" s="26"/>
      <c r="J202" s="26"/>
      <c r="K202" s="26"/>
      <c r="L202" s="24"/>
      <c r="M202" s="24"/>
      <c r="N202" s="24"/>
      <c r="O202" s="516"/>
      <c r="P202" s="516"/>
      <c r="Q202" s="516"/>
      <c r="R202" s="516"/>
      <c r="S202" s="516"/>
      <c r="T202" s="516"/>
      <c r="U202" s="515"/>
      <c r="V202" s="515"/>
      <c r="W202" s="515"/>
      <c r="X202" s="24"/>
      <c r="Y202" s="24"/>
      <c r="Z202" s="24"/>
      <c r="AA202" s="24"/>
      <c r="AB202" s="24"/>
      <c r="AC202" s="24"/>
      <c r="AD202" s="24"/>
      <c r="AE202" s="24"/>
      <c r="AF202" s="24"/>
      <c r="AG202" s="24"/>
      <c r="AH202" s="24"/>
      <c r="AI202" s="24"/>
      <c r="AJ202" s="24"/>
      <c r="AK202" s="24"/>
      <c r="AL202" s="24"/>
      <c r="AM202" s="24"/>
      <c r="AN202" s="24"/>
      <c r="AO202" s="24"/>
    </row>
    <row r="203" spans="2:41">
      <c r="B203" s="24"/>
      <c r="C203" s="24"/>
      <c r="D203" s="24"/>
      <c r="E203" s="24"/>
      <c r="F203" s="24"/>
      <c r="G203" s="24"/>
      <c r="H203" s="24"/>
      <c r="J203" s="24"/>
      <c r="K203" s="24"/>
      <c r="L203" s="24"/>
      <c r="M203" s="24"/>
      <c r="N203" s="24"/>
      <c r="O203" s="516"/>
      <c r="P203" s="516"/>
      <c r="Q203" s="516"/>
      <c r="R203" s="516"/>
      <c r="S203" s="516"/>
      <c r="T203" s="516"/>
      <c r="U203" s="516"/>
      <c r="V203" s="516"/>
      <c r="W203" s="516"/>
      <c r="X203" s="24"/>
      <c r="Y203" s="24"/>
      <c r="Z203" s="24"/>
      <c r="AA203" s="24"/>
      <c r="AB203" s="24"/>
      <c r="AC203" s="24"/>
      <c r="AD203" s="24"/>
      <c r="AE203" s="24"/>
      <c r="AF203" s="24"/>
      <c r="AG203" s="24"/>
      <c r="AH203" s="24"/>
      <c r="AI203" s="24"/>
      <c r="AJ203" s="24"/>
      <c r="AK203" s="24"/>
      <c r="AL203" s="24"/>
      <c r="AM203" s="24"/>
      <c r="AN203" s="24"/>
      <c r="AO203" s="24"/>
    </row>
    <row r="204" spans="2:41">
      <c r="B204" s="24"/>
      <c r="C204" s="24"/>
      <c r="D204" s="24"/>
      <c r="E204" s="24"/>
      <c r="F204" s="24"/>
      <c r="G204" s="24"/>
      <c r="H204" s="24"/>
      <c r="J204" s="24"/>
      <c r="K204" s="24"/>
      <c r="L204" s="24"/>
      <c r="M204" s="24"/>
      <c r="N204" s="24"/>
      <c r="O204" s="516"/>
      <c r="P204" s="516"/>
      <c r="Q204" s="516"/>
      <c r="R204" s="516"/>
      <c r="S204" s="516"/>
      <c r="T204" s="516"/>
      <c r="U204" s="516"/>
      <c r="V204" s="516"/>
      <c r="W204" s="516"/>
      <c r="X204" s="24"/>
      <c r="Y204" s="24"/>
      <c r="Z204" s="24"/>
      <c r="AA204" s="24"/>
      <c r="AB204" s="24"/>
      <c r="AC204" s="24"/>
      <c r="AD204" s="24"/>
      <c r="AE204" s="24"/>
      <c r="AF204" s="24"/>
      <c r="AG204" s="24"/>
      <c r="AH204" s="24"/>
      <c r="AI204" s="24"/>
      <c r="AJ204" s="24"/>
      <c r="AK204" s="24"/>
      <c r="AL204" s="24"/>
      <c r="AM204" s="24"/>
      <c r="AN204" s="24"/>
      <c r="AO204" s="24"/>
    </row>
    <row r="205" spans="2:41">
      <c r="B205" s="24"/>
      <c r="C205" s="24"/>
      <c r="D205" s="24"/>
      <c r="E205" s="24"/>
      <c r="F205" s="24"/>
      <c r="G205" s="25"/>
      <c r="H205" s="24"/>
      <c r="I205" s="25"/>
      <c r="J205" s="25"/>
      <c r="K205" s="25"/>
      <c r="L205" s="24"/>
      <c r="M205" s="24"/>
      <c r="N205" s="24"/>
      <c r="O205" s="516"/>
      <c r="P205" s="516"/>
      <c r="Q205" s="516"/>
      <c r="R205" s="516"/>
      <c r="S205" s="516"/>
      <c r="T205" s="516"/>
      <c r="U205" s="516"/>
      <c r="V205" s="516"/>
      <c r="W205" s="516"/>
      <c r="X205" s="24"/>
      <c r="Y205" s="24"/>
      <c r="Z205" s="24"/>
      <c r="AA205" s="24"/>
      <c r="AB205" s="24"/>
      <c r="AC205" s="24"/>
      <c r="AD205" s="24"/>
      <c r="AE205" s="24"/>
      <c r="AF205" s="24"/>
      <c r="AG205" s="24"/>
      <c r="AH205" s="24"/>
      <c r="AI205" s="24"/>
      <c r="AJ205" s="24"/>
      <c r="AK205" s="24"/>
      <c r="AL205" s="24"/>
      <c r="AM205" s="24"/>
      <c r="AN205" s="24"/>
      <c r="AO205" s="24"/>
    </row>
    <row r="206" spans="2:41">
      <c r="B206" s="24"/>
      <c r="C206" s="24"/>
      <c r="D206" s="24"/>
      <c r="E206" s="24"/>
      <c r="F206" s="24"/>
      <c r="G206" s="24"/>
      <c r="H206" s="24"/>
      <c r="J206" s="24"/>
      <c r="K206" s="24"/>
      <c r="L206" s="24"/>
      <c r="M206" s="24"/>
      <c r="N206" s="24"/>
      <c r="O206" s="516"/>
      <c r="P206" s="516"/>
      <c r="Q206" s="516"/>
      <c r="R206" s="516"/>
      <c r="S206" s="516"/>
      <c r="T206" s="516"/>
      <c r="U206" s="516"/>
      <c r="V206" s="516"/>
      <c r="W206" s="516"/>
      <c r="X206" s="24"/>
      <c r="Y206" s="24"/>
      <c r="Z206" s="24"/>
      <c r="AA206" s="24"/>
      <c r="AB206" s="24"/>
      <c r="AC206" s="24"/>
      <c r="AD206" s="24"/>
      <c r="AE206" s="24"/>
      <c r="AF206" s="24"/>
      <c r="AG206" s="24"/>
      <c r="AH206" s="24"/>
      <c r="AI206" s="24"/>
      <c r="AJ206" s="24"/>
      <c r="AK206" s="24"/>
      <c r="AL206" s="24"/>
      <c r="AM206" s="24"/>
      <c r="AN206" s="24"/>
      <c r="AO206" s="24"/>
    </row>
    <row r="207" spans="2:41">
      <c r="B207" s="24"/>
      <c r="C207" s="24"/>
      <c r="D207" s="24"/>
      <c r="E207" s="24"/>
      <c r="F207" s="24"/>
      <c r="G207" s="25"/>
      <c r="H207" s="24"/>
      <c r="I207" s="25"/>
      <c r="J207" s="25"/>
      <c r="K207" s="25"/>
      <c r="L207" s="24"/>
      <c r="M207" s="24"/>
      <c r="N207" s="24"/>
      <c r="O207" s="516"/>
      <c r="P207" s="516"/>
      <c r="Q207" s="516"/>
      <c r="R207" s="516"/>
      <c r="S207" s="516"/>
      <c r="T207" s="516"/>
      <c r="U207" s="516"/>
      <c r="V207" s="516"/>
      <c r="W207" s="516"/>
      <c r="X207" s="24"/>
      <c r="Y207" s="24"/>
      <c r="Z207" s="24"/>
      <c r="AA207" s="24"/>
      <c r="AB207" s="24"/>
      <c r="AC207" s="24"/>
      <c r="AD207" s="24"/>
      <c r="AE207" s="24"/>
      <c r="AF207" s="24"/>
      <c r="AG207" s="24"/>
      <c r="AH207" s="24"/>
      <c r="AI207" s="24"/>
      <c r="AJ207" s="24"/>
      <c r="AK207" s="24"/>
      <c r="AL207" s="24"/>
      <c r="AM207" s="24"/>
      <c r="AN207" s="24"/>
      <c r="AO207" s="24"/>
    </row>
    <row r="208" spans="2:41">
      <c r="B208" s="24"/>
      <c r="C208" s="24"/>
      <c r="D208" s="24"/>
      <c r="E208" s="24"/>
      <c r="F208" s="24"/>
      <c r="G208" s="25"/>
      <c r="H208" s="24"/>
      <c r="I208" s="25"/>
      <c r="J208" s="25"/>
      <c r="K208" s="25"/>
      <c r="L208" s="24"/>
      <c r="M208" s="24"/>
      <c r="N208" s="24"/>
      <c r="O208" s="516"/>
      <c r="P208" s="516"/>
      <c r="Q208" s="516"/>
      <c r="R208" s="516"/>
      <c r="S208" s="516"/>
      <c r="T208" s="516"/>
      <c r="U208" s="515"/>
      <c r="V208" s="515"/>
      <c r="W208" s="515"/>
      <c r="X208" s="24"/>
      <c r="Y208" s="24"/>
      <c r="Z208" s="24"/>
      <c r="AA208" s="24"/>
      <c r="AB208" s="24"/>
      <c r="AC208" s="24"/>
      <c r="AD208" s="24"/>
      <c r="AE208" s="24"/>
      <c r="AF208" s="24"/>
      <c r="AG208" s="24"/>
      <c r="AH208" s="24"/>
      <c r="AI208" s="24"/>
      <c r="AJ208" s="24"/>
      <c r="AK208" s="24"/>
      <c r="AL208" s="24"/>
      <c r="AM208" s="24"/>
      <c r="AN208" s="24"/>
      <c r="AO208" s="24"/>
    </row>
    <row r="209" spans="2:41">
      <c r="B209" s="24"/>
      <c r="C209" s="24"/>
      <c r="D209" s="24"/>
      <c r="E209" s="24"/>
      <c r="F209" s="24"/>
      <c r="G209" s="26"/>
      <c r="H209" s="24"/>
      <c r="I209" s="26"/>
      <c r="J209" s="26"/>
      <c r="K209" s="26"/>
      <c r="L209" s="24"/>
      <c r="M209" s="24"/>
      <c r="N209" s="24"/>
      <c r="O209" s="516"/>
      <c r="P209" s="516"/>
      <c r="Q209" s="516"/>
      <c r="R209" s="516"/>
      <c r="S209" s="516"/>
      <c r="T209" s="516"/>
      <c r="U209" s="515"/>
      <c r="V209" s="515"/>
      <c r="W209" s="515"/>
      <c r="X209" s="24"/>
      <c r="Y209" s="24"/>
      <c r="Z209" s="24"/>
      <c r="AA209" s="24"/>
      <c r="AB209" s="24"/>
      <c r="AC209" s="24"/>
      <c r="AD209" s="24"/>
      <c r="AE209" s="24"/>
      <c r="AF209" s="24"/>
      <c r="AG209" s="24"/>
      <c r="AH209" s="24"/>
      <c r="AI209" s="24"/>
      <c r="AJ209" s="24"/>
      <c r="AK209" s="24"/>
      <c r="AL209" s="24"/>
      <c r="AM209" s="24"/>
      <c r="AN209" s="24"/>
      <c r="AO209" s="24"/>
    </row>
    <row r="210" spans="2:41">
      <c r="B210" s="24"/>
      <c r="C210" s="24"/>
      <c r="D210" s="24"/>
      <c r="E210" s="24"/>
      <c r="F210" s="24"/>
      <c r="G210" s="26"/>
      <c r="H210" s="24"/>
      <c r="I210" s="26"/>
      <c r="J210" s="26"/>
      <c r="K210" s="26"/>
      <c r="L210" s="24"/>
      <c r="M210" s="24"/>
      <c r="N210" s="24"/>
      <c r="O210" s="516"/>
      <c r="P210" s="516"/>
      <c r="Q210" s="516"/>
      <c r="R210" s="516"/>
      <c r="S210" s="516"/>
      <c r="T210" s="516"/>
      <c r="U210" s="515"/>
      <c r="V210" s="515"/>
      <c r="W210" s="515"/>
      <c r="X210" s="24"/>
      <c r="Y210" s="24"/>
      <c r="Z210" s="24"/>
      <c r="AA210" s="24"/>
      <c r="AB210" s="24"/>
      <c r="AC210" s="24"/>
      <c r="AD210" s="24"/>
      <c r="AE210" s="24"/>
      <c r="AF210" s="24"/>
      <c r="AG210" s="24"/>
      <c r="AH210" s="24"/>
      <c r="AI210" s="24"/>
      <c r="AJ210" s="24"/>
      <c r="AK210" s="24"/>
      <c r="AL210" s="24"/>
      <c r="AM210" s="24"/>
      <c r="AN210" s="24"/>
      <c r="AO210" s="24"/>
    </row>
    <row r="211" spans="2:41">
      <c r="B211" s="24"/>
      <c r="C211" s="24"/>
      <c r="D211" s="24"/>
      <c r="E211" s="24"/>
      <c r="F211" s="24"/>
      <c r="G211" s="25"/>
      <c r="H211" s="24"/>
      <c r="I211" s="25"/>
      <c r="J211" s="25"/>
      <c r="K211" s="25"/>
      <c r="L211" s="24"/>
      <c r="M211" s="24"/>
      <c r="N211" s="24"/>
      <c r="O211" s="516"/>
      <c r="P211" s="516"/>
      <c r="Q211" s="516"/>
      <c r="R211" s="516"/>
      <c r="S211" s="516"/>
      <c r="T211" s="516"/>
      <c r="U211" s="516"/>
      <c r="V211" s="516"/>
      <c r="W211" s="516"/>
      <c r="X211" s="24"/>
      <c r="Y211" s="24"/>
      <c r="Z211" s="24"/>
      <c r="AA211" s="24"/>
      <c r="AB211" s="24"/>
      <c r="AC211" s="24"/>
      <c r="AD211" s="24"/>
      <c r="AE211" s="24"/>
      <c r="AF211" s="24"/>
      <c r="AG211" s="24"/>
      <c r="AH211" s="24"/>
      <c r="AI211" s="24"/>
      <c r="AJ211" s="24"/>
      <c r="AK211" s="24"/>
      <c r="AL211" s="24"/>
      <c r="AM211" s="24"/>
      <c r="AN211" s="24"/>
      <c r="AO211" s="24"/>
    </row>
    <row r="212" spans="2:41">
      <c r="B212" s="24"/>
      <c r="C212" s="24"/>
      <c r="D212" s="24"/>
      <c r="E212" s="24"/>
      <c r="F212" s="24"/>
      <c r="G212" s="25"/>
      <c r="H212" s="24"/>
      <c r="I212" s="25"/>
      <c r="J212" s="25"/>
      <c r="K212" s="25"/>
      <c r="L212" s="24"/>
      <c r="M212" s="24"/>
      <c r="N212" s="24"/>
      <c r="O212" s="516"/>
      <c r="P212" s="516"/>
      <c r="Q212" s="516"/>
      <c r="R212" s="516"/>
      <c r="S212" s="516"/>
      <c r="T212" s="516"/>
      <c r="U212" s="516"/>
      <c r="V212" s="516"/>
      <c r="W212" s="516"/>
      <c r="X212" s="24"/>
      <c r="Y212" s="24"/>
      <c r="Z212" s="24"/>
      <c r="AA212" s="24"/>
      <c r="AB212" s="24"/>
      <c r="AC212" s="24"/>
      <c r="AD212" s="24"/>
      <c r="AE212" s="24"/>
      <c r="AF212" s="24"/>
      <c r="AG212" s="24"/>
      <c r="AH212" s="24"/>
      <c r="AI212" s="24"/>
      <c r="AJ212" s="24"/>
      <c r="AK212" s="24"/>
      <c r="AL212" s="24"/>
      <c r="AM212" s="24"/>
      <c r="AN212" s="24"/>
      <c r="AO212" s="24"/>
    </row>
    <row r="213" spans="2:41">
      <c r="B213" s="24"/>
      <c r="C213" s="24"/>
      <c r="D213" s="24"/>
      <c r="E213" s="24"/>
      <c r="F213" s="24"/>
      <c r="G213" s="25"/>
      <c r="H213" s="24"/>
      <c r="I213" s="25"/>
      <c r="J213" s="25"/>
      <c r="K213" s="25"/>
      <c r="L213" s="24"/>
      <c r="M213" s="24"/>
      <c r="N213" s="24"/>
      <c r="O213" s="516"/>
      <c r="P213" s="516"/>
      <c r="Q213" s="516"/>
      <c r="R213" s="516"/>
      <c r="S213" s="516"/>
      <c r="T213" s="516"/>
      <c r="U213" s="516"/>
      <c r="V213" s="516"/>
      <c r="W213" s="516"/>
      <c r="X213" s="24"/>
      <c r="Y213" s="24"/>
      <c r="Z213" s="24"/>
      <c r="AA213" s="24"/>
      <c r="AB213" s="24"/>
      <c r="AC213" s="24"/>
      <c r="AD213" s="24"/>
      <c r="AE213" s="24"/>
      <c r="AF213" s="24"/>
      <c r="AG213" s="24"/>
      <c r="AH213" s="24"/>
      <c r="AI213" s="24"/>
      <c r="AJ213" s="24"/>
      <c r="AK213" s="24"/>
      <c r="AL213" s="24"/>
      <c r="AM213" s="24"/>
      <c r="AN213" s="24"/>
      <c r="AO213" s="24"/>
    </row>
    <row r="214" spans="2:41">
      <c r="B214" s="24"/>
      <c r="C214" s="24"/>
      <c r="D214" s="24"/>
      <c r="E214" s="24"/>
      <c r="F214" s="24"/>
      <c r="G214" s="25"/>
      <c r="H214" s="24"/>
      <c r="I214" s="25"/>
      <c r="J214" s="25"/>
      <c r="K214" s="25"/>
      <c r="L214" s="24"/>
      <c r="M214" s="24"/>
      <c r="N214" s="24"/>
      <c r="O214" s="516"/>
      <c r="P214" s="516"/>
      <c r="Q214" s="516"/>
      <c r="R214" s="516"/>
      <c r="S214" s="516"/>
      <c r="T214" s="516"/>
      <c r="U214" s="516"/>
      <c r="V214" s="516"/>
      <c r="W214" s="516"/>
      <c r="X214" s="24"/>
      <c r="Y214" s="24"/>
      <c r="Z214" s="24"/>
      <c r="AA214" s="24"/>
      <c r="AB214" s="24"/>
      <c r="AC214" s="24"/>
      <c r="AD214" s="24"/>
      <c r="AE214" s="24"/>
      <c r="AF214" s="24"/>
      <c r="AG214" s="24"/>
      <c r="AH214" s="24"/>
      <c r="AI214" s="24"/>
      <c r="AJ214" s="24"/>
      <c r="AK214" s="24"/>
      <c r="AL214" s="24"/>
      <c r="AM214" s="24"/>
      <c r="AN214" s="24"/>
      <c r="AO214" s="24"/>
    </row>
    <row r="215" spans="2:41">
      <c r="B215" s="24"/>
      <c r="C215" s="24"/>
      <c r="D215" s="24"/>
      <c r="E215" s="24"/>
      <c r="F215" s="24"/>
      <c r="G215" s="25"/>
      <c r="H215" s="24"/>
      <c r="I215" s="25"/>
      <c r="J215" s="25"/>
      <c r="K215" s="25"/>
      <c r="L215" s="24"/>
      <c r="M215" s="24"/>
      <c r="N215" s="24"/>
      <c r="O215" s="516"/>
      <c r="P215" s="516"/>
      <c r="Q215" s="516"/>
      <c r="R215" s="516"/>
      <c r="S215" s="516"/>
      <c r="T215" s="516"/>
      <c r="U215" s="515"/>
      <c r="V215" s="515"/>
      <c r="W215" s="515"/>
      <c r="X215" s="24"/>
      <c r="Y215" s="24"/>
      <c r="Z215" s="24"/>
      <c r="AA215" s="24"/>
      <c r="AB215" s="24"/>
      <c r="AC215" s="24"/>
      <c r="AD215" s="24"/>
      <c r="AE215" s="24"/>
      <c r="AF215" s="24"/>
      <c r="AG215" s="24"/>
      <c r="AH215" s="24"/>
      <c r="AI215" s="24"/>
      <c r="AJ215" s="24"/>
      <c r="AK215" s="24"/>
      <c r="AL215" s="24"/>
      <c r="AM215" s="24"/>
      <c r="AN215" s="24"/>
      <c r="AO215" s="24"/>
    </row>
    <row r="216" spans="2:41">
      <c r="B216" s="24"/>
      <c r="C216" s="24"/>
      <c r="D216" s="24"/>
      <c r="E216" s="24"/>
      <c r="F216" s="24"/>
      <c r="G216" s="26"/>
      <c r="H216" s="24"/>
      <c r="I216" s="26"/>
      <c r="J216" s="26"/>
      <c r="K216" s="26"/>
      <c r="L216" s="24"/>
      <c r="M216" s="24"/>
      <c r="N216" s="24"/>
      <c r="O216" s="516"/>
      <c r="P216" s="516"/>
      <c r="Q216" s="516"/>
      <c r="R216" s="516"/>
      <c r="S216" s="516"/>
      <c r="T216" s="516"/>
      <c r="U216" s="515"/>
      <c r="V216" s="515"/>
      <c r="W216" s="515"/>
      <c r="X216" s="24"/>
      <c r="Y216" s="24"/>
      <c r="Z216" s="24"/>
      <c r="AA216" s="24"/>
      <c r="AB216" s="24"/>
      <c r="AC216" s="24"/>
      <c r="AD216" s="24"/>
      <c r="AE216" s="24"/>
      <c r="AF216" s="24"/>
      <c r="AG216" s="24"/>
      <c r="AH216" s="24"/>
      <c r="AI216" s="24"/>
      <c r="AJ216" s="24"/>
      <c r="AK216" s="24"/>
      <c r="AL216" s="24"/>
      <c r="AM216" s="24"/>
      <c r="AN216" s="24"/>
      <c r="AO216" s="24"/>
    </row>
    <row r="217" spans="2:41">
      <c r="B217" s="24"/>
      <c r="C217" s="24"/>
      <c r="D217" s="24"/>
      <c r="E217" s="24"/>
      <c r="F217" s="24"/>
      <c r="G217" s="26"/>
      <c r="H217" s="24"/>
      <c r="I217" s="26"/>
      <c r="J217" s="26"/>
      <c r="K217" s="26"/>
      <c r="L217" s="24"/>
      <c r="M217" s="24"/>
      <c r="N217" s="24"/>
      <c r="O217" s="516"/>
      <c r="P217" s="516"/>
      <c r="Q217" s="516"/>
      <c r="R217" s="516"/>
      <c r="S217" s="516"/>
      <c r="T217" s="516"/>
      <c r="U217" s="515"/>
      <c r="V217" s="515"/>
      <c r="W217" s="515"/>
      <c r="X217" s="24"/>
      <c r="Y217" s="24"/>
      <c r="Z217" s="24"/>
      <c r="AA217" s="24"/>
      <c r="AB217" s="24"/>
      <c r="AC217" s="24"/>
      <c r="AD217" s="24"/>
      <c r="AE217" s="24"/>
      <c r="AF217" s="24"/>
      <c r="AG217" s="24"/>
      <c r="AH217" s="24"/>
      <c r="AI217" s="24"/>
      <c r="AJ217" s="24"/>
      <c r="AK217" s="24"/>
      <c r="AL217" s="24"/>
      <c r="AM217" s="24"/>
      <c r="AN217" s="24"/>
      <c r="AO217" s="24"/>
    </row>
    <row r="218" spans="2:41">
      <c r="B218" s="24"/>
      <c r="C218" s="24"/>
      <c r="D218" s="24"/>
      <c r="E218" s="24"/>
      <c r="F218" s="24"/>
      <c r="G218" s="25"/>
      <c r="H218" s="24"/>
      <c r="I218" s="25"/>
      <c r="J218" s="25"/>
      <c r="K218" s="25"/>
      <c r="L218" s="24"/>
      <c r="M218" s="24"/>
      <c r="N218" s="24"/>
      <c r="O218" s="516"/>
      <c r="P218" s="516"/>
      <c r="Q218" s="516"/>
      <c r="R218" s="516"/>
      <c r="S218" s="516"/>
      <c r="T218" s="516"/>
      <c r="U218" s="516"/>
      <c r="V218" s="516"/>
      <c r="W218" s="516"/>
      <c r="X218" s="24"/>
      <c r="Y218" s="24"/>
      <c r="Z218" s="24"/>
      <c r="AA218" s="24"/>
      <c r="AB218" s="24"/>
      <c r="AC218" s="24"/>
      <c r="AD218" s="24"/>
      <c r="AE218" s="24"/>
      <c r="AF218" s="24"/>
      <c r="AG218" s="24"/>
      <c r="AH218" s="24"/>
      <c r="AI218" s="24"/>
      <c r="AJ218" s="24"/>
      <c r="AK218" s="24"/>
      <c r="AL218" s="24"/>
      <c r="AM218" s="24"/>
      <c r="AN218" s="24"/>
      <c r="AO218" s="24"/>
    </row>
    <row r="219" spans="2:41">
      <c r="B219" s="24"/>
      <c r="C219" s="24"/>
      <c r="D219" s="24"/>
      <c r="E219" s="24"/>
      <c r="F219" s="24"/>
      <c r="G219" s="24"/>
      <c r="H219" s="24"/>
      <c r="J219" s="24"/>
      <c r="K219" s="24"/>
      <c r="L219" s="24"/>
      <c r="M219" s="24"/>
      <c r="N219" s="24"/>
      <c r="O219" s="516"/>
      <c r="P219" s="516"/>
      <c r="Q219" s="516"/>
      <c r="R219" s="516"/>
      <c r="S219" s="516"/>
      <c r="T219" s="516"/>
      <c r="U219" s="516"/>
      <c r="V219" s="516"/>
      <c r="W219" s="516"/>
      <c r="X219" s="24"/>
      <c r="Y219" s="24"/>
      <c r="Z219" s="24"/>
      <c r="AA219" s="24"/>
      <c r="AB219" s="24"/>
      <c r="AC219" s="24"/>
      <c r="AD219" s="24"/>
      <c r="AE219" s="24"/>
      <c r="AF219" s="24"/>
      <c r="AG219" s="24"/>
      <c r="AH219" s="24"/>
      <c r="AI219" s="24"/>
      <c r="AJ219" s="24"/>
      <c r="AK219" s="24"/>
      <c r="AL219" s="24"/>
      <c r="AM219" s="24"/>
      <c r="AN219" s="24"/>
      <c r="AO219" s="24"/>
    </row>
    <row r="220" spans="2:41">
      <c r="B220" s="24"/>
      <c r="C220" s="24"/>
      <c r="D220" s="24"/>
      <c r="E220" s="24"/>
      <c r="F220" s="24"/>
      <c r="G220" s="25"/>
      <c r="H220" s="24"/>
      <c r="I220" s="25"/>
      <c r="J220" s="25"/>
      <c r="K220" s="25"/>
      <c r="L220" s="24"/>
      <c r="M220" s="24"/>
      <c r="N220" s="24"/>
      <c r="O220" s="516"/>
      <c r="P220" s="516"/>
      <c r="Q220" s="516"/>
      <c r="R220" s="516"/>
      <c r="S220" s="516"/>
      <c r="T220" s="516"/>
      <c r="U220" s="516"/>
      <c r="V220" s="516"/>
      <c r="W220" s="516"/>
      <c r="X220" s="24"/>
      <c r="Y220" s="24"/>
      <c r="Z220" s="24"/>
      <c r="AA220" s="24"/>
      <c r="AB220" s="24"/>
      <c r="AC220" s="24"/>
      <c r="AD220" s="24"/>
      <c r="AE220" s="24"/>
      <c r="AF220" s="24"/>
      <c r="AG220" s="24"/>
      <c r="AH220" s="24"/>
      <c r="AI220" s="24"/>
      <c r="AJ220" s="24"/>
      <c r="AK220" s="24"/>
      <c r="AL220" s="24"/>
      <c r="AM220" s="24"/>
      <c r="AN220" s="24"/>
      <c r="AO220" s="24"/>
    </row>
    <row r="221" spans="2:41">
      <c r="B221" s="24"/>
      <c r="C221" s="24"/>
      <c r="D221" s="24"/>
      <c r="E221" s="24"/>
      <c r="F221" s="24"/>
      <c r="G221" s="25"/>
      <c r="H221" s="24"/>
      <c r="I221" s="25"/>
      <c r="J221" s="25"/>
      <c r="K221" s="25"/>
      <c r="L221" s="24"/>
      <c r="M221" s="24"/>
      <c r="N221" s="24"/>
      <c r="O221" s="516"/>
      <c r="P221" s="516"/>
      <c r="Q221" s="516"/>
      <c r="R221" s="516"/>
      <c r="S221" s="516"/>
      <c r="T221" s="516"/>
      <c r="U221" s="516"/>
      <c r="V221" s="516"/>
      <c r="W221" s="516"/>
      <c r="X221" s="24"/>
      <c r="Y221" s="24"/>
      <c r="Z221" s="24"/>
      <c r="AA221" s="24"/>
      <c r="AB221" s="24"/>
      <c r="AC221" s="24"/>
      <c r="AD221" s="24"/>
      <c r="AE221" s="24"/>
      <c r="AF221" s="24"/>
      <c r="AG221" s="24"/>
      <c r="AH221" s="24"/>
      <c r="AI221" s="24"/>
      <c r="AJ221" s="24"/>
      <c r="AK221" s="24"/>
      <c r="AL221" s="24"/>
      <c r="AM221" s="24"/>
      <c r="AN221" s="24"/>
      <c r="AO221" s="24"/>
    </row>
    <row r="222" spans="2:41">
      <c r="B222" s="24"/>
      <c r="C222" s="24"/>
      <c r="D222" s="24"/>
      <c r="E222" s="24"/>
      <c r="F222" s="24"/>
      <c r="G222" s="25"/>
      <c r="H222" s="24"/>
      <c r="I222" s="25"/>
      <c r="J222" s="25"/>
      <c r="K222" s="25"/>
      <c r="L222" s="24"/>
      <c r="M222" s="24"/>
      <c r="N222" s="24"/>
      <c r="O222" s="516"/>
      <c r="P222" s="516"/>
      <c r="Q222" s="516"/>
      <c r="R222" s="516"/>
      <c r="S222" s="516"/>
      <c r="T222" s="516"/>
      <c r="U222" s="515"/>
      <c r="V222" s="515"/>
      <c r="W222" s="515"/>
      <c r="X222" s="24"/>
      <c r="Y222" s="24"/>
      <c r="Z222" s="24"/>
      <c r="AA222" s="24"/>
      <c r="AB222" s="24"/>
      <c r="AC222" s="24"/>
      <c r="AD222" s="24"/>
      <c r="AE222" s="24"/>
      <c r="AF222" s="24"/>
      <c r="AG222" s="24"/>
      <c r="AH222" s="24"/>
      <c r="AI222" s="24"/>
      <c r="AJ222" s="24"/>
      <c r="AK222" s="24"/>
      <c r="AL222" s="24"/>
      <c r="AM222" s="24"/>
      <c r="AN222" s="24"/>
      <c r="AO222" s="24"/>
    </row>
    <row r="223" spans="2:41">
      <c r="B223" s="24"/>
      <c r="C223" s="24"/>
      <c r="D223" s="24"/>
      <c r="E223" s="24"/>
      <c r="F223" s="24"/>
      <c r="G223" s="26"/>
      <c r="H223" s="24"/>
      <c r="I223" s="26"/>
      <c r="J223" s="26"/>
      <c r="K223" s="26"/>
      <c r="L223" s="24"/>
      <c r="M223" s="24"/>
      <c r="N223" s="24"/>
      <c r="O223" s="516"/>
      <c r="P223" s="516"/>
      <c r="Q223" s="516"/>
      <c r="R223" s="516"/>
      <c r="S223" s="516"/>
      <c r="T223" s="516"/>
      <c r="U223" s="515"/>
      <c r="V223" s="515"/>
      <c r="W223" s="515"/>
      <c r="X223" s="24"/>
      <c r="Y223" s="24"/>
      <c r="Z223" s="24"/>
      <c r="AA223" s="24"/>
      <c r="AB223" s="24"/>
      <c r="AC223" s="24"/>
      <c r="AD223" s="24"/>
      <c r="AE223" s="24"/>
      <c r="AF223" s="24"/>
      <c r="AG223" s="24"/>
      <c r="AH223" s="24"/>
      <c r="AI223" s="24"/>
      <c r="AJ223" s="24"/>
      <c r="AK223" s="24"/>
      <c r="AL223" s="24"/>
      <c r="AM223" s="24"/>
      <c r="AN223" s="24"/>
      <c r="AO223" s="24"/>
    </row>
    <row r="224" spans="2:41">
      <c r="B224" s="24"/>
      <c r="C224" s="24"/>
      <c r="D224" s="24"/>
      <c r="E224" s="24"/>
      <c r="F224" s="24"/>
      <c r="G224" s="26"/>
      <c r="H224" s="24"/>
      <c r="I224" s="26"/>
      <c r="J224" s="26"/>
      <c r="K224" s="26"/>
      <c r="L224" s="24"/>
      <c r="M224" s="24"/>
      <c r="N224" s="24"/>
      <c r="O224" s="516"/>
      <c r="P224" s="516"/>
      <c r="Q224" s="516"/>
      <c r="R224" s="516"/>
      <c r="S224" s="516"/>
      <c r="T224" s="516"/>
      <c r="U224" s="515"/>
      <c r="V224" s="515"/>
      <c r="W224" s="515"/>
      <c r="X224" s="24"/>
      <c r="Y224" s="24"/>
      <c r="Z224" s="24"/>
      <c r="AA224" s="24"/>
      <c r="AB224" s="24"/>
      <c r="AC224" s="24"/>
      <c r="AD224" s="24"/>
      <c r="AE224" s="24"/>
      <c r="AF224" s="24"/>
      <c r="AG224" s="24"/>
      <c r="AH224" s="24"/>
      <c r="AI224" s="24"/>
      <c r="AJ224" s="24"/>
      <c r="AK224" s="24"/>
      <c r="AL224" s="24"/>
      <c r="AM224" s="24"/>
      <c r="AN224" s="24"/>
      <c r="AO224" s="24"/>
    </row>
    <row r="225" spans="2:41">
      <c r="B225" s="24"/>
      <c r="C225" s="24"/>
      <c r="D225" s="24"/>
      <c r="E225" s="24"/>
      <c r="F225" s="24"/>
      <c r="G225" s="26"/>
      <c r="H225" s="24"/>
      <c r="I225" s="26"/>
      <c r="J225" s="26"/>
      <c r="K225" s="26"/>
      <c r="L225" s="24"/>
      <c r="M225" s="24"/>
      <c r="N225" s="24"/>
      <c r="O225" s="516"/>
      <c r="P225" s="516"/>
      <c r="Q225" s="516"/>
      <c r="R225" s="516"/>
      <c r="S225" s="516"/>
      <c r="T225" s="516"/>
      <c r="U225" s="515"/>
      <c r="V225" s="515"/>
      <c r="W225" s="515"/>
      <c r="X225" s="24"/>
      <c r="Y225" s="24"/>
      <c r="Z225" s="24"/>
      <c r="AA225" s="24"/>
      <c r="AB225" s="24"/>
      <c r="AC225" s="24"/>
      <c r="AD225" s="24"/>
      <c r="AE225" s="24"/>
      <c r="AF225" s="24"/>
      <c r="AG225" s="24"/>
      <c r="AH225" s="24"/>
      <c r="AI225" s="24"/>
      <c r="AJ225" s="24"/>
      <c r="AK225" s="24"/>
      <c r="AL225" s="24"/>
      <c r="AM225" s="24"/>
      <c r="AN225" s="24"/>
      <c r="AO225" s="24"/>
    </row>
    <row r="226" spans="2:41">
      <c r="B226" s="24"/>
      <c r="C226" s="24"/>
      <c r="D226" s="24"/>
      <c r="E226" s="24"/>
      <c r="F226" s="24"/>
      <c r="G226" s="25"/>
      <c r="H226" s="24"/>
      <c r="I226" s="25"/>
      <c r="J226" s="25"/>
      <c r="K226" s="25"/>
      <c r="L226" s="24"/>
      <c r="M226" s="24"/>
      <c r="N226" s="24"/>
      <c r="O226" s="516"/>
      <c r="P226" s="516"/>
      <c r="Q226" s="516"/>
      <c r="R226" s="516"/>
      <c r="S226" s="516"/>
      <c r="T226" s="516"/>
      <c r="U226" s="516"/>
      <c r="V226" s="516"/>
      <c r="W226" s="516"/>
      <c r="X226" s="24"/>
      <c r="Y226" s="24"/>
      <c r="Z226" s="24"/>
      <c r="AA226" s="24"/>
      <c r="AB226" s="24"/>
      <c r="AC226" s="24"/>
      <c r="AD226" s="24"/>
      <c r="AE226" s="24"/>
      <c r="AF226" s="24"/>
      <c r="AG226" s="24"/>
      <c r="AH226" s="24"/>
      <c r="AI226" s="24"/>
      <c r="AJ226" s="24"/>
      <c r="AK226" s="24"/>
      <c r="AL226" s="24"/>
      <c r="AM226" s="24"/>
      <c r="AN226" s="24"/>
      <c r="AO226" s="24"/>
    </row>
    <row r="227" spans="2:41">
      <c r="B227" s="24"/>
      <c r="C227" s="24"/>
      <c r="D227" s="24"/>
      <c r="E227" s="24"/>
      <c r="F227" s="24"/>
      <c r="G227" s="24"/>
      <c r="H227" s="24"/>
      <c r="J227" s="24"/>
      <c r="K227" s="24"/>
      <c r="L227" s="24"/>
      <c r="M227" s="24"/>
      <c r="N227" s="24"/>
      <c r="O227" s="516"/>
      <c r="P227" s="516"/>
      <c r="Q227" s="516"/>
      <c r="R227" s="516"/>
      <c r="S227" s="516"/>
      <c r="T227" s="516"/>
      <c r="U227" s="516"/>
      <c r="V227" s="516"/>
      <c r="W227" s="516"/>
      <c r="X227" s="24"/>
      <c r="Y227" s="24"/>
      <c r="Z227" s="24"/>
      <c r="AA227" s="24"/>
      <c r="AB227" s="24"/>
      <c r="AC227" s="24"/>
      <c r="AD227" s="24"/>
      <c r="AE227" s="24"/>
      <c r="AF227" s="24"/>
      <c r="AG227" s="24"/>
      <c r="AH227" s="24"/>
      <c r="AI227" s="24"/>
      <c r="AJ227" s="24"/>
      <c r="AK227" s="24"/>
      <c r="AL227" s="24"/>
      <c r="AM227" s="24"/>
      <c r="AN227" s="24"/>
      <c r="AO227" s="24"/>
    </row>
    <row r="228" spans="2:41">
      <c r="B228" s="24"/>
      <c r="C228" s="24"/>
      <c r="D228" s="24"/>
      <c r="E228" s="24"/>
      <c r="F228" s="24"/>
      <c r="G228" s="24"/>
      <c r="H228" s="24"/>
      <c r="J228" s="24"/>
      <c r="K228" s="24"/>
      <c r="L228" s="24"/>
      <c r="M228" s="24"/>
      <c r="N228" s="24"/>
      <c r="O228" s="516"/>
      <c r="P228" s="516"/>
      <c r="Q228" s="516"/>
      <c r="R228" s="516"/>
      <c r="S228" s="516"/>
      <c r="T228" s="516"/>
      <c r="U228" s="516"/>
      <c r="V228" s="516"/>
      <c r="W228" s="516"/>
      <c r="X228" s="24"/>
      <c r="Y228" s="24"/>
      <c r="Z228" s="24"/>
      <c r="AA228" s="24"/>
      <c r="AB228" s="24"/>
      <c r="AC228" s="24"/>
      <c r="AD228" s="24"/>
      <c r="AE228" s="24"/>
      <c r="AF228" s="24"/>
      <c r="AG228" s="24"/>
      <c r="AH228" s="24"/>
      <c r="AI228" s="24"/>
      <c r="AJ228" s="24"/>
      <c r="AK228" s="24"/>
      <c r="AL228" s="24"/>
      <c r="AM228" s="24"/>
      <c r="AN228" s="24"/>
      <c r="AO228" s="24"/>
    </row>
    <row r="229" spans="2:41">
      <c r="B229" s="24"/>
      <c r="C229" s="24"/>
      <c r="D229" s="24"/>
      <c r="E229" s="24"/>
      <c r="F229" s="24"/>
      <c r="G229" s="24"/>
      <c r="H229" s="24"/>
      <c r="J229" s="24"/>
      <c r="K229" s="24"/>
      <c r="L229" s="24"/>
      <c r="M229" s="24"/>
      <c r="N229" s="24"/>
      <c r="O229" s="516"/>
      <c r="P229" s="516"/>
      <c r="Q229" s="516"/>
      <c r="R229" s="516"/>
      <c r="S229" s="516"/>
      <c r="T229" s="516"/>
      <c r="U229" s="516"/>
      <c r="V229" s="516"/>
      <c r="W229" s="516"/>
      <c r="X229" s="24"/>
      <c r="Y229" s="24"/>
      <c r="Z229" s="24"/>
      <c r="AA229" s="24"/>
      <c r="AB229" s="24"/>
      <c r="AC229" s="24"/>
      <c r="AD229" s="24"/>
      <c r="AE229" s="24"/>
      <c r="AF229" s="24"/>
      <c r="AG229" s="24"/>
      <c r="AH229" s="24"/>
      <c r="AI229" s="24"/>
      <c r="AJ229" s="24"/>
      <c r="AK229" s="24"/>
      <c r="AL229" s="24"/>
      <c r="AM229" s="24"/>
      <c r="AN229" s="24"/>
      <c r="AO229" s="24"/>
    </row>
    <row r="230" spans="2:41">
      <c r="B230" s="24"/>
      <c r="C230" s="24"/>
      <c r="D230" s="24"/>
      <c r="E230" s="24"/>
      <c r="F230" s="24"/>
      <c r="G230" s="25"/>
      <c r="H230" s="24"/>
      <c r="I230" s="25"/>
      <c r="J230" s="25"/>
      <c r="K230" s="25"/>
      <c r="L230" s="24"/>
      <c r="M230" s="24"/>
      <c r="N230" s="24"/>
      <c r="O230" s="516"/>
      <c r="P230" s="516"/>
      <c r="Q230" s="516"/>
      <c r="R230" s="516"/>
      <c r="S230" s="516"/>
      <c r="T230" s="516"/>
      <c r="U230" s="515"/>
      <c r="V230" s="515"/>
      <c r="W230" s="515"/>
      <c r="X230" s="24"/>
      <c r="Y230" s="24"/>
      <c r="Z230" s="24"/>
      <c r="AA230" s="24"/>
      <c r="AB230" s="24"/>
      <c r="AC230" s="24"/>
      <c r="AD230" s="24"/>
      <c r="AE230" s="24"/>
      <c r="AF230" s="24"/>
      <c r="AG230" s="24"/>
      <c r="AH230" s="24"/>
      <c r="AI230" s="24"/>
      <c r="AJ230" s="24"/>
      <c r="AK230" s="24"/>
      <c r="AL230" s="24"/>
      <c r="AM230" s="24"/>
      <c r="AN230" s="24"/>
      <c r="AO230" s="24"/>
    </row>
    <row r="231" spans="2:41">
      <c r="B231" s="24"/>
      <c r="C231" s="24"/>
      <c r="D231" s="24"/>
      <c r="E231" s="24"/>
      <c r="F231" s="24"/>
      <c r="G231" s="26"/>
      <c r="H231" s="24"/>
      <c r="I231" s="26"/>
      <c r="J231" s="26"/>
      <c r="K231" s="26"/>
      <c r="L231" s="24"/>
      <c r="M231" s="24"/>
      <c r="N231" s="24"/>
      <c r="O231" s="516"/>
      <c r="P231" s="516"/>
      <c r="Q231" s="516"/>
      <c r="R231" s="516"/>
      <c r="S231" s="516"/>
      <c r="T231" s="516"/>
      <c r="U231" s="515"/>
      <c r="V231" s="515"/>
      <c r="W231" s="515"/>
      <c r="X231" s="24"/>
      <c r="Y231" s="24"/>
      <c r="Z231" s="24"/>
      <c r="AA231" s="24"/>
      <c r="AB231" s="24"/>
      <c r="AC231" s="24"/>
      <c r="AD231" s="24"/>
      <c r="AE231" s="24"/>
      <c r="AF231" s="24"/>
      <c r="AG231" s="24"/>
      <c r="AH231" s="24"/>
      <c r="AI231" s="24"/>
      <c r="AJ231" s="24"/>
      <c r="AK231" s="24"/>
      <c r="AL231" s="24"/>
      <c r="AM231" s="24"/>
      <c r="AN231" s="24"/>
      <c r="AO231" s="24"/>
    </row>
    <row r="232" spans="2:41">
      <c r="B232" s="24"/>
      <c r="C232" s="24"/>
      <c r="D232" s="24"/>
      <c r="E232" s="24"/>
      <c r="F232" s="24"/>
      <c r="G232" s="26"/>
      <c r="H232" s="24"/>
      <c r="I232" s="26"/>
      <c r="J232" s="26"/>
      <c r="K232" s="26"/>
      <c r="L232" s="24"/>
      <c r="M232" s="24"/>
      <c r="N232" s="24"/>
      <c r="O232" s="516"/>
      <c r="P232" s="516"/>
      <c r="Q232" s="516"/>
      <c r="R232" s="516"/>
      <c r="S232" s="516"/>
      <c r="T232" s="516"/>
      <c r="U232" s="515"/>
      <c r="V232" s="515"/>
      <c r="W232" s="515"/>
      <c r="X232" s="24"/>
      <c r="Y232" s="24"/>
      <c r="Z232" s="24"/>
      <c r="AA232" s="24"/>
      <c r="AB232" s="24"/>
      <c r="AC232" s="24"/>
      <c r="AD232" s="24"/>
      <c r="AE232" s="24"/>
      <c r="AF232" s="24"/>
      <c r="AG232" s="24"/>
      <c r="AH232" s="24"/>
      <c r="AI232" s="24"/>
      <c r="AJ232" s="24"/>
      <c r="AK232" s="24"/>
      <c r="AL232" s="24"/>
      <c r="AM232" s="24"/>
      <c r="AN232" s="24"/>
      <c r="AO232" s="24"/>
    </row>
    <row r="233" spans="2:41">
      <c r="B233" s="24"/>
      <c r="C233" s="24"/>
      <c r="D233" s="24"/>
      <c r="E233" s="24"/>
      <c r="F233" s="24"/>
      <c r="G233" s="24"/>
      <c r="H233" s="24"/>
      <c r="J233" s="24"/>
      <c r="K233" s="24"/>
      <c r="L233" s="24"/>
      <c r="M233" s="24"/>
      <c r="N233" s="24"/>
      <c r="O233" s="516"/>
      <c r="P233" s="516"/>
      <c r="Q233" s="516"/>
      <c r="R233" s="516"/>
      <c r="S233" s="516"/>
      <c r="T233" s="516"/>
      <c r="U233" s="516"/>
      <c r="V233" s="516"/>
      <c r="W233" s="516"/>
      <c r="X233" s="24"/>
      <c r="Y233" s="24"/>
      <c r="Z233" s="24"/>
      <c r="AA233" s="24"/>
      <c r="AB233" s="24"/>
      <c r="AC233" s="24"/>
      <c r="AD233" s="24"/>
      <c r="AE233" s="24"/>
      <c r="AF233" s="24"/>
      <c r="AG233" s="24"/>
      <c r="AH233" s="24"/>
      <c r="AI233" s="24"/>
      <c r="AJ233" s="24"/>
      <c r="AK233" s="24"/>
      <c r="AL233" s="24"/>
      <c r="AM233" s="24"/>
      <c r="AN233" s="24"/>
      <c r="AO233" s="24"/>
    </row>
    <row r="234" spans="2:41">
      <c r="B234" s="24"/>
      <c r="C234" s="24"/>
      <c r="D234" s="24"/>
      <c r="E234" s="24"/>
      <c r="F234" s="24"/>
      <c r="G234" s="24"/>
      <c r="H234" s="24"/>
      <c r="J234" s="24"/>
      <c r="K234" s="24"/>
      <c r="L234" s="24"/>
      <c r="M234" s="24"/>
      <c r="N234" s="24"/>
      <c r="O234" s="516"/>
      <c r="P234" s="516"/>
      <c r="Q234" s="516"/>
      <c r="R234" s="516"/>
      <c r="S234" s="516"/>
      <c r="T234" s="516"/>
      <c r="U234" s="516"/>
      <c r="V234" s="516"/>
      <c r="W234" s="516"/>
      <c r="X234" s="24"/>
      <c r="Y234" s="24"/>
      <c r="Z234" s="24"/>
      <c r="AA234" s="24"/>
      <c r="AB234" s="24"/>
      <c r="AC234" s="24"/>
      <c r="AD234" s="24"/>
      <c r="AE234" s="24"/>
      <c r="AF234" s="24"/>
      <c r="AG234" s="24"/>
      <c r="AH234" s="24"/>
      <c r="AI234" s="24"/>
      <c r="AJ234" s="24"/>
      <c r="AK234" s="24"/>
      <c r="AL234" s="24"/>
      <c r="AM234" s="24"/>
      <c r="AN234" s="24"/>
      <c r="AO234" s="24"/>
    </row>
    <row r="235" spans="2:41">
      <c r="B235" s="24"/>
      <c r="C235" s="24"/>
      <c r="D235" s="24"/>
      <c r="E235" s="24"/>
      <c r="F235" s="24"/>
      <c r="G235" s="24"/>
      <c r="H235" s="24"/>
      <c r="J235" s="24"/>
      <c r="K235" s="24"/>
      <c r="L235" s="24"/>
      <c r="M235" s="24"/>
      <c r="N235" s="24"/>
      <c r="O235" s="516"/>
      <c r="P235" s="516"/>
      <c r="Q235" s="516"/>
      <c r="R235" s="516"/>
      <c r="S235" s="516"/>
      <c r="T235" s="516"/>
      <c r="U235" s="516"/>
      <c r="V235" s="516"/>
      <c r="W235" s="516"/>
      <c r="X235" s="24"/>
      <c r="Y235" s="24"/>
      <c r="Z235" s="24"/>
      <c r="AA235" s="24"/>
      <c r="AB235" s="24"/>
      <c r="AC235" s="24"/>
      <c r="AD235" s="24"/>
      <c r="AE235" s="24"/>
      <c r="AF235" s="24"/>
      <c r="AG235" s="24"/>
      <c r="AH235" s="24"/>
      <c r="AI235" s="24"/>
      <c r="AJ235" s="24"/>
      <c r="AK235" s="24"/>
      <c r="AL235" s="24"/>
      <c r="AM235" s="24"/>
      <c r="AN235" s="24"/>
      <c r="AO235" s="24"/>
    </row>
    <row r="236" spans="2:41">
      <c r="B236" s="24"/>
      <c r="C236" s="24"/>
      <c r="D236" s="24"/>
      <c r="E236" s="24"/>
      <c r="F236" s="24"/>
      <c r="G236" s="24"/>
      <c r="H236" s="24"/>
      <c r="J236" s="24"/>
      <c r="K236" s="24"/>
      <c r="L236" s="24"/>
      <c r="M236" s="24"/>
      <c r="N236" s="24"/>
      <c r="O236" s="516"/>
      <c r="P236" s="516"/>
      <c r="Q236" s="516"/>
      <c r="R236" s="516"/>
      <c r="S236" s="516"/>
      <c r="T236" s="516"/>
      <c r="U236" s="516"/>
      <c r="V236" s="516"/>
      <c r="W236" s="516"/>
      <c r="X236" s="24"/>
      <c r="Y236" s="24"/>
      <c r="Z236" s="24"/>
      <c r="AA236" s="24"/>
      <c r="AB236" s="24"/>
      <c r="AC236" s="24"/>
      <c r="AD236" s="24"/>
      <c r="AE236" s="24"/>
      <c r="AF236" s="24"/>
      <c r="AG236" s="24"/>
      <c r="AH236" s="24"/>
      <c r="AI236" s="24"/>
      <c r="AJ236" s="24"/>
      <c r="AK236" s="24"/>
      <c r="AL236" s="24"/>
      <c r="AM236" s="24"/>
      <c r="AN236" s="24"/>
      <c r="AO236" s="24"/>
    </row>
    <row r="237" spans="2:41">
      <c r="B237" s="24"/>
      <c r="C237" s="24"/>
      <c r="D237" s="24"/>
      <c r="E237" s="24"/>
      <c r="F237" s="24"/>
      <c r="G237" s="24"/>
      <c r="H237" s="24"/>
      <c r="J237" s="24"/>
      <c r="K237" s="24"/>
      <c r="L237" s="24"/>
      <c r="M237" s="24"/>
      <c r="N237" s="24"/>
      <c r="O237" s="516"/>
      <c r="P237" s="516"/>
      <c r="Q237" s="516"/>
      <c r="R237" s="516"/>
      <c r="S237" s="516"/>
      <c r="T237" s="516"/>
      <c r="U237" s="516"/>
      <c r="V237" s="516"/>
      <c r="W237" s="516"/>
      <c r="X237" s="24"/>
      <c r="Y237" s="24"/>
      <c r="Z237" s="24"/>
      <c r="AA237" s="24"/>
      <c r="AB237" s="24"/>
      <c r="AC237" s="24"/>
      <c r="AD237" s="24"/>
      <c r="AE237" s="24"/>
      <c r="AF237" s="24"/>
      <c r="AG237" s="24"/>
      <c r="AH237" s="24"/>
      <c r="AI237" s="24"/>
      <c r="AJ237" s="24"/>
      <c r="AK237" s="24"/>
      <c r="AL237" s="24"/>
      <c r="AM237" s="24"/>
      <c r="AN237" s="24"/>
      <c r="AO237" s="24"/>
    </row>
    <row r="238" spans="2:41">
      <c r="B238" s="24"/>
      <c r="C238" s="24"/>
      <c r="D238" s="24"/>
      <c r="E238" s="24"/>
      <c r="F238" s="24"/>
      <c r="G238" s="24"/>
      <c r="H238" s="24"/>
      <c r="J238" s="24"/>
      <c r="K238" s="24"/>
      <c r="L238" s="24"/>
      <c r="M238" s="24"/>
      <c r="N238" s="24"/>
      <c r="O238" s="516"/>
      <c r="P238" s="516"/>
      <c r="Q238" s="516"/>
      <c r="R238" s="516"/>
      <c r="S238" s="516"/>
      <c r="T238" s="516"/>
      <c r="U238" s="516"/>
      <c r="V238" s="516"/>
      <c r="W238" s="516"/>
      <c r="X238" s="24"/>
      <c r="Y238" s="24"/>
      <c r="Z238" s="24"/>
      <c r="AA238" s="24"/>
      <c r="AB238" s="24"/>
      <c r="AC238" s="24"/>
      <c r="AD238" s="24"/>
      <c r="AE238" s="24"/>
      <c r="AF238" s="24"/>
      <c r="AG238" s="24"/>
      <c r="AH238" s="24"/>
      <c r="AI238" s="24"/>
      <c r="AJ238" s="24"/>
      <c r="AK238" s="24"/>
      <c r="AL238" s="24"/>
      <c r="AM238" s="24"/>
      <c r="AN238" s="24"/>
      <c r="AO238" s="24"/>
    </row>
    <row r="239" spans="2:41">
      <c r="B239" s="24"/>
      <c r="C239" s="24"/>
      <c r="D239" s="24"/>
      <c r="E239" s="24"/>
      <c r="F239" s="24"/>
      <c r="G239" s="24"/>
      <c r="H239" s="24"/>
      <c r="J239" s="24"/>
      <c r="K239" s="24"/>
      <c r="L239" s="24"/>
      <c r="M239" s="24"/>
      <c r="N239" s="24"/>
      <c r="O239" s="516"/>
      <c r="P239" s="516"/>
      <c r="Q239" s="516"/>
      <c r="R239" s="516"/>
      <c r="S239" s="516"/>
      <c r="T239" s="516"/>
      <c r="U239" s="516"/>
      <c r="V239" s="516"/>
      <c r="W239" s="516"/>
      <c r="X239" s="24"/>
      <c r="Y239" s="24"/>
      <c r="Z239" s="24"/>
      <c r="AA239" s="24"/>
      <c r="AB239" s="24"/>
      <c r="AC239" s="24"/>
      <c r="AD239" s="24"/>
      <c r="AE239" s="24"/>
      <c r="AF239" s="24"/>
      <c r="AG239" s="24"/>
      <c r="AH239" s="24"/>
      <c r="AI239" s="24"/>
      <c r="AJ239" s="24"/>
      <c r="AK239" s="24"/>
      <c r="AL239" s="24"/>
      <c r="AM239" s="24"/>
      <c r="AN239" s="24"/>
      <c r="AO239" s="24"/>
    </row>
    <row r="240" spans="2:41">
      <c r="B240" s="24"/>
      <c r="C240" s="24"/>
      <c r="D240" s="24"/>
      <c r="E240" s="24"/>
      <c r="F240" s="24"/>
      <c r="G240" s="24"/>
      <c r="H240" s="24"/>
      <c r="J240" s="24"/>
      <c r="K240" s="24"/>
      <c r="L240" s="24"/>
      <c r="M240" s="24"/>
      <c r="N240" s="24"/>
      <c r="O240" s="516"/>
      <c r="P240" s="516"/>
      <c r="Q240" s="516"/>
      <c r="R240" s="516"/>
      <c r="S240" s="516"/>
      <c r="T240" s="516"/>
      <c r="U240" s="516"/>
      <c r="V240" s="516"/>
      <c r="W240" s="516"/>
      <c r="X240" s="24"/>
      <c r="Y240" s="24"/>
      <c r="Z240" s="24"/>
      <c r="AA240" s="24"/>
      <c r="AB240" s="24"/>
      <c r="AC240" s="24"/>
      <c r="AD240" s="24"/>
      <c r="AE240" s="24"/>
      <c r="AF240" s="24"/>
      <c r="AG240" s="24"/>
      <c r="AH240" s="24"/>
      <c r="AI240" s="24"/>
      <c r="AJ240" s="24"/>
      <c r="AK240" s="24"/>
      <c r="AL240" s="24"/>
      <c r="AM240" s="24"/>
      <c r="AN240" s="24"/>
      <c r="AO240" s="24"/>
    </row>
    <row r="241" spans="2:41">
      <c r="B241" s="24"/>
      <c r="C241" s="24"/>
      <c r="D241" s="24"/>
      <c r="E241" s="24"/>
      <c r="F241" s="24"/>
      <c r="G241" s="24"/>
      <c r="H241" s="24"/>
      <c r="J241" s="24"/>
      <c r="K241" s="24"/>
      <c r="L241" s="24"/>
      <c r="M241" s="24"/>
      <c r="N241" s="24"/>
      <c r="O241" s="516"/>
      <c r="P241" s="516"/>
      <c r="Q241" s="516"/>
      <c r="R241" s="516"/>
      <c r="S241" s="516"/>
      <c r="T241" s="516"/>
      <c r="U241" s="516"/>
      <c r="V241" s="516"/>
      <c r="W241" s="516"/>
      <c r="X241" s="24"/>
      <c r="Y241" s="24"/>
      <c r="Z241" s="24"/>
      <c r="AA241" s="24"/>
      <c r="AB241" s="24"/>
      <c r="AC241" s="24"/>
      <c r="AD241" s="24"/>
      <c r="AE241" s="24"/>
      <c r="AF241" s="24"/>
      <c r="AG241" s="24"/>
      <c r="AH241" s="24"/>
      <c r="AI241" s="24"/>
      <c r="AJ241" s="24"/>
      <c r="AK241" s="24"/>
      <c r="AL241" s="24"/>
      <c r="AM241" s="24"/>
      <c r="AN241" s="24"/>
      <c r="AO241" s="24"/>
    </row>
    <row r="242" spans="2:41">
      <c r="B242" s="24"/>
      <c r="C242" s="24"/>
      <c r="D242" s="24"/>
      <c r="E242" s="24"/>
      <c r="F242" s="24"/>
      <c r="G242" s="24"/>
      <c r="H242" s="24"/>
      <c r="J242" s="24"/>
      <c r="K242" s="24"/>
      <c r="L242" s="24"/>
      <c r="M242" s="24"/>
      <c r="N242" s="24"/>
      <c r="O242" s="516"/>
      <c r="P242" s="516"/>
      <c r="Q242" s="516"/>
      <c r="R242" s="516"/>
      <c r="S242" s="516"/>
      <c r="T242" s="516"/>
      <c r="U242" s="516"/>
      <c r="V242" s="516"/>
      <c r="W242" s="516"/>
      <c r="X242" s="24"/>
      <c r="Y242" s="24"/>
      <c r="Z242" s="24"/>
      <c r="AA242" s="24"/>
      <c r="AB242" s="24"/>
      <c r="AC242" s="24"/>
      <c r="AD242" s="24"/>
      <c r="AE242" s="24"/>
      <c r="AF242" s="24"/>
      <c r="AG242" s="24"/>
      <c r="AH242" s="24"/>
      <c r="AI242" s="24"/>
      <c r="AJ242" s="24"/>
      <c r="AK242" s="24"/>
      <c r="AL242" s="24"/>
      <c r="AM242" s="24"/>
      <c r="AN242" s="24"/>
      <c r="AO242" s="24"/>
    </row>
    <row r="243" spans="2:41">
      <c r="B243" s="24"/>
      <c r="C243" s="24"/>
      <c r="D243" s="24"/>
      <c r="E243" s="24"/>
      <c r="F243" s="24"/>
      <c r="G243" s="24"/>
      <c r="H243" s="24"/>
      <c r="J243" s="24"/>
      <c r="K243" s="24"/>
      <c r="L243" s="24"/>
      <c r="M243" s="24"/>
      <c r="N243" s="24"/>
      <c r="O243" s="516"/>
      <c r="P243" s="516"/>
      <c r="Q243" s="516"/>
      <c r="R243" s="516"/>
      <c r="S243" s="516"/>
      <c r="T243" s="516"/>
      <c r="U243" s="516"/>
      <c r="V243" s="516"/>
      <c r="W243" s="516"/>
      <c r="X243" s="24"/>
      <c r="Y243" s="24"/>
      <c r="Z243" s="24"/>
      <c r="AA243" s="24"/>
      <c r="AB243" s="24"/>
      <c r="AC243" s="24"/>
      <c r="AD243" s="24"/>
      <c r="AE243" s="24"/>
      <c r="AF243" s="24"/>
      <c r="AG243" s="24"/>
      <c r="AH243" s="24"/>
      <c r="AI243" s="24"/>
      <c r="AJ243" s="24"/>
      <c r="AK243" s="24"/>
      <c r="AL243" s="24"/>
      <c r="AM243" s="24"/>
      <c r="AN243" s="24"/>
      <c r="AO243" s="24"/>
    </row>
    <row r="244" spans="2:41">
      <c r="B244" s="24"/>
      <c r="C244" s="24"/>
      <c r="D244" s="24"/>
      <c r="E244" s="24"/>
      <c r="F244" s="24"/>
      <c r="G244" s="24"/>
      <c r="H244" s="24"/>
      <c r="J244" s="24"/>
      <c r="K244" s="24"/>
      <c r="L244" s="24"/>
      <c r="M244" s="24"/>
      <c r="N244" s="24"/>
      <c r="O244" s="516"/>
      <c r="P244" s="516"/>
      <c r="Q244" s="516"/>
      <c r="R244" s="516"/>
      <c r="S244" s="516"/>
      <c r="T244" s="516"/>
      <c r="U244" s="516"/>
      <c r="V244" s="516"/>
      <c r="W244" s="516"/>
      <c r="X244" s="24"/>
      <c r="Y244" s="24"/>
      <c r="Z244" s="24"/>
      <c r="AA244" s="24"/>
      <c r="AB244" s="24"/>
      <c r="AC244" s="24"/>
      <c r="AD244" s="24"/>
      <c r="AE244" s="24"/>
      <c r="AF244" s="24"/>
      <c r="AG244" s="24"/>
      <c r="AH244" s="24"/>
      <c r="AI244" s="24"/>
      <c r="AJ244" s="24"/>
      <c r="AK244" s="24"/>
      <c r="AL244" s="24"/>
      <c r="AM244" s="24"/>
      <c r="AN244" s="24"/>
      <c r="AO244" s="24"/>
    </row>
    <row r="245" spans="2:41">
      <c r="B245" s="24"/>
      <c r="C245" s="24"/>
      <c r="D245" s="24"/>
      <c r="E245" s="24"/>
      <c r="F245" s="24"/>
      <c r="G245" s="24"/>
      <c r="H245" s="24"/>
      <c r="J245" s="24"/>
      <c r="K245" s="24"/>
      <c r="L245" s="24"/>
      <c r="M245" s="24"/>
      <c r="N245" s="24"/>
      <c r="O245" s="516"/>
      <c r="P245" s="516"/>
      <c r="Q245" s="516"/>
      <c r="R245" s="516"/>
      <c r="S245" s="516"/>
      <c r="T245" s="516"/>
      <c r="U245" s="516"/>
      <c r="V245" s="516"/>
      <c r="W245" s="516"/>
      <c r="X245" s="24"/>
      <c r="Y245" s="24"/>
      <c r="Z245" s="24"/>
      <c r="AA245" s="24"/>
      <c r="AB245" s="24"/>
      <c r="AC245" s="24"/>
      <c r="AD245" s="24"/>
      <c r="AE245" s="24"/>
      <c r="AF245" s="24"/>
      <c r="AG245" s="24"/>
      <c r="AH245" s="24"/>
      <c r="AI245" s="24"/>
      <c r="AJ245" s="24"/>
      <c r="AK245" s="24"/>
      <c r="AL245" s="24"/>
      <c r="AM245" s="24"/>
      <c r="AN245" s="24"/>
      <c r="AO245" s="24"/>
    </row>
    <row r="246" spans="2:41">
      <c r="B246" s="24"/>
      <c r="C246" s="24"/>
      <c r="D246" s="24"/>
      <c r="E246" s="24"/>
      <c r="F246" s="24"/>
      <c r="G246" s="24"/>
      <c r="H246" s="24"/>
      <c r="J246" s="24"/>
      <c r="K246" s="24"/>
      <c r="L246" s="24"/>
      <c r="M246" s="24"/>
      <c r="N246" s="24"/>
      <c r="O246" s="516"/>
      <c r="P246" s="516"/>
      <c r="Q246" s="516"/>
      <c r="R246" s="516"/>
      <c r="S246" s="516"/>
      <c r="T246" s="516"/>
      <c r="U246" s="516"/>
      <c r="V246" s="516"/>
      <c r="W246" s="516"/>
      <c r="X246" s="24"/>
      <c r="Y246" s="24"/>
      <c r="Z246" s="24"/>
      <c r="AA246" s="24"/>
      <c r="AB246" s="24"/>
      <c r="AC246" s="24"/>
      <c r="AD246" s="24"/>
      <c r="AE246" s="24"/>
      <c r="AF246" s="24"/>
      <c r="AG246" s="24"/>
      <c r="AH246" s="24"/>
      <c r="AI246" s="24"/>
      <c r="AJ246" s="24"/>
      <c r="AK246" s="24"/>
      <c r="AL246" s="24"/>
      <c r="AM246" s="24"/>
      <c r="AN246" s="24"/>
      <c r="AO246" s="24"/>
    </row>
    <row r="247" spans="2:41">
      <c r="B247" s="24"/>
      <c r="C247" s="24"/>
      <c r="D247" s="24"/>
      <c r="E247" s="24"/>
      <c r="F247" s="24"/>
      <c r="G247" s="24"/>
      <c r="H247" s="24"/>
      <c r="J247" s="24"/>
      <c r="K247" s="24"/>
      <c r="L247" s="24"/>
      <c r="M247" s="24"/>
      <c r="N247" s="24"/>
      <c r="O247" s="516"/>
      <c r="P247" s="516"/>
      <c r="Q247" s="516"/>
      <c r="R247" s="516"/>
      <c r="S247" s="516"/>
      <c r="T247" s="516"/>
      <c r="U247" s="516"/>
      <c r="V247" s="516"/>
      <c r="W247" s="516"/>
      <c r="X247" s="24"/>
      <c r="Y247" s="24"/>
      <c r="Z247" s="24"/>
      <c r="AA247" s="24"/>
      <c r="AB247" s="24"/>
      <c r="AC247" s="24"/>
      <c r="AD247" s="24"/>
      <c r="AE247" s="24"/>
      <c r="AF247" s="24"/>
      <c r="AG247" s="24"/>
      <c r="AH247" s="24"/>
      <c r="AI247" s="24"/>
      <c r="AJ247" s="24"/>
      <c r="AK247" s="24"/>
      <c r="AL247" s="24"/>
      <c r="AM247" s="24"/>
      <c r="AN247" s="24"/>
      <c r="AO247" s="24"/>
    </row>
    <row r="248" spans="2:41">
      <c r="B248" s="24"/>
      <c r="C248" s="24"/>
      <c r="D248" s="24"/>
      <c r="E248" s="24"/>
      <c r="F248" s="24"/>
      <c r="G248" s="24"/>
      <c r="H248" s="24"/>
      <c r="J248" s="24"/>
      <c r="K248" s="24"/>
      <c r="L248" s="24"/>
      <c r="M248" s="24"/>
      <c r="N248" s="24"/>
      <c r="O248" s="516"/>
      <c r="P248" s="516"/>
      <c r="Q248" s="516"/>
      <c r="R248" s="516"/>
      <c r="S248" s="516"/>
      <c r="T248" s="516"/>
      <c r="U248" s="516"/>
      <c r="V248" s="516"/>
      <c r="W248" s="516"/>
      <c r="X248" s="24"/>
      <c r="Y248" s="24"/>
      <c r="Z248" s="24"/>
      <c r="AA248" s="24"/>
      <c r="AB248" s="24"/>
      <c r="AC248" s="24"/>
      <c r="AD248" s="24"/>
      <c r="AE248" s="24"/>
      <c r="AF248" s="24"/>
      <c r="AG248" s="24"/>
      <c r="AH248" s="24"/>
      <c r="AI248" s="24"/>
      <c r="AJ248" s="24"/>
      <c r="AK248" s="24"/>
      <c r="AL248" s="24"/>
      <c r="AM248" s="24"/>
      <c r="AN248" s="24"/>
      <c r="AO248" s="24"/>
    </row>
    <row r="249" spans="2:41">
      <c r="B249" s="24"/>
      <c r="C249" s="24"/>
      <c r="D249" s="24"/>
      <c r="E249" s="24"/>
      <c r="F249" s="24"/>
      <c r="G249" s="24"/>
      <c r="H249" s="24"/>
      <c r="J249" s="24"/>
      <c r="K249" s="24"/>
      <c r="L249" s="24"/>
      <c r="M249" s="24"/>
      <c r="N249" s="24"/>
      <c r="O249" s="516"/>
      <c r="P249" s="516"/>
      <c r="Q249" s="516"/>
      <c r="R249" s="516"/>
      <c r="S249" s="516"/>
      <c r="T249" s="516"/>
      <c r="U249" s="516"/>
      <c r="V249" s="516"/>
      <c r="W249" s="516"/>
      <c r="X249" s="24"/>
      <c r="Y249" s="24"/>
      <c r="Z249" s="24"/>
      <c r="AA249" s="24"/>
      <c r="AB249" s="24"/>
      <c r="AC249" s="24"/>
      <c r="AD249" s="24"/>
      <c r="AE249" s="24"/>
      <c r="AF249" s="24"/>
      <c r="AG249" s="24"/>
      <c r="AH249" s="24"/>
      <c r="AI249" s="24"/>
      <c r="AJ249" s="24"/>
      <c r="AK249" s="24"/>
      <c r="AL249" s="24"/>
      <c r="AM249" s="24"/>
      <c r="AN249" s="24"/>
      <c r="AO249" s="24"/>
    </row>
    <row r="250" spans="2:41">
      <c r="B250" s="24"/>
      <c r="C250" s="24"/>
      <c r="D250" s="24"/>
      <c r="E250" s="24"/>
      <c r="F250" s="24"/>
      <c r="G250" s="24"/>
      <c r="H250" s="24"/>
      <c r="J250" s="24"/>
      <c r="K250" s="24"/>
      <c r="L250" s="24"/>
      <c r="M250" s="24"/>
      <c r="N250" s="24"/>
      <c r="O250" s="516"/>
      <c r="P250" s="516"/>
      <c r="Q250" s="516"/>
      <c r="R250" s="516"/>
      <c r="S250" s="516"/>
      <c r="T250" s="516"/>
      <c r="U250" s="516"/>
      <c r="V250" s="516"/>
      <c r="W250" s="516"/>
      <c r="X250" s="24"/>
      <c r="Y250" s="24"/>
      <c r="Z250" s="24"/>
      <c r="AA250" s="24"/>
      <c r="AB250" s="24"/>
      <c r="AC250" s="24"/>
      <c r="AD250" s="24"/>
      <c r="AE250" s="24"/>
      <c r="AF250" s="24"/>
      <c r="AG250" s="24"/>
      <c r="AH250" s="24"/>
      <c r="AI250" s="24"/>
      <c r="AJ250" s="24"/>
      <c r="AK250" s="24"/>
      <c r="AL250" s="24"/>
      <c r="AM250" s="24"/>
      <c r="AN250" s="24"/>
      <c r="AO250" s="24"/>
    </row>
    <row r="251" spans="2:41">
      <c r="B251" s="24"/>
      <c r="C251" s="24"/>
      <c r="D251" s="24"/>
      <c r="E251" s="24"/>
      <c r="F251" s="24"/>
      <c r="G251" s="24"/>
      <c r="H251" s="24"/>
      <c r="J251" s="24"/>
      <c r="K251" s="24"/>
      <c r="L251" s="24"/>
      <c r="M251" s="24"/>
      <c r="N251" s="24"/>
      <c r="O251" s="516"/>
      <c r="P251" s="516"/>
      <c r="Q251" s="516"/>
      <c r="R251" s="516"/>
      <c r="S251" s="516"/>
      <c r="T251" s="516"/>
      <c r="U251" s="516"/>
      <c r="V251" s="516"/>
      <c r="W251" s="516"/>
      <c r="X251" s="24"/>
      <c r="Y251" s="24"/>
      <c r="Z251" s="24"/>
      <c r="AA251" s="24"/>
      <c r="AB251" s="24"/>
      <c r="AC251" s="24"/>
      <c r="AD251" s="24"/>
      <c r="AE251" s="24"/>
      <c r="AF251" s="24"/>
      <c r="AG251" s="24"/>
      <c r="AH251" s="24"/>
      <c r="AI251" s="24"/>
      <c r="AJ251" s="24"/>
      <c r="AK251" s="24"/>
      <c r="AL251" s="24"/>
      <c r="AM251" s="24"/>
      <c r="AN251" s="24"/>
      <c r="AO251" s="24"/>
    </row>
    <row r="252" spans="2:41">
      <c r="B252" s="24"/>
      <c r="C252" s="24"/>
      <c r="D252" s="24"/>
      <c r="E252" s="24"/>
      <c r="F252" s="24"/>
      <c r="G252" s="24"/>
      <c r="H252" s="24"/>
      <c r="J252" s="24"/>
      <c r="K252" s="24"/>
      <c r="L252" s="24"/>
      <c r="M252" s="24"/>
      <c r="N252" s="24"/>
      <c r="O252" s="516"/>
      <c r="P252" s="516"/>
      <c r="Q252" s="516"/>
      <c r="R252" s="516"/>
      <c r="S252" s="516"/>
      <c r="T252" s="516"/>
      <c r="U252" s="516"/>
      <c r="V252" s="516"/>
      <c r="W252" s="516"/>
      <c r="X252" s="24"/>
      <c r="Y252" s="24"/>
      <c r="Z252" s="24"/>
      <c r="AA252" s="24"/>
      <c r="AB252" s="24"/>
      <c r="AC252" s="24"/>
      <c r="AD252" s="24"/>
      <c r="AE252" s="24"/>
      <c r="AF252" s="24"/>
      <c r="AG252" s="24"/>
      <c r="AH252" s="24"/>
      <c r="AI252" s="24"/>
      <c r="AJ252" s="24"/>
      <c r="AK252" s="24"/>
      <c r="AL252" s="24"/>
      <c r="AM252" s="24"/>
      <c r="AN252" s="24"/>
      <c r="AO252" s="24"/>
    </row>
    <row r="253" spans="2:41">
      <c r="B253" s="24"/>
      <c r="C253" s="24"/>
      <c r="D253" s="24"/>
      <c r="E253" s="24"/>
      <c r="F253" s="24"/>
      <c r="G253" s="24"/>
      <c r="H253" s="24"/>
      <c r="J253" s="24"/>
      <c r="K253" s="24"/>
      <c r="L253" s="24"/>
      <c r="M253" s="24"/>
      <c r="N253" s="24"/>
      <c r="O253" s="516"/>
      <c r="P253" s="516"/>
      <c r="Q253" s="516"/>
      <c r="R253" s="516"/>
      <c r="S253" s="516"/>
      <c r="T253" s="516"/>
      <c r="U253" s="516"/>
      <c r="V253" s="516"/>
      <c r="W253" s="516"/>
      <c r="X253" s="24"/>
      <c r="Y253" s="24"/>
      <c r="Z253" s="24"/>
      <c r="AA253" s="24"/>
      <c r="AB253" s="24"/>
      <c r="AC253" s="24"/>
      <c r="AD253" s="24"/>
      <c r="AE253" s="24"/>
      <c r="AF253" s="24"/>
      <c r="AG253" s="24"/>
      <c r="AH253" s="24"/>
      <c r="AI253" s="24"/>
      <c r="AJ253" s="24"/>
      <c r="AK253" s="24"/>
      <c r="AL253" s="24"/>
      <c r="AM253" s="24"/>
      <c r="AN253" s="24"/>
      <c r="AO253" s="24"/>
    </row>
    <row r="254" spans="2:41">
      <c r="B254" s="24"/>
      <c r="C254" s="24"/>
      <c r="D254" s="24"/>
      <c r="E254" s="24"/>
      <c r="F254" s="24"/>
      <c r="G254" s="24"/>
      <c r="H254" s="24"/>
      <c r="J254" s="24"/>
      <c r="K254" s="24"/>
      <c r="L254" s="24"/>
      <c r="M254" s="24"/>
      <c r="N254" s="24"/>
      <c r="O254" s="516"/>
      <c r="P254" s="516"/>
      <c r="Q254" s="516"/>
      <c r="R254" s="516"/>
      <c r="S254" s="516"/>
      <c r="T254" s="516"/>
      <c r="U254" s="516"/>
      <c r="V254" s="516"/>
      <c r="W254" s="516"/>
      <c r="X254" s="24"/>
      <c r="Y254" s="24"/>
      <c r="Z254" s="24"/>
      <c r="AA254" s="24"/>
      <c r="AB254" s="24"/>
      <c r="AC254" s="24"/>
      <c r="AD254" s="24"/>
      <c r="AE254" s="24"/>
      <c r="AF254" s="24"/>
      <c r="AG254" s="24"/>
      <c r="AH254" s="24"/>
      <c r="AI254" s="24"/>
      <c r="AJ254" s="24"/>
      <c r="AK254" s="24"/>
      <c r="AL254" s="24"/>
      <c r="AM254" s="24"/>
      <c r="AN254" s="24"/>
      <c r="AO254" s="24"/>
    </row>
    <row r="255" spans="2:41">
      <c r="B255" s="24"/>
      <c r="C255" s="24"/>
      <c r="D255" s="24"/>
      <c r="E255" s="24"/>
      <c r="F255" s="24"/>
      <c r="G255" s="24"/>
      <c r="H255" s="24"/>
      <c r="J255" s="24"/>
      <c r="K255" s="24"/>
      <c r="L255" s="24"/>
      <c r="M255" s="24"/>
      <c r="N255" s="24"/>
      <c r="O255" s="516"/>
      <c r="P255" s="516"/>
      <c r="Q255" s="516"/>
      <c r="R255" s="516"/>
      <c r="S255" s="516"/>
      <c r="T255" s="516"/>
      <c r="U255" s="516"/>
      <c r="V255" s="516"/>
      <c r="W255" s="516"/>
      <c r="X255" s="24"/>
      <c r="Y255" s="24"/>
      <c r="Z255" s="24"/>
      <c r="AA255" s="24"/>
      <c r="AB255" s="24"/>
      <c r="AC255" s="24"/>
      <c r="AD255" s="24"/>
      <c r="AE255" s="24"/>
      <c r="AF255" s="24"/>
      <c r="AG255" s="24"/>
      <c r="AH255" s="24"/>
      <c r="AI255" s="24"/>
      <c r="AJ255" s="24"/>
      <c r="AK255" s="24"/>
      <c r="AL255" s="24"/>
      <c r="AM255" s="24"/>
      <c r="AN255" s="24"/>
      <c r="AO255" s="24"/>
    </row>
    <row r="256" spans="2:41">
      <c r="B256" s="24"/>
      <c r="C256" s="24"/>
      <c r="D256" s="24"/>
      <c r="E256" s="24"/>
      <c r="F256" s="24"/>
      <c r="G256" s="24"/>
      <c r="H256" s="24"/>
      <c r="J256" s="24"/>
      <c r="K256" s="24"/>
      <c r="L256" s="24"/>
      <c r="M256" s="24"/>
      <c r="N256" s="24"/>
      <c r="O256" s="516"/>
      <c r="P256" s="516"/>
      <c r="Q256" s="516"/>
      <c r="R256" s="516"/>
      <c r="S256" s="516"/>
      <c r="T256" s="516"/>
      <c r="U256" s="516"/>
      <c r="V256" s="516"/>
      <c r="W256" s="516"/>
      <c r="X256" s="24"/>
      <c r="Y256" s="24"/>
      <c r="Z256" s="24"/>
      <c r="AA256" s="24"/>
      <c r="AB256" s="24"/>
      <c r="AC256" s="24"/>
      <c r="AD256" s="24"/>
      <c r="AE256" s="24"/>
      <c r="AF256" s="24"/>
      <c r="AG256" s="24"/>
      <c r="AH256" s="24"/>
      <c r="AI256" s="24"/>
      <c r="AJ256" s="24"/>
      <c r="AK256" s="24"/>
      <c r="AL256" s="24"/>
      <c r="AM256" s="24"/>
      <c r="AN256" s="24"/>
      <c r="AO256" s="24"/>
    </row>
    <row r="257" spans="2:41">
      <c r="B257" s="24"/>
      <c r="C257" s="24"/>
      <c r="D257" s="24"/>
      <c r="E257" s="24"/>
      <c r="F257" s="24"/>
      <c r="G257" s="24"/>
      <c r="H257" s="24"/>
      <c r="J257" s="24"/>
      <c r="K257" s="24"/>
      <c r="L257" s="24"/>
      <c r="M257" s="24"/>
      <c r="N257" s="24"/>
      <c r="O257" s="516"/>
      <c r="P257" s="516"/>
      <c r="Q257" s="516"/>
      <c r="R257" s="516"/>
      <c r="S257" s="516"/>
      <c r="T257" s="516"/>
      <c r="U257" s="516"/>
      <c r="V257" s="516"/>
      <c r="W257" s="516"/>
      <c r="X257" s="24"/>
      <c r="Y257" s="24"/>
      <c r="Z257" s="24"/>
      <c r="AA257" s="24"/>
      <c r="AB257" s="24"/>
      <c r="AC257" s="24"/>
      <c r="AD257" s="24"/>
      <c r="AE257" s="24"/>
      <c r="AF257" s="24"/>
      <c r="AG257" s="24"/>
      <c r="AH257" s="24"/>
      <c r="AI257" s="24"/>
      <c r="AJ257" s="24"/>
      <c r="AK257" s="24"/>
      <c r="AL257" s="24"/>
      <c r="AM257" s="24"/>
      <c r="AN257" s="24"/>
      <c r="AO257" s="24"/>
    </row>
    <row r="258" spans="2:41">
      <c r="B258" s="24"/>
      <c r="C258" s="24"/>
      <c r="D258" s="24"/>
      <c r="E258" s="24"/>
      <c r="F258" s="24"/>
      <c r="G258" s="24"/>
      <c r="H258" s="24"/>
      <c r="J258" s="24"/>
      <c r="K258" s="24"/>
      <c r="L258" s="24"/>
      <c r="M258" s="24"/>
      <c r="N258" s="24"/>
      <c r="O258" s="516"/>
      <c r="P258" s="516"/>
      <c r="Q258" s="516"/>
      <c r="R258" s="516"/>
      <c r="S258" s="516"/>
      <c r="T258" s="516"/>
      <c r="U258" s="516"/>
      <c r="V258" s="516"/>
      <c r="W258" s="516"/>
      <c r="X258" s="24"/>
      <c r="Y258" s="24"/>
      <c r="Z258" s="24"/>
      <c r="AA258" s="24"/>
      <c r="AB258" s="24"/>
      <c r="AC258" s="24"/>
      <c r="AD258" s="24"/>
      <c r="AE258" s="24"/>
      <c r="AF258" s="24"/>
      <c r="AG258" s="24"/>
      <c r="AH258" s="24"/>
      <c r="AI258" s="24"/>
      <c r="AJ258" s="24"/>
      <c r="AK258" s="24"/>
      <c r="AL258" s="24"/>
      <c r="AM258" s="24"/>
      <c r="AN258" s="24"/>
      <c r="AO258" s="24"/>
    </row>
    <row r="259" spans="2:41">
      <c r="B259" s="24"/>
      <c r="C259" s="24"/>
      <c r="D259" s="24"/>
      <c r="E259" s="24"/>
      <c r="F259" s="24"/>
      <c r="G259" s="24"/>
      <c r="H259" s="24"/>
      <c r="J259" s="24"/>
      <c r="K259" s="24"/>
      <c r="L259" s="24"/>
      <c r="M259" s="24"/>
      <c r="N259" s="24"/>
      <c r="O259" s="516"/>
      <c r="P259" s="516"/>
      <c r="Q259" s="516"/>
      <c r="R259" s="516"/>
      <c r="S259" s="516"/>
      <c r="T259" s="516"/>
      <c r="U259" s="516"/>
      <c r="V259" s="516"/>
      <c r="W259" s="516"/>
      <c r="X259" s="24"/>
      <c r="Y259" s="24"/>
      <c r="Z259" s="24"/>
      <c r="AA259" s="24"/>
      <c r="AB259" s="24"/>
      <c r="AC259" s="24"/>
      <c r="AD259" s="24"/>
      <c r="AE259" s="24"/>
      <c r="AF259" s="24"/>
      <c r="AG259" s="24"/>
      <c r="AH259" s="24"/>
      <c r="AI259" s="24"/>
      <c r="AJ259" s="24"/>
      <c r="AK259" s="24"/>
      <c r="AL259" s="24"/>
      <c r="AM259" s="24"/>
      <c r="AN259" s="24"/>
      <c r="AO259" s="24"/>
    </row>
    <row r="260" spans="2:41">
      <c r="B260" s="24"/>
      <c r="C260" s="24"/>
      <c r="D260" s="24"/>
      <c r="E260" s="24"/>
      <c r="F260" s="24"/>
      <c r="G260" s="24"/>
      <c r="H260" s="24"/>
      <c r="J260" s="24"/>
      <c r="K260" s="24"/>
      <c r="L260" s="24"/>
      <c r="M260" s="24"/>
      <c r="N260" s="24"/>
      <c r="O260" s="516"/>
      <c r="P260" s="516"/>
      <c r="Q260" s="516"/>
      <c r="R260" s="516"/>
      <c r="S260" s="516"/>
      <c r="T260" s="516"/>
      <c r="U260" s="516"/>
      <c r="V260" s="516"/>
      <c r="W260" s="516"/>
      <c r="X260" s="24"/>
      <c r="Y260" s="24"/>
      <c r="Z260" s="24"/>
      <c r="AA260" s="24"/>
      <c r="AB260" s="24"/>
      <c r="AC260" s="24"/>
      <c r="AD260" s="24"/>
      <c r="AE260" s="24"/>
      <c r="AF260" s="24"/>
      <c r="AG260" s="24"/>
      <c r="AH260" s="24"/>
      <c r="AI260" s="24"/>
      <c r="AJ260" s="24"/>
      <c r="AK260" s="24"/>
      <c r="AL260" s="24"/>
      <c r="AM260" s="24"/>
      <c r="AN260" s="24"/>
      <c r="AO260" s="24"/>
    </row>
    <row r="261" spans="2:41">
      <c r="B261" s="24"/>
      <c r="C261" s="24"/>
      <c r="D261" s="24"/>
      <c r="E261" s="24"/>
      <c r="F261" s="24"/>
      <c r="G261" s="24"/>
      <c r="H261" s="24"/>
      <c r="J261" s="24"/>
      <c r="K261" s="24"/>
      <c r="L261" s="24"/>
      <c r="M261" s="24"/>
      <c r="N261" s="24"/>
      <c r="O261" s="516"/>
      <c r="P261" s="516"/>
      <c r="Q261" s="516"/>
      <c r="R261" s="516"/>
      <c r="S261" s="516"/>
      <c r="T261" s="516"/>
      <c r="U261" s="516"/>
      <c r="V261" s="516"/>
      <c r="W261" s="516"/>
      <c r="X261" s="24"/>
      <c r="Y261" s="24"/>
      <c r="Z261" s="24"/>
      <c r="AA261" s="24"/>
      <c r="AB261" s="24"/>
      <c r="AC261" s="24"/>
      <c r="AD261" s="24"/>
      <c r="AE261" s="24"/>
      <c r="AF261" s="24"/>
      <c r="AG261" s="24"/>
      <c r="AH261" s="24"/>
      <c r="AI261" s="24"/>
      <c r="AJ261" s="24"/>
      <c r="AK261" s="24"/>
      <c r="AL261" s="24"/>
      <c r="AM261" s="24"/>
      <c r="AN261" s="24"/>
      <c r="AO261" s="24"/>
    </row>
    <row r="262" spans="2:41">
      <c r="B262" s="24"/>
      <c r="C262" s="24"/>
      <c r="D262" s="24"/>
      <c r="E262" s="24"/>
      <c r="F262" s="24"/>
      <c r="G262" s="24"/>
      <c r="H262" s="24"/>
      <c r="J262" s="24"/>
      <c r="K262" s="24"/>
      <c r="L262" s="24"/>
      <c r="M262" s="24"/>
      <c r="N262" s="24"/>
      <c r="O262" s="516"/>
      <c r="P262" s="516"/>
      <c r="Q262" s="516"/>
      <c r="R262" s="516"/>
      <c r="S262" s="516"/>
      <c r="T262" s="516"/>
      <c r="U262" s="516"/>
      <c r="V262" s="516"/>
      <c r="W262" s="516"/>
      <c r="X262" s="24"/>
      <c r="Y262" s="24"/>
      <c r="Z262" s="24"/>
      <c r="AA262" s="24"/>
      <c r="AB262" s="24"/>
      <c r="AC262" s="24"/>
      <c r="AD262" s="24"/>
      <c r="AE262" s="24"/>
      <c r="AF262" s="24"/>
      <c r="AG262" s="24"/>
      <c r="AH262" s="24"/>
      <c r="AI262" s="24"/>
      <c r="AJ262" s="24"/>
      <c r="AK262" s="24"/>
      <c r="AL262" s="24"/>
      <c r="AM262" s="24"/>
      <c r="AN262" s="24"/>
      <c r="AO262" s="24"/>
    </row>
    <row r="263" spans="2:41">
      <c r="B263" s="24"/>
      <c r="C263" s="24"/>
      <c r="D263" s="24"/>
      <c r="E263" s="24"/>
      <c r="F263" s="24"/>
      <c r="G263" s="24"/>
      <c r="H263" s="24"/>
      <c r="J263" s="24"/>
      <c r="K263" s="24"/>
      <c r="L263" s="24"/>
      <c r="M263" s="24"/>
      <c r="N263" s="24"/>
      <c r="O263" s="516"/>
      <c r="P263" s="516"/>
      <c r="Q263" s="516"/>
      <c r="R263" s="516"/>
      <c r="S263" s="516"/>
      <c r="T263" s="516"/>
      <c r="U263" s="516"/>
      <c r="V263" s="516"/>
      <c r="W263" s="516"/>
      <c r="X263" s="24"/>
      <c r="Y263" s="24"/>
      <c r="Z263" s="24"/>
      <c r="AA263" s="24"/>
      <c r="AB263" s="24"/>
      <c r="AC263" s="24"/>
      <c r="AD263" s="24"/>
      <c r="AE263" s="24"/>
      <c r="AF263" s="24"/>
      <c r="AG263" s="24"/>
      <c r="AH263" s="24"/>
      <c r="AI263" s="24"/>
      <c r="AJ263" s="24"/>
      <c r="AK263" s="24"/>
      <c r="AL263" s="24"/>
      <c r="AM263" s="24"/>
      <c r="AN263" s="24"/>
      <c r="AO263" s="24"/>
    </row>
    <row r="264" spans="2:41">
      <c r="B264" s="24"/>
      <c r="C264" s="24"/>
      <c r="D264" s="24"/>
      <c r="E264" s="24"/>
      <c r="F264" s="24"/>
      <c r="G264" s="24"/>
      <c r="H264" s="24"/>
      <c r="J264" s="24"/>
      <c r="K264" s="24"/>
      <c r="L264" s="24"/>
      <c r="M264" s="24"/>
      <c r="N264" s="24"/>
      <c r="O264" s="516"/>
      <c r="P264" s="516"/>
      <c r="Q264" s="516"/>
      <c r="R264" s="516"/>
      <c r="S264" s="516"/>
      <c r="T264" s="516"/>
      <c r="U264" s="516"/>
      <c r="V264" s="516"/>
      <c r="W264" s="516"/>
      <c r="X264" s="24"/>
      <c r="Y264" s="24"/>
      <c r="Z264" s="24"/>
      <c r="AA264" s="24"/>
      <c r="AB264" s="24"/>
      <c r="AC264" s="24"/>
      <c r="AD264" s="24"/>
      <c r="AE264" s="24"/>
      <c r="AF264" s="24"/>
      <c r="AG264" s="24"/>
      <c r="AH264" s="24"/>
      <c r="AI264" s="24"/>
      <c r="AJ264" s="24"/>
      <c r="AK264" s="24"/>
      <c r="AL264" s="24"/>
      <c r="AM264" s="24"/>
      <c r="AN264" s="24"/>
      <c r="AO264" s="24"/>
    </row>
    <row r="265" spans="2:41">
      <c r="B265" s="24"/>
      <c r="C265" s="24"/>
      <c r="D265" s="24"/>
      <c r="E265" s="24"/>
      <c r="F265" s="24"/>
      <c r="G265" s="24"/>
      <c r="H265" s="24"/>
      <c r="J265" s="24"/>
      <c r="K265" s="24"/>
      <c r="L265" s="24"/>
      <c r="M265" s="24"/>
      <c r="N265" s="24"/>
      <c r="O265" s="516"/>
      <c r="P265" s="516"/>
      <c r="Q265" s="516"/>
      <c r="R265" s="516"/>
      <c r="S265" s="516"/>
      <c r="T265" s="516"/>
      <c r="U265" s="516"/>
      <c r="V265" s="516"/>
      <c r="W265" s="516"/>
      <c r="X265" s="24"/>
      <c r="Y265" s="24"/>
      <c r="Z265" s="24"/>
      <c r="AA265" s="24"/>
      <c r="AB265" s="24"/>
      <c r="AC265" s="24"/>
      <c r="AD265" s="24"/>
      <c r="AE265" s="24"/>
      <c r="AF265" s="24"/>
      <c r="AG265" s="24"/>
      <c r="AH265" s="24"/>
      <c r="AI265" s="24"/>
      <c r="AJ265" s="24"/>
      <c r="AK265" s="24"/>
      <c r="AL265" s="24"/>
      <c r="AM265" s="24"/>
      <c r="AN265" s="24"/>
      <c r="AO265" s="24"/>
    </row>
    <row r="266" spans="2:41">
      <c r="B266" s="24"/>
      <c r="C266" s="24"/>
      <c r="D266" s="24"/>
      <c r="E266" s="24"/>
      <c r="F266" s="24"/>
      <c r="G266" s="24"/>
      <c r="H266" s="24"/>
      <c r="J266" s="24"/>
      <c r="K266" s="24"/>
      <c r="L266" s="24"/>
      <c r="M266" s="24"/>
      <c r="N266" s="24"/>
      <c r="O266" s="516"/>
      <c r="P266" s="516"/>
      <c r="Q266" s="516"/>
      <c r="R266" s="516"/>
      <c r="S266" s="516"/>
      <c r="T266" s="516"/>
      <c r="U266" s="516"/>
      <c r="V266" s="516"/>
      <c r="W266" s="516"/>
      <c r="X266" s="24"/>
      <c r="Y266" s="24"/>
      <c r="Z266" s="24"/>
      <c r="AA266" s="24"/>
      <c r="AB266" s="24"/>
      <c r="AC266" s="24"/>
      <c r="AD266" s="24"/>
      <c r="AE266" s="24"/>
      <c r="AF266" s="24"/>
      <c r="AG266" s="24"/>
      <c r="AH266" s="24"/>
      <c r="AI266" s="24"/>
      <c r="AJ266" s="24"/>
      <c r="AK266" s="24"/>
      <c r="AL266" s="24"/>
      <c r="AM266" s="24"/>
      <c r="AN266" s="24"/>
      <c r="AO266" s="24"/>
    </row>
    <row r="267" spans="2:41">
      <c r="B267" s="24"/>
      <c r="C267" s="24"/>
      <c r="D267" s="24"/>
      <c r="E267" s="24"/>
      <c r="F267" s="24"/>
      <c r="G267" s="24"/>
      <c r="H267" s="24"/>
      <c r="J267" s="24"/>
      <c r="K267" s="24"/>
      <c r="L267" s="24"/>
      <c r="M267" s="24"/>
      <c r="N267" s="24"/>
      <c r="O267" s="516"/>
      <c r="P267" s="516"/>
      <c r="Q267" s="516"/>
      <c r="R267" s="516"/>
      <c r="S267" s="516"/>
      <c r="T267" s="516"/>
      <c r="U267" s="516"/>
      <c r="V267" s="516"/>
      <c r="W267" s="516"/>
      <c r="X267" s="24"/>
      <c r="Y267" s="24"/>
      <c r="Z267" s="24"/>
      <c r="AA267" s="24"/>
      <c r="AB267" s="24"/>
      <c r="AC267" s="24"/>
      <c r="AD267" s="24"/>
      <c r="AE267" s="24"/>
      <c r="AF267" s="24"/>
      <c r="AG267" s="24"/>
      <c r="AH267" s="24"/>
      <c r="AI267" s="24"/>
      <c r="AJ267" s="24"/>
      <c r="AK267" s="24"/>
      <c r="AL267" s="24"/>
      <c r="AM267" s="24"/>
      <c r="AN267" s="24"/>
      <c r="AO267" s="24"/>
    </row>
    <row r="268" spans="2:41">
      <c r="B268" s="24"/>
      <c r="C268" s="24"/>
      <c r="D268" s="24"/>
      <c r="E268" s="24"/>
      <c r="F268" s="24"/>
      <c r="G268" s="24"/>
      <c r="H268" s="24"/>
      <c r="J268" s="24"/>
      <c r="K268" s="24"/>
      <c r="L268" s="24"/>
      <c r="M268" s="24"/>
      <c r="N268" s="24"/>
      <c r="O268" s="516"/>
      <c r="P268" s="516"/>
      <c r="Q268" s="516"/>
      <c r="R268" s="516"/>
      <c r="S268" s="516"/>
      <c r="T268" s="516"/>
      <c r="U268" s="516"/>
      <c r="V268" s="516"/>
      <c r="W268" s="516"/>
      <c r="X268" s="24"/>
      <c r="Y268" s="24"/>
      <c r="Z268" s="24"/>
      <c r="AA268" s="24"/>
      <c r="AB268" s="24"/>
      <c r="AC268" s="24"/>
      <c r="AD268" s="24"/>
      <c r="AE268" s="24"/>
      <c r="AF268" s="24"/>
      <c r="AG268" s="24"/>
      <c r="AH268" s="24"/>
      <c r="AI268" s="24"/>
      <c r="AJ268" s="24"/>
      <c r="AK268" s="24"/>
      <c r="AL268" s="24"/>
      <c r="AM268" s="24"/>
      <c r="AN268" s="24"/>
      <c r="AO268" s="24"/>
    </row>
    <row r="269" spans="2:41">
      <c r="B269" s="24"/>
      <c r="C269" s="24"/>
      <c r="D269" s="24"/>
      <c r="E269" s="24"/>
      <c r="F269" s="24"/>
      <c r="G269" s="24"/>
      <c r="H269" s="24"/>
      <c r="J269" s="24"/>
      <c r="K269" s="24"/>
      <c r="L269" s="24"/>
      <c r="M269" s="24"/>
      <c r="N269" s="24"/>
      <c r="O269" s="516"/>
      <c r="P269" s="516"/>
      <c r="Q269" s="516"/>
      <c r="R269" s="516"/>
      <c r="S269" s="516"/>
      <c r="T269" s="516"/>
      <c r="U269" s="516"/>
      <c r="V269" s="516"/>
      <c r="W269" s="516"/>
      <c r="X269" s="24"/>
      <c r="Y269" s="24"/>
      <c r="Z269" s="24"/>
      <c r="AA269" s="24"/>
      <c r="AB269" s="24"/>
      <c r="AC269" s="24"/>
      <c r="AD269" s="24"/>
      <c r="AE269" s="24"/>
      <c r="AF269" s="24"/>
      <c r="AG269" s="24"/>
      <c r="AH269" s="24"/>
      <c r="AI269" s="24"/>
      <c r="AJ269" s="24"/>
      <c r="AK269" s="24"/>
      <c r="AL269" s="24"/>
      <c r="AM269" s="24"/>
      <c r="AN269" s="24"/>
      <c r="AO269" s="24"/>
    </row>
    <row r="270" spans="2:41">
      <c r="B270" s="24"/>
      <c r="C270" s="24"/>
      <c r="D270" s="24"/>
      <c r="E270" s="24"/>
      <c r="F270" s="24"/>
      <c r="G270" s="24"/>
      <c r="H270" s="24"/>
      <c r="J270" s="24"/>
      <c r="K270" s="24"/>
      <c r="L270" s="24"/>
      <c r="M270" s="24"/>
      <c r="N270" s="24"/>
      <c r="O270" s="516"/>
      <c r="P270" s="516"/>
      <c r="Q270" s="516"/>
      <c r="R270" s="516"/>
      <c r="S270" s="516"/>
      <c r="T270" s="516"/>
      <c r="U270" s="516"/>
      <c r="V270" s="516"/>
      <c r="W270" s="516"/>
      <c r="X270" s="24"/>
      <c r="Y270" s="24"/>
      <c r="Z270" s="24"/>
      <c r="AA270" s="24"/>
      <c r="AB270" s="24"/>
      <c r="AC270" s="24"/>
      <c r="AD270" s="24"/>
      <c r="AE270" s="24"/>
      <c r="AF270" s="24"/>
      <c r="AG270" s="24"/>
      <c r="AH270" s="24"/>
      <c r="AI270" s="24"/>
      <c r="AJ270" s="24"/>
      <c r="AK270" s="24"/>
      <c r="AL270" s="24"/>
      <c r="AM270" s="24"/>
      <c r="AN270" s="24"/>
      <c r="AO270" s="24"/>
    </row>
    <row r="271" spans="2:41">
      <c r="B271" s="24"/>
      <c r="C271" s="24"/>
      <c r="D271" s="24"/>
      <c r="E271" s="24"/>
      <c r="F271" s="24"/>
      <c r="G271" s="24"/>
      <c r="H271" s="24"/>
      <c r="J271" s="24"/>
      <c r="K271" s="24"/>
      <c r="L271" s="24"/>
      <c r="M271" s="24"/>
      <c r="N271" s="24"/>
      <c r="O271" s="516"/>
      <c r="P271" s="516"/>
      <c r="Q271" s="516"/>
      <c r="R271" s="516"/>
      <c r="S271" s="516"/>
      <c r="T271" s="516"/>
      <c r="U271" s="516"/>
      <c r="V271" s="516"/>
      <c r="W271" s="516"/>
      <c r="X271" s="24"/>
      <c r="Y271" s="24"/>
      <c r="Z271" s="24"/>
      <c r="AA271" s="24"/>
      <c r="AB271" s="24"/>
      <c r="AC271" s="24"/>
      <c r="AD271" s="24"/>
      <c r="AE271" s="24"/>
      <c r="AF271" s="24"/>
      <c r="AG271" s="24"/>
      <c r="AH271" s="24"/>
      <c r="AI271" s="24"/>
      <c r="AJ271" s="24"/>
      <c r="AK271" s="24"/>
      <c r="AL271" s="24"/>
      <c r="AM271" s="24"/>
      <c r="AN271" s="24"/>
      <c r="AO271" s="24"/>
    </row>
    <row r="272" spans="2:41">
      <c r="B272" s="24"/>
      <c r="C272" s="24"/>
      <c r="D272" s="24"/>
      <c r="E272" s="24"/>
      <c r="F272" s="24"/>
      <c r="G272" s="24"/>
      <c r="H272" s="24"/>
      <c r="J272" s="24"/>
      <c r="K272" s="24"/>
      <c r="L272" s="24"/>
      <c r="M272" s="24"/>
      <c r="N272" s="24"/>
      <c r="O272" s="516"/>
      <c r="P272" s="516"/>
      <c r="Q272" s="516"/>
      <c r="R272" s="516"/>
      <c r="S272" s="516"/>
      <c r="T272" s="516"/>
      <c r="U272" s="516"/>
      <c r="V272" s="516"/>
      <c r="W272" s="516"/>
      <c r="X272" s="24"/>
      <c r="Y272" s="24"/>
      <c r="Z272" s="24"/>
      <c r="AA272" s="24"/>
      <c r="AB272" s="24"/>
      <c r="AC272" s="24"/>
      <c r="AD272" s="24"/>
      <c r="AE272" s="24"/>
      <c r="AF272" s="24"/>
      <c r="AG272" s="24"/>
      <c r="AH272" s="24"/>
      <c r="AI272" s="24"/>
      <c r="AJ272" s="24"/>
      <c r="AK272" s="24"/>
      <c r="AL272" s="24"/>
      <c r="AM272" s="24"/>
      <c r="AN272" s="24"/>
      <c r="AO272" s="24"/>
    </row>
    <row r="273" spans="2:41">
      <c r="B273" s="24"/>
      <c r="C273" s="24"/>
      <c r="D273" s="24"/>
      <c r="E273" s="24"/>
      <c r="F273" s="24"/>
      <c r="G273" s="24"/>
      <c r="H273" s="24"/>
      <c r="J273" s="24"/>
      <c r="K273" s="24"/>
      <c r="L273" s="24"/>
      <c r="M273" s="24"/>
      <c r="N273" s="24"/>
      <c r="O273" s="516"/>
      <c r="P273" s="516"/>
      <c r="Q273" s="516"/>
      <c r="R273" s="516"/>
      <c r="S273" s="516"/>
      <c r="T273" s="516"/>
      <c r="U273" s="516"/>
      <c r="V273" s="516"/>
      <c r="W273" s="516"/>
      <c r="X273" s="24"/>
      <c r="Y273" s="24"/>
      <c r="Z273" s="24"/>
      <c r="AA273" s="24"/>
      <c r="AB273" s="24"/>
      <c r="AC273" s="24"/>
      <c r="AD273" s="24"/>
      <c r="AE273" s="24"/>
      <c r="AF273" s="24"/>
      <c r="AG273" s="24"/>
      <c r="AH273" s="24"/>
      <c r="AI273" s="24"/>
      <c r="AJ273" s="24"/>
      <c r="AK273" s="24"/>
      <c r="AL273" s="24"/>
      <c r="AM273" s="24"/>
      <c r="AN273" s="24"/>
      <c r="AO273" s="24"/>
    </row>
    <row r="274" spans="2:41">
      <c r="B274" s="24"/>
      <c r="C274" s="24"/>
      <c r="D274" s="24"/>
      <c r="E274" s="24"/>
      <c r="F274" s="24"/>
      <c r="G274" s="24"/>
      <c r="H274" s="24"/>
      <c r="J274" s="24"/>
      <c r="K274" s="24"/>
      <c r="L274" s="24"/>
      <c r="M274" s="24"/>
      <c r="N274" s="24"/>
      <c r="O274" s="516"/>
      <c r="P274" s="516"/>
      <c r="Q274" s="516"/>
      <c r="R274" s="516"/>
      <c r="S274" s="516"/>
      <c r="T274" s="516"/>
      <c r="U274" s="516"/>
      <c r="V274" s="516"/>
      <c r="W274" s="516"/>
      <c r="X274" s="24"/>
      <c r="Y274" s="24"/>
      <c r="Z274" s="24"/>
      <c r="AA274" s="24"/>
      <c r="AB274" s="24"/>
      <c r="AC274" s="24"/>
      <c r="AD274" s="24"/>
      <c r="AE274" s="24"/>
      <c r="AF274" s="24"/>
      <c r="AG274" s="24"/>
      <c r="AH274" s="24"/>
      <c r="AI274" s="24"/>
      <c r="AJ274" s="24"/>
      <c r="AK274" s="24"/>
      <c r="AL274" s="24"/>
      <c r="AM274" s="24"/>
      <c r="AN274" s="24"/>
      <c r="AO274" s="24"/>
    </row>
    <row r="275" spans="2:41">
      <c r="B275" s="24"/>
      <c r="C275" s="24"/>
      <c r="D275" s="24"/>
      <c r="E275" s="24"/>
      <c r="F275" s="24"/>
      <c r="G275" s="24"/>
      <c r="H275" s="24"/>
      <c r="J275" s="24"/>
      <c r="K275" s="24"/>
      <c r="L275" s="24"/>
      <c r="M275" s="24"/>
      <c r="N275" s="24"/>
      <c r="O275" s="516"/>
      <c r="P275" s="516"/>
      <c r="Q275" s="516"/>
      <c r="R275" s="516"/>
      <c r="S275" s="516"/>
      <c r="T275" s="516"/>
      <c r="U275" s="516"/>
      <c r="V275" s="516"/>
      <c r="W275" s="516"/>
      <c r="X275" s="24"/>
      <c r="Y275" s="24"/>
      <c r="Z275" s="24"/>
      <c r="AA275" s="24"/>
      <c r="AB275" s="24"/>
      <c r="AC275" s="24"/>
      <c r="AD275" s="24"/>
      <c r="AE275" s="24"/>
      <c r="AF275" s="24"/>
      <c r="AG275" s="24"/>
      <c r="AH275" s="24"/>
      <c r="AI275" s="24"/>
      <c r="AJ275" s="24"/>
      <c r="AK275" s="24"/>
      <c r="AL275" s="24"/>
      <c r="AM275" s="24"/>
      <c r="AN275" s="24"/>
      <c r="AO275" s="24"/>
    </row>
    <row r="276" spans="2:41">
      <c r="B276" s="24"/>
      <c r="C276" s="24"/>
      <c r="D276" s="24"/>
      <c r="E276" s="24"/>
      <c r="F276" s="24"/>
      <c r="G276" s="24"/>
      <c r="H276" s="24"/>
      <c r="J276" s="24"/>
      <c r="K276" s="24"/>
      <c r="L276" s="24"/>
      <c r="M276" s="24"/>
      <c r="N276" s="24"/>
      <c r="O276" s="516"/>
      <c r="P276" s="516"/>
      <c r="Q276" s="516"/>
      <c r="R276" s="516"/>
      <c r="S276" s="516"/>
      <c r="T276" s="516"/>
      <c r="U276" s="516"/>
      <c r="V276" s="516"/>
      <c r="W276" s="516"/>
      <c r="X276" s="24"/>
      <c r="Y276" s="24"/>
      <c r="Z276" s="24"/>
      <c r="AA276" s="24"/>
      <c r="AB276" s="24"/>
      <c r="AC276" s="24"/>
      <c r="AD276" s="24"/>
      <c r="AE276" s="24"/>
      <c r="AF276" s="24"/>
      <c r="AG276" s="24"/>
      <c r="AH276" s="24"/>
      <c r="AI276" s="24"/>
      <c r="AJ276" s="24"/>
      <c r="AK276" s="24"/>
      <c r="AL276" s="24"/>
      <c r="AM276" s="24"/>
      <c r="AN276" s="24"/>
      <c r="AO276" s="24"/>
    </row>
    <row r="277" spans="2:41">
      <c r="B277" s="24"/>
      <c r="C277" s="24"/>
      <c r="D277" s="24"/>
      <c r="E277" s="24"/>
      <c r="F277" s="24"/>
      <c r="G277" s="24"/>
      <c r="H277" s="24"/>
      <c r="J277" s="24"/>
      <c r="K277" s="24"/>
      <c r="L277" s="24"/>
      <c r="M277" s="24"/>
      <c r="N277" s="24"/>
      <c r="O277" s="516"/>
      <c r="P277" s="516"/>
      <c r="Q277" s="516"/>
      <c r="R277" s="516"/>
      <c r="S277" s="516"/>
      <c r="T277" s="516"/>
      <c r="U277" s="516"/>
      <c r="V277" s="516"/>
      <c r="W277" s="516"/>
      <c r="X277" s="24"/>
      <c r="Y277" s="24"/>
      <c r="Z277" s="24"/>
      <c r="AA277" s="24"/>
      <c r="AB277" s="24"/>
      <c r="AC277" s="24"/>
      <c r="AD277" s="24"/>
      <c r="AE277" s="24"/>
      <c r="AF277" s="24"/>
      <c r="AG277" s="24"/>
      <c r="AH277" s="24"/>
      <c r="AI277" s="24"/>
      <c r="AJ277" s="24"/>
      <c r="AK277" s="24"/>
      <c r="AL277" s="24"/>
      <c r="AM277" s="24"/>
      <c r="AN277" s="24"/>
      <c r="AO277" s="24"/>
    </row>
    <row r="278" spans="2:41">
      <c r="B278" s="24"/>
      <c r="C278" s="24"/>
      <c r="D278" s="24"/>
      <c r="E278" s="24"/>
      <c r="F278" s="24"/>
      <c r="G278" s="24"/>
      <c r="H278" s="24"/>
      <c r="J278" s="24"/>
      <c r="K278" s="24"/>
      <c r="L278" s="24"/>
      <c r="M278" s="24"/>
      <c r="N278" s="24"/>
      <c r="O278" s="516"/>
      <c r="P278" s="516"/>
      <c r="Q278" s="516"/>
      <c r="R278" s="516"/>
      <c r="S278" s="516"/>
      <c r="T278" s="516"/>
      <c r="U278" s="516"/>
      <c r="V278" s="516"/>
      <c r="W278" s="516"/>
      <c r="X278" s="24"/>
      <c r="Y278" s="24"/>
      <c r="Z278" s="24"/>
      <c r="AA278" s="24"/>
      <c r="AB278" s="24"/>
      <c r="AC278" s="24"/>
      <c r="AD278" s="24"/>
      <c r="AE278" s="24"/>
      <c r="AF278" s="24"/>
      <c r="AG278" s="24"/>
      <c r="AH278" s="24"/>
      <c r="AI278" s="24"/>
      <c r="AJ278" s="24"/>
      <c r="AK278" s="24"/>
      <c r="AL278" s="24"/>
      <c r="AM278" s="24"/>
      <c r="AN278" s="24"/>
      <c r="AO278" s="24"/>
    </row>
    <row r="279" spans="2:41">
      <c r="B279" s="24"/>
      <c r="C279" s="24"/>
      <c r="D279" s="24"/>
      <c r="E279" s="24"/>
      <c r="F279" s="24"/>
      <c r="G279" s="24"/>
      <c r="H279" s="24"/>
      <c r="J279" s="24"/>
      <c r="K279" s="24"/>
      <c r="L279" s="24"/>
      <c r="M279" s="24"/>
      <c r="N279" s="24"/>
      <c r="O279" s="516"/>
      <c r="P279" s="516"/>
      <c r="Q279" s="516"/>
      <c r="R279" s="516"/>
      <c r="S279" s="516"/>
      <c r="T279" s="516"/>
      <c r="U279" s="516"/>
      <c r="V279" s="516"/>
      <c r="W279" s="516"/>
      <c r="X279" s="24"/>
      <c r="Y279" s="24"/>
      <c r="Z279" s="24"/>
      <c r="AA279" s="24"/>
      <c r="AB279" s="24"/>
      <c r="AC279" s="24"/>
      <c r="AD279" s="24"/>
      <c r="AE279" s="24"/>
      <c r="AF279" s="24"/>
      <c r="AG279" s="24"/>
      <c r="AH279" s="24"/>
      <c r="AI279" s="24"/>
      <c r="AJ279" s="24"/>
      <c r="AK279" s="24"/>
      <c r="AL279" s="24"/>
      <c r="AM279" s="24"/>
      <c r="AN279" s="24"/>
      <c r="AO279" s="24"/>
    </row>
    <row r="280" spans="2:41">
      <c r="B280" s="24"/>
      <c r="C280" s="24"/>
      <c r="D280" s="24"/>
      <c r="E280" s="24"/>
      <c r="F280" s="24"/>
      <c r="G280" s="24"/>
      <c r="H280" s="24"/>
      <c r="J280" s="24"/>
      <c r="K280" s="24"/>
      <c r="L280" s="24"/>
      <c r="M280" s="24"/>
      <c r="N280" s="24"/>
      <c r="O280" s="516"/>
      <c r="P280" s="516"/>
      <c r="Q280" s="516"/>
      <c r="R280" s="516"/>
      <c r="S280" s="516"/>
      <c r="T280" s="516"/>
      <c r="U280" s="516"/>
      <c r="V280" s="516"/>
      <c r="W280" s="516"/>
      <c r="X280" s="24"/>
      <c r="Y280" s="24"/>
      <c r="Z280" s="24"/>
      <c r="AA280" s="24"/>
      <c r="AB280" s="24"/>
      <c r="AC280" s="24"/>
      <c r="AD280" s="24"/>
      <c r="AE280" s="24"/>
      <c r="AF280" s="24"/>
      <c r="AG280" s="24"/>
      <c r="AH280" s="24"/>
      <c r="AI280" s="24"/>
      <c r="AJ280" s="24"/>
      <c r="AK280" s="24"/>
      <c r="AL280" s="24"/>
      <c r="AM280" s="24"/>
      <c r="AN280" s="24"/>
      <c r="AO280" s="24"/>
    </row>
    <row r="281" spans="2:41">
      <c r="B281" s="24"/>
      <c r="C281" s="24"/>
      <c r="D281" s="24"/>
      <c r="E281" s="24"/>
      <c r="F281" s="24"/>
      <c r="G281" s="24"/>
      <c r="H281" s="24"/>
      <c r="J281" s="24"/>
      <c r="K281" s="24"/>
      <c r="L281" s="24"/>
      <c r="M281" s="24"/>
      <c r="N281" s="24"/>
      <c r="O281" s="516"/>
      <c r="P281" s="516"/>
      <c r="Q281" s="516"/>
      <c r="R281" s="516"/>
      <c r="S281" s="516"/>
      <c r="T281" s="516"/>
      <c r="U281" s="516"/>
      <c r="V281" s="516"/>
      <c r="W281" s="516"/>
      <c r="X281" s="24"/>
      <c r="Y281" s="24"/>
      <c r="Z281" s="24"/>
      <c r="AA281" s="24"/>
      <c r="AB281" s="24"/>
      <c r="AC281" s="24"/>
      <c r="AD281" s="24"/>
      <c r="AE281" s="24"/>
      <c r="AF281" s="24"/>
      <c r="AG281" s="24"/>
      <c r="AH281" s="24"/>
      <c r="AI281" s="24"/>
      <c r="AJ281" s="24"/>
      <c r="AK281" s="24"/>
      <c r="AL281" s="24"/>
      <c r="AM281" s="24"/>
      <c r="AN281" s="24"/>
      <c r="AO281" s="24"/>
    </row>
    <row r="282" spans="2:41">
      <c r="B282" s="24"/>
      <c r="C282" s="24"/>
      <c r="D282" s="24"/>
      <c r="E282" s="24"/>
      <c r="F282" s="24"/>
      <c r="G282" s="24"/>
      <c r="H282" s="24"/>
      <c r="J282" s="24"/>
      <c r="K282" s="24"/>
      <c r="L282" s="24"/>
      <c r="M282" s="24"/>
      <c r="N282" s="24"/>
      <c r="O282" s="516"/>
      <c r="P282" s="516"/>
      <c r="Q282" s="516"/>
      <c r="R282" s="516"/>
      <c r="S282" s="516"/>
      <c r="T282" s="516"/>
      <c r="U282" s="516"/>
      <c r="V282" s="516"/>
      <c r="W282" s="516"/>
      <c r="X282" s="24"/>
      <c r="Y282" s="24"/>
      <c r="Z282" s="24"/>
      <c r="AA282" s="24"/>
      <c r="AB282" s="24"/>
      <c r="AC282" s="24"/>
      <c r="AD282" s="24"/>
      <c r="AE282" s="24"/>
      <c r="AF282" s="24"/>
      <c r="AG282" s="24"/>
      <c r="AH282" s="24"/>
      <c r="AI282" s="24"/>
      <c r="AJ282" s="24"/>
      <c r="AK282" s="24"/>
      <c r="AL282" s="24"/>
      <c r="AM282" s="24"/>
      <c r="AN282" s="24"/>
      <c r="AO282" s="24"/>
    </row>
    <row r="283" spans="2:41">
      <c r="B283" s="24"/>
      <c r="C283" s="24"/>
      <c r="D283" s="24"/>
      <c r="E283" s="24"/>
      <c r="F283" s="24"/>
      <c r="G283" s="24"/>
      <c r="H283" s="24"/>
      <c r="J283" s="24"/>
      <c r="K283" s="24"/>
      <c r="L283" s="24"/>
      <c r="M283" s="24"/>
      <c r="N283" s="24"/>
      <c r="O283" s="516"/>
      <c r="P283" s="516"/>
      <c r="Q283" s="516"/>
      <c r="R283" s="516"/>
      <c r="S283" s="516"/>
      <c r="T283" s="516"/>
      <c r="U283" s="516"/>
      <c r="V283" s="516"/>
      <c r="W283" s="516"/>
      <c r="X283" s="24"/>
      <c r="Y283" s="24"/>
      <c r="Z283" s="24"/>
      <c r="AA283" s="24"/>
      <c r="AB283" s="24"/>
      <c r="AC283" s="24"/>
      <c r="AD283" s="24"/>
      <c r="AE283" s="24"/>
      <c r="AF283" s="24"/>
      <c r="AG283" s="24"/>
      <c r="AH283" s="24"/>
      <c r="AI283" s="24"/>
      <c r="AJ283" s="24"/>
      <c r="AK283" s="24"/>
      <c r="AL283" s="24"/>
      <c r="AM283" s="24"/>
      <c r="AN283" s="24"/>
      <c r="AO283" s="24"/>
    </row>
    <row r="284" spans="2:41">
      <c r="B284" s="24"/>
      <c r="C284" s="24"/>
      <c r="D284" s="24"/>
      <c r="E284" s="24"/>
      <c r="F284" s="24"/>
      <c r="G284" s="24"/>
      <c r="H284" s="24"/>
      <c r="J284" s="24"/>
      <c r="K284" s="24"/>
      <c r="L284" s="24"/>
      <c r="M284" s="24"/>
      <c r="N284" s="24"/>
      <c r="O284" s="516"/>
      <c r="P284" s="516"/>
      <c r="Q284" s="516"/>
      <c r="R284" s="516"/>
      <c r="S284" s="516"/>
      <c r="T284" s="516"/>
      <c r="U284" s="516"/>
      <c r="V284" s="516"/>
      <c r="W284" s="516"/>
      <c r="X284" s="24"/>
      <c r="Y284" s="24"/>
      <c r="Z284" s="24"/>
      <c r="AA284" s="24"/>
      <c r="AB284" s="24"/>
      <c r="AC284" s="24"/>
      <c r="AD284" s="24"/>
      <c r="AE284" s="24"/>
      <c r="AF284" s="24"/>
      <c r="AG284" s="24"/>
      <c r="AH284" s="24"/>
      <c r="AI284" s="24"/>
      <c r="AJ284" s="24"/>
      <c r="AK284" s="24"/>
      <c r="AL284" s="24"/>
      <c r="AM284" s="24"/>
      <c r="AN284" s="24"/>
      <c r="AO284" s="24"/>
    </row>
    <row r="285" spans="2:41">
      <c r="B285" s="24"/>
      <c r="C285" s="24"/>
      <c r="D285" s="24"/>
      <c r="E285" s="24"/>
      <c r="F285" s="24"/>
      <c r="G285" s="24"/>
      <c r="H285" s="24"/>
      <c r="J285" s="24"/>
      <c r="K285" s="24"/>
      <c r="L285" s="24"/>
      <c r="M285" s="24"/>
      <c r="N285" s="24"/>
      <c r="O285" s="516"/>
      <c r="P285" s="516"/>
      <c r="Q285" s="516"/>
      <c r="R285" s="516"/>
      <c r="S285" s="516"/>
      <c r="T285" s="516"/>
      <c r="U285" s="516"/>
      <c r="V285" s="516"/>
      <c r="W285" s="516"/>
      <c r="X285" s="24"/>
      <c r="Y285" s="24"/>
      <c r="Z285" s="24"/>
      <c r="AA285" s="24"/>
      <c r="AB285" s="24"/>
      <c r="AC285" s="24"/>
      <c r="AD285" s="24"/>
      <c r="AE285" s="24"/>
      <c r="AF285" s="24"/>
      <c r="AG285" s="24"/>
      <c r="AH285" s="24"/>
      <c r="AI285" s="24"/>
      <c r="AJ285" s="24"/>
      <c r="AK285" s="24"/>
      <c r="AL285" s="24"/>
      <c r="AM285" s="24"/>
      <c r="AN285" s="24"/>
      <c r="AO285" s="24"/>
    </row>
    <row r="286" spans="2:41">
      <c r="B286" s="24"/>
      <c r="C286" s="24"/>
      <c r="D286" s="24"/>
      <c r="E286" s="24"/>
      <c r="F286" s="24"/>
      <c r="G286" s="24"/>
      <c r="H286" s="24"/>
      <c r="J286" s="24"/>
      <c r="K286" s="24"/>
      <c r="L286" s="24"/>
      <c r="M286" s="24"/>
      <c r="N286" s="24"/>
      <c r="O286" s="516"/>
      <c r="P286" s="516"/>
      <c r="Q286" s="516"/>
      <c r="R286" s="516"/>
      <c r="S286" s="516"/>
      <c r="T286" s="516"/>
      <c r="U286" s="516"/>
      <c r="V286" s="516"/>
      <c r="W286" s="516"/>
      <c r="X286" s="24"/>
      <c r="Y286" s="24"/>
      <c r="Z286" s="24"/>
      <c r="AA286" s="24"/>
      <c r="AB286" s="24"/>
      <c r="AC286" s="24"/>
      <c r="AD286" s="24"/>
      <c r="AE286" s="24"/>
      <c r="AF286" s="24"/>
      <c r="AG286" s="24"/>
      <c r="AH286" s="24"/>
      <c r="AI286" s="24"/>
      <c r="AJ286" s="24"/>
      <c r="AK286" s="24"/>
      <c r="AL286" s="24"/>
      <c r="AM286" s="24"/>
      <c r="AN286" s="24"/>
      <c r="AO286" s="24"/>
    </row>
    <row r="287" spans="2:41">
      <c r="B287" s="24"/>
      <c r="C287" s="24"/>
      <c r="D287" s="24"/>
      <c r="E287" s="24"/>
      <c r="F287" s="24"/>
      <c r="G287" s="24"/>
      <c r="H287" s="24"/>
      <c r="J287" s="24"/>
      <c r="K287" s="24"/>
      <c r="L287" s="24"/>
      <c r="M287" s="24"/>
      <c r="N287" s="24"/>
      <c r="O287" s="516"/>
      <c r="P287" s="516"/>
      <c r="Q287" s="516"/>
      <c r="R287" s="516"/>
      <c r="S287" s="516"/>
      <c r="T287" s="516"/>
      <c r="U287" s="516"/>
      <c r="V287" s="516"/>
      <c r="W287" s="516"/>
      <c r="X287" s="24"/>
      <c r="Y287" s="24"/>
      <c r="Z287" s="24"/>
      <c r="AA287" s="24"/>
      <c r="AB287" s="24"/>
      <c r="AC287" s="24"/>
      <c r="AD287" s="24"/>
      <c r="AE287" s="24"/>
      <c r="AF287" s="24"/>
      <c r="AG287" s="24"/>
      <c r="AH287" s="24"/>
      <c r="AI287" s="24"/>
      <c r="AJ287" s="24"/>
      <c r="AK287" s="24"/>
      <c r="AL287" s="24"/>
      <c r="AM287" s="24"/>
      <c r="AN287" s="24"/>
      <c r="AO287" s="24"/>
    </row>
    <row r="288" spans="2:41">
      <c r="B288" s="24"/>
      <c r="C288" s="24"/>
      <c r="D288" s="24"/>
      <c r="E288" s="24"/>
      <c r="F288" s="24"/>
      <c r="G288" s="24"/>
      <c r="H288" s="24"/>
      <c r="J288" s="24"/>
      <c r="K288" s="24"/>
      <c r="L288" s="24"/>
      <c r="M288" s="24"/>
      <c r="N288" s="24"/>
      <c r="O288" s="516"/>
      <c r="P288" s="516"/>
      <c r="Q288" s="516"/>
      <c r="R288" s="516"/>
      <c r="S288" s="516"/>
      <c r="T288" s="516"/>
      <c r="U288" s="516"/>
      <c r="V288" s="516"/>
      <c r="W288" s="516"/>
      <c r="X288" s="24"/>
      <c r="Y288" s="24"/>
      <c r="Z288" s="24"/>
      <c r="AA288" s="24"/>
      <c r="AB288" s="24"/>
      <c r="AC288" s="24"/>
      <c r="AD288" s="24"/>
      <c r="AE288" s="24"/>
      <c r="AF288" s="24"/>
      <c r="AG288" s="24"/>
      <c r="AH288" s="24"/>
      <c r="AI288" s="24"/>
      <c r="AJ288" s="24"/>
      <c r="AK288" s="24"/>
      <c r="AL288" s="24"/>
      <c r="AM288" s="24"/>
      <c r="AN288" s="24"/>
      <c r="AO288" s="24"/>
    </row>
    <row r="289" spans="2:41">
      <c r="B289" s="24"/>
      <c r="C289" s="24"/>
      <c r="D289" s="24"/>
      <c r="E289" s="24"/>
      <c r="F289" s="24"/>
      <c r="G289" s="24"/>
      <c r="H289" s="24"/>
      <c r="J289" s="24"/>
      <c r="K289" s="24"/>
      <c r="L289" s="24"/>
      <c r="M289" s="24"/>
      <c r="N289" s="24"/>
      <c r="O289" s="516"/>
      <c r="P289" s="516"/>
      <c r="Q289" s="516"/>
      <c r="R289" s="516"/>
      <c r="S289" s="516"/>
      <c r="T289" s="516"/>
      <c r="U289" s="516"/>
      <c r="V289" s="516"/>
      <c r="W289" s="516"/>
      <c r="X289" s="24"/>
      <c r="Y289" s="24"/>
      <c r="Z289" s="24"/>
      <c r="AA289" s="24"/>
      <c r="AB289" s="24"/>
      <c r="AC289" s="24"/>
      <c r="AD289" s="24"/>
      <c r="AE289" s="24"/>
      <c r="AF289" s="24"/>
      <c r="AG289" s="24"/>
      <c r="AH289" s="24"/>
      <c r="AI289" s="24"/>
      <c r="AJ289" s="24"/>
      <c r="AK289" s="24"/>
      <c r="AL289" s="24"/>
      <c r="AM289" s="24"/>
      <c r="AN289" s="24"/>
      <c r="AO289" s="24"/>
    </row>
    <row r="290" spans="2:41">
      <c r="B290" s="24"/>
      <c r="C290" s="24"/>
      <c r="D290" s="24"/>
      <c r="E290" s="24"/>
      <c r="F290" s="24"/>
      <c r="G290" s="24"/>
      <c r="H290" s="24"/>
      <c r="J290" s="24"/>
      <c r="K290" s="24"/>
      <c r="L290" s="24"/>
      <c r="M290" s="24"/>
      <c r="N290" s="24"/>
      <c r="O290" s="516"/>
      <c r="P290" s="516"/>
      <c r="Q290" s="516"/>
      <c r="R290" s="516"/>
      <c r="S290" s="516"/>
      <c r="T290" s="516"/>
      <c r="U290" s="516"/>
      <c r="V290" s="516"/>
      <c r="W290" s="516"/>
      <c r="X290" s="24"/>
      <c r="Y290" s="24"/>
      <c r="Z290" s="24"/>
      <c r="AA290" s="24"/>
      <c r="AB290" s="24"/>
      <c r="AC290" s="24"/>
      <c r="AD290" s="24"/>
      <c r="AE290" s="24"/>
      <c r="AF290" s="24"/>
      <c r="AG290" s="24"/>
      <c r="AH290" s="24"/>
      <c r="AI290" s="24"/>
      <c r="AJ290" s="24"/>
      <c r="AK290" s="24"/>
      <c r="AL290" s="24"/>
      <c r="AM290" s="24"/>
      <c r="AN290" s="24"/>
      <c r="AO290" s="24"/>
    </row>
    <row r="291" spans="2:41">
      <c r="B291" s="24"/>
      <c r="C291" s="24"/>
      <c r="D291" s="24"/>
      <c r="E291" s="24"/>
      <c r="F291" s="24"/>
      <c r="G291" s="24"/>
      <c r="H291" s="24"/>
      <c r="J291" s="24"/>
      <c r="K291" s="24"/>
      <c r="L291" s="24"/>
      <c r="M291" s="24"/>
      <c r="N291" s="24"/>
      <c r="O291" s="516"/>
      <c r="P291" s="516"/>
      <c r="Q291" s="516"/>
      <c r="R291" s="516"/>
      <c r="S291" s="516"/>
      <c r="T291" s="516"/>
      <c r="U291" s="516"/>
      <c r="V291" s="516"/>
      <c r="W291" s="516"/>
      <c r="X291" s="24"/>
      <c r="Y291" s="24"/>
      <c r="Z291" s="24"/>
      <c r="AA291" s="24"/>
      <c r="AB291" s="24"/>
      <c r="AC291" s="24"/>
      <c r="AD291" s="24"/>
      <c r="AE291" s="24"/>
      <c r="AF291" s="24"/>
      <c r="AG291" s="24"/>
      <c r="AH291" s="24"/>
      <c r="AI291" s="24"/>
      <c r="AJ291" s="24"/>
      <c r="AK291" s="24"/>
      <c r="AL291" s="24"/>
      <c r="AM291" s="24"/>
      <c r="AN291" s="24"/>
      <c r="AO291" s="24"/>
    </row>
    <row r="292" spans="2:41">
      <c r="B292" s="24"/>
      <c r="C292" s="24"/>
      <c r="D292" s="24"/>
      <c r="E292" s="24"/>
      <c r="F292" s="24"/>
      <c r="G292" s="24"/>
      <c r="H292" s="24"/>
      <c r="J292" s="24"/>
      <c r="K292" s="24"/>
      <c r="L292" s="24"/>
      <c r="M292" s="24"/>
      <c r="N292" s="24"/>
      <c r="O292" s="516"/>
      <c r="P292" s="516"/>
      <c r="Q292" s="516"/>
      <c r="R292" s="516"/>
      <c r="S292" s="516"/>
      <c r="T292" s="516"/>
      <c r="U292" s="516"/>
      <c r="V292" s="516"/>
      <c r="W292" s="516"/>
      <c r="X292" s="24"/>
      <c r="Y292" s="24"/>
      <c r="Z292" s="24"/>
      <c r="AA292" s="24"/>
      <c r="AB292" s="24"/>
      <c r="AC292" s="24"/>
      <c r="AD292" s="24"/>
      <c r="AE292" s="24"/>
      <c r="AF292" s="24"/>
      <c r="AG292" s="24"/>
      <c r="AH292" s="24"/>
      <c r="AI292" s="24"/>
      <c r="AJ292" s="24"/>
      <c r="AK292" s="24"/>
      <c r="AL292" s="24"/>
      <c r="AM292" s="24"/>
      <c r="AN292" s="24"/>
      <c r="AO292" s="24"/>
    </row>
    <row r="293" spans="2:41">
      <c r="B293" s="24"/>
      <c r="C293" s="24"/>
      <c r="D293" s="24"/>
      <c r="E293" s="24"/>
      <c r="F293" s="24"/>
      <c r="G293" s="24"/>
      <c r="H293" s="24"/>
      <c r="J293" s="24"/>
      <c r="K293" s="24"/>
      <c r="L293" s="24"/>
      <c r="M293" s="24"/>
      <c r="N293" s="24"/>
      <c r="O293" s="516"/>
      <c r="P293" s="516"/>
      <c r="Q293" s="516"/>
      <c r="R293" s="516"/>
      <c r="S293" s="516"/>
      <c r="T293" s="516"/>
      <c r="U293" s="516"/>
      <c r="V293" s="516"/>
      <c r="W293" s="516"/>
      <c r="X293" s="24"/>
      <c r="Y293" s="24"/>
      <c r="Z293" s="24"/>
      <c r="AA293" s="24"/>
      <c r="AB293" s="24"/>
      <c r="AC293" s="24"/>
      <c r="AD293" s="24"/>
      <c r="AE293" s="24"/>
      <c r="AF293" s="24"/>
      <c r="AG293" s="24"/>
      <c r="AH293" s="24"/>
      <c r="AI293" s="24"/>
      <c r="AJ293" s="24"/>
      <c r="AK293" s="24"/>
      <c r="AL293" s="24"/>
      <c r="AM293" s="24"/>
      <c r="AN293" s="24"/>
      <c r="AO293" s="24"/>
    </row>
    <row r="294" spans="2:41">
      <c r="B294" s="24"/>
      <c r="C294" s="24"/>
      <c r="D294" s="24"/>
      <c r="E294" s="24"/>
      <c r="F294" s="24"/>
      <c r="G294" s="24"/>
      <c r="H294" s="24"/>
      <c r="J294" s="24"/>
      <c r="K294" s="24"/>
      <c r="L294" s="24"/>
      <c r="M294" s="24"/>
      <c r="N294" s="24"/>
      <c r="O294" s="516"/>
      <c r="P294" s="516"/>
      <c r="Q294" s="516"/>
      <c r="R294" s="516"/>
      <c r="S294" s="516"/>
      <c r="T294" s="516"/>
      <c r="U294" s="516"/>
      <c r="V294" s="516"/>
      <c r="W294" s="516"/>
      <c r="X294" s="24"/>
      <c r="Y294" s="24"/>
      <c r="Z294" s="24"/>
      <c r="AA294" s="24"/>
      <c r="AB294" s="24"/>
      <c r="AC294" s="24"/>
      <c r="AD294" s="24"/>
      <c r="AE294" s="24"/>
      <c r="AF294" s="24"/>
      <c r="AG294" s="24"/>
      <c r="AH294" s="24"/>
      <c r="AI294" s="24"/>
      <c r="AJ294" s="24"/>
      <c r="AK294" s="24"/>
      <c r="AL294" s="24"/>
      <c r="AM294" s="24"/>
      <c r="AN294" s="24"/>
      <c r="AO294" s="24"/>
    </row>
    <row r="295" spans="2:41">
      <c r="B295" s="24"/>
      <c r="C295" s="24"/>
      <c r="D295" s="24"/>
      <c r="E295" s="24"/>
      <c r="F295" s="24"/>
      <c r="G295" s="24"/>
      <c r="H295" s="24"/>
      <c r="J295" s="24"/>
      <c r="K295" s="24"/>
      <c r="L295" s="24"/>
      <c r="M295" s="24"/>
      <c r="N295" s="24"/>
      <c r="O295" s="516"/>
      <c r="P295" s="516"/>
      <c r="Q295" s="516"/>
      <c r="R295" s="516"/>
      <c r="S295" s="516"/>
      <c r="T295" s="516"/>
      <c r="U295" s="516"/>
      <c r="V295" s="516"/>
      <c r="W295" s="516"/>
      <c r="X295" s="24"/>
      <c r="Y295" s="24"/>
      <c r="Z295" s="24"/>
      <c r="AA295" s="24"/>
      <c r="AB295" s="24"/>
      <c r="AC295" s="24"/>
      <c r="AD295" s="24"/>
      <c r="AE295" s="24"/>
      <c r="AF295" s="24"/>
      <c r="AG295" s="24"/>
      <c r="AH295" s="24"/>
      <c r="AI295" s="24"/>
      <c r="AJ295" s="24"/>
      <c r="AK295" s="24"/>
      <c r="AL295" s="24"/>
      <c r="AM295" s="24"/>
      <c r="AN295" s="24"/>
      <c r="AO295" s="24"/>
    </row>
    <row r="296" spans="2:41">
      <c r="B296" s="24"/>
      <c r="C296" s="24"/>
      <c r="D296" s="24"/>
      <c r="E296" s="24"/>
      <c r="F296" s="24"/>
      <c r="G296" s="24"/>
      <c r="H296" s="24"/>
      <c r="J296" s="24"/>
      <c r="K296" s="24"/>
      <c r="L296" s="24"/>
      <c r="M296" s="24"/>
      <c r="N296" s="24"/>
      <c r="O296" s="516"/>
      <c r="P296" s="516"/>
      <c r="Q296" s="516"/>
      <c r="R296" s="516"/>
      <c r="S296" s="516"/>
      <c r="T296" s="516"/>
      <c r="U296" s="516"/>
      <c r="V296" s="516"/>
      <c r="W296" s="516"/>
      <c r="X296" s="24"/>
      <c r="Y296" s="24"/>
      <c r="Z296" s="24"/>
      <c r="AA296" s="24"/>
      <c r="AB296" s="24"/>
      <c r="AC296" s="24"/>
      <c r="AD296" s="24"/>
      <c r="AE296" s="24"/>
      <c r="AF296" s="24"/>
      <c r="AG296" s="24"/>
      <c r="AH296" s="24"/>
      <c r="AI296" s="24"/>
      <c r="AJ296" s="24"/>
      <c r="AK296" s="24"/>
      <c r="AL296" s="24"/>
      <c r="AM296" s="24"/>
      <c r="AN296" s="24"/>
      <c r="AO296" s="24"/>
    </row>
    <row r="297" spans="2:41">
      <c r="B297" s="24"/>
      <c r="C297" s="24"/>
      <c r="D297" s="24"/>
      <c r="E297" s="24"/>
      <c r="F297" s="24"/>
      <c r="G297" s="24"/>
      <c r="H297" s="24"/>
      <c r="J297" s="24"/>
      <c r="K297" s="24"/>
      <c r="L297" s="24"/>
      <c r="M297" s="24"/>
      <c r="N297" s="24"/>
      <c r="O297" s="516"/>
      <c r="P297" s="516"/>
      <c r="Q297" s="516"/>
      <c r="R297" s="516"/>
      <c r="S297" s="516"/>
      <c r="T297" s="516"/>
      <c r="U297" s="516"/>
      <c r="V297" s="516"/>
      <c r="W297" s="516"/>
      <c r="X297" s="24"/>
      <c r="Y297" s="24"/>
      <c r="Z297" s="24"/>
      <c r="AA297" s="24"/>
      <c r="AB297" s="24"/>
      <c r="AC297" s="24"/>
      <c r="AD297" s="24"/>
      <c r="AE297" s="24"/>
      <c r="AF297" s="24"/>
      <c r="AG297" s="24"/>
      <c r="AH297" s="24"/>
      <c r="AI297" s="24"/>
      <c r="AJ297" s="24"/>
      <c r="AK297" s="24"/>
      <c r="AL297" s="24"/>
      <c r="AM297" s="24"/>
      <c r="AN297" s="24"/>
      <c r="AO297" s="24"/>
    </row>
    <row r="298" spans="2:41">
      <c r="B298" s="24"/>
      <c r="C298" s="24"/>
      <c r="D298" s="24"/>
      <c r="E298" s="24"/>
      <c r="F298" s="24"/>
      <c r="G298" s="24"/>
      <c r="H298" s="24"/>
      <c r="J298" s="24"/>
      <c r="K298" s="24"/>
      <c r="L298" s="24"/>
      <c r="M298" s="24"/>
      <c r="N298" s="24"/>
      <c r="O298" s="516"/>
      <c r="P298" s="516"/>
      <c r="Q298" s="516"/>
      <c r="R298" s="516"/>
      <c r="S298" s="516"/>
      <c r="T298" s="516"/>
      <c r="U298" s="516"/>
      <c r="V298" s="516"/>
      <c r="W298" s="516"/>
      <c r="X298" s="24"/>
      <c r="Y298" s="24"/>
      <c r="Z298" s="24"/>
      <c r="AA298" s="24"/>
      <c r="AB298" s="24"/>
      <c r="AC298" s="24"/>
      <c r="AD298" s="24"/>
      <c r="AE298" s="24"/>
      <c r="AF298" s="24"/>
      <c r="AG298" s="24"/>
      <c r="AH298" s="24"/>
      <c r="AI298" s="24"/>
      <c r="AJ298" s="24"/>
      <c r="AK298" s="24"/>
      <c r="AL298" s="24"/>
      <c r="AM298" s="24"/>
      <c r="AN298" s="24"/>
      <c r="AO298" s="24"/>
    </row>
    <row r="299" spans="2:41">
      <c r="B299" s="24"/>
      <c r="C299" s="24"/>
      <c r="D299" s="24"/>
      <c r="E299" s="24"/>
      <c r="F299" s="24"/>
      <c r="G299" s="24"/>
      <c r="H299" s="24"/>
      <c r="J299" s="24"/>
      <c r="K299" s="24"/>
      <c r="L299" s="24"/>
      <c r="M299" s="24"/>
      <c r="N299" s="24"/>
      <c r="O299" s="516"/>
      <c r="P299" s="516"/>
      <c r="Q299" s="516"/>
      <c r="R299" s="516"/>
      <c r="S299" s="516"/>
      <c r="T299" s="516"/>
      <c r="U299" s="516"/>
      <c r="V299" s="516"/>
      <c r="W299" s="516"/>
      <c r="X299" s="24"/>
      <c r="Y299" s="24"/>
      <c r="Z299" s="24"/>
      <c r="AA299" s="24"/>
      <c r="AB299" s="24"/>
      <c r="AC299" s="24"/>
      <c r="AD299" s="24"/>
      <c r="AE299" s="24"/>
      <c r="AF299" s="24"/>
      <c r="AG299" s="24"/>
      <c r="AH299" s="24"/>
      <c r="AI299" s="24"/>
      <c r="AJ299" s="24"/>
      <c r="AK299" s="24"/>
      <c r="AL299" s="24"/>
      <c r="AM299" s="24"/>
      <c r="AN299" s="24"/>
      <c r="AO299" s="24"/>
    </row>
    <row r="300" spans="2:41">
      <c r="B300" s="24"/>
      <c r="C300" s="24"/>
      <c r="D300" s="24"/>
      <c r="E300" s="24"/>
      <c r="F300" s="24"/>
      <c r="G300" s="24"/>
      <c r="H300" s="24"/>
      <c r="J300" s="24"/>
      <c r="K300" s="24"/>
      <c r="L300" s="24"/>
      <c r="M300" s="24"/>
      <c r="N300" s="24"/>
      <c r="O300" s="516"/>
      <c r="P300" s="516"/>
      <c r="Q300" s="516"/>
      <c r="R300" s="516"/>
      <c r="S300" s="516"/>
      <c r="T300" s="516"/>
      <c r="U300" s="516"/>
      <c r="V300" s="516"/>
      <c r="W300" s="516"/>
      <c r="X300" s="24"/>
      <c r="Y300" s="24"/>
      <c r="Z300" s="24"/>
      <c r="AA300" s="24"/>
      <c r="AB300" s="24"/>
      <c r="AC300" s="24"/>
      <c r="AD300" s="24"/>
      <c r="AE300" s="24"/>
      <c r="AF300" s="24"/>
      <c r="AG300" s="24"/>
      <c r="AH300" s="24"/>
      <c r="AI300" s="24"/>
      <c r="AJ300" s="24"/>
      <c r="AK300" s="24"/>
      <c r="AL300" s="24"/>
      <c r="AM300" s="24"/>
      <c r="AN300" s="24"/>
      <c r="AO300" s="24"/>
    </row>
    <row r="301" spans="2:41">
      <c r="B301" s="24"/>
      <c r="C301" s="24"/>
      <c r="D301" s="24"/>
      <c r="E301" s="24"/>
      <c r="F301" s="24"/>
      <c r="G301" s="24"/>
      <c r="H301" s="24"/>
      <c r="J301" s="24"/>
      <c r="K301" s="24"/>
      <c r="L301" s="24"/>
      <c r="M301" s="24"/>
      <c r="N301" s="24"/>
      <c r="O301" s="516"/>
      <c r="P301" s="516"/>
      <c r="Q301" s="516"/>
      <c r="R301" s="516"/>
      <c r="S301" s="516"/>
      <c r="T301" s="516"/>
      <c r="U301" s="516"/>
      <c r="V301" s="516"/>
      <c r="W301" s="516"/>
      <c r="X301" s="24"/>
      <c r="Y301" s="24"/>
      <c r="Z301" s="24"/>
      <c r="AA301" s="24"/>
      <c r="AB301" s="24"/>
      <c r="AC301" s="24"/>
      <c r="AD301" s="24"/>
      <c r="AE301" s="24"/>
      <c r="AF301" s="24"/>
      <c r="AG301" s="24"/>
      <c r="AH301" s="24"/>
      <c r="AI301" s="24"/>
      <c r="AJ301" s="24"/>
      <c r="AK301" s="24"/>
      <c r="AL301" s="24"/>
      <c r="AM301" s="24"/>
      <c r="AN301" s="24"/>
      <c r="AO301" s="24"/>
    </row>
    <row r="302" spans="2:41">
      <c r="B302" s="24"/>
      <c r="C302" s="24"/>
      <c r="D302" s="24"/>
      <c r="E302" s="24"/>
      <c r="F302" s="24"/>
      <c r="G302" s="24"/>
      <c r="H302" s="24"/>
      <c r="J302" s="24"/>
      <c r="K302" s="24"/>
      <c r="L302" s="24"/>
      <c r="M302" s="24"/>
      <c r="N302" s="24"/>
      <c r="O302" s="516"/>
      <c r="P302" s="516"/>
      <c r="Q302" s="516"/>
      <c r="R302" s="516"/>
      <c r="S302" s="516"/>
      <c r="T302" s="516"/>
      <c r="U302" s="516"/>
      <c r="V302" s="516"/>
      <c r="W302" s="516"/>
      <c r="X302" s="24"/>
      <c r="Y302" s="24"/>
      <c r="Z302" s="24"/>
      <c r="AA302" s="24"/>
      <c r="AB302" s="24"/>
      <c r="AC302" s="24"/>
      <c r="AD302" s="24"/>
      <c r="AE302" s="24"/>
      <c r="AF302" s="24"/>
      <c r="AG302" s="24"/>
      <c r="AH302" s="24"/>
      <c r="AI302" s="24"/>
      <c r="AJ302" s="24"/>
      <c r="AK302" s="24"/>
      <c r="AL302" s="24"/>
      <c r="AM302" s="24"/>
      <c r="AN302" s="24"/>
      <c r="AO302" s="24"/>
    </row>
    <row r="303" spans="2:41">
      <c r="B303" s="24"/>
      <c r="C303" s="24"/>
      <c r="D303" s="24"/>
      <c r="E303" s="24"/>
      <c r="F303" s="24"/>
      <c r="G303" s="24"/>
      <c r="H303" s="24"/>
      <c r="J303" s="24"/>
      <c r="K303" s="24"/>
      <c r="L303" s="24"/>
      <c r="M303" s="24"/>
      <c r="N303" s="24"/>
      <c r="O303" s="516"/>
      <c r="P303" s="516"/>
      <c r="Q303" s="516"/>
      <c r="R303" s="516"/>
      <c r="S303" s="516"/>
      <c r="T303" s="516"/>
      <c r="U303" s="516"/>
      <c r="V303" s="516"/>
      <c r="W303" s="516"/>
      <c r="X303" s="24"/>
      <c r="Y303" s="24"/>
      <c r="Z303" s="24"/>
      <c r="AA303" s="24"/>
      <c r="AB303" s="24"/>
      <c r="AC303" s="24"/>
      <c r="AD303" s="24"/>
      <c r="AE303" s="24"/>
      <c r="AF303" s="24"/>
      <c r="AG303" s="24"/>
      <c r="AH303" s="24"/>
      <c r="AI303" s="24"/>
      <c r="AJ303" s="24"/>
      <c r="AK303" s="24"/>
      <c r="AL303" s="24"/>
      <c r="AM303" s="24"/>
      <c r="AN303" s="24"/>
      <c r="AO303" s="24"/>
    </row>
    <row r="304" spans="2:41">
      <c r="B304" s="24"/>
      <c r="C304" s="24"/>
      <c r="D304" s="24"/>
      <c r="E304" s="24"/>
      <c r="F304" s="24"/>
      <c r="G304" s="24"/>
      <c r="H304" s="24"/>
      <c r="J304" s="24"/>
      <c r="K304" s="24"/>
      <c r="L304" s="24"/>
      <c r="M304" s="24"/>
      <c r="N304" s="24"/>
      <c r="O304" s="516"/>
      <c r="P304" s="516"/>
      <c r="Q304" s="516"/>
      <c r="R304" s="516"/>
      <c r="S304" s="516"/>
      <c r="T304" s="516"/>
      <c r="U304" s="516"/>
      <c r="V304" s="516"/>
      <c r="W304" s="516"/>
      <c r="X304" s="24"/>
      <c r="Y304" s="24"/>
      <c r="Z304" s="24"/>
      <c r="AA304" s="24"/>
      <c r="AB304" s="24"/>
      <c r="AC304" s="24"/>
      <c r="AD304" s="24"/>
      <c r="AE304" s="24"/>
      <c r="AF304" s="24"/>
      <c r="AG304" s="24"/>
      <c r="AH304" s="24"/>
      <c r="AI304" s="24"/>
      <c r="AJ304" s="24"/>
      <c r="AK304" s="24"/>
      <c r="AL304" s="24"/>
      <c r="AM304" s="24"/>
      <c r="AN304" s="24"/>
      <c r="AO304" s="24"/>
    </row>
    <row r="305" spans="2:41">
      <c r="B305" s="24"/>
      <c r="C305" s="24"/>
      <c r="D305" s="24"/>
      <c r="E305" s="24"/>
      <c r="F305" s="24"/>
      <c r="G305" s="24"/>
      <c r="H305" s="24"/>
      <c r="J305" s="24"/>
      <c r="K305" s="24"/>
      <c r="L305" s="24"/>
      <c r="M305" s="24"/>
      <c r="N305" s="24"/>
      <c r="O305" s="516"/>
      <c r="P305" s="516"/>
      <c r="Q305" s="516"/>
      <c r="R305" s="516"/>
      <c r="S305" s="516"/>
      <c r="T305" s="516"/>
      <c r="U305" s="516"/>
      <c r="V305" s="516"/>
      <c r="W305" s="516"/>
      <c r="X305" s="24"/>
      <c r="Y305" s="24"/>
      <c r="Z305" s="24"/>
      <c r="AA305" s="24"/>
      <c r="AB305" s="24"/>
      <c r="AC305" s="24"/>
      <c r="AD305" s="24"/>
      <c r="AE305" s="24"/>
      <c r="AF305" s="24"/>
      <c r="AG305" s="24"/>
      <c r="AH305" s="24"/>
      <c r="AI305" s="24"/>
      <c r="AJ305" s="24"/>
      <c r="AK305" s="24"/>
      <c r="AL305" s="24"/>
      <c r="AM305" s="24"/>
      <c r="AN305" s="24"/>
      <c r="AO305" s="24"/>
    </row>
    <row r="306" spans="2:41">
      <c r="B306" s="24"/>
      <c r="C306" s="24"/>
      <c r="D306" s="24"/>
      <c r="E306" s="24"/>
      <c r="F306" s="24"/>
      <c r="G306" s="24"/>
      <c r="H306" s="24"/>
      <c r="J306" s="24"/>
      <c r="K306" s="24"/>
      <c r="L306" s="24"/>
      <c r="M306" s="24"/>
      <c r="N306" s="24"/>
      <c r="O306" s="516"/>
      <c r="P306" s="516"/>
      <c r="Q306" s="516"/>
      <c r="R306" s="516"/>
      <c r="S306" s="516"/>
      <c r="T306" s="516"/>
      <c r="U306" s="516"/>
      <c r="V306" s="516"/>
      <c r="W306" s="516"/>
      <c r="X306" s="24"/>
      <c r="Y306" s="24"/>
      <c r="Z306" s="24"/>
      <c r="AA306" s="24"/>
      <c r="AB306" s="24"/>
      <c r="AC306" s="24"/>
      <c r="AD306" s="24"/>
      <c r="AE306" s="24"/>
      <c r="AF306" s="24"/>
      <c r="AG306" s="24"/>
      <c r="AH306" s="24"/>
      <c r="AI306" s="24"/>
      <c r="AJ306" s="24"/>
      <c r="AK306" s="24"/>
      <c r="AL306" s="24"/>
      <c r="AM306" s="24"/>
      <c r="AN306" s="24"/>
      <c r="AO306" s="24"/>
    </row>
    <row r="307" spans="2:41">
      <c r="B307" s="24"/>
      <c r="C307" s="24"/>
      <c r="D307" s="24"/>
      <c r="E307" s="24"/>
      <c r="F307" s="24"/>
      <c r="G307" s="24"/>
      <c r="H307" s="24"/>
      <c r="J307" s="24"/>
      <c r="K307" s="24"/>
      <c r="L307" s="24"/>
      <c r="M307" s="24"/>
      <c r="N307" s="24"/>
      <c r="O307" s="516"/>
      <c r="P307" s="516"/>
      <c r="Q307" s="516"/>
      <c r="R307" s="516"/>
      <c r="S307" s="516"/>
      <c r="T307" s="516"/>
      <c r="U307" s="516"/>
      <c r="V307" s="516"/>
      <c r="W307" s="516"/>
      <c r="X307" s="24"/>
      <c r="Y307" s="24"/>
      <c r="Z307" s="24"/>
      <c r="AA307" s="24"/>
      <c r="AB307" s="24"/>
      <c r="AC307" s="24"/>
      <c r="AD307" s="24"/>
      <c r="AE307" s="24"/>
      <c r="AF307" s="24"/>
      <c r="AG307" s="24"/>
      <c r="AH307" s="24"/>
      <c r="AI307" s="24"/>
      <c r="AJ307" s="24"/>
      <c r="AK307" s="24"/>
      <c r="AL307" s="24"/>
      <c r="AM307" s="24"/>
      <c r="AN307" s="24"/>
      <c r="AO307" s="24"/>
    </row>
    <row r="308" spans="2:41">
      <c r="B308" s="24"/>
      <c r="C308" s="24"/>
      <c r="D308" s="24"/>
      <c r="E308" s="24"/>
      <c r="F308" s="24"/>
      <c r="G308" s="24"/>
      <c r="H308" s="24"/>
      <c r="J308" s="24"/>
      <c r="K308" s="24"/>
      <c r="L308" s="24"/>
      <c r="M308" s="24"/>
      <c r="N308" s="24"/>
      <c r="O308" s="516"/>
      <c r="P308" s="516"/>
      <c r="Q308" s="516"/>
      <c r="R308" s="516"/>
      <c r="S308" s="516"/>
      <c r="T308" s="516"/>
      <c r="U308" s="516"/>
      <c r="V308" s="516"/>
      <c r="W308" s="516"/>
      <c r="X308" s="24"/>
      <c r="Y308" s="24"/>
      <c r="Z308" s="24"/>
      <c r="AA308" s="24"/>
      <c r="AB308" s="24"/>
      <c r="AC308" s="24"/>
      <c r="AD308" s="24"/>
      <c r="AE308" s="24"/>
      <c r="AF308" s="24"/>
      <c r="AG308" s="24"/>
      <c r="AH308" s="24"/>
      <c r="AI308" s="24"/>
      <c r="AJ308" s="24"/>
      <c r="AK308" s="24"/>
      <c r="AL308" s="24"/>
      <c r="AM308" s="24"/>
      <c r="AN308" s="24"/>
      <c r="AO308" s="24"/>
    </row>
    <row r="309" spans="2:41">
      <c r="B309" s="24"/>
      <c r="C309" s="24"/>
      <c r="D309" s="24"/>
      <c r="E309" s="24"/>
      <c r="F309" s="24"/>
      <c r="G309" s="24"/>
      <c r="H309" s="24"/>
      <c r="J309" s="24"/>
      <c r="K309" s="24"/>
      <c r="L309" s="24"/>
      <c r="M309" s="24"/>
      <c r="N309" s="24"/>
      <c r="O309" s="516"/>
      <c r="P309" s="516"/>
      <c r="Q309" s="516"/>
      <c r="R309" s="516"/>
      <c r="S309" s="516"/>
      <c r="T309" s="516"/>
      <c r="U309" s="516"/>
      <c r="V309" s="516"/>
      <c r="W309" s="516"/>
      <c r="X309" s="24"/>
      <c r="Y309" s="24"/>
      <c r="Z309" s="24"/>
      <c r="AA309" s="24"/>
      <c r="AB309" s="24"/>
      <c r="AC309" s="24"/>
      <c r="AD309" s="24"/>
      <c r="AE309" s="24"/>
      <c r="AF309" s="24"/>
      <c r="AG309" s="24"/>
      <c r="AH309" s="24"/>
      <c r="AI309" s="24"/>
      <c r="AJ309" s="24"/>
      <c r="AK309" s="24"/>
      <c r="AL309" s="24"/>
      <c r="AM309" s="24"/>
      <c r="AN309" s="24"/>
      <c r="AO309" s="24"/>
    </row>
    <row r="310" spans="2:41">
      <c r="B310" s="24"/>
      <c r="C310" s="24"/>
      <c r="D310" s="24"/>
      <c r="E310" s="24"/>
      <c r="F310" s="24"/>
      <c r="G310" s="24"/>
      <c r="H310" s="24"/>
      <c r="J310" s="24"/>
      <c r="K310" s="24"/>
      <c r="L310" s="24"/>
      <c r="M310" s="24"/>
      <c r="N310" s="24"/>
      <c r="O310" s="516"/>
      <c r="P310" s="516"/>
      <c r="Q310" s="516"/>
      <c r="R310" s="516"/>
      <c r="S310" s="516"/>
      <c r="T310" s="516"/>
      <c r="U310" s="516"/>
      <c r="V310" s="516"/>
      <c r="W310" s="516"/>
      <c r="X310" s="24"/>
      <c r="Y310" s="24"/>
      <c r="Z310" s="24"/>
      <c r="AA310" s="24"/>
      <c r="AB310" s="24"/>
      <c r="AC310" s="24"/>
      <c r="AD310" s="24"/>
      <c r="AE310" s="24"/>
      <c r="AF310" s="24"/>
      <c r="AG310" s="24"/>
      <c r="AH310" s="24"/>
      <c r="AI310" s="24"/>
      <c r="AJ310" s="24"/>
      <c r="AK310" s="24"/>
      <c r="AL310" s="24"/>
      <c r="AM310" s="24"/>
      <c r="AN310" s="24"/>
      <c r="AO310" s="24"/>
    </row>
    <row r="311" spans="2:41">
      <c r="B311" s="24"/>
      <c r="C311" s="24"/>
      <c r="D311" s="24"/>
      <c r="E311" s="24"/>
      <c r="F311" s="24"/>
      <c r="G311" s="24"/>
      <c r="H311" s="24"/>
      <c r="J311" s="24"/>
      <c r="K311" s="24"/>
      <c r="L311" s="24"/>
      <c r="M311" s="24"/>
      <c r="N311" s="24"/>
      <c r="O311" s="516"/>
      <c r="P311" s="516"/>
      <c r="Q311" s="516"/>
      <c r="R311" s="516"/>
      <c r="S311" s="516"/>
      <c r="T311" s="516"/>
      <c r="U311" s="516"/>
      <c r="V311" s="516"/>
      <c r="W311" s="516"/>
      <c r="X311" s="24"/>
      <c r="Y311" s="24"/>
      <c r="Z311" s="24"/>
      <c r="AA311" s="24"/>
      <c r="AB311" s="24"/>
      <c r="AC311" s="24"/>
      <c r="AD311" s="24"/>
      <c r="AE311" s="24"/>
      <c r="AF311" s="24"/>
      <c r="AG311" s="24"/>
      <c r="AH311" s="24"/>
      <c r="AI311" s="24"/>
      <c r="AJ311" s="24"/>
      <c r="AK311" s="24"/>
      <c r="AL311" s="24"/>
      <c r="AM311" s="24"/>
      <c r="AN311" s="24"/>
      <c r="AO311" s="24"/>
    </row>
    <row r="312" spans="2:41">
      <c r="B312" s="24"/>
      <c r="C312" s="24"/>
      <c r="D312" s="24"/>
      <c r="E312" s="24"/>
      <c r="F312" s="24"/>
      <c r="G312" s="24"/>
      <c r="H312" s="24"/>
      <c r="J312" s="24"/>
      <c r="K312" s="24"/>
      <c r="L312" s="24"/>
      <c r="M312" s="24"/>
      <c r="N312" s="24"/>
      <c r="O312" s="516"/>
      <c r="P312" s="516"/>
      <c r="Q312" s="516"/>
      <c r="R312" s="516"/>
      <c r="S312" s="516"/>
      <c r="T312" s="516"/>
      <c r="U312" s="516"/>
      <c r="V312" s="516"/>
      <c r="W312" s="516"/>
      <c r="X312" s="24"/>
      <c r="Y312" s="24"/>
      <c r="Z312" s="24"/>
      <c r="AA312" s="24"/>
      <c r="AB312" s="24"/>
      <c r="AC312" s="24"/>
      <c r="AD312" s="24"/>
      <c r="AE312" s="24"/>
      <c r="AF312" s="24"/>
      <c r="AG312" s="24"/>
      <c r="AH312" s="24"/>
      <c r="AI312" s="24"/>
      <c r="AJ312" s="24"/>
      <c r="AK312" s="24"/>
      <c r="AL312" s="24"/>
      <c r="AM312" s="24"/>
      <c r="AN312" s="24"/>
      <c r="AO312" s="24"/>
    </row>
    <row r="313" spans="2:41">
      <c r="B313" s="24"/>
      <c r="C313" s="24"/>
      <c r="D313" s="24"/>
      <c r="E313" s="24"/>
      <c r="F313" s="24"/>
      <c r="G313" s="24"/>
      <c r="H313" s="24"/>
      <c r="J313" s="24"/>
      <c r="K313" s="24"/>
      <c r="L313" s="24"/>
      <c r="M313" s="24"/>
      <c r="N313" s="24"/>
      <c r="O313" s="516"/>
      <c r="P313" s="516"/>
      <c r="Q313" s="516"/>
      <c r="R313" s="516"/>
      <c r="S313" s="516"/>
      <c r="T313" s="516"/>
      <c r="U313" s="516"/>
      <c r="V313" s="516"/>
      <c r="W313" s="516"/>
      <c r="X313" s="24"/>
      <c r="Y313" s="24"/>
      <c r="Z313" s="24"/>
      <c r="AA313" s="24"/>
      <c r="AB313" s="24"/>
      <c r="AC313" s="24"/>
      <c r="AD313" s="24"/>
      <c r="AE313" s="24"/>
      <c r="AF313" s="24"/>
      <c r="AG313" s="24"/>
      <c r="AH313" s="24"/>
      <c r="AI313" s="24"/>
      <c r="AJ313" s="24"/>
      <c r="AK313" s="24"/>
      <c r="AL313" s="24"/>
      <c r="AM313" s="24"/>
      <c r="AN313" s="24"/>
      <c r="AO313" s="24"/>
    </row>
    <row r="314" spans="2:41">
      <c r="B314" s="24"/>
      <c r="C314" s="24"/>
      <c r="D314" s="24"/>
      <c r="E314" s="24"/>
      <c r="F314" s="24"/>
      <c r="G314" s="24"/>
      <c r="H314" s="24"/>
      <c r="J314" s="24"/>
      <c r="K314" s="24"/>
      <c r="L314" s="24"/>
      <c r="M314" s="24"/>
      <c r="N314" s="24"/>
      <c r="O314" s="516"/>
      <c r="P314" s="516"/>
      <c r="Q314" s="516"/>
      <c r="R314" s="516"/>
      <c r="S314" s="516"/>
      <c r="T314" s="516"/>
      <c r="U314" s="516"/>
      <c r="V314" s="516"/>
      <c r="W314" s="516"/>
      <c r="X314" s="24"/>
      <c r="Y314" s="24"/>
      <c r="Z314" s="24"/>
      <c r="AA314" s="24"/>
      <c r="AB314" s="24"/>
      <c r="AC314" s="24"/>
      <c r="AD314" s="24"/>
      <c r="AE314" s="24"/>
      <c r="AF314" s="24"/>
      <c r="AG314" s="24"/>
      <c r="AH314" s="24"/>
      <c r="AI314" s="24"/>
      <c r="AJ314" s="24"/>
      <c r="AK314" s="24"/>
      <c r="AL314" s="24"/>
      <c r="AM314" s="24"/>
      <c r="AN314" s="24"/>
      <c r="AO314" s="24"/>
    </row>
    <row r="315" spans="2:41">
      <c r="B315" s="24"/>
      <c r="C315" s="24"/>
      <c r="D315" s="24"/>
      <c r="E315" s="24"/>
      <c r="F315" s="24"/>
      <c r="G315" s="24"/>
      <c r="H315" s="24"/>
      <c r="J315" s="24"/>
      <c r="K315" s="24"/>
      <c r="L315" s="24"/>
      <c r="M315" s="24"/>
      <c r="N315" s="24"/>
      <c r="O315" s="516"/>
      <c r="P315" s="516"/>
      <c r="Q315" s="516"/>
      <c r="R315" s="516"/>
      <c r="S315" s="516"/>
      <c r="T315" s="516"/>
      <c r="U315" s="516"/>
      <c r="V315" s="516"/>
      <c r="W315" s="516"/>
      <c r="X315" s="24"/>
      <c r="Y315" s="24"/>
      <c r="Z315" s="24"/>
      <c r="AA315" s="24"/>
      <c r="AB315" s="24"/>
      <c r="AC315" s="24"/>
      <c r="AD315" s="24"/>
      <c r="AE315" s="24"/>
      <c r="AF315" s="24"/>
      <c r="AG315" s="24"/>
      <c r="AH315" s="24"/>
      <c r="AI315" s="24"/>
      <c r="AJ315" s="24"/>
      <c r="AK315" s="24"/>
      <c r="AL315" s="24"/>
      <c r="AM315" s="24"/>
      <c r="AN315" s="24"/>
      <c r="AO315" s="24"/>
    </row>
    <row r="316" spans="2:41">
      <c r="B316" s="24"/>
      <c r="C316" s="24"/>
      <c r="D316" s="24"/>
      <c r="E316" s="24"/>
      <c r="F316" s="24"/>
      <c r="G316" s="24"/>
      <c r="H316" s="24"/>
      <c r="J316" s="24"/>
      <c r="K316" s="24"/>
      <c r="L316" s="24"/>
      <c r="M316" s="24"/>
      <c r="N316" s="24"/>
      <c r="O316" s="516"/>
      <c r="P316" s="516"/>
      <c r="Q316" s="516"/>
      <c r="R316" s="516"/>
      <c r="S316" s="516"/>
      <c r="T316" s="516"/>
      <c r="U316" s="516"/>
      <c r="V316" s="516"/>
      <c r="W316" s="516"/>
      <c r="X316" s="24"/>
      <c r="Y316" s="24"/>
      <c r="Z316" s="24"/>
      <c r="AA316" s="24"/>
      <c r="AB316" s="24"/>
      <c r="AC316" s="24"/>
      <c r="AD316" s="24"/>
      <c r="AE316" s="24"/>
      <c r="AF316" s="24"/>
      <c r="AG316" s="24"/>
      <c r="AH316" s="24"/>
      <c r="AI316" s="24"/>
      <c r="AJ316" s="24"/>
      <c r="AK316" s="24"/>
      <c r="AL316" s="24"/>
      <c r="AM316" s="24"/>
      <c r="AN316" s="24"/>
      <c r="AO316" s="24"/>
    </row>
    <row r="317" spans="2:41">
      <c r="B317" s="24"/>
      <c r="C317" s="24"/>
      <c r="D317" s="24"/>
      <c r="E317" s="24"/>
      <c r="F317" s="24"/>
      <c r="G317" s="24"/>
      <c r="H317" s="24"/>
      <c r="J317" s="24"/>
      <c r="K317" s="24"/>
      <c r="L317" s="24"/>
      <c r="M317" s="24"/>
      <c r="N317" s="24"/>
      <c r="O317" s="516"/>
      <c r="P317" s="516"/>
      <c r="Q317" s="516"/>
      <c r="R317" s="516"/>
      <c r="S317" s="516"/>
      <c r="T317" s="516"/>
      <c r="U317" s="516"/>
      <c r="V317" s="516"/>
      <c r="W317" s="516"/>
      <c r="X317" s="24"/>
      <c r="Y317" s="24"/>
      <c r="Z317" s="24"/>
      <c r="AA317" s="24"/>
      <c r="AB317" s="24"/>
      <c r="AC317" s="24"/>
      <c r="AD317" s="24"/>
      <c r="AE317" s="24"/>
      <c r="AF317" s="24"/>
      <c r="AG317" s="24"/>
      <c r="AH317" s="24"/>
      <c r="AI317" s="24"/>
      <c r="AJ317" s="24"/>
      <c r="AK317" s="24"/>
      <c r="AL317" s="24"/>
      <c r="AM317" s="24"/>
      <c r="AN317" s="24"/>
      <c r="AO317" s="24"/>
    </row>
    <row r="318" spans="2:41">
      <c r="B318" s="24"/>
      <c r="C318" s="24"/>
      <c r="D318" s="24"/>
      <c r="E318" s="24"/>
      <c r="F318" s="24"/>
      <c r="G318" s="24"/>
      <c r="H318" s="24"/>
      <c r="J318" s="24"/>
      <c r="K318" s="24"/>
      <c r="L318" s="24"/>
      <c r="M318" s="24"/>
      <c r="N318" s="24"/>
      <c r="O318" s="516"/>
      <c r="P318" s="516"/>
      <c r="Q318" s="516"/>
      <c r="R318" s="516"/>
      <c r="S318" s="516"/>
      <c r="T318" s="516"/>
      <c r="U318" s="516"/>
      <c r="V318" s="516"/>
      <c r="W318" s="516"/>
      <c r="X318" s="24"/>
      <c r="Y318" s="24"/>
      <c r="Z318" s="24"/>
      <c r="AA318" s="24"/>
      <c r="AB318" s="24"/>
      <c r="AC318" s="24"/>
      <c r="AD318" s="24"/>
      <c r="AE318" s="24"/>
      <c r="AF318" s="24"/>
      <c r="AG318" s="24"/>
      <c r="AH318" s="24"/>
      <c r="AI318" s="24"/>
      <c r="AJ318" s="24"/>
      <c r="AK318" s="24"/>
      <c r="AL318" s="24"/>
      <c r="AM318" s="24"/>
      <c r="AN318" s="24"/>
      <c r="AO318" s="24"/>
    </row>
    <row r="319" spans="2:41">
      <c r="B319" s="24"/>
      <c r="C319" s="24"/>
      <c r="D319" s="24"/>
      <c r="E319" s="24"/>
      <c r="F319" s="24"/>
      <c r="G319" s="24"/>
      <c r="H319" s="24"/>
      <c r="J319" s="24"/>
      <c r="K319" s="24"/>
      <c r="L319" s="24"/>
      <c r="M319" s="24"/>
      <c r="N319" s="24"/>
      <c r="O319" s="516"/>
      <c r="P319" s="516"/>
      <c r="Q319" s="516"/>
      <c r="R319" s="516"/>
      <c r="S319" s="516"/>
      <c r="T319" s="516"/>
      <c r="U319" s="516"/>
      <c r="V319" s="516"/>
      <c r="W319" s="516"/>
      <c r="X319" s="24"/>
      <c r="Y319" s="24"/>
      <c r="Z319" s="24"/>
      <c r="AA319" s="24"/>
      <c r="AB319" s="24"/>
      <c r="AC319" s="24"/>
      <c r="AD319" s="24"/>
      <c r="AE319" s="24"/>
      <c r="AF319" s="24"/>
      <c r="AG319" s="24"/>
      <c r="AH319" s="24"/>
      <c r="AI319" s="24"/>
      <c r="AJ319" s="24"/>
      <c r="AK319" s="24"/>
      <c r="AL319" s="24"/>
      <c r="AM319" s="24"/>
      <c r="AN319" s="24"/>
      <c r="AO319" s="24"/>
    </row>
    <row r="320" spans="2:41">
      <c r="B320" s="24"/>
      <c r="C320" s="24"/>
      <c r="D320" s="24"/>
      <c r="E320" s="24"/>
      <c r="F320" s="24"/>
      <c r="G320" s="24"/>
      <c r="H320" s="24"/>
      <c r="J320" s="24"/>
      <c r="K320" s="24"/>
      <c r="L320" s="24"/>
      <c r="M320" s="24"/>
      <c r="N320" s="24"/>
      <c r="O320" s="516"/>
      <c r="P320" s="516"/>
      <c r="Q320" s="516"/>
      <c r="R320" s="516"/>
      <c r="S320" s="516"/>
      <c r="T320" s="516"/>
      <c r="U320" s="516"/>
      <c r="V320" s="516"/>
      <c r="W320" s="516"/>
      <c r="X320" s="24"/>
      <c r="Y320" s="24"/>
      <c r="Z320" s="24"/>
      <c r="AA320" s="24"/>
      <c r="AB320" s="24"/>
      <c r="AC320" s="24"/>
      <c r="AD320" s="24"/>
      <c r="AE320" s="24"/>
      <c r="AF320" s="24"/>
      <c r="AG320" s="24"/>
      <c r="AH320" s="24"/>
      <c r="AI320" s="24"/>
      <c r="AJ320" s="24"/>
      <c r="AK320" s="24"/>
      <c r="AL320" s="24"/>
      <c r="AM320" s="24"/>
      <c r="AN320" s="24"/>
      <c r="AO320" s="24"/>
    </row>
    <row r="321" spans="2:41">
      <c r="B321" s="24"/>
      <c r="C321" s="24"/>
      <c r="D321" s="24"/>
      <c r="E321" s="24"/>
      <c r="F321" s="24"/>
      <c r="G321" s="24"/>
      <c r="H321" s="24"/>
      <c r="J321" s="24"/>
      <c r="K321" s="24"/>
      <c r="L321" s="24"/>
      <c r="M321" s="24"/>
      <c r="N321" s="24"/>
      <c r="O321" s="516"/>
      <c r="P321" s="516"/>
      <c r="Q321" s="516"/>
      <c r="R321" s="516"/>
      <c r="S321" s="516"/>
      <c r="T321" s="516"/>
      <c r="U321" s="516"/>
      <c r="V321" s="516"/>
      <c r="W321" s="516"/>
      <c r="X321" s="24"/>
      <c r="Y321" s="24"/>
      <c r="Z321" s="24"/>
      <c r="AA321" s="24"/>
      <c r="AB321" s="24"/>
      <c r="AC321" s="24"/>
      <c r="AD321" s="24"/>
      <c r="AE321" s="24"/>
      <c r="AF321" s="24"/>
      <c r="AG321" s="24"/>
      <c r="AH321" s="24"/>
      <c r="AI321" s="24"/>
      <c r="AJ321" s="24"/>
      <c r="AK321" s="24"/>
      <c r="AL321" s="24"/>
      <c r="AM321" s="24"/>
      <c r="AN321" s="24"/>
      <c r="AO321" s="24"/>
    </row>
    <row r="322" spans="2:41">
      <c r="B322" s="24"/>
      <c r="C322" s="24"/>
      <c r="D322" s="24"/>
      <c r="E322" s="24"/>
      <c r="F322" s="24"/>
      <c r="G322" s="24"/>
      <c r="H322" s="24"/>
      <c r="J322" s="24"/>
      <c r="K322" s="24"/>
      <c r="L322" s="24"/>
      <c r="M322" s="24"/>
      <c r="N322" s="24"/>
      <c r="O322" s="516"/>
      <c r="P322" s="516"/>
      <c r="Q322" s="516"/>
      <c r="R322" s="516"/>
      <c r="S322" s="516"/>
      <c r="T322" s="516"/>
      <c r="U322" s="516"/>
      <c r="V322" s="516"/>
      <c r="W322" s="516"/>
      <c r="X322" s="24"/>
      <c r="Y322" s="24"/>
      <c r="Z322" s="24"/>
      <c r="AA322" s="24"/>
      <c r="AB322" s="24"/>
      <c r="AC322" s="24"/>
      <c r="AD322" s="24"/>
      <c r="AE322" s="24"/>
      <c r="AF322" s="24"/>
      <c r="AG322" s="24"/>
      <c r="AH322" s="24"/>
      <c r="AI322" s="24"/>
      <c r="AJ322" s="24"/>
      <c r="AK322" s="24"/>
      <c r="AL322" s="24"/>
      <c r="AM322" s="24"/>
      <c r="AN322" s="24"/>
      <c r="AO322" s="24"/>
    </row>
    <row r="323" spans="2:41">
      <c r="B323" s="24"/>
      <c r="C323" s="24"/>
      <c r="D323" s="24"/>
      <c r="E323" s="24"/>
      <c r="F323" s="24"/>
      <c r="G323" s="24"/>
      <c r="H323" s="24"/>
      <c r="J323" s="24"/>
      <c r="K323" s="24"/>
      <c r="L323" s="24"/>
      <c r="M323" s="24"/>
      <c r="N323" s="24"/>
      <c r="O323" s="516"/>
      <c r="P323" s="516"/>
      <c r="Q323" s="516"/>
      <c r="R323" s="516"/>
      <c r="S323" s="516"/>
      <c r="T323" s="516"/>
      <c r="U323" s="516"/>
      <c r="V323" s="516"/>
      <c r="W323" s="516"/>
      <c r="X323" s="24"/>
      <c r="Y323" s="24"/>
      <c r="Z323" s="24"/>
      <c r="AA323" s="24"/>
      <c r="AB323" s="24"/>
      <c r="AC323" s="24"/>
      <c r="AD323" s="24"/>
      <c r="AE323" s="24"/>
      <c r="AF323" s="24"/>
      <c r="AG323" s="24"/>
      <c r="AH323" s="24"/>
      <c r="AI323" s="24"/>
      <c r="AJ323" s="24"/>
      <c r="AK323" s="24"/>
      <c r="AL323" s="24"/>
      <c r="AM323" s="24"/>
      <c r="AN323" s="24"/>
      <c r="AO323" s="24"/>
    </row>
    <row r="324" spans="2:41">
      <c r="B324" s="24"/>
      <c r="C324" s="24"/>
      <c r="D324" s="24"/>
      <c r="E324" s="24"/>
      <c r="F324" s="24"/>
      <c r="G324" s="24"/>
      <c r="H324" s="24"/>
      <c r="J324" s="24"/>
      <c r="K324" s="24"/>
      <c r="L324" s="24"/>
      <c r="M324" s="24"/>
      <c r="N324" s="24"/>
      <c r="O324" s="516"/>
      <c r="P324" s="516"/>
      <c r="Q324" s="516"/>
      <c r="R324" s="516"/>
      <c r="S324" s="516"/>
      <c r="T324" s="516"/>
      <c r="U324" s="516"/>
      <c r="V324" s="516"/>
      <c r="W324" s="516"/>
      <c r="X324" s="24"/>
      <c r="Y324" s="24"/>
      <c r="Z324" s="24"/>
      <c r="AA324" s="24"/>
      <c r="AB324" s="24"/>
      <c r="AC324" s="24"/>
      <c r="AD324" s="24"/>
      <c r="AE324" s="24"/>
      <c r="AF324" s="24"/>
      <c r="AG324" s="24"/>
      <c r="AH324" s="24"/>
      <c r="AI324" s="24"/>
      <c r="AJ324" s="24"/>
      <c r="AK324" s="24"/>
      <c r="AL324" s="24"/>
      <c r="AM324" s="24"/>
      <c r="AN324" s="24"/>
      <c r="AO324" s="24"/>
    </row>
    <row r="325" spans="2:41">
      <c r="B325" s="24"/>
      <c r="C325" s="24"/>
      <c r="D325" s="24"/>
      <c r="E325" s="24"/>
      <c r="F325" s="24"/>
      <c r="G325" s="24"/>
      <c r="H325" s="24"/>
      <c r="J325" s="24"/>
      <c r="K325" s="24"/>
      <c r="L325" s="24"/>
      <c r="M325" s="24"/>
      <c r="N325" s="24"/>
      <c r="O325" s="516"/>
      <c r="P325" s="516"/>
      <c r="Q325" s="516"/>
      <c r="R325" s="516"/>
      <c r="S325" s="516"/>
      <c r="T325" s="516"/>
      <c r="U325" s="516"/>
      <c r="V325" s="516"/>
      <c r="W325" s="516"/>
      <c r="X325" s="24"/>
      <c r="Y325" s="24"/>
      <c r="Z325" s="24"/>
      <c r="AA325" s="24"/>
      <c r="AB325" s="24"/>
      <c r="AC325" s="24"/>
      <c r="AD325" s="24"/>
      <c r="AE325" s="24"/>
      <c r="AF325" s="24"/>
      <c r="AG325" s="24"/>
      <c r="AH325" s="24"/>
      <c r="AI325" s="24"/>
      <c r="AJ325" s="24"/>
      <c r="AK325" s="24"/>
      <c r="AL325" s="24"/>
      <c r="AM325" s="24"/>
      <c r="AN325" s="24"/>
      <c r="AO325" s="24"/>
    </row>
    <row r="326" spans="2:41">
      <c r="B326" s="24"/>
      <c r="C326" s="24"/>
      <c r="D326" s="24"/>
      <c r="E326" s="24"/>
      <c r="F326" s="24"/>
      <c r="G326" s="24"/>
      <c r="H326" s="24"/>
      <c r="J326" s="24"/>
      <c r="K326" s="24"/>
      <c r="L326" s="24"/>
      <c r="M326" s="24"/>
      <c r="N326" s="24"/>
      <c r="O326" s="516"/>
      <c r="P326" s="516"/>
      <c r="Q326" s="516"/>
      <c r="R326" s="516"/>
      <c r="S326" s="516"/>
      <c r="T326" s="516"/>
      <c r="U326" s="516"/>
      <c r="V326" s="516"/>
      <c r="W326" s="516"/>
      <c r="X326" s="24"/>
      <c r="Y326" s="24"/>
      <c r="Z326" s="24"/>
      <c r="AA326" s="24"/>
      <c r="AB326" s="24"/>
      <c r="AC326" s="24"/>
      <c r="AD326" s="24"/>
      <c r="AE326" s="24"/>
      <c r="AF326" s="24"/>
      <c r="AG326" s="24"/>
      <c r="AH326" s="24"/>
      <c r="AI326" s="24"/>
      <c r="AJ326" s="24"/>
      <c r="AK326" s="24"/>
      <c r="AL326" s="24"/>
      <c r="AM326" s="24"/>
      <c r="AN326" s="24"/>
      <c r="AO326" s="24"/>
    </row>
    <row r="327" spans="2:41">
      <c r="B327" s="24"/>
      <c r="C327" s="24"/>
      <c r="D327" s="24"/>
      <c r="E327" s="24"/>
      <c r="F327" s="24"/>
      <c r="G327" s="24"/>
      <c r="H327" s="24"/>
      <c r="J327" s="24"/>
      <c r="K327" s="24"/>
      <c r="L327" s="24"/>
      <c r="M327" s="24"/>
      <c r="N327" s="24"/>
      <c r="O327" s="516"/>
      <c r="P327" s="516"/>
      <c r="Q327" s="516"/>
      <c r="R327" s="516"/>
      <c r="S327" s="516"/>
      <c r="T327" s="516"/>
      <c r="U327" s="516"/>
      <c r="V327" s="516"/>
      <c r="W327" s="516"/>
      <c r="X327" s="24"/>
      <c r="Y327" s="24"/>
      <c r="Z327" s="24"/>
      <c r="AA327" s="24"/>
      <c r="AB327" s="24"/>
      <c r="AC327" s="24"/>
      <c r="AD327" s="24"/>
      <c r="AE327" s="24"/>
      <c r="AF327" s="24"/>
      <c r="AG327" s="24"/>
      <c r="AH327" s="24"/>
      <c r="AI327" s="24"/>
      <c r="AJ327" s="24"/>
      <c r="AK327" s="24"/>
      <c r="AL327" s="24"/>
      <c r="AM327" s="24"/>
      <c r="AN327" s="24"/>
      <c r="AO327" s="24"/>
    </row>
    <row r="328" spans="2:41">
      <c r="B328" s="24"/>
      <c r="C328" s="24"/>
      <c r="D328" s="24"/>
      <c r="E328" s="24"/>
      <c r="F328" s="24"/>
      <c r="G328" s="24"/>
      <c r="H328" s="24"/>
      <c r="J328" s="24"/>
      <c r="K328" s="24"/>
      <c r="L328" s="24"/>
      <c r="M328" s="24"/>
      <c r="N328" s="24"/>
      <c r="O328" s="516"/>
      <c r="P328" s="516"/>
      <c r="Q328" s="516"/>
      <c r="R328" s="516"/>
      <c r="S328" s="516"/>
      <c r="T328" s="516"/>
      <c r="U328" s="516"/>
      <c r="V328" s="516"/>
      <c r="W328" s="516"/>
      <c r="X328" s="24"/>
      <c r="Y328" s="24"/>
      <c r="Z328" s="24"/>
      <c r="AA328" s="24"/>
      <c r="AB328" s="24"/>
      <c r="AC328" s="24"/>
      <c r="AD328" s="24"/>
      <c r="AE328" s="24"/>
      <c r="AF328" s="24"/>
      <c r="AG328" s="24"/>
      <c r="AH328" s="24"/>
      <c r="AI328" s="24"/>
      <c r="AJ328" s="24"/>
      <c r="AK328" s="24"/>
      <c r="AL328" s="24"/>
      <c r="AM328" s="24"/>
      <c r="AN328" s="24"/>
      <c r="AO328" s="24"/>
    </row>
    <row r="329" spans="2:41">
      <c r="B329" s="24"/>
      <c r="C329" s="24"/>
      <c r="D329" s="24"/>
      <c r="E329" s="24"/>
      <c r="F329" s="24"/>
      <c r="G329" s="24"/>
      <c r="H329" s="24"/>
      <c r="J329" s="24"/>
      <c r="K329" s="24"/>
      <c r="L329" s="24"/>
      <c r="M329" s="24"/>
      <c r="N329" s="24"/>
      <c r="O329" s="516"/>
      <c r="P329" s="516"/>
      <c r="Q329" s="516"/>
      <c r="R329" s="516"/>
      <c r="S329" s="516"/>
      <c r="T329" s="516"/>
      <c r="U329" s="516"/>
      <c r="V329" s="516"/>
      <c r="W329" s="516"/>
      <c r="X329" s="24"/>
      <c r="Y329" s="24"/>
      <c r="Z329" s="24"/>
      <c r="AA329" s="24"/>
      <c r="AB329" s="24"/>
      <c r="AC329" s="24"/>
      <c r="AD329" s="24"/>
      <c r="AE329" s="24"/>
      <c r="AF329" s="24"/>
      <c r="AG329" s="24"/>
      <c r="AH329" s="24"/>
      <c r="AI329" s="24"/>
      <c r="AJ329" s="24"/>
      <c r="AK329" s="24"/>
      <c r="AL329" s="24"/>
      <c r="AM329" s="24"/>
      <c r="AN329" s="24"/>
      <c r="AO329" s="24"/>
    </row>
    <row r="330" spans="2:41">
      <c r="B330" s="24"/>
      <c r="C330" s="24"/>
      <c r="D330" s="24"/>
      <c r="E330" s="24"/>
      <c r="F330" s="24"/>
      <c r="G330" s="24"/>
      <c r="H330" s="24"/>
      <c r="J330" s="24"/>
      <c r="K330" s="24"/>
      <c r="L330" s="24"/>
      <c r="M330" s="24"/>
      <c r="N330" s="24"/>
      <c r="O330" s="516"/>
      <c r="P330" s="516"/>
      <c r="Q330" s="516"/>
      <c r="R330" s="516"/>
      <c r="S330" s="516"/>
      <c r="T330" s="516"/>
      <c r="U330" s="516"/>
      <c r="V330" s="516"/>
      <c r="W330" s="516"/>
      <c r="X330" s="24"/>
      <c r="Y330" s="24"/>
      <c r="Z330" s="24"/>
      <c r="AA330" s="24"/>
      <c r="AB330" s="24"/>
      <c r="AC330" s="24"/>
      <c r="AD330" s="24"/>
      <c r="AE330" s="24"/>
      <c r="AF330" s="24"/>
      <c r="AG330" s="24"/>
      <c r="AH330" s="24"/>
      <c r="AI330" s="24"/>
      <c r="AJ330" s="24"/>
      <c r="AK330" s="24"/>
      <c r="AL330" s="24"/>
      <c r="AM330" s="24"/>
      <c r="AN330" s="24"/>
      <c r="AO330" s="24"/>
    </row>
    <row r="331" spans="2:41">
      <c r="B331" s="24"/>
      <c r="C331" s="24"/>
      <c r="D331" s="24"/>
      <c r="E331" s="24"/>
      <c r="F331" s="24"/>
      <c r="G331" s="24"/>
      <c r="H331" s="24"/>
      <c r="J331" s="24"/>
      <c r="K331" s="24"/>
      <c r="L331" s="24"/>
      <c r="M331" s="24"/>
      <c r="N331" s="24"/>
      <c r="O331" s="516"/>
      <c r="P331" s="516"/>
      <c r="Q331" s="516"/>
      <c r="R331" s="516"/>
      <c r="S331" s="516"/>
      <c r="T331" s="516"/>
      <c r="U331" s="516"/>
      <c r="V331" s="516"/>
      <c r="W331" s="516"/>
      <c r="X331" s="24"/>
      <c r="Y331" s="24"/>
      <c r="Z331" s="24"/>
      <c r="AA331" s="24"/>
      <c r="AB331" s="24"/>
      <c r="AC331" s="24"/>
      <c r="AD331" s="24"/>
      <c r="AE331" s="24"/>
      <c r="AF331" s="24"/>
      <c r="AG331" s="24"/>
      <c r="AH331" s="24"/>
      <c r="AI331" s="24"/>
      <c r="AJ331" s="24"/>
      <c r="AK331" s="24"/>
      <c r="AL331" s="24"/>
      <c r="AM331" s="24"/>
      <c r="AN331" s="24"/>
      <c r="AO331" s="24"/>
    </row>
    <row r="332" spans="2:41">
      <c r="B332" s="24"/>
      <c r="C332" s="24"/>
      <c r="D332" s="24"/>
      <c r="E332" s="24"/>
      <c r="F332" s="24"/>
      <c r="G332" s="24"/>
      <c r="H332" s="24"/>
      <c r="J332" s="24"/>
      <c r="K332" s="24"/>
      <c r="L332" s="24"/>
      <c r="M332" s="24"/>
      <c r="N332" s="24"/>
      <c r="O332" s="516"/>
      <c r="P332" s="516"/>
      <c r="Q332" s="516"/>
      <c r="R332" s="516"/>
      <c r="S332" s="516"/>
      <c r="T332" s="516"/>
      <c r="U332" s="516"/>
      <c r="V332" s="516"/>
      <c r="W332" s="516"/>
      <c r="X332" s="24"/>
      <c r="Y332" s="24"/>
      <c r="Z332" s="24"/>
      <c r="AA332" s="24"/>
      <c r="AB332" s="24"/>
      <c r="AC332" s="24"/>
      <c r="AD332" s="24"/>
      <c r="AE332" s="24"/>
      <c r="AF332" s="24"/>
      <c r="AG332" s="24"/>
      <c r="AH332" s="24"/>
      <c r="AI332" s="24"/>
      <c r="AJ332" s="24"/>
      <c r="AK332" s="24"/>
      <c r="AL332" s="24"/>
      <c r="AM332" s="24"/>
      <c r="AN332" s="24"/>
      <c r="AO332" s="24"/>
    </row>
    <row r="333" spans="2:41">
      <c r="B333" s="24"/>
      <c r="C333" s="24"/>
      <c r="D333" s="24"/>
      <c r="E333" s="24"/>
      <c r="F333" s="24"/>
      <c r="G333" s="24"/>
      <c r="H333" s="24"/>
      <c r="J333" s="24"/>
      <c r="K333" s="24"/>
      <c r="L333" s="24"/>
      <c r="M333" s="24"/>
      <c r="N333" s="24"/>
      <c r="O333" s="516"/>
      <c r="P333" s="516"/>
      <c r="Q333" s="516"/>
      <c r="R333" s="516"/>
      <c r="S333" s="516"/>
      <c r="T333" s="516"/>
      <c r="U333" s="516"/>
      <c r="V333" s="516"/>
      <c r="W333" s="516"/>
      <c r="X333" s="24"/>
      <c r="Y333" s="24"/>
      <c r="Z333" s="24"/>
      <c r="AA333" s="24"/>
      <c r="AB333" s="24"/>
      <c r="AC333" s="24"/>
      <c r="AD333" s="24"/>
      <c r="AE333" s="24"/>
      <c r="AF333" s="24"/>
      <c r="AG333" s="24"/>
      <c r="AH333" s="24"/>
      <c r="AI333" s="24"/>
      <c r="AJ333" s="24"/>
      <c r="AK333" s="24"/>
      <c r="AL333" s="24"/>
      <c r="AM333" s="24"/>
      <c r="AN333" s="24"/>
      <c r="AO333" s="24"/>
    </row>
    <row r="334" spans="2:41">
      <c r="B334" s="24"/>
      <c r="C334" s="24"/>
      <c r="D334" s="24"/>
      <c r="E334" s="24"/>
      <c r="F334" s="24"/>
      <c r="G334" s="24"/>
      <c r="H334" s="24"/>
      <c r="J334" s="24"/>
      <c r="K334" s="24"/>
      <c r="L334" s="24"/>
      <c r="M334" s="24"/>
      <c r="N334" s="24"/>
      <c r="O334" s="516"/>
      <c r="P334" s="516"/>
      <c r="Q334" s="516"/>
      <c r="R334" s="516"/>
      <c r="S334" s="516"/>
      <c r="T334" s="516"/>
      <c r="U334" s="516"/>
      <c r="V334" s="516"/>
      <c r="W334" s="516"/>
      <c r="X334" s="24"/>
      <c r="Y334" s="24"/>
      <c r="Z334" s="24"/>
      <c r="AA334" s="24"/>
      <c r="AB334" s="24"/>
      <c r="AC334" s="24"/>
      <c r="AD334" s="24"/>
      <c r="AE334" s="24"/>
      <c r="AF334" s="24"/>
      <c r="AG334" s="24"/>
      <c r="AH334" s="24"/>
      <c r="AI334" s="24"/>
      <c r="AJ334" s="24"/>
      <c r="AK334" s="24"/>
      <c r="AL334" s="24"/>
      <c r="AM334" s="24"/>
      <c r="AN334" s="24"/>
      <c r="AO334" s="24"/>
    </row>
    <row r="335" spans="2:41">
      <c r="B335" s="24"/>
      <c r="C335" s="24"/>
      <c r="D335" s="24"/>
      <c r="E335" s="24"/>
      <c r="F335" s="24"/>
      <c r="G335" s="24"/>
      <c r="H335" s="24"/>
      <c r="J335" s="24"/>
      <c r="K335" s="24"/>
      <c r="L335" s="24"/>
      <c r="M335" s="24"/>
      <c r="N335" s="24"/>
      <c r="O335" s="516"/>
      <c r="P335" s="516"/>
      <c r="Q335" s="516"/>
      <c r="R335" s="516"/>
      <c r="S335" s="516"/>
      <c r="T335" s="516"/>
      <c r="U335" s="516"/>
      <c r="V335" s="516"/>
      <c r="W335" s="516"/>
      <c r="X335" s="24"/>
      <c r="Y335" s="24"/>
      <c r="Z335" s="24"/>
      <c r="AA335" s="24"/>
      <c r="AB335" s="24"/>
      <c r="AC335" s="24"/>
      <c r="AD335" s="24"/>
      <c r="AE335" s="24"/>
      <c r="AF335" s="24"/>
      <c r="AG335" s="24"/>
      <c r="AH335" s="24"/>
      <c r="AI335" s="24"/>
      <c r="AJ335" s="24"/>
      <c r="AK335" s="24"/>
      <c r="AL335" s="24"/>
      <c r="AM335" s="24"/>
      <c r="AN335" s="24"/>
      <c r="AO335" s="24"/>
    </row>
    <row r="336" spans="2:41">
      <c r="B336" s="24"/>
      <c r="C336" s="24"/>
      <c r="D336" s="24"/>
      <c r="E336" s="24"/>
      <c r="F336" s="24"/>
      <c r="G336" s="24"/>
      <c r="H336" s="24"/>
      <c r="J336" s="24"/>
      <c r="K336" s="24"/>
      <c r="L336" s="24"/>
      <c r="M336" s="24"/>
      <c r="N336" s="24"/>
      <c r="O336" s="516"/>
      <c r="P336" s="516"/>
      <c r="Q336" s="516"/>
      <c r="R336" s="516"/>
      <c r="S336" s="516"/>
      <c r="T336" s="516"/>
      <c r="U336" s="516"/>
      <c r="V336" s="516"/>
      <c r="W336" s="516"/>
      <c r="X336" s="24"/>
      <c r="Y336" s="24"/>
      <c r="Z336" s="24"/>
      <c r="AA336" s="24"/>
      <c r="AB336" s="24"/>
      <c r="AC336" s="24"/>
      <c r="AD336" s="24"/>
      <c r="AE336" s="24"/>
      <c r="AF336" s="24"/>
      <c r="AG336" s="24"/>
      <c r="AH336" s="24"/>
      <c r="AI336" s="24"/>
      <c r="AJ336" s="24"/>
      <c r="AK336" s="24"/>
      <c r="AL336" s="24"/>
      <c r="AM336" s="24"/>
      <c r="AN336" s="24"/>
      <c r="AO336" s="24"/>
    </row>
    <row r="337" spans="2:41">
      <c r="B337" s="24"/>
      <c r="C337" s="24"/>
      <c r="D337" s="24"/>
      <c r="E337" s="24"/>
      <c r="F337" s="24"/>
      <c r="G337" s="24"/>
      <c r="H337" s="24"/>
      <c r="J337" s="24"/>
      <c r="K337" s="24"/>
      <c r="L337" s="24"/>
      <c r="M337" s="24"/>
      <c r="N337" s="24"/>
      <c r="O337" s="516"/>
      <c r="P337" s="516"/>
      <c r="Q337" s="516"/>
      <c r="R337" s="516"/>
      <c r="S337" s="516"/>
      <c r="T337" s="516"/>
      <c r="U337" s="516"/>
      <c r="V337" s="516"/>
      <c r="W337" s="516"/>
      <c r="X337" s="24"/>
      <c r="Y337" s="24"/>
      <c r="Z337" s="24"/>
      <c r="AA337" s="24"/>
      <c r="AB337" s="24"/>
      <c r="AC337" s="24"/>
      <c r="AD337" s="24"/>
      <c r="AE337" s="24"/>
      <c r="AF337" s="24"/>
      <c r="AG337" s="24"/>
      <c r="AH337" s="24"/>
      <c r="AI337" s="24"/>
      <c r="AJ337" s="24"/>
      <c r="AK337" s="24"/>
      <c r="AL337" s="24"/>
      <c r="AM337" s="24"/>
      <c r="AN337" s="24"/>
      <c r="AO337" s="24"/>
    </row>
    <row r="338" spans="2:41">
      <c r="B338" s="24"/>
      <c r="C338" s="24"/>
      <c r="D338" s="24"/>
      <c r="E338" s="24"/>
      <c r="F338" s="24"/>
      <c r="G338" s="24"/>
      <c r="H338" s="24"/>
      <c r="J338" s="24"/>
      <c r="K338" s="24"/>
      <c r="L338" s="24"/>
      <c r="M338" s="24"/>
      <c r="N338" s="24"/>
      <c r="O338" s="516"/>
      <c r="P338" s="516"/>
      <c r="Q338" s="516"/>
      <c r="R338" s="516"/>
      <c r="S338" s="516"/>
      <c r="T338" s="516"/>
      <c r="U338" s="516"/>
      <c r="V338" s="516"/>
      <c r="W338" s="516"/>
      <c r="X338" s="24"/>
      <c r="Y338" s="24"/>
      <c r="Z338" s="24"/>
      <c r="AA338" s="24"/>
      <c r="AB338" s="24"/>
      <c r="AC338" s="24"/>
      <c r="AD338" s="24"/>
      <c r="AE338" s="24"/>
      <c r="AF338" s="24"/>
      <c r="AG338" s="24"/>
      <c r="AH338" s="24"/>
      <c r="AI338" s="24"/>
      <c r="AJ338" s="24"/>
      <c r="AK338" s="24"/>
      <c r="AL338" s="24"/>
      <c r="AM338" s="24"/>
      <c r="AN338" s="24"/>
      <c r="AO338" s="24"/>
    </row>
    <row r="339" spans="2:41">
      <c r="B339" s="24"/>
      <c r="C339" s="24"/>
      <c r="D339" s="24"/>
      <c r="E339" s="24"/>
      <c r="F339" s="24"/>
      <c r="G339" s="24"/>
      <c r="H339" s="24"/>
      <c r="J339" s="24"/>
      <c r="K339" s="24"/>
      <c r="L339" s="24"/>
      <c r="M339" s="24"/>
      <c r="N339" s="24"/>
      <c r="O339" s="516"/>
      <c r="P339" s="516"/>
      <c r="Q339" s="516"/>
      <c r="R339" s="516"/>
      <c r="S339" s="516"/>
      <c r="T339" s="516"/>
      <c r="U339" s="516"/>
      <c r="V339" s="516"/>
      <c r="W339" s="516"/>
      <c r="X339" s="24"/>
      <c r="Y339" s="24"/>
      <c r="Z339" s="24"/>
      <c r="AA339" s="24"/>
      <c r="AB339" s="24"/>
      <c r="AC339" s="24"/>
      <c r="AD339" s="24"/>
      <c r="AE339" s="24"/>
      <c r="AF339" s="24"/>
      <c r="AG339" s="24"/>
      <c r="AH339" s="24"/>
      <c r="AI339" s="24"/>
      <c r="AJ339" s="24"/>
      <c r="AK339" s="24"/>
      <c r="AL339" s="24"/>
      <c r="AM339" s="24"/>
      <c r="AN339" s="24"/>
      <c r="AO339" s="24"/>
    </row>
    <row r="340" spans="2:41">
      <c r="B340" s="24"/>
      <c r="C340" s="24"/>
      <c r="D340" s="24"/>
      <c r="E340" s="24"/>
      <c r="F340" s="24"/>
      <c r="G340" s="24"/>
      <c r="H340" s="24"/>
      <c r="J340" s="24"/>
      <c r="K340" s="24"/>
      <c r="L340" s="24"/>
      <c r="M340" s="24"/>
      <c r="N340" s="24"/>
      <c r="O340" s="516"/>
      <c r="P340" s="516"/>
      <c r="Q340" s="516"/>
      <c r="R340" s="516"/>
      <c r="S340" s="516"/>
      <c r="T340" s="516"/>
      <c r="U340" s="516"/>
      <c r="V340" s="516"/>
      <c r="W340" s="516"/>
      <c r="X340" s="24"/>
      <c r="Y340" s="24"/>
      <c r="Z340" s="24"/>
      <c r="AA340" s="24"/>
      <c r="AB340" s="24"/>
      <c r="AC340" s="24"/>
      <c r="AD340" s="24"/>
      <c r="AE340" s="24"/>
      <c r="AF340" s="24"/>
      <c r="AG340" s="24"/>
      <c r="AH340" s="24"/>
      <c r="AI340" s="24"/>
      <c r="AJ340" s="24"/>
      <c r="AK340" s="24"/>
      <c r="AL340" s="24"/>
      <c r="AM340" s="24"/>
      <c r="AN340" s="24"/>
      <c r="AO340" s="24"/>
    </row>
    <row r="341" spans="2:41">
      <c r="B341" s="24"/>
      <c r="C341" s="24"/>
      <c r="D341" s="24"/>
      <c r="E341" s="24"/>
      <c r="F341" s="24"/>
      <c r="G341" s="24"/>
      <c r="H341" s="24"/>
      <c r="J341" s="24"/>
      <c r="K341" s="24"/>
      <c r="L341" s="24"/>
      <c r="M341" s="24"/>
      <c r="N341" s="24"/>
      <c r="O341" s="516"/>
      <c r="P341" s="516"/>
      <c r="Q341" s="516"/>
      <c r="R341" s="516"/>
      <c r="S341" s="516"/>
      <c r="T341" s="516"/>
      <c r="U341" s="516"/>
      <c r="V341" s="516"/>
      <c r="W341" s="516"/>
      <c r="X341" s="24"/>
      <c r="Y341" s="24"/>
      <c r="Z341" s="24"/>
      <c r="AA341" s="24"/>
      <c r="AB341" s="24"/>
      <c r="AC341" s="24"/>
      <c r="AD341" s="24"/>
      <c r="AE341" s="24"/>
      <c r="AF341" s="24"/>
      <c r="AG341" s="24"/>
      <c r="AH341" s="24"/>
      <c r="AI341" s="24"/>
      <c r="AJ341" s="24"/>
      <c r="AK341" s="24"/>
      <c r="AL341" s="24"/>
      <c r="AM341" s="24"/>
      <c r="AN341" s="24"/>
      <c r="AO341" s="24"/>
    </row>
    <row r="342" spans="2:41">
      <c r="B342" s="24"/>
      <c r="C342" s="24"/>
      <c r="D342" s="24"/>
      <c r="E342" s="24"/>
      <c r="F342" s="24"/>
      <c r="G342" s="24"/>
      <c r="H342" s="24"/>
      <c r="J342" s="24"/>
      <c r="K342" s="24"/>
      <c r="L342" s="24"/>
      <c r="M342" s="24"/>
      <c r="N342" s="24"/>
      <c r="O342" s="516"/>
      <c r="P342" s="516"/>
      <c r="Q342" s="516"/>
      <c r="R342" s="516"/>
      <c r="S342" s="516"/>
      <c r="T342" s="516"/>
      <c r="U342" s="516"/>
      <c r="V342" s="516"/>
      <c r="W342" s="516"/>
      <c r="X342" s="24"/>
      <c r="Y342" s="24"/>
      <c r="Z342" s="24"/>
      <c r="AA342" s="24"/>
      <c r="AB342" s="24"/>
      <c r="AC342" s="24"/>
      <c r="AD342" s="24"/>
      <c r="AE342" s="24"/>
      <c r="AF342" s="24"/>
      <c r="AG342" s="24"/>
      <c r="AH342" s="24"/>
      <c r="AI342" s="24"/>
      <c r="AJ342" s="24"/>
      <c r="AK342" s="24"/>
      <c r="AL342" s="24"/>
      <c r="AM342" s="24"/>
      <c r="AN342" s="24"/>
      <c r="AO342" s="24"/>
    </row>
    <row r="343" spans="2:41">
      <c r="B343" s="24"/>
      <c r="C343" s="24"/>
      <c r="D343" s="24"/>
      <c r="E343" s="24"/>
      <c r="F343" s="24"/>
      <c r="G343" s="24"/>
      <c r="H343" s="24"/>
      <c r="J343" s="24"/>
      <c r="K343" s="24"/>
      <c r="L343" s="24"/>
      <c r="M343" s="24"/>
      <c r="N343" s="24"/>
      <c r="O343" s="516"/>
      <c r="P343" s="516"/>
      <c r="Q343" s="516"/>
      <c r="R343" s="516"/>
      <c r="S343" s="516"/>
      <c r="T343" s="516"/>
      <c r="U343" s="516"/>
      <c r="V343" s="516"/>
      <c r="W343" s="516"/>
      <c r="X343" s="24"/>
      <c r="Y343" s="24"/>
      <c r="Z343" s="24"/>
      <c r="AA343" s="24"/>
      <c r="AB343" s="24"/>
      <c r="AC343" s="24"/>
      <c r="AD343" s="24"/>
      <c r="AE343" s="24"/>
      <c r="AF343" s="24"/>
      <c r="AG343" s="24"/>
      <c r="AH343" s="24"/>
      <c r="AI343" s="24"/>
      <c r="AJ343" s="24"/>
      <c r="AK343" s="24"/>
      <c r="AL343" s="24"/>
      <c r="AM343" s="24"/>
      <c r="AN343" s="24"/>
      <c r="AO343" s="24"/>
    </row>
    <row r="344" spans="2:41">
      <c r="B344" s="24"/>
      <c r="C344" s="24"/>
      <c r="D344" s="24"/>
      <c r="E344" s="24"/>
      <c r="F344" s="24"/>
      <c r="G344" s="24"/>
      <c r="H344" s="24"/>
      <c r="J344" s="24"/>
      <c r="K344" s="24"/>
      <c r="L344" s="24"/>
      <c r="M344" s="24"/>
      <c r="N344" s="24"/>
      <c r="O344" s="516"/>
      <c r="P344" s="516"/>
      <c r="Q344" s="516"/>
      <c r="R344" s="516"/>
      <c r="S344" s="516"/>
      <c r="T344" s="516"/>
      <c r="U344" s="516"/>
      <c r="V344" s="516"/>
      <c r="W344" s="516"/>
      <c r="X344" s="24"/>
      <c r="Y344" s="24"/>
      <c r="Z344" s="24"/>
      <c r="AA344" s="24"/>
      <c r="AB344" s="24"/>
      <c r="AC344" s="24"/>
      <c r="AD344" s="24"/>
      <c r="AE344" s="24"/>
      <c r="AF344" s="24"/>
      <c r="AG344" s="24"/>
      <c r="AH344" s="24"/>
      <c r="AI344" s="24"/>
      <c r="AJ344" s="24"/>
      <c r="AK344" s="24"/>
      <c r="AL344" s="24"/>
      <c r="AM344" s="24"/>
      <c r="AN344" s="24"/>
      <c r="AO344" s="24"/>
    </row>
    <row r="345" spans="2:41">
      <c r="B345" s="24"/>
      <c r="C345" s="24"/>
      <c r="D345" s="24"/>
      <c r="E345" s="24"/>
      <c r="F345" s="24"/>
      <c r="G345" s="24"/>
      <c r="H345" s="24"/>
      <c r="J345" s="24"/>
      <c r="K345" s="24"/>
      <c r="L345" s="24"/>
      <c r="M345" s="24"/>
      <c r="N345" s="24"/>
      <c r="O345" s="516"/>
      <c r="P345" s="516"/>
      <c r="Q345" s="516"/>
      <c r="R345" s="516"/>
      <c r="S345" s="516"/>
      <c r="T345" s="516"/>
      <c r="U345" s="516"/>
      <c r="V345" s="516"/>
      <c r="W345" s="516"/>
      <c r="X345" s="24"/>
      <c r="Y345" s="24"/>
      <c r="Z345" s="24"/>
      <c r="AA345" s="24"/>
      <c r="AB345" s="24"/>
      <c r="AC345" s="24"/>
      <c r="AD345" s="24"/>
      <c r="AE345" s="24"/>
      <c r="AF345" s="24"/>
      <c r="AG345" s="24"/>
      <c r="AH345" s="24"/>
      <c r="AI345" s="24"/>
      <c r="AJ345" s="24"/>
      <c r="AK345" s="24"/>
      <c r="AL345" s="24"/>
      <c r="AM345" s="24"/>
      <c r="AN345" s="24"/>
      <c r="AO345" s="24"/>
    </row>
    <row r="346" spans="2:41">
      <c r="B346" s="24"/>
      <c r="C346" s="24"/>
      <c r="D346" s="24"/>
      <c r="E346" s="24"/>
      <c r="F346" s="24"/>
      <c r="G346" s="24"/>
      <c r="H346" s="24"/>
      <c r="J346" s="24"/>
      <c r="K346" s="24"/>
      <c r="L346" s="24"/>
      <c r="M346" s="24"/>
      <c r="N346" s="24"/>
      <c r="O346" s="516"/>
      <c r="P346" s="516"/>
      <c r="Q346" s="516"/>
      <c r="R346" s="516"/>
      <c r="S346" s="516"/>
      <c r="T346" s="516"/>
      <c r="U346" s="516"/>
      <c r="V346" s="516"/>
      <c r="W346" s="516"/>
      <c r="X346" s="24"/>
      <c r="Y346" s="24"/>
      <c r="Z346" s="24"/>
      <c r="AA346" s="24"/>
      <c r="AB346" s="24"/>
      <c r="AC346" s="24"/>
      <c r="AD346" s="24"/>
      <c r="AE346" s="24"/>
      <c r="AF346" s="24"/>
      <c r="AG346" s="24"/>
      <c r="AH346" s="24"/>
      <c r="AI346" s="24"/>
      <c r="AJ346" s="24"/>
      <c r="AK346" s="24"/>
      <c r="AL346" s="24"/>
      <c r="AM346" s="24"/>
      <c r="AN346" s="24"/>
      <c r="AO346" s="24"/>
    </row>
    <row r="347" spans="2:41">
      <c r="B347" s="24"/>
      <c r="C347" s="24"/>
      <c r="D347" s="24"/>
      <c r="E347" s="24"/>
      <c r="F347" s="24"/>
      <c r="G347" s="24"/>
      <c r="H347" s="24"/>
      <c r="J347" s="24"/>
      <c r="K347" s="24"/>
      <c r="L347" s="24"/>
      <c r="M347" s="24"/>
      <c r="N347" s="24"/>
      <c r="O347" s="516"/>
      <c r="P347" s="516"/>
      <c r="Q347" s="516"/>
      <c r="R347" s="516"/>
      <c r="S347" s="516"/>
      <c r="T347" s="516"/>
      <c r="U347" s="516"/>
      <c r="V347" s="516"/>
      <c r="W347" s="516"/>
      <c r="X347" s="24"/>
      <c r="Y347" s="24"/>
      <c r="Z347" s="24"/>
      <c r="AA347" s="24"/>
      <c r="AB347" s="24"/>
      <c r="AC347" s="24"/>
      <c r="AD347" s="24"/>
      <c r="AE347" s="24"/>
      <c r="AF347" s="24"/>
      <c r="AG347" s="24"/>
      <c r="AH347" s="24"/>
      <c r="AI347" s="24"/>
      <c r="AJ347" s="24"/>
      <c r="AK347" s="24"/>
      <c r="AL347" s="24"/>
      <c r="AM347" s="24"/>
      <c r="AN347" s="24"/>
      <c r="AO347" s="24"/>
    </row>
    <row r="348" spans="2:41">
      <c r="B348" s="24"/>
      <c r="C348" s="24"/>
      <c r="D348" s="24"/>
      <c r="E348" s="24"/>
      <c r="F348" s="24"/>
      <c r="G348" s="24"/>
      <c r="H348" s="24"/>
      <c r="J348" s="24"/>
      <c r="K348" s="24"/>
      <c r="L348" s="24"/>
      <c r="M348" s="24"/>
      <c r="N348" s="24"/>
      <c r="O348" s="516"/>
      <c r="P348" s="516"/>
      <c r="Q348" s="516"/>
      <c r="R348" s="516"/>
      <c r="S348" s="516"/>
      <c r="T348" s="516"/>
      <c r="U348" s="516"/>
      <c r="V348" s="516"/>
      <c r="W348" s="516"/>
      <c r="X348" s="24"/>
      <c r="Y348" s="24"/>
      <c r="Z348" s="24"/>
      <c r="AA348" s="24"/>
      <c r="AB348" s="24"/>
      <c r="AC348" s="24"/>
      <c r="AD348" s="24"/>
      <c r="AE348" s="24"/>
      <c r="AF348" s="24"/>
      <c r="AG348" s="24"/>
      <c r="AH348" s="24"/>
      <c r="AI348" s="24"/>
      <c r="AJ348" s="24"/>
      <c r="AK348" s="24"/>
      <c r="AL348" s="24"/>
      <c r="AM348" s="24"/>
      <c r="AN348" s="24"/>
      <c r="AO348" s="24"/>
    </row>
    <row r="349" spans="2:41">
      <c r="B349" s="24"/>
      <c r="C349" s="24"/>
      <c r="D349" s="24"/>
      <c r="E349" s="24"/>
      <c r="F349" s="24"/>
      <c r="G349" s="24"/>
      <c r="H349" s="24"/>
      <c r="J349" s="24"/>
      <c r="K349" s="24"/>
      <c r="L349" s="24"/>
      <c r="M349" s="24"/>
      <c r="N349" s="24"/>
      <c r="O349" s="516"/>
      <c r="P349" s="516"/>
      <c r="Q349" s="516"/>
      <c r="R349" s="516"/>
      <c r="S349" s="516"/>
      <c r="T349" s="516"/>
      <c r="U349" s="516"/>
      <c r="V349" s="516"/>
      <c r="W349" s="516"/>
      <c r="X349" s="24"/>
      <c r="Y349" s="24"/>
      <c r="Z349" s="24"/>
      <c r="AA349" s="24"/>
      <c r="AB349" s="24"/>
      <c r="AC349" s="24"/>
      <c r="AD349" s="24"/>
      <c r="AE349" s="24"/>
      <c r="AF349" s="24"/>
      <c r="AG349" s="24"/>
      <c r="AH349" s="24"/>
      <c r="AI349" s="24"/>
      <c r="AJ349" s="24"/>
      <c r="AK349" s="24"/>
      <c r="AL349" s="24"/>
      <c r="AM349" s="24"/>
      <c r="AN349" s="24"/>
      <c r="AO349" s="24"/>
    </row>
    <row r="350" spans="2:41">
      <c r="B350" s="24"/>
      <c r="C350" s="24"/>
      <c r="D350" s="24"/>
      <c r="E350" s="24"/>
      <c r="F350" s="24"/>
      <c r="G350" s="24"/>
      <c r="H350" s="24"/>
      <c r="J350" s="24"/>
      <c r="K350" s="24"/>
      <c r="L350" s="24"/>
      <c r="M350" s="24"/>
      <c r="N350" s="24"/>
      <c r="O350" s="516"/>
      <c r="P350" s="516"/>
      <c r="Q350" s="516"/>
      <c r="R350" s="516"/>
      <c r="S350" s="516"/>
      <c r="T350" s="516"/>
      <c r="U350" s="516"/>
      <c r="V350" s="516"/>
      <c r="W350" s="516"/>
      <c r="X350" s="24"/>
      <c r="Y350" s="24"/>
      <c r="Z350" s="24"/>
      <c r="AA350" s="24"/>
      <c r="AB350" s="24"/>
      <c r="AC350" s="24"/>
      <c r="AD350" s="24"/>
      <c r="AE350" s="24"/>
      <c r="AF350" s="24"/>
      <c r="AG350" s="24"/>
      <c r="AH350" s="24"/>
      <c r="AI350" s="24"/>
      <c r="AJ350" s="24"/>
      <c r="AK350" s="24"/>
      <c r="AL350" s="24"/>
      <c r="AM350" s="24"/>
      <c r="AN350" s="24"/>
      <c r="AO350" s="24"/>
    </row>
    <row r="351" spans="2:41">
      <c r="B351" s="24"/>
      <c r="C351" s="24"/>
      <c r="D351" s="24"/>
      <c r="E351" s="24"/>
      <c r="F351" s="24"/>
      <c r="G351" s="24"/>
      <c r="H351" s="24"/>
      <c r="J351" s="24"/>
      <c r="K351" s="24"/>
      <c r="L351" s="24"/>
      <c r="M351" s="24"/>
      <c r="N351" s="24"/>
      <c r="O351" s="516"/>
      <c r="P351" s="516"/>
      <c r="Q351" s="516"/>
      <c r="R351" s="516"/>
      <c r="S351" s="516"/>
      <c r="T351" s="516"/>
      <c r="U351" s="516"/>
      <c r="V351" s="516"/>
      <c r="W351" s="516"/>
      <c r="X351" s="24"/>
      <c r="Y351" s="24"/>
      <c r="Z351" s="24"/>
      <c r="AA351" s="24"/>
      <c r="AB351" s="24"/>
      <c r="AC351" s="24"/>
      <c r="AD351" s="24"/>
      <c r="AE351" s="24"/>
      <c r="AF351" s="24"/>
      <c r="AG351" s="24"/>
      <c r="AH351" s="24"/>
      <c r="AI351" s="24"/>
      <c r="AJ351" s="24"/>
      <c r="AK351" s="24"/>
      <c r="AL351" s="24"/>
      <c r="AM351" s="24"/>
      <c r="AN351" s="24"/>
      <c r="AO351" s="24"/>
    </row>
    <row r="352" spans="2:41">
      <c r="B352" s="24"/>
      <c r="C352" s="24"/>
      <c r="D352" s="24"/>
      <c r="E352" s="24"/>
      <c r="F352" s="24"/>
      <c r="G352" s="24"/>
      <c r="H352" s="24"/>
      <c r="J352" s="24"/>
      <c r="K352" s="24"/>
      <c r="L352" s="24"/>
      <c r="M352" s="24"/>
      <c r="N352" s="24"/>
      <c r="O352" s="516"/>
      <c r="P352" s="516"/>
      <c r="Q352" s="516"/>
      <c r="R352" s="516"/>
      <c r="S352" s="516"/>
      <c r="T352" s="516"/>
      <c r="U352" s="516"/>
      <c r="V352" s="516"/>
      <c r="W352" s="516"/>
      <c r="X352" s="24"/>
      <c r="Y352" s="24"/>
      <c r="Z352" s="24"/>
      <c r="AA352" s="24"/>
      <c r="AB352" s="24"/>
      <c r="AC352" s="24"/>
      <c r="AD352" s="24"/>
      <c r="AE352" s="24"/>
      <c r="AF352" s="24"/>
      <c r="AG352" s="24"/>
      <c r="AH352" s="24"/>
      <c r="AI352" s="24"/>
      <c r="AJ352" s="24"/>
      <c r="AK352" s="24"/>
      <c r="AL352" s="24"/>
      <c r="AM352" s="24"/>
      <c r="AN352" s="24"/>
      <c r="AO352" s="24"/>
    </row>
    <row r="353" spans="2:41">
      <c r="B353" s="24"/>
      <c r="C353" s="24"/>
      <c r="D353" s="24"/>
      <c r="E353" s="24"/>
      <c r="F353" s="24"/>
      <c r="G353" s="24"/>
      <c r="H353" s="24"/>
      <c r="J353" s="24"/>
      <c r="K353" s="24"/>
      <c r="L353" s="24"/>
      <c r="M353" s="24"/>
      <c r="N353" s="24"/>
      <c r="O353" s="516"/>
      <c r="P353" s="516"/>
      <c r="Q353" s="516"/>
      <c r="R353" s="516"/>
      <c r="S353" s="516"/>
      <c r="T353" s="516"/>
      <c r="U353" s="516"/>
      <c r="V353" s="516"/>
      <c r="W353" s="516"/>
      <c r="X353" s="24"/>
      <c r="Y353" s="24"/>
      <c r="Z353" s="24"/>
      <c r="AA353" s="24"/>
      <c r="AB353" s="24"/>
      <c r="AC353" s="24"/>
      <c r="AD353" s="24"/>
      <c r="AE353" s="24"/>
      <c r="AF353" s="24"/>
      <c r="AG353" s="24"/>
      <c r="AH353" s="24"/>
      <c r="AI353" s="24"/>
      <c r="AJ353" s="24"/>
      <c r="AK353" s="24"/>
      <c r="AL353" s="24"/>
      <c r="AM353" s="24"/>
      <c r="AN353" s="24"/>
      <c r="AO353" s="24"/>
    </row>
    <row r="354" spans="2:41">
      <c r="B354" s="24"/>
      <c r="C354" s="24"/>
      <c r="D354" s="24"/>
      <c r="E354" s="24"/>
      <c r="F354" s="24"/>
      <c r="G354" s="24"/>
      <c r="H354" s="24"/>
      <c r="J354" s="24"/>
      <c r="K354" s="24"/>
      <c r="L354" s="24"/>
      <c r="M354" s="24"/>
      <c r="N354" s="24"/>
      <c r="O354" s="516"/>
      <c r="P354" s="516"/>
      <c r="Q354" s="516"/>
      <c r="R354" s="516"/>
      <c r="S354" s="516"/>
      <c r="T354" s="516"/>
      <c r="U354" s="516"/>
      <c r="V354" s="516"/>
      <c r="W354" s="516"/>
      <c r="X354" s="24"/>
      <c r="Y354" s="24"/>
      <c r="Z354" s="24"/>
      <c r="AA354" s="24"/>
      <c r="AB354" s="24"/>
      <c r="AC354" s="24"/>
      <c r="AD354" s="24"/>
      <c r="AE354" s="24"/>
      <c r="AF354" s="24"/>
      <c r="AG354" s="24"/>
      <c r="AH354" s="24"/>
      <c r="AI354" s="24"/>
      <c r="AJ354" s="24"/>
      <c r="AK354" s="24"/>
      <c r="AL354" s="24"/>
      <c r="AM354" s="24"/>
      <c r="AN354" s="24"/>
      <c r="AO354" s="24"/>
    </row>
    <row r="355" spans="2:41">
      <c r="B355" s="24"/>
      <c r="C355" s="24"/>
      <c r="D355" s="24"/>
      <c r="E355" s="24"/>
      <c r="F355" s="24"/>
      <c r="G355" s="24"/>
      <c r="H355" s="24"/>
      <c r="J355" s="24"/>
      <c r="K355" s="24"/>
      <c r="L355" s="24"/>
      <c r="M355" s="24"/>
      <c r="N355" s="24"/>
      <c r="O355" s="516"/>
      <c r="P355" s="516"/>
      <c r="Q355" s="516"/>
      <c r="R355" s="516"/>
      <c r="S355" s="516"/>
      <c r="T355" s="516"/>
      <c r="U355" s="516"/>
      <c r="V355" s="516"/>
      <c r="W355" s="516"/>
      <c r="X355" s="24"/>
      <c r="Y355" s="24"/>
      <c r="Z355" s="24"/>
      <c r="AA355" s="24"/>
      <c r="AB355" s="24"/>
      <c r="AC355" s="24"/>
      <c r="AD355" s="24"/>
      <c r="AE355" s="24"/>
      <c r="AF355" s="24"/>
      <c r="AG355" s="24"/>
      <c r="AH355" s="24"/>
      <c r="AI355" s="24"/>
      <c r="AJ355" s="24"/>
      <c r="AK355" s="24"/>
      <c r="AL355" s="24"/>
      <c r="AM355" s="24"/>
      <c r="AN355" s="24"/>
      <c r="AO355" s="24"/>
    </row>
    <row r="356" spans="2:41">
      <c r="B356" s="24"/>
      <c r="C356" s="24"/>
      <c r="D356" s="24"/>
      <c r="E356" s="24"/>
      <c r="F356" s="24"/>
      <c r="G356" s="24"/>
      <c r="H356" s="24"/>
      <c r="J356" s="24"/>
      <c r="K356" s="24"/>
      <c r="L356" s="24"/>
      <c r="M356" s="24"/>
      <c r="N356" s="24"/>
      <c r="O356" s="516"/>
      <c r="P356" s="516"/>
      <c r="Q356" s="516"/>
      <c r="R356" s="516"/>
      <c r="S356" s="516"/>
      <c r="T356" s="516"/>
      <c r="U356" s="516"/>
      <c r="V356" s="516"/>
      <c r="W356" s="516"/>
      <c r="X356" s="24"/>
      <c r="Y356" s="24"/>
      <c r="Z356" s="24"/>
      <c r="AA356" s="24"/>
      <c r="AB356" s="24"/>
      <c r="AC356" s="24"/>
      <c r="AD356" s="24"/>
      <c r="AE356" s="24"/>
      <c r="AF356" s="24"/>
      <c r="AG356" s="24"/>
      <c r="AH356" s="24"/>
      <c r="AI356" s="24"/>
      <c r="AJ356" s="24"/>
      <c r="AK356" s="24"/>
      <c r="AL356" s="24"/>
      <c r="AM356" s="24"/>
      <c r="AN356" s="24"/>
      <c r="AO356" s="24"/>
    </row>
    <row r="357" spans="2:41">
      <c r="B357" s="24"/>
      <c r="C357" s="24"/>
      <c r="D357" s="24"/>
      <c r="E357" s="24"/>
      <c r="F357" s="24"/>
      <c r="G357" s="24"/>
      <c r="H357" s="24"/>
      <c r="J357" s="24"/>
      <c r="K357" s="24"/>
      <c r="L357" s="24"/>
      <c r="M357" s="24"/>
      <c r="N357" s="24"/>
      <c r="O357" s="516"/>
      <c r="P357" s="516"/>
      <c r="Q357" s="516"/>
      <c r="R357" s="516"/>
      <c r="S357" s="516"/>
      <c r="T357" s="516"/>
      <c r="U357" s="516"/>
      <c r="V357" s="516"/>
      <c r="W357" s="516"/>
      <c r="X357" s="24"/>
      <c r="Y357" s="24"/>
      <c r="Z357" s="24"/>
      <c r="AA357" s="24"/>
      <c r="AB357" s="24"/>
      <c r="AC357" s="24"/>
      <c r="AD357" s="24"/>
      <c r="AE357" s="24"/>
      <c r="AF357" s="24"/>
      <c r="AG357" s="24"/>
      <c r="AH357" s="24"/>
      <c r="AI357" s="24"/>
      <c r="AJ357" s="24"/>
      <c r="AK357" s="24"/>
      <c r="AL357" s="24"/>
      <c r="AM357" s="24"/>
      <c r="AN357" s="24"/>
      <c r="AO357" s="24"/>
    </row>
    <row r="358" spans="2:41">
      <c r="B358" s="24"/>
      <c r="C358" s="24"/>
      <c r="D358" s="24"/>
      <c r="E358" s="24"/>
      <c r="F358" s="24"/>
      <c r="G358" s="24"/>
      <c r="H358" s="24"/>
      <c r="J358" s="24"/>
      <c r="K358" s="24"/>
      <c r="L358" s="24"/>
      <c r="M358" s="24"/>
      <c r="N358" s="24"/>
      <c r="O358" s="516"/>
      <c r="P358" s="516"/>
      <c r="Q358" s="516"/>
      <c r="R358" s="516"/>
      <c r="S358" s="516"/>
      <c r="T358" s="516"/>
      <c r="U358" s="516"/>
      <c r="V358" s="516"/>
      <c r="W358" s="516"/>
      <c r="X358" s="24"/>
      <c r="Y358" s="24"/>
      <c r="Z358" s="24"/>
      <c r="AA358" s="24"/>
      <c r="AB358" s="24"/>
      <c r="AC358" s="24"/>
      <c r="AD358" s="24"/>
      <c r="AE358" s="24"/>
      <c r="AF358" s="24"/>
      <c r="AG358" s="24"/>
      <c r="AH358" s="24"/>
      <c r="AI358" s="24"/>
      <c r="AJ358" s="24"/>
      <c r="AK358" s="24"/>
      <c r="AL358" s="24"/>
      <c r="AM358" s="24"/>
      <c r="AN358" s="24"/>
      <c r="AO358" s="24"/>
    </row>
    <row r="359" spans="2:41">
      <c r="B359" s="24"/>
      <c r="C359" s="24"/>
      <c r="D359" s="24"/>
      <c r="E359" s="24"/>
      <c r="F359" s="24"/>
      <c r="G359" s="24"/>
      <c r="H359" s="24"/>
      <c r="J359" s="24"/>
      <c r="K359" s="24"/>
      <c r="L359" s="24"/>
      <c r="M359" s="24"/>
      <c r="N359" s="24"/>
      <c r="O359" s="516"/>
      <c r="P359" s="516"/>
      <c r="Q359" s="516"/>
      <c r="R359" s="516"/>
      <c r="S359" s="516"/>
      <c r="T359" s="516"/>
      <c r="U359" s="516"/>
      <c r="V359" s="516"/>
      <c r="W359" s="516"/>
      <c r="X359" s="24"/>
      <c r="Y359" s="24"/>
      <c r="Z359" s="24"/>
      <c r="AA359" s="24"/>
      <c r="AB359" s="24"/>
      <c r="AC359" s="24"/>
      <c r="AD359" s="24"/>
      <c r="AE359" s="24"/>
      <c r="AF359" s="24"/>
      <c r="AG359" s="24"/>
      <c r="AH359" s="24"/>
      <c r="AI359" s="24"/>
      <c r="AJ359" s="24"/>
      <c r="AK359" s="24"/>
      <c r="AL359" s="24"/>
      <c r="AM359" s="24"/>
      <c r="AN359" s="24"/>
      <c r="AO359" s="24"/>
    </row>
    <row r="360" spans="2:41">
      <c r="B360" s="24"/>
      <c r="C360" s="24"/>
      <c r="D360" s="24"/>
      <c r="E360" s="24"/>
      <c r="F360" s="24"/>
      <c r="G360" s="24"/>
      <c r="H360" s="24"/>
      <c r="J360" s="24"/>
      <c r="K360" s="24"/>
      <c r="L360" s="24"/>
      <c r="M360" s="24"/>
      <c r="N360" s="24"/>
      <c r="O360" s="516"/>
      <c r="P360" s="516"/>
      <c r="Q360" s="516"/>
      <c r="R360" s="516"/>
      <c r="S360" s="516"/>
      <c r="T360" s="516"/>
      <c r="U360" s="516"/>
      <c r="V360" s="516"/>
      <c r="W360" s="516"/>
      <c r="X360" s="24"/>
      <c r="Y360" s="24"/>
      <c r="Z360" s="24"/>
      <c r="AA360" s="24"/>
      <c r="AB360" s="24"/>
      <c r="AC360" s="24"/>
      <c r="AD360" s="24"/>
      <c r="AE360" s="24"/>
      <c r="AF360" s="24"/>
      <c r="AG360" s="24"/>
      <c r="AH360" s="24"/>
      <c r="AI360" s="24"/>
      <c r="AJ360" s="24"/>
      <c r="AK360" s="24"/>
      <c r="AL360" s="24"/>
      <c r="AM360" s="24"/>
      <c r="AN360" s="24"/>
      <c r="AO360" s="24"/>
    </row>
    <row r="361" spans="2:41">
      <c r="B361" s="24"/>
      <c r="C361" s="24"/>
      <c r="D361" s="24"/>
      <c r="E361" s="24"/>
      <c r="F361" s="24"/>
      <c r="G361" s="24"/>
      <c r="H361" s="24"/>
      <c r="J361" s="24"/>
      <c r="K361" s="24"/>
      <c r="L361" s="24"/>
      <c r="M361" s="24"/>
      <c r="N361" s="24"/>
      <c r="O361" s="516"/>
      <c r="P361" s="516"/>
      <c r="Q361" s="516"/>
      <c r="R361" s="516"/>
      <c r="S361" s="516"/>
      <c r="T361" s="516"/>
      <c r="U361" s="516"/>
      <c r="V361" s="516"/>
      <c r="W361" s="516"/>
      <c r="X361" s="24"/>
      <c r="Y361" s="24"/>
      <c r="Z361" s="24"/>
      <c r="AA361" s="24"/>
      <c r="AB361" s="24"/>
      <c r="AC361" s="24"/>
      <c r="AD361" s="24"/>
      <c r="AE361" s="24"/>
      <c r="AF361" s="24"/>
      <c r="AG361" s="24"/>
      <c r="AH361" s="24"/>
      <c r="AI361" s="24"/>
      <c r="AJ361" s="24"/>
      <c r="AK361" s="24"/>
      <c r="AL361" s="24"/>
      <c r="AM361" s="24"/>
      <c r="AN361" s="24"/>
      <c r="AO361" s="24"/>
    </row>
    <row r="362" spans="2:41">
      <c r="B362" s="24"/>
      <c r="C362" s="24"/>
      <c r="D362" s="24"/>
      <c r="E362" s="24"/>
      <c r="F362" s="24"/>
      <c r="G362" s="24"/>
      <c r="H362" s="24"/>
      <c r="J362" s="24"/>
      <c r="K362" s="24"/>
      <c r="L362" s="24"/>
      <c r="M362" s="24"/>
      <c r="N362" s="24"/>
      <c r="O362" s="516"/>
      <c r="P362" s="516"/>
      <c r="Q362" s="516"/>
      <c r="R362" s="516"/>
      <c r="S362" s="516"/>
      <c r="T362" s="516"/>
      <c r="U362" s="516"/>
      <c r="V362" s="516"/>
      <c r="W362" s="516"/>
      <c r="X362" s="24"/>
      <c r="Y362" s="24"/>
      <c r="Z362" s="24"/>
      <c r="AA362" s="24"/>
      <c r="AB362" s="24"/>
      <c r="AC362" s="24"/>
      <c r="AD362" s="24"/>
      <c r="AE362" s="24"/>
      <c r="AF362" s="24"/>
      <c r="AG362" s="24"/>
      <c r="AH362" s="24"/>
      <c r="AI362" s="24"/>
      <c r="AJ362" s="24"/>
      <c r="AK362" s="24"/>
      <c r="AL362" s="24"/>
      <c r="AM362" s="24"/>
      <c r="AN362" s="24"/>
      <c r="AO362" s="24"/>
    </row>
    <row r="363" spans="2:41">
      <c r="B363" s="24"/>
      <c r="C363" s="24"/>
      <c r="D363" s="24"/>
      <c r="E363" s="24"/>
      <c r="F363" s="24"/>
      <c r="G363" s="24"/>
      <c r="H363" s="24"/>
      <c r="J363" s="24"/>
      <c r="K363" s="24"/>
      <c r="L363" s="24"/>
      <c r="M363" s="24"/>
      <c r="N363" s="24"/>
      <c r="O363" s="516"/>
      <c r="P363" s="516"/>
      <c r="Q363" s="516"/>
      <c r="R363" s="516"/>
      <c r="S363" s="516"/>
      <c r="T363" s="516"/>
      <c r="U363" s="516"/>
      <c r="V363" s="516"/>
      <c r="W363" s="516"/>
      <c r="X363" s="24"/>
      <c r="Y363" s="24"/>
      <c r="Z363" s="24"/>
      <c r="AA363" s="24"/>
      <c r="AB363" s="24"/>
      <c r="AC363" s="24"/>
      <c r="AD363" s="24"/>
      <c r="AE363" s="24"/>
      <c r="AF363" s="24"/>
      <c r="AG363" s="24"/>
      <c r="AH363" s="24"/>
      <c r="AI363" s="24"/>
      <c r="AJ363" s="24"/>
      <c r="AK363" s="24"/>
      <c r="AL363" s="24"/>
      <c r="AM363" s="24"/>
      <c r="AN363" s="24"/>
      <c r="AO363" s="24"/>
    </row>
    <row r="364" spans="2:41">
      <c r="B364" s="24"/>
      <c r="C364" s="24"/>
      <c r="D364" s="24"/>
      <c r="E364" s="24"/>
      <c r="F364" s="24"/>
      <c r="G364" s="24"/>
      <c r="H364" s="24"/>
      <c r="J364" s="24"/>
      <c r="K364" s="24"/>
      <c r="L364" s="24"/>
      <c r="M364" s="24"/>
      <c r="N364" s="24"/>
      <c r="O364" s="516"/>
      <c r="P364" s="516"/>
      <c r="Q364" s="516"/>
      <c r="R364" s="516"/>
      <c r="S364" s="516"/>
      <c r="T364" s="516"/>
      <c r="U364" s="516"/>
      <c r="V364" s="516"/>
      <c r="W364" s="516"/>
      <c r="X364" s="24"/>
      <c r="Y364" s="24"/>
      <c r="Z364" s="24"/>
      <c r="AA364" s="24"/>
      <c r="AB364" s="24"/>
      <c r="AC364" s="24"/>
      <c r="AD364" s="24"/>
      <c r="AE364" s="24"/>
      <c r="AF364" s="24"/>
      <c r="AG364" s="24"/>
      <c r="AH364" s="24"/>
      <c r="AI364" s="24"/>
      <c r="AJ364" s="24"/>
      <c r="AK364" s="24"/>
      <c r="AL364" s="24"/>
      <c r="AM364" s="24"/>
      <c r="AN364" s="24"/>
      <c r="AO364" s="24"/>
    </row>
    <row r="365" spans="2:41">
      <c r="B365" s="24"/>
      <c r="C365" s="24"/>
      <c r="D365" s="24"/>
      <c r="E365" s="24"/>
      <c r="F365" s="24"/>
      <c r="G365" s="24"/>
      <c r="H365" s="24"/>
      <c r="J365" s="24"/>
      <c r="K365" s="24"/>
      <c r="L365" s="24"/>
      <c r="M365" s="24"/>
      <c r="N365" s="24"/>
      <c r="O365" s="516"/>
      <c r="P365" s="516"/>
      <c r="Q365" s="516"/>
      <c r="R365" s="516"/>
      <c r="S365" s="516"/>
      <c r="T365" s="516"/>
      <c r="U365" s="516"/>
      <c r="V365" s="516"/>
      <c r="W365" s="516"/>
      <c r="X365" s="24"/>
      <c r="Y365" s="24"/>
      <c r="Z365" s="24"/>
      <c r="AA365" s="24"/>
      <c r="AB365" s="24"/>
      <c r="AC365" s="24"/>
      <c r="AD365" s="24"/>
      <c r="AE365" s="24"/>
      <c r="AF365" s="24"/>
      <c r="AG365" s="24"/>
      <c r="AH365" s="24"/>
      <c r="AI365" s="24"/>
      <c r="AJ365" s="24"/>
      <c r="AK365" s="24"/>
      <c r="AL365" s="24"/>
      <c r="AM365" s="24"/>
      <c r="AN365" s="24"/>
      <c r="AO365" s="24"/>
    </row>
    <row r="366" spans="2:41">
      <c r="B366" s="24"/>
      <c r="C366" s="24"/>
      <c r="D366" s="24"/>
      <c r="E366" s="24"/>
      <c r="F366" s="24"/>
      <c r="G366" s="24"/>
      <c r="H366" s="24"/>
      <c r="J366" s="24"/>
      <c r="K366" s="24"/>
      <c r="L366" s="24"/>
      <c r="M366" s="24"/>
      <c r="N366" s="24"/>
      <c r="O366" s="516"/>
      <c r="P366" s="516"/>
      <c r="Q366" s="516"/>
      <c r="R366" s="516"/>
      <c r="S366" s="516"/>
      <c r="T366" s="516"/>
      <c r="U366" s="516"/>
      <c r="V366" s="516"/>
      <c r="W366" s="516"/>
      <c r="X366" s="24"/>
      <c r="Y366" s="24"/>
      <c r="Z366" s="24"/>
      <c r="AA366" s="24"/>
      <c r="AB366" s="24"/>
      <c r="AC366" s="24"/>
      <c r="AD366" s="24"/>
      <c r="AE366" s="24"/>
      <c r="AF366" s="24"/>
      <c r="AG366" s="24"/>
      <c r="AH366" s="24"/>
      <c r="AI366" s="24"/>
      <c r="AJ366" s="24"/>
      <c r="AK366" s="24"/>
      <c r="AL366" s="24"/>
      <c r="AM366" s="24"/>
      <c r="AN366" s="24"/>
      <c r="AO366" s="24"/>
    </row>
    <row r="367" spans="2:41">
      <c r="B367" s="24"/>
      <c r="C367" s="24"/>
      <c r="D367" s="24"/>
      <c r="E367" s="24"/>
      <c r="F367" s="24"/>
      <c r="G367" s="24"/>
      <c r="H367" s="24"/>
      <c r="J367" s="24"/>
      <c r="K367" s="24"/>
      <c r="L367" s="24"/>
      <c r="M367" s="24"/>
      <c r="N367" s="24"/>
      <c r="O367" s="516"/>
      <c r="P367" s="516"/>
      <c r="Q367" s="516"/>
      <c r="R367" s="516"/>
      <c r="S367" s="516"/>
      <c r="T367" s="516"/>
      <c r="U367" s="516"/>
      <c r="V367" s="516"/>
      <c r="W367" s="516"/>
      <c r="X367" s="24"/>
      <c r="Y367" s="24"/>
      <c r="Z367" s="24"/>
      <c r="AA367" s="24"/>
      <c r="AB367" s="24"/>
      <c r="AC367" s="24"/>
      <c r="AD367" s="24"/>
      <c r="AE367" s="24"/>
      <c r="AF367" s="24"/>
      <c r="AG367" s="24"/>
      <c r="AH367" s="24"/>
      <c r="AI367" s="24"/>
      <c r="AJ367" s="24"/>
      <c r="AK367" s="24"/>
      <c r="AL367" s="24"/>
      <c r="AM367" s="24"/>
      <c r="AN367" s="24"/>
      <c r="AO367" s="24"/>
    </row>
    <row r="368" spans="2:41">
      <c r="B368" s="24"/>
      <c r="C368" s="24"/>
      <c r="D368" s="24"/>
      <c r="E368" s="24"/>
      <c r="F368" s="24"/>
      <c r="G368" s="24"/>
      <c r="H368" s="24"/>
      <c r="J368" s="24"/>
      <c r="K368" s="24"/>
      <c r="L368" s="24"/>
      <c r="M368" s="24"/>
      <c r="N368" s="24"/>
      <c r="O368" s="516"/>
      <c r="P368" s="516"/>
      <c r="Q368" s="516"/>
      <c r="R368" s="516"/>
      <c r="S368" s="516"/>
      <c r="T368" s="516"/>
      <c r="U368" s="516"/>
      <c r="V368" s="516"/>
      <c r="W368" s="516"/>
      <c r="X368" s="24"/>
      <c r="Y368" s="24"/>
      <c r="Z368" s="24"/>
      <c r="AA368" s="24"/>
      <c r="AB368" s="24"/>
      <c r="AC368" s="24"/>
      <c r="AD368" s="24"/>
      <c r="AE368" s="24"/>
      <c r="AF368" s="24"/>
      <c r="AG368" s="24"/>
      <c r="AH368" s="24"/>
      <c r="AI368" s="24"/>
      <c r="AJ368" s="24"/>
      <c r="AK368" s="24"/>
      <c r="AL368" s="24"/>
      <c r="AM368" s="24"/>
      <c r="AN368" s="24"/>
      <c r="AO368" s="24"/>
    </row>
    <row r="369" spans="2:41">
      <c r="B369" s="24"/>
      <c r="C369" s="24"/>
      <c r="D369" s="24"/>
      <c r="E369" s="24"/>
      <c r="F369" s="24"/>
      <c r="G369" s="24"/>
      <c r="H369" s="24"/>
      <c r="J369" s="24"/>
      <c r="K369" s="24"/>
      <c r="L369" s="24"/>
      <c r="M369" s="24"/>
      <c r="N369" s="24"/>
      <c r="O369" s="516"/>
      <c r="P369" s="516"/>
      <c r="Q369" s="516"/>
      <c r="R369" s="516"/>
      <c r="S369" s="516"/>
      <c r="T369" s="516"/>
      <c r="U369" s="516"/>
      <c r="V369" s="516"/>
      <c r="W369" s="516"/>
      <c r="X369" s="24"/>
      <c r="Y369" s="24"/>
      <c r="Z369" s="24"/>
      <c r="AA369" s="24"/>
      <c r="AB369" s="24"/>
      <c r="AC369" s="24"/>
      <c r="AD369" s="24"/>
      <c r="AE369" s="24"/>
      <c r="AF369" s="24"/>
      <c r="AG369" s="24"/>
      <c r="AH369" s="24"/>
      <c r="AI369" s="24"/>
      <c r="AJ369" s="24"/>
      <c r="AK369" s="24"/>
      <c r="AL369" s="24"/>
      <c r="AM369" s="24"/>
      <c r="AN369" s="24"/>
      <c r="AO369" s="24"/>
    </row>
    <row r="370" spans="2:41">
      <c r="B370" s="24"/>
      <c r="C370" s="24"/>
      <c r="D370" s="24"/>
      <c r="E370" s="24"/>
      <c r="F370" s="24"/>
      <c r="G370" s="24"/>
      <c r="H370" s="24"/>
      <c r="J370" s="24"/>
      <c r="K370" s="24"/>
      <c r="L370" s="24"/>
      <c r="M370" s="24"/>
      <c r="N370" s="24"/>
      <c r="O370" s="516"/>
      <c r="P370" s="516"/>
      <c r="Q370" s="516"/>
      <c r="R370" s="516"/>
      <c r="S370" s="516"/>
      <c r="T370" s="516"/>
      <c r="U370" s="516"/>
      <c r="V370" s="516"/>
      <c r="W370" s="516"/>
      <c r="X370" s="24"/>
      <c r="Y370" s="24"/>
      <c r="Z370" s="24"/>
      <c r="AA370" s="24"/>
      <c r="AB370" s="24"/>
      <c r="AC370" s="24"/>
      <c r="AD370" s="24"/>
      <c r="AE370" s="24"/>
      <c r="AF370" s="24"/>
      <c r="AG370" s="24"/>
      <c r="AH370" s="24"/>
      <c r="AI370" s="24"/>
      <c r="AJ370" s="24"/>
      <c r="AK370" s="24"/>
      <c r="AL370" s="24"/>
      <c r="AM370" s="24"/>
      <c r="AN370" s="24"/>
      <c r="AO370" s="24"/>
    </row>
    <row r="371" spans="2:41">
      <c r="B371" s="24"/>
      <c r="C371" s="24"/>
      <c r="D371" s="24"/>
      <c r="E371" s="24"/>
      <c r="F371" s="24"/>
      <c r="G371" s="24"/>
      <c r="H371" s="24"/>
      <c r="J371" s="24"/>
      <c r="K371" s="24"/>
      <c r="L371" s="24"/>
      <c r="M371" s="24"/>
      <c r="N371" s="24"/>
      <c r="O371" s="516"/>
      <c r="P371" s="516"/>
      <c r="Q371" s="516"/>
      <c r="R371" s="516"/>
      <c r="S371" s="516"/>
      <c r="T371" s="516"/>
      <c r="U371" s="516"/>
      <c r="V371" s="516"/>
      <c r="W371" s="516"/>
      <c r="X371" s="24"/>
      <c r="Y371" s="24"/>
      <c r="Z371" s="24"/>
      <c r="AA371" s="24"/>
      <c r="AB371" s="24"/>
      <c r="AC371" s="24"/>
      <c r="AD371" s="24"/>
      <c r="AE371" s="24"/>
      <c r="AF371" s="24"/>
      <c r="AG371" s="24"/>
      <c r="AH371" s="24"/>
      <c r="AI371" s="24"/>
      <c r="AJ371" s="24"/>
      <c r="AK371" s="24"/>
      <c r="AL371" s="24"/>
      <c r="AM371" s="24"/>
      <c r="AN371" s="24"/>
      <c r="AO371" s="24"/>
    </row>
    <row r="372" spans="2:41">
      <c r="B372" s="24"/>
      <c r="C372" s="24"/>
      <c r="D372" s="24"/>
      <c r="E372" s="24"/>
      <c r="F372" s="24"/>
      <c r="G372" s="24"/>
      <c r="H372" s="24"/>
      <c r="J372" s="24"/>
      <c r="K372" s="24"/>
      <c r="L372" s="24"/>
      <c r="M372" s="24"/>
      <c r="N372" s="24"/>
      <c r="O372" s="516"/>
      <c r="P372" s="516"/>
      <c r="Q372" s="516"/>
      <c r="R372" s="516"/>
      <c r="S372" s="516"/>
      <c r="T372" s="516"/>
      <c r="U372" s="516"/>
      <c r="V372" s="516"/>
      <c r="W372" s="516"/>
      <c r="X372" s="24"/>
      <c r="Y372" s="24"/>
      <c r="Z372" s="24"/>
      <c r="AA372" s="24"/>
      <c r="AB372" s="24"/>
      <c r="AC372" s="24"/>
      <c r="AD372" s="24"/>
      <c r="AE372" s="24"/>
      <c r="AF372" s="24"/>
      <c r="AG372" s="24"/>
      <c r="AH372" s="24"/>
      <c r="AI372" s="24"/>
      <c r="AJ372" s="24"/>
      <c r="AK372" s="24"/>
      <c r="AL372" s="24"/>
      <c r="AM372" s="24"/>
      <c r="AN372" s="24"/>
      <c r="AO372" s="24"/>
    </row>
    <row r="373" spans="2:41">
      <c r="B373" s="24"/>
      <c r="C373" s="24"/>
      <c r="D373" s="24"/>
      <c r="E373" s="24"/>
      <c r="F373" s="24"/>
      <c r="G373" s="24"/>
      <c r="H373" s="24"/>
      <c r="J373" s="24"/>
      <c r="K373" s="24"/>
      <c r="L373" s="24"/>
      <c r="M373" s="24"/>
      <c r="N373" s="24"/>
      <c r="O373" s="516"/>
      <c r="P373" s="516"/>
      <c r="Q373" s="516"/>
      <c r="R373" s="516"/>
      <c r="S373" s="516"/>
      <c r="T373" s="516"/>
      <c r="U373" s="516"/>
      <c r="V373" s="516"/>
      <c r="W373" s="516"/>
      <c r="X373" s="24"/>
      <c r="Y373" s="24"/>
      <c r="Z373" s="24"/>
      <c r="AA373" s="24"/>
      <c r="AB373" s="24"/>
      <c r="AC373" s="24"/>
      <c r="AD373" s="24"/>
      <c r="AE373" s="24"/>
      <c r="AF373" s="24"/>
      <c r="AG373" s="24"/>
      <c r="AH373" s="24"/>
      <c r="AI373" s="24"/>
      <c r="AJ373" s="24"/>
      <c r="AK373" s="24"/>
      <c r="AL373" s="24"/>
      <c r="AM373" s="24"/>
      <c r="AN373" s="24"/>
      <c r="AO373" s="24"/>
    </row>
    <row r="374" spans="2:41">
      <c r="B374" s="24"/>
      <c r="C374" s="24"/>
      <c r="D374" s="24"/>
      <c r="E374" s="24"/>
      <c r="F374" s="24"/>
      <c r="G374" s="24"/>
      <c r="H374" s="24"/>
      <c r="J374" s="24"/>
      <c r="K374" s="24"/>
      <c r="L374" s="24"/>
      <c r="M374" s="24"/>
      <c r="N374" s="24"/>
      <c r="O374" s="516"/>
      <c r="P374" s="516"/>
      <c r="Q374" s="516"/>
      <c r="R374" s="516"/>
      <c r="S374" s="516"/>
      <c r="T374" s="516"/>
      <c r="U374" s="516"/>
      <c r="V374" s="516"/>
      <c r="W374" s="516"/>
      <c r="X374" s="24"/>
      <c r="Y374" s="24"/>
      <c r="Z374" s="24"/>
      <c r="AA374" s="24"/>
      <c r="AB374" s="24"/>
      <c r="AC374" s="24"/>
      <c r="AD374" s="24"/>
      <c r="AE374" s="24"/>
      <c r="AF374" s="24"/>
      <c r="AG374" s="24"/>
      <c r="AH374" s="24"/>
      <c r="AI374" s="24"/>
      <c r="AJ374" s="24"/>
      <c r="AK374" s="24"/>
      <c r="AL374" s="24"/>
      <c r="AM374" s="24"/>
      <c r="AN374" s="24"/>
      <c r="AO374" s="24"/>
    </row>
    <row r="375" spans="2:41">
      <c r="B375" s="24"/>
      <c r="C375" s="24"/>
      <c r="D375" s="24"/>
      <c r="E375" s="24"/>
      <c r="F375" s="24"/>
      <c r="G375" s="24"/>
      <c r="H375" s="24"/>
      <c r="J375" s="24"/>
      <c r="K375" s="24"/>
      <c r="L375" s="24"/>
      <c r="M375" s="24"/>
      <c r="N375" s="24"/>
      <c r="O375" s="516"/>
      <c r="P375" s="516"/>
      <c r="Q375" s="516"/>
      <c r="R375" s="516"/>
      <c r="S375" s="516"/>
      <c r="T375" s="516"/>
      <c r="U375" s="516"/>
      <c r="V375" s="516"/>
      <c r="W375" s="516"/>
      <c r="X375" s="24"/>
      <c r="Y375" s="24"/>
      <c r="Z375" s="24"/>
      <c r="AA375" s="24"/>
      <c r="AB375" s="24"/>
      <c r="AC375" s="24"/>
      <c r="AD375" s="24"/>
      <c r="AE375" s="24"/>
      <c r="AF375" s="24"/>
      <c r="AG375" s="24"/>
      <c r="AH375" s="24"/>
      <c r="AI375" s="24"/>
      <c r="AJ375" s="24"/>
      <c r="AK375" s="24"/>
      <c r="AL375" s="24"/>
      <c r="AM375" s="24"/>
      <c r="AN375" s="24"/>
      <c r="AO375" s="24"/>
    </row>
    <row r="376" spans="2:41">
      <c r="B376" s="24"/>
      <c r="C376" s="24"/>
      <c r="D376" s="24"/>
      <c r="E376" s="24"/>
      <c r="F376" s="24"/>
      <c r="G376" s="24"/>
      <c r="H376" s="24"/>
      <c r="J376" s="24"/>
      <c r="K376" s="24"/>
      <c r="L376" s="24"/>
      <c r="M376" s="24"/>
      <c r="N376" s="24"/>
      <c r="O376" s="516"/>
      <c r="P376" s="516"/>
      <c r="Q376" s="516"/>
      <c r="R376" s="516"/>
      <c r="S376" s="516"/>
      <c r="T376" s="516"/>
      <c r="U376" s="516"/>
      <c r="V376" s="516"/>
      <c r="W376" s="516"/>
      <c r="X376" s="24"/>
      <c r="Y376" s="24"/>
      <c r="Z376" s="24"/>
      <c r="AA376" s="24"/>
      <c r="AB376" s="24"/>
      <c r="AC376" s="24"/>
      <c r="AD376" s="24"/>
      <c r="AE376" s="24"/>
      <c r="AF376" s="24"/>
      <c r="AG376" s="24"/>
      <c r="AH376" s="24"/>
      <c r="AI376" s="24"/>
      <c r="AJ376" s="24"/>
      <c r="AK376" s="24"/>
      <c r="AL376" s="24"/>
      <c r="AM376" s="24"/>
      <c r="AN376" s="24"/>
      <c r="AO376" s="24"/>
    </row>
    <row r="377" spans="2:41">
      <c r="B377" s="24"/>
      <c r="C377" s="24"/>
      <c r="D377" s="24"/>
      <c r="E377" s="24"/>
      <c r="F377" s="24"/>
      <c r="G377" s="24"/>
      <c r="H377" s="24"/>
      <c r="J377" s="24"/>
      <c r="K377" s="24"/>
      <c r="L377" s="24"/>
      <c r="M377" s="24"/>
      <c r="N377" s="24"/>
      <c r="O377" s="516"/>
      <c r="P377" s="516"/>
      <c r="Q377" s="516"/>
      <c r="R377" s="516"/>
      <c r="S377" s="516"/>
      <c r="T377" s="516"/>
      <c r="U377" s="516"/>
      <c r="V377" s="516"/>
      <c r="W377" s="516"/>
      <c r="X377" s="24"/>
      <c r="Y377" s="24"/>
      <c r="Z377" s="24"/>
      <c r="AA377" s="24"/>
      <c r="AB377" s="24"/>
      <c r="AC377" s="24"/>
      <c r="AD377" s="24"/>
      <c r="AE377" s="24"/>
      <c r="AF377" s="24"/>
      <c r="AG377" s="24"/>
      <c r="AH377" s="24"/>
      <c r="AI377" s="24"/>
      <c r="AJ377" s="24"/>
      <c r="AK377" s="24"/>
      <c r="AL377" s="24"/>
      <c r="AM377" s="24"/>
      <c r="AN377" s="24"/>
      <c r="AO377" s="24"/>
    </row>
    <row r="378" spans="2:41">
      <c r="B378" s="24"/>
      <c r="C378" s="24"/>
      <c r="D378" s="24"/>
      <c r="E378" s="24"/>
      <c r="F378" s="24"/>
      <c r="G378" s="24"/>
      <c r="H378" s="24"/>
      <c r="J378" s="24"/>
      <c r="K378" s="24"/>
      <c r="L378" s="24"/>
      <c r="M378" s="24"/>
      <c r="N378" s="24"/>
      <c r="O378" s="516"/>
      <c r="P378" s="516"/>
      <c r="Q378" s="516"/>
      <c r="R378" s="516"/>
      <c r="S378" s="516"/>
      <c r="T378" s="516"/>
      <c r="U378" s="516"/>
      <c r="V378" s="516"/>
      <c r="W378" s="516"/>
      <c r="X378" s="24"/>
      <c r="Y378" s="24"/>
      <c r="Z378" s="24"/>
      <c r="AA378" s="24"/>
      <c r="AB378" s="24"/>
      <c r="AC378" s="24"/>
      <c r="AD378" s="24"/>
      <c r="AE378" s="24"/>
      <c r="AF378" s="24"/>
      <c r="AG378" s="24"/>
      <c r="AH378" s="24"/>
      <c r="AI378" s="24"/>
      <c r="AJ378" s="24"/>
      <c r="AK378" s="24"/>
      <c r="AL378" s="24"/>
      <c r="AM378" s="24"/>
      <c r="AN378" s="24"/>
      <c r="AO378" s="24"/>
    </row>
    <row r="379" spans="2:41">
      <c r="B379" s="24"/>
      <c r="C379" s="24"/>
      <c r="D379" s="24"/>
      <c r="E379" s="24"/>
      <c r="F379" s="24"/>
      <c r="G379" s="24"/>
      <c r="H379" s="24"/>
      <c r="J379" s="24"/>
      <c r="K379" s="24"/>
      <c r="L379" s="24"/>
      <c r="M379" s="24"/>
      <c r="N379" s="24"/>
      <c r="O379" s="516"/>
      <c r="P379" s="516"/>
      <c r="Q379" s="516"/>
      <c r="R379" s="516"/>
      <c r="S379" s="516"/>
      <c r="T379" s="516"/>
      <c r="U379" s="516"/>
      <c r="V379" s="516"/>
      <c r="W379" s="516"/>
      <c r="X379" s="24"/>
      <c r="Y379" s="24"/>
      <c r="Z379" s="24"/>
      <c r="AA379" s="24"/>
      <c r="AB379" s="24"/>
      <c r="AC379" s="24"/>
      <c r="AD379" s="24"/>
      <c r="AE379" s="24"/>
      <c r="AF379" s="24"/>
      <c r="AG379" s="24"/>
      <c r="AH379" s="24"/>
      <c r="AI379" s="24"/>
      <c r="AJ379" s="24"/>
      <c r="AK379" s="24"/>
      <c r="AL379" s="24"/>
      <c r="AM379" s="24"/>
      <c r="AN379" s="24"/>
      <c r="AO379" s="24"/>
    </row>
    <row r="380" spans="2:41">
      <c r="B380" s="24"/>
      <c r="C380" s="24"/>
      <c r="D380" s="24"/>
      <c r="E380" s="24"/>
      <c r="F380" s="24"/>
      <c r="G380" s="24"/>
      <c r="H380" s="24"/>
      <c r="J380" s="24"/>
      <c r="K380" s="24"/>
      <c r="L380" s="24"/>
      <c r="M380" s="24"/>
      <c r="N380" s="24"/>
      <c r="O380" s="516"/>
      <c r="P380" s="516"/>
      <c r="Q380" s="516"/>
      <c r="R380" s="516"/>
      <c r="S380" s="516"/>
      <c r="T380" s="516"/>
      <c r="U380" s="516"/>
      <c r="V380" s="516"/>
      <c r="W380" s="516"/>
      <c r="X380" s="24"/>
      <c r="Y380" s="24"/>
      <c r="Z380" s="24"/>
      <c r="AA380" s="24"/>
      <c r="AB380" s="24"/>
      <c r="AC380" s="24"/>
      <c r="AD380" s="24"/>
      <c r="AE380" s="24"/>
      <c r="AF380" s="24"/>
      <c r="AG380" s="24"/>
      <c r="AH380" s="24"/>
      <c r="AI380" s="24"/>
      <c r="AJ380" s="24"/>
      <c r="AK380" s="24"/>
      <c r="AL380" s="24"/>
      <c r="AM380" s="24"/>
      <c r="AN380" s="24"/>
      <c r="AO380" s="24"/>
    </row>
    <row r="381" spans="2:41">
      <c r="B381" s="24"/>
      <c r="C381" s="24"/>
      <c r="D381" s="24"/>
      <c r="E381" s="24"/>
      <c r="F381" s="24"/>
      <c r="G381" s="24"/>
      <c r="H381" s="24"/>
      <c r="J381" s="24"/>
      <c r="K381" s="24"/>
      <c r="L381" s="24"/>
      <c r="M381" s="24"/>
      <c r="N381" s="24"/>
      <c r="O381" s="516"/>
      <c r="P381" s="516"/>
      <c r="Q381" s="516"/>
      <c r="R381" s="516"/>
      <c r="S381" s="516"/>
      <c r="T381" s="516"/>
      <c r="U381" s="516"/>
      <c r="V381" s="516"/>
      <c r="W381" s="516"/>
      <c r="X381" s="24"/>
      <c r="Y381" s="24"/>
      <c r="Z381" s="24"/>
      <c r="AA381" s="24"/>
      <c r="AB381" s="24"/>
      <c r="AC381" s="24"/>
      <c r="AD381" s="24"/>
      <c r="AE381" s="24"/>
      <c r="AF381" s="24"/>
      <c r="AG381" s="24"/>
      <c r="AH381" s="24"/>
      <c r="AI381" s="24"/>
      <c r="AJ381" s="24"/>
      <c r="AK381" s="24"/>
      <c r="AL381" s="24"/>
      <c r="AM381" s="24"/>
      <c r="AN381" s="24"/>
      <c r="AO381" s="24"/>
    </row>
    <row r="382" spans="2:41">
      <c r="B382" s="24"/>
      <c r="C382" s="24"/>
      <c r="D382" s="24"/>
      <c r="E382" s="24"/>
      <c r="F382" s="24"/>
      <c r="G382" s="24"/>
      <c r="H382" s="24"/>
      <c r="J382" s="24"/>
      <c r="K382" s="24"/>
      <c r="L382" s="24"/>
      <c r="M382" s="24"/>
      <c r="N382" s="24"/>
      <c r="O382" s="516"/>
      <c r="P382" s="516"/>
      <c r="Q382" s="516"/>
      <c r="R382" s="516"/>
      <c r="S382" s="516"/>
      <c r="T382" s="516"/>
      <c r="U382" s="516"/>
      <c r="V382" s="516"/>
      <c r="W382" s="516"/>
      <c r="X382" s="24"/>
      <c r="Y382" s="24"/>
      <c r="Z382" s="24"/>
      <c r="AA382" s="24"/>
      <c r="AB382" s="24"/>
      <c r="AC382" s="24"/>
      <c r="AD382" s="24"/>
      <c r="AE382" s="24"/>
      <c r="AF382" s="24"/>
      <c r="AG382" s="24"/>
      <c r="AH382" s="24"/>
      <c r="AI382" s="24"/>
      <c r="AJ382" s="24"/>
      <c r="AK382" s="24"/>
      <c r="AL382" s="24"/>
      <c r="AM382" s="24"/>
      <c r="AN382" s="24"/>
      <c r="AO382" s="24"/>
    </row>
    <row r="383" spans="2:41">
      <c r="B383" s="24"/>
      <c r="C383" s="24"/>
      <c r="D383" s="24"/>
      <c r="E383" s="24"/>
      <c r="F383" s="24"/>
      <c r="G383" s="24"/>
      <c r="H383" s="24"/>
      <c r="J383" s="24"/>
      <c r="K383" s="24"/>
      <c r="L383" s="24"/>
      <c r="M383" s="24"/>
      <c r="N383" s="24"/>
      <c r="O383" s="516"/>
      <c r="P383" s="516"/>
      <c r="Q383" s="516"/>
      <c r="R383" s="516"/>
      <c r="S383" s="516"/>
      <c r="T383" s="516"/>
      <c r="U383" s="516"/>
      <c r="V383" s="516"/>
      <c r="W383" s="516"/>
      <c r="X383" s="24"/>
      <c r="Y383" s="24"/>
      <c r="Z383" s="24"/>
      <c r="AA383" s="24"/>
      <c r="AB383" s="24"/>
      <c r="AC383" s="24"/>
      <c r="AD383" s="24"/>
      <c r="AE383" s="24"/>
      <c r="AF383" s="24"/>
      <c r="AG383" s="24"/>
      <c r="AH383" s="24"/>
      <c r="AI383" s="24"/>
      <c r="AJ383" s="24"/>
      <c r="AK383" s="24"/>
      <c r="AL383" s="24"/>
      <c r="AM383" s="24"/>
      <c r="AN383" s="24"/>
      <c r="AO383" s="24"/>
    </row>
    <row r="384" spans="2:41">
      <c r="B384" s="24"/>
      <c r="C384" s="24"/>
      <c r="D384" s="24"/>
      <c r="E384" s="24"/>
      <c r="F384" s="24"/>
      <c r="G384" s="24"/>
      <c r="H384" s="24"/>
      <c r="J384" s="24"/>
      <c r="K384" s="24"/>
      <c r="L384" s="24"/>
      <c r="M384" s="24"/>
      <c r="N384" s="24"/>
      <c r="O384" s="516"/>
      <c r="P384" s="516"/>
      <c r="Q384" s="516"/>
      <c r="R384" s="516"/>
      <c r="S384" s="516"/>
      <c r="T384" s="516"/>
      <c r="U384" s="516"/>
      <c r="V384" s="516"/>
      <c r="W384" s="516"/>
      <c r="X384" s="24"/>
      <c r="Y384" s="24"/>
      <c r="Z384" s="24"/>
      <c r="AA384" s="24"/>
      <c r="AB384" s="24"/>
      <c r="AC384" s="24"/>
      <c r="AD384" s="24"/>
      <c r="AE384" s="24"/>
      <c r="AF384" s="24"/>
      <c r="AG384" s="24"/>
      <c r="AH384" s="24"/>
      <c r="AI384" s="24"/>
      <c r="AJ384" s="24"/>
      <c r="AK384" s="24"/>
      <c r="AL384" s="24"/>
      <c r="AM384" s="24"/>
      <c r="AN384" s="24"/>
      <c r="AO384" s="24"/>
    </row>
    <row r="385" spans="2:41">
      <c r="B385" s="24"/>
      <c r="C385" s="24"/>
      <c r="D385" s="24"/>
      <c r="E385" s="24"/>
      <c r="F385" s="24"/>
      <c r="G385" s="24"/>
      <c r="H385" s="24"/>
      <c r="J385" s="24"/>
      <c r="K385" s="24"/>
      <c r="L385" s="24"/>
      <c r="M385" s="24"/>
      <c r="N385" s="24"/>
      <c r="O385" s="516"/>
      <c r="P385" s="516"/>
      <c r="Q385" s="516"/>
      <c r="R385" s="516"/>
      <c r="S385" s="516"/>
      <c r="T385" s="516"/>
      <c r="U385" s="516"/>
      <c r="V385" s="516"/>
      <c r="W385" s="516"/>
      <c r="X385" s="24"/>
      <c r="Y385" s="24"/>
      <c r="Z385" s="24"/>
      <c r="AA385" s="24"/>
      <c r="AB385" s="24"/>
      <c r="AC385" s="24"/>
      <c r="AD385" s="24"/>
      <c r="AE385" s="24"/>
      <c r="AF385" s="24"/>
      <c r="AG385" s="24"/>
      <c r="AH385" s="24"/>
      <c r="AI385" s="24"/>
      <c r="AJ385" s="24"/>
      <c r="AK385" s="24"/>
      <c r="AL385" s="24"/>
      <c r="AM385" s="24"/>
      <c r="AN385" s="24"/>
      <c r="AO385" s="24"/>
    </row>
    <row r="386" spans="2:41">
      <c r="B386" s="24"/>
      <c r="C386" s="24"/>
      <c r="D386" s="24"/>
      <c r="E386" s="24"/>
      <c r="F386" s="24"/>
      <c r="G386" s="24"/>
      <c r="H386" s="24"/>
      <c r="J386" s="24"/>
      <c r="K386" s="24"/>
      <c r="L386" s="24"/>
      <c r="M386" s="24"/>
      <c r="N386" s="24"/>
      <c r="O386" s="516"/>
      <c r="P386" s="516"/>
      <c r="Q386" s="516"/>
      <c r="R386" s="516"/>
      <c r="S386" s="516"/>
      <c r="T386" s="516"/>
      <c r="U386" s="516"/>
      <c r="V386" s="516"/>
      <c r="W386" s="516"/>
      <c r="X386" s="24"/>
      <c r="Y386" s="24"/>
      <c r="Z386" s="24"/>
      <c r="AA386" s="24"/>
      <c r="AB386" s="24"/>
      <c r="AC386" s="24"/>
      <c r="AD386" s="24"/>
      <c r="AE386" s="24"/>
      <c r="AF386" s="24"/>
      <c r="AG386" s="24"/>
      <c r="AH386" s="24"/>
      <c r="AI386" s="24"/>
      <c r="AJ386" s="24"/>
      <c r="AK386" s="24"/>
      <c r="AL386" s="24"/>
      <c r="AM386" s="24"/>
      <c r="AN386" s="24"/>
      <c r="AO386" s="24"/>
    </row>
    <row r="387" spans="2:41">
      <c r="B387" s="24"/>
      <c r="C387" s="24"/>
      <c r="D387" s="24"/>
      <c r="E387" s="24"/>
      <c r="F387" s="24"/>
      <c r="G387" s="24"/>
      <c r="H387" s="24"/>
      <c r="J387" s="24"/>
      <c r="K387" s="24"/>
      <c r="L387" s="24"/>
      <c r="M387" s="24"/>
      <c r="N387" s="24"/>
      <c r="O387" s="516"/>
      <c r="P387" s="516"/>
      <c r="Q387" s="516"/>
      <c r="R387" s="516"/>
      <c r="S387" s="516"/>
      <c r="T387" s="516"/>
      <c r="U387" s="516"/>
      <c r="V387" s="516"/>
      <c r="W387" s="516"/>
      <c r="X387" s="24"/>
      <c r="Y387" s="24"/>
      <c r="Z387" s="24"/>
      <c r="AA387" s="24"/>
      <c r="AB387" s="24"/>
      <c r="AC387" s="24"/>
      <c r="AD387" s="24"/>
      <c r="AE387" s="24"/>
      <c r="AF387" s="24"/>
      <c r="AG387" s="24"/>
      <c r="AH387" s="24"/>
      <c r="AI387" s="24"/>
      <c r="AJ387" s="24"/>
      <c r="AK387" s="24"/>
      <c r="AL387" s="24"/>
      <c r="AM387" s="24"/>
      <c r="AN387" s="24"/>
      <c r="AO387" s="24"/>
    </row>
    <row r="388" spans="2:41">
      <c r="B388" s="24"/>
      <c r="C388" s="24"/>
      <c r="D388" s="24"/>
      <c r="E388" s="24"/>
      <c r="F388" s="24"/>
      <c r="G388" s="24"/>
      <c r="H388" s="24"/>
      <c r="J388" s="24"/>
      <c r="K388" s="24"/>
      <c r="L388" s="24"/>
      <c r="M388" s="24"/>
      <c r="N388" s="24"/>
      <c r="O388" s="516"/>
      <c r="P388" s="516"/>
      <c r="Q388" s="516"/>
      <c r="R388" s="516"/>
      <c r="S388" s="516"/>
      <c r="T388" s="516"/>
      <c r="U388" s="516"/>
      <c r="V388" s="516"/>
      <c r="W388" s="516"/>
      <c r="X388" s="24"/>
      <c r="Y388" s="24"/>
      <c r="Z388" s="24"/>
      <c r="AA388" s="24"/>
      <c r="AB388" s="24"/>
      <c r="AC388" s="24"/>
      <c r="AD388" s="24"/>
      <c r="AE388" s="24"/>
      <c r="AF388" s="24"/>
      <c r="AG388" s="24"/>
      <c r="AH388" s="24"/>
      <c r="AI388" s="24"/>
      <c r="AJ388" s="24"/>
      <c r="AK388" s="24"/>
      <c r="AL388" s="24"/>
      <c r="AM388" s="24"/>
      <c r="AN388" s="24"/>
      <c r="AO388" s="24"/>
    </row>
    <row r="389" spans="2:41">
      <c r="B389" s="24"/>
      <c r="C389" s="24"/>
      <c r="D389" s="24"/>
      <c r="E389" s="24"/>
      <c r="F389" s="24"/>
      <c r="G389" s="24"/>
      <c r="H389" s="24"/>
      <c r="J389" s="24"/>
      <c r="K389" s="24"/>
      <c r="L389" s="24"/>
      <c r="M389" s="24"/>
      <c r="N389" s="24"/>
      <c r="O389" s="516"/>
      <c r="P389" s="516"/>
      <c r="Q389" s="516"/>
      <c r="R389" s="516"/>
      <c r="S389" s="516"/>
      <c r="T389" s="516"/>
      <c r="U389" s="516"/>
      <c r="V389" s="516"/>
      <c r="W389" s="516"/>
      <c r="X389" s="24"/>
      <c r="Y389" s="24"/>
      <c r="Z389" s="24"/>
      <c r="AA389" s="24"/>
      <c r="AB389" s="24"/>
      <c r="AC389" s="24"/>
      <c r="AD389" s="24"/>
      <c r="AE389" s="24"/>
      <c r="AF389" s="24"/>
      <c r="AG389" s="24"/>
      <c r="AH389" s="24"/>
      <c r="AI389" s="24"/>
      <c r="AJ389" s="24"/>
      <c r="AK389" s="24"/>
      <c r="AL389" s="24"/>
      <c r="AM389" s="24"/>
      <c r="AN389" s="24"/>
      <c r="AO389" s="24"/>
    </row>
    <row r="390" spans="2:41">
      <c r="B390" s="24"/>
      <c r="C390" s="24"/>
      <c r="D390" s="24"/>
      <c r="E390" s="24"/>
      <c r="F390" s="24"/>
      <c r="G390" s="24"/>
      <c r="H390" s="24"/>
      <c r="J390" s="24"/>
      <c r="K390" s="24"/>
      <c r="L390" s="24"/>
      <c r="M390" s="24"/>
      <c r="N390" s="24"/>
      <c r="O390" s="516"/>
      <c r="P390" s="516"/>
      <c r="Q390" s="516"/>
      <c r="R390" s="516"/>
      <c r="S390" s="516"/>
      <c r="T390" s="516"/>
      <c r="U390" s="516"/>
      <c r="V390" s="516"/>
      <c r="W390" s="516"/>
      <c r="X390" s="24"/>
      <c r="Y390" s="24"/>
      <c r="Z390" s="24"/>
      <c r="AA390" s="24"/>
      <c r="AB390" s="24"/>
      <c r="AC390" s="24"/>
      <c r="AD390" s="24"/>
      <c r="AE390" s="24"/>
      <c r="AF390" s="24"/>
      <c r="AG390" s="24"/>
      <c r="AH390" s="24"/>
      <c r="AI390" s="24"/>
      <c r="AJ390" s="24"/>
      <c r="AK390" s="24"/>
      <c r="AL390" s="24"/>
      <c r="AM390" s="24"/>
      <c r="AN390" s="24"/>
      <c r="AO390" s="24"/>
    </row>
    <row r="391" spans="2:41">
      <c r="B391" s="24"/>
      <c r="C391" s="24"/>
      <c r="D391" s="24"/>
      <c r="E391" s="24"/>
      <c r="F391" s="24"/>
      <c r="G391" s="24"/>
      <c r="H391" s="24"/>
      <c r="J391" s="24"/>
      <c r="K391" s="24"/>
      <c r="L391" s="24"/>
      <c r="M391" s="24"/>
      <c r="N391" s="24"/>
      <c r="O391" s="516"/>
      <c r="P391" s="516"/>
      <c r="Q391" s="516"/>
      <c r="R391" s="516"/>
      <c r="S391" s="516"/>
      <c r="T391" s="516"/>
      <c r="U391" s="516"/>
      <c r="V391" s="516"/>
      <c r="W391" s="516"/>
      <c r="X391" s="24"/>
      <c r="Y391" s="24"/>
      <c r="Z391" s="24"/>
      <c r="AA391" s="24"/>
      <c r="AB391" s="24"/>
      <c r="AC391" s="24"/>
      <c r="AD391" s="24"/>
      <c r="AE391" s="24"/>
      <c r="AF391" s="24"/>
      <c r="AG391" s="24"/>
      <c r="AH391" s="24"/>
      <c r="AI391" s="24"/>
      <c r="AJ391" s="24"/>
      <c r="AK391" s="24"/>
      <c r="AL391" s="24"/>
      <c r="AM391" s="24"/>
      <c r="AN391" s="24"/>
      <c r="AO391" s="24"/>
    </row>
    <row r="392" spans="2:41">
      <c r="B392" s="24"/>
      <c r="C392" s="24"/>
      <c r="D392" s="24"/>
      <c r="E392" s="24"/>
      <c r="F392" s="24"/>
      <c r="G392" s="24"/>
      <c r="H392" s="24"/>
      <c r="J392" s="24"/>
      <c r="K392" s="24"/>
      <c r="L392" s="24"/>
      <c r="M392" s="24"/>
      <c r="N392" s="24"/>
      <c r="O392" s="516"/>
      <c r="P392" s="516"/>
      <c r="Q392" s="516"/>
      <c r="R392" s="516"/>
      <c r="S392" s="516"/>
      <c r="T392" s="516"/>
      <c r="U392" s="516"/>
      <c r="V392" s="516"/>
      <c r="W392" s="516"/>
      <c r="X392" s="24"/>
      <c r="Y392" s="24"/>
      <c r="Z392" s="24"/>
      <c r="AA392" s="24"/>
      <c r="AB392" s="24"/>
      <c r="AC392" s="24"/>
      <c r="AD392" s="24"/>
      <c r="AE392" s="24"/>
      <c r="AF392" s="24"/>
      <c r="AG392" s="24"/>
      <c r="AH392" s="24"/>
      <c r="AI392" s="24"/>
      <c r="AJ392" s="24"/>
      <c r="AK392" s="24"/>
      <c r="AL392" s="24"/>
      <c r="AM392" s="24"/>
      <c r="AN392" s="24"/>
      <c r="AO392" s="24"/>
    </row>
    <row r="393" spans="2:41">
      <c r="B393" s="24"/>
      <c r="C393" s="24"/>
      <c r="D393" s="24"/>
      <c r="E393" s="24"/>
      <c r="F393" s="24"/>
      <c r="G393" s="24"/>
      <c r="H393" s="24"/>
      <c r="J393" s="24"/>
      <c r="K393" s="24"/>
      <c r="L393" s="24"/>
      <c r="M393" s="24"/>
      <c r="N393" s="24"/>
      <c r="O393" s="516"/>
      <c r="P393" s="516"/>
      <c r="Q393" s="516"/>
      <c r="R393" s="516"/>
      <c r="S393" s="516"/>
      <c r="T393" s="516"/>
      <c r="U393" s="516"/>
      <c r="V393" s="516"/>
      <c r="W393" s="516"/>
      <c r="X393" s="24"/>
      <c r="Y393" s="24"/>
      <c r="Z393" s="24"/>
      <c r="AA393" s="24"/>
      <c r="AB393" s="24"/>
      <c r="AC393" s="24"/>
      <c r="AD393" s="24"/>
      <c r="AE393" s="24"/>
      <c r="AF393" s="24"/>
      <c r="AG393" s="24"/>
      <c r="AH393" s="24"/>
      <c r="AI393" s="24"/>
      <c r="AJ393" s="24"/>
      <c r="AK393" s="24"/>
      <c r="AL393" s="24"/>
      <c r="AM393" s="24"/>
      <c r="AN393" s="24"/>
      <c r="AO393" s="24"/>
    </row>
    <row r="394" spans="2:41">
      <c r="B394" s="24"/>
      <c r="C394" s="24"/>
      <c r="D394" s="24"/>
      <c r="E394" s="24"/>
      <c r="F394" s="24"/>
      <c r="G394" s="24"/>
      <c r="H394" s="24"/>
      <c r="J394" s="24"/>
      <c r="K394" s="24"/>
      <c r="L394" s="24"/>
      <c r="M394" s="24"/>
      <c r="N394" s="24"/>
      <c r="O394" s="516"/>
      <c r="P394" s="516"/>
      <c r="Q394" s="516"/>
      <c r="R394" s="516"/>
      <c r="S394" s="516"/>
      <c r="T394" s="516"/>
      <c r="U394" s="516"/>
      <c r="V394" s="516"/>
      <c r="W394" s="516"/>
      <c r="X394" s="24"/>
      <c r="Y394" s="24"/>
      <c r="Z394" s="24"/>
      <c r="AA394" s="24"/>
      <c r="AB394" s="24"/>
      <c r="AC394" s="24"/>
      <c r="AD394" s="24"/>
      <c r="AE394" s="24"/>
      <c r="AF394" s="24"/>
      <c r="AG394" s="24"/>
      <c r="AH394" s="24"/>
      <c r="AI394" s="24"/>
      <c r="AJ394" s="24"/>
      <c r="AK394" s="24"/>
      <c r="AL394" s="24"/>
      <c r="AM394" s="24"/>
      <c r="AN394" s="24"/>
      <c r="AO394" s="24"/>
    </row>
    <row r="395" spans="2:41">
      <c r="B395" s="24"/>
      <c r="C395" s="24"/>
      <c r="D395" s="24"/>
      <c r="E395" s="24"/>
      <c r="F395" s="24"/>
      <c r="G395" s="24"/>
      <c r="H395" s="24"/>
      <c r="J395" s="24"/>
      <c r="K395" s="24"/>
      <c r="L395" s="24"/>
      <c r="M395" s="24"/>
      <c r="N395" s="24"/>
      <c r="O395" s="516"/>
      <c r="P395" s="516"/>
      <c r="Q395" s="516"/>
      <c r="R395" s="516"/>
      <c r="S395" s="516"/>
      <c r="T395" s="516"/>
      <c r="U395" s="516"/>
      <c r="V395" s="516"/>
      <c r="W395" s="516"/>
      <c r="X395" s="24"/>
      <c r="Y395" s="24"/>
      <c r="Z395" s="24"/>
      <c r="AA395" s="24"/>
      <c r="AB395" s="24"/>
      <c r="AC395" s="24"/>
      <c r="AD395" s="24"/>
      <c r="AE395" s="24"/>
      <c r="AF395" s="24"/>
      <c r="AG395" s="24"/>
      <c r="AH395" s="24"/>
      <c r="AI395" s="24"/>
      <c r="AJ395" s="24"/>
      <c r="AK395" s="24"/>
      <c r="AL395" s="24"/>
      <c r="AM395" s="24"/>
      <c r="AN395" s="24"/>
      <c r="AO395" s="24"/>
    </row>
    <row r="396" spans="2:41">
      <c r="B396" s="24"/>
      <c r="C396" s="24"/>
      <c r="D396" s="24"/>
      <c r="E396" s="24"/>
      <c r="F396" s="24"/>
      <c r="G396" s="24"/>
      <c r="H396" s="24"/>
      <c r="J396" s="24"/>
      <c r="K396" s="24"/>
      <c r="L396" s="24"/>
      <c r="M396" s="24"/>
      <c r="N396" s="24"/>
      <c r="O396" s="516"/>
      <c r="P396" s="516"/>
      <c r="Q396" s="516"/>
      <c r="R396" s="516"/>
      <c r="S396" s="516"/>
      <c r="T396" s="516"/>
      <c r="U396" s="516"/>
      <c r="V396" s="516"/>
      <c r="W396" s="516"/>
      <c r="X396" s="24"/>
      <c r="Y396" s="24"/>
      <c r="Z396" s="24"/>
      <c r="AA396" s="24"/>
      <c r="AB396" s="24"/>
      <c r="AC396" s="24"/>
      <c r="AD396" s="24"/>
      <c r="AE396" s="24"/>
      <c r="AF396" s="24"/>
      <c r="AG396" s="24"/>
      <c r="AH396" s="24"/>
      <c r="AI396" s="24"/>
      <c r="AJ396" s="24"/>
      <c r="AK396" s="24"/>
      <c r="AL396" s="24"/>
      <c r="AM396" s="24"/>
      <c r="AN396" s="24"/>
      <c r="AO396" s="24"/>
    </row>
    <row r="397" spans="2:41">
      <c r="B397" s="24"/>
      <c r="C397" s="24"/>
      <c r="D397" s="24"/>
      <c r="E397" s="24"/>
      <c r="F397" s="24"/>
      <c r="G397" s="24"/>
      <c r="H397" s="24"/>
      <c r="J397" s="24"/>
      <c r="K397" s="24"/>
      <c r="L397" s="24"/>
      <c r="M397" s="24"/>
      <c r="N397" s="24"/>
      <c r="O397" s="516"/>
      <c r="P397" s="516"/>
      <c r="Q397" s="516"/>
      <c r="R397" s="516"/>
      <c r="S397" s="516"/>
      <c r="T397" s="516"/>
      <c r="U397" s="516"/>
      <c r="V397" s="516"/>
      <c r="W397" s="516"/>
      <c r="X397" s="24"/>
      <c r="Y397" s="24"/>
      <c r="Z397" s="24"/>
      <c r="AA397" s="24"/>
      <c r="AB397" s="24"/>
      <c r="AC397" s="24"/>
      <c r="AD397" s="24"/>
      <c r="AE397" s="24"/>
      <c r="AF397" s="24"/>
      <c r="AG397" s="24"/>
      <c r="AH397" s="24"/>
      <c r="AI397" s="24"/>
      <c r="AJ397" s="24"/>
      <c r="AK397" s="24"/>
      <c r="AL397" s="24"/>
      <c r="AM397" s="24"/>
      <c r="AN397" s="24"/>
      <c r="AO397" s="24"/>
    </row>
    <row r="398" spans="2:41">
      <c r="B398" s="24"/>
      <c r="C398" s="24"/>
      <c r="D398" s="24"/>
      <c r="E398" s="24"/>
      <c r="F398" s="24"/>
      <c r="G398" s="24"/>
      <c r="H398" s="24"/>
      <c r="J398" s="24"/>
      <c r="K398" s="24"/>
      <c r="L398" s="24"/>
      <c r="M398" s="24"/>
      <c r="N398" s="24"/>
      <c r="O398" s="516"/>
      <c r="P398" s="516"/>
      <c r="Q398" s="516"/>
      <c r="R398" s="516"/>
      <c r="S398" s="516"/>
      <c r="T398" s="516"/>
      <c r="U398" s="516"/>
      <c r="V398" s="516"/>
      <c r="W398" s="516"/>
      <c r="X398" s="24"/>
      <c r="Y398" s="24"/>
      <c r="Z398" s="24"/>
      <c r="AA398" s="24"/>
      <c r="AB398" s="24"/>
      <c r="AC398" s="24"/>
      <c r="AD398" s="24"/>
      <c r="AE398" s="24"/>
      <c r="AF398" s="24"/>
      <c r="AG398" s="24"/>
      <c r="AH398" s="24"/>
      <c r="AI398" s="24"/>
      <c r="AJ398" s="24"/>
      <c r="AK398" s="24"/>
      <c r="AL398" s="24"/>
      <c r="AM398" s="24"/>
      <c r="AN398" s="24"/>
      <c r="AO398" s="24"/>
    </row>
    <row r="399" spans="2:41">
      <c r="B399" s="24"/>
      <c r="C399" s="24"/>
      <c r="D399" s="24"/>
      <c r="E399" s="24"/>
      <c r="F399" s="24"/>
      <c r="G399" s="24"/>
      <c r="H399" s="24"/>
      <c r="J399" s="24"/>
      <c r="K399" s="24"/>
      <c r="L399" s="24"/>
      <c r="M399" s="24"/>
      <c r="N399" s="24"/>
      <c r="O399" s="516"/>
      <c r="P399" s="516"/>
      <c r="Q399" s="516"/>
      <c r="R399" s="516"/>
      <c r="S399" s="516"/>
      <c r="T399" s="516"/>
      <c r="U399" s="516"/>
      <c r="V399" s="516"/>
      <c r="W399" s="516"/>
      <c r="X399" s="24"/>
      <c r="Y399" s="24"/>
      <c r="Z399" s="24"/>
      <c r="AA399" s="24"/>
      <c r="AB399" s="24"/>
      <c r="AC399" s="24"/>
      <c r="AD399" s="24"/>
      <c r="AE399" s="24"/>
      <c r="AF399" s="24"/>
      <c r="AG399" s="24"/>
      <c r="AH399" s="24"/>
      <c r="AI399" s="24"/>
      <c r="AJ399" s="24"/>
      <c r="AK399" s="24"/>
      <c r="AL399" s="24"/>
      <c r="AM399" s="24"/>
      <c r="AN399" s="24"/>
      <c r="AO399" s="24"/>
    </row>
    <row r="400" spans="2:41">
      <c r="B400" s="24"/>
      <c r="C400" s="24"/>
      <c r="D400" s="24"/>
      <c r="E400" s="24"/>
      <c r="F400" s="24"/>
      <c r="G400" s="24"/>
      <c r="H400" s="24"/>
      <c r="J400" s="24"/>
      <c r="K400" s="24"/>
      <c r="L400" s="24"/>
      <c r="M400" s="24"/>
      <c r="N400" s="24"/>
      <c r="O400" s="516"/>
      <c r="P400" s="516"/>
      <c r="Q400" s="516"/>
      <c r="R400" s="516"/>
      <c r="S400" s="516"/>
      <c r="T400" s="516"/>
      <c r="U400" s="516"/>
      <c r="V400" s="516"/>
      <c r="W400" s="516"/>
      <c r="X400" s="24"/>
      <c r="Y400" s="24"/>
      <c r="Z400" s="24"/>
      <c r="AA400" s="24"/>
      <c r="AB400" s="24"/>
      <c r="AC400" s="24"/>
      <c r="AD400" s="24"/>
      <c r="AE400" s="24"/>
      <c r="AF400" s="24"/>
      <c r="AG400" s="24"/>
      <c r="AH400" s="24"/>
      <c r="AI400" s="24"/>
      <c r="AJ400" s="24"/>
      <c r="AK400" s="24"/>
      <c r="AL400" s="24"/>
      <c r="AM400" s="24"/>
      <c r="AN400" s="24"/>
      <c r="AO400" s="24"/>
    </row>
    <row r="401" spans="2:41">
      <c r="B401" s="24"/>
      <c r="C401" s="24"/>
      <c r="D401" s="24"/>
      <c r="E401" s="24"/>
      <c r="F401" s="24"/>
      <c r="G401" s="24"/>
      <c r="H401" s="24"/>
      <c r="J401" s="24"/>
      <c r="K401" s="24"/>
      <c r="L401" s="24"/>
      <c r="M401" s="24"/>
      <c r="N401" s="24"/>
      <c r="O401" s="516"/>
      <c r="P401" s="516"/>
      <c r="Q401" s="516"/>
      <c r="R401" s="516"/>
      <c r="S401" s="516"/>
      <c r="T401" s="516"/>
      <c r="U401" s="516"/>
      <c r="V401" s="516"/>
      <c r="W401" s="516"/>
      <c r="X401" s="24"/>
      <c r="Y401" s="24"/>
      <c r="Z401" s="24"/>
      <c r="AA401" s="24"/>
      <c r="AB401" s="24"/>
      <c r="AC401" s="24"/>
      <c r="AD401" s="24"/>
      <c r="AE401" s="24"/>
      <c r="AF401" s="24"/>
      <c r="AG401" s="24"/>
      <c r="AH401" s="24"/>
      <c r="AI401" s="24"/>
      <c r="AJ401" s="24"/>
      <c r="AK401" s="24"/>
      <c r="AL401" s="24"/>
      <c r="AM401" s="24"/>
      <c r="AN401" s="24"/>
      <c r="AO401" s="24"/>
    </row>
    <row r="402" spans="2:41">
      <c r="B402" s="24"/>
      <c r="C402" s="24"/>
      <c r="D402" s="24"/>
      <c r="E402" s="24"/>
      <c r="F402" s="24"/>
      <c r="G402" s="24"/>
      <c r="H402" s="24"/>
      <c r="J402" s="24"/>
      <c r="K402" s="24"/>
      <c r="L402" s="24"/>
      <c r="M402" s="24"/>
      <c r="N402" s="24"/>
      <c r="O402" s="516"/>
      <c r="P402" s="516"/>
      <c r="Q402" s="516"/>
      <c r="R402" s="516"/>
      <c r="S402" s="516"/>
      <c r="T402" s="516"/>
      <c r="U402" s="516"/>
      <c r="V402" s="516"/>
      <c r="W402" s="516"/>
      <c r="X402" s="24"/>
      <c r="Y402" s="24"/>
      <c r="Z402" s="24"/>
      <c r="AA402" s="24"/>
      <c r="AB402" s="24"/>
      <c r="AC402" s="24"/>
      <c r="AD402" s="24"/>
      <c r="AE402" s="24"/>
      <c r="AF402" s="24"/>
      <c r="AG402" s="24"/>
      <c r="AH402" s="24"/>
      <c r="AI402" s="24"/>
      <c r="AJ402" s="24"/>
      <c r="AK402" s="24"/>
      <c r="AL402" s="24"/>
      <c r="AM402" s="24"/>
      <c r="AN402" s="24"/>
      <c r="AO402" s="24"/>
    </row>
    <row r="403" spans="2:41">
      <c r="B403" s="24"/>
      <c r="C403" s="24"/>
      <c r="D403" s="24"/>
      <c r="E403" s="24"/>
      <c r="F403" s="24"/>
      <c r="G403" s="24"/>
      <c r="H403" s="24"/>
      <c r="J403" s="24"/>
      <c r="K403" s="24"/>
      <c r="L403" s="24"/>
      <c r="M403" s="24"/>
      <c r="N403" s="24"/>
      <c r="O403" s="516"/>
      <c r="P403" s="516"/>
      <c r="Q403" s="516"/>
      <c r="R403" s="516"/>
      <c r="S403" s="516"/>
      <c r="T403" s="516"/>
      <c r="U403" s="516"/>
      <c r="V403" s="516"/>
      <c r="W403" s="516"/>
      <c r="X403" s="24"/>
      <c r="Y403" s="24"/>
      <c r="Z403" s="24"/>
      <c r="AA403" s="24"/>
      <c r="AB403" s="24"/>
      <c r="AC403" s="24"/>
      <c r="AD403" s="24"/>
      <c r="AE403" s="24"/>
      <c r="AF403" s="24"/>
      <c r="AG403" s="24"/>
      <c r="AH403" s="24"/>
      <c r="AI403" s="24"/>
      <c r="AJ403" s="24"/>
      <c r="AK403" s="24"/>
      <c r="AL403" s="24"/>
      <c r="AM403" s="24"/>
      <c r="AN403" s="24"/>
      <c r="AO403" s="24"/>
    </row>
    <row r="404" spans="2:41">
      <c r="B404" s="24"/>
      <c r="C404" s="24"/>
      <c r="D404" s="24"/>
      <c r="E404" s="24"/>
      <c r="F404" s="24"/>
      <c r="G404" s="24"/>
      <c r="H404" s="24"/>
      <c r="J404" s="24"/>
      <c r="K404" s="24"/>
      <c r="L404" s="24"/>
      <c r="M404" s="24"/>
      <c r="N404" s="24"/>
      <c r="O404" s="516"/>
      <c r="P404" s="516"/>
      <c r="Q404" s="516"/>
      <c r="R404" s="516"/>
      <c r="S404" s="516"/>
      <c r="T404" s="516"/>
      <c r="U404" s="516"/>
      <c r="V404" s="516"/>
      <c r="W404" s="516"/>
      <c r="X404" s="24"/>
      <c r="Y404" s="24"/>
      <c r="Z404" s="24"/>
      <c r="AA404" s="24"/>
      <c r="AB404" s="24"/>
      <c r="AC404" s="24"/>
      <c r="AD404" s="24"/>
      <c r="AE404" s="24"/>
      <c r="AF404" s="24"/>
      <c r="AG404" s="24"/>
      <c r="AH404" s="24"/>
      <c r="AI404" s="24"/>
      <c r="AJ404" s="24"/>
      <c r="AK404" s="24"/>
      <c r="AL404" s="24"/>
      <c r="AM404" s="24"/>
      <c r="AN404" s="24"/>
      <c r="AO404" s="24"/>
    </row>
  </sheetData>
  <sheetProtection formatCells="0" formatColumns="0" formatRows="0" insertColumns="0" insertRows="0" deleteColumns="0" deleteRows="0"/>
  <mergeCells count="18">
    <mergeCell ref="X5:X6"/>
    <mergeCell ref="Y5:Y6"/>
    <mergeCell ref="Z5:Z6"/>
    <mergeCell ref="C7:D7"/>
    <mergeCell ref="E7:F7"/>
    <mergeCell ref="J7:M7"/>
    <mergeCell ref="N5:N6"/>
    <mergeCell ref="O5:O6"/>
    <mergeCell ref="P5:Q5"/>
    <mergeCell ref="R5:V5"/>
    <mergeCell ref="I5:I6"/>
    <mergeCell ref="J5:M5"/>
    <mergeCell ref="J6:M6"/>
    <mergeCell ref="B5:B6"/>
    <mergeCell ref="C5:D6"/>
    <mergeCell ref="E5:F6"/>
    <mergeCell ref="G5:G6"/>
    <mergeCell ref="H5:H6"/>
  </mergeCells>
  <pageMargins left="0.15" right="0.15" top="1" bottom="0.25" header="0.3" footer="0.05"/>
  <pageSetup paperSize="9" scale="65" orientation="landscape" horizontalDpi="300" verticalDpi="300" r:id="rId1"/>
  <headerFooter>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jangan di hapus 1</vt:lpstr>
      <vt:lpstr>jangan dihapus 2</vt:lpstr>
      <vt:lpstr>jangan dihapus 3</vt:lpstr>
      <vt:lpstr>BTL</vt:lpstr>
      <vt:lpstr>IKD dan anggaran</vt:lpstr>
      <vt:lpstr>matrik MISI 1</vt:lpstr>
      <vt:lpstr>matrik MISI 2</vt:lpstr>
      <vt:lpstr>matrik MISI 3</vt:lpstr>
      <vt:lpstr>matrik MISI 4</vt:lpstr>
      <vt:lpstr>matrik MISI 5</vt:lpstr>
      <vt:lpstr>matrik MISI 6</vt:lpstr>
      <vt:lpstr>matrik MISI GABUNG</vt:lpstr>
      <vt:lpstr>tabel BAB V</vt:lpstr>
      <vt:lpstr>tabel BAB VI</vt:lpstr>
      <vt:lpstr>tabel BAB VII</vt:lpstr>
      <vt:lpstr>tabel BAB VIII</vt:lpstr>
      <vt:lpstr>tabel BAB IX</vt:lpstr>
      <vt:lpstr>visi misi</vt:lpstr>
      <vt:lpstr>program</vt:lpstr>
      <vt:lpstr>BTL!Print_Area</vt:lpstr>
      <vt:lpstr>'jangan di hapus 1'!Print_Area</vt:lpstr>
      <vt:lpstr>'jangan dihapus 2'!Print_Area</vt:lpstr>
      <vt:lpstr>'jangan dihapus 3'!Print_Area</vt:lpstr>
      <vt:lpstr>'matrik MISI 1'!Print_Area</vt:lpstr>
      <vt:lpstr>'matrik MISI 2'!Print_Area</vt:lpstr>
      <vt:lpstr>'matrik MISI 3'!Print_Area</vt:lpstr>
      <vt:lpstr>'matrik MISI 4'!Print_Area</vt:lpstr>
      <vt:lpstr>'matrik MISI 5'!Print_Area</vt:lpstr>
      <vt:lpstr>'matrik MISI 6'!Print_Area</vt:lpstr>
      <vt:lpstr>'matrik MISI GABUNG'!Print_Area</vt:lpstr>
      <vt:lpstr>'tabel BAB V'!Print_Area</vt:lpstr>
      <vt:lpstr>'tabel BAB VI'!Print_Area</vt:lpstr>
      <vt:lpstr>'matrik MISI 1'!Print_Titles</vt:lpstr>
      <vt:lpstr>'matrik MISI 2'!Print_Titles</vt:lpstr>
      <vt:lpstr>'matrik MISI 3'!Print_Titles</vt:lpstr>
      <vt:lpstr>'matrik MISI 4'!Print_Titles</vt:lpstr>
      <vt:lpstr>'matrik MISI 5'!Print_Titles</vt:lpstr>
      <vt:lpstr>'matrik MISI 6'!Print_Titles</vt:lpstr>
      <vt:lpstr>'matrik MISI GABUNG'!Print_Titles</vt:lpstr>
      <vt:lpstr>'tabel BAB V'!Print_Titles</vt:lpstr>
      <vt:lpstr>'tabel BAB VI'!Print_Titles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win7</dc:creator>
  <cp:lastModifiedBy>Win7</cp:lastModifiedBy>
  <cp:lastPrinted>2014-01-29T03:33:13Z</cp:lastPrinted>
  <dcterms:created xsi:type="dcterms:W3CDTF">2013-06-04T06:19:29Z</dcterms:created>
  <dcterms:modified xsi:type="dcterms:W3CDTF">2014-02-15T05:23:20Z</dcterms:modified>
</cp:coreProperties>
</file>